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styles.xml" ContentType="application/vnd.openxmlformats-officedocument.spreadsheetml.styles+xml"/>
  <Override PartName="/xl/comments14.xml" ContentType="application/vnd.openxmlformats-officedocument.spreadsheetml.comments+xml"/>
  <Override PartName="/xl/comments12.xml" ContentType="application/vnd.openxmlformats-officedocument.spreadsheetml.comments+xml"/>
  <Override PartName="/xl/comments17.xml" ContentType="application/vnd.openxmlformats-officedocument.spreadsheetml.comments+xml"/>
  <Override PartName="/xl/worksheets/_rels/sheet24.xml.rels" ContentType="application/vnd.openxmlformats-package.relationships+xml"/>
  <Override PartName="/xl/worksheets/_rels/sheet12.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5.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24.xml" ContentType="application/vnd.openxmlformats-officedocument.spreadsheetml.comments+xml"/>
  <Override PartName="/xl/drawings/drawing7.xml" ContentType="application/vnd.openxmlformats-officedocument.drawing+xml"/>
  <Override PartName="/xl/drawings/vmlDrawing6.vml" ContentType="application/vnd.openxmlformats-officedocument.vmlDrawing"/>
  <Override PartName="/xl/drawings/drawing6.xml" ContentType="application/vnd.openxmlformats-officedocument.drawing+xml"/>
  <Override PartName="/xl/drawings/vmlDrawing5.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9.xml" ContentType="application/vnd.openxmlformats-officedocument.drawing+xml"/>
  <Override PartName="/xl/drawings/vmlDrawing8.vml" ContentType="application/vnd.openxmlformats-officedocument.vmlDrawing"/>
  <Override PartName="/xl/drawings/drawing8.xml" ContentType="application/vnd.openxmlformats-officedocument.drawing+xml"/>
  <Override PartName="/xl/drawings/vmlDrawing7.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comments13.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ホーム" sheetId="1" state="visible" r:id="rId3"/>
    <sheet name="報告入力" sheetId="2" state="visible" r:id="rId4"/>
    <sheet name="検算" sheetId="3" state="visible" r:id="rId5"/>
    <sheet name="伝票入力" sheetId="4" state="visible" r:id="rId6"/>
    <sheet name="伝票画面" sheetId="5" state="visible" r:id="rId7"/>
    <sheet name="給与明細" sheetId="6" state="visible" r:id="rId8"/>
    <sheet name="給与データ" sheetId="7" state="visible" r:id="rId9"/>
    <sheet name="設定" sheetId="8" state="visible" r:id="rId10"/>
    <sheet name="伝票元" sheetId="9" state="visible" r:id="rId11"/>
    <sheet name="☆掛負収入" sheetId="10" state="visible" r:id="rId12"/>
    <sheet name="Sheet1" sheetId="11" state="visible" r:id="rId13"/>
    <sheet name="給与課提出用" sheetId="12" state="visible" r:id="rId14"/>
    <sheet name="還付" sheetId="13" state="visible" r:id="rId15"/>
    <sheet name="未納者等入金" sheetId="14" state="visible" r:id="rId16"/>
    <sheet name="全体集計（☆掛負調定）" sheetId="15" state="visible" r:id="rId17"/>
    <sheet name="☆労組公的負担（短期）" sheetId="16" state="visible" r:id="rId18"/>
    <sheet name="☆拠出金明細R7" sheetId="17" state="visible" r:id="rId19"/>
    <sheet name="☆振替R7" sheetId="18" state="visible" r:id="rId20"/>
    <sheet name="振替集計R7" sheetId="19" state="visible" r:id="rId21"/>
    <sheet name="☆長期集計R7" sheetId="20" state="visible" r:id="rId22"/>
    <sheet name="☆短期集計R7" sheetId="21" state="visible" r:id="rId23"/>
    <sheet name="☆介護集計R7" sheetId="22" state="visible" r:id="rId24"/>
    <sheet name="☆子・子集計R7" sheetId="23" state="visible" r:id="rId25"/>
    <sheet name="連合会調査用" sheetId="24" state="visible" r:id="rId26"/>
  </sheets>
  <definedNames>
    <definedName function="false" hidden="false" localSheetId="15" name="_xlnm.Print_Area" vbProcedure="false">'☆労組公的負担（短期）'!$A$1:$F$25</definedName>
    <definedName function="false" hidden="false" localSheetId="17" name="_xlnm.Print_Area" vbProcedure="false">'☆振替R7'!$A$1:$L$527</definedName>
    <definedName function="false" hidden="false" localSheetId="9" name="_xlnm.Print_Area" vbProcedure="false">'☆掛負収入'!$A$1:$P$1194</definedName>
    <definedName function="false" hidden="false" localSheetId="9" name="_xlnm.Print_Titles" vbProcedure="false">'☆掛負収入'!$A:$A</definedName>
    <definedName function="false" hidden="false" localSheetId="20" name="_xlnm.Print_Area" vbProcedure="false">'☆短期集計R7'!$A$1:$K$85</definedName>
    <definedName function="false" hidden="false" localSheetId="19" name="_xlnm.Print_Area" vbProcedure="false">'☆長期集計R7'!$A$1:$K$88</definedName>
    <definedName function="false" hidden="false" localSheetId="14" name="_xlnm.Print_Area" vbProcedure="false">'全体集計（☆掛負調定）'!$A$1:$AR$43</definedName>
    <definedName function="false" hidden="true" localSheetId="1" name="_xlnm._FilterDatabase" vbProcedure="false">報告入力!$A$6:$CO$696</definedName>
    <definedName function="false" hidden="false" localSheetId="18" name="_xlnm.Print_Area" vbProcedure="false">振替集計R7!$A$1:$O$85</definedName>
    <definedName function="false" hidden="false" localSheetId="13" name="_xlnm.Print_Area" vbProcedure="false">未納者等入金!$A$1:$W$43,未納者等入金!$A$54:$U$94,未納者等入金!$A$114:$U$154</definedName>
    <definedName function="false" hidden="false" localSheetId="11" name="_xlnm.Print_Titles" vbProcedure="false">給与課提出用!$A:$A</definedName>
    <definedName function="false" hidden="false" localSheetId="23" name="_xlnm.Print_Area" vbProcedure="false">連合会調査用!$A$1:$O$85</definedName>
    <definedName function="false" hidden="false" localSheetId="12" name="_xlnm.Print_Area" vbProcedure="false">還付!$A$1:$Y$114</definedName>
  </definedNames>
  <calcPr iterateCount="100" refMode="A1" iterate="false" iterateDelta="0.001" fullCalcOnLoad="1"/>
  <extLst>
    <ext xmlns:loext="http://schemas.libreoffice.org/" uri="{7626C862-2A13-11E5-B345-FEFF819CDC9F}">
      <loext:extCalcPr stringRefSyntax="CalcA1"/>
    </ext>
  </extLst>
</workbook>
</file>

<file path=xl/comments10.xml><?xml version="1.0" encoding="utf-8"?>
<comments xmlns="http://schemas.openxmlformats.org/spreadsheetml/2006/main" xmlns:xdr="http://schemas.openxmlformats.org/drawingml/2006/spreadsheetDrawing">
  <authors>
    <author>Unknown Author</author>
  </authors>
  <commentList>
    <comment ref="A1158" authorId="0">
      <text>
        <r>
          <rPr>
            <sz val="10"/>
            <rFont val="Arial"/>
            <family val="2"/>
          </rPr>
          <t xml:space="preserve">R8.2.16
</t>
        </r>
        <r>
          <rPr>
            <b val="true"/>
            <sz val="11"/>
            <color rgb="FF000000"/>
            <rFont val="WenQuanYi Zen Hei"/>
            <family val="2"/>
            <charset val="1"/>
          </rPr>
          <t xml:space="preserve">月例分と同日振込</t>
        </r>
      </text>
    </comment>
    <comment ref="A1175" authorId="0">
      <text>
        <r>
          <rPr>
            <sz val="10"/>
            <rFont val="Arial"/>
            <family val="2"/>
          </rPr>
          <t xml:space="preserve">R8.2.20
</t>
        </r>
        <r>
          <rPr>
            <b val="true"/>
            <sz val="9"/>
            <color rgb="FF000000"/>
            <rFont val="WenQuanYi Zen Hei"/>
            <family val="2"/>
            <charset val="1"/>
          </rPr>
          <t xml:space="preserve">月例分と同日振込</t>
        </r>
      </text>
    </comment>
    <comment ref="A1176" authorId="0">
      <text>
        <r>
          <rPr>
            <sz val="10"/>
            <rFont val="Arial"/>
            <family val="2"/>
          </rPr>
          <t xml:space="preserve">R8.2.16
</t>
        </r>
        <r>
          <rPr>
            <b val="true"/>
            <sz val="9"/>
            <color rgb="FF000000"/>
            <rFont val="WenQuanYi Zen Hei"/>
            <family val="2"/>
            <charset val="1"/>
          </rPr>
          <t xml:space="preserve">月例分と同日振込</t>
        </r>
      </text>
    </comment>
    <comment ref="B876" authorId="0">
      <text>
        <r>
          <rPr>
            <sz val="10"/>
            <rFont val="WenQuanYi Zen Hei"/>
            <family val="2"/>
          </rPr>
          <t xml:space="preserve">号給調整に伴う差額分
</t>
        </r>
        <r>
          <rPr>
            <b val="true"/>
            <sz val="12"/>
            <color rgb="FF000000"/>
            <rFont val="MS P ゴシック"/>
            <family val="3"/>
            <charset val="128"/>
          </rPr>
          <t xml:space="preserve">3</t>
        </r>
        <r>
          <rPr>
            <b val="true"/>
            <sz val="12"/>
            <color rgb="FF000000"/>
            <rFont val="WenQuanYi Zen Hei"/>
            <family val="2"/>
            <charset val="1"/>
          </rPr>
          <t xml:space="preserve">月期末として扱う
（</t>
        </r>
        <r>
          <rPr>
            <b val="true"/>
            <sz val="12"/>
            <color rgb="FF000000"/>
            <rFont val="MS P ゴシック"/>
            <family val="3"/>
            <charset val="128"/>
          </rPr>
          <t xml:space="preserve">3/16</t>
        </r>
        <r>
          <rPr>
            <b val="true"/>
            <sz val="12"/>
            <color rgb="FF000000"/>
            <rFont val="WenQuanYi Zen Hei"/>
            <family val="2"/>
            <charset val="1"/>
          </rPr>
          <t xml:space="preserve">納付）</t>
        </r>
      </text>
    </comment>
    <comment ref="B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B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t>
        </r>
        <r>
          <rPr>
            <b val="true"/>
            <sz val="10"/>
            <color rgb="FF000000"/>
            <rFont val="MS P ゴシック"/>
            <family val="3"/>
            <charset val="128"/>
          </rPr>
          <t xml:space="preserve">7</t>
        </r>
      </text>
    </comment>
    <comment ref="C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C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5,955
</t>
        </r>
        <r>
          <rPr>
            <b val="true"/>
            <sz val="11"/>
            <color rgb="FF000000"/>
            <rFont val="WenQuanYi Zen Hei"/>
            <family val="2"/>
            <charset val="1"/>
          </rPr>
          <t xml:space="preserve">差額分：</t>
        </r>
        <r>
          <rPr>
            <b val="true"/>
            <sz val="11"/>
            <color rgb="FF000000"/>
            <rFont val="MS P ゴシック"/>
            <family val="3"/>
            <charset val="128"/>
          </rPr>
          <t xml:space="preserve">487</t>
        </r>
      </text>
    </comment>
    <comment ref="D164" authorId="0">
      <text>
        <r>
          <rPr>
            <sz val="10"/>
            <rFont val="WenQuanYi Zen Hei"/>
            <family val="2"/>
          </rPr>
          <t xml:space="preserve">正当額</t>
        </r>
        <r>
          <rPr>
            <b val="true"/>
            <sz val="11"/>
            <color rgb="FF000000"/>
            <rFont val="MS P ゴシック"/>
            <family val="3"/>
            <charset val="128"/>
          </rPr>
          <t xml:space="preserve">709,125</t>
        </r>
        <r>
          <rPr>
            <b val="true"/>
            <sz val="11"/>
            <color rgb="FF000000"/>
            <rFont val="WenQuanYi Zen Hei"/>
            <family val="2"/>
            <charset val="1"/>
          </rPr>
          <t xml:space="preserve">円＋過誤納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718,038</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D294" authorId="0">
      <text>
        <r>
          <rPr>
            <sz val="10"/>
            <rFont val="WenQuanYi Zen Hei"/>
            <family val="2"/>
          </rPr>
          <t xml:space="preserve">算出額</t>
        </r>
        <r>
          <rPr>
            <b val="true"/>
            <sz val="11"/>
            <color rgb="FF000000"/>
            <rFont val="MS P ゴシック"/>
            <family val="3"/>
            <charset val="128"/>
          </rPr>
          <t xml:space="preserve">755,790</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月月例過納額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755,790-8,913</t>
        </r>
        <r>
          <rPr>
            <b val="true"/>
            <sz val="11"/>
            <color rgb="FF000000"/>
            <rFont val="WenQuanYi Zen Hei"/>
            <family val="2"/>
            <charset val="1"/>
          </rPr>
          <t xml:space="preserve">＝</t>
        </r>
        <r>
          <rPr>
            <b val="true"/>
            <sz val="11"/>
            <color rgb="FF000000"/>
            <rFont val="MS P ゴシック"/>
            <family val="3"/>
            <charset val="128"/>
          </rPr>
          <t xml:space="preserve">746,877</t>
        </r>
        <r>
          <rPr>
            <b val="true"/>
            <sz val="11"/>
            <color rgb="FF000000"/>
            <rFont val="WenQuanYi Zen Hei"/>
            <family val="2"/>
            <charset val="1"/>
          </rPr>
          <t xml:space="preserve">円（相殺後）</t>
        </r>
      </text>
    </comment>
    <comment ref="D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D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5,948</t>
        </r>
      </text>
    </comment>
    <comment ref="E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E1188" authorId="0">
      <text>
        <r>
          <rPr>
            <sz val="10"/>
            <rFont val="Arial"/>
            <family val="2"/>
          </rPr>
          <t xml:space="preserve">12</t>
        </r>
        <r>
          <rPr>
            <b val="true"/>
            <sz val="10"/>
            <color rgb="FF000000"/>
            <rFont val="WenQuanYi Zen Hei"/>
            <family val="2"/>
            <charset val="1"/>
          </rPr>
          <t xml:space="preserve">月</t>
        </r>
        <r>
          <rPr>
            <b val="true"/>
            <sz val="10"/>
            <color rgb="FF000000"/>
            <rFont val="MS P ゴシック"/>
            <family val="3"/>
            <charset val="128"/>
          </rPr>
          <t xml:space="preserve">B</t>
        </r>
        <r>
          <rPr>
            <b val="true"/>
            <sz val="10"/>
            <color rgb="FF000000"/>
            <rFont val="WenQuanYi Zen Hei"/>
            <family val="2"/>
            <charset val="1"/>
          </rPr>
          <t xml:space="preserve">追納分：</t>
        </r>
        <r>
          <rPr>
            <b val="true"/>
            <sz val="10"/>
            <color rgb="FF000000"/>
            <rFont val="MS P ゴシック"/>
            <family val="3"/>
            <charset val="128"/>
          </rPr>
          <t xml:space="preserve">5,955
</t>
        </r>
        <r>
          <rPr>
            <b val="true"/>
            <sz val="10"/>
            <color rgb="FF000000"/>
            <rFont val="WenQuanYi Zen Hei"/>
            <family val="2"/>
            <charset val="1"/>
          </rPr>
          <t xml:space="preserve">差額分：</t>
        </r>
        <r>
          <rPr>
            <b val="true"/>
            <sz val="10"/>
            <color rgb="FF000000"/>
            <rFont val="MS P ゴシック"/>
            <family val="3"/>
            <charset val="128"/>
          </rPr>
          <t xml:space="preserve">487</t>
        </r>
      </text>
    </comment>
    <comment ref="H64" authorId="0">
      <text>
        <r>
          <rPr>
            <sz val="10"/>
            <rFont val="WenQuanYi Zen Hei"/>
            <family val="2"/>
          </rPr>
          <t xml:space="preserve">前受収益分</t>
        </r>
        <r>
          <rPr>
            <b val="true"/>
            <sz val="11"/>
            <color rgb="FF000000"/>
            <rFont val="MS P ゴシック"/>
            <family val="3"/>
            <charset val="128"/>
          </rPr>
          <t xml:space="preserve">34,502,619</t>
        </r>
        <r>
          <rPr>
            <b val="true"/>
            <sz val="11"/>
            <color rgb="FF000000"/>
            <rFont val="WenQuanYi Zen Hei"/>
            <family val="2"/>
            <charset val="1"/>
          </rPr>
          <t xml:space="preserve">を含む。
未収掛金：短期</t>
        </r>
        <r>
          <rPr>
            <b val="true"/>
            <sz val="11"/>
            <color rgb="FF000000"/>
            <rFont val="MS P ゴシック"/>
            <family val="3"/>
            <charset val="128"/>
          </rPr>
          <t xml:space="preserve">54,568</t>
        </r>
        <r>
          <rPr>
            <b val="true"/>
            <sz val="11"/>
            <color rgb="FF000000"/>
            <rFont val="WenQuanYi Zen Hei"/>
            <family val="2"/>
            <charset val="1"/>
          </rPr>
          <t xml:space="preserve">を含む。</t>
        </r>
      </text>
    </comment>
    <comment ref="H466" authorId="0">
      <text>
        <r>
          <rPr>
            <sz val="10"/>
            <rFont val="WenQuanYi Zen Hei"/>
            <family val="2"/>
          </rPr>
          <t xml:space="preserve">市：</t>
        </r>
        <r>
          <rPr>
            <b val="true"/>
            <sz val="11"/>
            <color rgb="FF000000"/>
            <rFont val="MS P ゴシック"/>
            <family val="3"/>
            <charset val="128"/>
          </rPr>
          <t xml:space="preserve">190,331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H531" authorId="0">
      <text>
        <r>
          <rPr>
            <sz val="10"/>
            <rFont val="WenQuanYi Zen Hei"/>
            <family val="2"/>
          </rPr>
          <t xml:space="preserve">市選管：</t>
        </r>
        <r>
          <rPr>
            <b val="true"/>
            <sz val="11"/>
            <color rgb="FF000000"/>
            <rFont val="MS P ゴシック"/>
            <family val="3"/>
            <charset val="128"/>
          </rPr>
          <t xml:space="preserve">190,331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51,157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22,553</t>
        </r>
      </text>
    </comment>
    <comment ref="H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H966" authorId="0">
      <text>
        <r>
          <rPr>
            <sz val="10"/>
            <rFont val="WenQuanYi Zen Hei"/>
            <family val="2"/>
          </rPr>
          <t xml:space="preserve">市へ一旦復帰して退職する場合</t>
        </r>
      </text>
    </comment>
    <comment ref="H974" authorId="0">
      <text>
        <r>
          <rPr>
            <sz val="10"/>
            <rFont val="WenQuanYi Zen Hei"/>
            <family val="2"/>
          </rPr>
          <t xml:space="preserve">現年度分の納付は計上する。次年度分の前納は前受収益として伝票処理し、４月分に計上する。</t>
        </r>
      </text>
    </comment>
    <comment ref="H1186" authorId="0">
      <text>
        <r>
          <rPr>
            <sz val="10"/>
            <rFont val="WenQuanYi Zen Hei"/>
            <family val="2"/>
          </rPr>
          <t xml:space="preserve">差額分：</t>
        </r>
        <r>
          <rPr>
            <b val="true"/>
            <sz val="10"/>
            <color rgb="FF000000"/>
            <rFont val="MS P ゴシック"/>
            <family val="3"/>
            <charset val="128"/>
          </rPr>
          <t xml:space="preserve">3,300
</t>
        </r>
        <r>
          <rPr>
            <b val="true"/>
            <sz val="10"/>
            <color rgb="FF000000"/>
            <rFont val="WenQuanYi Zen Hei"/>
            <family val="2"/>
            <charset val="1"/>
          </rPr>
          <t xml:space="preserve">追加納付分：</t>
        </r>
        <r>
          <rPr>
            <b val="true"/>
            <sz val="10"/>
            <color rgb="FF000000"/>
            <rFont val="MS P ゴシック"/>
            <family val="3"/>
            <charset val="128"/>
          </rPr>
          <t xml:space="preserve">770
</t>
        </r>
      </text>
    </comment>
    <comment ref="H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43,677
</t>
        </r>
        <r>
          <rPr>
            <b val="true"/>
            <sz val="11"/>
            <color rgb="FF000000"/>
            <rFont val="WenQuanYi Zen Hei"/>
            <family val="2"/>
            <charset val="1"/>
          </rPr>
          <t xml:space="preserve">差額分：</t>
        </r>
        <r>
          <rPr>
            <b val="true"/>
            <sz val="11"/>
            <color rgb="FF000000"/>
            <rFont val="MS P ゴシック"/>
            <family val="3"/>
            <charset val="128"/>
          </rPr>
          <t xml:space="preserve">4,897</t>
        </r>
      </text>
    </comment>
    <comment ref="I164" authorId="0">
      <text>
        <r>
          <rPr>
            <sz val="10"/>
            <rFont val="WenQuanYi Zen Hei"/>
            <family val="2"/>
          </rPr>
          <t xml:space="preserve">正当額</t>
        </r>
        <r>
          <rPr>
            <b val="true"/>
            <sz val="11"/>
            <color rgb="FF000000"/>
            <rFont val="MS P ゴシック"/>
            <family val="3"/>
            <charset val="128"/>
          </rPr>
          <t xml:space="preserve">402,302</t>
        </r>
        <r>
          <rPr>
            <b val="true"/>
            <sz val="11"/>
            <color rgb="FF000000"/>
            <rFont val="WenQuanYi Zen Hei"/>
            <family val="2"/>
            <charset val="1"/>
          </rPr>
          <t xml:space="preserve">円</t>
        </r>
        <r>
          <rPr>
            <b val="true"/>
            <sz val="11"/>
            <color rgb="FF000000"/>
            <rFont val="MS P ゴシック"/>
            <family val="3"/>
            <charset val="128"/>
          </rPr>
          <t xml:space="preserve">-</t>
        </r>
        <r>
          <rPr>
            <b val="true"/>
            <sz val="11"/>
            <color rgb="FF000000"/>
            <rFont val="WenQuanYi Zen Hei"/>
            <family val="2"/>
            <charset val="1"/>
          </rPr>
          <t xml:space="preserve">不足額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393,389</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月月例で追納予定）</t>
        </r>
      </text>
    </comment>
    <comment ref="I189" authorId="0">
      <text>
        <r>
          <rPr>
            <sz val="10"/>
            <rFont val="WenQuanYi Zen Hei"/>
            <family val="2"/>
          </rPr>
          <t xml:space="preserve">正当額</t>
        </r>
        <r>
          <rPr>
            <b val="true"/>
            <sz val="11"/>
            <color rgb="FF000000"/>
            <rFont val="MS P ゴシック"/>
            <family val="3"/>
            <charset val="128"/>
          </rPr>
          <t xml:space="preserve">16,611</t>
        </r>
        <r>
          <rPr>
            <b val="true"/>
            <sz val="11"/>
            <color rgb="FF000000"/>
            <rFont val="WenQuanYi Zen Hei"/>
            <family val="2"/>
            <charset val="1"/>
          </rPr>
          <t xml:space="preserve">円＋過誤納</t>
        </r>
        <r>
          <rPr>
            <b val="true"/>
            <sz val="11"/>
            <color rgb="FF000000"/>
            <rFont val="MS P ゴシック"/>
            <family val="3"/>
            <charset val="128"/>
          </rPr>
          <t xml:space="preserve">1,296</t>
        </r>
        <r>
          <rPr>
            <b val="true"/>
            <sz val="11"/>
            <color rgb="FF000000"/>
            <rFont val="WenQuanYi Zen Hei"/>
            <family val="2"/>
            <charset val="1"/>
          </rPr>
          <t xml:space="preserve">円＝</t>
        </r>
        <r>
          <rPr>
            <b val="true"/>
            <sz val="11"/>
            <color rgb="FF000000"/>
            <rFont val="MS P ゴシック"/>
            <family val="3"/>
            <charset val="128"/>
          </rPr>
          <t xml:space="preserve">17,907</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I294" authorId="0">
      <text>
        <r>
          <rPr>
            <sz val="10"/>
            <rFont val="WenQuanYi Zen Hei"/>
            <family val="2"/>
          </rPr>
          <t xml:space="preserve">算出額</t>
        </r>
        <r>
          <rPr>
            <b val="true"/>
            <sz val="11"/>
            <color rgb="FF000000"/>
            <rFont val="MS P ゴシック"/>
            <family val="3"/>
            <charset val="128"/>
          </rPr>
          <t xml:space="preserve">428,776</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月月例不足額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428,776+8,913</t>
        </r>
        <r>
          <rPr>
            <b val="true"/>
            <sz val="11"/>
            <color rgb="FF000000"/>
            <rFont val="WenQuanYi Zen Hei"/>
            <family val="2"/>
            <charset val="1"/>
          </rPr>
          <t xml:space="preserve">＝</t>
        </r>
        <r>
          <rPr>
            <b val="true"/>
            <sz val="11"/>
            <color rgb="FF000000"/>
            <rFont val="MS P ゴシック"/>
            <family val="3"/>
            <charset val="128"/>
          </rPr>
          <t xml:space="preserve">437,689</t>
        </r>
        <r>
          <rPr>
            <b val="true"/>
            <sz val="11"/>
            <color rgb="FF000000"/>
            <rFont val="WenQuanYi Zen Hei"/>
            <family val="2"/>
            <charset val="1"/>
          </rPr>
          <t xml:space="preserve">円（追納加算後）</t>
        </r>
      </text>
    </comment>
    <comment ref="I466" authorId="0">
      <text>
        <r>
          <rPr>
            <sz val="10"/>
            <rFont val="WenQuanYi Zen Hei"/>
            <family val="2"/>
          </rPr>
          <t xml:space="preserve">市：</t>
        </r>
        <r>
          <rPr>
            <b val="true"/>
            <sz val="11"/>
            <color rgb="FF000000"/>
            <rFont val="MS P ゴシック"/>
            <family val="3"/>
            <charset val="128"/>
          </rPr>
          <t xml:space="preserve">193,690
</t>
        </r>
        <r>
          <rPr>
            <b val="true"/>
            <sz val="11"/>
            <color rgb="FF000000"/>
            <rFont val="WenQuanYi Zen Hei"/>
            <family val="2"/>
            <charset val="1"/>
          </rPr>
          <t xml:space="preserve">中区：</t>
        </r>
        <r>
          <rPr>
            <b val="true"/>
            <sz val="11"/>
            <color rgb="FF000000"/>
            <rFont val="MS P ゴシック"/>
            <family val="3"/>
            <charset val="128"/>
          </rPr>
          <t xml:space="preserve">22,951</t>
        </r>
      </text>
    </comment>
    <comment ref="I1186" authorId="0">
      <text>
        <r>
          <rPr>
            <sz val="10"/>
            <rFont val="WenQuanYi Zen Hei"/>
            <family val="2"/>
          </rPr>
          <t xml:space="preserve">差額分：</t>
        </r>
        <r>
          <rPr>
            <b val="true"/>
            <sz val="10"/>
            <color rgb="FF000000"/>
            <rFont val="MS P ゴシック"/>
            <family val="3"/>
            <charset val="128"/>
          </rPr>
          <t xml:space="preserve">3,306
</t>
        </r>
        <r>
          <rPr>
            <b val="true"/>
            <sz val="10"/>
            <color rgb="FF000000"/>
            <rFont val="WenQuanYi Zen Hei"/>
            <family val="2"/>
            <charset val="1"/>
          </rPr>
          <t xml:space="preserve">追加納付分：</t>
        </r>
        <r>
          <rPr>
            <b val="true"/>
            <sz val="10"/>
            <color rgb="FF000000"/>
            <rFont val="MS P ゴシック"/>
            <family val="3"/>
            <charset val="128"/>
          </rPr>
          <t xml:space="preserve">772
</t>
        </r>
      </text>
    </comment>
    <comment ref="I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43,758
</t>
        </r>
        <r>
          <rPr>
            <b val="true"/>
            <sz val="11"/>
            <color rgb="FF000000"/>
            <rFont val="WenQuanYi Zen Hei"/>
            <family val="2"/>
            <charset val="1"/>
          </rPr>
          <t xml:space="preserve">差額分：</t>
        </r>
        <r>
          <rPr>
            <b val="true"/>
            <sz val="11"/>
            <color rgb="FF000000"/>
            <rFont val="MS P ゴシック"/>
            <family val="3"/>
            <charset val="128"/>
          </rPr>
          <t xml:space="preserve">4,904</t>
        </r>
      </text>
    </comment>
    <comment ref="K64" authorId="0">
      <text>
        <r>
          <rPr>
            <sz val="10"/>
            <rFont val="WenQuanYi Zen Hei"/>
            <family val="2"/>
          </rPr>
          <t xml:space="preserve">前受収益分</t>
        </r>
        <r>
          <rPr>
            <b val="true"/>
            <sz val="11"/>
            <color rgb="FF000000"/>
            <rFont val="MS P ゴシック"/>
            <family val="3"/>
            <charset val="128"/>
          </rPr>
          <t xml:space="preserve">1,200,582</t>
        </r>
        <r>
          <rPr>
            <b val="true"/>
            <sz val="11"/>
            <color rgb="FF000000"/>
            <rFont val="WenQuanYi Zen Hei"/>
            <family val="2"/>
            <charset val="1"/>
          </rPr>
          <t xml:space="preserve">を含む。
</t>
        </r>
        <r>
          <rPr>
            <b val="true"/>
            <sz val="11"/>
            <color rgb="FF000000"/>
            <rFont val="MS P ゴシック"/>
            <family val="3"/>
            <charset val="128"/>
          </rPr>
          <t xml:space="preserve">(</t>
        </r>
        <r>
          <rPr>
            <b val="true"/>
            <sz val="11"/>
            <color rgb="FF000000"/>
            <rFont val="WenQuanYi Zen Hei"/>
            <family val="2"/>
            <charset val="1"/>
          </rPr>
          <t xml:space="preserve">未収掛金</t>
        </r>
        <r>
          <rPr>
            <b val="true"/>
            <sz val="11"/>
            <color rgb="FF000000"/>
            <rFont val="MS P ゴシック"/>
            <family val="3"/>
            <charset val="128"/>
          </rPr>
          <t xml:space="preserve">:</t>
        </r>
        <r>
          <rPr>
            <b val="true"/>
            <sz val="11"/>
            <color rgb="FF000000"/>
            <rFont val="WenQuanYi Zen Hei"/>
            <family val="2"/>
            <charset val="1"/>
          </rPr>
          <t xml:space="preserve">介護なし）</t>
        </r>
      </text>
    </comment>
    <comment ref="K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K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K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K966" authorId="0">
      <text>
        <r>
          <rPr>
            <sz val="10"/>
            <rFont val="WenQuanYi Zen Hei"/>
            <family val="2"/>
          </rPr>
          <t xml:space="preserve">市へ一旦復帰して退職する場合</t>
        </r>
      </text>
    </comment>
    <comment ref="K974" authorId="0">
      <text>
        <r>
          <rPr>
            <sz val="10"/>
            <rFont val="WenQuanYi Zen Hei"/>
            <family val="2"/>
          </rPr>
          <t xml:space="preserve">現年度分の納付は計上する。次年度分の前納は前受収益として伝票処理し、４月分に計上する。</t>
        </r>
      </text>
    </comment>
    <comment ref="K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K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L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L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L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 ref="N64" authorId="0">
      <text>
        <r>
          <rPr>
            <sz val="10"/>
            <rFont val="WenQuanYi Zen Hei"/>
            <family val="2"/>
          </rPr>
          <t xml:space="preserve">前受収益分</t>
        </r>
        <r>
          <rPr>
            <b val="true"/>
            <sz val="11"/>
            <color rgb="FF000000"/>
            <rFont val="MS P ゴシック"/>
            <family val="3"/>
            <charset val="128"/>
          </rPr>
          <t xml:space="preserve">765,054</t>
        </r>
        <r>
          <rPr>
            <b val="true"/>
            <sz val="11"/>
            <color rgb="FF000000"/>
            <rFont val="WenQuanYi Zen Hei"/>
            <family val="2"/>
            <charset val="1"/>
          </rPr>
          <t xml:space="preserve">を含む。
未収掛金：子ども子育て支援納付金なし）</t>
        </r>
      </text>
    </comment>
    <comment ref="N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N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N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N901" authorId="0">
      <text>
        <r>
          <rPr>
            <sz val="10"/>
            <rFont val="WenQuanYi Zen Hei"/>
            <family val="2"/>
          </rPr>
          <t xml:space="preserve">市へ一旦復帰して退職する場合</t>
        </r>
      </text>
    </comment>
    <comment ref="N966" authorId="0">
      <text>
        <r>
          <rPr>
            <sz val="10"/>
            <rFont val="WenQuanYi Zen Hei"/>
            <family val="2"/>
          </rPr>
          <t xml:space="preserve">市へ一旦復帰して退職する場合</t>
        </r>
      </text>
    </comment>
    <comment ref="N974" authorId="0">
      <text>
        <r>
          <rPr>
            <sz val="10"/>
            <rFont val="WenQuanYi Zen Hei"/>
            <family val="2"/>
          </rPr>
          <t xml:space="preserve">現年度分の納付は計上する。次年度分の前納は前受収益として伝票処理し、４月分に計上する。</t>
        </r>
      </text>
    </comment>
    <comment ref="N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N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O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O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O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173" authorId="0">
      <text>
        <r>
          <rPr>
            <sz val="10"/>
            <rFont val="WenQuanYi Zen Hei"/>
            <family val="2"/>
          </rPr>
          <t xml:space="preserve">【注意】
差額分に係る掛金・負担金の納付は２月１０日の予定</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9" authorId="0">
      <text>
        <r>
          <rPr>
            <sz val="10"/>
            <rFont val="WenQuanYi Zen Hei"/>
            <family val="2"/>
          </rPr>
          <t xml:space="preserve">内訳表から合計される。この表には入力しない
</t>
        </r>
      </text>
    </comment>
    <comment ref="J4" authorId="0">
      <text>
        <r>
          <rPr>
            <sz val="10"/>
            <rFont val="WenQuanYi Zen Hei"/>
            <family val="2"/>
          </rPr>
          <t xml:space="preserve">毎月保健係に任継の金額と一緒に聞く
保健経理への振替金額は除く</t>
        </r>
      </text>
    </comment>
    <comment ref="N9" authorId="0">
      <text>
        <r>
          <rPr>
            <sz val="10"/>
            <rFont val="WenQuanYi Zen Hei"/>
            <family val="2"/>
          </rPr>
          <t xml:space="preserve">永木陽子</t>
        </r>
      </text>
    </comment>
    <comment ref="N25" authorId="0">
      <text>
        <r>
          <rPr>
            <sz val="10"/>
            <rFont val="WenQuanYi Zen Hei"/>
            <family val="2"/>
          </rPr>
          <t xml:space="preserve">永木陽子</t>
        </r>
      </text>
    </comment>
    <comment ref="N41" authorId="0">
      <text>
        <r>
          <rPr>
            <sz val="10"/>
            <rFont val="WenQuanYi Zen Hei"/>
            <family val="2"/>
          </rPr>
          <t xml:space="preserve">永木陽子</t>
        </r>
      </text>
    </comment>
    <comment ref="O9" authorId="0">
      <text>
        <r>
          <rPr>
            <sz val="10"/>
            <rFont val="WenQuanYi Zen Hei"/>
            <family val="2"/>
          </rPr>
          <t xml:space="preserve">家敷操</t>
        </r>
      </text>
    </comment>
    <comment ref="O25" authorId="0">
      <text>
        <r>
          <rPr>
            <sz val="10"/>
            <rFont val="WenQuanYi Zen Hei"/>
            <family val="2"/>
          </rPr>
          <t xml:space="preserve">家敷操</t>
        </r>
      </text>
    </comment>
    <comment ref="O41" authorId="0">
      <text>
        <r>
          <rPr>
            <sz val="10"/>
            <rFont val="WenQuanYi Zen Hei"/>
            <family val="2"/>
          </rPr>
          <t xml:space="preserve">家敷操</t>
        </r>
      </text>
    </comment>
    <comment ref="R10" authorId="0">
      <text>
        <r>
          <rPr>
            <sz val="10"/>
            <rFont val="WenQuanYi Zen Hei"/>
            <family val="2"/>
          </rPr>
          <t xml:space="preserve">森脇太郎</t>
        </r>
      </text>
    </comment>
    <comment ref="R26" authorId="0">
      <text>
        <r>
          <rPr>
            <sz val="10"/>
            <rFont val="WenQuanYi Zen Hei"/>
            <family val="2"/>
          </rPr>
          <t xml:space="preserve">森脇太郎</t>
        </r>
      </text>
    </comment>
    <comment ref="R42" authorId="0">
      <text>
        <r>
          <rPr>
            <sz val="10"/>
            <rFont val="WenQuanYi Zen Hei"/>
            <family val="2"/>
          </rPr>
          <t xml:space="preserve">森脇太郎</t>
        </r>
      </text>
    </comment>
    <comment ref="S10" authorId="0">
      <text>
        <r>
          <rPr>
            <sz val="10"/>
            <rFont val="WenQuanYi Zen Hei"/>
            <family val="2"/>
          </rPr>
          <t xml:space="preserve">森脇琴絵</t>
        </r>
      </text>
    </comment>
    <comment ref="S26" authorId="0">
      <text>
        <r>
          <rPr>
            <sz val="10"/>
            <rFont val="WenQuanYi Zen Hei"/>
            <family val="2"/>
          </rPr>
          <t xml:space="preserve">森脇琴絵</t>
        </r>
      </text>
    </comment>
    <comment ref="S42" authorId="0">
      <text>
        <r>
          <rPr>
            <sz val="10"/>
            <rFont val="WenQuanYi Zen Hei"/>
            <family val="2"/>
          </rPr>
          <t xml:space="preserve">森脇琴絵</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3" authorId="0">
      <text>
        <r>
          <rPr>
            <sz val="10"/>
            <rFont val="WenQuanYi Zen Hei"/>
            <family val="2"/>
          </rPr>
          <t xml:space="preserve">個人別の表から合計される。この表には入力しない
</t>
        </r>
      </text>
    </comment>
    <comment ref="J4" authorId="0">
      <text>
        <r>
          <rPr>
            <sz val="10"/>
            <rFont val="WenQuanYi Zen Hei"/>
            <family val="2"/>
          </rPr>
          <t xml:space="preserve">★預った分はプラス
★介護へ充当した分はマイナス</t>
        </r>
      </text>
    </comment>
    <comment ref="N24" authorId="0">
      <text>
        <r>
          <rPr>
            <sz val="10"/>
            <rFont val="WenQuanYi Zen Hei"/>
            <family val="2"/>
          </rPr>
          <t xml:space="preserve">海外居住につき、介護分はなし。休業期間は大体３年が多い。</t>
        </r>
      </text>
    </comment>
    <comment ref="T4" authorId="0">
      <text>
        <r>
          <rPr>
            <sz val="10"/>
            <rFont val="WenQuanYi Zen Hei"/>
            <family val="2"/>
          </rPr>
          <t xml:space="preserve">入金額ではなく、正当額
</t>
        </r>
      </text>
    </comment>
    <comment ref="U4" authorId="0">
      <text>
        <r>
          <rPr>
            <sz val="10"/>
            <rFont val="WenQuanYi Zen Hei"/>
            <family val="2"/>
          </rPr>
          <t xml:space="preserve">★預った分はプラス
★介護へ充当した分はマイナス</t>
        </r>
      </text>
    </comment>
    <comment ref="U5" authorId="0">
      <text>
        <r>
          <rPr>
            <sz val="10"/>
            <rFont val="Arial"/>
            <family val="2"/>
          </rPr>
          <t xml:space="preserve">16,008</t>
        </r>
        <r>
          <rPr>
            <sz val="12"/>
            <color rgb="FF000000"/>
            <rFont val="WenQuanYi Zen Hei"/>
            <family val="2"/>
            <charset val="1"/>
          </rPr>
          <t xml:space="preserve">円は、昨年度の最終預り金である。
</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22" authorId="0">
      <text>
        <r>
          <rPr>
            <sz val="10"/>
            <rFont val="WenQuanYi Zen Hei"/>
            <family val="2"/>
          </rPr>
          <t xml:space="preserve">人事行政の運営状況公表条例の報告で使用（人事課依頼分</t>
        </r>
        <r>
          <rPr>
            <sz val="9"/>
            <color rgb="FF000000"/>
            <rFont val="WenQuanYi Zen Hei"/>
            <family val="2"/>
            <charset val="1"/>
          </rPr>
          <t xml:space="preserve">）</t>
        </r>
      </text>
    </comment>
    <comment ref="N4" authorId="0">
      <text>
        <r>
          <rPr>
            <sz val="10"/>
            <rFont val="WenQuanYi Zen Hei"/>
            <family val="2"/>
          </rPr>
          <t xml:space="preserve">掛金免除者や任継への還付前
掛金未納者等からの入金前
</t>
        </r>
      </text>
    </comment>
    <comment ref="U22" authorId="0">
      <text>
        <r>
          <rPr>
            <sz val="10"/>
            <rFont val="WenQuanYi Zen Hei"/>
            <family val="2"/>
          </rPr>
          <t xml:space="preserve">人事行政の運営状況公表条例の報告で使用（人事課依頼分）</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5" authorId="0">
      <text>
        <r>
          <rPr>
            <sz val="10"/>
            <rFont val="WenQuanYi Zen Hei"/>
            <family val="2"/>
          </rPr>
          <t xml:space="preserve">短期：
市職労　専従：中石</t>
        </r>
        <r>
          <rPr>
            <b val="true"/>
            <sz val="9"/>
            <color rgb="FF000000"/>
            <rFont val="MS P ゴシック"/>
            <family val="3"/>
            <charset val="128"/>
          </rPr>
          <t xml:space="preserve">320</t>
        </r>
        <r>
          <rPr>
            <b val="true"/>
            <sz val="9"/>
            <color rgb="FF000000"/>
            <rFont val="WenQuanYi Zen Hei"/>
            <family val="2"/>
            <charset val="1"/>
          </rPr>
          <t xml:space="preserve">千円
自治労　専従なし</t>
        </r>
      </text>
    </comment>
    <comment ref="B9" authorId="0">
      <text>
        <r>
          <rPr>
            <sz val="10"/>
            <rFont val="WenQuanYi Zen Hei"/>
            <family val="2"/>
          </rPr>
          <t xml:space="preserve">市職労：中石</t>
        </r>
        <r>
          <rPr>
            <b val="true"/>
            <sz val="9"/>
            <color rgb="FF000000"/>
            <rFont val="ＭＳ Ｐゴシック"/>
            <family val="3"/>
            <charset val="128"/>
          </rPr>
          <t xml:space="preserve">343</t>
        </r>
        <r>
          <rPr>
            <b val="true"/>
            <sz val="9"/>
            <color rgb="FF000000"/>
            <rFont val="WenQuanYi Zen Hei"/>
            <family val="2"/>
            <charset val="1"/>
          </rPr>
          <t xml:space="preserve">千円、　前職等の補填なし
自治労：専従、補填なし</t>
        </r>
      </text>
    </comment>
    <comment ref="B12" authorId="0">
      <text>
        <r>
          <rPr>
            <sz val="10"/>
            <rFont val="Arial"/>
            <family val="2"/>
          </rPr>
          <t xml:space="preserve">9</t>
        </r>
        <r>
          <rPr>
            <b val="true"/>
            <sz val="9"/>
            <color rgb="FF000000"/>
            <rFont val="WenQuanYi Zen Hei"/>
            <family val="2"/>
            <charset val="1"/>
          </rPr>
          <t xml:space="preserve">月定時決定：</t>
        </r>
        <r>
          <rPr>
            <b val="true"/>
            <sz val="9"/>
            <color rgb="FF000000"/>
            <rFont val="MS P ゴシック"/>
            <family val="3"/>
            <charset val="128"/>
          </rPr>
          <t xml:space="preserve">320</t>
        </r>
        <r>
          <rPr>
            <b val="true"/>
            <sz val="9"/>
            <color rgb="FF000000"/>
            <rFont val="WenQuanYi Zen Hei"/>
            <family val="2"/>
            <charset val="1"/>
          </rPr>
          <t xml:space="preserve">千円⇒</t>
        </r>
        <r>
          <rPr>
            <b val="true"/>
            <sz val="9"/>
            <color rgb="FF000000"/>
            <rFont val="MS P ゴシック"/>
            <family val="3"/>
            <charset val="128"/>
          </rPr>
          <t xml:space="preserve">340</t>
        </r>
        <r>
          <rPr>
            <b val="true"/>
            <sz val="9"/>
            <color rgb="FF000000"/>
            <rFont val="WenQuanYi Zen Hei"/>
            <family val="2"/>
            <charset val="1"/>
          </rPr>
          <t xml:space="preserve">千円</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B138" authorId="0">
      <text>
        <r>
          <rPr>
            <sz val="10"/>
            <rFont val="WenQuanYi Zen Hei"/>
            <family val="2"/>
          </rPr>
          <t xml:space="preserve">計算式にしない。
支払い後に、任継の入金が確定し、データが更新される月があるので、実際の支払い額とずれてしまう。必ず手入力。</t>
        </r>
      </text>
    </comment>
    <comment ref="C8" authorId="0">
      <text>
        <r>
          <rPr>
            <sz val="10"/>
            <rFont val="WenQuanYi Zen Hei"/>
            <family val="2"/>
          </rPr>
          <t xml:space="preserve">前年度３月は例年２０日頃に仮集計するため、、その後の任継の入金分が概算額との差額となる。
このため、前年度のこの表の「３月払込分」の</t>
        </r>
        <r>
          <rPr>
            <u val="single"/>
            <sz val="12"/>
            <color rgb="FF000000"/>
            <rFont val="WenQuanYi Zen Hei"/>
            <family val="2"/>
            <charset val="1"/>
          </rPr>
          <t xml:space="preserve">決裁文書の紙を見て手入力する。</t>
        </r>
      </text>
    </comment>
    <comment ref="C9" authorId="0">
      <text>
        <r>
          <rPr>
            <sz val="10"/>
            <rFont val="WenQuanYi Zen Hei"/>
            <family val="2"/>
          </rPr>
          <t xml:space="preserve">前年度の伺い見て、手入力</t>
        </r>
        <r>
          <rPr>
            <sz val="12"/>
            <color rgb="FF000000"/>
            <rFont val="ＭＳ Ｐゴシック"/>
            <family val="3"/>
            <charset val="128"/>
          </rPr>
          <t xml:space="preserve">(</t>
        </r>
        <r>
          <rPr>
            <sz val="12"/>
            <color rgb="FF000000"/>
            <rFont val="WenQuanYi Zen Hei"/>
            <family val="2"/>
            <charset val="1"/>
          </rPr>
          <t xml:space="preserve">データは、任継分が追加入金されていれば上書きされてしまうので、あくまで決裁文書を見ること）
</t>
        </r>
      </text>
    </comment>
    <comment ref="D9" authorId="0">
      <text>
        <r>
          <rPr>
            <sz val="10"/>
            <rFont val="WenQuanYi Zen Hei"/>
            <family val="2"/>
          </rPr>
          <t xml:space="preserve">前回３月見込額入力済み</t>
        </r>
      </text>
    </comment>
    <comment ref="D42" authorId="0">
      <text>
        <r>
          <rPr>
            <sz val="10"/>
            <rFont val="Arial"/>
            <family val="2"/>
          </rPr>
          <t xml:space="preserve">6</t>
        </r>
        <r>
          <rPr>
            <sz val="12"/>
            <color rgb="FF000000"/>
            <rFont val="WenQuanYi Zen Hei"/>
            <family val="2"/>
            <charset val="1"/>
          </rPr>
          <t xml:space="preserve">月分は、</t>
        </r>
        <r>
          <rPr>
            <sz val="12"/>
            <color rgb="FF000000"/>
            <rFont val="ＭＳ Ｐゴシック"/>
            <family val="3"/>
            <charset val="128"/>
          </rPr>
          <t xml:space="preserve">7</t>
        </r>
        <r>
          <rPr>
            <sz val="12"/>
            <color rgb="FF000000"/>
            <rFont val="WenQuanYi Zen Hei"/>
            <family val="2"/>
            <charset val="1"/>
          </rPr>
          <t xml:space="preserve">月に入ってから支払ってよいので、任継分の</t>
        </r>
        <r>
          <rPr>
            <sz val="12"/>
            <color rgb="FF000000"/>
            <rFont val="ＭＳ Ｐゴシック"/>
            <family val="3"/>
            <charset val="128"/>
          </rPr>
          <t xml:space="preserve">6</t>
        </r>
        <r>
          <rPr>
            <sz val="12"/>
            <color rgb="FF000000"/>
            <rFont val="WenQuanYi Zen Hei"/>
            <family val="2"/>
            <charset val="1"/>
          </rPr>
          <t xml:space="preserve">月入金を締めてから払える。
よって、</t>
        </r>
        <r>
          <rPr>
            <sz val="12"/>
            <color rgb="FF000000"/>
            <rFont val="ＭＳ Ｐ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D77" authorId="0">
      <text>
        <r>
          <rPr>
            <sz val="10"/>
            <rFont val="WenQuanYi Zen Hei"/>
            <family val="2"/>
          </rPr>
          <t xml:space="preserve">前回９月分　入力済み</t>
        </r>
      </text>
    </comment>
    <comment ref="D111" authorId="0">
      <text>
        <r>
          <rPr>
            <sz val="10"/>
            <rFont val="WenQuanYi Zen Hei"/>
            <family val="2"/>
          </rPr>
          <t xml:space="preserve">前回１２月分入力済み</t>
        </r>
      </text>
    </comment>
    <comment ref="D130" authorId="0">
      <text>
        <r>
          <rPr>
            <sz val="10"/>
            <rFont val="WenQuanYi Zen Hei"/>
            <family val="2"/>
          </rPr>
          <t xml:space="preserve">給与改定等による遡及差額分は、６月と１２月の賞与分に係る。</t>
        </r>
      </text>
    </comment>
    <comment ref="E9" authorId="0">
      <text>
        <r>
          <rPr>
            <sz val="10"/>
            <rFont val="WenQuanYi Zen Hei"/>
            <family val="2"/>
          </rPr>
          <t xml:space="preserve">前回３月見込額入力済み</t>
        </r>
      </text>
    </comment>
    <comment ref="E77" authorId="0">
      <text>
        <r>
          <rPr>
            <sz val="10"/>
            <rFont val="WenQuanYi Zen Hei"/>
            <family val="2"/>
          </rPr>
          <t xml:space="preserve">前回９月分　入力済み
</t>
        </r>
      </text>
    </comment>
    <comment ref="E111" authorId="0">
      <text>
        <r>
          <rPr>
            <sz val="10"/>
            <rFont val="WenQuanYi Zen Hei"/>
            <family val="2"/>
          </rPr>
          <t xml:space="preserve">前回１２月分入力済み</t>
        </r>
      </text>
    </comment>
    <comment ref="K9" authorId="0">
      <text>
        <r>
          <rPr>
            <sz val="10"/>
            <rFont val="WenQuanYi Zen Hei"/>
            <family val="2"/>
          </rPr>
          <t xml:space="preserve">前回３月見込額入力済み</t>
        </r>
      </text>
    </comment>
    <comment ref="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K77" authorId="0">
      <text>
        <r>
          <rPr>
            <sz val="10"/>
            <rFont val="WenQuanYi Zen Hei"/>
            <family val="2"/>
          </rPr>
          <t xml:space="preserve">前回９月分
入力済み</t>
        </r>
      </text>
    </comment>
    <comment ref="K111" authorId="0">
      <text>
        <r>
          <rPr>
            <sz val="10"/>
            <rFont val="WenQuanYi Zen Hei"/>
            <family val="2"/>
          </rPr>
          <t xml:space="preserve">前回１２月分入力済み</t>
        </r>
      </text>
    </comment>
    <comment ref="S9" authorId="0">
      <text>
        <r>
          <rPr>
            <sz val="10"/>
            <rFont val="WenQuanYi Zen Hei"/>
            <family val="2"/>
          </rPr>
          <t xml:space="preserve">前回３月見込額入力済み</t>
        </r>
      </text>
    </comment>
    <comment ref="S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S77" authorId="0">
      <text>
        <r>
          <rPr>
            <sz val="10"/>
            <rFont val="WenQuanYi Zen Hei"/>
            <family val="2"/>
          </rPr>
          <t xml:space="preserve">前回９月分　入力済み</t>
        </r>
      </text>
    </comment>
    <comment ref="S111" authorId="0">
      <text>
        <r>
          <rPr>
            <sz val="10"/>
            <rFont val="WenQuanYi Zen Hei"/>
            <family val="2"/>
          </rPr>
          <t xml:space="preserve">前回１２月分入力済み</t>
        </r>
      </text>
    </comment>
    <comment ref="AK9" authorId="0">
      <text>
        <r>
          <rPr>
            <sz val="10"/>
            <rFont val="WenQuanYi Zen Hei"/>
            <family val="2"/>
          </rPr>
          <t xml:space="preserve">前回３月見込額入力済み</t>
        </r>
      </text>
    </comment>
    <comment ref="A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AK77" authorId="0">
      <text>
        <r>
          <rPr>
            <sz val="10"/>
            <rFont val="WenQuanYi Zen Hei"/>
            <family val="2"/>
          </rPr>
          <t xml:space="preserve">前回９月分　入力済み</t>
        </r>
      </text>
    </comment>
    <comment ref="AK111" authorId="0">
      <text>
        <r>
          <rPr>
            <sz val="10"/>
            <rFont val="WenQuanYi Zen Hei"/>
            <family val="2"/>
          </rPr>
          <t xml:space="preserve">前回１２月分入力済み</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B26" authorId="0">
      <text>
        <r>
          <rPr>
            <sz val="10"/>
            <rFont val="WenQuanYi Zen Hei"/>
            <family val="2"/>
          </rPr>
          <t xml:space="preserve">※連合会に標準報酬等合計額の報告が必要な３つのうち、一番金額の大きい、財政調整拠出金額を拠出金率で割戻して算出</t>
        </r>
      </text>
    </comment>
    <comment ref="B28" authorId="0">
      <text>
        <r>
          <rPr>
            <sz val="10"/>
            <rFont val="WenQuanYi Zen Hei"/>
            <family val="2"/>
          </rPr>
          <t xml:space="preserve">①病院機構（独法）採用職員は、短期公的負担なし。
②広島市からの派遣扱い等で、独法採用でない職員は短期公的負担あり。
よって、②の職員分の標準報酬額のみ出し、公的負担を算定（人給データ等参照または病院本部に聞き取り）。
</t>
        </r>
      </text>
    </comment>
    <comment ref="B150" authorId="0">
      <text>
        <r>
          <rPr>
            <sz val="10"/>
            <rFont val="WenQuanYi Zen Hei"/>
            <family val="2"/>
          </rPr>
          <t xml:space="preserve">※連合会に標準報酬等合計額の報告が必要な３つのうち、一番金額の大きい、財政調整拠出金額を拠出金率で割戻して算出</t>
        </r>
      </text>
    </comment>
    <comment ref="B367" authorId="0">
      <text>
        <r>
          <rPr>
            <sz val="10"/>
            <rFont val="WenQuanYi Zen Hei"/>
            <family val="2"/>
          </rPr>
          <t xml:space="preserve">※連合会に標準報酬等合計額の報告が必要な３つのうち、一番金額の大きい、財政調整拠出金額を拠出金率で割戻して算出</t>
        </r>
      </text>
    </comment>
    <comment ref="G77" authorId="0">
      <text>
        <r>
          <rPr>
            <sz val="10"/>
            <rFont val="WenQuanYi Zen Hei"/>
            <family val="2"/>
          </rPr>
          <t xml:space="preserve">標準報酬合計額</t>
        </r>
        <r>
          <rPr>
            <b val="true"/>
            <sz val="11"/>
            <color rgb="FF000000"/>
            <rFont val="MS P ゴシック"/>
            <family val="3"/>
            <charset val="128"/>
          </rPr>
          <t xml:space="preserve">×</t>
        </r>
        <r>
          <rPr>
            <b val="true"/>
            <sz val="11"/>
            <color rgb="FF000000"/>
            <rFont val="WenQuanYi Zen Hei"/>
            <family val="2"/>
            <charset val="1"/>
          </rPr>
          <t xml:space="preserve">拠出金率と合わせるために調整＋１円</t>
        </r>
      </text>
    </comment>
    <comment ref="G207" authorId="0">
      <text>
        <r>
          <rPr>
            <sz val="10"/>
            <rFont val="WenQuanYi Zen Hei"/>
            <family val="2"/>
          </rPr>
          <t xml:space="preserve">「標準報酬等合計額</t>
        </r>
        <r>
          <rPr>
            <sz val="9"/>
            <color rgb="FF000000"/>
            <rFont val="MS P ゴシック"/>
            <family val="3"/>
            <charset val="128"/>
          </rPr>
          <t xml:space="preserve">×</t>
        </r>
        <r>
          <rPr>
            <sz val="9"/>
            <color rgb="FF000000"/>
            <rFont val="WenQuanYi Zen Hei"/>
            <family val="2"/>
            <charset val="1"/>
          </rPr>
          <t xml:space="preserve">拠出金率」と、「各拠出金率で按分した掛金負担金の積み上げ金額」では、端数がずれて合わない。よって、連合会に提出するの３つの明細書の標準報酬等合計額を揃えるために、先に「標準報酬等合計額</t>
        </r>
        <r>
          <rPr>
            <sz val="9"/>
            <color rgb="FF000000"/>
            <rFont val="MS P ゴシック"/>
            <family val="3"/>
            <charset val="128"/>
          </rPr>
          <t xml:space="preserve">×</t>
        </r>
        <r>
          <rPr>
            <sz val="9"/>
            <color rgb="FF000000"/>
            <rFont val="WenQuanYi Zen Hei"/>
            <family val="2"/>
            <charset val="1"/>
          </rPr>
          <t xml:space="preserve">率（災害・保健分担）」を出し、掛金分を引いた。</t>
        </r>
      </text>
    </comment>
    <comment ref="G480"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G511"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H21" authorId="0">
      <text>
        <r>
          <rPr>
            <sz val="10"/>
            <rFont val="WenQuanYi Zen Hei"/>
            <family val="2"/>
          </rPr>
          <t xml:space="preserve">「標準報酬等合計額</t>
        </r>
        <r>
          <rPr>
            <sz val="9"/>
            <color rgb="FF000000"/>
            <rFont val="ＭＳ Ｐゴシック"/>
            <family val="3"/>
            <charset val="128"/>
          </rPr>
          <t xml:space="preserve">×</t>
        </r>
        <r>
          <rPr>
            <sz val="9"/>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9"/>
            <color rgb="FF000000"/>
            <rFont val="ＭＳ Ｐゴシック"/>
            <family val="3"/>
            <charset val="128"/>
          </rPr>
          <t xml:space="preserve">×</t>
        </r>
        <r>
          <rPr>
            <sz val="9"/>
            <color rgb="FF000000"/>
            <rFont val="WenQuanYi Zen Hei"/>
            <family val="2"/>
            <charset val="1"/>
          </rPr>
          <t xml:space="preserve">率（災害・保健分担）」を出し、掛金分を引いた。</t>
        </r>
      </text>
    </comment>
    <comment ref="H362" authorId="0">
      <text>
        <r>
          <rPr>
            <sz val="10"/>
            <rFont val="WenQuanYi Zen Hei"/>
            <family val="2"/>
          </rPr>
          <t xml:space="preserve">「標準報酬等合計額</t>
        </r>
        <r>
          <rPr>
            <sz val="11"/>
            <color rgb="FF000000"/>
            <rFont val="ＭＳ Ｐゴシック"/>
            <family val="3"/>
            <charset val="128"/>
          </rPr>
          <t xml:space="preserve">×</t>
        </r>
        <r>
          <rPr>
            <sz val="11"/>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11"/>
            <color rgb="FF000000"/>
            <rFont val="ＭＳ Ｐゴシック"/>
            <family val="3"/>
            <charset val="128"/>
          </rPr>
          <t xml:space="preserve">×</t>
        </r>
        <r>
          <rPr>
            <sz val="11"/>
            <color rgb="FF000000"/>
            <rFont val="WenQuanYi Zen Hei"/>
            <family val="2"/>
            <charset val="1"/>
          </rPr>
          <t xml:space="preserve">率（災害・保健分担）」を出し、掛金分を引いた。</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D26" authorId="0">
      <text>
        <r>
          <rPr>
            <sz val="10"/>
            <rFont val="WenQuanYi Zen Hei"/>
            <family val="2"/>
          </rPr>
          <t xml:space="preserve">手入力する！
「事業報告総括表」→「年金公的負担」のシートの数字
</t>
        </r>
      </text>
    </comment>
    <comment ref="K11" authorId="0">
      <text>
        <r>
          <rPr>
            <sz val="10"/>
            <rFont val="WenQuanYi Zen Hei"/>
            <family val="2"/>
          </rPr>
          <t xml:space="preserve">９月分還付から翌月５営業日に支払うようになった。
</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K40" authorId="0">
      <text>
        <r>
          <rPr>
            <sz val="10"/>
            <rFont val="Arial"/>
            <family val="2"/>
          </rPr>
          <t xml:space="preserve">3</t>
        </r>
        <r>
          <rPr>
            <sz val="11"/>
            <color rgb="FF000000"/>
            <rFont val="WenQuanYi Zen Hei"/>
            <family val="2"/>
            <charset val="1"/>
          </rPr>
          <t xml:space="preserve">月は給与改定を反映した随時改定が多く、</t>
        </r>
        <r>
          <rPr>
            <sz val="11"/>
            <color rgb="FF000000"/>
            <rFont val="ＭＳ Ｐゴシック"/>
            <family val="3"/>
            <charset val="128"/>
          </rPr>
          <t xml:space="preserve">29</t>
        </r>
        <r>
          <rPr>
            <sz val="11"/>
            <color rgb="FF000000"/>
            <rFont val="WenQuanYi Zen Hei"/>
            <family val="2"/>
            <charset val="1"/>
          </rPr>
          <t xml:space="preserve">年度実績で、
</t>
        </r>
        <r>
          <rPr>
            <sz val="11"/>
            <color rgb="FF000000"/>
            <rFont val="ＭＳ Ｐゴシック"/>
            <family val="3"/>
            <charset val="128"/>
          </rPr>
          <t xml:space="preserve">11</t>
        </r>
        <r>
          <rPr>
            <sz val="11"/>
            <color rgb="FF000000"/>
            <rFont val="WenQuanYi Zen Hei"/>
            <family val="2"/>
            <charset val="1"/>
          </rPr>
          <t xml:space="preserve">月掛金等収入</t>
        </r>
        <r>
          <rPr>
            <sz val="11"/>
            <color rgb="FF000000"/>
            <rFont val="ＭＳ Ｐゴシック"/>
            <family val="3"/>
            <charset val="128"/>
          </rPr>
          <t xml:space="preserve">×1.0109≒3</t>
        </r>
        <r>
          <rPr>
            <sz val="11"/>
            <color rgb="FF000000"/>
            <rFont val="WenQuanYi Zen Hei"/>
            <family val="2"/>
            <charset val="1"/>
          </rPr>
          <t xml:space="preserve">月収入、となっている。
次年度、給与改定が判明しているなら、</t>
        </r>
        <r>
          <rPr>
            <sz val="11"/>
            <color rgb="FF000000"/>
            <rFont val="ＭＳ Ｐゴシック"/>
            <family val="3"/>
            <charset val="128"/>
          </rPr>
          <t xml:space="preserve">11</t>
        </r>
        <r>
          <rPr>
            <sz val="11"/>
            <color rgb="FF000000"/>
            <rFont val="WenQuanYi Zen Hei"/>
            <family val="2"/>
            <charset val="1"/>
          </rPr>
          <t xml:space="preserve">月と同額とせず、</t>
        </r>
        <r>
          <rPr>
            <sz val="11"/>
            <color rgb="FF000000"/>
            <rFont val="ＭＳ Ｐゴシック"/>
            <family val="3"/>
            <charset val="128"/>
          </rPr>
          <t xml:space="preserve">3</t>
        </r>
        <r>
          <rPr>
            <sz val="11"/>
            <color rgb="FF000000"/>
            <rFont val="WenQuanYi Zen Hei"/>
            <family val="2"/>
            <charset val="1"/>
          </rPr>
          <t xml:space="preserve">月を増額する方がよいか？参考に。
　→</t>
        </r>
        <r>
          <rPr>
            <sz val="11"/>
            <color rgb="FF000000"/>
            <rFont val="HGP創英角ｺﾞｼｯｸUB"/>
            <family val="3"/>
            <charset val="128"/>
          </rPr>
          <t xml:space="preserve">R2</t>
        </r>
        <r>
          <rPr>
            <sz val="11"/>
            <color rgb="FF000000"/>
            <rFont val="WenQuanYi Zen Hei"/>
            <family val="2"/>
            <charset val="1"/>
          </rPr>
          <t xml:space="preserve">年度は、給与改定がないことがわかったため、例年どおりの算定で。</t>
        </r>
      </text>
    </comment>
  </commentList>
</comments>
</file>

<file path=xl/sharedStrings.xml><?xml version="1.0" encoding="utf-8"?>
<sst xmlns="http://schemas.openxmlformats.org/spreadsheetml/2006/main" count="8547" uniqueCount="998">
  <si>
    <t xml:space="preserve">共済掛金・負担金 管理ブック</t>
  </si>
  <si>
    <r>
      <rPr>
        <sz val="10"/>
        <color rgb="FF595959"/>
        <rFont val="WenQuanYi Zen Hei"/>
        <family val="2"/>
      </rPr>
      <t xml:space="preserve">報告書を</t>
    </r>
    <r>
      <rPr>
        <sz val="10"/>
        <color rgb="FF595959"/>
        <rFont val="Meiryo UI"/>
        <family val="0"/>
        <charset val="1"/>
      </rPr>
      <t xml:space="preserve">1</t>
    </r>
    <r>
      <rPr>
        <sz val="10"/>
        <color rgb="FF595959"/>
        <rFont val="WenQuanYi Zen Hei"/>
        <family val="2"/>
      </rPr>
      <t xml:space="preserve">回入力すれば、検算・明細表・伝票入力へ反映されます（令和</t>
    </r>
    <r>
      <rPr>
        <sz val="10"/>
        <color rgb="FF595959"/>
        <rFont val="Meiryo UI"/>
        <family val="0"/>
        <charset val="1"/>
      </rPr>
      <t xml:space="preserve">8</t>
    </r>
    <r>
      <rPr>
        <sz val="10"/>
        <color rgb="FF595959"/>
        <rFont val="WenQuanYi Zen Hei"/>
        <family val="2"/>
      </rPr>
      <t xml:space="preserve">年度）</t>
    </r>
  </si>
  <si>
    <t xml:space="preserve">対象ブロック</t>
  </si>
  <si>
    <r>
      <rPr>
        <b val="true"/>
        <sz val="12"/>
        <rFont val="Meiryo UI"/>
        <family val="0"/>
        <charset val="1"/>
      </rPr>
      <t xml:space="preserve">2026-10 </t>
    </r>
    <r>
      <rPr>
        <b val="true"/>
        <sz val="12"/>
        <rFont val="WenQuanYi Zen Hei"/>
        <family val="2"/>
      </rPr>
      <t xml:space="preserve">月例</t>
    </r>
  </si>
  <si>
    <t xml:space="preserve">← ここで月を切り替えると、下の集計・検算・伝票入力が切り替わります</t>
  </si>
  <si>
    <t xml:space="preserve">進捗（対象ブロック）</t>
  </si>
  <si>
    <t xml:space="preserve">団体数</t>
  </si>
  <si>
    <t xml:space="preserve">チェック（対象ブロック）</t>
  </si>
  <si>
    <t xml:space="preserve">伝票入力へ出る行数</t>
  </si>
  <si>
    <t xml:space="preserve">未受領</t>
  </si>
  <si>
    <t xml:space="preserve">検算：要確認</t>
  </si>
  <si>
    <t xml:space="preserve">受領済（入金待ち）</t>
  </si>
  <si>
    <t xml:space="preserve">検算：問題なし</t>
  </si>
  <si>
    <t xml:space="preserve">入金確認済（起票待ち）</t>
  </si>
  <si>
    <t xml:space="preserve">検算：標準報酬月額が未入力</t>
  </si>
  <si>
    <t xml:space="preserve">起票済</t>
  </si>
  <si>
    <t xml:space="preserve">入金：不一致</t>
  </si>
  <si>
    <t xml:space="preserve">報告なし（対象外）</t>
  </si>
  <si>
    <t xml:space="preserve">入金：未入金（受領済）</t>
  </si>
  <si>
    <t xml:space="preserve">合計</t>
  </si>
  <si>
    <t xml:space="preserve">明細表との照合（報告入力の合計＝☆掛負収入の総計）</t>
  </si>
  <si>
    <t xml:space="preserve">未受領の団体（報告待ち）</t>
  </si>
  <si>
    <t xml:space="preserve">検算で要確認の団体</t>
  </si>
  <si>
    <t xml:space="preserve">最大乖離率</t>
  </si>
  <si>
    <r>
      <rPr>
        <sz val="9"/>
        <color rgb="FF595959"/>
        <rFont val="WenQuanYi Zen Hei"/>
        <family val="2"/>
      </rPr>
      <t xml:space="preserve">※一覧は最大</t>
    </r>
    <r>
      <rPr>
        <sz val="9"/>
        <color rgb="FF595959"/>
        <rFont val="Meiryo UI"/>
        <family val="0"/>
        <charset val="1"/>
      </rPr>
      <t xml:space="preserve">15</t>
    </r>
    <r>
      <rPr>
        <sz val="9"/>
        <color rgb="FF595959"/>
        <rFont val="WenQuanYi Zen Hei"/>
        <family val="2"/>
      </rPr>
      <t xml:space="preserve">件まで表示します。全件は 報告入力／検算 シートで確認してください。</t>
    </r>
  </si>
  <si>
    <t xml:space="preserve">■ 毎月の流れ</t>
  </si>
  <si>
    <r>
      <rPr>
        <b val="true"/>
        <sz val="10"/>
        <rFont val="Meiryo UI"/>
        <family val="0"/>
        <charset val="1"/>
      </rPr>
      <t xml:space="preserve">1</t>
    </r>
    <r>
      <rPr>
        <b val="true"/>
        <sz val="10"/>
        <rFont val="WenQuanYi Zen Hei"/>
        <family val="2"/>
      </rPr>
      <t xml:space="preserve">　報告書を受領</t>
    </r>
  </si>
  <si>
    <r>
      <rPr>
        <sz val="10"/>
        <rFont val="WenQuanYi Zen Hei"/>
        <family val="2"/>
      </rPr>
      <t xml:space="preserve">報告入力：受領日を入力し、標準報酬月額（②）と報告書の金額（③）を入力します。</t>
    </r>
    <r>
      <rPr>
        <sz val="10"/>
        <rFont val="Meiryo UI"/>
        <family val="0"/>
        <charset val="1"/>
      </rPr>
      <t xml:space="preserve">1</t>
    </r>
    <r>
      <rPr>
        <sz val="10"/>
        <rFont val="WenQuanYi Zen Hei"/>
        <family val="2"/>
      </rPr>
      <t xml:space="preserve">回の入力で下流すべてに反映されます。</t>
    </r>
  </si>
  <si>
    <r>
      <rPr>
        <b val="true"/>
        <sz val="10"/>
        <rFont val="Meiryo UI"/>
        <family val="0"/>
        <charset val="1"/>
      </rPr>
      <t xml:space="preserve">2</t>
    </r>
    <r>
      <rPr>
        <b val="true"/>
        <sz val="10"/>
        <rFont val="WenQuanYi Zen Hei"/>
        <family val="2"/>
      </rPr>
      <t xml:space="preserve">　検算（自動）</t>
    </r>
  </si>
  <si>
    <t xml:space="preserve">報告入力の「検算」列／検算シートに 問題なし・要確認 が自動表示されます。乖離率がしきい値（設定）以上で要確認（赤）。</t>
  </si>
  <si>
    <r>
      <rPr>
        <b val="true"/>
        <sz val="10"/>
        <rFont val="Meiryo UI"/>
        <family val="0"/>
        <charset val="1"/>
      </rPr>
      <t xml:space="preserve">3</t>
    </r>
    <r>
      <rPr>
        <b val="true"/>
        <sz val="10"/>
        <rFont val="WenQuanYi Zen Hei"/>
        <family val="2"/>
      </rPr>
      <t xml:space="preserve">　明細表（自動反映）</t>
    </r>
  </si>
  <si>
    <t xml:space="preserve">☆掛負収入の該当月ブロックに金額が自動で入ります。色も自動：赤字＝未受領（前年値）／黒字＝受領済／緑＝入金確認済。</t>
  </si>
  <si>
    <r>
      <rPr>
        <b val="true"/>
        <sz val="10"/>
        <rFont val="Meiryo UI"/>
        <family val="0"/>
        <charset val="1"/>
      </rPr>
      <t xml:space="preserve">4</t>
    </r>
    <r>
      <rPr>
        <b val="true"/>
        <sz val="10"/>
        <rFont val="WenQuanYi Zen Hei"/>
        <family val="2"/>
      </rPr>
      <t xml:space="preserve">　入金確認</t>
    </r>
  </si>
  <si>
    <t xml:space="preserve">通帳の入金額を 報告入力の「通帳入金額」へ入力。期待額と一致すれば「一致」となり自動で入金確認済（緑）になります。</t>
  </si>
  <si>
    <r>
      <rPr>
        <b val="true"/>
        <sz val="10"/>
        <rFont val="Meiryo UI"/>
        <family val="0"/>
        <charset val="1"/>
      </rPr>
      <t xml:space="preserve">5</t>
    </r>
    <r>
      <rPr>
        <b val="true"/>
        <sz val="10"/>
        <rFont val="WenQuanYi Zen Hei"/>
        <family val="2"/>
      </rPr>
      <t xml:space="preserve">　伝票入力</t>
    </r>
  </si>
  <si>
    <t xml:space="preserve">伝票入力シートに、入金確認済の団体が伝票の入力順（経理区分→団体→貸方科目）で並びます。そのまま共済システムへ転記し、終えたら報告入力の「起票済」に○。</t>
  </si>
  <si>
    <t xml:space="preserve">■ 色・用語</t>
  </si>
  <si>
    <t xml:space="preserve">黄色セル</t>
  </si>
  <si>
    <t xml:space="preserve">入力するセル（既存の運用で黄色＝入力と同じ意味）</t>
  </si>
  <si>
    <t xml:space="preserve">灰色セル／灰色の列</t>
  </si>
  <si>
    <t xml:space="preserve">自動計算（入力しない）</t>
  </si>
  <si>
    <t xml:space="preserve">状態</t>
  </si>
  <si>
    <t xml:space="preserve">未受領 → 受領済 → 入金確認済 → 起票済 の順に自動で進みます（受領日・通帳入金額・○の入力に応じて）</t>
  </si>
  <si>
    <t xml:space="preserve">受領日欄</t>
  </si>
  <si>
    <t xml:space="preserve">日付／「済」（過去分）／「なし」（その月は報告のない団体）</t>
  </si>
  <si>
    <t xml:space="preserve">仮置き（前年値）</t>
  </si>
  <si>
    <t xml:space="preserve">未受領の間は、旧ファイルで赤字だった前年数値を明細表に表示し続けます（元の数値を変えないため）</t>
  </si>
  <si>
    <t xml:space="preserve">■ 既存シートについて</t>
  </si>
  <si>
    <r>
      <rPr>
        <sz val="10"/>
        <rFont val="WenQuanYi Zen Hei"/>
        <family val="2"/>
      </rPr>
      <t xml:space="preserve">☆掛負収入の数値セル（</t>
    </r>
    <r>
      <rPr>
        <sz val="10"/>
        <rFont val="Meiryo UI"/>
        <family val="0"/>
        <charset val="1"/>
      </rPr>
      <t xml:space="preserve">B</t>
    </r>
    <r>
      <rPr>
        <sz val="10"/>
        <rFont val="WenQuanYi Zen Hei"/>
        <family val="2"/>
      </rPr>
      <t xml:space="preserve">〜</t>
    </r>
    <r>
      <rPr>
        <sz val="10"/>
        <rFont val="Meiryo UI"/>
        <family val="0"/>
        <charset val="1"/>
      </rPr>
      <t xml:space="preserve">F,H,I,K,L,N,O</t>
    </r>
    <r>
      <rPr>
        <sz val="10"/>
        <rFont val="WenQuanYi Zen Hei"/>
        <family val="2"/>
      </rPr>
      <t xml:space="preserve">列）は報告入力から自動反映される式になりました。これらのセルへの手入力は不要です（手入力すると式が消えます）。その他のシート（給与課提出用・全体集計・振替・集計 等）は従来どおり☆掛負収入を参照しており、数値は改良前と一致しています。</t>
    </r>
  </si>
  <si>
    <r>
      <rPr>
        <b val="true"/>
        <sz val="12"/>
        <color rgb="FF2F5597"/>
        <rFont val="WenQuanYi Zen Hei"/>
        <family val="2"/>
      </rPr>
      <t xml:space="preserve">■ 今回の改良内容（令和</t>
    </r>
    <r>
      <rPr>
        <b val="true"/>
        <sz val="12"/>
        <color rgb="FF2F5597"/>
        <rFont val="Meiryo UI"/>
        <family val="0"/>
        <charset val="1"/>
      </rPr>
      <t xml:space="preserve">8</t>
    </r>
    <r>
      <rPr>
        <b val="true"/>
        <sz val="12"/>
        <color rgb="FF2F5597"/>
        <rFont val="WenQuanYi Zen Hei"/>
        <family val="2"/>
      </rPr>
      <t xml:space="preserve">年</t>
    </r>
    <r>
      <rPr>
        <b val="true"/>
        <sz val="12"/>
        <color rgb="FF2F5597"/>
        <rFont val="Meiryo UI"/>
        <family val="0"/>
        <charset val="1"/>
      </rPr>
      <t xml:space="preserve">10</t>
    </r>
    <r>
      <rPr>
        <b val="true"/>
        <sz val="12"/>
        <color rgb="FF2F5597"/>
        <rFont val="WenQuanYi Zen Hei"/>
        <family val="2"/>
      </rPr>
      <t xml:space="preserve">月）</t>
    </r>
  </si>
  <si>
    <r>
      <rPr>
        <sz val="10"/>
        <rFont val="WenQuanYi Zen Hei"/>
        <family val="2"/>
      </rPr>
      <t xml:space="preserve">・報告書の金額を「報告入力」へ</t>
    </r>
    <r>
      <rPr>
        <sz val="10"/>
        <rFont val="Meiryo UI"/>
        <family val="0"/>
        <charset val="1"/>
      </rPr>
      <t xml:space="preserve">1</t>
    </r>
    <r>
      <rPr>
        <sz val="10"/>
        <rFont val="WenQuanYi Zen Hei"/>
        <family val="2"/>
      </rPr>
      <t xml:space="preserve">回入力 → ☆掛負収入（明細表）へ自動反映（過去分の数値は移行済みで改良前と一致）</t>
    </r>
  </si>
  <si>
    <t xml:space="preserve">・標準報酬月額から見込額を自動計算し、報告額との乖離率で「問題なし／要確認」を自動判定（検算結果は月ごとに蓄積）</t>
  </si>
  <si>
    <t xml:space="preserve">・明細表の色（赤＝未受領／黒＝受領済／緑＝入金確認済）を状態から自動表示</t>
  </si>
  <si>
    <t xml:space="preserve">・通帳の入金額を入力すると、振込方式（合算／掛金・負担金別／経理区分別）ごとの期待額と自動照合</t>
  </si>
  <si>
    <t xml:space="preserve">・伝票入力シートに、共済システムの入力順で借方・貸方・摘要・金額を一覧表示（転記用）</t>
  </si>
  <si>
    <r>
      <rPr>
        <sz val="10"/>
        <rFont val="WenQuanYi Zen Hei"/>
        <family val="2"/>
      </rPr>
      <t xml:space="preserve">・☆掛負収入 </t>
    </r>
    <r>
      <rPr>
        <sz val="10"/>
        <rFont val="Meiryo UI"/>
        <family val="0"/>
        <charset val="1"/>
      </rPr>
      <t xml:space="preserve">4</t>
    </r>
    <r>
      <rPr>
        <sz val="10"/>
        <rFont val="WenQuanYi Zen Hei"/>
        <family val="2"/>
      </rPr>
      <t xml:space="preserve">月ブロックの総計行</t>
    </r>
    <r>
      <rPr>
        <sz val="10"/>
        <rFont val="Meiryo UI"/>
        <family val="0"/>
        <charset val="1"/>
      </rPr>
      <t xml:space="preserve">(I65,L65,O65)</t>
    </r>
    <r>
      <rPr>
        <sz val="10"/>
        <rFont val="WenQuanYi Zen Hei"/>
        <family val="2"/>
      </rPr>
      <t xml:space="preserve">が文字セルを含んで </t>
    </r>
    <r>
      <rPr>
        <sz val="10"/>
        <rFont val="Meiryo UI"/>
        <family val="0"/>
        <charset val="1"/>
      </rPr>
      <t xml:space="preserve">#VALUE! </t>
    </r>
    <r>
      <rPr>
        <sz val="10"/>
        <rFont val="WenQuanYi Zen Hei"/>
        <family val="2"/>
      </rPr>
      <t xml:space="preserve">になっていたため、文字を無視する式に修正</t>
    </r>
  </si>
  <si>
    <r>
      <rPr>
        <b val="true"/>
        <sz val="14"/>
        <color rgb="FF1F3864"/>
        <rFont val="WenQuanYi Zen Hei"/>
        <family val="2"/>
      </rPr>
      <t xml:space="preserve">報告入力（報告書を</t>
    </r>
    <r>
      <rPr>
        <b val="true"/>
        <sz val="14"/>
        <color rgb="FF1F3864"/>
        <rFont val="Meiryo UI"/>
        <family val="0"/>
        <charset val="1"/>
      </rPr>
      <t xml:space="preserve">1</t>
    </r>
    <r>
      <rPr>
        <b val="true"/>
        <sz val="14"/>
        <color rgb="FF1F3864"/>
        <rFont val="WenQuanYi Zen Hei"/>
        <family val="2"/>
      </rPr>
      <t xml:space="preserve">回入力するだけ）</t>
    </r>
  </si>
  <si>
    <t xml:space="preserve">団体から届いた報告書の内容を、該当ブロックの黄色セルへ入力します。検算・明細表（☆掛負収入）・伝票入力へ自動で反映されます。</t>
  </si>
  <si>
    <r>
      <rPr>
        <sz val="10"/>
        <color rgb="FF595959"/>
        <rFont val="WenQuanYi Zen Hei"/>
        <family val="2"/>
      </rPr>
      <t xml:space="preserve">使い方：</t>
    </r>
    <r>
      <rPr>
        <sz val="10"/>
        <color rgb="FF595959"/>
        <rFont val="Meiryo UI"/>
        <family val="0"/>
        <charset val="1"/>
      </rPr>
      <t xml:space="preserve">A</t>
    </r>
    <r>
      <rPr>
        <sz val="10"/>
        <color rgb="FF595959"/>
        <rFont val="WenQuanYi Zen Hei"/>
        <family val="2"/>
      </rPr>
      <t xml:space="preserve">列「ブロック」のフィルタで対象月を選んでください（現在は対象ブロックだけ表示）。灰色の列は計算用です（列グループ［＋］で開閉）。並べ替えは可。</t>
    </r>
  </si>
  <si>
    <t xml:space="preserve">受領日欄：報告書を受け取ったら日付を入力（過去分は「済」）。報告のない団体は「なし」。空欄の間は「未受領」＝前年の数値（仮置き）が明細表に表示されます。</t>
  </si>
  <si>
    <t xml:space="preserve">自動判定</t>
  </si>
  <si>
    <t xml:space="preserve">①報告書の受領</t>
  </si>
  <si>
    <t xml:space="preserve">②標準報酬月額の総額と、うち掛金等免除者分（円）※検算用</t>
  </si>
  <si>
    <t xml:space="preserve">③報告書の金額（円）個人負担（掛金）※報告書の上から順</t>
  </si>
  <si>
    <t xml:space="preserve">事業主負担（負担金）※報告書の上から順</t>
  </si>
  <si>
    <t xml:space="preserve">任意</t>
  </si>
  <si>
    <t xml:space="preserve">④入金（通帳）の照合</t>
  </si>
  <si>
    <t xml:space="preserve">⑤確認・起票</t>
  </si>
  <si>
    <t xml:space="preserve">（計算用）未受領の間の仮置き（前年値）</t>
  </si>
  <si>
    <t xml:space="preserve">（計算用）明細表へ反映する値</t>
  </si>
  <si>
    <r>
      <rPr>
        <b val="true"/>
        <sz val="10"/>
        <color rgb="FFFFFFFF"/>
        <rFont val="WenQuanYi Zen Hei"/>
        <family val="2"/>
      </rPr>
      <t xml:space="preserve">（計算用）見込額＝標準報酬</t>
    </r>
    <r>
      <rPr>
        <b val="true"/>
        <sz val="10"/>
        <color rgb="FFFFFFFF"/>
        <rFont val="Meiryo UI"/>
        <family val="0"/>
        <charset val="1"/>
      </rPr>
      <t xml:space="preserve">×</t>
    </r>
    <r>
      <rPr>
        <b val="true"/>
        <sz val="10"/>
        <color rgb="FFFFFFFF"/>
        <rFont val="WenQuanYi Zen Hei"/>
        <family val="2"/>
      </rPr>
      <t xml:space="preserve">料率</t>
    </r>
  </si>
  <si>
    <t xml:space="preserve">（計算用）報告額の集計</t>
  </si>
  <si>
    <t xml:space="preserve">（計算用）乖離率</t>
  </si>
  <si>
    <t xml:space="preserve">ブロック</t>
  </si>
  <si>
    <t xml:space="preserve">団体名</t>
  </si>
  <si>
    <t xml:space="preserve">検算</t>
  </si>
  <si>
    <t xml:space="preserve">前月比</t>
  </si>
  <si>
    <t xml:space="preserve">入金</t>
  </si>
  <si>
    <t xml:space="preserve">受領日
（日付／済／なし）</t>
  </si>
  <si>
    <t xml:space="preserve">提出方法</t>
  </si>
  <si>
    <t xml:space="preserve">長期</t>
  </si>
  <si>
    <t xml:space="preserve">短期</t>
  </si>
  <si>
    <t xml:space="preserve">介護</t>
  </si>
  <si>
    <t xml:space="preserve">長期
免除者分</t>
  </si>
  <si>
    <t xml:space="preserve">短期
免除者分</t>
  </si>
  <si>
    <t xml:space="preserve">介護
免除者分</t>
  </si>
  <si>
    <t xml:space="preserve">厚生年金
保険料
（組合員）</t>
  </si>
  <si>
    <t xml:space="preserve">退職等年金
掛金</t>
  </si>
  <si>
    <t xml:space="preserve">短期
掛金</t>
  </si>
  <si>
    <t xml:space="preserve">介護
掛金</t>
  </si>
  <si>
    <t xml:space="preserve">子ども・子育て
支援納付金
掛金</t>
  </si>
  <si>
    <t xml:space="preserve">厚生年金
保険料
（事業主）</t>
  </si>
  <si>
    <t xml:space="preserve">退職等年金
負担金</t>
  </si>
  <si>
    <t xml:space="preserve">経過的長期</t>
  </si>
  <si>
    <t xml:space="preserve">短期
負担金</t>
  </si>
  <si>
    <t xml:space="preserve">介護
負担金</t>
  </si>
  <si>
    <t xml:space="preserve">子ども・子育て
支援納付金
負担金</t>
  </si>
  <si>
    <t xml:space="preserve">子ども・子育て
拠出金
（振込に含む場合）</t>
  </si>
  <si>
    <t xml:space="preserve">振込方式</t>
  </si>
  <si>
    <t xml:space="preserve">通帳
入金日</t>
  </si>
  <si>
    <t xml:space="preserve">期待額①</t>
  </si>
  <si>
    <t xml:space="preserve">通帳入金額①</t>
  </si>
  <si>
    <t xml:space="preserve">期待額②</t>
  </si>
  <si>
    <t xml:space="preserve">通帳入金額②</t>
  </si>
  <si>
    <t xml:space="preserve">期待額③</t>
  </si>
  <si>
    <t xml:space="preserve">通帳入金額③</t>
  </si>
  <si>
    <t xml:space="preserve">期待額④</t>
  </si>
  <si>
    <t xml:space="preserve">通帳入金額④</t>
  </si>
  <si>
    <t xml:space="preserve">入金確認
（手動○）</t>
  </si>
  <si>
    <t xml:space="preserve">起票済
（○）</t>
  </si>
  <si>
    <t xml:space="preserve">備考</t>
  </si>
  <si>
    <r>
      <rPr>
        <b val="true"/>
        <sz val="10"/>
        <color rgb="FFFFFFFF"/>
        <rFont val="WenQuanYi Zen Hei"/>
        <family val="2"/>
      </rPr>
      <t xml:space="preserve">仮置き</t>
    </r>
    <r>
      <rPr>
        <b val="true"/>
        <sz val="10"/>
        <color rgb="FFFFFFFF"/>
        <rFont val="Meiryo UI"/>
        <family val="0"/>
        <charset val="1"/>
      </rPr>
      <t xml:space="preserve">1</t>
    </r>
  </si>
  <si>
    <r>
      <rPr>
        <b val="true"/>
        <sz val="10"/>
        <color rgb="FFFFFFFF"/>
        <rFont val="WenQuanYi Zen Hei"/>
        <family val="2"/>
      </rPr>
      <t xml:space="preserve">仮置き</t>
    </r>
    <r>
      <rPr>
        <b val="true"/>
        <sz val="10"/>
        <color rgb="FFFFFFFF"/>
        <rFont val="Meiryo UI"/>
        <family val="0"/>
        <charset val="1"/>
      </rPr>
      <t xml:space="preserve">2</t>
    </r>
  </si>
  <si>
    <r>
      <rPr>
        <b val="true"/>
        <sz val="10"/>
        <color rgb="FFFFFFFF"/>
        <rFont val="WenQuanYi Zen Hei"/>
        <family val="2"/>
      </rPr>
      <t xml:space="preserve">仮置き</t>
    </r>
    <r>
      <rPr>
        <b val="true"/>
        <sz val="10"/>
        <color rgb="FFFFFFFF"/>
        <rFont val="Meiryo UI"/>
        <family val="0"/>
        <charset val="1"/>
      </rPr>
      <t xml:space="preserve">3</t>
    </r>
  </si>
  <si>
    <r>
      <rPr>
        <b val="true"/>
        <sz val="10"/>
        <color rgb="FFFFFFFF"/>
        <rFont val="WenQuanYi Zen Hei"/>
        <family val="2"/>
      </rPr>
      <t xml:space="preserve">仮置き</t>
    </r>
    <r>
      <rPr>
        <b val="true"/>
        <sz val="10"/>
        <color rgb="FFFFFFFF"/>
        <rFont val="Meiryo UI"/>
        <family val="0"/>
        <charset val="1"/>
      </rPr>
      <t xml:space="preserve">4</t>
    </r>
  </si>
  <si>
    <r>
      <rPr>
        <b val="true"/>
        <sz val="10"/>
        <color rgb="FFFFFFFF"/>
        <rFont val="WenQuanYi Zen Hei"/>
        <family val="2"/>
      </rPr>
      <t xml:space="preserve">仮置き</t>
    </r>
    <r>
      <rPr>
        <b val="true"/>
        <sz val="10"/>
        <color rgb="FFFFFFFF"/>
        <rFont val="Meiryo UI"/>
        <family val="0"/>
        <charset val="1"/>
      </rPr>
      <t xml:space="preserve">5</t>
    </r>
  </si>
  <si>
    <r>
      <rPr>
        <b val="true"/>
        <sz val="10"/>
        <color rgb="FFFFFFFF"/>
        <rFont val="WenQuanYi Zen Hei"/>
        <family val="2"/>
      </rPr>
      <t xml:space="preserve">仮置き</t>
    </r>
    <r>
      <rPr>
        <b val="true"/>
        <sz val="10"/>
        <color rgb="FFFFFFFF"/>
        <rFont val="Meiryo UI"/>
        <family val="0"/>
        <charset val="1"/>
      </rPr>
      <t xml:space="preserve">6</t>
    </r>
  </si>
  <si>
    <r>
      <rPr>
        <b val="true"/>
        <sz val="10"/>
        <color rgb="FFFFFFFF"/>
        <rFont val="WenQuanYi Zen Hei"/>
        <family val="2"/>
      </rPr>
      <t xml:space="preserve">仮置き</t>
    </r>
    <r>
      <rPr>
        <b val="true"/>
        <sz val="10"/>
        <color rgb="FFFFFFFF"/>
        <rFont val="Meiryo UI"/>
        <family val="0"/>
        <charset val="1"/>
      </rPr>
      <t xml:space="preserve">7</t>
    </r>
  </si>
  <si>
    <r>
      <rPr>
        <b val="true"/>
        <sz val="10"/>
        <color rgb="FFFFFFFF"/>
        <rFont val="WenQuanYi Zen Hei"/>
        <family val="2"/>
      </rPr>
      <t xml:space="preserve">仮置き</t>
    </r>
    <r>
      <rPr>
        <b val="true"/>
        <sz val="10"/>
        <color rgb="FFFFFFFF"/>
        <rFont val="Meiryo UI"/>
        <family val="0"/>
        <charset val="1"/>
      </rPr>
      <t xml:space="preserve">8</t>
    </r>
  </si>
  <si>
    <r>
      <rPr>
        <b val="true"/>
        <sz val="10"/>
        <color rgb="FFFFFFFF"/>
        <rFont val="WenQuanYi Zen Hei"/>
        <family val="2"/>
      </rPr>
      <t xml:space="preserve">仮置き</t>
    </r>
    <r>
      <rPr>
        <b val="true"/>
        <sz val="10"/>
        <color rgb="FFFFFFFF"/>
        <rFont val="Meiryo UI"/>
        <family val="0"/>
        <charset val="1"/>
      </rPr>
      <t xml:space="preserve">9</t>
    </r>
  </si>
  <si>
    <r>
      <rPr>
        <b val="true"/>
        <sz val="10"/>
        <color rgb="FFFFFFFF"/>
        <rFont val="WenQuanYi Zen Hei"/>
        <family val="2"/>
      </rPr>
      <t xml:space="preserve">仮置き</t>
    </r>
    <r>
      <rPr>
        <b val="true"/>
        <sz val="10"/>
        <color rgb="FFFFFFFF"/>
        <rFont val="Meiryo UI"/>
        <family val="0"/>
        <charset val="1"/>
      </rPr>
      <t xml:space="preserve">10</t>
    </r>
  </si>
  <si>
    <r>
      <rPr>
        <b val="true"/>
        <sz val="10"/>
        <color rgb="FFFFFFFF"/>
        <rFont val="WenQuanYi Zen Hei"/>
        <family val="2"/>
      </rPr>
      <t xml:space="preserve">仮置き</t>
    </r>
    <r>
      <rPr>
        <b val="true"/>
        <sz val="10"/>
        <color rgb="FFFFFFFF"/>
        <rFont val="Meiryo UI"/>
        <family val="0"/>
        <charset val="1"/>
      </rPr>
      <t xml:space="preserve">11</t>
    </r>
  </si>
  <si>
    <r>
      <rPr>
        <b val="true"/>
        <sz val="10"/>
        <color rgb="FFFFFFFF"/>
        <rFont val="WenQuanYi Zen Hei"/>
        <family val="2"/>
      </rPr>
      <t xml:space="preserve">反映</t>
    </r>
    <r>
      <rPr>
        <b val="true"/>
        <sz val="10"/>
        <color rgb="FFFFFFFF"/>
        <rFont val="Meiryo UI"/>
        <family val="0"/>
        <charset val="1"/>
      </rPr>
      <t xml:space="preserve">1</t>
    </r>
  </si>
  <si>
    <r>
      <rPr>
        <b val="true"/>
        <sz val="10"/>
        <color rgb="FFFFFFFF"/>
        <rFont val="WenQuanYi Zen Hei"/>
        <family val="2"/>
      </rPr>
      <t xml:space="preserve">反映</t>
    </r>
    <r>
      <rPr>
        <b val="true"/>
        <sz val="10"/>
        <color rgb="FFFFFFFF"/>
        <rFont val="Meiryo UI"/>
        <family val="0"/>
        <charset val="1"/>
      </rPr>
      <t xml:space="preserve">2</t>
    </r>
  </si>
  <si>
    <r>
      <rPr>
        <b val="true"/>
        <sz val="10"/>
        <color rgb="FFFFFFFF"/>
        <rFont val="WenQuanYi Zen Hei"/>
        <family val="2"/>
      </rPr>
      <t xml:space="preserve">反映</t>
    </r>
    <r>
      <rPr>
        <b val="true"/>
        <sz val="10"/>
        <color rgb="FFFFFFFF"/>
        <rFont val="Meiryo UI"/>
        <family val="0"/>
        <charset val="1"/>
      </rPr>
      <t xml:space="preserve">3</t>
    </r>
  </si>
  <si>
    <r>
      <rPr>
        <b val="true"/>
        <sz val="10"/>
        <color rgb="FFFFFFFF"/>
        <rFont val="WenQuanYi Zen Hei"/>
        <family val="2"/>
      </rPr>
      <t xml:space="preserve">反映</t>
    </r>
    <r>
      <rPr>
        <b val="true"/>
        <sz val="10"/>
        <color rgb="FFFFFFFF"/>
        <rFont val="Meiryo UI"/>
        <family val="0"/>
        <charset val="1"/>
      </rPr>
      <t xml:space="preserve">4</t>
    </r>
  </si>
  <si>
    <r>
      <rPr>
        <b val="true"/>
        <sz val="10"/>
        <color rgb="FFFFFFFF"/>
        <rFont val="WenQuanYi Zen Hei"/>
        <family val="2"/>
      </rPr>
      <t xml:space="preserve">反映</t>
    </r>
    <r>
      <rPr>
        <b val="true"/>
        <sz val="10"/>
        <color rgb="FFFFFFFF"/>
        <rFont val="Meiryo UI"/>
        <family val="0"/>
        <charset val="1"/>
      </rPr>
      <t xml:space="preserve">5</t>
    </r>
  </si>
  <si>
    <r>
      <rPr>
        <b val="true"/>
        <sz val="10"/>
        <color rgb="FFFFFFFF"/>
        <rFont val="WenQuanYi Zen Hei"/>
        <family val="2"/>
      </rPr>
      <t xml:space="preserve">反映</t>
    </r>
    <r>
      <rPr>
        <b val="true"/>
        <sz val="10"/>
        <color rgb="FFFFFFFF"/>
        <rFont val="Meiryo UI"/>
        <family val="0"/>
        <charset val="1"/>
      </rPr>
      <t xml:space="preserve">6</t>
    </r>
  </si>
  <si>
    <r>
      <rPr>
        <b val="true"/>
        <sz val="10"/>
        <color rgb="FFFFFFFF"/>
        <rFont val="WenQuanYi Zen Hei"/>
        <family val="2"/>
      </rPr>
      <t xml:space="preserve">反映</t>
    </r>
    <r>
      <rPr>
        <b val="true"/>
        <sz val="10"/>
        <color rgb="FFFFFFFF"/>
        <rFont val="Meiryo UI"/>
        <family val="0"/>
        <charset val="1"/>
      </rPr>
      <t xml:space="preserve">7</t>
    </r>
  </si>
  <si>
    <r>
      <rPr>
        <b val="true"/>
        <sz val="10"/>
        <color rgb="FFFFFFFF"/>
        <rFont val="WenQuanYi Zen Hei"/>
        <family val="2"/>
      </rPr>
      <t xml:space="preserve">反映</t>
    </r>
    <r>
      <rPr>
        <b val="true"/>
        <sz val="10"/>
        <color rgb="FFFFFFFF"/>
        <rFont val="Meiryo UI"/>
        <family val="0"/>
        <charset val="1"/>
      </rPr>
      <t xml:space="preserve">8</t>
    </r>
  </si>
  <si>
    <r>
      <rPr>
        <b val="true"/>
        <sz val="10"/>
        <color rgb="FFFFFFFF"/>
        <rFont val="WenQuanYi Zen Hei"/>
        <family val="2"/>
      </rPr>
      <t xml:space="preserve">反映</t>
    </r>
    <r>
      <rPr>
        <b val="true"/>
        <sz val="10"/>
        <color rgb="FFFFFFFF"/>
        <rFont val="Meiryo UI"/>
        <family val="0"/>
        <charset val="1"/>
      </rPr>
      <t xml:space="preserve">9</t>
    </r>
  </si>
  <si>
    <r>
      <rPr>
        <b val="true"/>
        <sz val="10"/>
        <color rgb="FFFFFFFF"/>
        <rFont val="WenQuanYi Zen Hei"/>
        <family val="2"/>
      </rPr>
      <t xml:space="preserve">反映</t>
    </r>
    <r>
      <rPr>
        <b val="true"/>
        <sz val="10"/>
        <color rgb="FFFFFFFF"/>
        <rFont val="Meiryo UI"/>
        <family val="0"/>
        <charset val="1"/>
      </rPr>
      <t xml:space="preserve">10</t>
    </r>
  </si>
  <si>
    <r>
      <rPr>
        <b val="true"/>
        <sz val="10"/>
        <color rgb="FFFFFFFF"/>
        <rFont val="WenQuanYi Zen Hei"/>
        <family val="2"/>
      </rPr>
      <t xml:space="preserve">反映</t>
    </r>
    <r>
      <rPr>
        <b val="true"/>
        <sz val="10"/>
        <color rgb="FFFFFFFF"/>
        <rFont val="Meiryo UI"/>
        <family val="0"/>
        <charset val="1"/>
      </rPr>
      <t xml:space="preserve">11</t>
    </r>
  </si>
  <si>
    <t xml:space="preserve">見込長期掛金</t>
  </si>
  <si>
    <t xml:space="preserve">見込長期負担金</t>
  </si>
  <si>
    <t xml:space="preserve">見込短期掛金</t>
  </si>
  <si>
    <t xml:space="preserve">見込短期負担金</t>
  </si>
  <si>
    <t xml:space="preserve">見込介護掛金</t>
  </si>
  <si>
    <t xml:space="preserve">見込介護負担金</t>
  </si>
  <si>
    <t xml:space="preserve">見込子子掛金</t>
  </si>
  <si>
    <t xml:space="preserve">見込子子負担金</t>
  </si>
  <si>
    <t xml:space="preserve">報告長期掛金</t>
  </si>
  <si>
    <t xml:space="preserve">報告長期負担金</t>
  </si>
  <si>
    <t xml:space="preserve">報告短期掛金</t>
  </si>
  <si>
    <t xml:space="preserve">報告短期負担金</t>
  </si>
  <si>
    <t xml:space="preserve">報告介護掛金</t>
  </si>
  <si>
    <t xml:space="preserve">報告介護負担金</t>
  </si>
  <si>
    <t xml:space="preserve">報告子子掛金</t>
  </si>
  <si>
    <t xml:space="preserve">報告子子負担金</t>
  </si>
  <si>
    <t xml:space="preserve">乖離長期掛金</t>
  </si>
  <si>
    <t xml:space="preserve">乖離長期負担金</t>
  </si>
  <si>
    <t xml:space="preserve">乖離短期掛金</t>
  </si>
  <si>
    <t xml:space="preserve">乖離短期負担金</t>
  </si>
  <si>
    <t xml:space="preserve">乖離介護掛金</t>
  </si>
  <si>
    <t xml:space="preserve">乖離介護負担金</t>
  </si>
  <si>
    <t xml:space="preserve">乖離子子掛金</t>
  </si>
  <si>
    <t xml:space="preserve">乖離子子負担金</t>
  </si>
  <si>
    <t xml:space="preserve">最大乖離</t>
  </si>
  <si>
    <t xml:space="preserve">前月総額</t>
  </si>
  <si>
    <t xml:space="preserve">当月総額</t>
  </si>
  <si>
    <t xml:space="preserve">個人掛金あり</t>
  </si>
  <si>
    <t xml:space="preserve">負担率区分</t>
  </si>
  <si>
    <t xml:space="preserve">キー</t>
  </si>
  <si>
    <t xml:space="preserve">検算対象</t>
  </si>
  <si>
    <r>
      <rPr>
        <b val="true"/>
        <sz val="10"/>
        <color rgb="FFFFFFFF"/>
        <rFont val="WenQuanYi Zen Hei"/>
        <family val="2"/>
      </rPr>
      <t xml:space="preserve">前ブロック</t>
    </r>
    <r>
      <rPr>
        <b val="true"/>
        <sz val="10"/>
        <color rgb="FFFFFFFF"/>
        <rFont val="Meiryo UI"/>
        <family val="0"/>
        <charset val="1"/>
      </rPr>
      <t xml:space="preserve">ID</t>
    </r>
  </si>
  <si>
    <r>
      <rPr>
        <sz val="10"/>
        <rFont val="Meiryo UI"/>
        <family val="0"/>
        <charset val="1"/>
      </rPr>
      <t xml:space="preserve">2026-04 </t>
    </r>
    <r>
      <rPr>
        <sz val="10"/>
        <rFont val="WenQuanYi Zen Hei"/>
        <family val="2"/>
      </rPr>
      <t xml:space="preserve">月例</t>
    </r>
  </si>
  <si>
    <t xml:space="preserve">市長部局</t>
  </si>
  <si>
    <t xml:space="preserve">済</t>
  </si>
  <si>
    <t xml:space="preserve">○</t>
  </si>
  <si>
    <t xml:space="preserve">下水道局</t>
  </si>
  <si>
    <t xml:space="preserve">消防局</t>
  </si>
  <si>
    <t xml:space="preserve">議会事務局</t>
  </si>
  <si>
    <t xml:space="preserve">教育委員会（総務課）</t>
  </si>
  <si>
    <t xml:space="preserve">選挙管理委員会</t>
  </si>
  <si>
    <t xml:space="preserve">人事委員会</t>
  </si>
  <si>
    <t xml:space="preserve">監査事務局</t>
  </si>
  <si>
    <t xml:space="preserve">農業委員会</t>
  </si>
  <si>
    <t xml:space="preserve">水道局</t>
  </si>
  <si>
    <r>
      <rPr>
        <sz val="10"/>
        <rFont val="WenQuanYi Zen Hei"/>
        <family val="2"/>
      </rPr>
      <t xml:space="preserve">医療政策課</t>
    </r>
    <r>
      <rPr>
        <sz val="10"/>
        <rFont val="Meiryo UI"/>
        <family val="0"/>
        <charset val="1"/>
      </rPr>
      <t xml:space="preserve">(</t>
    </r>
    <r>
      <rPr>
        <sz val="10"/>
        <rFont val="WenQuanYi Zen Hei"/>
        <family val="2"/>
      </rPr>
      <t xml:space="preserve">安芸市民</t>
    </r>
    <r>
      <rPr>
        <sz val="10"/>
        <rFont val="Meiryo UI"/>
        <family val="0"/>
        <charset val="1"/>
      </rPr>
      <t xml:space="preserve">)</t>
    </r>
  </si>
  <si>
    <t xml:space="preserve">教育委員会（教育給与課）</t>
  </si>
  <si>
    <t xml:space="preserve">地方税共同機構</t>
  </si>
  <si>
    <t xml:space="preserve">なし</t>
  </si>
  <si>
    <t xml:space="preserve">平和文化センター</t>
  </si>
  <si>
    <t xml:space="preserve">社会福祉事業団</t>
  </si>
  <si>
    <t xml:space="preserve">原爆障害対策協議会</t>
  </si>
  <si>
    <t xml:space="preserve">産業振興センター</t>
  </si>
  <si>
    <t xml:space="preserve">ひろしま産業振興</t>
  </si>
  <si>
    <t xml:space="preserve">都市整備公社　市</t>
  </si>
  <si>
    <t xml:space="preserve">都市整備公社　消防</t>
  </si>
  <si>
    <t xml:space="preserve">日本下水道事業団</t>
  </si>
  <si>
    <t xml:space="preserve">地方公務員災害補償基金本部</t>
  </si>
  <si>
    <t xml:space="preserve">救急振興財団</t>
  </si>
  <si>
    <t xml:space="preserve">高速道路公社</t>
  </si>
  <si>
    <t xml:space="preserve">農林水産振興センタ</t>
  </si>
  <si>
    <t xml:space="preserve">文化財団　市長部局</t>
  </si>
  <si>
    <t xml:space="preserve">文化財団　教育委員会</t>
  </si>
  <si>
    <t xml:space="preserve">みどり生きもの協会</t>
  </si>
  <si>
    <t xml:space="preserve">県下水道公社</t>
  </si>
  <si>
    <r>
      <rPr>
        <sz val="10"/>
        <rFont val="WenQuanYi Zen Hei"/>
        <family val="2"/>
      </rPr>
      <t xml:space="preserve">バス協調・共創</t>
    </r>
    <r>
      <rPr>
        <sz val="10"/>
        <rFont val="Meiryo UI"/>
        <family val="0"/>
        <charset val="1"/>
      </rPr>
      <t xml:space="preserve">
</t>
    </r>
    <r>
      <rPr>
        <sz val="10"/>
        <rFont val="WenQuanYi Zen Hei"/>
        <family val="2"/>
      </rPr>
      <t xml:space="preserve">プラットフォーム</t>
    </r>
  </si>
  <si>
    <t xml:space="preserve">広島県市長会</t>
  </si>
  <si>
    <t xml:space="preserve">全国市町村研修財団</t>
  </si>
  <si>
    <t xml:space="preserve">都市再生機構</t>
  </si>
  <si>
    <t xml:space="preserve">広島市立大学</t>
  </si>
  <si>
    <t xml:space="preserve">社会福祉協議会</t>
  </si>
  <si>
    <t xml:space="preserve">市立病院機構</t>
  </si>
  <si>
    <t xml:space="preserve">職員共済組合</t>
  </si>
  <si>
    <t xml:space="preserve">地方公共団体
情報システム機構</t>
  </si>
  <si>
    <t xml:space="preserve">全国市長会</t>
  </si>
  <si>
    <t xml:space="preserve">高速交通（株）</t>
  </si>
  <si>
    <t xml:space="preserve">広島駅南口開発（株）</t>
  </si>
  <si>
    <t xml:space="preserve">市職員労働組合</t>
  </si>
  <si>
    <t xml:space="preserve">自治労労働組合</t>
  </si>
  <si>
    <t xml:space="preserve">病院労働組合</t>
  </si>
  <si>
    <t xml:space="preserve">水道労働組合</t>
  </si>
  <si>
    <t xml:space="preserve">任意継続組合員</t>
  </si>
  <si>
    <r>
      <rPr>
        <sz val="10"/>
        <rFont val="Meiryo UI"/>
        <family val="0"/>
        <charset val="1"/>
      </rPr>
      <t xml:space="preserve">2026-05 </t>
    </r>
    <r>
      <rPr>
        <sz val="10"/>
        <rFont val="WenQuanYi Zen Hei"/>
        <family val="2"/>
      </rPr>
      <t xml:space="preserve">月例</t>
    </r>
  </si>
  <si>
    <r>
      <rPr>
        <sz val="10"/>
        <rFont val="WenQuanYi Zen Hei"/>
        <family val="2"/>
      </rPr>
      <t xml:space="preserve">地方公共団体</t>
    </r>
    <r>
      <rPr>
        <sz val="10"/>
        <rFont val="Meiryo UI"/>
        <family val="0"/>
        <charset val="1"/>
      </rPr>
      <t xml:space="preserve">
</t>
    </r>
    <r>
      <rPr>
        <sz val="10"/>
        <rFont val="WenQuanYi Zen Hei"/>
        <family val="2"/>
      </rPr>
      <t xml:space="preserve">情報システム機構</t>
    </r>
  </si>
  <si>
    <r>
      <rPr>
        <sz val="10"/>
        <rFont val="Meiryo UI"/>
        <family val="0"/>
        <charset val="1"/>
      </rPr>
      <t xml:space="preserve">2026-06 </t>
    </r>
    <r>
      <rPr>
        <sz val="10"/>
        <rFont val="WenQuanYi Zen Hei"/>
        <family val="2"/>
      </rPr>
      <t xml:space="preserve">月例</t>
    </r>
  </si>
  <si>
    <r>
      <rPr>
        <sz val="10"/>
        <rFont val="Meiryo UI"/>
        <family val="0"/>
        <charset val="1"/>
      </rPr>
      <t xml:space="preserve">2026-06 </t>
    </r>
    <r>
      <rPr>
        <sz val="10"/>
        <rFont val="WenQuanYi Zen Hei"/>
        <family val="2"/>
      </rPr>
      <t xml:space="preserve">賞与</t>
    </r>
  </si>
  <si>
    <t xml:space="preserve">バス協調・共創
プラットフォーム</t>
  </si>
  <si>
    <r>
      <rPr>
        <sz val="10"/>
        <rFont val="Meiryo UI"/>
        <family val="0"/>
        <charset val="1"/>
      </rPr>
      <t xml:space="preserve">2026-07 </t>
    </r>
    <r>
      <rPr>
        <sz val="10"/>
        <rFont val="WenQuanYi Zen Hei"/>
        <family val="2"/>
      </rPr>
      <t xml:space="preserve">月例</t>
    </r>
  </si>
  <si>
    <r>
      <rPr>
        <sz val="10"/>
        <rFont val="Meiryo UI"/>
        <family val="0"/>
        <charset val="1"/>
      </rPr>
      <t xml:space="preserve">2026-08 </t>
    </r>
    <r>
      <rPr>
        <sz val="10"/>
        <rFont val="WenQuanYi Zen Hei"/>
        <family val="2"/>
      </rPr>
      <t xml:space="preserve">月例</t>
    </r>
  </si>
  <si>
    <r>
      <rPr>
        <sz val="10"/>
        <rFont val="Meiryo UI"/>
        <family val="0"/>
        <charset val="1"/>
      </rPr>
      <t xml:space="preserve">2026-09 </t>
    </r>
    <r>
      <rPr>
        <sz val="10"/>
        <rFont val="WenQuanYi Zen Hei"/>
        <family val="2"/>
      </rPr>
      <t xml:space="preserve">月例</t>
    </r>
  </si>
  <si>
    <r>
      <rPr>
        <sz val="10"/>
        <rFont val="Meiryo UI"/>
        <family val="0"/>
        <charset val="1"/>
      </rPr>
      <t xml:space="preserve">2026-10 </t>
    </r>
    <r>
      <rPr>
        <sz val="10"/>
        <rFont val="WenQuanYi Zen Hei"/>
        <family val="2"/>
      </rPr>
      <t xml:space="preserve">月例</t>
    </r>
  </si>
  <si>
    <r>
      <rPr>
        <sz val="10"/>
        <rFont val="Meiryo UI"/>
        <family val="0"/>
        <charset val="1"/>
      </rPr>
      <t xml:space="preserve">2026-11 </t>
    </r>
    <r>
      <rPr>
        <sz val="10"/>
        <rFont val="WenQuanYi Zen Hei"/>
        <family val="2"/>
      </rPr>
      <t xml:space="preserve">月例</t>
    </r>
  </si>
  <si>
    <r>
      <rPr>
        <sz val="10"/>
        <rFont val="Meiryo UI"/>
        <family val="0"/>
        <charset val="1"/>
      </rPr>
      <t xml:space="preserve">2026-12 </t>
    </r>
    <r>
      <rPr>
        <sz val="10"/>
        <rFont val="WenQuanYi Zen Hei"/>
        <family val="2"/>
      </rPr>
      <t xml:space="preserve">賞与</t>
    </r>
  </si>
  <si>
    <r>
      <rPr>
        <sz val="10"/>
        <rFont val="Meiryo UI"/>
        <family val="0"/>
        <charset val="1"/>
      </rPr>
      <t xml:space="preserve">2026-12 </t>
    </r>
    <r>
      <rPr>
        <sz val="10"/>
        <rFont val="WenQuanYi Zen Hei"/>
        <family val="2"/>
      </rPr>
      <t xml:space="preserve">月例</t>
    </r>
  </si>
  <si>
    <r>
      <rPr>
        <sz val="10"/>
        <rFont val="Meiryo UI"/>
        <family val="0"/>
        <charset val="1"/>
      </rPr>
      <t xml:space="preserve">2027-01 </t>
    </r>
    <r>
      <rPr>
        <sz val="10"/>
        <rFont val="WenQuanYi Zen Hei"/>
        <family val="2"/>
      </rPr>
      <t xml:space="preserve">月例</t>
    </r>
  </si>
  <si>
    <r>
      <rPr>
        <sz val="10"/>
        <rFont val="Meiryo UI"/>
        <family val="0"/>
        <charset val="1"/>
      </rPr>
      <t xml:space="preserve">2027-02 </t>
    </r>
    <r>
      <rPr>
        <sz val="10"/>
        <rFont val="WenQuanYi Zen Hei"/>
        <family val="2"/>
      </rPr>
      <t xml:space="preserve">月例</t>
    </r>
  </si>
  <si>
    <r>
      <rPr>
        <sz val="10"/>
        <rFont val="Meiryo UI"/>
        <family val="0"/>
        <charset val="1"/>
      </rPr>
      <t xml:space="preserve">2027-03 </t>
    </r>
    <r>
      <rPr>
        <sz val="10"/>
        <rFont val="WenQuanYi Zen Hei"/>
        <family val="2"/>
      </rPr>
      <t xml:space="preserve">賞与</t>
    </r>
  </si>
  <si>
    <r>
      <rPr>
        <sz val="10"/>
        <rFont val="Meiryo UI"/>
        <family val="0"/>
        <charset val="1"/>
      </rPr>
      <t xml:space="preserve">2027-03 </t>
    </r>
    <r>
      <rPr>
        <sz val="10"/>
        <rFont val="WenQuanYi Zen Hei"/>
        <family val="2"/>
      </rPr>
      <t xml:space="preserve">月例</t>
    </r>
  </si>
  <si>
    <r>
      <rPr>
        <b val="true"/>
        <sz val="14"/>
        <color rgb="FF1F3864"/>
        <rFont val="WenQuanYi Zen Hei"/>
        <family val="2"/>
      </rPr>
      <t xml:space="preserve">検算（標準報酬月額 </t>
    </r>
    <r>
      <rPr>
        <b val="true"/>
        <sz val="14"/>
        <color rgb="FF1F3864"/>
        <rFont val="Meiryo UI"/>
        <family val="0"/>
        <charset val="1"/>
      </rPr>
      <t xml:space="preserve">× </t>
    </r>
    <r>
      <rPr>
        <b val="true"/>
        <sz val="14"/>
        <color rgb="FF1F3864"/>
        <rFont val="WenQuanYi Zen Hei"/>
        <family val="2"/>
      </rPr>
      <t xml:space="preserve">料率 ＝ 見込額 と 報告額の比較）</t>
    </r>
  </si>
  <si>
    <t xml:space="preserve">対象ブロック：</t>
  </si>
  <si>
    <t xml:space="preserve">入力は「報告入力」シートで行います（このシートは自動表示）。乖離率が設定のしきい値以上なら赤。標準報酬月額が未入力の団体は検算できません。</t>
  </si>
  <si>
    <r>
      <rPr>
        <sz val="9"/>
        <color rgb="FF595959"/>
        <rFont val="WenQuanYi Zen Hei"/>
        <family val="2"/>
      </rPr>
      <t xml:space="preserve">※見込額は標準報酬月額の総額</t>
    </r>
    <r>
      <rPr>
        <sz val="9"/>
        <color rgb="FF595959"/>
        <rFont val="Meiryo UI"/>
        <family val="0"/>
        <charset val="1"/>
      </rPr>
      <t xml:space="preserve">×</t>
    </r>
    <r>
      <rPr>
        <sz val="9"/>
        <color rgb="FF595959"/>
        <rFont val="WenQuanYi Zen Hei"/>
        <family val="2"/>
      </rPr>
      <t xml:space="preserve">料率（円未満切捨て）。報告額は組合員ごとに端数処理した合計のため、数円〜数十円の差は出ます。</t>
    </r>
  </si>
  <si>
    <t xml:space="preserve">長期掛金</t>
  </si>
  <si>
    <t xml:space="preserve">長期負担金</t>
  </si>
  <si>
    <t xml:space="preserve">短期掛金</t>
  </si>
  <si>
    <t xml:space="preserve">短期負担金</t>
  </si>
  <si>
    <t xml:space="preserve">介護掛金</t>
  </si>
  <si>
    <t xml:space="preserve">介護負担金</t>
  </si>
  <si>
    <t xml:space="preserve">子子掛金</t>
  </si>
  <si>
    <t xml:space="preserve">子子負担金</t>
  </si>
  <si>
    <t xml:space="preserve">行</t>
  </si>
  <si>
    <t xml:space="preserve">標報
長期</t>
  </si>
  <si>
    <t xml:space="preserve">標報
短期</t>
  </si>
  <si>
    <t xml:space="preserve">標報
介護</t>
  </si>
  <si>
    <t xml:space="preserve">報告額</t>
  </si>
  <si>
    <t xml:space="preserve">見込額</t>
  </si>
  <si>
    <t xml:space="preserve">乖離率</t>
  </si>
  <si>
    <t xml:space="preserve">受領</t>
  </si>
  <si>
    <t xml:space="preserve">検算可</t>
  </si>
  <si>
    <r>
      <rPr>
        <b val="true"/>
        <sz val="10"/>
        <color rgb="FFFFFFFF"/>
        <rFont val="WenQuanYi Zen Hei"/>
        <family val="2"/>
      </rPr>
      <t xml:space="preserve">未受領</t>
    </r>
    <r>
      <rPr>
        <b val="true"/>
        <sz val="10"/>
        <color rgb="FFFFFFFF"/>
        <rFont val="Meiryo UI"/>
        <family val="0"/>
        <charset val="1"/>
      </rPr>
      <t xml:space="preserve">No</t>
    </r>
  </si>
  <si>
    <r>
      <rPr>
        <b val="true"/>
        <sz val="10"/>
        <color rgb="FFFFFFFF"/>
        <rFont val="WenQuanYi Zen Hei"/>
        <family val="2"/>
      </rPr>
      <t xml:space="preserve">要確認</t>
    </r>
    <r>
      <rPr>
        <b val="true"/>
        <sz val="10"/>
        <color rgb="FFFFFFFF"/>
        <rFont val="Meiryo UI"/>
        <family val="0"/>
        <charset val="1"/>
      </rPr>
      <t xml:space="preserve">No</t>
    </r>
  </si>
  <si>
    <t xml:space="preserve">伝票入力（共済システムへの転記用）</t>
  </si>
  <si>
    <t xml:space="preserve">対象：</t>
  </si>
  <si>
    <r>
      <rPr>
        <sz val="10"/>
        <color rgb="FF595959"/>
        <rFont val="WenQuanYi Zen Hei"/>
        <family val="2"/>
      </rPr>
      <t xml:space="preserve">伝票画面の入力順（経理区分 → 団体 → 貸方科目）に並んでいます。太線で区切られた</t>
    </r>
    <r>
      <rPr>
        <sz val="10"/>
        <color rgb="FF595959"/>
        <rFont val="Meiryo UI"/>
        <family val="0"/>
        <charset val="1"/>
      </rPr>
      <t xml:space="preserve">1</t>
    </r>
    <r>
      <rPr>
        <sz val="10"/>
        <color rgb="FF595959"/>
        <rFont val="WenQuanYi Zen Hei"/>
        <family val="2"/>
      </rPr>
      <t xml:space="preserve">かたまりが伝票</t>
    </r>
    <r>
      <rPr>
        <sz val="10"/>
        <color rgb="FF595959"/>
        <rFont val="Meiryo UI"/>
        <family val="0"/>
        <charset val="1"/>
      </rPr>
      <t xml:space="preserve">1</t>
    </r>
    <r>
      <rPr>
        <sz val="10"/>
        <color rgb="FF595959"/>
        <rFont val="WenQuanYi Zen Hei"/>
        <family val="2"/>
      </rPr>
      <t xml:space="preserve">枚です。上から順に画面へ入力し、終えた団体は「報告入力」の起票済欄へ○を付けると一覧から消えます。</t>
    </r>
  </si>
  <si>
    <r>
      <rPr>
        <sz val="9"/>
        <color rgb="FFC00000"/>
        <rFont val="WenQuanYi Zen Hei"/>
        <family val="2"/>
      </rPr>
      <t xml:space="preserve">※金額が</t>
    </r>
    <r>
      <rPr>
        <sz val="9"/>
        <color rgb="FFC00000"/>
        <rFont val="Meiryo UI"/>
        <family val="0"/>
        <charset val="1"/>
      </rPr>
      <t xml:space="preserve">0</t>
    </r>
    <r>
      <rPr>
        <sz val="9"/>
        <color rgb="FFC00000"/>
        <rFont val="WenQuanYi Zen Hei"/>
        <family val="2"/>
      </rPr>
      <t xml:space="preserve">の行は出ません。短期・介護・子ども・子育ての経理コード／科目コードは「設定」で未入力のため空欄です（入力すると反映）。</t>
    </r>
  </si>
  <si>
    <r>
      <rPr>
        <b val="true"/>
        <sz val="10"/>
        <color rgb="FFFFFFFF"/>
        <rFont val="WenQuanYi Zen Hei"/>
        <family val="2"/>
      </rPr>
      <t xml:space="preserve">伝票</t>
    </r>
    <r>
      <rPr>
        <b val="true"/>
        <sz val="10"/>
        <color rgb="FFFFFFFF"/>
        <rFont val="Meiryo UI"/>
        <family val="0"/>
        <charset val="1"/>
      </rPr>
      <t xml:space="preserve">No</t>
    </r>
  </si>
  <si>
    <t xml:space="preserve">経理区分</t>
  </si>
  <si>
    <t xml:space="preserve">経理コード</t>
  </si>
  <si>
    <t xml:space="preserve">団体名（摘要）</t>
  </si>
  <si>
    <t xml:space="preserve">借方科目コード</t>
  </si>
  <si>
    <t xml:space="preserve">借方科目名</t>
  </si>
  <si>
    <t xml:space="preserve">借方金額</t>
  </si>
  <si>
    <t xml:space="preserve">貸方科目コード</t>
  </si>
  <si>
    <t xml:space="preserve">貸方科目名</t>
  </si>
  <si>
    <t xml:space="preserve">貸方金額</t>
  </si>
  <si>
    <t xml:space="preserve">入金日</t>
  </si>
  <si>
    <t xml:space="preserve">項目</t>
  </si>
  <si>
    <t xml:space="preserve">元行</t>
  </si>
  <si>
    <t xml:space="preserve">伝票画面（共済システムの「仕訳入力」画面と同じ並びで表示）</t>
  </si>
  <si>
    <r>
      <rPr>
        <sz val="10"/>
        <color rgb="FF595959"/>
        <rFont val="WenQuanYi Zen Hei"/>
        <family val="2"/>
      </rPr>
      <t xml:space="preserve">伝票</t>
    </r>
    <r>
      <rPr>
        <sz val="10"/>
        <color rgb="FF595959"/>
        <rFont val="Meiryo UI"/>
        <family val="0"/>
        <charset val="1"/>
      </rPr>
      <t xml:space="preserve">No</t>
    </r>
    <r>
      <rPr>
        <sz val="10"/>
        <color rgb="FF595959"/>
        <rFont val="WenQuanYi Zen Hei"/>
        <family val="2"/>
      </rPr>
      <t xml:space="preserve">を変えると次の伝票を表示します。画面を見比べながら、上から順に入力してください。入力対象は「設定」の起票対象に従います。</t>
    </r>
  </si>
  <si>
    <t xml:space="preserve">先頭行</t>
  </si>
  <si>
    <t xml:space="preserve">先頭連番</t>
  </si>
  <si>
    <r>
      <rPr>
        <b val="true"/>
        <sz val="12"/>
        <color rgb="FFFFFFFF"/>
        <rFont val="WenQuanYi Zen Hei"/>
        <family val="2"/>
      </rPr>
      <t xml:space="preserve">伝票</t>
    </r>
    <r>
      <rPr>
        <b val="true"/>
        <sz val="12"/>
        <color rgb="FFFFFFFF"/>
        <rFont val="Meiryo UI"/>
        <family val="0"/>
        <charset val="1"/>
      </rPr>
      <t xml:space="preserve">No</t>
    </r>
  </si>
  <si>
    <r>
      <rPr>
        <sz val="10"/>
        <color rgb="FF595959"/>
        <rFont val="WenQuanYi Zen Hei"/>
        <family val="2"/>
      </rPr>
      <t xml:space="preserve">←番号を</t>
    </r>
    <r>
      <rPr>
        <sz val="10"/>
        <color rgb="FF595959"/>
        <rFont val="Meiryo UI"/>
        <family val="0"/>
        <charset val="1"/>
      </rPr>
      <t xml:space="preserve">1</t>
    </r>
    <r>
      <rPr>
        <sz val="10"/>
        <color rgb="FF595959"/>
        <rFont val="WenQuanYi Zen Hei"/>
        <family val="2"/>
      </rPr>
      <t xml:space="preserve">ずつ増やして次の伝票へ</t>
    </r>
  </si>
  <si>
    <t xml:space="preserve">起票日（入金日）</t>
  </si>
  <si>
    <t xml:space="preserve">番号</t>
  </si>
  <si>
    <t xml:space="preserve">摘要</t>
  </si>
  <si>
    <r>
      <rPr>
        <sz val="9"/>
        <color rgb="FFC00000"/>
        <rFont val="WenQuanYi Zen Hei"/>
        <family val="2"/>
      </rPr>
      <t xml:space="preserve">※科目コードが空欄の行は「設定」の貸方科目が未入力です（短期・介護・子ども子育て）。伝票が</t>
    </r>
    <r>
      <rPr>
        <sz val="9"/>
        <color rgb="FFC00000"/>
        <rFont val="Meiryo UI"/>
        <family val="0"/>
        <charset val="1"/>
      </rPr>
      <t xml:space="preserve">1</t>
    </r>
    <r>
      <rPr>
        <sz val="9"/>
        <color rgb="FFC00000"/>
        <rFont val="WenQuanYi Zen Hei"/>
        <family val="2"/>
      </rPr>
      <t xml:space="preserve">枚も無い場合は、入金確認済（または受領済）の団体がありません。</t>
    </r>
  </si>
  <si>
    <t xml:space="preserve">表示する職員番号</t>
  </si>
  <si>
    <t xml:space="preserve">0000001</t>
  </si>
  <si>
    <t xml:space="preserve">支給年月</t>
  </si>
  <si>
    <t xml:space="preserve">←職員番号と支給年月を変えると表示が切り替わります（データは「給与データ」シート）</t>
  </si>
  <si>
    <t xml:space="preserve">支　給　年　月</t>
  </si>
  <si>
    <t xml:space="preserve">所　　　　　属</t>
  </si>
  <si>
    <t xml:space="preserve">支給明細書</t>
  </si>
  <si>
    <t xml:space="preserve">氏　　　　　名</t>
  </si>
  <si>
    <t xml:space="preserve">差　引　支　給　額　の　内　訳</t>
  </si>
  <si>
    <t xml:space="preserve">第一口座振込額</t>
  </si>
  <si>
    <t xml:space="preserve">第二口座振込額</t>
  </si>
  <si>
    <t xml:space="preserve">現金支給額</t>
  </si>
  <si>
    <t xml:space="preserve">第三口座振込額</t>
  </si>
  <si>
    <t xml:space="preserve">差引現金支給額</t>
  </si>
  <si>
    <t xml:space="preserve">総 支 給 額</t>
  </si>
  <si>
    <t xml:space="preserve">法定控除金合計</t>
  </si>
  <si>
    <t xml:space="preserve">差 引 支 給 額</t>
  </si>
  <si>
    <t xml:space="preserve">給与計（非課税）</t>
  </si>
  <si>
    <t xml:space="preserve">給与計（課税）</t>
  </si>
  <si>
    <t xml:space="preserve">社会保険料計</t>
  </si>
  <si>
    <t xml:space="preserve">課税対象額</t>
  </si>
  <si>
    <t xml:space="preserve">総支給額の内訳</t>
  </si>
  <si>
    <t xml:space="preserve">法定控除金の内訳</t>
  </si>
  <si>
    <t xml:space="preserve">第三口座の内訳</t>
  </si>
  <si>
    <t xml:space="preserve">支給項目</t>
  </si>
  <si>
    <t xml:space="preserve">金額</t>
  </si>
  <si>
    <t xml:space="preserve">連番</t>
  </si>
  <si>
    <t xml:space="preserve">控除項目</t>
  </si>
  <si>
    <t xml:space="preserve">口座項目</t>
  </si>
  <si>
    <t xml:space="preserve">■ 報酬月額の算定（支給対象月に支払われた報酬の額）</t>
  </si>
  <si>
    <t xml:space="preserve">給料</t>
  </si>
  <si>
    <t xml:space="preserve">所得税</t>
  </si>
  <si>
    <t xml:space="preserve">親睦会</t>
  </si>
  <si>
    <t xml:space="preserve">総支給額（上記）</t>
  </si>
  <si>
    <t xml:space="preserve">地域手当</t>
  </si>
  <si>
    <t xml:space="preserve">住民税</t>
  </si>
  <si>
    <t xml:space="preserve">所属控除金手数料</t>
  </si>
  <si>
    <t xml:space="preserve">通勤手当（当月支給額）を控除</t>
  </si>
  <si>
    <t xml:space="preserve">扶養手当</t>
  </si>
  <si>
    <t xml:space="preserve">共済短期掛金</t>
  </si>
  <si>
    <t xml:space="preserve">通勤手当の月額換算額を加算</t>
  </si>
  <si>
    <t xml:space="preserve">住居手当</t>
  </si>
  <si>
    <t xml:space="preserve">共済子ども支援</t>
  </si>
  <si>
    <t xml:space="preserve">支給対象月に支払われた報酬の額（円）</t>
  </si>
  <si>
    <t xml:space="preserve">単身赴任手当</t>
  </si>
  <si>
    <t xml:space="preserve">共済厚生年金掛金</t>
  </si>
  <si>
    <r>
      <rPr>
        <sz val="9"/>
        <color rgb="FF595959"/>
        <rFont val="WenQuanYi Zen Hei"/>
        <family val="2"/>
      </rPr>
      <t xml:space="preserve">※通勤手当が</t>
    </r>
    <r>
      <rPr>
        <sz val="9"/>
        <color rgb="FF595959"/>
        <rFont val="Meiryo UI"/>
        <family val="0"/>
        <charset val="1"/>
      </rPr>
      <t xml:space="preserve">2</t>
    </r>
    <r>
      <rPr>
        <sz val="9"/>
        <color rgb="FF595959"/>
        <rFont val="WenQuanYi Zen Hei"/>
        <family val="2"/>
      </rPr>
      <t xml:space="preserve">か月以上の定期券等の場合、支給月は支給額を控除し、支給単位期間の月数で割った額（円未満切捨て）を加えます。支給単位期間が</t>
    </r>
    <r>
      <rPr>
        <sz val="9"/>
        <color rgb="FF595959"/>
        <rFont val="Meiryo UI"/>
        <family val="0"/>
        <charset val="1"/>
      </rPr>
      <t xml:space="preserve">1</t>
    </r>
    <r>
      <rPr>
        <sz val="9"/>
        <color rgb="FF595959"/>
        <rFont val="WenQuanYi Zen Hei"/>
        <family val="2"/>
      </rPr>
      <t xml:space="preserve">か月の場合は控除・加算とも同額で、総支給額と一致します。</t>
    </r>
  </si>
  <si>
    <t xml:space="preserve">管理職手当</t>
  </si>
  <si>
    <t xml:space="preserve">共済退職等年金</t>
  </si>
  <si>
    <t xml:space="preserve">教職調整額</t>
  </si>
  <si>
    <t xml:space="preserve">共済介護</t>
  </si>
  <si>
    <t xml:space="preserve">※期末手当・勤勉手当（賞与）は「報酬」に含まないため、この表の対象外です。</t>
  </si>
  <si>
    <t xml:space="preserve">時間外勤務手当</t>
  </si>
  <si>
    <t xml:space="preserve">互助会掛金</t>
  </si>
  <si>
    <t xml:space="preserve">休日勤務手当</t>
  </si>
  <si>
    <t xml:space="preserve">夜間勤務手当</t>
  </si>
  <si>
    <t xml:space="preserve">宿日直手当</t>
  </si>
  <si>
    <t xml:space="preserve">管理職員特別勤務手当</t>
  </si>
  <si>
    <t xml:space="preserve">特殊勤務手当</t>
  </si>
  <si>
    <t xml:space="preserve">初任給調整手当</t>
  </si>
  <si>
    <t xml:space="preserve">へき地手当</t>
  </si>
  <si>
    <t xml:space="preserve">義務教育等教員特別手当</t>
  </si>
  <si>
    <t xml:space="preserve">その他手当</t>
  </si>
  <si>
    <t xml:space="preserve">通勤手当（非）</t>
  </si>
  <si>
    <t xml:space="preserve">通勤手当（課）</t>
  </si>
  <si>
    <r>
      <rPr>
        <b val="true"/>
        <sz val="14"/>
        <color rgb="FF1F3864"/>
        <rFont val="WenQuanYi Zen Hei"/>
        <family val="2"/>
      </rPr>
      <t xml:space="preserve">給与データ（職員</t>
    </r>
    <r>
      <rPr>
        <b val="true"/>
        <sz val="14"/>
        <color rgb="FF1F3864"/>
        <rFont val="Meiryo UI"/>
        <family val="0"/>
        <charset val="1"/>
      </rPr>
      <t xml:space="preserve">×</t>
    </r>
    <r>
      <rPr>
        <b val="true"/>
        <sz val="14"/>
        <color rgb="FF1F3864"/>
        <rFont val="WenQuanYi Zen Hei"/>
        <family val="2"/>
      </rPr>
      <t xml:space="preserve">支給月の入力表）</t>
    </r>
  </si>
  <si>
    <t xml:space="preserve">地域手当の支給割合</t>
  </si>
  <si>
    <r>
      <rPr>
        <sz val="9"/>
        <color rgb="FF595959"/>
        <rFont val="WenQuanYi Zen Hei"/>
        <family val="2"/>
      </rPr>
      <t xml:space="preserve">手引「地域手当」：（給料＋扶養手当＋管理職手当＋教職調整額）</t>
    </r>
    <r>
      <rPr>
        <sz val="9"/>
        <color rgb="FF595959"/>
        <rFont val="Meiryo UI"/>
        <family val="0"/>
        <charset val="1"/>
      </rPr>
      <t xml:space="preserve">×8/100</t>
    </r>
    <r>
      <rPr>
        <sz val="9"/>
        <color rgb="FF595959"/>
        <rFont val="WenQuanYi Zen Hei"/>
        <family val="2"/>
      </rPr>
      <t xml:space="preserve">（行ごとに別の割合も入力可）</t>
    </r>
  </si>
  <si>
    <t xml:space="preserve">支給月以外にも通勤手当の月額換算を加算</t>
  </si>
  <si>
    <t xml:space="preserve">N</t>
  </si>
  <si>
    <r>
      <rPr>
        <sz val="9"/>
        <color rgb="FF595959"/>
        <rFont val="Meiryo UI"/>
        <family val="0"/>
        <charset val="1"/>
      </rPr>
      <t xml:space="preserve">N</t>
    </r>
    <r>
      <rPr>
        <sz val="9"/>
        <color rgb="FF595959"/>
        <rFont val="WenQuanYi Zen Hei"/>
        <family val="2"/>
      </rPr>
      <t xml:space="preserve">＝通勤手当が支払われた月だけ「控除して支給単位期間の月数で割った額を加える」（指示どおり）／</t>
    </r>
    <r>
      <rPr>
        <sz val="9"/>
        <color rgb="FF595959"/>
        <rFont val="Meiryo UI"/>
        <family val="0"/>
        <charset val="1"/>
      </rPr>
      <t xml:space="preserve">Y</t>
    </r>
    <r>
      <rPr>
        <sz val="9"/>
        <color rgb="FF595959"/>
        <rFont val="WenQuanYi Zen Hei"/>
        <family val="2"/>
      </rPr>
      <t xml:space="preserve">＝支払われない月にも</t>
    </r>
    <r>
      <rPr>
        <sz val="9"/>
        <color rgb="FF595959"/>
        <rFont val="Meiryo UI"/>
        <family val="0"/>
        <charset val="1"/>
      </rPr>
      <t xml:space="preserve">1</t>
    </r>
    <r>
      <rPr>
        <sz val="9"/>
        <color rgb="FF595959"/>
        <rFont val="WenQuanYi Zen Hei"/>
        <family val="2"/>
      </rPr>
      <t xml:space="preserve">期間分</t>
    </r>
    <r>
      <rPr>
        <sz val="9"/>
        <color rgb="FF595959"/>
        <rFont val="Meiryo UI"/>
        <family val="0"/>
        <charset val="1"/>
      </rPr>
      <t xml:space="preserve">÷</t>
    </r>
    <r>
      <rPr>
        <sz val="9"/>
        <color rgb="FF595959"/>
        <rFont val="WenQuanYi Zen Hei"/>
        <family val="2"/>
      </rPr>
      <t xml:space="preserve">月数を加える</t>
    </r>
  </si>
  <si>
    <t xml:space="preserve">基本</t>
  </si>
  <si>
    <t xml:space="preserve">総支給額の内訳（円）　給料と手当（手引の諸手当から該当しうるものを列挙）</t>
  </si>
  <si>
    <t xml:space="preserve">通勤手当（複数月の定期券等）</t>
  </si>
  <si>
    <t xml:space="preserve">共済掛金の算定</t>
  </si>
  <si>
    <t xml:space="preserve">法定控除金・第三口座</t>
  </si>
  <si>
    <t xml:space="preserve">（計算）支給明細書の数値</t>
  </si>
  <si>
    <t xml:space="preserve">報酬の額（算定）</t>
  </si>
  <si>
    <t xml:space="preserve">職員番号</t>
  </si>
  <si>
    <t xml:space="preserve">氏名</t>
  </si>
  <si>
    <t xml:space="preserve">所属</t>
  </si>
  <si>
    <t xml:space="preserve">支給年月
（月初日）</t>
  </si>
  <si>
    <t xml:space="preserve">地域手当率
（空欄＝既定）</t>
  </si>
  <si>
    <t xml:space="preserve">支給単位期間
（月数）</t>
  </si>
  <si>
    <t xml:space="preserve">通勤手当（非）
当月支給額</t>
  </si>
  <si>
    <t xml:space="preserve">通勤手当（課）
当月支給額</t>
  </si>
  <si>
    <r>
      <rPr>
        <b val="true"/>
        <sz val="10"/>
        <color rgb="FFFFFFFF"/>
        <rFont val="Meiryo UI"/>
        <family val="0"/>
        <charset val="1"/>
      </rPr>
      <t xml:space="preserve">1</t>
    </r>
    <r>
      <rPr>
        <b val="true"/>
        <sz val="10"/>
        <color rgb="FFFFFFFF"/>
        <rFont val="WenQuanYi Zen Hei"/>
        <family val="2"/>
      </rPr>
      <t xml:space="preserve">期間分の通勤手当
（非支給月用）</t>
    </r>
  </si>
  <si>
    <t xml:space="preserve">標準報酬月額</t>
  </si>
  <si>
    <r>
      <rPr>
        <b val="true"/>
        <sz val="10"/>
        <color rgb="FFFFFFFF"/>
        <rFont val="WenQuanYi Zen Hei"/>
        <family val="2"/>
      </rPr>
      <t xml:space="preserve">介護対象
（</t>
    </r>
    <r>
      <rPr>
        <b val="true"/>
        <sz val="10"/>
        <color rgb="FFFFFFFF"/>
        <rFont val="Meiryo UI"/>
        <family val="0"/>
        <charset val="1"/>
      </rPr>
      <t xml:space="preserve">Y/N</t>
    </r>
    <r>
      <rPr>
        <b val="true"/>
        <sz val="10"/>
        <color rgb="FFFFFFFF"/>
        <rFont val="WenQuanYi Zen Hei"/>
        <family val="2"/>
      </rPr>
      <t xml:space="preserve">）</t>
    </r>
  </si>
  <si>
    <t xml:space="preserve">通勤手当計</t>
  </si>
  <si>
    <t xml:space="preserve">総支給額</t>
  </si>
  <si>
    <t xml:space="preserve">差引支給額</t>
  </si>
  <si>
    <t xml:space="preserve">第三口座計</t>
  </si>
  <si>
    <t xml:space="preserve">通勤手当の月額換算額</t>
  </si>
  <si>
    <t xml:space="preserve">サンプル　太郎</t>
  </si>
  <si>
    <r>
      <rPr>
        <sz val="10"/>
        <rFont val="Meiryo UI"/>
        <family val="0"/>
        <charset val="1"/>
      </rPr>
      <t xml:space="preserve">1054110000 </t>
    </r>
    <r>
      <rPr>
        <sz val="10"/>
        <rFont val="WenQuanYi Zen Hei"/>
        <family val="2"/>
      </rPr>
      <t xml:space="preserve">行政経営課</t>
    </r>
  </si>
  <si>
    <t xml:space="preserve">Y</t>
  </si>
  <si>
    <r>
      <rPr>
        <sz val="10"/>
        <rFont val="WenQuanYi Zen Hei"/>
        <family val="2"/>
      </rPr>
      <t xml:space="preserve">支給明細書</t>
    </r>
    <r>
      <rPr>
        <sz val="10"/>
        <rFont val="Meiryo UI"/>
        <family val="0"/>
        <charset val="1"/>
      </rPr>
      <t xml:space="preserve">PDF</t>
    </r>
    <r>
      <rPr>
        <sz val="10"/>
        <rFont val="WenQuanYi Zen Hei"/>
        <family val="2"/>
      </rPr>
      <t xml:space="preserve">の金額を再現した例（氏名・番号は仮）</t>
    </r>
  </si>
  <si>
    <t xml:space="preserve">0000002</t>
  </si>
  <si>
    <t xml:space="preserve">サンプル　花子</t>
  </si>
  <si>
    <r>
      <rPr>
        <sz val="10"/>
        <rFont val="WenQuanYi Zen Hei"/>
        <family val="2"/>
      </rPr>
      <t xml:space="preserve">通勤手当</t>
    </r>
    <r>
      <rPr>
        <sz val="10"/>
        <rFont val="Meiryo UI"/>
        <family val="0"/>
        <charset val="1"/>
      </rPr>
      <t xml:space="preserve">3</t>
    </r>
    <r>
      <rPr>
        <sz val="10"/>
        <rFont val="WenQuanYi Zen Hei"/>
        <family val="2"/>
      </rPr>
      <t xml:space="preserve">か月分を</t>
    </r>
    <r>
      <rPr>
        <sz val="10"/>
        <rFont val="Meiryo UI"/>
        <family val="0"/>
        <charset val="1"/>
      </rPr>
      <t xml:space="preserve">10</t>
    </r>
    <r>
      <rPr>
        <sz val="10"/>
        <rFont val="WenQuanYi Zen Hei"/>
        <family val="2"/>
      </rPr>
      <t xml:space="preserve">月に支給（仮データ）</t>
    </r>
  </si>
  <si>
    <t xml:space="preserve">通勤手当の支給のない月（仮データ）</t>
  </si>
  <si>
    <t xml:space="preserve">設定（料率・しきい値・団体マスタ）</t>
  </si>
  <si>
    <t xml:space="preserve">黄色セルは変更してよい設定値です。料率・しきい値を変えると 報告入力／検算／伝票入力 すべてに反映されます。</t>
  </si>
  <si>
    <t xml:space="preserve">■ 判定・動作</t>
  </si>
  <si>
    <t xml:space="preserve">乖離率しきい値（検算：要確認）</t>
  </si>
  <si>
    <r>
      <rPr>
        <sz val="10"/>
        <rFont val="WenQuanYi Zen Hei"/>
        <family val="2"/>
      </rPr>
      <t xml:space="preserve">標準報酬月額</t>
    </r>
    <r>
      <rPr>
        <sz val="10"/>
        <rFont val="Meiryo UI"/>
        <family val="0"/>
        <charset val="1"/>
      </rPr>
      <t xml:space="preserve">×</t>
    </r>
    <r>
      <rPr>
        <sz val="10"/>
        <rFont val="WenQuanYi Zen Hei"/>
        <family val="2"/>
      </rPr>
      <t xml:space="preserve">料率の見込額と報告額の乖離がこの値以上なら「要確認」（ヒアリング時点：</t>
    </r>
    <r>
      <rPr>
        <sz val="10"/>
        <rFont val="Meiryo UI"/>
        <family val="0"/>
        <charset val="1"/>
      </rPr>
      <t xml:space="preserve">10</t>
    </r>
    <r>
      <rPr>
        <sz val="10"/>
        <rFont val="WenQuanYi Zen Hei"/>
        <family val="2"/>
      </rPr>
      <t xml:space="preserve">％・要相談）</t>
    </r>
  </si>
  <si>
    <t xml:space="preserve">前月比しきい値（参考表示）</t>
  </si>
  <si>
    <t xml:space="preserve">前月の報告額総額と比べた増減がこの値以上なら「変動大」、完全一致なら「前月同額」（前月データ流用の目安）</t>
  </si>
  <si>
    <t xml:space="preserve">伝票入力に出す対象</t>
  </si>
  <si>
    <t xml:space="preserve">入金確認済のみ</t>
  </si>
  <si>
    <t xml:space="preserve">「入金確認済のみ」＝通帳照合後に起票する運用／「受領済以降すべて」＝報告受領後すぐ出す</t>
  </si>
  <si>
    <r>
      <rPr>
        <b val="true"/>
        <sz val="10"/>
        <color rgb="FF2F5597"/>
        <rFont val="WenQuanYi Zen Hei"/>
        <family val="2"/>
      </rPr>
      <t xml:space="preserve">■ 料率（‰）　※</t>
    </r>
    <r>
      <rPr>
        <b val="true"/>
        <sz val="10"/>
        <color rgb="FF2F5597"/>
        <rFont val="Meiryo UI"/>
        <family val="0"/>
        <charset val="1"/>
      </rPr>
      <t xml:space="preserve">R8</t>
    </r>
    <r>
      <rPr>
        <b val="true"/>
        <sz val="10"/>
        <color rgb="FF2F5597"/>
        <rFont val="WenQuanYi Zen Hei"/>
        <family val="2"/>
      </rPr>
      <t xml:space="preserve">「検算用」ファイルの料率</t>
    </r>
  </si>
  <si>
    <t xml:space="preserve">区分</t>
  </si>
  <si>
    <t xml:space="preserve">掛金率（‰）</t>
  </si>
  <si>
    <t xml:space="preserve">負担金率（‰）</t>
  </si>
  <si>
    <t xml:space="preserve">算定基礎となる標準報酬月額</t>
  </si>
  <si>
    <t xml:space="preserve">厚生年金保険</t>
  </si>
  <si>
    <t xml:space="preserve">退職等年金</t>
  </si>
  <si>
    <t xml:space="preserve">―</t>
  </si>
  <si>
    <t xml:space="preserve">子ども・子育て支援納付金</t>
  </si>
  <si>
    <t xml:space="preserve">短期（短期と同じ）</t>
  </si>
  <si>
    <t xml:space="preserve">追加費用相当（市局型のみ・事業主の厚生年金）</t>
  </si>
  <si>
    <t xml:space="preserve">長期（免除者を含む総額）</t>
  </si>
  <si>
    <t xml:space="preserve">市・局等の事業主負担は、通常の負担金率にこの分が総額に対して加算されます（報告書の実績から算出）</t>
  </si>
  <si>
    <t xml:space="preserve">短期の上乗せ（市局型のみ・事業主負担金）</t>
  </si>
  <si>
    <t xml:space="preserve">短期（免除者を含む総額）</t>
  </si>
  <si>
    <t xml:space="preserve">■ ブロック一覧（明細表の月ブロックとの対応）</t>
  </si>
  <si>
    <r>
      <rPr>
        <b val="true"/>
        <sz val="10"/>
        <color rgb="FFFFFFFF"/>
        <rFont val="WenQuanYi Zen Hei"/>
        <family val="2"/>
      </rPr>
      <t xml:space="preserve">ブロック</t>
    </r>
    <r>
      <rPr>
        <b val="true"/>
        <sz val="10"/>
        <color rgb="FFFFFFFF"/>
        <rFont val="Meiryo UI"/>
        <family val="0"/>
        <charset val="1"/>
      </rPr>
      <t xml:space="preserve">ID</t>
    </r>
  </si>
  <si>
    <t xml:space="preserve">年月</t>
  </si>
  <si>
    <r>
      <rPr>
        <b val="true"/>
        <sz val="10"/>
        <color rgb="FFFFFFFF"/>
        <rFont val="WenQuanYi Zen Hei"/>
        <family val="2"/>
      </rPr>
      <t xml:space="preserve">前ブロック</t>
    </r>
    <r>
      <rPr>
        <b val="true"/>
        <sz val="10"/>
        <color rgb="FFFFFFFF"/>
        <rFont val="Meiryo UI"/>
        <family val="0"/>
        <charset val="1"/>
      </rPr>
      <t xml:space="preserve">ID</t>
    </r>
    <r>
      <rPr>
        <b val="true"/>
        <sz val="10"/>
        <color rgb="FFFFFFFF"/>
        <rFont val="WenQuanYi Zen Hei"/>
        <family val="2"/>
      </rPr>
      <t xml:space="preserve">（前月比用）</t>
    </r>
  </si>
  <si>
    <t xml:space="preserve">☆掛負収入のヘッダ行</t>
  </si>
  <si>
    <t xml:space="preserve">月例</t>
  </si>
  <si>
    <t xml:space="preserve">※年月は明細表ブロックの見出し日付。区分「賞与」は期末・勤勉手当等の別ブロック。</t>
  </si>
  <si>
    <t xml:space="preserve">賞与</t>
  </si>
  <si>
    <t xml:space="preserve">■ 経理区分・借方科目</t>
  </si>
  <si>
    <t xml:space="preserve">長期（厚生年金保険経理）</t>
  </si>
  <si>
    <t xml:space="preserve">130</t>
  </si>
  <si>
    <t xml:space="preserve">1104001001</t>
  </si>
  <si>
    <t xml:space="preserve">普広銀市役所</t>
  </si>
  <si>
    <t xml:space="preserve">伝票画面のスクリーンショットより</t>
  </si>
  <si>
    <t xml:space="preserve">短期経理</t>
  </si>
  <si>
    <t xml:space="preserve">★未入力：経理コード・借方科目を入力してください</t>
  </si>
  <si>
    <t xml:space="preserve">介護経理</t>
  </si>
  <si>
    <t xml:space="preserve">子ども・子育て支援納付金経理</t>
  </si>
  <si>
    <t xml:space="preserve">■ 貸方科目（明細表の列 → 伝票の貸方行）</t>
  </si>
  <si>
    <t xml:space="preserve">No</t>
  </si>
  <si>
    <r>
      <rPr>
        <b val="true"/>
        <sz val="10"/>
        <color rgb="FFFFFFFF"/>
        <rFont val="WenQuanYi Zen Hei"/>
        <family val="2"/>
      </rPr>
      <t xml:space="preserve">経理区分</t>
    </r>
    <r>
      <rPr>
        <b val="true"/>
        <sz val="10"/>
        <color rgb="FFFFFFFF"/>
        <rFont val="Meiryo UI"/>
        <family val="0"/>
        <charset val="1"/>
      </rPr>
      <t xml:space="preserve">No</t>
    </r>
  </si>
  <si>
    <t xml:space="preserve">項目（明細表の列）</t>
  </si>
  <si>
    <t xml:space="preserve">長期：厚生年金保険料（組合員負担分）</t>
  </si>
  <si>
    <t xml:space="preserve">6102102000</t>
  </si>
  <si>
    <t xml:space="preserve">標月額保険料</t>
  </si>
  <si>
    <t xml:space="preserve">長期：退職等年金掛金</t>
  </si>
  <si>
    <t xml:space="preserve">2109001014</t>
  </si>
  <si>
    <t xml:space="preserve">退職標報掛金</t>
  </si>
  <si>
    <t xml:space="preserve">長期：厚生年金保険料（事業主負担分）</t>
  </si>
  <si>
    <t xml:space="preserve">6101002000</t>
  </si>
  <si>
    <t xml:space="preserve">負担地方公共</t>
  </si>
  <si>
    <t xml:space="preserve">長期：退職等年金負担金</t>
  </si>
  <si>
    <t xml:space="preserve">2109001015</t>
  </si>
  <si>
    <t xml:space="preserve">退職負担地方</t>
  </si>
  <si>
    <t xml:space="preserve">長期：経過的長期</t>
  </si>
  <si>
    <t xml:space="preserve">2109001017</t>
  </si>
  <si>
    <t xml:space="preserve">経過的負担金</t>
  </si>
  <si>
    <t xml:space="preserve">短期：掛金</t>
  </si>
  <si>
    <t xml:space="preserve">★未入力：科目コード・科目名を入力してください</t>
  </si>
  <si>
    <t xml:space="preserve">短期：負担金</t>
  </si>
  <si>
    <t xml:space="preserve">介護：掛金</t>
  </si>
  <si>
    <t xml:space="preserve">介護：負担金</t>
  </si>
  <si>
    <t xml:space="preserve">子ども・子育て支援納付金：掛金</t>
  </si>
  <si>
    <t xml:space="preserve">子ども・子育て支援納付金：負担金</t>
  </si>
  <si>
    <t xml:space="preserve">■ 団体マスタ（☆掛負収入の並び順）</t>
  </si>
  <si>
    <r>
      <rPr>
        <sz val="10"/>
        <color rgb="FF595959"/>
        <rFont val="WenQuanYi Zen Hei"/>
        <family val="2"/>
      </rPr>
      <t xml:space="preserve">負担率区分：市局型＝市・局等（事業主の厚生年金・短期負担金に追加費用相当などが加算される）／外郭型＝外郭団体等（負担金率どおり）。個人掛金あり</t>
    </r>
    <r>
      <rPr>
        <sz val="10"/>
        <color rgb="FF595959"/>
        <rFont val="Meiryo UI"/>
        <family val="0"/>
        <charset val="1"/>
      </rPr>
      <t xml:space="preserve">=N</t>
    </r>
    <r>
      <rPr>
        <sz val="10"/>
        <color rgb="FF595959"/>
        <rFont val="WenQuanYi Zen Hei"/>
        <family val="2"/>
      </rPr>
      <t xml:space="preserve">：組合員負担分（掛金）をこの報告で納めない団体（検算で掛金項目を比較しません）。初期値は過去の実績から設定。検算対象：ヒアリングで「ボリュームが多く検算対象外」とされた</t>
    </r>
    <r>
      <rPr>
        <sz val="10"/>
        <color rgb="FF595959"/>
        <rFont val="Meiryo UI"/>
        <family val="0"/>
        <charset val="1"/>
      </rPr>
      <t xml:space="preserve">5</t>
    </r>
    <r>
      <rPr>
        <sz val="10"/>
        <color rgb="FF595959"/>
        <rFont val="WenQuanYi Zen Hei"/>
        <family val="2"/>
      </rPr>
      <t xml:space="preserve">団体を </t>
    </r>
    <r>
      <rPr>
        <sz val="10"/>
        <color rgb="FF595959"/>
        <rFont val="Meiryo UI"/>
        <family val="0"/>
        <charset val="1"/>
      </rPr>
      <t xml:space="preserve">N </t>
    </r>
    <r>
      <rPr>
        <sz val="10"/>
        <color rgb="FF595959"/>
        <rFont val="WenQuanYi Zen Hei"/>
        <family val="2"/>
      </rPr>
      <t xml:space="preserve">にしています。振込方式の初期値は「合算」です。団体ごとに実態へ合わせて変更してください（入金照合の期待額が変わります）。</t>
    </r>
  </si>
  <si>
    <t xml:space="preserve">振込方式の期待入金額</t>
  </si>
  <si>
    <t xml:space="preserve">分類</t>
  </si>
  <si>
    <r>
      <rPr>
        <b val="true"/>
        <sz val="10"/>
        <color rgb="FFFFFFFF"/>
        <rFont val="WenQuanYi Zen Hei"/>
        <family val="2"/>
      </rPr>
      <t xml:space="preserve">検算対象（</t>
    </r>
    <r>
      <rPr>
        <b val="true"/>
        <sz val="10"/>
        <color rgb="FFFFFFFF"/>
        <rFont val="Meiryo UI"/>
        <family val="0"/>
        <charset val="1"/>
      </rPr>
      <t xml:space="preserve">Y/N</t>
    </r>
    <r>
      <rPr>
        <b val="true"/>
        <sz val="10"/>
        <color rgb="FFFFFFFF"/>
        <rFont val="WenQuanYi Zen Hei"/>
        <family val="2"/>
      </rPr>
      <t xml:space="preserve">）</t>
    </r>
  </si>
  <si>
    <r>
      <rPr>
        <b val="true"/>
        <sz val="10"/>
        <color rgb="FFFFFFFF"/>
        <rFont val="WenQuanYi Zen Hei"/>
        <family val="2"/>
      </rPr>
      <t xml:space="preserve">個人掛金あり（</t>
    </r>
    <r>
      <rPr>
        <b val="true"/>
        <sz val="10"/>
        <color rgb="FFFFFFFF"/>
        <rFont val="Meiryo UI"/>
        <family val="0"/>
        <charset val="1"/>
      </rPr>
      <t xml:space="preserve">Y/N</t>
    </r>
    <r>
      <rPr>
        <b val="true"/>
        <sz val="10"/>
        <color rgb="FFFFFFFF"/>
        <rFont val="WenQuanYi Zen Hei"/>
        <family val="2"/>
      </rPr>
      <t xml:space="preserve">）</t>
    </r>
  </si>
  <si>
    <t xml:space="preserve">合算：①総額</t>
  </si>
  <si>
    <t xml:space="preserve">市・局等</t>
  </si>
  <si>
    <t xml:space="preserve">合算</t>
  </si>
  <si>
    <t xml:space="preserve">市局型</t>
  </si>
  <si>
    <t xml:space="preserve">ヒアリングで検算対象外</t>
  </si>
  <si>
    <t xml:space="preserve">掛金・負担金別：①掛金計　②負担金計</t>
  </si>
  <si>
    <t xml:space="preserve">経理区分別：①長期計　②短期計　③介護計　④子ども・子育て計</t>
  </si>
  <si>
    <t xml:space="preserve">外郭団体等</t>
  </si>
  <si>
    <t xml:space="preserve">外郭型</t>
  </si>
  <si>
    <t xml:space="preserve">負担率が特殊なため対象外</t>
  </si>
  <si>
    <t xml:space="preserve">株式会社</t>
  </si>
  <si>
    <t xml:space="preserve">労働組合</t>
  </si>
  <si>
    <t xml:space="preserve">任意継続</t>
  </si>
  <si>
    <r>
      <rPr>
        <sz val="10"/>
        <rFont val="WenQuanYi Zen Hei"/>
        <family val="2"/>
      </rPr>
      <t xml:space="preserve">標準報酬月額による検算になじまないため </t>
    </r>
    <r>
      <rPr>
        <sz val="10"/>
        <rFont val="Meiryo UI"/>
        <family val="0"/>
        <charset val="1"/>
      </rPr>
      <t xml:space="preserve">N</t>
    </r>
  </si>
  <si>
    <t xml:space="preserve">伝票元（計算用シート：触らないでください）</t>
  </si>
  <si>
    <t xml:space="preserve">伝票入力シートの元データ。経理区分→団体→貸方科目の順に候補行を作り、対象の行だけを抜き出します。</t>
  </si>
  <si>
    <t xml:space="preserve">経理</t>
  </si>
  <si>
    <t xml:space="preserve">対象</t>
  </si>
  <si>
    <t xml:space="preserve">伝票キー</t>
  </si>
  <si>
    <t xml:space="preserve">伝票内件数</t>
  </si>
  <si>
    <t xml:space="preserve">対象連番</t>
  </si>
  <si>
    <t xml:space="preserve">伝票番号</t>
  </si>
  <si>
    <t xml:space="preserve">借方合計</t>
  </si>
  <si>
    <r>
      <rPr>
        <sz val="14"/>
        <color rgb="FF993300"/>
        <rFont val="WenQuanYi Zen Hei"/>
        <family val="2"/>
        <charset val="1"/>
      </rPr>
      <t xml:space="preserve">令和</t>
    </r>
    <r>
      <rPr>
        <sz val="14"/>
        <color rgb="FF993300"/>
        <rFont val="ＭＳ 明朝"/>
        <family val="1"/>
        <charset val="128"/>
      </rPr>
      <t xml:space="preserve">8</t>
    </r>
    <r>
      <rPr>
        <sz val="14"/>
        <color rgb="FF993300"/>
        <rFont val="WenQuanYi Zen Hei"/>
        <family val="2"/>
        <charset val="1"/>
      </rPr>
      <t xml:space="preserve">年度</t>
    </r>
  </si>
  <si>
    <r>
      <rPr>
        <sz val="14"/>
        <rFont val="ＭＳ 明朝"/>
        <family val="1"/>
        <charset val="128"/>
      </rPr>
      <t xml:space="preserve">2026-04 </t>
    </r>
    <r>
      <rPr>
        <sz val="14"/>
        <rFont val="WenQuanYi Zen Hei"/>
        <family val="2"/>
      </rPr>
      <t xml:space="preserve">月例</t>
    </r>
  </si>
  <si>
    <t xml:space="preserve">区　　分</t>
  </si>
  <si>
    <t xml:space="preserve">長　期　経　理</t>
  </si>
  <si>
    <t xml:space="preserve">短　期　経　理</t>
  </si>
  <si>
    <t xml:space="preserve">介　護　納　付　金</t>
  </si>
  <si>
    <t xml:space="preserve">組合員負担分</t>
  </si>
  <si>
    <t xml:space="preserve">事業主負担分</t>
  </si>
  <si>
    <t xml:space="preserve">計</t>
  </si>
  <si>
    <t xml:space="preserve">掛　金</t>
  </si>
  <si>
    <t xml:space="preserve">負担金</t>
  </si>
  <si>
    <t xml:space="preserve">厚生年金保険料</t>
  </si>
  <si>
    <t xml:space="preserve">退職等年金掛金</t>
  </si>
  <si>
    <t xml:space="preserve">退職等年金負担金</t>
  </si>
  <si>
    <r>
      <rPr>
        <sz val="11"/>
        <rFont val="WenQuanYi Zen Hei"/>
        <family val="2"/>
        <charset val="1"/>
      </rPr>
      <t xml:space="preserve">医療政策課</t>
    </r>
    <r>
      <rPr>
        <sz val="11"/>
        <rFont val="ＭＳ 明朝"/>
        <family val="1"/>
        <charset val="128"/>
      </rPr>
      <t xml:space="preserve">(</t>
    </r>
    <r>
      <rPr>
        <sz val="11"/>
        <rFont val="WenQuanYi Zen Hei"/>
        <family val="2"/>
        <charset val="1"/>
      </rPr>
      <t xml:space="preserve">安芸市民</t>
    </r>
    <r>
      <rPr>
        <sz val="11"/>
        <rFont val="ＭＳ 明朝"/>
        <family val="1"/>
        <charset val="128"/>
      </rPr>
      <t xml:space="preserve">)</t>
    </r>
  </si>
  <si>
    <t xml:space="preserve">　</t>
  </si>
  <si>
    <t xml:space="preserve">小　計</t>
  </si>
  <si>
    <r>
      <rPr>
        <b val="true"/>
        <sz val="12"/>
        <color rgb="FFFFFFFF"/>
        <rFont val="ＭＳ 明朝"/>
        <family val="1"/>
        <charset val="128"/>
      </rPr>
      <t xml:space="preserve">←4</t>
    </r>
    <r>
      <rPr>
        <b val="true"/>
        <sz val="12"/>
        <color rgb="FFFFFFFF"/>
        <rFont val="WenQuanYi Zen Hei"/>
        <family val="2"/>
        <charset val="1"/>
      </rPr>
      <t xml:space="preserve">月のみ前受収益分等を含む</t>
    </r>
  </si>
  <si>
    <t xml:space="preserve">総　　計</t>
  </si>
  <si>
    <t xml:space="preserve"> </t>
  </si>
  <si>
    <r>
      <rPr>
        <sz val="14"/>
        <rFont val="ＭＳ ゴシック"/>
        <family val="3"/>
        <charset val="128"/>
      </rPr>
      <t xml:space="preserve">2026-05 </t>
    </r>
    <r>
      <rPr>
        <sz val="14"/>
        <rFont val="WenQuanYi Zen Hei"/>
        <family val="2"/>
      </rPr>
      <t xml:space="preserve">月例</t>
    </r>
  </si>
  <si>
    <r>
      <rPr>
        <sz val="14"/>
        <rFont val="ＭＳ ゴシック"/>
        <family val="3"/>
        <charset val="128"/>
      </rPr>
      <t xml:space="preserve">2026-06 </t>
    </r>
    <r>
      <rPr>
        <sz val="14"/>
        <rFont val="WenQuanYi Zen Hei"/>
        <family val="2"/>
      </rPr>
      <t xml:space="preserve">月例</t>
    </r>
  </si>
  <si>
    <r>
      <rPr>
        <sz val="14"/>
        <rFont val="ＭＳ ゴシック"/>
        <family val="3"/>
        <charset val="128"/>
      </rPr>
      <t xml:space="preserve">2026-06 </t>
    </r>
    <r>
      <rPr>
        <sz val="14"/>
        <rFont val="WenQuanYi Zen Hei"/>
        <family val="2"/>
      </rPr>
      <t xml:space="preserve">賞与</t>
    </r>
  </si>
  <si>
    <r>
      <rPr>
        <sz val="14"/>
        <rFont val="ＭＳ ゴシック"/>
        <family val="3"/>
        <charset val="128"/>
      </rPr>
      <t xml:space="preserve">2026-07 </t>
    </r>
    <r>
      <rPr>
        <sz val="14"/>
        <rFont val="WenQuanYi Zen Hei"/>
        <family val="2"/>
      </rPr>
      <t xml:space="preserve">月例</t>
    </r>
  </si>
  <si>
    <r>
      <rPr>
        <sz val="14"/>
        <rFont val="ＭＳ ゴシック"/>
        <family val="3"/>
        <charset val="128"/>
      </rPr>
      <t xml:space="preserve">2026-08 </t>
    </r>
    <r>
      <rPr>
        <sz val="14"/>
        <rFont val="WenQuanYi Zen Hei"/>
        <family val="2"/>
      </rPr>
      <t xml:space="preserve">月例</t>
    </r>
  </si>
  <si>
    <r>
      <rPr>
        <sz val="14"/>
        <rFont val="ＭＳ ゴシック"/>
        <family val="3"/>
        <charset val="128"/>
      </rPr>
      <t xml:space="preserve">2026-09 </t>
    </r>
    <r>
      <rPr>
        <sz val="14"/>
        <rFont val="WenQuanYi Zen Hei"/>
        <family val="2"/>
      </rPr>
      <t xml:space="preserve">月例</t>
    </r>
  </si>
  <si>
    <r>
      <rPr>
        <sz val="14"/>
        <rFont val="ＭＳ ゴシック"/>
        <family val="3"/>
        <charset val="128"/>
      </rPr>
      <t xml:space="preserve">2026-10 </t>
    </r>
    <r>
      <rPr>
        <sz val="14"/>
        <rFont val="WenQuanYi Zen Hei"/>
        <family val="2"/>
      </rPr>
      <t xml:space="preserve">月例</t>
    </r>
  </si>
  <si>
    <r>
      <rPr>
        <sz val="14"/>
        <rFont val="ＭＳ ゴシック"/>
        <family val="3"/>
        <charset val="128"/>
      </rPr>
      <t xml:space="preserve">2026-11 </t>
    </r>
    <r>
      <rPr>
        <sz val="14"/>
        <rFont val="WenQuanYi Zen Hei"/>
        <family val="2"/>
      </rPr>
      <t xml:space="preserve">月例</t>
    </r>
  </si>
  <si>
    <t xml:space="preserve">                                                                                                                                                                                               </t>
  </si>
  <si>
    <r>
      <rPr>
        <sz val="14"/>
        <rFont val="ＭＳ ゴシック"/>
        <family val="3"/>
        <charset val="128"/>
      </rPr>
      <t xml:space="preserve">2026-12 </t>
    </r>
    <r>
      <rPr>
        <sz val="14"/>
        <rFont val="WenQuanYi Zen Hei"/>
        <family val="2"/>
      </rPr>
      <t xml:space="preserve">賞与</t>
    </r>
  </si>
  <si>
    <r>
      <rPr>
        <sz val="14"/>
        <rFont val="ＭＳ ゴシック"/>
        <family val="3"/>
        <charset val="128"/>
      </rPr>
      <t xml:space="preserve">2026-12 </t>
    </r>
    <r>
      <rPr>
        <sz val="14"/>
        <rFont val="WenQuanYi Zen Hei"/>
        <family val="2"/>
      </rPr>
      <t xml:space="preserve">月例</t>
    </r>
  </si>
  <si>
    <t xml:space="preserve">　　　　</t>
  </si>
  <si>
    <r>
      <rPr>
        <sz val="14"/>
        <rFont val="ＭＳ ゴシック"/>
        <family val="3"/>
        <charset val="128"/>
      </rPr>
      <t xml:space="preserve">2027-01 </t>
    </r>
    <r>
      <rPr>
        <sz val="14"/>
        <rFont val="WenQuanYi Zen Hei"/>
        <family val="2"/>
      </rPr>
      <t xml:space="preserve">月例</t>
    </r>
  </si>
  <si>
    <r>
      <rPr>
        <sz val="14"/>
        <rFont val="ＭＳ ゴシック"/>
        <family val="3"/>
        <charset val="128"/>
      </rPr>
      <t xml:space="preserve">2027-02 </t>
    </r>
    <r>
      <rPr>
        <sz val="14"/>
        <rFont val="WenQuanYi Zen Hei"/>
        <family val="2"/>
      </rPr>
      <t xml:space="preserve">月例</t>
    </r>
  </si>
  <si>
    <r>
      <rPr>
        <sz val="14"/>
        <rFont val="ＭＳ ゴシック"/>
        <family val="3"/>
        <charset val="128"/>
      </rPr>
      <t xml:space="preserve">2027-03 </t>
    </r>
    <r>
      <rPr>
        <sz val="14"/>
        <rFont val="WenQuanYi Zen Hei"/>
        <family val="2"/>
      </rPr>
      <t xml:space="preserve">賞与</t>
    </r>
  </si>
  <si>
    <r>
      <rPr>
        <sz val="14"/>
        <rFont val="ＭＳ ゴシック"/>
        <family val="3"/>
        <charset val="128"/>
      </rPr>
      <t xml:space="preserve">2027-03 </t>
    </r>
    <r>
      <rPr>
        <sz val="14"/>
        <rFont val="WenQuanYi Zen Hei"/>
        <family val="2"/>
      </rPr>
      <t xml:space="preserve">月例</t>
    </r>
  </si>
  <si>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月分 </t>
    </r>
  </si>
  <si>
    <t xml:space="preserve">市長部局等　計</t>
  </si>
  <si>
    <t xml:space="preserve">派遣団体　計</t>
  </si>
  <si>
    <t xml:space="preserve">株式会社　計</t>
  </si>
  <si>
    <t xml:space="preserve">労働組合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</si>
  <si>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12</t>
    </r>
    <r>
      <rPr>
        <b val="true"/>
        <sz val="14"/>
        <color rgb="FF0000FF"/>
        <rFont val="WenQuanYi Zen Hei"/>
        <family val="2"/>
        <charset val="1"/>
      </rPr>
      <t xml:space="preserve">月分 </t>
    </r>
  </si>
  <si>
    <t xml:space="preserve">追加費用</t>
  </si>
  <si>
    <t xml:space="preserve">追加費用
（厚生年金）</t>
  </si>
  <si>
    <r>
      <rPr>
        <sz val="14"/>
        <rFont val="WenQuanYi Zen Hei"/>
        <family val="2"/>
        <charset val="1"/>
      </rPr>
      <t xml:space="preserve">追加費用
</t>
    </r>
    <r>
      <rPr>
        <sz val="11"/>
        <rFont val="WenQuanYi Zen Hei"/>
        <family val="2"/>
        <charset val="1"/>
      </rPr>
      <t xml:space="preserve">（経過的長期）</t>
    </r>
  </si>
  <si>
    <t xml:space="preserve">教育委員会</t>
  </si>
  <si>
    <t xml:space="preserve">総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</si>
  <si>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t>
    </r>
    <r>
      <rPr>
        <b val="true"/>
        <sz val="14"/>
        <color rgb="FF0000FF"/>
        <rFont val="ＭＳ ゴシック"/>
        <family val="3"/>
        <charset val="128"/>
      </rPr>
      <t xml:space="preserve">+12</t>
    </r>
    <r>
      <rPr>
        <b val="true"/>
        <sz val="14"/>
        <color rgb="FF0000FF"/>
        <rFont val="WenQuanYi Zen Hei"/>
        <family val="2"/>
        <charset val="1"/>
      </rPr>
      <t xml:space="preserve">月分 </t>
    </r>
  </si>
  <si>
    <r>
      <rPr>
        <sz val="12"/>
        <rFont val="WenQuanYi Zen Hei"/>
        <family val="2"/>
        <charset val="1"/>
      </rPr>
      <t xml:space="preserve">【参考】賞与支給率　※差額分</t>
    </r>
    <r>
      <rPr>
        <sz val="12"/>
        <rFont val="ＭＳ 明朝"/>
        <family val="1"/>
        <charset val="128"/>
      </rPr>
      <t xml:space="preserve">6</t>
    </r>
    <r>
      <rPr>
        <sz val="12"/>
        <rFont val="WenQuanYi Zen Hei"/>
        <family val="2"/>
        <charset val="1"/>
      </rPr>
      <t xml:space="preserve">月と</t>
    </r>
    <r>
      <rPr>
        <sz val="12"/>
        <rFont val="ＭＳ 明朝"/>
        <family val="1"/>
        <charset val="128"/>
      </rPr>
      <t xml:space="preserve">12</t>
    </r>
    <r>
      <rPr>
        <sz val="12"/>
        <rFont val="WenQuanYi Zen Hei"/>
        <family val="2"/>
        <charset val="1"/>
      </rPr>
      <t xml:space="preserve">月の按分に使用</t>
    </r>
  </si>
  <si>
    <r>
      <rPr>
        <sz val="12"/>
        <rFont val="ＭＳ ゴシック"/>
        <family val="3"/>
        <charset val="128"/>
      </rPr>
      <t xml:space="preserve">6</t>
    </r>
    <r>
      <rPr>
        <sz val="12"/>
        <rFont val="WenQuanYi Zen Hei"/>
        <family val="2"/>
        <charset val="1"/>
      </rPr>
      <t xml:space="preserve">月</t>
    </r>
  </si>
  <si>
    <r>
      <rPr>
        <sz val="12"/>
        <rFont val="ＭＳ ゴシック"/>
        <family val="3"/>
        <charset val="128"/>
      </rPr>
      <t xml:space="preserve">12</t>
    </r>
    <r>
      <rPr>
        <sz val="12"/>
        <rFont val="WenQuanYi Zen Hei"/>
        <family val="2"/>
        <charset val="1"/>
      </rPr>
      <t xml:space="preserve">月</t>
    </r>
  </si>
  <si>
    <t xml:space="preserve">情報システム機構</t>
  </si>
  <si>
    <t xml:space="preserve">掛金還付額</t>
  </si>
  <si>
    <t xml:space="preserve">★掛金免除者還付額</t>
  </si>
  <si>
    <t xml:space="preserve">（単位：円）</t>
  </si>
  <si>
    <t xml:space="preserve">★短期任意継続掛金還付額</t>
  </si>
  <si>
    <t xml:space="preserve">還付月</t>
  </si>
  <si>
    <t xml:space="preserve">厚生年金</t>
  </si>
  <si>
    <t xml:space="preserve">退職等</t>
  </si>
  <si>
    <t xml:space="preserve">子ども・子育て支援</t>
  </si>
  <si>
    <t xml:space="preserve">月合計</t>
  </si>
  <si>
    <t xml:space="preserve">区　分</t>
  </si>
  <si>
    <t xml:space="preserve">短期任継
還付額</t>
  </si>
  <si>
    <t xml:space="preserve">①</t>
  </si>
  <si>
    <t xml:space="preserve">②</t>
  </si>
  <si>
    <t xml:space="preserve">③</t>
  </si>
  <si>
    <t xml:space="preserve">④</t>
  </si>
  <si>
    <t xml:space="preserve">⑤</t>
  </si>
  <si>
    <t xml:space="preserve">⑥</t>
  </si>
  <si>
    <t xml:space="preserve">⑦</t>
  </si>
  <si>
    <t xml:space="preserve">⑧</t>
  </si>
  <si>
    <t xml:space="preserve">⑨</t>
  </si>
  <si>
    <t xml:space="preserve">⑩</t>
  </si>
  <si>
    <t xml:space="preserve">⑪</t>
  </si>
  <si>
    <t xml:space="preserve">⑫</t>
  </si>
  <si>
    <t xml:space="preserve">⑬</t>
  </si>
  <si>
    <t xml:space="preserve">⑭</t>
  </si>
  <si>
    <t xml:space="preserve">⑮</t>
  </si>
  <si>
    <t xml:space="preserve">４月</t>
  </si>
  <si>
    <t xml:space="preserve">５月</t>
  </si>
  <si>
    <t xml:space="preserve">６月</t>
  </si>
  <si>
    <t xml:space="preserve">７月</t>
  </si>
  <si>
    <t xml:space="preserve">８月</t>
  </si>
  <si>
    <t xml:space="preserve">９月</t>
  </si>
  <si>
    <t xml:space="preserve">１０月</t>
  </si>
  <si>
    <t xml:space="preserve">１１月</t>
  </si>
  <si>
    <t xml:space="preserve">１２月</t>
  </si>
  <si>
    <t xml:space="preserve">１月</t>
  </si>
  <si>
    <t xml:space="preserve">２月</t>
  </si>
  <si>
    <t xml:space="preserve">３月</t>
  </si>
  <si>
    <t xml:space="preserve">年度計</t>
  </si>
  <si>
    <t xml:space="preserve">★その他還付額（個人別内訳は別表）</t>
  </si>
  <si>
    <t xml:space="preserve">★介護任意継続掛金還付額</t>
  </si>
  <si>
    <t xml:space="preserve">介護任継
還付額</t>
  </si>
  <si>
    <t xml:space="preserve">★その他還付の内訳</t>
  </si>
  <si>
    <r>
      <rPr>
        <sz val="11"/>
        <color rgb="FF000000"/>
        <rFont val="ＭＳ 明朝"/>
        <family val="1"/>
        <charset val="128"/>
      </rPr>
      <t xml:space="preserve">(6080162 </t>
    </r>
    <r>
      <rPr>
        <sz val="11"/>
        <color rgb="FF000000"/>
        <rFont val="WenQuanYi Zen Hei"/>
        <family val="2"/>
        <charset val="1"/>
      </rPr>
      <t xml:space="preserve">長尾くみ子外</t>
    </r>
    <r>
      <rPr>
        <sz val="11"/>
        <color rgb="FF000000"/>
        <rFont val="ＭＳ 明朝"/>
        <family val="1"/>
        <charset val="128"/>
      </rPr>
      <t xml:space="preserve">2</t>
    </r>
    <r>
      <rPr>
        <sz val="11"/>
        <color rgb="FF000000"/>
        <rFont val="WenQuanYi Zen Hei"/>
        <family val="2"/>
        <charset val="1"/>
      </rPr>
      <t xml:space="preserve">名　加入情報削除による還付）</t>
    </r>
  </si>
  <si>
    <t xml:space="preserve">★子ども・子育て支援任意継続掛金還付額</t>
  </si>
  <si>
    <r>
      <rPr>
        <sz val="11"/>
        <color rgb="FFFF0000"/>
        <rFont val="ＭＳ 明朝"/>
        <family val="1"/>
        <charset val="128"/>
      </rPr>
      <t xml:space="preserve">(6284038</t>
    </r>
    <r>
      <rPr>
        <sz val="11"/>
        <color rgb="FFFF0000"/>
        <rFont val="WenQuanYi Zen Hei"/>
        <family val="2"/>
        <charset val="1"/>
      </rPr>
      <t xml:space="preserve">黒川和美ほか</t>
    </r>
    <r>
      <rPr>
        <sz val="11"/>
        <color rgb="FFFF0000"/>
        <rFont val="ＭＳ 明朝"/>
        <family val="1"/>
        <charset val="128"/>
      </rPr>
      <t xml:space="preserve">1</t>
    </r>
    <r>
      <rPr>
        <sz val="11"/>
        <color rgb="FFFF0000"/>
        <rFont val="WenQuanYi Zen Hei"/>
        <family val="2"/>
        <charset val="1"/>
      </rPr>
      <t xml:space="preserve">名 </t>
    </r>
    <r>
      <rPr>
        <sz val="11"/>
        <color rgb="FFFF0000"/>
        <rFont val="ＭＳ 明朝"/>
        <family val="1"/>
        <charset val="128"/>
      </rPr>
      <t xml:space="preserve">R5.4.1</t>
    </r>
    <r>
      <rPr>
        <sz val="11"/>
        <color rgb="FFFF0000"/>
        <rFont val="WenQuanYi Zen Hei"/>
        <family val="2"/>
        <charset val="1"/>
      </rPr>
      <t xml:space="preserve">から共済組合非加入</t>
    </r>
    <r>
      <rPr>
        <sz val="11"/>
        <color rgb="FFFF0000"/>
        <rFont val="ＭＳ 明朝"/>
        <family val="1"/>
        <charset val="128"/>
      </rPr>
      <t xml:space="preserve">)</t>
    </r>
  </si>
  <si>
    <r>
      <rPr>
        <sz val="11"/>
        <color rgb="FFFF0000"/>
        <rFont val="ＭＳ 明朝"/>
        <family val="1"/>
        <charset val="128"/>
      </rPr>
      <t xml:space="preserve">(5387121</t>
    </r>
    <r>
      <rPr>
        <sz val="11"/>
        <color rgb="FFFF0000"/>
        <rFont val="WenQuanYi Zen Hei"/>
        <family val="2"/>
        <charset val="1"/>
      </rPr>
      <t xml:space="preserve">田中寿美子ほか</t>
    </r>
    <r>
      <rPr>
        <sz val="11"/>
        <color rgb="FFFF0000"/>
        <rFont val="ＭＳ 明朝"/>
        <family val="1"/>
        <charset val="128"/>
      </rPr>
      <t xml:space="preserve">2</t>
    </r>
    <r>
      <rPr>
        <sz val="11"/>
        <color rgb="FFFF0000"/>
        <rFont val="WenQuanYi Zen Hei"/>
        <family val="2"/>
        <charset val="1"/>
      </rPr>
      <t xml:space="preserve">名 </t>
    </r>
    <r>
      <rPr>
        <sz val="11"/>
        <color rgb="FFFF0000"/>
        <rFont val="ＭＳ 明朝"/>
        <family val="1"/>
        <charset val="128"/>
      </rPr>
      <t xml:space="preserve">R5.5.1</t>
    </r>
    <r>
      <rPr>
        <sz val="11"/>
        <color rgb="FFFF0000"/>
        <rFont val="WenQuanYi Zen Hei"/>
        <family val="2"/>
        <charset val="1"/>
      </rPr>
      <t xml:space="preserve">資格喪失</t>
    </r>
    <r>
      <rPr>
        <sz val="11"/>
        <color rgb="FFFF0000"/>
        <rFont val="ＭＳ 明朝"/>
        <family val="1"/>
        <charset val="128"/>
      </rPr>
      <t xml:space="preserve">)</t>
    </r>
  </si>
  <si>
    <r>
      <rPr>
        <sz val="10"/>
        <color rgb="FFFF0000"/>
        <rFont val="WenQuanYi Zen Hei"/>
        <family val="2"/>
        <charset val="1"/>
      </rPr>
      <t xml:space="preserve">（ </t>
    </r>
    <r>
      <rPr>
        <sz val="10"/>
        <color rgb="FFFF0000"/>
        <rFont val="ＭＳ 明朝"/>
        <family val="1"/>
        <charset val="128"/>
      </rPr>
      <t xml:space="preserve">6783534 </t>
    </r>
    <r>
      <rPr>
        <sz val="10"/>
        <color rgb="FFFF0000"/>
        <rFont val="WenQuanYi Zen Hei"/>
        <family val="2"/>
        <charset val="1"/>
      </rPr>
      <t xml:space="preserve">中井伊都子 定時決定に係る標準報酬月額修正）</t>
    </r>
  </si>
  <si>
    <r>
      <rPr>
        <sz val="11"/>
        <color rgb="FFFF0000"/>
        <rFont val="ＭＳ 明朝"/>
        <family val="1"/>
        <charset val="128"/>
      </rPr>
      <t xml:space="preserve">(4972410</t>
    </r>
    <r>
      <rPr>
        <sz val="11"/>
        <color rgb="FFFF0000"/>
        <rFont val="WenQuanYi Zen Hei"/>
        <family val="2"/>
        <charset val="1"/>
      </rPr>
      <t xml:space="preserve">田邊貢枝ほか</t>
    </r>
    <r>
      <rPr>
        <sz val="11"/>
        <color rgb="FFFF0000"/>
        <rFont val="ＭＳ 明朝"/>
        <family val="1"/>
        <charset val="128"/>
      </rPr>
      <t xml:space="preserve">1</t>
    </r>
    <r>
      <rPr>
        <sz val="11"/>
        <color rgb="FFFF0000"/>
        <rFont val="WenQuanYi Zen Hei"/>
        <family val="2"/>
        <charset val="1"/>
      </rPr>
      <t xml:space="preserve">名 共済組合非加入</t>
    </r>
    <r>
      <rPr>
        <sz val="11"/>
        <color rgb="FFFF0000"/>
        <rFont val="ＭＳ 明朝"/>
        <family val="1"/>
        <charset val="128"/>
      </rPr>
      <t xml:space="preserve">)</t>
    </r>
  </si>
  <si>
    <t xml:space="preserve">（                           ）</t>
  </si>
  <si>
    <t xml:space="preserve">掛金未納者等の入金額</t>
  </si>
  <si>
    <t xml:space="preserve">★掛金未納者等の入金額の合計</t>
  </si>
  <si>
    <t xml:space="preserve">★掛金未納者の入金額（             　）</t>
  </si>
  <si>
    <t xml:space="preserve">預り金
（入金額）</t>
  </si>
  <si>
    <t xml:space="preserve">入金月</t>
  </si>
  <si>
    <r>
      <rPr>
        <sz val="12"/>
        <rFont val="WenQuanYi Zen Hei"/>
        <family val="2"/>
        <charset val="1"/>
      </rPr>
      <t xml:space="preserve">介護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</si>
  <si>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子ども・子育て支援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</si>
  <si>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介護
</t>
    </r>
    <r>
      <rPr>
        <sz val="7.5"/>
        <rFont val="WenQuanYi Zen Hei"/>
        <family val="2"/>
        <charset val="1"/>
      </rPr>
      <t xml:space="preserve">（預りから充当）</t>
    </r>
  </si>
  <si>
    <t xml:space="preserve">子・子</t>
  </si>
  <si>
    <r>
      <rPr>
        <sz val="12"/>
        <rFont val="WenQuanYi Zen Hei"/>
        <family val="2"/>
        <charset val="1"/>
      </rPr>
      <t xml:space="preserve">子・子
</t>
    </r>
    <r>
      <rPr>
        <sz val="7.5"/>
        <rFont val="WenQuanYi Zen Hei"/>
        <family val="2"/>
        <charset val="1"/>
      </rPr>
      <t xml:space="preserve">（預りから充当）</t>
    </r>
  </si>
  <si>
    <r>
      <rPr>
        <sz val="10"/>
        <rFont val="ＭＳ 明朝"/>
        <family val="1"/>
        <charset val="128"/>
      </rPr>
      <t xml:space="preserve">2</t>
    </r>
    <r>
      <rPr>
        <sz val="10"/>
        <rFont val="WenQuanYi Zen Hei"/>
        <family val="2"/>
        <charset val="1"/>
      </rPr>
      <t xml:space="preserve">年度末</t>
    </r>
  </si>
  <si>
    <r>
      <rPr>
        <sz val="12"/>
        <rFont val="WenQuanYi Zen Hei"/>
        <family val="2"/>
        <charset val="1"/>
      </rPr>
      <t xml:space="preserve">差額賞与</t>
    </r>
    <r>
      <rPr>
        <sz val="12"/>
        <rFont val="ＭＳ 明朝"/>
        <family val="1"/>
        <charset val="128"/>
      </rPr>
      <t xml:space="preserve">6</t>
    </r>
    <r>
      <rPr>
        <sz val="12"/>
        <rFont val="WenQuanYi Zen Hei"/>
        <family val="2"/>
        <charset val="1"/>
      </rPr>
      <t xml:space="preserve">月</t>
    </r>
  </si>
  <si>
    <r>
      <rPr>
        <sz val="12"/>
        <rFont val="WenQuanYi Zen Hei"/>
        <family val="2"/>
        <charset val="1"/>
      </rPr>
      <t xml:space="preserve">差額賞与</t>
    </r>
    <r>
      <rPr>
        <sz val="12"/>
        <rFont val="ＭＳ 明朝"/>
        <family val="1"/>
        <charset val="128"/>
      </rPr>
      <t xml:space="preserve">12</t>
    </r>
    <r>
      <rPr>
        <sz val="12"/>
        <rFont val="WenQuanYi Zen Hei"/>
        <family val="2"/>
        <charset val="1"/>
      </rPr>
      <t xml:space="preserve">月</t>
    </r>
  </si>
  <si>
    <r>
      <rPr>
        <b val="true"/>
        <sz val="12"/>
        <rFont val="WenQuanYi Zen Hei"/>
        <family val="2"/>
        <charset val="1"/>
      </rPr>
      <t xml:space="preserve">★掛金未納者の入金額（</t>
    </r>
    <r>
      <rPr>
        <b val="true"/>
        <sz val="12"/>
        <rFont val="ＭＳ ゴシック"/>
        <family val="3"/>
        <charset val="128"/>
      </rPr>
      <t xml:space="preserve">0000000</t>
    </r>
    <r>
      <rPr>
        <b val="true"/>
        <sz val="12"/>
        <rFont val="WenQuanYi Zen Hei"/>
        <family val="2"/>
        <charset val="1"/>
      </rPr>
      <t xml:space="preserve">　　　　　　　　）</t>
    </r>
  </si>
  <si>
    <r>
      <rPr>
        <b val="true"/>
        <sz val="12"/>
        <rFont val="WenQuanYi Zen Hei"/>
        <family val="2"/>
        <charset val="1"/>
      </rPr>
      <t xml:space="preserve">★配偶者同行休業者の入金額（</t>
    </r>
    <r>
      <rPr>
        <b val="true"/>
        <sz val="12"/>
        <rFont val="ＭＳ ゴシック"/>
        <family val="3"/>
        <charset val="128"/>
      </rPr>
      <t xml:space="preserve">0000000</t>
    </r>
    <r>
      <rPr>
        <b val="true"/>
        <sz val="12"/>
        <rFont val="WenQuanYi Zen Hei"/>
        <family val="2"/>
        <charset val="1"/>
      </rPr>
      <t xml:space="preserve">　　　　　　　　）</t>
    </r>
  </si>
  <si>
    <t xml:space="preserve">掛金・負担金集計（長期・短期・介護・子子）</t>
  </si>
  <si>
    <t xml:space="preserve">※長期は、厚年・退職・経過の合計。短期は、保健経理・連合会拠出金振替え前、任継掛金還付前。</t>
  </si>
  <si>
    <t xml:space="preserve">①負担金合計（長期・短期・介護・子子合計）Ⓐ＋Ⓑ＋Ⓒ＋Ⓓ</t>
  </si>
  <si>
    <t xml:space="preserve">②掛金合計（長期・短期・介護・子子合計）</t>
  </si>
  <si>
    <t xml:space="preserve">全体合計（長期・短期・介護・子子合計）①＋②</t>
  </si>
  <si>
    <r>
      <rPr>
        <sz val="12"/>
        <rFont val="WenQuanYi Zen Hei"/>
        <family val="2"/>
        <charset val="1"/>
      </rPr>
      <t xml:space="preserve">追加費用
</t>
    </r>
    <r>
      <rPr>
        <sz val="9"/>
        <rFont val="ＭＳ 明朝"/>
        <family val="1"/>
        <charset val="128"/>
      </rPr>
      <t xml:space="preserve">(</t>
    </r>
    <r>
      <rPr>
        <sz val="9"/>
        <rFont val="WenQuanYi Zen Hei"/>
        <family val="2"/>
        <charset val="1"/>
      </rPr>
      <t xml:space="preserve">全て事業主負担</t>
    </r>
    <r>
      <rPr>
        <sz val="9"/>
        <rFont val="ＭＳ 明朝"/>
        <family val="1"/>
        <charset val="128"/>
      </rPr>
      <t xml:space="preserve">)</t>
    </r>
  </si>
  <si>
    <r>
      <rPr>
        <sz val="14"/>
        <rFont val="ＭＳ 明朝"/>
        <family val="1"/>
        <charset val="128"/>
      </rPr>
      <t xml:space="preserve">(</t>
    </r>
    <r>
      <rPr>
        <sz val="14"/>
        <rFont val="WenQuanYi Zen Hei"/>
        <family val="2"/>
        <charset val="1"/>
      </rPr>
      <t xml:space="preserve">ア</t>
    </r>
    <r>
      <rPr>
        <sz val="14"/>
        <rFont val="ＭＳ 明朝"/>
        <family val="1"/>
        <charset val="128"/>
      </rPr>
      <t xml:space="preserve">)</t>
    </r>
    <r>
      <rPr>
        <sz val="14"/>
        <rFont val="WenQuanYi Zen Hei"/>
        <family val="2"/>
        <charset val="1"/>
      </rPr>
      <t xml:space="preserve">長期合計（厚年・退職・経過の合計）</t>
    </r>
  </si>
  <si>
    <r>
      <rPr>
        <sz val="12"/>
        <rFont val="ＭＳ Ｐ明朝"/>
        <family val="1"/>
        <charset val="128"/>
      </rPr>
      <t xml:space="preserve">※OFFSET</t>
    </r>
    <r>
      <rPr>
        <sz val="12"/>
        <rFont val="WenQuanYi Zen Hei"/>
        <family val="2"/>
        <charset val="1"/>
      </rPr>
      <t xml:space="preserve">関数計算用</t>
    </r>
    <r>
      <rPr>
        <sz val="12"/>
        <rFont val="ＭＳ Ｐ明朝"/>
        <family val="1"/>
        <charset val="128"/>
      </rPr>
      <t xml:space="preserve">(</t>
    </r>
    <r>
      <rPr>
        <sz val="12"/>
        <rFont val="WenQuanYi Zen Hei"/>
        <family val="2"/>
        <charset val="1"/>
      </rPr>
      <t xml:space="preserve">移動・削除・数値変更しないこと</t>
    </r>
    <r>
      <rPr>
        <sz val="12"/>
        <rFont val="ＭＳ Ｐ明朝"/>
        <family val="1"/>
        <charset val="128"/>
      </rPr>
      <t xml:space="preserve">!)</t>
    </r>
  </si>
  <si>
    <t xml:space="preserve">広島市</t>
  </si>
  <si>
    <t xml:space="preserve">派遣団体</t>
  </si>
  <si>
    <t xml:space="preserve">負担金合計</t>
  </si>
  <si>
    <t xml:space="preserve">長　期</t>
  </si>
  <si>
    <r>
      <rPr>
        <sz val="12"/>
        <rFont val="WenQuanYi Zen Hei"/>
        <family val="2"/>
        <charset val="1"/>
      </rPr>
      <t xml:space="preserve">短　期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</si>
  <si>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介　護
(任継含む)</t>
  </si>
  <si>
    <r>
      <rPr>
        <sz val="12"/>
        <rFont val="WenQuanYi Zen Hei"/>
        <family val="2"/>
        <charset val="1"/>
      </rPr>
      <t xml:space="preserve">子・子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</si>
  <si>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掛金合計</t>
  </si>
  <si>
    <t xml:space="preserve">掛金負担金
還付・入金前計</t>
  </si>
  <si>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長期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</si>
  <si>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短期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</si>
  <si>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介護</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</si>
  <si>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子・子</t>
    </r>
    <r>
      <rPr>
        <sz val="9"/>
        <rFont val="ＭＳ 明朝"/>
        <family val="1"/>
        <charset val="128"/>
      </rPr>
      <t xml:space="preserve">)</t>
    </r>
  </si>
  <si>
    <t xml:space="preserve">掛　　金
還付・入金後計</t>
  </si>
  <si>
    <t xml:space="preserve">掛金負担金
最終合計</t>
  </si>
  <si>
    <t xml:space="preserve">追加費用
合　計</t>
  </si>
  <si>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</si>
  <si>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</si>
  <si>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t xml:space="preserve">掛金等計</t>
  </si>
  <si>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</si>
  <si>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</si>
  <si>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経過的</t>
    </r>
    <r>
      <rPr>
        <sz val="12"/>
        <rFont val="ＭＳ 明朝"/>
        <family val="1"/>
        <charset val="128"/>
      </rPr>
      <t xml:space="preserve">)</t>
    </r>
  </si>
  <si>
    <t xml:space="preserve">負担金等計</t>
  </si>
  <si>
    <t xml:space="preserve">長期合計</t>
  </si>
  <si>
    <r>
      <rPr>
        <sz val="12"/>
        <rFont val="WenQuanYi Zen Hei"/>
        <family val="2"/>
        <charset val="1"/>
      </rPr>
      <t xml:space="preserve">長期計欄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</si>
  <si>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(AC=AD)</t>
    </r>
  </si>
  <si>
    <r>
      <rPr>
        <sz val="10"/>
        <rFont val="WenQuanYi Zen Hei"/>
        <family val="2"/>
        <charset val="1"/>
      </rPr>
      <t xml:space="preserve">全体合計
</t>
    </r>
    <r>
      <rPr>
        <sz val="9"/>
        <rFont val="ＭＳ 明朝"/>
        <family val="1"/>
        <charset val="128"/>
      </rPr>
      <t xml:space="preserve">(</t>
    </r>
    <r>
      <rPr>
        <sz val="9"/>
        <rFont val="WenQuanYi Zen Hei"/>
        <family val="2"/>
        <charset val="1"/>
      </rPr>
      <t xml:space="preserve">ア＋イ＋ウ＋エ</t>
    </r>
    <r>
      <rPr>
        <sz val="9"/>
        <rFont val="ＭＳ 明朝"/>
        <family val="1"/>
        <charset val="128"/>
      </rPr>
      <t xml:space="preserve">)</t>
    </r>
  </si>
  <si>
    <r>
      <rPr>
        <sz val="12"/>
        <rFont val="WenQuanYi Zen Hei"/>
        <family val="2"/>
        <charset val="1"/>
      </rPr>
      <t xml:space="preserve">全体合計
</t>
    </r>
    <r>
      <rPr>
        <sz val="12"/>
        <rFont val="ＭＳ 明朝"/>
        <family val="1"/>
        <charset val="128"/>
      </rPr>
      <t xml:space="preserve">(M</t>
    </r>
    <r>
      <rPr>
        <sz val="12"/>
        <rFont val="WenQuanYi Zen Hei"/>
        <family val="2"/>
        <charset val="1"/>
      </rPr>
      <t xml:space="preserve">欄</t>
    </r>
    <r>
      <rPr>
        <sz val="12"/>
        <rFont val="ＭＳ 明朝"/>
        <family val="1"/>
        <charset val="128"/>
      </rPr>
      <t xml:space="preserve">)</t>
    </r>
  </si>
  <si>
    <r>
      <rPr>
        <sz val="12"/>
        <rFont val="WenQuanYi Zen Hei"/>
        <family val="2"/>
        <charset val="1"/>
      </rPr>
      <t xml:space="preserve">※チェック
　</t>
    </r>
    <r>
      <rPr>
        <sz val="12"/>
        <rFont val="Century"/>
        <family val="1"/>
        <charset val="1"/>
      </rPr>
      <t xml:space="preserve">(AH=AI)</t>
    </r>
  </si>
  <si>
    <t xml:space="preserve">－</t>
  </si>
  <si>
    <t xml:space="preserve">６期末勤勉</t>
  </si>
  <si>
    <t xml:space="preserve">１２期末勤勉</t>
  </si>
  <si>
    <t xml:space="preserve">３期末</t>
  </si>
  <si>
    <r>
      <rPr>
        <sz val="12"/>
        <rFont val="WenQuanYi Zen Hei"/>
        <family val="2"/>
        <charset val="1"/>
      </rPr>
      <t xml:space="preserve">差額賞与</t>
    </r>
    <r>
      <rPr>
        <sz val="12"/>
        <rFont val="Century"/>
        <family val="1"/>
        <charset val="1"/>
      </rPr>
      <t xml:space="preserve">6</t>
    </r>
    <r>
      <rPr>
        <sz val="12"/>
        <rFont val="WenQuanYi Zen Hei"/>
        <family val="2"/>
        <charset val="1"/>
      </rPr>
      <t xml:space="preserve">月</t>
    </r>
  </si>
  <si>
    <r>
      <rPr>
        <sz val="12"/>
        <rFont val="WenQuanYi Zen Hei"/>
        <family val="2"/>
        <charset val="1"/>
      </rPr>
      <t xml:space="preserve">差額賞与</t>
    </r>
    <r>
      <rPr>
        <sz val="12"/>
        <rFont val="Century"/>
        <family val="1"/>
        <charset val="1"/>
      </rPr>
      <t xml:space="preserve">12</t>
    </r>
    <r>
      <rPr>
        <sz val="12"/>
        <rFont val="WenQuanYi Zen Hei"/>
        <family val="2"/>
        <charset val="1"/>
      </rPr>
      <t xml:space="preserve">月</t>
    </r>
  </si>
  <si>
    <t xml:space="preserve">Ⓐ長期分負担金（厚年・退職・経過の合計）</t>
  </si>
  <si>
    <t xml:space="preserve">Ⓑ短期分負担金（保健経理・連合会拠出金分含む）</t>
  </si>
  <si>
    <t xml:space="preserve">Ⓒ介護分負担金</t>
  </si>
  <si>
    <t xml:space="preserve">Ⓓ子ども・子育て支援分負担金</t>
  </si>
  <si>
    <r>
      <rPr>
        <sz val="14"/>
        <rFont val="ＭＳ 明朝"/>
        <family val="1"/>
        <charset val="128"/>
      </rPr>
      <t xml:space="preserve">(</t>
    </r>
    <r>
      <rPr>
        <sz val="14"/>
        <rFont val="WenQuanYi Zen Hei"/>
        <family val="2"/>
        <charset val="1"/>
      </rPr>
      <t xml:space="preserve">イ</t>
    </r>
    <r>
      <rPr>
        <sz val="14"/>
        <rFont val="ＭＳ 明朝"/>
        <family val="1"/>
        <charset val="128"/>
      </rPr>
      <t xml:space="preserve">)</t>
    </r>
    <r>
      <rPr>
        <sz val="14"/>
        <rFont val="WenQuanYi Zen Hei"/>
        <family val="2"/>
        <charset val="1"/>
      </rPr>
      <t xml:space="preserve">短期合計</t>
    </r>
    <r>
      <rPr>
        <sz val="10"/>
        <rFont val="WenQuanYi Zen Hei"/>
        <family val="2"/>
        <charset val="1"/>
      </rPr>
      <t xml:space="preserve">（保健経理・連合会拠出金分含む）</t>
    </r>
  </si>
  <si>
    <r>
      <rPr>
        <sz val="14"/>
        <rFont val="ＭＳ 明朝"/>
        <family val="1"/>
        <charset val="128"/>
      </rPr>
      <t xml:space="preserve">(</t>
    </r>
    <r>
      <rPr>
        <sz val="14"/>
        <rFont val="WenQuanYi Zen Hei"/>
        <family val="2"/>
        <charset val="1"/>
      </rPr>
      <t xml:space="preserve">ウ</t>
    </r>
    <r>
      <rPr>
        <sz val="14"/>
        <rFont val="ＭＳ 明朝"/>
        <family val="1"/>
        <charset val="128"/>
      </rPr>
      <t xml:space="preserve">)</t>
    </r>
    <r>
      <rPr>
        <sz val="14"/>
        <rFont val="WenQuanYi Zen Hei"/>
        <family val="2"/>
        <charset val="1"/>
      </rPr>
      <t xml:space="preserve">介護合計</t>
    </r>
  </si>
  <si>
    <r>
      <rPr>
        <sz val="14"/>
        <rFont val="ＭＳ 明朝"/>
        <family val="1"/>
        <charset val="128"/>
      </rPr>
      <t xml:space="preserve">(</t>
    </r>
    <r>
      <rPr>
        <sz val="14"/>
        <rFont val="WenQuanYi Zen Hei"/>
        <family val="2"/>
        <charset val="1"/>
      </rPr>
      <t xml:space="preserve">エ</t>
    </r>
    <r>
      <rPr>
        <sz val="14"/>
        <rFont val="ＭＳ 明朝"/>
        <family val="1"/>
        <charset val="128"/>
      </rPr>
      <t xml:space="preserve">)</t>
    </r>
    <r>
      <rPr>
        <sz val="14"/>
        <rFont val="WenQuanYi Zen Hei"/>
        <family val="2"/>
        <charset val="1"/>
      </rPr>
      <t xml:space="preserve">子子合計</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</si>
  <si>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長期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</si>
  <si>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短期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</si>
  <si>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介護</t>
    </r>
    <r>
      <rPr>
        <sz val="12"/>
        <rFont val="ＭＳ 明朝"/>
        <family val="1"/>
        <charset val="128"/>
      </rPr>
      <t xml:space="preserve">)</t>
    </r>
  </si>
  <si>
    <r>
      <rPr>
        <sz val="12"/>
        <rFont val="WenQuanYi Zen Hei"/>
        <family val="2"/>
        <charset val="1"/>
      </rPr>
      <t xml:space="preserve">負担金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</si>
  <si>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短期合計</t>
  </si>
  <si>
    <r>
      <rPr>
        <sz val="12"/>
        <rFont val="WenQuanYi Zen Hei"/>
        <family val="2"/>
        <charset val="1"/>
      </rPr>
      <t xml:space="preserve">短期計欄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</si>
  <si>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(X=Y)</t>
    </r>
  </si>
  <si>
    <t xml:space="preserve">介護合計</t>
  </si>
  <si>
    <r>
      <rPr>
        <sz val="12"/>
        <rFont val="WenQuanYi Zen Hei"/>
        <family val="2"/>
        <charset val="1"/>
      </rPr>
      <t xml:space="preserve">介護計欄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</si>
  <si>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(AE=AF)</t>
    </r>
  </si>
  <si>
    <t xml:space="preserve">子子合計</t>
  </si>
  <si>
    <r>
      <rPr>
        <sz val="12"/>
        <rFont val="WenQuanYi Zen Hei"/>
        <family val="2"/>
        <charset val="1"/>
      </rPr>
      <t xml:space="preserve">子子計欄
</t>
    </r>
    <r>
      <rPr>
        <sz val="10"/>
        <rFont val="WenQuanYi Zen Hei"/>
        <family val="2"/>
        <charset val="1"/>
      </rPr>
      <t xml:space="preserve">（チェック用）</t>
    </r>
  </si>
  <si>
    <t xml:space="preserve">専従職員分短期公的負担金</t>
  </si>
  <si>
    <t xml:space="preserve">短期公的負担金率</t>
  </si>
  <si>
    <t xml:space="preserve">‰</t>
  </si>
  <si>
    <t xml:space="preserve">給与課負担分（市職労・自治労分）</t>
  </si>
  <si>
    <t xml:space="preserve">水道局負担分（水道労組分）</t>
  </si>
  <si>
    <t xml:space="preserve">公的負担額計
　　（円）</t>
  </si>
  <si>
    <t xml:space="preserve">標準報酬月額
標準期末手当等額</t>
  </si>
  <si>
    <t xml:space="preserve">公的負担額</t>
  </si>
  <si>
    <t xml:space="preserve">６賞</t>
  </si>
  <si>
    <t xml:space="preserve">１２賞</t>
  </si>
  <si>
    <t xml:space="preserve">:</t>
  </si>
  <si>
    <t xml:space="preserve">３賞</t>
  </si>
  <si>
    <r>
      <rPr>
        <sz val="9"/>
        <rFont val="WenQuanYi Zen Hei"/>
        <family val="2"/>
        <charset val="1"/>
      </rPr>
      <t xml:space="preserve">差額賞与
（</t>
    </r>
    <r>
      <rPr>
        <sz val="9"/>
        <rFont val="ＭＳ 明朝"/>
        <family val="1"/>
        <charset val="128"/>
      </rPr>
      <t xml:space="preserve">6</t>
    </r>
    <r>
      <rPr>
        <sz val="9"/>
        <rFont val="WenQuanYi Zen Hei"/>
        <family val="2"/>
        <charset val="1"/>
      </rPr>
      <t xml:space="preserve">月）</t>
    </r>
  </si>
  <si>
    <r>
      <rPr>
        <sz val="9"/>
        <rFont val="WenQuanYi Zen Hei"/>
        <family val="2"/>
        <charset val="1"/>
      </rPr>
      <t xml:space="preserve">差額賞与
（</t>
    </r>
    <r>
      <rPr>
        <sz val="9"/>
        <rFont val="ＭＳ 明朝"/>
        <family val="1"/>
        <charset val="128"/>
      </rPr>
      <t xml:space="preserve">12</t>
    </r>
    <r>
      <rPr>
        <sz val="9"/>
        <rFont val="WenQuanYi Zen Hei"/>
        <family val="2"/>
        <charset val="1"/>
      </rPr>
      <t xml:space="preserve">月）</t>
    </r>
  </si>
  <si>
    <t xml:space="preserve">※病院労組の職員については、一般独法の職員であるため、短期公的負担金は対象外</t>
  </si>
  <si>
    <r>
      <rPr>
        <sz val="9"/>
        <rFont val="WenQuanYi Zen Hei"/>
        <family val="2"/>
        <charset val="1"/>
      </rPr>
      <t xml:space="preserve">（法第</t>
    </r>
    <r>
      <rPr>
        <sz val="9"/>
        <rFont val="ＭＳ 明朝"/>
        <family val="1"/>
        <charset val="128"/>
      </rPr>
      <t xml:space="preserve">113-4-1</t>
    </r>
    <r>
      <rPr>
        <sz val="9"/>
        <rFont val="WenQuanYi Zen Hei"/>
        <family val="2"/>
        <charset val="1"/>
      </rPr>
      <t xml:space="preserve">、施行令第</t>
    </r>
    <r>
      <rPr>
        <sz val="9"/>
        <rFont val="ＭＳ 明朝"/>
        <family val="1"/>
        <charset val="128"/>
      </rPr>
      <t xml:space="preserve">29</t>
    </r>
    <r>
      <rPr>
        <sz val="9"/>
        <rFont val="WenQuanYi Zen Hei"/>
        <family val="2"/>
        <charset val="1"/>
      </rPr>
      <t xml:space="preserve">条）　職員引継一般地方独立行政法人の職員を算定に含まない</t>
    </r>
  </si>
  <si>
    <t xml:space="preserve">（別紙様式第１号の２）</t>
  </si>
  <si>
    <r>
      <rPr>
        <sz val="11"/>
        <rFont val="WenQuanYi Zen Hei"/>
        <family val="2"/>
        <charset val="1"/>
      </rPr>
      <t xml:space="preserve">（別紙様式第</t>
    </r>
    <r>
      <rPr>
        <sz val="11"/>
        <rFont val="ＭＳ 明朝"/>
        <family val="1"/>
        <charset val="128"/>
      </rPr>
      <t xml:space="preserve">2</t>
    </r>
    <r>
      <rPr>
        <sz val="11"/>
        <rFont val="WenQuanYi Zen Hei"/>
        <family val="2"/>
        <charset val="1"/>
      </rPr>
      <t xml:space="preserve">号）</t>
    </r>
  </si>
  <si>
    <t xml:space="preserve">育児休業等給付拠出金払込明細書</t>
  </si>
  <si>
    <t xml:space="preserve">特別財政調整事業拠出金払込明細書</t>
  </si>
  <si>
    <t xml:space="preserve">財政調整事業拠出金払込明細書</t>
  </si>
  <si>
    <t xml:space="preserve">災害給付積立金払込明細書</t>
  </si>
  <si>
    <t xml:space="preserve">保健給付等事業に係る組合分担金払込明細書</t>
  </si>
  <si>
    <t xml:space="preserve">組合名　　　　広島市職員共済組合</t>
  </si>
  <si>
    <t xml:space="preserve">　　　（単位：円）</t>
  </si>
  <si>
    <t xml:space="preserve">区　　　　　　分</t>
  </si>
  <si>
    <t xml:space="preserve">　　　　　拠　　　出　　　金　　　額　　</t>
  </si>
  <si>
    <t xml:space="preserve">拠 出 金 額 （拠出金率</t>
  </si>
  <si>
    <t xml:space="preserve">標準報酬等合計額総額</t>
  </si>
  <si>
    <t xml:space="preserve">区　　　分</t>
  </si>
  <si>
    <t xml:space="preserve">標準報酬等合計額</t>
  </si>
  <si>
    <r>
      <rPr>
        <sz val="14"/>
        <rFont val="WenQuanYi Zen Hei"/>
        <family val="2"/>
        <charset val="1"/>
      </rPr>
      <t xml:space="preserve">払 込 金 額 （払込金率</t>
    </r>
    <r>
      <rPr>
        <sz val="14"/>
        <rFont val="ＭＳ 明朝"/>
        <family val="1"/>
        <charset val="128"/>
      </rPr>
      <t xml:space="preserve">:</t>
    </r>
  </si>
  <si>
    <t xml:space="preserve">分担金額</t>
  </si>
  <si>
    <t xml:space="preserve">掛金・負担金分</t>
  </si>
  <si>
    <t xml:space="preserve">公的負担金分</t>
  </si>
  <si>
    <t xml:space="preserve">合　　　　計</t>
  </si>
  <si>
    <r>
      <rPr>
        <sz val="14"/>
        <rFont val="WenQuanYi Zen Hei"/>
        <family val="2"/>
        <charset val="1"/>
      </rPr>
      <t xml:space="preserve">（標準報酬等合計額総額</t>
    </r>
    <r>
      <rPr>
        <sz val="14"/>
        <rFont val="ＭＳ 明朝"/>
        <family val="1"/>
        <charset val="128"/>
      </rPr>
      <t xml:space="preserve">×</t>
    </r>
  </si>
  <si>
    <t xml:space="preserve">前回払込（概
算額）の修正</t>
  </si>
  <si>
    <t xml:space="preserve">前回３月分確定額　Ａ</t>
  </si>
  <si>
    <t xml:space="preserve">前回払込（見
込額）の修正</t>
  </si>
  <si>
    <t xml:space="preserve">４　　月</t>
  </si>
  <si>
    <t xml:space="preserve">前回３月分概算額　Ｂ</t>
  </si>
  <si>
    <t xml:space="preserve">前回３月分見込額　Ｂ</t>
  </si>
  <si>
    <t xml:space="preserve">小　　　計　（Ａ － Ｂ）</t>
  </si>
  <si>
    <t xml:space="preserve">小　　　　計　（Ａ － Ｂ）</t>
  </si>
  <si>
    <t xml:space="preserve">５　　月</t>
  </si>
  <si>
    <t xml:space="preserve">　　　　４</t>
  </si>
  <si>
    <t xml:space="preserve">　   月</t>
  </si>
  <si>
    <t xml:space="preserve">　　　　５</t>
  </si>
  <si>
    <t xml:space="preserve">　　 月</t>
  </si>
  <si>
    <t xml:space="preserve">６　　月</t>
  </si>
  <si>
    <t xml:space="preserve">　　　　６</t>
  </si>
  <si>
    <t xml:space="preserve">　　 月（概算額）</t>
  </si>
  <si>
    <t xml:space="preserve">　　 月（見込額）</t>
  </si>
  <si>
    <t xml:space="preserve">小　　　　　　計</t>
  </si>
  <si>
    <t xml:space="preserve">合　　　　　　計</t>
  </si>
  <si>
    <r>
      <rPr>
        <sz val="11"/>
        <rFont val="WenQuanYi Zen Hei"/>
        <family val="2"/>
        <charset val="1"/>
      </rPr>
      <t xml:space="preserve">（注）１　標準報酬等合計額総額（政令第</t>
    </r>
    <r>
      <rPr>
        <sz val="11"/>
        <rFont val="ＭＳ Ｐ明朝"/>
        <family val="1"/>
        <charset val="128"/>
      </rPr>
      <t xml:space="preserve">18</t>
    </r>
    <r>
      <rPr>
        <sz val="11"/>
        <rFont val="WenQuanYi Zen Hei"/>
        <family val="2"/>
        <charset val="1"/>
      </rPr>
      <t xml:space="preserve">条に規定する標準報酬等合計額の総額をいう。以下同じ。）</t>
    </r>
  </si>
  <si>
    <r>
      <rPr>
        <sz val="11"/>
        <rFont val="WenQuanYi Zen Hei"/>
        <family val="2"/>
        <charset val="1"/>
      </rPr>
      <t xml:space="preserve">（注）１　標準報酬等合計額総額（地方公務員等共済組合法施行令（昭和</t>
    </r>
    <r>
      <rPr>
        <sz val="11"/>
        <rFont val="ＭＳ Ｐ明朝"/>
        <family val="1"/>
        <charset val="128"/>
      </rPr>
      <t xml:space="preserve">37</t>
    </r>
    <r>
      <rPr>
        <sz val="11"/>
        <rFont val="WenQuanYi Zen Hei"/>
        <family val="2"/>
        <charset val="1"/>
      </rPr>
      <t xml:space="preserve">年政令第</t>
    </r>
    <r>
      <rPr>
        <sz val="11"/>
        <rFont val="ＭＳ Ｐ明朝"/>
        <family val="1"/>
        <charset val="128"/>
      </rPr>
      <t xml:space="preserve">352</t>
    </r>
    <r>
      <rPr>
        <sz val="11"/>
        <rFont val="WenQuanYi Zen Hei"/>
        <family val="2"/>
        <charset val="1"/>
      </rPr>
      <t xml:space="preserve">号）第</t>
    </r>
    <r>
      <rPr>
        <sz val="11"/>
        <rFont val="ＭＳ Ｐ明朝"/>
        <family val="1"/>
        <charset val="128"/>
      </rPr>
      <t xml:space="preserve">18</t>
    </r>
    <r>
      <rPr>
        <sz val="11"/>
        <rFont val="WenQuanYi Zen Hei"/>
        <family val="2"/>
        <charset val="1"/>
      </rPr>
      <t xml:space="preserve">条に規定する標準報酬等合計額の総額をいう。以下同じ。）</t>
    </r>
  </si>
  <si>
    <t xml:space="preserve">　　　　（１）　掛金・負担金分</t>
  </si>
  <si>
    <t xml:space="preserve">　　　　（１）　標準報酬等合計額総額に含めるものは次のとおりとする。</t>
  </si>
  <si>
    <t xml:space="preserve">　　　　　　①　任意継続組合員に係る標準報酬の月額を含むこと。</t>
  </si>
  <si>
    <t xml:space="preserve">　　　　　　①　船員組合員に係る標準報酬等合計額</t>
  </si>
  <si>
    <t xml:space="preserve">　　　　　　①　任意継続組合員に係る標準報酬の月額</t>
  </si>
  <si>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の規定により掛金を徴収しないこととされている者に係る標準報酬の月額及び標準期末手当等の額を除くこと。</t>
    </r>
  </si>
  <si>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t>
    </r>
  </si>
  <si>
    <t xml:space="preserve">　　　　　　②　船員組合員に係る標準報酬等合計額</t>
  </si>
  <si>
    <t xml:space="preserve">　　　　（２）　公的負担金分</t>
  </si>
  <si>
    <t xml:space="preserve">　　　　（２）　標準報酬等合計額総額から除くものは次のとおりとする。</t>
  </si>
  <si>
    <t xml:space="preserve">　 　　　 　 　組合役職員に係る標準報酬等合計額及び任意継続組合員に係る標準報酬の月額を除くこと。　</t>
  </si>
  <si>
    <t xml:space="preserve">　　　   　　　任意継続組合員に係る標準報酬の月額</t>
  </si>
  <si>
    <r>
      <rPr>
        <sz val="11"/>
        <rFont val="WenQuanYi Zen Hei"/>
        <family val="2"/>
        <charset val="1"/>
      </rPr>
      <t xml:space="preserve">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の規定により掛金を徴収しないこととされている者の当該標準報酬の月額及び標準期末手当等の額</t>
    </r>
  </si>
  <si>
    <r>
      <rPr>
        <sz val="11"/>
        <rFont val="WenQuanYi Zen Hei"/>
        <family val="2"/>
        <charset val="1"/>
      </rPr>
      <t xml:space="preserve">　　　　　　 　 　地方公務員等共済組合法（昭和</t>
    </r>
    <r>
      <rPr>
        <sz val="11"/>
        <rFont val="ＭＳ Ｐ明朝"/>
        <family val="1"/>
        <charset val="128"/>
      </rPr>
      <t xml:space="preserve">37</t>
    </r>
    <r>
      <rPr>
        <sz val="11"/>
        <rFont val="WenQuanYi Zen Hei"/>
        <family val="2"/>
        <charset val="1"/>
      </rPr>
      <t xml:space="preserve">年法律第</t>
    </r>
    <r>
      <rPr>
        <sz val="11"/>
        <rFont val="ＭＳ Ｐ明朝"/>
        <family val="1"/>
        <charset val="128"/>
      </rPr>
      <t xml:space="preserve">152</t>
    </r>
    <r>
      <rPr>
        <sz val="11"/>
        <rFont val="WenQuanYi Zen Hei"/>
        <family val="2"/>
        <charset val="1"/>
      </rPr>
      <t xml:space="preserve">号）第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t>
    </r>
  </si>
  <si>
    <t xml:space="preserve">　　　２　拠出金額に円未満の端数があるときは、これを切り捨てること。</t>
  </si>
  <si>
    <r>
      <rPr>
        <sz val="11"/>
        <rFont val="WenQuanYi Zen Hei"/>
        <family val="2"/>
        <charset val="1"/>
      </rPr>
      <t xml:space="preserve">　　　２　拠出金額は、標準報酬等合計額総額に拠出金率を乗じて得た額を記入すること。（</t>
    </r>
    <r>
      <rPr>
        <sz val="11"/>
        <rFont val="ＭＳ Ｐ明朝"/>
        <family val="1"/>
        <charset val="128"/>
      </rPr>
      <t xml:space="preserve">1</t>
    </r>
    <r>
      <rPr>
        <sz val="11"/>
        <rFont val="WenQuanYi Zen Hei"/>
        <family val="2"/>
        <charset val="1"/>
      </rPr>
      <t xml:space="preserve">円未満切捨て。）</t>
    </r>
  </si>
  <si>
    <r>
      <rPr>
        <sz val="11"/>
        <rFont val="WenQuanYi Zen Hei"/>
        <family val="2"/>
        <charset val="1"/>
      </rPr>
      <t xml:space="preserve">　　　２　払込金額は、標準報酬等合計額総額に払込金率を乗じて得た額を記入すること。（</t>
    </r>
    <r>
      <rPr>
        <sz val="11"/>
        <rFont val="ＭＳ Ｐ明朝"/>
        <family val="1"/>
        <charset val="128"/>
      </rPr>
      <t xml:space="preserve">1</t>
    </r>
    <r>
      <rPr>
        <sz val="11"/>
        <rFont val="WenQuanYi Zen Hei"/>
        <family val="2"/>
        <charset val="1"/>
      </rPr>
      <t xml:space="preserve">円未満切捨て。）</t>
    </r>
  </si>
  <si>
    <t xml:space="preserve">　　　　　　 　標準期末手当等の額</t>
  </si>
  <si>
    <r>
      <rPr>
        <sz val="11"/>
        <rFont val="WenQuanYi Zen Hei"/>
        <family val="2"/>
        <charset val="1"/>
      </rPr>
      <t xml:space="preserve">を乗じて得た額を記入すること。（</t>
    </r>
    <r>
      <rPr>
        <sz val="11"/>
        <rFont val="ＭＳ Ｐ明朝"/>
        <family val="1"/>
        <charset val="128"/>
      </rPr>
      <t xml:space="preserve">1</t>
    </r>
    <r>
      <rPr>
        <sz val="11"/>
        <rFont val="WenQuanYi Zen Hei"/>
        <family val="2"/>
        <charset val="1"/>
      </rPr>
      <t xml:space="preserve">円未満切捨て。）</t>
    </r>
  </si>
  <si>
    <t xml:space="preserve">遡及差額払込明細書</t>
  </si>
  <si>
    <t xml:space="preserve">遡  及  差  額  払  込  明  細  書</t>
  </si>
  <si>
    <t xml:space="preserve">遡及差額等払込明細書</t>
  </si>
  <si>
    <t xml:space="preserve">２　令和　　　年度払込分</t>
  </si>
  <si>
    <t xml:space="preserve">拠　　出　　金　　差　　額　　（率：‰）</t>
  </si>
  <si>
    <t xml:space="preserve">拠出金額</t>
  </si>
  <si>
    <t xml:space="preserve">拠　　　出　　　金　　　額　　</t>
  </si>
  <si>
    <t xml:space="preserve">払　　込　　金　　額</t>
  </si>
  <si>
    <t xml:space="preserve">分　　　担　　　金　　　額　　</t>
  </si>
  <si>
    <t xml:space="preserve">変　更　後</t>
  </si>
  <si>
    <t xml:space="preserve">変　更　前</t>
  </si>
  <si>
    <t xml:space="preserve">差　　　額</t>
  </si>
  <si>
    <t xml:space="preserve">変　　更　　後</t>
  </si>
  <si>
    <t xml:space="preserve">変　　更　　前</t>
  </si>
  <si>
    <t xml:space="preserve">差　　　　額</t>
  </si>
  <si>
    <t xml:space="preserve">変更後</t>
  </si>
  <si>
    <t xml:space="preserve">変更前</t>
  </si>
  <si>
    <t xml:space="preserve">差額</t>
  </si>
  <si>
    <r>
      <rPr>
        <sz val="14"/>
        <rFont val="ＭＳ 明朝"/>
        <family val="1"/>
        <charset val="128"/>
      </rPr>
      <t xml:space="preserve">4</t>
    </r>
    <r>
      <rPr>
        <sz val="14"/>
        <rFont val="WenQuanYi Zen Hei"/>
        <family val="2"/>
        <charset val="1"/>
      </rPr>
      <t xml:space="preserve">月　～　</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</si>
  <si>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 4</t>
    </r>
    <r>
      <rPr>
        <sz val="14"/>
        <rFont val="WenQuanYi Zen Hei"/>
        <family val="2"/>
        <charset val="1"/>
      </rPr>
      <t xml:space="preserve">月払込分　（</t>
    </r>
    <r>
      <rPr>
        <sz val="14"/>
        <rFont val="ＭＳ 明朝"/>
        <family val="1"/>
        <charset val="128"/>
      </rPr>
      <t xml:space="preserve">1</t>
    </r>
    <r>
      <rPr>
        <sz val="14"/>
        <rFont val="WenQuanYi Zen Hei"/>
        <family val="2"/>
        <charset val="1"/>
      </rPr>
      <t xml:space="preserve">月～</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</si>
  <si>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7</t>
    </r>
    <r>
      <rPr>
        <sz val="14"/>
        <rFont val="WenQuanYi Zen Hei"/>
        <family val="2"/>
        <charset val="1"/>
      </rPr>
      <t xml:space="preserve">月　～　</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</si>
  <si>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 7</t>
    </r>
    <r>
      <rPr>
        <sz val="14"/>
        <rFont val="WenQuanYi Zen Hei"/>
        <family val="2"/>
        <charset val="1"/>
      </rPr>
      <t xml:space="preserve">月払込分　（</t>
    </r>
    <r>
      <rPr>
        <sz val="14"/>
        <rFont val="ＭＳ 明朝"/>
        <family val="1"/>
        <charset val="128"/>
      </rPr>
      <t xml:space="preserve">4</t>
    </r>
    <r>
      <rPr>
        <sz val="14"/>
        <rFont val="WenQuanYi Zen Hei"/>
        <family val="2"/>
        <charset val="1"/>
      </rPr>
      <t xml:space="preserve">月～</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</si>
  <si>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　～　</t>
    </r>
    <r>
      <rPr>
        <sz val="14"/>
        <rFont val="ＭＳ 明朝"/>
        <family val="1"/>
        <charset val="128"/>
      </rPr>
      <t xml:space="preserve">12</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</si>
  <si>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月払込分　（</t>
    </r>
    <r>
      <rPr>
        <sz val="14"/>
        <rFont val="ＭＳ 明朝"/>
        <family val="1"/>
        <charset val="128"/>
      </rPr>
      <t xml:space="preserve">7</t>
    </r>
    <r>
      <rPr>
        <sz val="14"/>
        <rFont val="WenQuanYi Zen Hei"/>
        <family val="2"/>
        <charset val="1"/>
      </rPr>
      <t xml:space="preserve">月～</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</si>
  <si>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1</t>
    </r>
    <r>
      <rPr>
        <sz val="14"/>
        <rFont val="WenQuanYi Zen Hei"/>
        <family val="2"/>
        <charset val="1"/>
      </rPr>
      <t xml:space="preserve">月　～　</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</si>
  <si>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   1</t>
    </r>
    <r>
      <rPr>
        <sz val="14"/>
        <rFont val="WenQuanYi Zen Hei"/>
        <family val="2"/>
        <charset val="1"/>
      </rPr>
      <t xml:space="preserve">月払込分　（</t>
    </r>
    <r>
      <rPr>
        <sz val="14"/>
        <rFont val="ＭＳ 明朝"/>
        <family val="1"/>
        <charset val="128"/>
      </rPr>
      <t xml:space="preserve">10</t>
    </r>
    <r>
      <rPr>
        <sz val="14"/>
        <rFont val="WenQuanYi Zen Hei"/>
        <family val="2"/>
        <charset val="1"/>
      </rPr>
      <t xml:space="preserve">月～</t>
    </r>
    <r>
      <rPr>
        <sz val="14"/>
        <rFont val="ＭＳ 明朝"/>
        <family val="1"/>
        <charset val="128"/>
      </rPr>
      <t xml:space="preserve">12</t>
    </r>
    <r>
      <rPr>
        <sz val="14"/>
        <rFont val="WenQuanYi Zen Hei"/>
        <family val="2"/>
        <charset val="1"/>
      </rPr>
      <t xml:space="preserve">月）</t>
    </r>
  </si>
  <si>
    <t xml:space="preserve">合　　　計</t>
  </si>
  <si>
    <t xml:space="preserve">１　令和８年度　９月払込分</t>
  </si>
  <si>
    <t xml:space="preserve">前回６月分確定額　Ａ</t>
  </si>
  <si>
    <t xml:space="preserve">７　　月</t>
  </si>
  <si>
    <t xml:space="preserve">前回６月分概算額　Ｂ</t>
  </si>
  <si>
    <t xml:space="preserve">前回６月分見込額　Ｂ</t>
  </si>
  <si>
    <t xml:space="preserve">８　　月</t>
  </si>
  <si>
    <t xml:space="preserve">　　　　７</t>
  </si>
  <si>
    <t xml:space="preserve">　　　　８</t>
  </si>
  <si>
    <t xml:space="preserve">９　　月</t>
  </si>
  <si>
    <t xml:space="preserve">　　　　９</t>
  </si>
  <si>
    <t xml:space="preserve">前回９月分確定額　Ａ</t>
  </si>
  <si>
    <t xml:space="preserve">１０　　月</t>
  </si>
  <si>
    <t xml:space="preserve">前回９月分概算額　Ｂ</t>
  </si>
  <si>
    <t xml:space="preserve">前回９月分見込額　Ｂ</t>
  </si>
  <si>
    <t xml:space="preserve">１１　　月</t>
  </si>
  <si>
    <t xml:space="preserve">　　　　１０</t>
  </si>
  <si>
    <t xml:space="preserve">　　　　１１</t>
  </si>
  <si>
    <t xml:space="preserve">１２　　月</t>
  </si>
  <si>
    <t xml:space="preserve">　　　　１２</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</si>
  <si>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月分確定額　Ａ</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</si>
  <si>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月分確定額　Ａ</t>
    </r>
  </si>
  <si>
    <t xml:space="preserve">１　　月</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</si>
  <si>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月分概算額　Ｂ</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</si>
  <si>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月分見込額　Ｂ</t>
    </r>
  </si>
  <si>
    <t xml:space="preserve">２　　月</t>
  </si>
  <si>
    <t xml:space="preserve">　　　　１</t>
  </si>
  <si>
    <t xml:space="preserve">　　　　２</t>
  </si>
  <si>
    <t xml:space="preserve">３　　月</t>
  </si>
  <si>
    <t xml:space="preserve">　　　　３</t>
  </si>
  <si>
    <t xml:space="preserve">　　　　　拠　　　出　　　金　　　差　　　額　　</t>
  </si>
  <si>
    <t xml:space="preserve">育児介護拠出金　支払実績</t>
  </si>
  <si>
    <t xml:space="preserve">特別財政調整拠出金　支払実績</t>
  </si>
  <si>
    <t xml:space="preserve">財政調整拠出金　支払実績</t>
  </si>
  <si>
    <t xml:space="preserve">災害積立金払込金　支払実績</t>
  </si>
  <si>
    <t xml:space="preserve">保健事業分担金　支払実績</t>
  </si>
  <si>
    <t xml:space="preserve">支払月</t>
  </si>
  <si>
    <t xml:space="preserve">支払額</t>
  </si>
  <si>
    <t xml:space="preserve">月例分</t>
  </si>
  <si>
    <r>
      <rPr>
        <sz val="11"/>
        <rFont val="WenQuanYi Zen Hei"/>
        <family val="2"/>
        <charset val="1"/>
      </rPr>
      <t xml:space="preserve">拠出金率</t>
    </r>
    <r>
      <rPr>
        <sz val="10"/>
        <rFont val="WenQuanYi Zen Hei"/>
        <family val="2"/>
        <charset val="1"/>
      </rPr>
      <t xml:space="preserve">（‰）</t>
    </r>
  </si>
  <si>
    <t xml:space="preserve">育児介護
掛金負担金</t>
  </si>
  <si>
    <t xml:space="preserve">育児介護
公的負担金</t>
  </si>
  <si>
    <t xml:space="preserve">特別財政調整</t>
  </si>
  <si>
    <t xml:space="preserve">財政調整</t>
  </si>
  <si>
    <t xml:space="preserve">災害給付積立</t>
  </si>
  <si>
    <t xml:space="preserve">保健事業分担</t>
  </si>
  <si>
    <r>
      <rPr>
        <b val="true"/>
        <u val="single"/>
        <sz val="9"/>
        <rFont val="ＭＳ 明朝"/>
        <family val="1"/>
        <charset val="128"/>
      </rPr>
      <t xml:space="preserve">R8</t>
    </r>
    <r>
      <rPr>
        <b val="true"/>
        <u val="single"/>
        <sz val="9"/>
        <rFont val="WenQuanYi Zen Hei"/>
        <family val="2"/>
        <charset val="1"/>
      </rPr>
      <t xml:space="preserve">掛率改定</t>
    </r>
  </si>
  <si>
    <r>
      <rPr>
        <sz val="9"/>
        <rFont val="WenQuanYi Zen Hei"/>
        <family val="2"/>
        <charset val="1"/>
      </rPr>
      <t xml:space="preserve">据置</t>
    </r>
    <r>
      <rPr>
        <sz val="9"/>
        <rFont val="ＭＳ 明朝"/>
        <family val="1"/>
        <charset val="128"/>
      </rPr>
      <t xml:space="preserve">(R7</t>
    </r>
    <r>
      <rPr>
        <sz val="9"/>
        <rFont val="WenQuanYi Zen Hei"/>
        <family val="2"/>
        <charset val="1"/>
      </rPr>
      <t xml:space="preserve">と同率</t>
    </r>
    <r>
      <rPr>
        <sz val="9"/>
        <rFont val="ＭＳ 明朝"/>
        <family val="1"/>
        <charset val="128"/>
      </rPr>
      <t xml:space="preserve">)</t>
    </r>
  </si>
  <si>
    <t xml:space="preserve">短期掛金（任継・免除者等還付後、未納者等入金後）</t>
  </si>
  <si>
    <t xml:space="preserve">保健経理への振替分</t>
  </si>
  <si>
    <t xml:space="preserve">収入額</t>
  </si>
  <si>
    <t xml:space="preserve">当組合短期分</t>
  </si>
  <si>
    <t xml:space="preserve">育児介護拠出金</t>
  </si>
  <si>
    <t xml:space="preserve">特別財政調整拠出金</t>
  </si>
  <si>
    <t xml:space="preserve">財政調整拠出金</t>
  </si>
  <si>
    <t xml:space="preserve">災害積立払込金</t>
  </si>
  <si>
    <t xml:space="preserve">保健事業分担金</t>
  </si>
  <si>
    <t xml:space="preserve">当組合保健分</t>
  </si>
  <si>
    <r>
      <rPr>
        <sz val="11"/>
        <rFont val="WenQuanYi Zen Hei"/>
        <family val="2"/>
        <charset val="1"/>
      </rPr>
      <t xml:space="preserve">保健分担金</t>
    </r>
    <r>
      <rPr>
        <sz val="11"/>
        <rFont val="ＭＳ 明朝"/>
        <family val="1"/>
        <charset val="128"/>
      </rPr>
      <t xml:space="preserve">+
</t>
    </r>
    <r>
      <rPr>
        <sz val="11"/>
        <rFont val="WenQuanYi Zen Hei"/>
        <family val="2"/>
        <charset val="1"/>
      </rPr>
      <t xml:space="preserve">当組合保健</t>
    </r>
  </si>
  <si>
    <t xml:space="preserve">特別職・一般職
・短期</t>
  </si>
  <si>
    <t xml:space="preserve">（率：‰）</t>
  </si>
  <si>
    <t xml:space="preserve">→</t>
  </si>
  <si>
    <r>
      <rPr>
        <sz val="11"/>
        <rFont val="WenQuanYi Zen Hei"/>
        <family val="2"/>
        <charset val="1"/>
      </rPr>
      <t xml:space="preserve">任意継続組合員
</t>
    </r>
    <r>
      <rPr>
        <sz val="8"/>
        <rFont val="WenQuanYi Zen Hei"/>
        <family val="2"/>
        <charset val="1"/>
      </rPr>
      <t xml:space="preserve">（収入－還付）</t>
    </r>
  </si>
  <si>
    <t xml:space="preserve">（ア）</t>
  </si>
  <si>
    <t xml:space="preserve">（イ）</t>
  </si>
  <si>
    <t xml:space="preserve">（ウ）</t>
  </si>
  <si>
    <t xml:space="preserve">（エ）</t>
  </si>
  <si>
    <t xml:space="preserve">（オ）</t>
  </si>
  <si>
    <t xml:space="preserve">（カ）</t>
  </si>
  <si>
    <t xml:space="preserve">（キ）</t>
  </si>
  <si>
    <r>
      <rPr>
        <sz val="11"/>
        <rFont val="WenQuanYi Zen Hei"/>
        <family val="2"/>
        <charset val="1"/>
      </rPr>
      <t xml:space="preserve">公的負担金
</t>
    </r>
    <r>
      <rPr>
        <sz val="8"/>
        <rFont val="WenQuanYi Zen Hei"/>
        <family val="2"/>
        <charset val="1"/>
      </rPr>
      <t xml:space="preserve">（掛金免除者含む）</t>
    </r>
  </si>
  <si>
    <t xml:space="preserve">特別財政調整拠出金
（掛金免除者含む）</t>
  </si>
  <si>
    <t xml:space="preserve">特別職・一般職・短期
（病院・共済以外）</t>
  </si>
  <si>
    <t xml:space="preserve">病院機構職員
共済組合職員</t>
  </si>
  <si>
    <t xml:space="preserve">（公的負担対象者分）</t>
  </si>
  <si>
    <t xml:space="preserve">職員団体専従</t>
  </si>
  <si>
    <t xml:space="preserve">（任命権者負担分）</t>
  </si>
  <si>
    <t xml:space="preserve">掛・負最終総収入</t>
  </si>
  <si>
    <r>
      <rPr>
        <sz val="11"/>
        <rFont val="WenQuanYi Zen Hei"/>
        <family val="2"/>
        <charset val="1"/>
      </rPr>
      <t xml:space="preserve">当組合短期分（</t>
    </r>
    <r>
      <rPr>
        <sz val="11"/>
        <rFont val="ＭＳ ゴシック"/>
        <family val="3"/>
        <charset val="128"/>
      </rPr>
      <t xml:space="preserve">(</t>
    </r>
    <r>
      <rPr>
        <sz val="11"/>
        <rFont val="WenQuanYi Zen Hei"/>
        <family val="2"/>
        <charset val="1"/>
      </rPr>
      <t xml:space="preserve">ｱ</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</si>
  <si>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財政調整拠出金（</t>
    </r>
    <r>
      <rPr>
        <sz val="11"/>
        <rFont val="ＭＳ ゴシック"/>
        <family val="3"/>
        <charset val="128"/>
      </rPr>
      <t xml:space="preserve">(</t>
    </r>
    <r>
      <rPr>
        <sz val="11"/>
        <rFont val="WenQuanYi Zen Hei"/>
        <family val="2"/>
        <charset val="1"/>
      </rPr>
      <t xml:space="preserve">ｴ</t>
    </r>
    <r>
      <rPr>
        <sz val="11"/>
        <rFont val="ＭＳ ゴシック"/>
        <family val="3"/>
        <charset val="128"/>
      </rPr>
      <t xml:space="preserve">)</t>
    </r>
    <r>
      <rPr>
        <sz val="11"/>
        <rFont val="WenQuanYi Zen Hei"/>
        <family val="2"/>
        <charset val="1"/>
      </rPr>
      <t xml:space="preserve">の合計）</t>
    </r>
  </si>
  <si>
    <t xml:space="preserve">（参考）</t>
  </si>
  <si>
    <r>
      <rPr>
        <sz val="11"/>
        <rFont val="WenQuanYi Zen Hei"/>
        <family val="2"/>
        <charset val="1"/>
      </rPr>
      <t xml:space="preserve">育児介護拠出金（</t>
    </r>
    <r>
      <rPr>
        <sz val="11"/>
        <rFont val="ＭＳ ゴシック"/>
        <family val="3"/>
        <charset val="128"/>
      </rPr>
      <t xml:space="preserve">(</t>
    </r>
    <r>
      <rPr>
        <sz val="11"/>
        <rFont val="WenQuanYi Zen Hei"/>
        <family val="2"/>
        <charset val="1"/>
      </rPr>
      <t xml:space="preserve">ｲ</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</si>
  <si>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災害積立払込金（</t>
    </r>
    <r>
      <rPr>
        <sz val="11"/>
        <rFont val="ＭＳ ゴシック"/>
        <family val="3"/>
        <charset val="128"/>
      </rPr>
      <t xml:space="preserve">(</t>
    </r>
    <r>
      <rPr>
        <sz val="11"/>
        <rFont val="WenQuanYi Zen Hei"/>
        <family val="2"/>
        <charset val="1"/>
      </rPr>
      <t xml:space="preserve">ｵ</t>
    </r>
    <r>
      <rPr>
        <sz val="11"/>
        <rFont val="ＭＳ ゴシック"/>
        <family val="3"/>
        <charset val="128"/>
      </rPr>
      <t xml:space="preserve">)</t>
    </r>
    <r>
      <rPr>
        <sz val="11"/>
        <rFont val="WenQuanYi Zen Hei"/>
        <family val="2"/>
        <charset val="1"/>
      </rPr>
      <t xml:space="preserve">の合計）</t>
    </r>
  </si>
  <si>
    <t xml:space="preserve">病院機構のうち公的負担算定対象者の標準報酬等合計額</t>
  </si>
  <si>
    <r>
      <rPr>
        <sz val="11"/>
        <rFont val="WenQuanYi Zen Hei"/>
        <family val="2"/>
        <charset val="1"/>
      </rPr>
      <t xml:space="preserve">特別財政調整拠出金（</t>
    </r>
    <r>
      <rPr>
        <sz val="11"/>
        <rFont val="ＭＳ ゴシック"/>
        <family val="3"/>
        <charset val="128"/>
      </rPr>
      <t xml:space="preserve">(</t>
    </r>
    <r>
      <rPr>
        <sz val="11"/>
        <rFont val="WenQuanYi Zen Hei"/>
        <family val="2"/>
        <charset val="1"/>
      </rPr>
      <t xml:space="preserve">ｳ</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</si>
  <si>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保健事業分担金（</t>
    </r>
    <r>
      <rPr>
        <sz val="11"/>
        <rFont val="ＭＳ ゴシック"/>
        <family val="3"/>
        <charset val="128"/>
      </rPr>
      <t xml:space="preserve">(</t>
    </r>
    <r>
      <rPr>
        <sz val="11"/>
        <rFont val="WenQuanYi Zen Hei"/>
        <family val="2"/>
        <charset val="1"/>
      </rPr>
      <t xml:space="preserve">ｶ</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</si>
  <si>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当組合保健分（</t>
    </r>
    <r>
      <rPr>
        <sz val="11"/>
        <rFont val="ＭＳ ゴシック"/>
        <family val="3"/>
        <charset val="128"/>
      </rPr>
      <t xml:space="preserve">(</t>
    </r>
    <r>
      <rPr>
        <sz val="11"/>
        <rFont val="WenQuanYi Zen Hei"/>
        <family val="2"/>
        <charset val="1"/>
      </rPr>
      <t xml:space="preserve">ｷ</t>
    </r>
    <r>
      <rPr>
        <sz val="11"/>
        <rFont val="ＭＳ ゴシック"/>
        <family val="3"/>
        <charset val="128"/>
      </rPr>
      <t xml:space="preserve">)</t>
    </r>
    <r>
      <rPr>
        <sz val="11"/>
        <rFont val="WenQuanYi Zen Hei"/>
        <family val="2"/>
        <charset val="1"/>
      </rPr>
      <t xml:space="preserve">の合計）</t>
    </r>
  </si>
  <si>
    <t xml:space="preserve">※①、②、③については、連合会に提出する払込明細書中に、標準報酬等合計額の報告欄あり。</t>
  </si>
  <si>
    <t xml:space="preserve">任意継続組合員
（収入－還付）</t>
  </si>
  <si>
    <r>
      <rPr>
        <sz val="9"/>
        <rFont val="WenQuanYi Zen Hei"/>
        <family val="2"/>
        <charset val="1"/>
      </rPr>
      <t xml:space="preserve">特別職・一般職・短期
</t>
    </r>
    <r>
      <rPr>
        <sz val="8"/>
        <rFont val="WenQuanYi Zen Hei"/>
        <family val="2"/>
        <charset val="1"/>
      </rPr>
      <t xml:space="preserve">（病院・共済以外）</t>
    </r>
  </si>
  <si>
    <t xml:space="preserve">賞与分</t>
  </si>
  <si>
    <r>
      <rPr>
        <sz val="11"/>
        <rFont val="WenQuanYi Zen Hei"/>
        <family val="2"/>
        <charset val="1"/>
      </rPr>
      <t xml:space="preserve">保健経理へ振替分</t>
    </r>
    <r>
      <rPr>
        <sz val="11"/>
        <rFont val="ＭＳ 明朝"/>
        <family val="1"/>
        <charset val="128"/>
      </rPr>
      <t xml:space="preserve">4</t>
    </r>
    <r>
      <rPr>
        <sz val="11"/>
        <rFont val="WenQuanYi Zen Hei"/>
        <family val="2"/>
        <charset val="1"/>
      </rPr>
      <t xml:space="preserve">～</t>
    </r>
    <r>
      <rPr>
        <sz val="11"/>
        <rFont val="ＭＳ 明朝"/>
        <family val="1"/>
        <charset val="128"/>
      </rPr>
      <t xml:space="preserve">6</t>
    </r>
    <r>
      <rPr>
        <sz val="11"/>
        <rFont val="WenQuanYi Zen Hei"/>
        <family val="2"/>
        <charset val="1"/>
      </rPr>
      <t xml:space="preserve">月計　</t>
    </r>
    <r>
      <rPr>
        <sz val="8"/>
        <rFont val="WenQuanYi Zen Hei"/>
        <family val="2"/>
        <charset val="1"/>
      </rPr>
      <t xml:space="preserve">　（単位：円）</t>
    </r>
  </si>
  <si>
    <t xml:space="preserve">月例掛金</t>
  </si>
  <si>
    <t xml:space="preserve">期末等掛金</t>
  </si>
  <si>
    <t xml:space="preserve">任意継続掛金</t>
  </si>
  <si>
    <t xml:space="preserve">月例・地方公共団体負担金</t>
  </si>
  <si>
    <t xml:space="preserve">病院機構のうち公的負担算定対象者の標準期末手当等合計額</t>
  </si>
  <si>
    <t xml:space="preserve">期末・地方公共団体負担金</t>
  </si>
  <si>
    <t xml:space="preserve">月例・職員団体負担金</t>
  </si>
  <si>
    <t xml:space="preserve">期末・職員団体負担金</t>
  </si>
  <si>
    <r>
      <rPr>
        <sz val="11"/>
        <rFont val="WenQuanYi Zen Hei"/>
        <family val="2"/>
        <charset val="1"/>
      </rPr>
      <t xml:space="preserve">保健経理へ振替分</t>
    </r>
    <r>
      <rPr>
        <sz val="11"/>
        <rFont val="ＭＳ 明朝"/>
        <family val="1"/>
        <charset val="128"/>
      </rPr>
      <t xml:space="preserve">7</t>
    </r>
    <r>
      <rPr>
        <sz val="11"/>
        <rFont val="WenQuanYi Zen Hei"/>
        <family val="2"/>
        <charset val="1"/>
      </rPr>
      <t xml:space="preserve">～</t>
    </r>
    <r>
      <rPr>
        <sz val="11"/>
        <rFont val="ＭＳ 明朝"/>
        <family val="1"/>
        <charset val="128"/>
      </rPr>
      <t xml:space="preserve">9</t>
    </r>
    <r>
      <rPr>
        <sz val="11"/>
        <rFont val="WenQuanYi Zen Hei"/>
        <family val="2"/>
        <charset val="1"/>
      </rPr>
      <t xml:space="preserve">月計　</t>
    </r>
    <r>
      <rPr>
        <sz val="8"/>
        <rFont val="WenQuanYi Zen Hei"/>
        <family val="2"/>
        <charset val="1"/>
      </rPr>
      <t xml:space="preserve">　（単位：円）</t>
    </r>
  </si>
  <si>
    <t xml:space="preserve">地方公共団体負担金</t>
  </si>
  <si>
    <t xml:space="preserve">職員団体負担金</t>
  </si>
  <si>
    <t xml:space="preserve">公的負担金
（掛金免除者含む）</t>
  </si>
  <si>
    <r>
      <rPr>
        <sz val="11"/>
        <rFont val="WenQuanYi Zen Hei"/>
        <family val="2"/>
        <charset val="1"/>
      </rPr>
      <t xml:space="preserve">保健経理へ振替分</t>
    </r>
    <r>
      <rPr>
        <sz val="11"/>
        <rFont val="ＭＳ 明朝"/>
        <family val="1"/>
        <charset val="128"/>
      </rPr>
      <t xml:space="preserve">10</t>
    </r>
    <r>
      <rPr>
        <sz val="11"/>
        <rFont val="WenQuanYi Zen Hei"/>
        <family val="2"/>
        <charset val="1"/>
      </rPr>
      <t xml:space="preserve">～</t>
    </r>
    <r>
      <rPr>
        <sz val="11"/>
        <rFont val="ＭＳ 明朝"/>
        <family val="1"/>
        <charset val="128"/>
      </rPr>
      <t xml:space="preserve">12</t>
    </r>
    <r>
      <rPr>
        <sz val="11"/>
        <rFont val="WenQuanYi Zen Hei"/>
        <family val="2"/>
        <charset val="1"/>
      </rPr>
      <t xml:space="preserve">月計</t>
    </r>
    <r>
      <rPr>
        <sz val="8"/>
        <rFont val="WenQuanYi Zen Hei"/>
        <family val="2"/>
        <charset val="1"/>
      </rPr>
      <t xml:space="preserve">　（単位：円）</t>
    </r>
  </si>
  <si>
    <r>
      <rPr>
        <sz val="11"/>
        <rFont val="WenQuanYi Zen Hei"/>
        <family val="2"/>
        <charset val="1"/>
      </rPr>
      <t xml:space="preserve">保健経理へ振替分</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月計　</t>
    </r>
    <r>
      <rPr>
        <sz val="8"/>
        <rFont val="WenQuanYi Zen Hei"/>
        <family val="2"/>
        <charset val="1"/>
      </rPr>
      <t xml:space="preserve">　（単位：円）</t>
    </r>
  </si>
  <si>
    <t xml:space="preserve">差額賞与分</t>
  </si>
  <si>
    <r>
      <rPr>
        <sz val="11"/>
        <rFont val="WenQuanYi Zen Hei"/>
        <family val="2"/>
        <charset val="1"/>
      </rPr>
      <t xml:space="preserve">保健経理へ振替分　差額賞与</t>
    </r>
    <r>
      <rPr>
        <sz val="8"/>
        <rFont val="WenQuanYi Zen Hei"/>
        <family val="2"/>
        <charset val="1"/>
      </rPr>
      <t xml:space="preserve">　（単位：円）</t>
    </r>
  </si>
  <si>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月分振替金額</t>
    </r>
  </si>
  <si>
    <r>
      <rPr>
        <sz val="11"/>
        <rFont val="WenQuanYi Zen Hei"/>
        <family val="2"/>
        <charset val="1"/>
      </rPr>
      <t xml:space="preserve">差額</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月振替金額総計</t>
    </r>
  </si>
  <si>
    <t xml:space="preserve">短期掛金・負担金振替集計</t>
  </si>
  <si>
    <r>
      <rPr>
        <sz val="12"/>
        <rFont val="WenQuanYi Zen Hei"/>
        <family val="2"/>
        <charset val="1"/>
      </rPr>
      <t xml:space="preserve">☆短期全体分収入（①</t>
    </r>
    <r>
      <rPr>
        <sz val="12"/>
        <rFont val="Century"/>
        <family val="1"/>
        <charset val="1"/>
      </rPr>
      <t xml:space="preserve">+</t>
    </r>
    <r>
      <rPr>
        <sz val="12"/>
        <rFont val="ＭＳ ゴシック"/>
        <family val="3"/>
        <charset val="128"/>
      </rPr>
      <t xml:space="preserve">②</t>
    </r>
    <r>
      <rPr>
        <sz val="12"/>
        <rFont val="Century"/>
        <family val="1"/>
        <charset val="1"/>
      </rPr>
      <t xml:space="preserve">+</t>
    </r>
    <r>
      <rPr>
        <sz val="12"/>
        <rFont val="ＭＳ ゴシック"/>
        <family val="3"/>
        <charset val="128"/>
      </rPr>
      <t xml:space="preserve">③</t>
    </r>
    <r>
      <rPr>
        <sz val="12"/>
        <rFont val="Century"/>
        <family val="1"/>
        <charset val="1"/>
      </rPr>
      <t xml:space="preserve">+</t>
    </r>
    <r>
      <rPr>
        <sz val="12"/>
        <rFont val="ＭＳ ゴシック"/>
        <family val="3"/>
        <charset val="128"/>
      </rPr>
      <t xml:space="preserve">④</t>
    </r>
    <r>
      <rPr>
        <sz val="12"/>
        <rFont val="Century"/>
        <family val="1"/>
        <charset val="1"/>
      </rPr>
      <t xml:space="preserve">+</t>
    </r>
    <r>
      <rPr>
        <sz val="12"/>
        <rFont val="ＭＳ ゴシック"/>
        <family val="3"/>
        <charset val="128"/>
      </rPr>
      <t xml:space="preserve">⑤</t>
    </r>
    <r>
      <rPr>
        <sz val="12"/>
        <rFont val="Century"/>
        <family val="1"/>
        <charset val="1"/>
      </rPr>
      <t xml:space="preserve">+</t>
    </r>
    <r>
      <rPr>
        <sz val="12"/>
        <rFont val="ＭＳ ゴシック"/>
        <family val="3"/>
        <charset val="128"/>
      </rPr>
      <t xml:space="preserve">⑥</t>
    </r>
    <r>
      <rPr>
        <sz val="12"/>
        <rFont val="Century"/>
        <family val="1"/>
        <charset val="1"/>
      </rPr>
      <t xml:space="preserve">+</t>
    </r>
    <r>
      <rPr>
        <sz val="12"/>
        <rFont val="ＭＳ ゴシック"/>
        <family val="3"/>
        <charset val="128"/>
      </rPr>
      <t xml:space="preserve">⑦</t>
    </r>
    <r>
      <rPr>
        <sz val="12"/>
        <rFont val="WenQuanYi Zen Hei"/>
        <family val="2"/>
        <charset val="1"/>
      </rPr>
      <t xml:space="preserve">）</t>
    </r>
  </si>
  <si>
    <t xml:space="preserve">※任継・免除者掛金還付後、未納者入金後</t>
  </si>
  <si>
    <t xml:space="preserve">①短期分収入</t>
  </si>
  <si>
    <r>
      <rPr>
        <sz val="12"/>
        <rFont val="WenQuanYi Zen Hei"/>
        <family val="2"/>
        <charset val="1"/>
      </rPr>
      <t xml:space="preserve">掛金</t>
    </r>
    <r>
      <rPr>
        <sz val="9"/>
        <rFont val="WenQuanYi Zen Hei"/>
        <family val="2"/>
        <charset val="1"/>
      </rPr>
      <t xml:space="preserve">（免除者還付後・未納者入金後）</t>
    </r>
  </si>
  <si>
    <r>
      <rPr>
        <sz val="12"/>
        <rFont val="WenQuanYi Zen Hei"/>
        <family val="2"/>
        <charset val="1"/>
      </rPr>
      <t xml:space="preserve">任意継続掛金
</t>
    </r>
    <r>
      <rPr>
        <sz val="10"/>
        <rFont val="WenQuanYi Zen Hei"/>
        <family val="2"/>
        <charset val="1"/>
      </rPr>
      <t xml:space="preserve">（還付後）</t>
    </r>
  </si>
  <si>
    <r>
      <rPr>
        <sz val="12"/>
        <rFont val="WenQuanYi Zen Hei"/>
        <family val="2"/>
        <charset val="1"/>
      </rPr>
      <t xml:space="preserve">月合計 </t>
    </r>
    <r>
      <rPr>
        <sz val="12"/>
        <rFont val="Century"/>
        <family val="1"/>
        <charset val="1"/>
      </rPr>
      <t xml:space="preserve">A
</t>
    </r>
    <r>
      <rPr>
        <sz val="12"/>
        <rFont val="WenQuanYi Zen Hei"/>
        <family val="2"/>
        <charset val="1"/>
      </rPr>
      <t xml:space="preserve">（①～⑦）</t>
    </r>
  </si>
  <si>
    <r>
      <rPr>
        <sz val="12"/>
        <rFont val="WenQuanYi Zen Hei"/>
        <family val="2"/>
        <charset val="1"/>
      </rPr>
      <t xml:space="preserve">月合計 </t>
    </r>
    <r>
      <rPr>
        <sz val="12"/>
        <rFont val="Century"/>
        <family val="1"/>
        <charset val="1"/>
      </rPr>
      <t xml:space="preserve">B
</t>
    </r>
    <r>
      <rPr>
        <sz val="9"/>
        <rFont val="WenQuanYi Zen Hei"/>
        <family val="2"/>
        <charset val="1"/>
      </rPr>
      <t xml:space="preserve">（☆振替：収入計）</t>
    </r>
  </si>
  <si>
    <r>
      <rPr>
        <sz val="12"/>
        <rFont val="WenQuanYi Zen Hei"/>
        <family val="2"/>
        <charset val="1"/>
      </rPr>
      <t xml:space="preserve">月合計 </t>
    </r>
    <r>
      <rPr>
        <sz val="12"/>
        <rFont val="Century"/>
        <family val="1"/>
        <charset val="1"/>
      </rPr>
      <t xml:space="preserve">C
</t>
    </r>
    <r>
      <rPr>
        <sz val="10"/>
        <rFont val="WenQuanYi Zen Hei"/>
        <family val="2"/>
        <charset val="1"/>
      </rPr>
      <t xml:space="preserve">（☆掛負調定計）</t>
    </r>
  </si>
  <si>
    <r>
      <rPr>
        <sz val="10"/>
        <rFont val="WenQuanYi Zen Hei"/>
        <family val="2"/>
        <charset val="1"/>
      </rPr>
      <t xml:space="preserve">※チェック
　</t>
    </r>
    <r>
      <rPr>
        <sz val="10"/>
        <rFont val="Century"/>
        <family val="1"/>
        <charset val="1"/>
      </rPr>
      <t xml:space="preserve">(A=B=C)</t>
    </r>
  </si>
  <si>
    <r>
      <rPr>
        <sz val="12"/>
        <rFont val="WenQuanYi Zen Hei"/>
        <family val="2"/>
        <charset val="1"/>
      </rPr>
      <t xml:space="preserve">月合計 </t>
    </r>
    <r>
      <rPr>
        <sz val="12"/>
        <rFont val="Century"/>
        <family val="1"/>
        <charset val="1"/>
      </rPr>
      <t xml:space="preserve">D</t>
    </r>
  </si>
  <si>
    <r>
      <rPr>
        <sz val="12"/>
        <rFont val="WenQuanYi Zen Hei"/>
        <family val="2"/>
        <charset val="1"/>
      </rPr>
      <t xml:space="preserve">月合計 </t>
    </r>
    <r>
      <rPr>
        <sz val="12"/>
        <rFont val="Century"/>
        <family val="1"/>
        <charset val="1"/>
      </rPr>
      <t xml:space="preserve">E
</t>
    </r>
    <r>
      <rPr>
        <sz val="10"/>
        <rFont val="WenQuanYi Zen Hei"/>
        <family val="2"/>
        <charset val="1"/>
      </rPr>
      <t xml:space="preserve">（☆振替：ア計）</t>
    </r>
  </si>
  <si>
    <r>
      <rPr>
        <sz val="10"/>
        <rFont val="WenQuanYi Zen Hei"/>
        <family val="2"/>
        <charset val="1"/>
      </rPr>
      <t xml:space="preserve">※チェック
　</t>
    </r>
    <r>
      <rPr>
        <sz val="10"/>
        <rFont val="Century"/>
        <family val="1"/>
        <charset val="1"/>
      </rPr>
      <t xml:space="preserve">(D=E)</t>
    </r>
  </si>
  <si>
    <t xml:space="preserve">６月賞与</t>
  </si>
  <si>
    <t xml:space="preserve">１２月賞与</t>
  </si>
  <si>
    <t xml:space="preserve">３月賞与</t>
  </si>
  <si>
    <t xml:space="preserve">②育児介護拠出分（連合会払込金）</t>
  </si>
  <si>
    <t xml:space="preserve">③特別財政調整拠出分（調整負担金）（連合会払込金）</t>
  </si>
  <si>
    <t xml:space="preserve">公的負担金</t>
  </si>
  <si>
    <r>
      <rPr>
        <sz val="12"/>
        <rFont val="WenQuanYi Zen Hei"/>
        <family val="2"/>
        <charset val="1"/>
      </rPr>
      <t xml:space="preserve">月合計 </t>
    </r>
    <r>
      <rPr>
        <sz val="12"/>
        <rFont val="Century"/>
        <family val="1"/>
        <charset val="1"/>
      </rPr>
      <t xml:space="preserve">F</t>
    </r>
  </si>
  <si>
    <r>
      <rPr>
        <sz val="12"/>
        <rFont val="WenQuanYi Zen Hei"/>
        <family val="2"/>
        <charset val="1"/>
      </rPr>
      <t xml:space="preserve">月合計 </t>
    </r>
    <r>
      <rPr>
        <sz val="12"/>
        <rFont val="Century"/>
        <family val="1"/>
        <charset val="1"/>
      </rPr>
      <t xml:space="preserve">G
</t>
    </r>
    <r>
      <rPr>
        <sz val="10"/>
        <rFont val="WenQuanYi Zen Hei"/>
        <family val="2"/>
        <charset val="1"/>
      </rPr>
      <t xml:space="preserve">（☆振替：イ計）</t>
    </r>
  </si>
  <si>
    <r>
      <rPr>
        <sz val="10"/>
        <rFont val="WenQuanYi Zen Hei"/>
        <family val="2"/>
        <charset val="1"/>
      </rPr>
      <t xml:space="preserve">※チェック
　</t>
    </r>
    <r>
      <rPr>
        <sz val="10"/>
        <rFont val="Century"/>
        <family val="1"/>
        <charset val="1"/>
      </rPr>
      <t xml:space="preserve">(F=G)</t>
    </r>
  </si>
  <si>
    <r>
      <rPr>
        <sz val="12"/>
        <rFont val="WenQuanYi Zen Hei"/>
        <family val="2"/>
        <charset val="1"/>
      </rPr>
      <t xml:space="preserve">月合計 </t>
    </r>
    <r>
      <rPr>
        <sz val="12"/>
        <rFont val="Century"/>
        <family val="1"/>
        <charset val="1"/>
      </rPr>
      <t xml:space="preserve">H</t>
    </r>
  </si>
  <si>
    <r>
      <rPr>
        <sz val="12"/>
        <rFont val="WenQuanYi Zen Hei"/>
        <family val="2"/>
        <charset val="1"/>
      </rPr>
      <t xml:space="preserve">月合計 </t>
    </r>
    <r>
      <rPr>
        <sz val="12"/>
        <rFont val="Century"/>
        <family val="1"/>
        <charset val="1"/>
      </rPr>
      <t xml:space="preserve">I
</t>
    </r>
    <r>
      <rPr>
        <sz val="10"/>
        <rFont val="WenQuanYi Zen Hei"/>
        <family val="2"/>
        <charset val="1"/>
      </rPr>
      <t xml:space="preserve">（☆振替：ウ計）</t>
    </r>
  </si>
  <si>
    <r>
      <rPr>
        <sz val="10"/>
        <rFont val="WenQuanYi Zen Hei"/>
        <family val="2"/>
        <charset val="1"/>
      </rPr>
      <t xml:space="preserve">※チェック
　</t>
    </r>
    <r>
      <rPr>
        <sz val="10"/>
        <rFont val="Century"/>
        <family val="1"/>
        <charset val="1"/>
      </rPr>
      <t xml:space="preserve">(H=I)</t>
    </r>
  </si>
  <si>
    <t xml:space="preserve">④財政調整拠出分（連合会払込金）</t>
  </si>
  <si>
    <t xml:space="preserve">⑤災害積立払込金（連合会払込金）</t>
  </si>
  <si>
    <r>
      <rPr>
        <sz val="12"/>
        <rFont val="WenQuanYi Zen Hei"/>
        <family val="2"/>
        <charset val="1"/>
      </rPr>
      <t xml:space="preserve">月合計 </t>
    </r>
    <r>
      <rPr>
        <sz val="12"/>
        <rFont val="Century"/>
        <family val="1"/>
        <charset val="1"/>
      </rPr>
      <t xml:space="preserve">J</t>
    </r>
  </si>
  <si>
    <r>
      <rPr>
        <sz val="12"/>
        <rFont val="WenQuanYi Zen Hei"/>
        <family val="2"/>
        <charset val="1"/>
      </rPr>
      <t xml:space="preserve">月合計 </t>
    </r>
    <r>
      <rPr>
        <sz val="12"/>
        <rFont val="Century"/>
        <family val="1"/>
        <charset val="1"/>
      </rPr>
      <t xml:space="preserve">K
</t>
    </r>
    <r>
      <rPr>
        <sz val="10"/>
        <rFont val="WenQuanYi Zen Hei"/>
        <family val="2"/>
        <charset val="1"/>
      </rPr>
      <t xml:space="preserve">（☆振替：エ計）</t>
    </r>
  </si>
  <si>
    <r>
      <rPr>
        <sz val="10"/>
        <rFont val="WenQuanYi Zen Hei"/>
        <family val="2"/>
        <charset val="1"/>
      </rPr>
      <t xml:space="preserve">※チェック
　</t>
    </r>
    <r>
      <rPr>
        <sz val="10"/>
        <rFont val="Century"/>
        <family val="1"/>
        <charset val="1"/>
      </rPr>
      <t xml:space="preserve">(J=K)</t>
    </r>
  </si>
  <si>
    <r>
      <rPr>
        <sz val="12"/>
        <rFont val="WenQuanYi Zen Hei"/>
        <family val="2"/>
        <charset val="1"/>
      </rPr>
      <t xml:space="preserve">月合計 </t>
    </r>
    <r>
      <rPr>
        <sz val="12"/>
        <rFont val="Century"/>
        <family val="1"/>
        <charset val="1"/>
      </rPr>
      <t xml:space="preserve">L</t>
    </r>
  </si>
  <si>
    <r>
      <rPr>
        <sz val="12"/>
        <rFont val="WenQuanYi Zen Hei"/>
        <family val="2"/>
        <charset val="1"/>
      </rPr>
      <t xml:space="preserve">月合計 </t>
    </r>
    <r>
      <rPr>
        <sz val="12"/>
        <rFont val="Century"/>
        <family val="1"/>
        <charset val="1"/>
      </rPr>
      <t xml:space="preserve">M
</t>
    </r>
    <r>
      <rPr>
        <sz val="10"/>
        <rFont val="WenQuanYi Zen Hei"/>
        <family val="2"/>
        <charset val="1"/>
      </rPr>
      <t xml:space="preserve">（☆振替：オ計）</t>
    </r>
  </si>
  <si>
    <r>
      <rPr>
        <sz val="10"/>
        <rFont val="WenQuanYi Zen Hei"/>
        <family val="2"/>
        <charset val="1"/>
      </rPr>
      <t xml:space="preserve">※チェック
　</t>
    </r>
    <r>
      <rPr>
        <sz val="10"/>
        <rFont val="Century"/>
        <family val="1"/>
        <charset val="1"/>
      </rPr>
      <t xml:space="preserve">(L=M)</t>
    </r>
  </si>
  <si>
    <t xml:space="preserve">⑥保健事業分担金分</t>
  </si>
  <si>
    <t xml:space="preserve">⑦当組合保健分</t>
  </si>
  <si>
    <r>
      <rPr>
        <sz val="12"/>
        <rFont val="WenQuanYi Zen Hei"/>
        <family val="2"/>
        <charset val="1"/>
      </rPr>
      <t xml:space="preserve">月合計 </t>
    </r>
    <r>
      <rPr>
        <sz val="12"/>
        <rFont val="Century"/>
        <family val="1"/>
        <charset val="1"/>
      </rPr>
      <t xml:space="preserve">N</t>
    </r>
  </si>
  <si>
    <r>
      <rPr>
        <sz val="12"/>
        <rFont val="WenQuanYi Zen Hei"/>
        <family val="2"/>
        <charset val="1"/>
      </rPr>
      <t xml:space="preserve">月合計 </t>
    </r>
    <r>
      <rPr>
        <sz val="12"/>
        <rFont val="Century"/>
        <family val="1"/>
        <charset val="1"/>
      </rPr>
      <t xml:space="preserve">O
</t>
    </r>
    <r>
      <rPr>
        <sz val="10"/>
        <rFont val="WenQuanYi Zen Hei"/>
        <family val="2"/>
        <charset val="1"/>
      </rPr>
      <t xml:space="preserve">（☆振替：カ計）</t>
    </r>
  </si>
  <si>
    <r>
      <rPr>
        <sz val="10"/>
        <rFont val="WenQuanYi Zen Hei"/>
        <family val="2"/>
        <charset val="1"/>
      </rPr>
      <t xml:space="preserve">※チェック
　</t>
    </r>
    <r>
      <rPr>
        <sz val="10"/>
        <rFont val="Century"/>
        <family val="1"/>
        <charset val="1"/>
      </rPr>
      <t xml:space="preserve">(N=O)</t>
    </r>
  </si>
  <si>
    <r>
      <rPr>
        <sz val="12"/>
        <rFont val="WenQuanYi Zen Hei"/>
        <family val="2"/>
        <charset val="1"/>
      </rPr>
      <t xml:space="preserve">月合計 </t>
    </r>
    <r>
      <rPr>
        <sz val="12"/>
        <rFont val="Century"/>
        <family val="1"/>
        <charset val="1"/>
      </rPr>
      <t xml:space="preserve">P</t>
    </r>
  </si>
  <si>
    <r>
      <rPr>
        <sz val="12"/>
        <rFont val="WenQuanYi Zen Hei"/>
        <family val="2"/>
        <charset val="1"/>
      </rPr>
      <t xml:space="preserve">月合計 </t>
    </r>
    <r>
      <rPr>
        <sz val="12"/>
        <rFont val="Century"/>
        <family val="1"/>
        <charset val="1"/>
      </rPr>
      <t xml:space="preserve">Q
</t>
    </r>
    <r>
      <rPr>
        <sz val="10"/>
        <rFont val="WenQuanYi Zen Hei"/>
        <family val="2"/>
        <charset val="1"/>
      </rPr>
      <t xml:space="preserve">（☆振替：キ計）</t>
    </r>
  </si>
  <si>
    <r>
      <rPr>
        <sz val="10"/>
        <rFont val="WenQuanYi Zen Hei"/>
        <family val="2"/>
        <charset val="1"/>
      </rPr>
      <t xml:space="preserve">※チェック
　</t>
    </r>
    <r>
      <rPr>
        <sz val="10"/>
        <rFont val="Century"/>
        <family val="1"/>
        <charset val="1"/>
      </rPr>
      <t xml:space="preserve">(P=Q)</t>
    </r>
  </si>
  <si>
    <t xml:space="preserve">厚生年金保険料等収入実績</t>
  </si>
  <si>
    <r>
      <rPr>
        <sz val="14"/>
        <rFont val="WenQuanYi Zen Hei"/>
        <family val="2"/>
        <charset val="1"/>
      </rPr>
      <t xml:space="preserve">★厚生年金保険料（免除者等還付前、未納者等入金前）　　</t>
    </r>
    <r>
      <rPr>
        <sz val="11"/>
        <rFont val="WenQuanYi Zen Hei"/>
        <family val="2"/>
        <charset val="1"/>
      </rPr>
      <t xml:space="preserve">（単位：円）</t>
    </r>
  </si>
  <si>
    <t xml:space="preserve">★厚生年金保険料（免除者等還付後、未納者等入金後）</t>
  </si>
  <si>
    <r>
      <rPr>
        <sz val="14"/>
        <color rgb="FF800080"/>
        <rFont val="ＭＳ ゴシック"/>
        <family val="3"/>
        <charset val="128"/>
      </rPr>
      <t xml:space="preserve">※OFFSET</t>
    </r>
    <r>
      <rPr>
        <sz val="14"/>
        <color rgb="FF800080"/>
        <rFont val="WenQuanYi Zen Hei"/>
        <family val="2"/>
        <charset val="1"/>
      </rPr>
      <t xml:space="preserve">関数計算用</t>
    </r>
    <r>
      <rPr>
        <sz val="14"/>
        <color rgb="FF800080"/>
        <rFont val="ＭＳ ゴシック"/>
        <family val="3"/>
        <charset val="128"/>
      </rPr>
      <t xml:space="preserve">(</t>
    </r>
    <r>
      <rPr>
        <sz val="14"/>
        <color rgb="FF800080"/>
        <rFont val="WenQuanYi Zen Hei"/>
        <family val="2"/>
        <charset val="1"/>
      </rPr>
      <t xml:space="preserve">移動・削除・数値変更しないこと</t>
    </r>
    <r>
      <rPr>
        <sz val="14"/>
        <color rgb="FF800080"/>
        <rFont val="ＭＳ ゴシック"/>
        <family val="3"/>
        <charset val="128"/>
      </rPr>
      <t xml:space="preserve">!)</t>
    </r>
  </si>
  <si>
    <r>
      <rPr>
        <sz val="14"/>
        <rFont val="WenQuanYi Zen Hei"/>
        <family val="2"/>
        <charset val="1"/>
      </rPr>
      <t xml:space="preserve">組合員負担分
</t>
    </r>
    <r>
      <rPr>
        <sz val="12"/>
        <rFont val="WenQuanYi Zen Hei"/>
        <family val="2"/>
        <charset val="1"/>
      </rPr>
      <t xml:space="preserve">（免除者等還付前、未納者等入金前）</t>
    </r>
  </si>
  <si>
    <r>
      <rPr>
        <sz val="14"/>
        <rFont val="WenQuanYi Zen Hei"/>
        <family val="2"/>
        <charset val="1"/>
      </rPr>
      <t xml:space="preserve">組合員負担分
</t>
    </r>
    <r>
      <rPr>
        <sz val="12"/>
        <rFont val="WenQuanYi Zen Hei"/>
        <family val="2"/>
        <charset val="1"/>
      </rPr>
      <t xml:space="preserve">（免除者等還付後、未納者等入金後）</t>
    </r>
  </si>
  <si>
    <r>
      <rPr>
        <sz val="14"/>
        <rFont val="WenQuanYi Zen Hei"/>
        <family val="2"/>
        <charset val="1"/>
      </rPr>
      <t xml:space="preserve">差額賞与</t>
    </r>
    <r>
      <rPr>
        <sz val="14"/>
        <rFont val="ＭＳ ゴシック"/>
        <family val="3"/>
        <charset val="128"/>
      </rPr>
      <t xml:space="preserve">6</t>
    </r>
    <r>
      <rPr>
        <sz val="14"/>
        <rFont val="WenQuanYi Zen Hei"/>
        <family val="2"/>
        <charset val="1"/>
      </rPr>
      <t xml:space="preserve">月</t>
    </r>
  </si>
  <si>
    <r>
      <rPr>
        <sz val="14"/>
        <rFont val="WenQuanYi Zen Hei"/>
        <family val="2"/>
        <charset val="1"/>
      </rPr>
      <t xml:space="preserve">差額賞与</t>
    </r>
    <r>
      <rPr>
        <sz val="14"/>
        <rFont val="ＭＳ ゴシック"/>
        <family val="3"/>
        <charset val="128"/>
      </rPr>
      <t xml:space="preserve">12</t>
    </r>
    <r>
      <rPr>
        <sz val="14"/>
        <rFont val="WenQuanYi Zen Hei"/>
        <family val="2"/>
        <charset val="1"/>
      </rPr>
      <t xml:space="preserve">月</t>
    </r>
  </si>
  <si>
    <t xml:space="preserve">（左下、「負担金の連合会データ伝送用内訳」へ）</t>
  </si>
  <si>
    <t xml:space="preserve">（負担金の連合会データ伝送用内訳）</t>
  </si>
  <si>
    <t xml:space="preserve">★追加費用</t>
  </si>
  <si>
    <t xml:space="preserve">厚生年金保険負担金</t>
  </si>
  <si>
    <t xml:space="preserve">厚生年金分</t>
  </si>
  <si>
    <r>
      <rPr>
        <sz val="14"/>
        <rFont val="WenQuanYi Zen Hei"/>
        <family val="2"/>
        <charset val="1"/>
      </rPr>
      <t xml:space="preserve">★未納者等入金額
＜厚年＞　　</t>
    </r>
    <r>
      <rPr>
        <sz val="10"/>
        <rFont val="WenQuanYi Zen Hei"/>
        <family val="2"/>
        <charset val="1"/>
      </rPr>
      <t xml:space="preserve">　（単位：円）</t>
    </r>
  </si>
  <si>
    <t xml:space="preserve">厚年分入金</t>
  </si>
  <si>
    <r>
      <rPr>
        <sz val="14"/>
        <rFont val="WenQuanYi Zen Hei"/>
        <family val="2"/>
        <charset val="1"/>
      </rPr>
      <t xml:space="preserve">★免除者等還付額
＜厚年＞　　　</t>
    </r>
    <r>
      <rPr>
        <sz val="10"/>
        <rFont val="WenQuanYi Zen Hei"/>
        <family val="2"/>
        <charset val="1"/>
      </rPr>
      <t xml:space="preserve">（単位：円）</t>
    </r>
  </si>
  <si>
    <t xml:space="preserve">厚年分還付</t>
  </si>
  <si>
    <t xml:space="preserve">退職等年金掛金・負担金及び経過的長期負担金収入実績</t>
  </si>
  <si>
    <t xml:space="preserve">所属からの入金のとおり</t>
  </si>
  <si>
    <r>
      <rPr>
        <sz val="14"/>
        <rFont val="WenQuanYi Zen Hei"/>
        <family val="2"/>
        <charset val="1"/>
      </rPr>
      <t xml:space="preserve">★退職等年金掛金・負担金（免除者等還付前、未納者等入金後）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</si>
  <si>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★退職等年金掛金・負担金（免除者等還付後、未納者等入金後）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</si>
  <si>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★退職等年金掛金・負担金（免除者還付前、未納者入金前）</t>
    </r>
    <r>
      <rPr>
        <sz val="11"/>
        <rFont val="WenQuanYi Zen Hei"/>
        <family val="2"/>
        <charset val="1"/>
      </rPr>
      <t xml:space="preserve"> （単位：円）</t>
    </r>
  </si>
  <si>
    <r>
      <rPr>
        <sz val="14"/>
        <rFont val="WenQuanYi Zen Hei"/>
        <family val="2"/>
        <charset val="1"/>
      </rPr>
      <t xml:space="preserve">掛　金
</t>
    </r>
    <r>
      <rPr>
        <sz val="12"/>
        <rFont val="WenQuanYi Zen Hei"/>
        <family val="2"/>
        <charset val="1"/>
      </rPr>
      <t xml:space="preserve">（免除者等還付前、未納者等入金後）</t>
    </r>
  </si>
  <si>
    <r>
      <rPr>
        <sz val="14"/>
        <rFont val="WenQuanYi Zen Hei"/>
        <family val="2"/>
        <charset val="1"/>
      </rPr>
      <t xml:space="preserve">掛　金
</t>
    </r>
    <r>
      <rPr>
        <sz val="12"/>
        <rFont val="WenQuanYi Zen Hei"/>
        <family val="2"/>
        <charset val="1"/>
      </rPr>
      <t xml:space="preserve">（免除者等還付後、未納者等入金後）</t>
    </r>
  </si>
  <si>
    <r>
      <rPr>
        <sz val="14"/>
        <rFont val="WenQuanYi Zen Hei"/>
        <family val="2"/>
        <charset val="1"/>
      </rPr>
      <t xml:space="preserve">掛　金
</t>
    </r>
    <r>
      <rPr>
        <sz val="12"/>
        <rFont val="WenQuanYi Zen Hei"/>
        <family val="2"/>
        <charset val="1"/>
      </rPr>
      <t xml:space="preserve">（免除者還付前、未納者入金前）</t>
    </r>
  </si>
  <si>
    <t xml:space="preserve">※月末に、厚年→退職等の経理間振替をする段階の数字</t>
  </si>
  <si>
    <r>
      <rPr>
        <sz val="14"/>
        <rFont val="WenQuanYi Zen Hei"/>
        <family val="2"/>
        <charset val="1"/>
      </rPr>
      <t xml:space="preserve">★経過的長期負担金</t>
    </r>
    <r>
      <rPr>
        <sz val="11"/>
        <rFont val="WenQuanYi Zen Hei"/>
        <family val="2"/>
        <charset val="1"/>
      </rPr>
      <t xml:space="preserve">　　（単位：円）</t>
    </r>
  </si>
  <si>
    <r>
      <rPr>
        <sz val="14"/>
        <rFont val="WenQuanYi Zen Hei"/>
        <family val="2"/>
        <charset val="1"/>
      </rPr>
      <t xml:space="preserve">★追加費用</t>
    </r>
    <r>
      <rPr>
        <sz val="11"/>
        <rFont val="WenQuanYi Zen Hei"/>
        <family val="2"/>
        <charset val="1"/>
      </rPr>
      <t xml:space="preserve">　</t>
    </r>
  </si>
  <si>
    <r>
      <rPr>
        <sz val="14"/>
        <rFont val="WenQuanYi Zen Hei"/>
        <family val="2"/>
        <charset val="1"/>
      </rPr>
      <t xml:space="preserve">★免除者等還付額
＜退職等＞　　</t>
    </r>
    <r>
      <rPr>
        <sz val="10"/>
        <rFont val="WenQuanYi Zen Hei"/>
        <family val="2"/>
        <charset val="1"/>
      </rPr>
      <t xml:space="preserve">（単位：円）</t>
    </r>
  </si>
  <si>
    <r>
      <rPr>
        <sz val="14"/>
        <rFont val="WenQuanYi Zen Hei"/>
        <family val="2"/>
        <charset val="1"/>
      </rPr>
      <t xml:space="preserve">★未納者等入金額
＜退職等＞　</t>
    </r>
    <r>
      <rPr>
        <sz val="10"/>
        <rFont val="WenQuanYi Zen Hei"/>
        <family val="2"/>
        <charset val="1"/>
      </rPr>
      <t xml:space="preserve">　（単位：円）</t>
    </r>
  </si>
  <si>
    <t xml:space="preserve">経過的長期分</t>
  </si>
  <si>
    <t xml:space="preserve">退職等分還付</t>
  </si>
  <si>
    <t xml:space="preserve">退職等分入金</t>
  </si>
  <si>
    <t xml:space="preserve">（円）</t>
  </si>
  <si>
    <t xml:space="preserve">短期掛金・負担金収入実績　※短期経理へ入金したもの（保健経理分も含む）</t>
  </si>
  <si>
    <t xml:space="preserve">★短期全体分（任継・免除者等：還付前、未納者等：入金前）　</t>
  </si>
  <si>
    <r>
      <rPr>
        <sz val="14"/>
        <rFont val="WenQuanYi Zen Hei"/>
        <family val="2"/>
        <charset val="1"/>
      </rPr>
      <t xml:space="preserve">★短期任意継続掛金還付金　　</t>
    </r>
    <r>
      <rPr>
        <sz val="11"/>
        <rFont val="WenQuanYi Zen Hei"/>
        <family val="2"/>
        <charset val="1"/>
      </rPr>
      <t xml:space="preserve">（円）</t>
    </r>
  </si>
  <si>
    <r>
      <rPr>
        <sz val="14"/>
        <rFont val="WenQuanYi Zen Hei"/>
        <family val="2"/>
        <charset val="1"/>
      </rPr>
      <t xml:space="preserve">★免除・その他還付額【短期】</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</si>
  <si>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（免除者等還付前、未納者等入金前）</t>
    </r>
  </si>
  <si>
    <r>
      <rPr>
        <sz val="14"/>
        <rFont val="WenQuanYi Zen Hei"/>
        <family val="2"/>
        <charset val="1"/>
      </rPr>
      <t xml:space="preserve">任意継続掛金
</t>
    </r>
    <r>
      <rPr>
        <sz val="11"/>
        <rFont val="WenQuanYi Zen Hei"/>
        <family val="2"/>
        <charset val="1"/>
      </rPr>
      <t xml:space="preserve">（還付前）</t>
    </r>
  </si>
  <si>
    <t xml:space="preserve">還付額</t>
  </si>
  <si>
    <t xml:space="preserve">★短期全体分＜最終＞（任継・免除者等：還付後、未納者等：入金後）</t>
  </si>
  <si>
    <r>
      <rPr>
        <sz val="10"/>
        <color rgb="FF800080"/>
        <rFont val="ＭＳ ゴシック"/>
        <family val="3"/>
        <charset val="128"/>
      </rPr>
      <t xml:space="preserve">※OFFSET</t>
    </r>
    <r>
      <rPr>
        <sz val="10"/>
        <color rgb="FF800080"/>
        <rFont val="WenQuanYi Zen Hei"/>
        <family val="2"/>
        <charset val="1"/>
      </rPr>
      <t xml:space="preserve">関数計算用</t>
    </r>
    <r>
      <rPr>
        <sz val="10"/>
        <color rgb="FF800080"/>
        <rFont val="ＭＳ ゴシック"/>
        <family val="3"/>
        <charset val="128"/>
      </rPr>
      <t xml:space="preserve">(</t>
    </r>
    <r>
      <rPr>
        <sz val="10"/>
        <color rgb="FF800080"/>
        <rFont val="WenQuanYi Zen Hei"/>
        <family val="2"/>
        <charset val="1"/>
      </rPr>
      <t xml:space="preserve">移動・削除・数値変更しないこと</t>
    </r>
    <r>
      <rPr>
        <sz val="10"/>
        <color rgb="FF800080"/>
        <rFont val="ＭＳ ゴシック"/>
        <family val="3"/>
        <charset val="128"/>
      </rPr>
      <t xml:space="preserve">!)</t>
    </r>
  </si>
  <si>
    <r>
      <rPr>
        <sz val="14"/>
        <rFont val="WenQuanYi Zen Hei"/>
        <family val="2"/>
        <charset val="1"/>
      </rPr>
      <t xml:space="preserve">★未納者等入金額【短期】　</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</si>
  <si>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（免除者等還付後、未納者等入金後）</t>
    </r>
  </si>
  <si>
    <r>
      <rPr>
        <sz val="14"/>
        <rFont val="WenQuanYi Zen Hei"/>
        <family val="2"/>
        <charset val="1"/>
      </rPr>
      <t xml:space="preserve">任意継続掛金
</t>
    </r>
    <r>
      <rPr>
        <sz val="11"/>
        <rFont val="WenQuanYi Zen Hei"/>
        <family val="2"/>
        <charset val="1"/>
      </rPr>
      <t xml:space="preserve">（還付後）</t>
    </r>
  </si>
  <si>
    <t xml:space="preserve">入金額</t>
  </si>
  <si>
    <t xml:space="preserve">短期経理分・保健経理分　各収入実績　※短期経理へ入金したものを保健経理分と分けたもの</t>
  </si>
  <si>
    <r>
      <rPr>
        <sz val="14"/>
        <rFont val="WenQuanYi Zen Hei"/>
        <family val="2"/>
        <charset val="1"/>
      </rPr>
      <t xml:space="preserve">★保健経理分＜最終＞（保健事業分担金</t>
    </r>
    <r>
      <rPr>
        <sz val="14"/>
        <rFont val="ＭＳ ゴシック"/>
        <family val="3"/>
        <charset val="128"/>
      </rPr>
      <t xml:space="preserve">+</t>
    </r>
    <r>
      <rPr>
        <sz val="14"/>
        <rFont val="WenQuanYi Zen Hei"/>
        <family val="2"/>
        <charset val="1"/>
      </rPr>
      <t xml:space="preserve">当組合保健分）</t>
    </r>
  </si>
  <si>
    <r>
      <rPr>
        <sz val="12"/>
        <color rgb="FF800080"/>
        <rFont val="ＭＳ ゴシック"/>
        <family val="3"/>
        <charset val="128"/>
      </rPr>
      <t xml:space="preserve">※OFFSET</t>
    </r>
    <r>
      <rPr>
        <sz val="12"/>
        <color rgb="FF800080"/>
        <rFont val="WenQuanYi Zen Hei"/>
        <family val="2"/>
        <charset val="1"/>
      </rPr>
      <t xml:space="preserve">関数計算用</t>
    </r>
    <r>
      <rPr>
        <sz val="12"/>
        <color rgb="FF800080"/>
        <rFont val="ＭＳ ゴシック"/>
        <family val="3"/>
        <charset val="128"/>
      </rPr>
      <t xml:space="preserve">(</t>
    </r>
    <r>
      <rPr>
        <sz val="12"/>
        <color rgb="FF800080"/>
        <rFont val="WenQuanYi Zen Hei"/>
        <family val="2"/>
        <charset val="1"/>
      </rPr>
      <t xml:space="preserve">移動・削除・数値変更しないこと</t>
    </r>
    <r>
      <rPr>
        <sz val="12"/>
        <color rgb="FF800080"/>
        <rFont val="ＭＳ ゴシック"/>
        <family val="3"/>
        <charset val="128"/>
      </rPr>
      <t xml:space="preserve">!)</t>
    </r>
  </si>
  <si>
    <t xml:space="preserve">掛金</t>
  </si>
  <si>
    <t xml:space="preserve">★短期経理分＜最終＞（任継・免除者等：還付後、未納者等：入金後）</t>
  </si>
  <si>
    <t xml:space="preserve">介護掛金・負担金収入実績</t>
  </si>
  <si>
    <t xml:space="preserve">★介護分（任継・免除者等：還付前、未納者等：入金前）</t>
  </si>
  <si>
    <r>
      <rPr>
        <sz val="14"/>
        <rFont val="WenQuanYi Zen Hei"/>
        <family val="2"/>
        <charset val="1"/>
      </rPr>
      <t xml:space="preserve">★介護任意継続掛金還付金　　</t>
    </r>
    <r>
      <rPr>
        <sz val="11"/>
        <rFont val="WenQuanYi Zen Hei"/>
        <family val="2"/>
        <charset val="1"/>
      </rPr>
      <t xml:space="preserve">（円）</t>
    </r>
  </si>
  <si>
    <r>
      <rPr>
        <sz val="14"/>
        <rFont val="WenQuanYi Zen Hei"/>
        <family val="2"/>
        <charset val="1"/>
      </rPr>
      <t xml:space="preserve">★免除・その他還付額【介護】</t>
    </r>
    <r>
      <rPr>
        <sz val="11"/>
        <rFont val="WenQuanYi Zen Hei"/>
        <family val="2"/>
        <charset val="1"/>
      </rPr>
      <t xml:space="preserve">（円）</t>
    </r>
  </si>
  <si>
    <t xml:space="preserve">★介護分＜最終＞（任継・免除者等：還付後、未納者等：入金後）</t>
  </si>
  <si>
    <r>
      <rPr>
        <sz val="14"/>
        <rFont val="WenQuanYi Zen Hei"/>
        <family val="2"/>
        <charset val="1"/>
      </rPr>
      <t xml:space="preserve">★未納者等入金額【介護】　</t>
    </r>
    <r>
      <rPr>
        <sz val="11"/>
        <rFont val="WenQuanYi Zen Hei"/>
        <family val="2"/>
        <charset val="1"/>
      </rPr>
      <t xml:space="preserve">（円）</t>
    </r>
  </si>
  <si>
    <t xml:space="preserve">子ども・子育て支援掛金・負担金収入実績</t>
  </si>
  <si>
    <t xml:space="preserve">★子ども・子育て支援分（任継・免除者等：還付前、未納者等：入金前）</t>
  </si>
  <si>
    <r>
      <rPr>
        <sz val="14"/>
        <rFont val="WenQuanYi Zen Hei"/>
        <family val="2"/>
        <charset val="1"/>
      </rPr>
      <t xml:space="preserve">★子・子任意継続掛金還付金　　</t>
    </r>
    <r>
      <rPr>
        <sz val="11"/>
        <rFont val="WenQuanYi Zen Hei"/>
        <family val="2"/>
        <charset val="1"/>
      </rPr>
      <t xml:space="preserve">（円）</t>
    </r>
  </si>
  <si>
    <r>
      <rPr>
        <sz val="14"/>
        <rFont val="WenQuanYi Zen Hei"/>
        <family val="2"/>
        <charset val="1"/>
      </rPr>
      <t xml:space="preserve">★免除・その他還付額【子・子】</t>
    </r>
    <r>
      <rPr>
        <sz val="11"/>
        <rFont val="WenQuanYi Zen Hei"/>
        <family val="2"/>
        <charset val="1"/>
      </rPr>
      <t xml:space="preserve">（円）</t>
    </r>
  </si>
  <si>
    <t xml:space="preserve">★子ども・子育て支援分＜最終＞（任継・免除者等：還付後、未納者等：入金後）</t>
  </si>
  <si>
    <r>
      <rPr>
        <sz val="14"/>
        <rFont val="WenQuanYi Zen Hei"/>
        <family val="2"/>
        <charset val="1"/>
      </rPr>
      <t xml:space="preserve">★未納者等入金額【子・子】　</t>
    </r>
    <r>
      <rPr>
        <sz val="11"/>
        <rFont val="WenQuanYi Zen Hei"/>
        <family val="2"/>
        <charset val="1"/>
      </rPr>
      <t xml:space="preserve">（円）</t>
    </r>
  </si>
  <si>
    <r>
      <rPr>
        <sz val="14"/>
        <color rgb="FF993300"/>
        <rFont val="ＭＳ Ｐ明朝"/>
        <family val="1"/>
        <charset val="128"/>
      </rPr>
      <t xml:space="preserve">※OFFSET</t>
    </r>
    <r>
      <rPr>
        <sz val="14"/>
        <color rgb="FF993300"/>
        <rFont val="WenQuanYi Zen Hei"/>
        <family val="2"/>
        <charset val="1"/>
      </rPr>
      <t xml:space="preserve">関数用</t>
    </r>
    <r>
      <rPr>
        <sz val="14"/>
        <color rgb="FF993300"/>
        <rFont val="ＭＳ Ｐ明朝"/>
        <family val="1"/>
        <charset val="128"/>
      </rPr>
      <t xml:space="preserve">(</t>
    </r>
    <r>
      <rPr>
        <sz val="14"/>
        <color rgb="FF993300"/>
        <rFont val="WenQuanYi Zen Hei"/>
        <family val="2"/>
        <charset val="1"/>
      </rPr>
      <t xml:space="preserve">移動・削除・数値変更しない</t>
    </r>
    <r>
      <rPr>
        <sz val="14"/>
        <color rgb="FF993300"/>
        <rFont val="ＭＳ Ｐ明朝"/>
        <family val="1"/>
        <charset val="128"/>
      </rPr>
      <t xml:space="preserve">!)</t>
    </r>
  </si>
  <si>
    <t xml:space="preserve">※任意継続掛金還付後</t>
  </si>
  <si>
    <t xml:space="preserve">②育児介護拠出分（連合会拠出金）</t>
  </si>
  <si>
    <t xml:space="preserve">③特別財政調整拠出分（調整負担金）（連合会拠出金）</t>
  </si>
  <si>
    <t xml:space="preserve">※　考え方</t>
  </si>
  <si>
    <r>
      <rPr>
        <sz val="12"/>
        <rFont val="WenQuanYi Zen Hei"/>
        <family val="2"/>
        <charset val="1"/>
      </rPr>
      <t xml:space="preserve">　・</t>
    </r>
    <r>
      <rPr>
        <sz val="12"/>
        <rFont val="ＭＳ Ｐゴシック"/>
        <family val="3"/>
        <charset val="128"/>
      </rPr>
      <t xml:space="preserve">4</t>
    </r>
    <r>
      <rPr>
        <sz val="12"/>
        <rFont val="WenQuanYi Zen Hei"/>
        <family val="2"/>
        <charset val="1"/>
      </rPr>
      <t xml:space="preserve">月～</t>
    </r>
    <r>
      <rPr>
        <sz val="12"/>
        <rFont val="ＭＳ Ｐゴシック"/>
        <family val="3"/>
        <charset val="128"/>
      </rPr>
      <t xml:space="preserve">11</t>
    </r>
    <r>
      <rPr>
        <sz val="12"/>
        <rFont val="WenQuanYi Zen Hei"/>
        <family val="2"/>
        <charset val="1"/>
      </rPr>
      <t xml:space="preserve">月　実績、</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　見込</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</si>
  <si>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月以降の月例は</t>
    </r>
    <r>
      <rPr>
        <sz val="12"/>
        <rFont val="ＭＳ Ｐゴシック"/>
        <family val="3"/>
        <charset val="128"/>
      </rPr>
      <t xml:space="preserve">11</t>
    </r>
    <r>
      <rPr>
        <sz val="12"/>
        <rFont val="WenQuanYi Zen Hei"/>
        <family val="2"/>
        <charset val="1"/>
      </rPr>
      <t xml:space="preserve">月に同じ。</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</si>
  <si>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月期末は</t>
    </r>
    <r>
      <rPr>
        <sz val="12"/>
        <rFont val="ＭＳ Ｐゴシック"/>
        <family val="3"/>
        <charset val="128"/>
      </rPr>
      <t xml:space="preserve">6</t>
    </r>
    <r>
      <rPr>
        <sz val="12"/>
        <rFont val="WenQuanYi Zen Hei"/>
        <family val="2"/>
        <charset val="1"/>
      </rPr>
      <t xml:space="preserve">月賞与収入分</t>
    </r>
    <r>
      <rPr>
        <sz val="12"/>
        <rFont val="ＭＳ Ｐゴシック"/>
        <family val="3"/>
        <charset val="128"/>
      </rPr>
      <t xml:space="preserve">/6</t>
    </r>
    <r>
      <rPr>
        <sz val="12"/>
        <rFont val="WenQuanYi Zen Hei"/>
        <family val="2"/>
        <charset val="1"/>
      </rPr>
      <t xml:space="preserve">月支給率</t>
    </r>
    <r>
      <rPr>
        <sz val="12"/>
        <rFont val="ＭＳ Ｐゴシック"/>
        <family val="3"/>
        <charset val="128"/>
      </rPr>
      <t xml:space="preserve">×12</t>
    </r>
    <r>
      <rPr>
        <sz val="12"/>
        <rFont val="WenQuanYi Zen Hei"/>
        <family val="2"/>
        <charset val="1"/>
      </rPr>
      <t xml:space="preserve">・</t>
    </r>
    <r>
      <rPr>
        <sz val="12"/>
        <rFont val="ＭＳ Ｐゴシック"/>
        <family val="3"/>
        <charset val="128"/>
      </rPr>
      <t xml:space="preserve">3</t>
    </r>
    <r>
      <rPr>
        <sz val="12"/>
        <rFont val="WenQuanYi Zen Hei"/>
        <family val="2"/>
        <charset val="1"/>
      </rPr>
      <t xml:space="preserve">月支給率</t>
    </r>
  </si>
  <si>
    <r>
      <rPr>
        <sz val="12"/>
        <rFont val="WenQuanYi Zen Hei"/>
        <family val="2"/>
        <charset val="1"/>
      </rPr>
      <t xml:space="preserve">　・差額分は、</t>
    </r>
    <r>
      <rPr>
        <sz val="12"/>
        <rFont val="ＭＳ Ｐゴシック"/>
        <family val="3"/>
        <charset val="128"/>
      </rPr>
      <t xml:space="preserve">6</t>
    </r>
    <r>
      <rPr>
        <sz val="12"/>
        <rFont val="WenQuanYi Zen Hei"/>
        <family val="2"/>
        <charset val="1"/>
      </rPr>
      <t xml:space="preserve">月・</t>
    </r>
    <r>
      <rPr>
        <sz val="12"/>
        <rFont val="ＭＳ Ｐゴシック"/>
        <family val="3"/>
        <charset val="128"/>
      </rPr>
      <t xml:space="preserve">12</t>
    </r>
    <r>
      <rPr>
        <sz val="12"/>
        <rFont val="WenQuanYi Zen Hei"/>
        <family val="2"/>
        <charset val="1"/>
      </rPr>
      <t xml:space="preserve">月賞与それぞれに</t>
    </r>
    <r>
      <rPr>
        <sz val="12"/>
        <rFont val="ＭＳ Ｐゴシック"/>
        <family val="3"/>
        <charset val="128"/>
      </rPr>
      <t xml:space="preserve">7</t>
    </r>
    <r>
      <rPr>
        <sz val="12"/>
        <rFont val="WenQuanYi Zen Hei"/>
        <family val="2"/>
        <charset val="1"/>
      </rPr>
      <t xml:space="preserve">年度給与改定平均予定率をかけたもの</t>
    </r>
  </si>
  <si>
    <r>
      <rPr>
        <sz val="12"/>
        <rFont val="ＭＳ Ｐゴシック"/>
        <family val="3"/>
        <charset val="128"/>
      </rPr>
      <t xml:space="preserve">★6</t>
    </r>
    <r>
      <rPr>
        <sz val="12"/>
        <rFont val="WenQuanYi Zen Hei"/>
        <family val="2"/>
        <charset val="1"/>
      </rPr>
      <t xml:space="preserve">月賞与支給率</t>
    </r>
  </si>
  <si>
    <r>
      <rPr>
        <sz val="12"/>
        <rFont val="ＭＳ Ｐゴシック"/>
        <family val="3"/>
        <charset val="128"/>
      </rPr>
      <t xml:space="preserve">★12</t>
    </r>
    <r>
      <rPr>
        <sz val="12"/>
        <rFont val="WenQuanYi Zen Hei"/>
        <family val="2"/>
        <charset val="1"/>
      </rPr>
      <t xml:space="preserve">月賞与支給率</t>
    </r>
  </si>
  <si>
    <r>
      <rPr>
        <sz val="12"/>
        <rFont val="ＭＳ Ｐゴシック"/>
        <family val="3"/>
        <charset val="128"/>
      </rPr>
      <t xml:space="preserve">★3</t>
    </r>
    <r>
      <rPr>
        <sz val="12"/>
        <rFont val="WenQuanYi Zen Hei"/>
        <family val="2"/>
        <charset val="1"/>
      </rPr>
      <t xml:space="preserve">月賞与支給率</t>
    </r>
  </si>
  <si>
    <t xml:space="preserve">★給与改定平均予定率</t>
  </si>
  <si>
    <t xml:space="preserve">●短期掛金・負担金の合計額</t>
  </si>
  <si>
    <r>
      <rPr>
        <b val="true"/>
        <sz val="11"/>
        <rFont val="WenQuanYi Zen Hei"/>
        <family val="2"/>
        <charset val="1"/>
      </rPr>
      <t xml:space="preserve">（収入全体</t>
    </r>
    <r>
      <rPr>
        <b val="true"/>
        <sz val="11"/>
        <rFont val="ＭＳ Ｐゴシック"/>
        <family val="3"/>
        <charset val="128"/>
      </rPr>
      <t xml:space="preserve">-</t>
    </r>
    <r>
      <rPr>
        <b val="true"/>
        <sz val="11"/>
        <rFont val="WenQuanYi Zen Hei"/>
        <family val="2"/>
        <charset val="1"/>
      </rPr>
      <t xml:space="preserve">保健分担金</t>
    </r>
    <r>
      <rPr>
        <b val="true"/>
        <sz val="11"/>
        <rFont val="ＭＳ Ｐゴシック"/>
        <family val="3"/>
        <charset val="128"/>
      </rPr>
      <t xml:space="preserve">-</t>
    </r>
    <r>
      <rPr>
        <b val="true"/>
        <sz val="11"/>
        <rFont val="WenQuanYi Zen Hei"/>
        <family val="2"/>
        <charset val="1"/>
      </rPr>
      <t xml:space="preserve">当組合保健</t>
    </r>
    <r>
      <rPr>
        <b val="true"/>
        <sz val="11"/>
        <rFont val="ＭＳ Ｐゴシック"/>
        <family val="3"/>
        <charset val="128"/>
      </rPr>
      <t xml:space="preserve">-</t>
    </r>
    <r>
      <rPr>
        <b val="true"/>
        <sz val="11"/>
        <rFont val="WenQuanYi Zen Hei"/>
        <family val="2"/>
        <charset val="1"/>
      </rPr>
      <t xml:space="preserve">調整負担</t>
    </r>
    <r>
      <rPr>
        <b val="true"/>
        <sz val="11"/>
        <rFont val="ＭＳ Ｐゴシック"/>
        <family val="3"/>
        <charset val="128"/>
      </rPr>
      <t xml:space="preserve">-</t>
    </r>
    <r>
      <rPr>
        <b val="true"/>
        <sz val="11"/>
        <rFont val="WenQuanYi Zen Hei"/>
        <family val="2"/>
        <charset val="1"/>
      </rPr>
      <t xml:space="preserve">公的負担）</t>
    </r>
  </si>
  <si>
    <t xml:space="preserve">●連合会払込金</t>
  </si>
  <si>
    <r>
      <rPr>
        <b val="true"/>
        <sz val="11"/>
        <rFont val="WenQuanYi Zen Hei"/>
        <family val="2"/>
        <charset val="1"/>
      </rPr>
      <t xml:space="preserve">（財政調整</t>
    </r>
    <r>
      <rPr>
        <b val="true"/>
        <sz val="11"/>
        <rFont val="ＭＳ Ｐゴシック"/>
        <family val="3"/>
        <charset val="128"/>
      </rPr>
      <t xml:space="preserve">+</t>
    </r>
    <r>
      <rPr>
        <b val="true"/>
        <sz val="11"/>
        <rFont val="WenQuanYi Zen Hei"/>
        <family val="2"/>
        <charset val="1"/>
      </rPr>
      <t xml:space="preserve">災害積立）</t>
    </r>
  </si>
  <si>
    <t xml:space="preserve">●育・介拠出金（公的負担除く）</t>
  </si>
  <si>
    <t xml:space="preserve">●調整負担金</t>
  </si>
  <si>
    <t xml:space="preserve">●公的負担金</t>
  </si>
</sst>
</file>

<file path=xl/styles.xml><?xml version="1.0" encoding="utf-8"?>
<styleSheet xmlns="http://schemas.openxmlformats.org/spreadsheetml/2006/main">
  <numFmts count="66">
    <numFmt numFmtId="164" formatCode="General"/>
    <numFmt numFmtId="165" formatCode="[$-409]#,##0_);[RED]\(#,##0\)"/>
    <numFmt numFmtId="166" formatCode="0"/>
    <numFmt numFmtId="167" formatCode="0.0%"/>
    <numFmt numFmtId="168" formatCode="yyyy/m/d"/>
    <numFmt numFmtId="169" formatCode="#,##0;\-#,##0;0"/>
    <numFmt numFmtId="170" formatCode="#,##0;\-#,##0;;@"/>
    <numFmt numFmtId="171" formatCode="yyyy\年m\月"/>
    <numFmt numFmtId="172" formatCode="0%"/>
    <numFmt numFmtId="173" formatCode="0.0000"/>
    <numFmt numFmtId="174" formatCode="[$-409]#,##0_);\(#,##0\)"/>
    <numFmt numFmtId="175" formatCode="[$-409]m/d/yyyy"/>
    <numFmt numFmtId="176" formatCode="[$-1030411]ggge\年m&quot;月分&quot;"/>
    <numFmt numFmtId="177" formatCode="@"/>
    <numFmt numFmtId="178" formatCode="[$-1030411]ggge\年m&quot;月賞与分&quot;"/>
    <numFmt numFmtId="179" formatCode="#,##0_);[RED]\(#,##0\)"/>
    <numFmt numFmtId="180" formatCode="#,##0.000;\-#,##0.000"/>
    <numFmt numFmtId="181" formatCode="[$-1030411]ggge&quot;年度預り金&quot;"/>
    <numFmt numFmtId="182" formatCode="[$-1030411]ggge\年m\月"/>
    <numFmt numFmtId="183" formatCode="#,##0;&quot;▲ &quot;#,##0"/>
    <numFmt numFmtId="184" formatCode="[$-1030411]ggge\年m&quot;月賞与&quot;"/>
    <numFmt numFmtId="185" formatCode="[$-409]#,##0.00_);[RED]\(#,##0.00\)"/>
    <numFmt numFmtId="186" formatCode="#,##0.0;[RED]\-#,##0.0"/>
    <numFmt numFmtId="187" formatCode="0.00_ "/>
    <numFmt numFmtId="188" formatCode="#,##0.0000;[RED]\-#,##0.0000"/>
    <numFmt numFmtId="189" formatCode="&quot;１ &quot;@&quot;  ６月払込分&quot;"/>
    <numFmt numFmtId="190" formatCode="&quot;１ &quot;@&quot; ６月払込分&quot;"/>
    <numFmt numFmtId="191" formatCode="&quot;１ &quot;@&quot; ７月払込分&quot;"/>
    <numFmt numFmtId="192" formatCode="&quot;（率： &quot;0.00&quot;  ‰)&quot;"/>
    <numFmt numFmtId="193" formatCode="0.00&quot; ‰)&quot;"/>
    <numFmt numFmtId="194" formatCode="&quot;（ 率：　&quot;0.00&quot;  ‰ )&quot;"/>
    <numFmt numFmtId="195" formatCode="0.000&quot; ‰)&quot;"/>
    <numFmt numFmtId="196" formatCode="&quot;２　分担金額は、標準報酬等合計額総額に&quot;0.000\‰"/>
    <numFmt numFmtId="197" formatCode="&quot;２　分担金額は、標準報酬等合計額総額に&quot;0.00\‰"/>
    <numFmt numFmtId="198" formatCode="&quot;１ &quot;@&quot;  ９月払込分&quot;"/>
    <numFmt numFmtId="199" formatCode="&quot;２ &quot;@&quot; ９月払込分&quot;"/>
    <numFmt numFmtId="200" formatCode="&quot;１ &quot;@&quot; １０月払込分&quot;"/>
    <numFmt numFmtId="201" formatCode="0.0&quot; ‰)&quot;"/>
    <numFmt numFmtId="202" formatCode="&quot;１ &quot;@&quot;  １２月払込分&quot;"/>
    <numFmt numFmtId="203" formatCode="&quot;１ &quot;@&quot; １月払込分&quot;"/>
    <numFmt numFmtId="204" formatCode="&quot;１ &quot;@&quot;  ３月払込分&quot;"/>
    <numFmt numFmtId="205" formatCode="&quot;２ &quot;@&quot;払込分&quot;"/>
    <numFmt numFmtId="206" formatCode="#,##0"/>
    <numFmt numFmtId="207" formatCode="0.00"/>
    <numFmt numFmtId="208" formatCode="\(#.00\)"/>
    <numFmt numFmtId="209" formatCode="\(#.###\)"/>
    <numFmt numFmtId="210" formatCode="\(0.00\)"/>
    <numFmt numFmtId="211" formatCode="\(0.#####\)"/>
    <numFmt numFmtId="212" formatCode="\(#,###.00\)"/>
    <numFmt numFmtId="213" formatCode="\(#,###.0\)"/>
    <numFmt numFmtId="214" formatCode="\(0.##########\)"/>
    <numFmt numFmtId="215" formatCode="\(0.#########\)"/>
    <numFmt numFmtId="216" formatCode="\(0.0\)"/>
    <numFmt numFmtId="217" formatCode="\(0.0000\)"/>
    <numFmt numFmtId="218" formatCode="\(#,###.000\)"/>
    <numFmt numFmtId="219" formatCode="\(0.######\)"/>
    <numFmt numFmtId="220" formatCode="#,###\円"/>
    <numFmt numFmtId="221" formatCode="\（#,###"/>
    <numFmt numFmtId="222" formatCode="\×0.0&quot; ‰)&quot;"/>
    <numFmt numFmtId="223" formatCode="\×0.000#&quot; ‰)&quot;"/>
    <numFmt numFmtId="224" formatCode="General"/>
    <numFmt numFmtId="225" formatCode="[$-409]General"/>
    <numFmt numFmtId="226" formatCode="&quot;2月分 &quot;#,##0"/>
    <numFmt numFmtId="227" formatCode="&quot;3月分 &quot;#,##0"/>
    <numFmt numFmtId="228" formatCode="#,##0.000;&quot;▲ &quot;#,##0.000"/>
    <numFmt numFmtId="229" formatCode="0.######&quot;  ％ &quot;"/>
  </numFmts>
  <fonts count="209">
    <font>
      <sz val="14"/>
      <name val="ＭＳ 明朝"/>
      <family val="1"/>
      <charset val="128"/>
    </font>
    <font>
      <sz val="10"/>
      <name val="Arial"/>
      <family val="0"/>
    </font>
    <font>
      <sz val="10"/>
      <name val="Arial"/>
      <family val="0"/>
    </font>
    <font>
      <sz val="10"/>
      <name val="Arial"/>
      <family val="0"/>
    </font>
    <font>
      <b val="true"/>
      <sz val="16"/>
      <color rgb="FF1F3864"/>
      <name val="WenQuanYi Zen Hei"/>
      <family val="2"/>
    </font>
    <font>
      <sz val="10"/>
      <color rgb="FF595959"/>
      <name val="WenQuanYi Zen Hei"/>
      <family val="2"/>
    </font>
    <font>
      <sz val="10"/>
      <color rgb="FF595959"/>
      <name val="Meiryo UI"/>
      <family val="0"/>
      <charset val="1"/>
    </font>
    <font>
      <b val="true"/>
      <sz val="10"/>
      <color rgb="FFFFFFFF"/>
      <name val="WenQuanYi Zen Hei"/>
      <family val="2"/>
    </font>
    <font>
      <b val="true"/>
      <sz val="12"/>
      <name val="Meiryo UI"/>
      <family val="0"/>
      <charset val="1"/>
    </font>
    <font>
      <b val="true"/>
      <sz val="12"/>
      <name val="WenQuanYi Zen Hei"/>
      <family val="2"/>
    </font>
    <font>
      <sz val="9"/>
      <color rgb="FF595959"/>
      <name val="WenQuanYi Zen Hei"/>
      <family val="2"/>
    </font>
    <font>
      <sz val="10"/>
      <name val="WenQuanYi Zen Hei"/>
      <family val="2"/>
    </font>
    <font>
      <sz val="10"/>
      <name val="Meiryo UI"/>
      <family val="0"/>
      <charset val="1"/>
    </font>
    <font>
      <b val="true"/>
      <sz val="10"/>
      <name val="WenQuanYi Zen Hei"/>
      <family val="2"/>
    </font>
    <font>
      <b val="true"/>
      <sz val="10"/>
      <name val="Meiryo UI"/>
      <family val="0"/>
      <charset val="1"/>
    </font>
    <font>
      <sz val="9"/>
      <color rgb="FF595959"/>
      <name val="Meiryo UI"/>
      <family val="0"/>
      <charset val="1"/>
    </font>
    <font>
      <b val="true"/>
      <sz val="12"/>
      <color rgb="FF2F5597"/>
      <name val="WenQuanYi Zen Hei"/>
      <family val="2"/>
    </font>
    <font>
      <b val="true"/>
      <sz val="12"/>
      <color rgb="FF2F5597"/>
      <name val="Meiryo UI"/>
      <family val="0"/>
      <charset val="1"/>
    </font>
    <font>
      <b val="true"/>
      <sz val="14"/>
      <color rgb="FF1F3864"/>
      <name val="WenQuanYi Zen Hei"/>
      <family val="2"/>
    </font>
    <font>
      <b val="true"/>
      <sz val="14"/>
      <color rgb="FF1F3864"/>
      <name val="Meiryo UI"/>
      <family val="0"/>
      <charset val="1"/>
    </font>
    <font>
      <b val="true"/>
      <sz val="10"/>
      <color rgb="FFFFFFFF"/>
      <name val="Meiryo UI"/>
      <family val="0"/>
      <charset val="1"/>
    </font>
    <font>
      <sz val="10"/>
      <color rgb="FF7F7F7F"/>
      <name val="Meiryo UI"/>
      <family val="0"/>
      <charset val="1"/>
    </font>
    <font>
      <b val="true"/>
      <sz val="12"/>
      <color rgb="FFC00000"/>
      <name val="Meiryo UI"/>
      <family val="0"/>
      <charset val="1"/>
    </font>
    <font>
      <sz val="11"/>
      <color theme="1"/>
      <name val="Calibri"/>
      <family val="2"/>
      <charset val="1"/>
    </font>
    <font>
      <sz val="9"/>
      <color rgb="FFC00000"/>
      <name val="WenQuanYi Zen Hei"/>
      <family val="2"/>
    </font>
    <font>
      <sz val="9"/>
      <color rgb="FFC00000"/>
      <name val="Meiryo UI"/>
      <family val="0"/>
      <charset val="1"/>
    </font>
    <font>
      <sz val="9"/>
      <color rgb="FF7F7F7F"/>
      <name val="Meiryo UI"/>
      <family val="0"/>
      <charset val="1"/>
    </font>
    <font>
      <sz val="14"/>
      <name val="WenQuanYi Zen Hei"/>
      <family val="2"/>
    </font>
    <font>
      <b val="true"/>
      <sz val="12"/>
      <color rgb="FFFFFFFF"/>
      <name val="WenQuanYi Zen Hei"/>
      <family val="2"/>
    </font>
    <font>
      <b val="true"/>
      <sz val="12"/>
      <color rgb="FFFFFFFF"/>
      <name val="Meiryo UI"/>
      <family val="0"/>
      <charset val="1"/>
    </font>
    <font>
      <b val="true"/>
      <sz val="16"/>
      <name val="Meiryo UI"/>
      <family val="0"/>
      <charset val="1"/>
    </font>
    <font>
      <sz val="12"/>
      <name val="WenQuanYi Zen Hei"/>
      <family val="2"/>
    </font>
    <font>
      <sz val="12"/>
      <name val="Meiryo UI"/>
      <family val="0"/>
      <charset val="1"/>
    </font>
    <font>
      <b val="true"/>
      <sz val="13"/>
      <name val="Meiryo UI"/>
      <family val="0"/>
      <charset val="1"/>
    </font>
    <font>
      <sz val="9"/>
      <color rgb="FFBFBFBF"/>
      <name val="Meiryo UI"/>
      <family val="0"/>
      <charset val="1"/>
    </font>
    <font>
      <sz val="10"/>
      <color rgb="FF7F7F7F"/>
      <name val="WenQuanYi Zen Hei"/>
      <family val="2"/>
    </font>
    <font>
      <b val="true"/>
      <sz val="12"/>
      <color rgb="FF2E7D32"/>
      <name val="Meiryo UI"/>
      <family val="0"/>
      <charset val="1"/>
    </font>
    <font>
      <sz val="9"/>
      <name val="WenQuanYi Zen Hei"/>
      <family val="2"/>
    </font>
    <font>
      <sz val="11"/>
      <name val="WenQuanYi Zen Hei"/>
      <family val="2"/>
    </font>
    <font>
      <sz val="16"/>
      <name val="WenQuanYi Zen Hei"/>
      <family val="2"/>
    </font>
    <font>
      <sz val="11"/>
      <name val="MS Mincho"/>
      <family val="0"/>
      <charset val="1"/>
    </font>
    <font>
      <sz val="12"/>
      <name val="MS Mincho"/>
      <family val="0"/>
      <charset val="1"/>
    </font>
    <font>
      <sz val="8"/>
      <name val="WenQuanYi Zen Hei"/>
      <family val="2"/>
    </font>
    <font>
      <b val="true"/>
      <sz val="14"/>
      <color rgb="FFC00000"/>
      <name val="Meiryo UI"/>
      <family val="0"/>
      <charset val="1"/>
    </font>
    <font>
      <b val="true"/>
      <sz val="10"/>
      <color rgb="FFC00000"/>
      <name val="Meiryo UI"/>
      <family val="0"/>
      <charset val="1"/>
    </font>
    <font>
      <b val="true"/>
      <sz val="10"/>
      <color rgb="FF2F5597"/>
      <name val="WenQuanYi Zen Hei"/>
      <family val="2"/>
    </font>
    <font>
      <b val="true"/>
      <sz val="10"/>
      <color rgb="FF2F5597"/>
      <name val="Meiryo UI"/>
      <family val="0"/>
      <charset val="1"/>
    </font>
    <font>
      <b val="true"/>
      <sz val="12"/>
      <color rgb="FF7F7F7F"/>
      <name val="WenQuanYi Zen Hei"/>
      <family val="2"/>
    </font>
    <font>
      <sz val="12"/>
      <name val="ＭＳ 明朝"/>
      <family val="1"/>
      <charset val="128"/>
    </font>
    <font>
      <sz val="14"/>
      <color rgb="FF993300"/>
      <name val="WenQuanYi Zen Hei"/>
      <family val="2"/>
      <charset val="1"/>
    </font>
    <font>
      <sz val="14"/>
      <color rgb="FF993300"/>
      <name val="ＭＳ 明朝"/>
      <family val="1"/>
      <charset val="128"/>
    </font>
    <font>
      <sz val="14"/>
      <color rgb="FF993300"/>
      <name val="ＭＳ ゴシック"/>
      <family val="3"/>
      <charset val="128"/>
    </font>
    <font>
      <sz val="14"/>
      <color rgb="FF0000FF"/>
      <name val="ＭＳ ゴシック"/>
      <family val="3"/>
      <charset val="128"/>
    </font>
    <font>
      <sz val="14"/>
      <name val="WenQuanYi Zen Hei"/>
      <family val="2"/>
      <charset val="1"/>
    </font>
    <font>
      <sz val="12"/>
      <name val="WenQuanYi Zen Hei"/>
      <family val="2"/>
      <charset val="1"/>
    </font>
    <font>
      <sz val="10"/>
      <name val="WenQuanYi Zen Hei"/>
      <family val="2"/>
      <charset val="1"/>
    </font>
    <font>
      <sz val="11"/>
      <name val="WenQuanYi Zen Hei"/>
      <family val="2"/>
      <charset val="1"/>
    </font>
    <font>
      <sz val="12"/>
      <color rgb="FF0000FF"/>
      <name val="ＭＳ 明朝"/>
      <family val="1"/>
      <charset val="128"/>
    </font>
    <font>
      <sz val="11"/>
      <name val="ＭＳ 明朝"/>
      <family val="1"/>
      <charset val="128"/>
    </font>
    <font>
      <sz val="12"/>
      <color rgb="FFFF0000"/>
      <name val="ＭＳ 明朝"/>
      <family val="1"/>
      <charset val="128"/>
    </font>
    <font>
      <sz val="12"/>
      <color rgb="FF000000"/>
      <name val="ＭＳ 明朝"/>
      <family val="1"/>
      <charset val="128"/>
    </font>
    <font>
      <sz val="12"/>
      <color rgb="FF993300"/>
      <name val="ＭＳ 明朝"/>
      <family val="1"/>
      <charset val="128"/>
    </font>
    <font>
      <b val="true"/>
      <sz val="12"/>
      <color rgb="FFFFFFFF"/>
      <name val="ＭＳ 明朝"/>
      <family val="1"/>
      <charset val="128"/>
    </font>
    <font>
      <b val="true"/>
      <sz val="12"/>
      <color rgb="FFFFFFFF"/>
      <name val="WenQuanYi Zen Hei"/>
      <family val="2"/>
      <charset val="1"/>
    </font>
    <font>
      <sz val="12"/>
      <color rgb="FF0000FF"/>
      <name val="ＭＳ ゴシック"/>
      <family val="3"/>
      <charset val="128"/>
    </font>
    <font>
      <sz val="14"/>
      <name val="ＭＳ ゴシック"/>
      <family val="3"/>
      <charset val="128"/>
    </font>
    <font>
      <b val="true"/>
      <sz val="12"/>
      <color rgb="FF800080"/>
      <name val="ＭＳ 明朝"/>
      <family val="1"/>
      <charset val="128"/>
    </font>
    <font>
      <sz val="12"/>
      <color rgb="FF003366"/>
      <name val="ＭＳ 明朝"/>
      <family val="1"/>
      <charset val="128"/>
    </font>
    <font>
      <sz val="12"/>
      <color rgb="FF333399"/>
      <name val="ＭＳ 明朝"/>
      <family val="1"/>
      <charset val="128"/>
    </font>
    <font>
      <sz val="11"/>
      <color rgb="FF000000"/>
      <name val="WenQuanYi Zen Hei"/>
      <family val="2"/>
      <charset val="1"/>
    </font>
    <font>
      <sz val="12"/>
      <color rgb="FF800080"/>
      <name val="ＭＳ 明朝"/>
      <family val="1"/>
      <charset val="128"/>
    </font>
    <font>
      <sz val="11"/>
      <color rgb="FF000000"/>
      <name val="ＭＳ 明朝"/>
      <family val="1"/>
      <charset val="128"/>
    </font>
    <font>
      <b val="true"/>
      <sz val="14"/>
      <color rgb="FF0000FF"/>
      <name val="ＭＳ ゴシック"/>
      <family val="3"/>
      <charset val="128"/>
    </font>
    <font>
      <b val="true"/>
      <sz val="14"/>
      <color rgb="FF0000FF"/>
      <name val="WenQuanYi Zen Hei"/>
      <family val="2"/>
      <charset val="1"/>
    </font>
    <font>
      <sz val="14"/>
      <color rgb="FF0000FF"/>
      <name val="ＭＳ 明朝"/>
      <family val="1"/>
      <charset val="128"/>
    </font>
    <font>
      <sz val="12"/>
      <name val="ＭＳ ゴシック"/>
      <family val="3"/>
      <charset val="128"/>
    </font>
    <font>
      <b val="true"/>
      <sz val="12"/>
      <name val="ＭＳ ゴシック"/>
      <family val="3"/>
      <charset val="128"/>
    </font>
    <font>
      <sz val="10"/>
      <name val="Arial"/>
      <family val="2"/>
    </font>
    <font>
      <b val="true"/>
      <sz val="11"/>
      <color rgb="FF000000"/>
      <name val="WenQuanYi Zen Hei"/>
      <family val="2"/>
      <charset val="1"/>
    </font>
    <font>
      <b val="true"/>
      <sz val="9"/>
      <color rgb="FF000000"/>
      <name val="WenQuanYi Zen Hei"/>
      <family val="2"/>
      <charset val="1"/>
    </font>
    <font>
      <b val="true"/>
      <sz val="12"/>
      <color rgb="FF000000"/>
      <name val="MS P ゴシック"/>
      <family val="3"/>
      <charset val="128"/>
    </font>
    <font>
      <b val="true"/>
      <sz val="12"/>
      <color rgb="FF000000"/>
      <name val="WenQuanYi Zen Hei"/>
      <family val="2"/>
      <charset val="1"/>
    </font>
    <font>
      <b val="true"/>
      <sz val="10"/>
      <color rgb="FF000000"/>
      <name val="MS P ゴシック"/>
      <family val="3"/>
      <charset val="128"/>
    </font>
    <font>
      <b val="true"/>
      <sz val="10"/>
      <color rgb="FF000000"/>
      <name val="WenQuanYi Zen Hei"/>
      <family val="2"/>
      <charset val="1"/>
    </font>
    <font>
      <b val="true"/>
      <sz val="11"/>
      <color rgb="FF000000"/>
      <name val="MS P ゴシック"/>
      <family val="3"/>
      <charset val="128"/>
    </font>
    <font>
      <b val="true"/>
      <u val="single"/>
      <sz val="11"/>
      <color rgb="FF000000"/>
      <name val="WenQuanYi Zen Hei"/>
      <family val="2"/>
      <charset val="1"/>
    </font>
    <font>
      <sz val="11"/>
      <color rgb="FF000000"/>
      <name val="ＭＳ ゴシック"/>
      <family val="0"/>
    </font>
    <font>
      <sz val="11"/>
      <color rgb="FF000000"/>
      <name val="DejaVu Sans"/>
      <family val="0"/>
    </font>
    <font>
      <sz val="9"/>
      <color rgb="FF000000"/>
      <name val="DejaVu Sans"/>
      <family val="0"/>
    </font>
    <font>
      <sz val="9"/>
      <color rgb="FF000000"/>
      <name val="Calibri"/>
      <family val="0"/>
    </font>
    <font>
      <b val="true"/>
      <sz val="10.5"/>
      <color rgb="FF000000"/>
      <name val="DejaVu Sans"/>
      <family val="0"/>
    </font>
    <font>
      <b val="true"/>
      <sz val="10.5"/>
      <color rgb="FF000000"/>
      <name val="Calibri"/>
      <family val="0"/>
    </font>
    <font>
      <sz val="10.5"/>
      <color rgb="FF000000"/>
      <name val="DejaVu Sans"/>
      <family val="0"/>
    </font>
    <font>
      <sz val="11"/>
      <color rgb="FF000000"/>
      <name val="Calibri"/>
      <family val="0"/>
    </font>
    <font>
      <sz val="10"/>
      <name val="ＭＳ 明朝"/>
      <family val="1"/>
      <charset val="128"/>
    </font>
    <font>
      <sz val="9"/>
      <name val="ＭＳ 明朝"/>
      <family val="1"/>
      <charset val="128"/>
    </font>
    <font>
      <sz val="11"/>
      <color rgb="FF0000FF"/>
      <name val="ＭＳ 明朝"/>
      <family val="1"/>
      <charset val="128"/>
    </font>
    <font>
      <b val="true"/>
      <sz val="14"/>
      <color rgb="FFFF0000"/>
      <name val="ＭＳ ゴシック"/>
      <family val="3"/>
      <charset val="128"/>
    </font>
    <font>
      <b val="true"/>
      <u val="single"/>
      <sz val="11"/>
      <name val="WenQuanYi Zen Hei"/>
      <family val="2"/>
      <charset val="1"/>
    </font>
    <font>
      <b val="true"/>
      <sz val="12"/>
      <name val="WenQuanYi Zen Hei"/>
      <family val="2"/>
      <charset val="1"/>
    </font>
    <font>
      <sz val="12"/>
      <color rgb="FFFF0000"/>
      <name val="ＭＳ ゴシック"/>
      <family val="3"/>
      <charset val="128"/>
    </font>
    <font>
      <b val="true"/>
      <sz val="11"/>
      <name val="WenQuanYi Zen Hei"/>
      <family val="2"/>
      <charset val="1"/>
    </font>
    <font>
      <sz val="9"/>
      <name val="WenQuanYi Zen Hei"/>
      <family val="2"/>
      <charset val="1"/>
    </font>
    <font>
      <sz val="12"/>
      <color rgb="FF99CC00"/>
      <name val="ＭＳ 明朝"/>
      <family val="1"/>
      <charset val="128"/>
    </font>
    <font>
      <sz val="11"/>
      <color rgb="FFFF0000"/>
      <name val="ＭＳ 明朝"/>
      <family val="1"/>
      <charset val="128"/>
    </font>
    <font>
      <sz val="11"/>
      <color rgb="FFFF0000"/>
      <name val="WenQuanYi Zen Hei"/>
      <family val="2"/>
      <charset val="1"/>
    </font>
    <font>
      <sz val="10"/>
      <color rgb="FFFF0000"/>
      <name val="WenQuanYi Zen Hei"/>
      <family val="2"/>
      <charset val="1"/>
    </font>
    <font>
      <sz val="10"/>
      <color rgb="FFFF0000"/>
      <name val="ＭＳ 明朝"/>
      <family val="1"/>
      <charset val="128"/>
    </font>
    <font>
      <sz val="10"/>
      <color rgb="FF0000FF"/>
      <name val="ＭＳ 明朝"/>
      <family val="1"/>
      <charset val="128"/>
    </font>
    <font>
      <sz val="7.5"/>
      <name val="WenQuanYi Zen Hei"/>
      <family val="2"/>
      <charset val="1"/>
    </font>
    <font>
      <sz val="12"/>
      <color rgb="FF00FF00"/>
      <name val="ＭＳ 明朝"/>
      <family val="1"/>
      <charset val="128"/>
    </font>
    <font>
      <sz val="12"/>
      <color rgb="FF008000"/>
      <name val="ＭＳ 明朝"/>
      <family val="1"/>
      <charset val="128"/>
    </font>
    <font>
      <sz val="11"/>
      <color rgb="FF993300"/>
      <name val="ＭＳ 明朝"/>
      <family val="1"/>
      <charset val="128"/>
    </font>
    <font>
      <sz val="11"/>
      <color rgb="FF993300"/>
      <name val="WenQuanYi Zen Hei"/>
      <family val="2"/>
      <charset val="1"/>
    </font>
    <font>
      <sz val="12"/>
      <color rgb="FF000000"/>
      <name val="WenQuanYi Zen Hei"/>
      <family val="2"/>
      <charset val="1"/>
    </font>
    <font>
      <sz val="12"/>
      <color rgb="FF000000"/>
      <name val="DejaVu Sans"/>
      <family val="0"/>
    </font>
    <font>
      <sz val="12"/>
      <name val="ＭＳ Ｐ明朝"/>
      <family val="1"/>
      <charset val="128"/>
    </font>
    <font>
      <sz val="12"/>
      <name val="Century"/>
      <family val="1"/>
      <charset val="1"/>
    </font>
    <font>
      <sz val="8"/>
      <name val="WenQuanYi Zen Hei"/>
      <family val="2"/>
      <charset val="1"/>
    </font>
    <font>
      <sz val="11"/>
      <color rgb="FF0000FF"/>
      <name val="Century"/>
      <family val="1"/>
      <charset val="1"/>
    </font>
    <font>
      <sz val="11"/>
      <color rgb="FFFF6600"/>
      <name val="Century"/>
      <family val="1"/>
      <charset val="1"/>
    </font>
    <font>
      <sz val="11"/>
      <color rgb="FF0000FF"/>
      <name val="ＭＳ Ｐゴシック"/>
      <family val="3"/>
      <charset val="128"/>
    </font>
    <font>
      <sz val="14"/>
      <name val="Century"/>
      <family val="1"/>
      <charset val="1"/>
    </font>
    <font>
      <sz val="11"/>
      <name val="Century"/>
      <family val="1"/>
      <charset val="1"/>
    </font>
    <font>
      <sz val="9"/>
      <color rgb="FF000000"/>
      <name val="WenQuanYi Zen Hei"/>
      <family val="2"/>
      <charset val="1"/>
    </font>
    <font>
      <sz val="9"/>
      <color rgb="FFFF0000"/>
      <name val="ＭＳ 明朝"/>
      <family val="1"/>
      <charset val="128"/>
    </font>
    <font>
      <b val="true"/>
      <sz val="10"/>
      <name val="WenQuanYi Zen Hei"/>
      <family val="2"/>
      <charset val="1"/>
    </font>
    <font>
      <sz val="10"/>
      <color rgb="FF000000"/>
      <name val="ＭＳ 明朝"/>
      <family val="1"/>
      <charset val="128"/>
    </font>
    <font>
      <b val="true"/>
      <sz val="10"/>
      <color rgb="FF0000FF"/>
      <name val="ＭＳ ゴシック"/>
      <family val="3"/>
      <charset val="128"/>
    </font>
    <font>
      <sz val="10"/>
      <color rgb="FF00FF00"/>
      <name val="ＭＳ 明朝"/>
      <family val="1"/>
      <charset val="128"/>
    </font>
    <font>
      <b val="true"/>
      <sz val="9"/>
      <color rgb="FF000000"/>
      <name val="MS P ゴシック"/>
      <family val="3"/>
      <charset val="128"/>
    </font>
    <font>
      <b val="true"/>
      <sz val="9"/>
      <color rgb="FF000000"/>
      <name val="ＭＳ Ｐゴシック"/>
      <family val="3"/>
      <charset val="128"/>
    </font>
    <font>
      <sz val="11"/>
      <name val="ＭＳ Ｐゴシック"/>
      <family val="3"/>
      <charset val="128"/>
    </font>
    <font>
      <sz val="14"/>
      <name val="ＭＳ Ｐゴシック"/>
      <family val="3"/>
      <charset val="128"/>
    </font>
    <font>
      <u val="single"/>
      <sz val="14"/>
      <name val="WenQuanYi Zen Hei"/>
      <family val="2"/>
      <charset val="1"/>
    </font>
    <font>
      <u val="single"/>
      <sz val="14"/>
      <name val="ＭＳ Ｐゴシック"/>
      <family val="3"/>
      <charset val="128"/>
    </font>
    <font>
      <u val="single"/>
      <sz val="11"/>
      <name val="ＭＳ Ｐゴシック"/>
      <family val="3"/>
      <charset val="128"/>
    </font>
    <font>
      <sz val="14"/>
      <color rgb="FF33CCCC"/>
      <name val="ＭＳ 明朝"/>
      <family val="1"/>
      <charset val="128"/>
    </font>
    <font>
      <sz val="14"/>
      <color rgb="FF800080"/>
      <name val="ＭＳ 明朝"/>
      <family val="1"/>
      <charset val="128"/>
    </font>
    <font>
      <sz val="13"/>
      <name val="WenQuanYi Zen Hei"/>
      <family val="2"/>
      <charset val="1"/>
    </font>
    <font>
      <sz val="14"/>
      <color rgb="FF008000"/>
      <name val="ＭＳ 明朝"/>
      <family val="1"/>
      <charset val="128"/>
    </font>
    <font>
      <sz val="11"/>
      <name val="ＭＳ Ｐ明朝"/>
      <family val="1"/>
      <charset val="128"/>
    </font>
    <font>
      <sz val="11"/>
      <color rgb="FF0000FF"/>
      <name val="ＭＳ Ｐ明朝"/>
      <family val="1"/>
      <charset val="128"/>
    </font>
    <font>
      <sz val="14"/>
      <color rgb="FF0000FF"/>
      <name val="WenQuanYi Zen Hei"/>
      <family val="2"/>
      <charset val="1"/>
    </font>
    <font>
      <sz val="14"/>
      <color rgb="FF339966"/>
      <name val="ＭＳ 明朝"/>
      <family val="1"/>
      <charset val="128"/>
    </font>
    <font>
      <sz val="13"/>
      <name val="ＭＳ 明朝"/>
      <family val="1"/>
      <charset val="128"/>
    </font>
    <font>
      <sz val="14"/>
      <color rgb="FF99CC00"/>
      <name val="ＭＳ 明朝"/>
      <family val="1"/>
      <charset val="128"/>
    </font>
    <font>
      <sz val="14"/>
      <color rgb="FF0000FF"/>
      <name val="WenQuanYi Zen Hei"/>
      <family val="2"/>
    </font>
    <font>
      <u val="single"/>
      <sz val="12"/>
      <color rgb="FF000000"/>
      <name val="WenQuanYi Zen Hei"/>
      <family val="2"/>
      <charset val="1"/>
    </font>
    <font>
      <sz val="12"/>
      <color rgb="FF000000"/>
      <name val="ＭＳ Ｐゴシック"/>
      <family val="3"/>
      <charset val="128"/>
    </font>
    <font>
      <sz val="12"/>
      <color rgb="FF000000"/>
      <name val="MS P ゴシック"/>
      <family val="3"/>
      <charset val="128"/>
    </font>
    <font>
      <b val="true"/>
      <sz val="11"/>
      <color rgb="FF993300"/>
      <name val="ＭＳ 明朝"/>
      <family val="1"/>
      <charset val="128"/>
    </font>
    <font>
      <b val="true"/>
      <u val="single"/>
      <sz val="9"/>
      <name val="ＭＳ 明朝"/>
      <family val="1"/>
      <charset val="128"/>
    </font>
    <font>
      <b val="true"/>
      <u val="single"/>
      <sz val="9"/>
      <name val="WenQuanYi Zen Hei"/>
      <family val="2"/>
      <charset val="1"/>
    </font>
    <font>
      <sz val="9"/>
      <color rgb="FFFF0000"/>
      <name val="WenQuanYi Zen Hei"/>
      <family val="2"/>
      <charset val="1"/>
    </font>
    <font>
      <sz val="9"/>
      <color rgb="FF0000FF"/>
      <name val="ＭＳ 明朝"/>
      <family val="1"/>
      <charset val="128"/>
    </font>
    <font>
      <sz val="9"/>
      <color rgb="FF993300"/>
      <name val="ＭＳ 明朝"/>
      <family val="1"/>
      <charset val="128"/>
    </font>
    <font>
      <sz val="12"/>
      <color rgb="FF993300"/>
      <name val="WenQuanYi Zen Hei"/>
      <family val="2"/>
      <charset val="1"/>
    </font>
    <font>
      <b val="true"/>
      <sz val="14"/>
      <name val="ＭＳ 明朝"/>
      <family val="1"/>
      <charset val="128"/>
    </font>
    <font>
      <b val="true"/>
      <sz val="11"/>
      <color rgb="FF0000FF"/>
      <name val="ＭＳ 明朝"/>
      <family val="1"/>
      <charset val="128"/>
    </font>
    <font>
      <b val="true"/>
      <sz val="9"/>
      <color rgb="FF000000"/>
      <name val="UD デジタル 教科書体 N-B"/>
      <family val="1"/>
      <charset val="128"/>
    </font>
    <font>
      <sz val="11"/>
      <name val="ＭＳ ゴシック"/>
      <family val="3"/>
      <charset val="128"/>
    </font>
    <font>
      <sz val="11"/>
      <color rgb="FF0000FF"/>
      <name val="ＭＳ ゴシック"/>
      <family val="3"/>
      <charset val="128"/>
    </font>
    <font>
      <sz val="11"/>
      <color rgb="FF000000"/>
      <name val="WenQuanYi Zen Hei"/>
      <family val="2"/>
    </font>
    <font>
      <sz val="9"/>
      <color rgb="FF0000FF"/>
      <name val="ＭＳ ゴシック"/>
      <family val="3"/>
      <charset val="128"/>
    </font>
    <font>
      <sz val="9"/>
      <color rgb="FF0000FF"/>
      <name val="WenQuanYi Zen Hei"/>
      <family val="2"/>
      <charset val="1"/>
    </font>
    <font>
      <sz val="12"/>
      <color rgb="FF0000FF"/>
      <name val="WenQuanYi Zen Hei"/>
      <family val="2"/>
      <charset val="1"/>
    </font>
    <font>
      <sz val="11"/>
      <color rgb="FF99CC00"/>
      <name val="ＭＳ 明朝"/>
      <family val="1"/>
      <charset val="128"/>
    </font>
    <font>
      <sz val="9"/>
      <color rgb="FF000000"/>
      <name val="MS P ゴシック"/>
      <family val="3"/>
      <charset val="128"/>
    </font>
    <font>
      <sz val="9"/>
      <color rgb="FF000000"/>
      <name val="ＭＳ Ｐゴシック"/>
      <family val="3"/>
      <charset val="128"/>
    </font>
    <font>
      <sz val="11"/>
      <color rgb="FF000000"/>
      <name val="ＭＳ Ｐゴシック"/>
      <family val="3"/>
      <charset val="128"/>
    </font>
    <font>
      <sz val="10"/>
      <name val="Century"/>
      <family val="1"/>
      <charset val="1"/>
    </font>
    <font>
      <sz val="12"/>
      <color rgb="FF0000FF"/>
      <name val="ＭＳ Ｐゴシック"/>
      <family val="3"/>
      <charset val="128"/>
    </font>
    <font>
      <sz val="12"/>
      <color rgb="FF0000FF"/>
      <name val="Century"/>
      <family val="1"/>
      <charset val="1"/>
    </font>
    <font>
      <b val="true"/>
      <sz val="12"/>
      <color rgb="FF0000FF"/>
      <name val="Century"/>
      <family val="1"/>
      <charset val="1"/>
    </font>
    <font>
      <sz val="9"/>
      <name val="Century"/>
      <family val="1"/>
      <charset val="1"/>
    </font>
    <font>
      <sz val="14"/>
      <color rgb="FF0000FF"/>
      <name val="Century"/>
      <family val="1"/>
      <charset val="1"/>
    </font>
    <font>
      <sz val="16"/>
      <color rgb="FF0000FF"/>
      <name val="WenQuanYi Zen Hei"/>
      <family val="2"/>
    </font>
    <font>
      <sz val="16"/>
      <name val="WenQuanYi Zen Hei"/>
      <family val="2"/>
      <charset val="1"/>
    </font>
    <font>
      <sz val="24"/>
      <name val="ＭＳ ゴシック"/>
      <family val="3"/>
      <charset val="128"/>
    </font>
    <font>
      <sz val="14"/>
      <color rgb="FF800080"/>
      <name val="ＭＳ ゴシック"/>
      <family val="3"/>
      <charset val="128"/>
    </font>
    <font>
      <sz val="14"/>
      <color rgb="FF800080"/>
      <name val="WenQuanYi Zen Hei"/>
      <family val="2"/>
      <charset val="1"/>
    </font>
    <font>
      <sz val="10"/>
      <color rgb="FF0000FF"/>
      <name val="ＭＳ ゴシック"/>
      <family val="3"/>
      <charset val="128"/>
    </font>
    <font>
      <sz val="14"/>
      <color rgb="FF000000"/>
      <name val="ＭＳ ゴシック"/>
      <family val="3"/>
      <charset val="128"/>
    </font>
    <font>
      <sz val="11"/>
      <color rgb="FF993300"/>
      <name val="ＭＳ ゴシック"/>
      <family val="3"/>
      <charset val="128"/>
    </font>
    <font>
      <sz val="18"/>
      <name val="WenQuanYi Zen Hei"/>
      <family val="2"/>
      <charset val="1"/>
    </font>
    <font>
      <sz val="9"/>
      <name val="ＭＳ ゴシック"/>
      <family val="3"/>
      <charset val="128"/>
    </font>
    <font>
      <b val="true"/>
      <sz val="14"/>
      <color rgb="FF993300"/>
      <name val="WenQuanYi Zen Hei"/>
      <family val="2"/>
      <charset val="1"/>
    </font>
    <font>
      <sz val="16"/>
      <name val="ＭＳ ゴシック"/>
      <family val="3"/>
      <charset val="128"/>
    </font>
    <font>
      <sz val="10"/>
      <color rgb="FF800080"/>
      <name val="ＭＳ ゴシック"/>
      <family val="3"/>
      <charset val="128"/>
    </font>
    <font>
      <sz val="10"/>
      <color rgb="FF800080"/>
      <name val="WenQuanYi Zen Hei"/>
      <family val="2"/>
      <charset val="1"/>
    </font>
    <font>
      <sz val="12"/>
      <color rgb="FF800080"/>
      <name val="ＭＳ ゴシック"/>
      <family val="3"/>
      <charset val="128"/>
    </font>
    <font>
      <sz val="12"/>
      <color rgb="FF800080"/>
      <name val="WenQuanYi Zen Hei"/>
      <family val="2"/>
      <charset val="1"/>
    </font>
    <font>
      <sz val="12"/>
      <color rgb="FF993300"/>
      <name val="ＭＳ ゴシック"/>
      <family val="3"/>
      <charset val="128"/>
    </font>
    <font>
      <sz val="14"/>
      <color rgb="FFFF0000"/>
      <name val="ＭＳ ゴシック"/>
      <family val="3"/>
      <charset val="128"/>
    </font>
    <font>
      <sz val="14"/>
      <color rgb="FF993300"/>
      <name val="ＭＳ Ｐ明朝"/>
      <family val="1"/>
      <charset val="128"/>
    </font>
    <font>
      <sz val="12"/>
      <color rgb="FF993300"/>
      <name val="Century"/>
      <family val="1"/>
      <charset val="1"/>
    </font>
    <font>
      <sz val="14"/>
      <color rgb="FF993300"/>
      <name val="Century"/>
      <family val="1"/>
      <charset val="1"/>
    </font>
    <font>
      <sz val="10"/>
      <color rgb="FF993300"/>
      <name val="Century"/>
      <family val="1"/>
      <charset val="1"/>
    </font>
    <font>
      <sz val="12"/>
      <name val="ＭＳ Ｐゴシック"/>
      <family val="3"/>
      <charset val="128"/>
    </font>
    <font>
      <sz val="12"/>
      <color rgb="FFFF0000"/>
      <name val="Century"/>
      <family val="1"/>
      <charset val="1"/>
    </font>
    <font>
      <sz val="11"/>
      <color rgb="FF993300"/>
      <name val="Century"/>
      <family val="1"/>
      <charset val="1"/>
    </font>
    <font>
      <b val="true"/>
      <sz val="12"/>
      <name val="Century"/>
      <family val="1"/>
      <charset val="1"/>
    </font>
    <font>
      <b val="true"/>
      <sz val="11"/>
      <color rgb="FF0000FF"/>
      <name val="Century"/>
      <family val="1"/>
      <charset val="1"/>
    </font>
    <font>
      <b val="true"/>
      <sz val="11"/>
      <name val="ＭＳ Ｐゴシック"/>
      <family val="3"/>
      <charset val="128"/>
    </font>
    <font>
      <b val="true"/>
      <sz val="14"/>
      <color rgb="FF0000FF"/>
      <name val="Century"/>
      <family val="1"/>
      <charset val="1"/>
    </font>
    <font>
      <sz val="9"/>
      <color rgb="FF993300"/>
      <name val="Century"/>
      <family val="1"/>
      <charset val="1"/>
    </font>
    <font>
      <b val="true"/>
      <sz val="9"/>
      <name val="Century"/>
      <family val="1"/>
      <charset val="1"/>
    </font>
    <font>
      <sz val="11"/>
      <color rgb="FF000000"/>
      <name val="HGP創英角ｺﾞｼｯｸUB"/>
      <family val="3"/>
      <charset val="128"/>
    </font>
  </fonts>
  <fills count="28">
    <fill>
      <patternFill patternType="none"/>
    </fill>
    <fill>
      <patternFill patternType="gray125"/>
    </fill>
    <fill>
      <patternFill patternType="solid">
        <fgColor rgb="FF1F3864"/>
        <bgColor rgb="FF003366"/>
      </patternFill>
    </fill>
    <fill>
      <patternFill patternType="solid">
        <fgColor rgb="FFFFF2CC"/>
        <bgColor rgb="FFFFFFCC"/>
      </patternFill>
    </fill>
    <fill>
      <patternFill patternType="solid">
        <fgColor rgb="FFC00000"/>
        <bgColor rgb="FFFF0000"/>
      </patternFill>
    </fill>
    <fill>
      <patternFill patternType="solid">
        <fgColor rgb="FFD9E2F3"/>
        <bgColor rgb="FFDDEBF7"/>
      </patternFill>
    </fill>
    <fill>
      <patternFill patternType="solid">
        <fgColor rgb="FF2F5597"/>
        <bgColor rgb="FF333399"/>
      </patternFill>
    </fill>
    <fill>
      <patternFill patternType="solid">
        <fgColor rgb="FF7F7F7F"/>
        <bgColor rgb="FF808080"/>
      </patternFill>
    </fill>
    <fill>
      <patternFill patternType="solid">
        <fgColor rgb="FFF2F2F2"/>
        <bgColor rgb="FFDDEBF7"/>
      </patternFill>
    </fill>
    <fill>
      <patternFill patternType="solid">
        <fgColor rgb="FF006666"/>
        <bgColor rgb="FF2F5597"/>
      </patternFill>
    </fill>
    <fill>
      <patternFill patternType="solid">
        <fgColor rgb="FFBF9000"/>
        <bgColor rgb="FFED7D31"/>
      </patternFill>
    </fill>
    <fill>
      <patternFill patternType="solid">
        <fgColor rgb="FFFCE4D6"/>
        <bgColor rgb="FFFFF2CC"/>
      </patternFill>
    </fill>
    <fill>
      <patternFill patternType="solid">
        <fgColor rgb="FFCCFFFF"/>
        <bgColor rgb="FFCCFFCC"/>
      </patternFill>
    </fill>
    <fill>
      <patternFill patternType="solid">
        <fgColor rgb="FF99CC00"/>
        <bgColor rgb="FFBF9000"/>
      </patternFill>
    </fill>
    <fill>
      <patternFill patternType="solid">
        <fgColor rgb="FF808080"/>
        <bgColor rgb="FF7F7F7F"/>
      </patternFill>
    </fill>
    <fill>
      <patternFill patternType="solid">
        <fgColor rgb="FFFFFFFF"/>
        <bgColor rgb="FFF2F2F2"/>
      </patternFill>
    </fill>
    <fill>
      <patternFill patternType="solid">
        <fgColor rgb="FFCC99FF"/>
        <bgColor rgb="FFFF99CC"/>
      </patternFill>
    </fill>
    <fill>
      <patternFill patternType="solid">
        <fgColor rgb="FFFFCC99"/>
        <bgColor rgb="FFF8CBAD"/>
      </patternFill>
    </fill>
    <fill>
      <patternFill patternType="solid">
        <fgColor rgb="FFCCFFCC"/>
        <bgColor rgb="FFCCFFFF"/>
      </patternFill>
    </fill>
    <fill>
      <patternFill patternType="solid">
        <fgColor rgb="FFFF99CC"/>
        <bgColor rgb="FFFF8080"/>
      </patternFill>
    </fill>
    <fill>
      <patternFill patternType="solid">
        <fgColor rgb="FF969696"/>
        <bgColor rgb="FF808080"/>
      </patternFill>
    </fill>
    <fill>
      <patternFill patternType="solid">
        <fgColor rgb="FFFFCC00"/>
        <bgColor rgb="FFFFD966"/>
      </patternFill>
    </fill>
    <fill>
      <patternFill patternType="solid">
        <fgColor rgb="FFFFFF00"/>
        <bgColor rgb="FFFFCC00"/>
      </patternFill>
    </fill>
    <fill>
      <patternFill patternType="solid">
        <fgColor rgb="FFFFFF99"/>
        <bgColor rgb="FFFFEB9C"/>
      </patternFill>
    </fill>
    <fill>
      <patternFill patternType="solid">
        <fgColor rgb="FFC0C0C0"/>
        <bgColor rgb="FFBFBFBF"/>
      </patternFill>
    </fill>
    <fill>
      <patternFill patternType="solid">
        <fgColor rgb="FFFFFFCC"/>
        <bgColor rgb="FFFFF2CC"/>
      </patternFill>
    </fill>
    <fill>
      <patternFill patternType="solid">
        <fgColor rgb="FF99CCFF"/>
        <bgColor rgb="FFC0C0C0"/>
      </patternFill>
    </fill>
    <fill>
      <patternFill patternType="solid">
        <fgColor rgb="FFFF8080"/>
        <bgColor rgb="FFED7D31"/>
      </patternFill>
    </fill>
  </fills>
  <borders count="2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right/>
      <top/>
      <bottom style="mediu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style="thin"/>
      <top style="medium"/>
      <bottom style="medium"/>
      <diagonal/>
    </border>
    <border diagonalUp="false" diagonalDown="false">
      <left/>
      <right style="medium"/>
      <top/>
      <bottom style="medium"/>
      <diagonal/>
    </border>
    <border diagonalUp="false" diagonalDown="false">
      <left style="medium"/>
      <right style="medium"/>
      <top/>
      <bottom style="thin"/>
      <diagonal/>
    </border>
    <border diagonalUp="false" diagonalDown="false">
      <left style="medium"/>
      <right style="thin"/>
      <top style="medium"/>
      <bottom style="thin"/>
      <diagonal/>
    </border>
    <border diagonalUp="false" diagonalDown="false">
      <left/>
      <right style="medium"/>
      <top style="medium"/>
      <bottom style="thin"/>
      <diagonal/>
    </border>
    <border diagonalUp="false" diagonalDown="false">
      <left/>
      <right style="thin"/>
      <top/>
      <bottom style="thin"/>
      <diagonal/>
    </border>
    <border diagonalUp="false" diagonalDown="false">
      <left style="thin"/>
      <right style="medium"/>
      <top style="medium"/>
      <bottom style="thin"/>
      <diagonal/>
    </border>
    <border diagonalUp="false" diagonalDown="false">
      <left/>
      <right style="thin"/>
      <top style="medium"/>
      <bottom style="thin"/>
      <diagonal/>
    </border>
    <border diagonalUp="false" diagonalDown="false">
      <left style="thin"/>
      <right style="thin"/>
      <top style="medium"/>
      <bottom style="thin"/>
      <diagonal/>
    </border>
    <border diagonalUp="false" diagonalDown="false">
      <left/>
      <right style="medium"/>
      <top/>
      <bottom style="thin"/>
      <diagonal/>
    </border>
    <border diagonalUp="false" diagonalDown="false">
      <left style="medium"/>
      <right/>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right/>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right style="medium"/>
      <top style="thin"/>
      <bottom style="thin"/>
      <diagonal/>
    </border>
    <border diagonalUp="false" diagonalDown="false">
      <left style="thin"/>
      <right style="medium"/>
      <top style="thin"/>
      <bottom style="thin"/>
      <diagonal/>
    </border>
    <border diagonalUp="false" diagonalDown="false">
      <left style="medium"/>
      <right style="medium"/>
      <top style="thin"/>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medium"/>
      <right style="medium"/>
      <top/>
      <bottom/>
      <diagonal/>
    </border>
    <border diagonalUp="false" diagonalDown="false">
      <left style="medium"/>
      <right style="thin"/>
      <top style="thin"/>
      <bottom/>
      <diagonal/>
    </border>
    <border diagonalUp="false" diagonalDown="false">
      <left/>
      <right style="medium"/>
      <top style="thin"/>
      <bottom/>
      <diagonal/>
    </border>
    <border diagonalUp="false" diagonalDown="false">
      <left style="thin"/>
      <right style="medium"/>
      <top style="thin"/>
      <botto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style="medium"/>
      <top style="medium"/>
      <bottom style="medium"/>
      <diagonal/>
    </border>
    <border diagonalUp="false" diagonalDown="false">
      <left style="medium"/>
      <right style="medium"/>
      <top style="medium"/>
      <bottom style="thin"/>
      <diagonal/>
    </border>
    <border diagonalUp="false" diagonalDown="false">
      <left style="medium"/>
      <right style="medium"/>
      <top style="thin"/>
      <bottom/>
      <diagonal/>
    </border>
    <border diagonalUp="false" diagonalDown="false">
      <left/>
      <right/>
      <top style="thin"/>
      <bottom/>
      <diagonal/>
    </border>
    <border diagonalUp="false" diagonalDown="false">
      <left style="thin"/>
      <right/>
      <top style="thin"/>
      <bottom/>
      <diagonal/>
    </border>
    <border diagonalUp="false" diagonalDown="false">
      <left style="medium"/>
      <right style="thin"/>
      <top/>
      <bottom/>
      <diagonal/>
    </border>
    <border diagonalUp="false" diagonalDown="false">
      <left style="thin"/>
      <right style="medium"/>
      <top/>
      <bottom/>
      <diagonal/>
    </border>
    <border diagonalUp="false" diagonalDown="false">
      <left/>
      <right style="thin"/>
      <top/>
      <bottom/>
      <diagonal/>
    </border>
    <border diagonalUp="false" diagonalDown="false">
      <left style="thin"/>
      <right style="thin"/>
      <top/>
      <bottom/>
      <diagonal/>
    </border>
    <border diagonalUp="false" diagonalDown="false">
      <left/>
      <right style="medium"/>
      <top/>
      <bottom/>
      <diagonal/>
    </border>
    <border diagonalUp="true" diagonalDown="false">
      <left/>
      <right/>
      <top style="medium"/>
      <bottom/>
      <diagonal style="thin"/>
    </border>
    <border diagonalUp="true" diagonalDown="false">
      <left/>
      <right style="medium"/>
      <top style="medium"/>
      <bottom/>
      <diagonal style="thin"/>
    </border>
    <border diagonalUp="true" diagonalDown="true">
      <left style="medium"/>
      <right/>
      <top style="medium"/>
      <bottom/>
      <diagonal style="medium"/>
    </border>
    <border diagonalUp="true" diagonalDown="true">
      <left/>
      <right/>
      <top style="medium"/>
      <bottom/>
      <diagonal style="medium"/>
    </border>
    <border diagonalUp="true" diagonalDown="true">
      <left/>
      <right style="medium"/>
      <top style="medium"/>
      <bottom/>
      <diagonal style="medium"/>
    </border>
    <border diagonalUp="true" diagonalDown="false">
      <left/>
      <right/>
      <top/>
      <bottom/>
      <diagonal style="thin"/>
    </border>
    <border diagonalUp="true" diagonalDown="false">
      <left/>
      <right style="medium"/>
      <top/>
      <bottom/>
      <diagonal style="thin"/>
    </border>
    <border diagonalUp="true" diagonalDown="true">
      <left style="medium"/>
      <right/>
      <top/>
      <bottom/>
      <diagonal style="medium"/>
    </border>
    <border diagonalUp="true" diagonalDown="true">
      <left/>
      <right/>
      <top/>
      <bottom/>
      <diagonal style="medium"/>
    </border>
    <border diagonalUp="true" diagonalDown="true">
      <left/>
      <right style="medium"/>
      <top/>
      <bottom/>
      <diagonal style="medium"/>
    </border>
    <border diagonalUp="false" diagonalDown="false">
      <left style="medium"/>
      <right style="thin"/>
      <top/>
      <bottom style="medium"/>
      <diagonal/>
    </border>
    <border diagonalUp="false" diagonalDown="false">
      <left style="thin"/>
      <right style="medium"/>
      <top/>
      <bottom style="medium"/>
      <diagonal/>
    </border>
    <border diagonalUp="false" diagonalDown="false">
      <left style="thin"/>
      <right/>
      <top/>
      <bottom style="medium"/>
      <diagonal/>
    </border>
    <border diagonalUp="false" diagonalDown="false">
      <left style="medium"/>
      <right/>
      <top/>
      <bottom style="medium"/>
      <diagonal/>
    </border>
    <border diagonalUp="false" diagonalDown="false">
      <left/>
      <right/>
      <top style="medium"/>
      <bottom style="medium"/>
      <diagonal/>
    </border>
    <border diagonalUp="false" diagonalDown="false">
      <left style="medium"/>
      <right style="medium"/>
      <top/>
      <bottom style="medium"/>
      <diagonal/>
    </border>
    <border diagonalUp="false" diagonalDown="false">
      <left style="thin"/>
      <right style="thin"/>
      <top/>
      <bottom style="medium"/>
      <diagonal/>
    </border>
    <border diagonalUp="false" diagonalDown="false">
      <left style="medium"/>
      <right/>
      <top style="thin"/>
      <bottom/>
      <diagonal/>
    </border>
    <border diagonalUp="false" diagonalDown="false">
      <left style="medium"/>
      <right/>
      <top style="thin"/>
      <bottom style="thin"/>
      <diagonal/>
    </border>
    <border diagonalUp="false" diagonalDown="false">
      <left style="medium"/>
      <right/>
      <top/>
      <bottom/>
      <diagonal/>
    </border>
    <border diagonalUp="false" diagonalDown="false">
      <left style="medium"/>
      <right style="thin"/>
      <top style="thin"/>
      <bottom style="medium"/>
      <diagonal/>
    </border>
    <border diagonalUp="true" diagonalDown="false">
      <left style="medium"/>
      <right/>
      <top style="medium"/>
      <bottom/>
      <diagonal style="thin"/>
    </border>
    <border diagonalUp="true" diagonalDown="false">
      <left style="medium"/>
      <right/>
      <top/>
      <bottom/>
      <diagonal style="thin"/>
    </border>
    <border diagonalUp="false" diagonalDown="false">
      <left style="medium"/>
      <right/>
      <top style="medium"/>
      <bottom style="medium"/>
      <diagonal/>
    </border>
    <border diagonalUp="false" diagonalDown="false">
      <left/>
      <right style="thin"/>
      <top/>
      <bottom style="medium"/>
      <diagonal/>
    </border>
    <border diagonalUp="false" diagonalDown="false">
      <left style="medium"/>
      <right/>
      <top style="medium"/>
      <bottom style="thin"/>
      <diagonal/>
    </border>
    <border diagonalUp="false" diagonalDown="false">
      <left style="medium"/>
      <right style="thin"/>
      <top style="medium"/>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true" diagonalDown="false">
      <left style="medium"/>
      <right style="medium"/>
      <top/>
      <bottom style="medium"/>
      <diagonal style="thin"/>
    </border>
    <border diagonalUp="false" diagonalDown="false">
      <left style="medium"/>
      <right/>
      <top style="thin"/>
      <bottom style="medium"/>
      <diagonal/>
    </border>
    <border diagonalUp="false" diagonalDown="false">
      <left/>
      <right style="medium"/>
      <top style="thin"/>
      <bottom style="medium"/>
      <diagonal/>
    </border>
    <border diagonalUp="false" diagonalDown="false">
      <left style="thin"/>
      <right/>
      <top style="medium"/>
      <bottom style="mediu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right style="thin"/>
      <top style="medium"/>
      <bottom/>
      <diagonal/>
    </border>
    <border diagonalUp="false" diagonalDown="false">
      <left/>
      <right style="thin"/>
      <top style="thin"/>
      <bottom/>
      <diagonal/>
    </border>
    <border diagonalUp="false" diagonalDown="false">
      <left style="thin"/>
      <right/>
      <top/>
      <bottom/>
      <diagonal/>
    </border>
    <border diagonalUp="false" diagonalDown="false">
      <left/>
      <right style="thin"/>
      <top style="thin"/>
      <bottom style="medium"/>
      <diagonal/>
    </border>
    <border diagonalUp="false" diagonalDown="false">
      <left style="medium"/>
      <right style="medium"/>
      <top style="thin"/>
      <bottom style="medium"/>
      <diagonal/>
    </border>
    <border diagonalUp="false" diagonalDown="false">
      <left style="thin"/>
      <right style="double"/>
      <top style="medium"/>
      <bottom style="medium"/>
      <diagonal/>
    </border>
    <border diagonalUp="false" diagonalDown="false">
      <left style="thin"/>
      <right style="dashed"/>
      <top style="medium"/>
      <bottom style="medium"/>
      <diagonal/>
    </border>
    <border diagonalUp="false" diagonalDown="false">
      <left style="dashed"/>
      <right style="dashed"/>
      <top style="medium"/>
      <bottom style="medium"/>
      <diagonal/>
    </border>
    <border diagonalUp="false" diagonalDown="false">
      <left/>
      <right style="dashed"/>
      <top style="medium"/>
      <bottom style="medium"/>
      <diagonal/>
    </border>
    <border diagonalUp="false" diagonalDown="false">
      <left style="dashed"/>
      <right/>
      <top style="medium"/>
      <bottom style="medium"/>
      <diagonal/>
    </border>
    <border diagonalUp="false" diagonalDown="false">
      <left style="dotted"/>
      <right style="dotted"/>
      <top style="medium"/>
      <bottom style="medium"/>
      <diagonal/>
    </border>
    <border diagonalUp="false" diagonalDown="false">
      <left style="dotted"/>
      <right style="medium"/>
      <top style="medium"/>
      <bottom style="medium"/>
      <diagonal/>
    </border>
    <border diagonalUp="false" diagonalDown="false">
      <left style="thin"/>
      <right style="double"/>
      <top/>
      <bottom style="thin"/>
      <diagonal/>
    </border>
    <border diagonalUp="false" diagonalDown="false">
      <left style="thin"/>
      <right/>
      <top style="medium"/>
      <bottom style="thin"/>
      <diagonal/>
    </border>
    <border diagonalUp="false" diagonalDown="false">
      <left style="thin"/>
      <right style="dashed"/>
      <top style="medium"/>
      <bottom style="thin"/>
      <diagonal/>
    </border>
    <border diagonalUp="false" diagonalDown="false">
      <left style="dashed"/>
      <right style="dashed"/>
      <top style="medium"/>
      <bottom style="thin"/>
      <diagonal/>
    </border>
    <border diagonalUp="false" diagonalDown="false">
      <left/>
      <right style="dashed"/>
      <top style="medium"/>
      <bottom style="thin"/>
      <diagonal/>
    </border>
    <border diagonalUp="false" diagonalDown="false">
      <left style="dashed"/>
      <right/>
      <top style="medium"/>
      <bottom style="thin"/>
      <diagonal/>
    </border>
    <border diagonalUp="false" diagonalDown="false">
      <left style="dotted"/>
      <right style="dotted"/>
      <top style="medium"/>
      <bottom style="thin"/>
      <diagonal/>
    </border>
    <border diagonalUp="false" diagonalDown="false">
      <left style="dotted"/>
      <right style="medium"/>
      <top style="medium"/>
      <bottom style="thin"/>
      <diagonal/>
    </border>
    <border diagonalUp="false" diagonalDown="false">
      <left style="thin"/>
      <right style="dashed"/>
      <top style="thin"/>
      <bottom style="thin"/>
      <diagonal/>
    </border>
    <border diagonalUp="false" diagonalDown="false">
      <left style="dashed"/>
      <right style="dashed"/>
      <top style="thin"/>
      <bottom style="thin"/>
      <diagonal/>
    </border>
    <border diagonalUp="false" diagonalDown="false">
      <left/>
      <right style="dashed"/>
      <top style="thin"/>
      <bottom style="thin"/>
      <diagonal/>
    </border>
    <border diagonalUp="false" diagonalDown="false">
      <left style="dashed"/>
      <right/>
      <top/>
      <bottom style="thin"/>
      <diagonal/>
    </border>
    <border diagonalUp="false" diagonalDown="false">
      <left style="dotted"/>
      <right style="dotted"/>
      <top style="thin"/>
      <bottom style="thin"/>
      <diagonal/>
    </border>
    <border diagonalUp="false" diagonalDown="false">
      <left style="dotted"/>
      <right style="medium"/>
      <top style="thin"/>
      <bottom style="thin"/>
      <diagonal/>
    </border>
    <border diagonalUp="false" diagonalDown="false">
      <left style="dashed"/>
      <right/>
      <top style="thin"/>
      <bottom style="thin"/>
      <diagonal/>
    </border>
    <border diagonalUp="false" diagonalDown="false">
      <left style="dashed"/>
      <right style="dotted"/>
      <top style="thin"/>
      <bottom style="thin"/>
      <diagonal/>
    </border>
    <border diagonalUp="false" diagonalDown="false">
      <left/>
      <right style="dotted"/>
      <top style="thin"/>
      <bottom style="thin"/>
      <diagonal/>
    </border>
    <border diagonalUp="false" diagonalDown="false">
      <left style="dashed"/>
      <right style="dashed"/>
      <top/>
      <bottom/>
      <diagonal/>
    </border>
    <border diagonalUp="false" diagonalDown="false">
      <left style="thin"/>
      <right/>
      <top style="thin"/>
      <bottom style="medium"/>
      <diagonal/>
    </border>
    <border diagonalUp="false" diagonalDown="false">
      <left style="thin"/>
      <right style="double"/>
      <top style="thin"/>
      <bottom style="medium"/>
      <diagonal/>
    </border>
    <border diagonalUp="false" diagonalDown="false">
      <left style="thin"/>
      <right style="dashed"/>
      <top style="thin"/>
      <bottom style="medium"/>
      <diagonal/>
    </border>
    <border diagonalUp="false" diagonalDown="false">
      <left style="dashed"/>
      <right style="dashed"/>
      <top style="thin"/>
      <bottom style="medium"/>
      <diagonal/>
    </border>
    <border diagonalUp="false" diagonalDown="false">
      <left/>
      <right style="dashed"/>
      <top style="thin"/>
      <bottom style="medium"/>
      <diagonal/>
    </border>
    <border diagonalUp="false" diagonalDown="false">
      <left style="dashed"/>
      <right/>
      <top style="thin"/>
      <bottom style="medium"/>
      <diagonal/>
    </border>
    <border diagonalUp="false" diagonalDown="false">
      <left style="dotted"/>
      <right style="dotted"/>
      <top style="thin"/>
      <bottom style="medium"/>
      <diagonal/>
    </border>
    <border diagonalUp="false" diagonalDown="false">
      <left style="dotted"/>
      <right style="medium"/>
      <top style="thin"/>
      <bottom style="medium"/>
      <diagonal/>
    </border>
    <border diagonalUp="false" diagonalDown="false">
      <left style="double"/>
      <right style="medium"/>
      <top style="medium"/>
      <bottom style="medium"/>
      <diagonal/>
    </border>
    <border diagonalUp="false" diagonalDown="false">
      <left style="double"/>
      <right style="medium"/>
      <top/>
      <bottom style="thin"/>
      <diagonal/>
    </border>
    <border diagonalUp="false" diagonalDown="false">
      <left style="dashed"/>
      <right style="dotted"/>
      <top style="medium"/>
      <bottom style="thin"/>
      <diagonal/>
    </border>
    <border diagonalUp="false" diagonalDown="false">
      <left/>
      <right style="dotted"/>
      <top style="medium"/>
      <bottom style="thin"/>
      <diagonal/>
    </border>
    <border diagonalUp="false" diagonalDown="false">
      <left style="dotted"/>
      <right/>
      <top style="medium"/>
      <bottom style="thin"/>
      <diagonal/>
    </border>
    <border diagonalUp="false" diagonalDown="false">
      <left style="dashed"/>
      <right style="dashed"/>
      <top/>
      <bottom style="thin"/>
      <diagonal/>
    </border>
    <border diagonalUp="false" diagonalDown="false">
      <left style="dotted"/>
      <right/>
      <top style="thin"/>
      <bottom style="thin"/>
      <diagonal/>
    </border>
    <border diagonalUp="false" diagonalDown="false">
      <left style="dashed"/>
      <right style="dotted"/>
      <top/>
      <bottom style="thin"/>
      <diagonal/>
    </border>
    <border diagonalUp="false" diagonalDown="false">
      <left style="double"/>
      <right style="medium"/>
      <top style="thin"/>
      <bottom style="medium"/>
      <diagonal/>
    </border>
    <border diagonalUp="false" diagonalDown="false">
      <left style="dashed"/>
      <right style="dotted"/>
      <top style="thin"/>
      <bottom style="medium"/>
      <diagonal/>
    </border>
    <border diagonalUp="false" diagonalDown="false">
      <left/>
      <right style="dotted"/>
      <top style="thin"/>
      <bottom style="medium"/>
      <diagonal/>
    </border>
    <border diagonalUp="false" diagonalDown="false">
      <left style="dotted"/>
      <right/>
      <top style="thin"/>
      <bottom style="medium"/>
      <diagonal/>
    </border>
    <border diagonalUp="false" diagonalDown="false">
      <left style="double"/>
      <right style="medium"/>
      <top/>
      <bottom style="medium"/>
      <diagonal/>
    </border>
    <border diagonalUp="false" diagonalDown="false">
      <left style="dashed"/>
      <right style="dotted"/>
      <top style="medium"/>
      <bottom style="medium"/>
      <diagonal/>
    </border>
    <border diagonalUp="false" diagonalDown="false">
      <left/>
      <right style="dotted"/>
      <top style="medium"/>
      <bottom style="medium"/>
      <diagonal/>
    </border>
    <border diagonalUp="false" diagonalDown="false">
      <left style="dotted"/>
      <right/>
      <top style="medium"/>
      <bottom style="medium"/>
      <diagonal/>
    </border>
    <border diagonalUp="false" diagonalDown="false">
      <left style="dashed"/>
      <right style="thin"/>
      <top style="medium"/>
      <bottom style="medium"/>
      <diagonal/>
    </border>
    <border diagonalUp="false" diagonalDown="false">
      <left style="dashed"/>
      <right style="double"/>
      <top style="medium"/>
      <bottom style="medium"/>
      <diagonal/>
    </border>
    <border diagonalUp="false" diagonalDown="false">
      <left/>
      <right style="double"/>
      <top style="medium"/>
      <bottom style="thin"/>
      <diagonal/>
    </border>
    <border diagonalUp="false" diagonalDown="false">
      <left style="dashed"/>
      <right style="thin"/>
      <top style="medium"/>
      <bottom style="thin"/>
      <diagonal/>
    </border>
    <border diagonalUp="false" diagonalDown="false">
      <left style="dashed"/>
      <right style="double"/>
      <top style="medium"/>
      <bottom style="thin"/>
      <diagonal/>
    </border>
    <border diagonalUp="false" diagonalDown="false">
      <left/>
      <right style="double"/>
      <top/>
      <bottom style="thin"/>
      <diagonal/>
    </border>
    <border diagonalUp="false" diagonalDown="false">
      <left style="dashed"/>
      <right style="thin"/>
      <top style="thin"/>
      <bottom style="thin"/>
      <diagonal/>
    </border>
    <border diagonalUp="false" diagonalDown="false">
      <left/>
      <right style="double"/>
      <top style="thin"/>
      <bottom style="thin"/>
      <diagonal/>
    </border>
    <border diagonalUp="false" diagonalDown="false">
      <left/>
      <right style="double"/>
      <top/>
      <bottom/>
      <diagonal/>
    </border>
    <border diagonalUp="false" diagonalDown="false">
      <left style="double"/>
      <right style="medium"/>
      <top/>
      <bottom/>
      <diagonal/>
    </border>
    <border diagonalUp="false" diagonalDown="false">
      <left style="thin"/>
      <right style="dashed"/>
      <top style="thin"/>
      <bottom/>
      <diagonal/>
    </border>
    <border diagonalUp="false" diagonalDown="false">
      <left style="dashed"/>
      <right style="thin"/>
      <top style="thin"/>
      <bottom/>
      <diagonal/>
    </border>
    <border diagonalUp="false" diagonalDown="false">
      <left/>
      <right style="dashed"/>
      <top style="thin"/>
      <bottom/>
      <diagonal/>
    </border>
    <border diagonalUp="false" diagonalDown="false">
      <left/>
      <right style="double"/>
      <top style="thin"/>
      <bottom/>
      <diagonal/>
    </border>
    <border diagonalUp="false" diagonalDown="false">
      <left style="double"/>
      <right style="medium"/>
      <top style="thin"/>
      <bottom style="thin"/>
      <diagonal/>
    </border>
    <border diagonalUp="false" diagonalDown="false">
      <left/>
      <right style="double"/>
      <top style="medium"/>
      <bottom style="medium"/>
      <diagonal/>
    </border>
    <border diagonalUp="false" diagonalDown="false">
      <left style="hair"/>
      <right style="thin"/>
      <top style="thin"/>
      <bottom style="thin"/>
      <diagonal/>
    </border>
    <border diagonalUp="false" diagonalDown="false">
      <left style="hair"/>
      <right/>
      <top style="thin"/>
      <bottom style="thin"/>
      <diagonal/>
    </border>
    <border diagonalUp="false" diagonalDown="false">
      <left style="hair"/>
      <right style="hair"/>
      <top style="thin"/>
      <bottom style="thin"/>
      <diagonal/>
    </border>
    <border diagonalUp="false" diagonalDown="false">
      <left/>
      <right/>
      <top style="thin"/>
      <bottom style="medium"/>
      <diagonal/>
    </border>
    <border diagonalUp="false" diagonalDown="false">
      <left style="medium"/>
      <right style="thin"/>
      <top style="thin"/>
      <bottom style="double"/>
      <diagonal/>
    </border>
    <border diagonalUp="false" diagonalDown="false">
      <left style="thin"/>
      <right style="medium"/>
      <top/>
      <bottom style="double"/>
      <diagonal/>
    </border>
    <border diagonalUp="false" diagonalDown="false">
      <left style="thin"/>
      <right style="medium"/>
      <top style="thin"/>
      <bottom style="double"/>
      <diagonal/>
    </border>
    <border diagonalUp="false" diagonalDown="false">
      <left style="medium"/>
      <right/>
      <top style="thin"/>
      <bottom style="double"/>
      <diagonal/>
    </border>
    <border diagonalUp="false" diagonalDown="false">
      <left style="medium"/>
      <right style="thin"/>
      <top style="double"/>
      <bottom style="medium"/>
      <diagonal/>
    </border>
    <border diagonalUp="false" diagonalDown="false">
      <left style="thin"/>
      <right style="medium"/>
      <top style="double"/>
      <bottom style="medium"/>
      <diagonal/>
    </border>
    <border diagonalUp="false" diagonalDown="false">
      <left style="medium"/>
      <right/>
      <top style="double"/>
      <bottom style="medium"/>
      <diagonal/>
    </border>
    <border diagonalUp="false" diagonalDown="false">
      <left style="medium"/>
      <right style="thin"/>
      <top/>
      <bottom style="dotted"/>
      <diagonal/>
    </border>
    <border diagonalUp="false" diagonalDown="false">
      <left style="thin"/>
      <right style="double"/>
      <top/>
      <bottom style="dotted"/>
      <diagonal/>
    </border>
    <border diagonalUp="false" diagonalDown="false">
      <left/>
      <right style="thin"/>
      <top/>
      <bottom style="dotted"/>
      <diagonal/>
    </border>
    <border diagonalUp="false" diagonalDown="false">
      <left style="thin"/>
      <right style="thin"/>
      <top style="medium"/>
      <bottom style="dotted"/>
      <diagonal/>
    </border>
    <border diagonalUp="false" diagonalDown="false">
      <left/>
      <right style="thin"/>
      <top style="medium"/>
      <bottom style="dotted"/>
      <diagonal/>
    </border>
    <border diagonalUp="false" diagonalDown="false">
      <left style="thin"/>
      <right style="medium"/>
      <top style="medium"/>
      <bottom style="dotted"/>
      <diagonal/>
    </border>
    <border diagonalUp="false" diagonalDown="false">
      <left style="thin"/>
      <right style="thin"/>
      <top style="thin"/>
      <bottom style="dotted"/>
      <diagonal/>
    </border>
    <border diagonalUp="false" diagonalDown="false">
      <left style="thin"/>
      <right style="thin"/>
      <top style="dotted"/>
      <bottom style="thin"/>
      <diagonal/>
    </border>
    <border diagonalUp="false" diagonalDown="false">
      <left/>
      <right style="thin"/>
      <top style="dotted"/>
      <bottom style="thin"/>
      <diagonal/>
    </border>
    <border diagonalUp="false" diagonalDown="false">
      <left style="thin"/>
      <right style="medium"/>
      <top style="dotted"/>
      <bottom style="thin"/>
      <diagonal/>
    </border>
    <border diagonalUp="false" diagonalDown="false">
      <left style="thin"/>
      <right style="thin"/>
      <top/>
      <bottom style="dotted"/>
      <diagonal/>
    </border>
    <border diagonalUp="false" diagonalDown="false">
      <left style="thin"/>
      <right style="medium"/>
      <top/>
      <bottom style="dotted"/>
      <diagonal/>
    </border>
    <border diagonalUp="false" diagonalDown="false">
      <left style="medium"/>
      <right style="thin"/>
      <top style="dotted"/>
      <bottom style="double"/>
      <diagonal/>
    </border>
    <border diagonalUp="false" diagonalDown="false">
      <left style="thin"/>
      <right style="double"/>
      <top style="dotted"/>
      <bottom style="double"/>
      <diagonal/>
    </border>
    <border diagonalUp="false" diagonalDown="false">
      <left/>
      <right style="thin"/>
      <top style="dotted"/>
      <bottom style="double"/>
      <diagonal/>
    </border>
    <border diagonalUp="false" diagonalDown="false">
      <left style="thin"/>
      <right style="thin"/>
      <top style="dotted"/>
      <bottom style="double"/>
      <diagonal/>
    </border>
    <border diagonalUp="false" diagonalDown="false">
      <left style="thin"/>
      <right style="double"/>
      <top/>
      <bottom style="medium"/>
      <diagonal/>
    </border>
    <border diagonalUp="false" diagonalDown="false">
      <left/>
      <right style="thin"/>
      <top style="double"/>
      <bottom style="medium"/>
      <diagonal/>
    </border>
    <border diagonalUp="false" diagonalDown="false">
      <left style="thin"/>
      <right style="thin"/>
      <top style="double"/>
      <bottom style="medium"/>
      <diagonal/>
    </border>
    <border diagonalUp="false" diagonalDown="false">
      <left style="thin"/>
      <right style="thin"/>
      <top style="double"/>
      <bottom style="thin"/>
      <diagonal/>
    </border>
    <border diagonalUp="false" diagonalDown="false">
      <left style="thin"/>
      <right style="hair"/>
      <top style="medium"/>
      <bottom style="medium"/>
      <diagonal/>
    </border>
    <border diagonalUp="false" diagonalDown="false">
      <left style="hair"/>
      <right style="thin"/>
      <top style="medium"/>
      <bottom style="medium"/>
      <diagonal/>
    </border>
    <border diagonalUp="false" diagonalDown="false">
      <left style="thin"/>
      <right style="hair"/>
      <top style="medium"/>
      <bottom style="dotted"/>
      <diagonal/>
    </border>
    <border diagonalUp="false" diagonalDown="false">
      <left style="hair"/>
      <right style="thin"/>
      <top style="medium"/>
      <bottom style="dotted"/>
      <diagonal/>
    </border>
    <border diagonalUp="false" diagonalDown="false">
      <left style="thin"/>
      <right style="double"/>
      <top style="dotted"/>
      <bottom style="thin"/>
      <diagonal/>
    </border>
    <border diagonalUp="false" diagonalDown="false">
      <left style="thin"/>
      <right style="hair"/>
      <top style="dotted"/>
      <bottom style="thin"/>
      <diagonal/>
    </border>
    <border diagonalUp="false" diagonalDown="false">
      <left style="hair"/>
      <right style="thin"/>
      <top style="dotted"/>
      <bottom style="thin"/>
      <diagonal/>
    </border>
    <border diagonalUp="false" diagonalDown="false">
      <left style="thin"/>
      <right style="hair"/>
      <top/>
      <bottom style="dotted"/>
      <diagonal/>
    </border>
    <border diagonalUp="false" diagonalDown="false">
      <left style="hair"/>
      <right style="thin"/>
      <top/>
      <bottom style="dotted"/>
      <diagonal/>
    </border>
    <border diagonalUp="false" diagonalDown="false">
      <left style="medium"/>
      <right style="thin"/>
      <top style="dotted"/>
      <bottom style="thin"/>
      <diagonal/>
    </border>
    <border diagonalUp="false" diagonalDown="false">
      <left style="double"/>
      <right style="thin"/>
      <top style="dotted"/>
      <bottom style="thin"/>
      <diagonal/>
    </border>
    <border diagonalUp="false" diagonalDown="false">
      <left style="hair"/>
      <right style="thin"/>
      <top style="thin"/>
      <bottom style="dotted"/>
      <diagonal/>
    </border>
    <border diagonalUp="false" diagonalDown="false">
      <left style="thin"/>
      <right style="medium"/>
      <top style="dotted"/>
      <bottom style="double"/>
      <diagonal/>
    </border>
    <border diagonalUp="false" diagonalDown="false">
      <left style="double"/>
      <right style="thin"/>
      <top style="double"/>
      <bottom style="medium"/>
      <diagonal/>
    </border>
    <border diagonalUp="false" diagonalDown="false">
      <left style="thin"/>
      <right style="hair"/>
      <top style="double"/>
      <bottom style="medium"/>
      <diagonal/>
    </border>
    <border diagonalUp="false" diagonalDown="false">
      <left style="hair"/>
      <right style="thin"/>
      <top style="double"/>
      <bottom style="medium"/>
      <diagonal/>
    </border>
    <border diagonalUp="false" diagonalDown="false">
      <left/>
      <right/>
      <top style="double"/>
      <bottom style="medium"/>
      <diagonal/>
    </border>
    <border diagonalUp="false" diagonalDown="false">
      <left style="thin"/>
      <right style="double"/>
      <top style="medium"/>
      <bottom style="dashed"/>
      <diagonal/>
    </border>
    <border diagonalUp="false" diagonalDown="false">
      <left style="thin"/>
      <right/>
      <top style="medium"/>
      <bottom style="dashed"/>
      <diagonal/>
    </border>
    <border diagonalUp="false" diagonalDown="false">
      <left style="thin"/>
      <right style="dashed"/>
      <top style="dashed"/>
      <bottom style="medium"/>
      <diagonal/>
    </border>
    <border diagonalUp="false" diagonalDown="false">
      <left style="dashed"/>
      <right style="double"/>
      <top style="dashed"/>
      <bottom style="medium"/>
      <diagonal/>
    </border>
    <border diagonalUp="false" diagonalDown="false">
      <left style="thin"/>
      <right style="dashed"/>
      <top/>
      <bottom style="medium"/>
      <diagonal/>
    </border>
    <border diagonalUp="false" diagonalDown="false">
      <left style="dashed"/>
      <right style="dashed"/>
      <top style="dashed"/>
      <bottom style="medium"/>
      <diagonal/>
    </border>
    <border diagonalUp="false" diagonalDown="false">
      <left style="thin"/>
      <right style="dashed"/>
      <top/>
      <bottom style="thin"/>
      <diagonal/>
    </border>
    <border diagonalUp="false" diagonalDown="false">
      <left style="dashed"/>
      <right style="double"/>
      <top/>
      <bottom style="thin"/>
      <diagonal/>
    </border>
    <border diagonalUp="false" diagonalDown="false">
      <left style="dashed"/>
      <right style="double"/>
      <top style="thin"/>
      <bottom style="thin"/>
      <diagonal/>
    </border>
    <border diagonalUp="false" diagonalDown="false">
      <left style="medium"/>
      <right style="thin"/>
      <top/>
      <bottom style="double"/>
      <diagonal/>
    </border>
    <border diagonalUp="false" diagonalDown="false">
      <left style="thin"/>
      <right style="thin"/>
      <top style="thin"/>
      <bottom style="double"/>
      <diagonal/>
    </border>
    <border diagonalUp="false" diagonalDown="false">
      <left style="thin"/>
      <right style="dashed"/>
      <top style="double"/>
      <bottom style="medium"/>
      <diagonal/>
    </border>
    <border diagonalUp="false" diagonalDown="false">
      <left style="dashed"/>
      <right style="dashed"/>
      <top style="double"/>
      <bottom style="medium"/>
      <diagonal/>
    </border>
    <border diagonalUp="false" diagonalDown="false">
      <left style="double"/>
      <right style="medium"/>
      <top style="double"/>
      <bottom style="medium"/>
      <diagonal/>
    </border>
    <border diagonalUp="false" diagonalDown="false">
      <left/>
      <right style="medium"/>
      <top/>
      <bottom style="double"/>
      <diagonal/>
    </border>
    <border diagonalUp="false" diagonalDown="false">
      <left/>
      <right style="double"/>
      <top style="dashed"/>
      <bottom style="medium"/>
      <diagonal/>
    </border>
    <border diagonalUp="false" diagonalDown="false">
      <left style="thin"/>
      <right style="dashed"/>
      <top style="thin"/>
      <bottom style="double"/>
      <diagonal/>
    </border>
    <border diagonalUp="false" diagonalDown="false">
      <left style="dashed"/>
      <right style="double"/>
      <top style="thin"/>
      <bottom style="double"/>
      <diagonal/>
    </border>
    <border diagonalUp="false" diagonalDown="false">
      <left style="dashed"/>
      <right style="double"/>
      <top style="double"/>
      <bottom style="medium"/>
      <diagonal/>
    </border>
    <border diagonalUp="false" diagonalDown="false">
      <left style="medium"/>
      <right style="medium"/>
      <top style="medium"/>
      <bottom/>
      <diagonal/>
    </border>
    <border diagonalUp="false" diagonalDown="false">
      <left style="thin"/>
      <right style="double"/>
      <top style="thin"/>
      <bottom style="thin"/>
      <diagonal/>
    </border>
    <border diagonalUp="false" diagonalDown="false">
      <left style="thin"/>
      <right style="double"/>
      <top style="thin"/>
      <bottom/>
      <diagonal/>
    </border>
    <border diagonalUp="false" diagonalDown="false">
      <left style="thin"/>
      <right style="thin"/>
      <top/>
      <bottom style="double"/>
      <diagonal/>
    </border>
    <border diagonalUp="false" diagonalDown="false">
      <left style="thin"/>
      <right style="double"/>
      <top/>
      <bottom style="double"/>
      <diagonal/>
    </border>
    <border diagonalUp="false" diagonalDown="false">
      <left style="thin">
        <color rgb="FF800080"/>
      </left>
      <right style="thin">
        <color rgb="FF800080"/>
      </right>
      <top style="thin">
        <color rgb="FF800080"/>
      </top>
      <bottom/>
      <diagonal/>
    </border>
    <border diagonalUp="false" diagonalDown="false">
      <left style="thin">
        <color rgb="FF800080"/>
      </left>
      <right style="thin">
        <color rgb="FF800080"/>
      </right>
      <top/>
      <bottom/>
      <diagonal/>
    </border>
    <border diagonalUp="false" diagonalDown="false">
      <left style="thin">
        <color rgb="FF800080"/>
      </left>
      <right style="thin">
        <color rgb="FF800080"/>
      </right>
      <top/>
      <bottom style="thin">
        <color rgb="FF800080"/>
      </bottom>
      <diagonal/>
    </border>
    <border diagonalUp="false" diagonalDown="false">
      <left style="thin"/>
      <right style="double"/>
      <top/>
      <bottom/>
      <diagonal/>
    </border>
    <border diagonalUp="false" diagonalDown="false">
      <left style="thin"/>
      <right style="double"/>
      <top style="double"/>
      <bottom style="medium"/>
      <diagonal/>
    </border>
    <border diagonalUp="false" diagonalDown="false">
      <left/>
      <right/>
      <top style="thin">
        <color rgb="FF800080"/>
      </top>
      <bottom/>
      <diagonal/>
    </border>
    <border diagonalUp="false" diagonalDown="false">
      <left/>
      <right style="thin">
        <color rgb="FF993300"/>
      </right>
      <top/>
      <bottom/>
      <diagonal/>
    </border>
    <border diagonalUp="false" diagonalDown="false">
      <left/>
      <right style="thin">
        <color rgb="FF993300"/>
      </right>
      <top style="thin">
        <color rgb="FF993300"/>
      </top>
      <bottom/>
      <diagonal/>
    </border>
    <border diagonalUp="false" diagonalDown="false">
      <left/>
      <right/>
      <top/>
      <bottom style="thin">
        <color rgb="FF993300"/>
      </bottom>
      <diagonal/>
    </border>
    <border diagonalUp="false" diagonalDown="false">
      <left/>
      <right/>
      <top style="thin">
        <color rgb="FF993300"/>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cellStyleXfs>
  <cellXfs count="18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6" fontId="14"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7" fontId="12" fillId="0"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4" fontId="7" fillId="6" borderId="2"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2"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8" fontId="11" fillId="3" borderId="1" xfId="0" applyFont="true" applyBorder="true" applyAlignment="true" applyProtection="false">
      <alignment horizontal="center" vertical="bottom" textRotation="0" wrapText="fals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169" fontId="12" fillId="3" borderId="1" xfId="0" applyFont="true" applyBorder="true" applyAlignment="false" applyProtection="false">
      <alignment horizontal="general" vertical="bottom" textRotation="0" wrapText="false" indent="0" shrinkToFit="false"/>
      <protection locked="true" hidden="false"/>
    </xf>
    <xf numFmtId="168" fontId="12" fillId="3"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9" fontId="21" fillId="8" borderId="1" xfId="0" applyFont="true" applyBorder="true" applyAlignment="false" applyProtection="false">
      <alignment horizontal="general" vertical="bottom" textRotation="0" wrapText="false" indent="0" shrinkToFit="false"/>
      <protection locked="true" hidden="false"/>
    </xf>
    <xf numFmtId="167"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true" indent="0" shrinkToFit="false"/>
      <protection locked="true" hidden="false"/>
    </xf>
    <xf numFmtId="164" fontId="21" fillId="8" borderId="1"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0" fillId="7" borderId="1" xfId="0" applyFont="true" applyBorder="true" applyAlignment="true" applyProtection="false">
      <alignment horizontal="center" vertical="center" textRotation="0" wrapText="true" indent="0" shrinkToFit="false"/>
      <protection locked="true" hidden="false"/>
    </xf>
    <xf numFmtId="164" fontId="23" fillId="7" borderId="0"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left" vertical="center" textRotation="0" wrapText="tru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bottom"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9" borderId="1" xfId="0" applyFont="true" applyBorder="true" applyAlignment="true" applyProtection="false">
      <alignment horizontal="center" vertical="center" textRotation="0" wrapText="true" indent="0" shrinkToFit="false"/>
      <protection locked="true" hidden="false"/>
    </xf>
    <xf numFmtId="164" fontId="30" fillId="3" borderId="1" xfId="0" applyFont="true" applyBorder="true" applyAlignment="true" applyProtection="false">
      <alignment horizontal="center" vertical="center" textRotation="0" wrapText="tru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left" vertical="center" textRotation="0" wrapText="true" indent="0" shrinkToFit="false"/>
      <protection locked="true" hidden="false"/>
    </xf>
    <xf numFmtId="164" fontId="33" fillId="0" borderId="1" xfId="0" applyFont="true" applyBorder="true" applyAlignment="true" applyProtection="false">
      <alignment horizontal="left" vertical="center" textRotation="0" wrapText="true" indent="0" shrinkToFit="false"/>
      <protection locked="true" hidden="false"/>
    </xf>
    <xf numFmtId="168" fontId="32" fillId="0" borderId="1" xfId="0" applyFont="true" applyBorder="true" applyAlignment="true" applyProtection="false">
      <alignment horizontal="center" vertical="center" textRotation="0" wrapText="true" indent="0" shrinkToFit="false"/>
      <protection locked="true" hidden="false"/>
    </xf>
    <xf numFmtId="164" fontId="28" fillId="10"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70" fontId="8" fillId="0" borderId="1"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5" fillId="8" borderId="1" xfId="0" applyFont="true" applyBorder="true" applyAlignment="true" applyProtection="false">
      <alignment horizontal="center" vertical="center" textRotation="0" wrapText="true" indent="0" shrinkToFit="false"/>
      <protection locked="true" hidden="false"/>
    </xf>
    <xf numFmtId="164" fontId="32" fillId="8" borderId="1" xfId="0" applyFont="true" applyBorder="true" applyAlignment="true" applyProtection="false">
      <alignment horizontal="left" vertical="center" textRotation="0" wrapText="true" indent="0" shrinkToFit="false"/>
      <protection locked="true" hidden="false"/>
    </xf>
    <xf numFmtId="164" fontId="28" fillId="7" borderId="1" xfId="0" applyFont="true" applyBorder="true" applyAlignment="true" applyProtection="false">
      <alignment horizontal="center" vertical="center" textRotation="0" wrapText="true" indent="0" shrinkToFit="false"/>
      <protection locked="true" hidden="false"/>
    </xf>
    <xf numFmtId="164" fontId="36"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right" vertical="bottom" textRotation="0" wrapText="false" indent="0" shrinkToFit="false"/>
      <protection locked="true" hidden="false"/>
    </xf>
    <xf numFmtId="171" fontId="12" fillId="3" borderId="1" xfId="0" applyFont="true" applyBorder="true" applyAlignment="true" applyProtection="false">
      <alignment horizontal="center" vertical="bottom" textRotation="0" wrapText="false" indent="0" shrinkToFit="false"/>
      <protection locked="true" hidden="false"/>
    </xf>
    <xf numFmtId="164" fontId="37" fillId="0" borderId="3" xfId="0" applyFont="true" applyBorder="true" applyAlignment="true" applyProtection="false">
      <alignment horizontal="center"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false" indent="0" shrinkToFit="false"/>
      <protection locked="true" hidden="false"/>
    </xf>
    <xf numFmtId="164" fontId="39" fillId="0" borderId="0" xfId="0" applyFont="true" applyBorder="true" applyAlignment="true" applyProtection="false">
      <alignment horizontal="center" vertical="center" textRotation="0" wrapText="true" indent="0" shrinkToFit="false"/>
      <protection locked="true" hidden="false"/>
    </xf>
    <xf numFmtId="170" fontId="40" fillId="0" borderId="3" xfId="0" applyFont="true" applyBorder="true" applyAlignment="true" applyProtection="false">
      <alignment horizontal="right" vertical="center" textRotation="0" wrapText="false" indent="0" shrinkToFit="false"/>
      <protection locked="true" hidden="false"/>
    </xf>
    <xf numFmtId="170" fontId="41" fillId="0" borderId="3" xfId="0" applyFont="true" applyBorder="true" applyAlignment="true" applyProtection="false">
      <alignment horizontal="right" vertical="center" textRotation="0" wrapText="false" indent="0" shrinkToFit="false"/>
      <protection locked="true" hidden="false"/>
    </xf>
    <xf numFmtId="164" fontId="42" fillId="0" borderId="4" xfId="0" applyFont="true" applyBorder="true" applyAlignment="true" applyProtection="false">
      <alignment horizontal="left" vertical="top" textRotation="0" wrapText="true" indent="0" shrinkToFit="false"/>
      <protection locked="true" hidden="false"/>
    </xf>
    <xf numFmtId="170" fontId="40" fillId="0" borderId="5" xfId="0" applyFont="true" applyBorder="true" applyAlignment="true" applyProtection="false">
      <alignment horizontal="right" vertical="bottom" textRotation="0" wrapText="false" indent="0" shrinkToFit="false"/>
      <protection locked="true" hidden="false"/>
    </xf>
    <xf numFmtId="164" fontId="38" fillId="0" borderId="3" xfId="0" applyFont="true" applyBorder="true" applyAlignment="true" applyProtection="false">
      <alignment horizontal="left" vertical="top" textRotation="0" wrapText="tru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28" fillId="4" borderId="0" xfId="0" applyFont="true" applyBorder="true" applyAlignment="true" applyProtection="false">
      <alignment horizontal="center" vertical="center" textRotation="0" wrapText="true" indent="0" shrinkToFit="false"/>
      <protection locked="true" hidden="false"/>
    </xf>
    <xf numFmtId="170" fontId="43" fillId="11"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72" fontId="12" fillId="3"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20" fillId="6"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left" vertical="bottom" textRotation="0" wrapText="false" indent="0" shrinkToFit="false"/>
      <protection locked="true" hidden="false"/>
    </xf>
    <xf numFmtId="164" fontId="12" fillId="3" borderId="1" xfId="0" applyFont="true" applyBorder="true" applyAlignment="true" applyProtection="false">
      <alignment horizontal="left" vertical="bottom" textRotation="0" wrapText="false" indent="0" shrinkToFit="false"/>
      <protection locked="true" hidden="false"/>
    </xf>
    <xf numFmtId="167" fontId="12" fillId="3" borderId="1" xfId="0" applyFont="true" applyBorder="true" applyAlignment="false" applyProtection="false">
      <alignment horizontal="general" vertical="bottom" textRotation="0" wrapText="false" indent="0" shrinkToFit="false"/>
      <protection locked="true" hidden="false"/>
    </xf>
    <xf numFmtId="169" fontId="6" fillId="8" borderId="1" xfId="0" applyFont="true" applyBorder="true" applyAlignment="false" applyProtection="false">
      <alignment horizontal="general" vertical="bottom" textRotation="0" wrapText="false" indent="0" shrinkToFit="false"/>
      <protection locked="true" hidden="false"/>
    </xf>
    <xf numFmtId="169" fontId="12" fillId="11" borderId="1" xfId="0" applyFont="true" applyBorder="true" applyAlignment="false" applyProtection="false">
      <alignment horizontal="general" vertical="bottom" textRotation="0" wrapText="false" indent="0" shrinkToFit="false"/>
      <protection locked="true" hidden="false"/>
    </xf>
    <xf numFmtId="169" fontId="44" fillId="11"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4" fontId="45" fillId="0" borderId="0"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73" fontId="12" fillId="3" borderId="1" xfId="0" applyFont="true" applyBorder="true" applyAlignment="true" applyProtection="false">
      <alignment horizontal="right" vertical="bottom" textRotation="0" wrapText="false" indent="0" shrinkToFit="false"/>
      <protection locked="true" hidden="false"/>
    </xf>
    <xf numFmtId="173" fontId="12" fillId="3" borderId="1" xfId="0" applyFont="true" applyBorder="true" applyAlignment="false" applyProtection="false">
      <alignment horizontal="general" vertical="bottom" textRotation="0" wrapText="false" indent="0" shrinkToFit="false"/>
      <protection locked="true" hidden="false"/>
    </xf>
    <xf numFmtId="173" fontId="12" fillId="0" borderId="1" xfId="0" applyFont="true" applyBorder="true" applyAlignment="true" applyProtection="false">
      <alignment horizontal="right"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left" vertical="center" textRotation="0" wrapText="true" indent="0" shrinkToFit="false"/>
      <protection locked="true" hidden="false"/>
    </xf>
    <xf numFmtId="164" fontId="11" fillId="3" borderId="1" xfId="0" applyFont="true" applyBorder="true" applyAlignment="true" applyProtection="false">
      <alignment horizontal="left" vertical="center" textRotation="0" wrapText="tru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center" vertical="bottom" textRotation="0" wrapText="false" indent="0" shrinkToFit="false"/>
      <protection locked="true" hidden="false"/>
    </xf>
    <xf numFmtId="164" fontId="47" fillId="0" borderId="0"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8" fontId="15"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74" fontId="48" fillId="0" borderId="0" xfId="0" applyFont="true" applyBorder="false" applyAlignment="true" applyProtection="true">
      <alignment horizontal="general" vertical="bottom" textRotation="0" wrapText="false" indent="0" shrinkToFit="false"/>
      <protection locked="true" hidden="false"/>
    </xf>
    <xf numFmtId="175" fontId="0" fillId="0" borderId="0" xfId="0" applyFont="false" applyBorder="true" applyAlignment="true" applyProtection="true">
      <alignment horizontal="left" vertical="bottom" textRotation="0" wrapText="false" indent="0" shrinkToFit="false"/>
      <protection locked="true" hidden="false"/>
    </xf>
    <xf numFmtId="174" fontId="0" fillId="0" borderId="0" xfId="0" applyFont="false" applyBorder="true" applyAlignment="true" applyProtection="true">
      <alignment horizontal="general" vertical="bottom" textRotation="0" wrapText="false" indent="0" shrinkToFit="false"/>
      <protection locked="true" hidden="false"/>
    </xf>
    <xf numFmtId="174" fontId="48" fillId="0" borderId="0" xfId="0" applyFont="true" applyBorder="true" applyAlignment="true" applyProtection="true">
      <alignment horizontal="general" vertical="bottom" textRotation="0" wrapText="false" indent="0" shrinkToFit="false"/>
      <protection locked="true" hidden="false"/>
    </xf>
    <xf numFmtId="174" fontId="49" fillId="0" borderId="6" xfId="0" applyFont="true" applyBorder="true" applyAlignment="true" applyProtection="true">
      <alignment horizontal="general" vertical="center" textRotation="0" wrapText="false" indent="0" shrinkToFit="false"/>
      <protection locked="true" hidden="false"/>
    </xf>
    <xf numFmtId="176" fontId="51" fillId="0" borderId="6" xfId="0" applyFont="true" applyBorder="true" applyAlignment="true" applyProtection="true">
      <alignment horizontal="center" vertical="center" textRotation="0" wrapText="false" indent="0" shrinkToFit="false"/>
      <protection locked="true" hidden="false"/>
    </xf>
    <xf numFmtId="176" fontId="52" fillId="0" borderId="6" xfId="0" applyFont="true" applyBorder="true" applyAlignment="true" applyProtection="true">
      <alignment horizontal="center" vertical="center" textRotation="0" wrapText="false" indent="0" shrinkToFit="false"/>
      <protection locked="true" hidden="false"/>
    </xf>
    <xf numFmtId="174" fontId="0" fillId="0" borderId="0" xfId="0" applyFont="false" applyBorder="false" applyAlignment="true" applyProtection="true">
      <alignment horizontal="general" vertical="center" textRotation="0" wrapText="false" indent="0" shrinkToFit="false"/>
      <protection locked="true" hidden="false"/>
    </xf>
    <xf numFmtId="174" fontId="53" fillId="0" borderId="7" xfId="0" applyFont="true" applyBorder="true" applyAlignment="true" applyProtection="true">
      <alignment horizontal="center" vertical="center" textRotation="0" wrapText="false" indent="0" shrinkToFit="false"/>
      <protection locked="true" hidden="false"/>
    </xf>
    <xf numFmtId="174" fontId="53" fillId="0" borderId="8" xfId="0" applyFont="true" applyBorder="true" applyAlignment="true" applyProtection="true">
      <alignment horizontal="center" vertical="bottom" textRotation="0" wrapText="false" indent="0" shrinkToFit="false"/>
      <protection locked="true" hidden="false"/>
    </xf>
    <xf numFmtId="174" fontId="53" fillId="0" borderId="7" xfId="0" applyFont="true" applyBorder="true" applyAlignment="true" applyProtection="true">
      <alignment horizontal="center" vertical="bottom" textRotation="0" wrapText="false" indent="0" shrinkToFit="false"/>
      <protection locked="true" hidden="false"/>
    </xf>
    <xf numFmtId="174" fontId="54" fillId="0" borderId="7" xfId="0" applyFont="true" applyBorder="true" applyAlignment="true" applyProtection="true">
      <alignment horizontal="center" vertical="center" textRotation="0" wrapText="false" indent="0" shrinkToFit="false"/>
      <protection locked="true" hidden="false"/>
    </xf>
    <xf numFmtId="174" fontId="53" fillId="0" borderId="9" xfId="0" applyFont="true" applyBorder="true" applyAlignment="true" applyProtection="true">
      <alignment horizontal="center" vertical="center" textRotation="0" wrapText="false" indent="0" shrinkToFit="false"/>
      <protection locked="true" hidden="false"/>
    </xf>
    <xf numFmtId="174" fontId="53" fillId="0" borderId="10" xfId="0" applyFont="true" applyBorder="true" applyAlignment="true" applyProtection="true">
      <alignment horizontal="center" vertical="center" textRotation="0" wrapText="false" indent="0" shrinkToFit="false"/>
      <protection locked="true" hidden="false"/>
    </xf>
    <xf numFmtId="174" fontId="53" fillId="0" borderId="8" xfId="0" applyFont="true" applyBorder="true" applyAlignment="true" applyProtection="true">
      <alignment horizontal="center" vertical="center" textRotation="0" wrapText="false" indent="0" shrinkToFit="false"/>
      <protection locked="true" hidden="false"/>
    </xf>
    <xf numFmtId="174" fontId="53" fillId="0" borderId="11" xfId="0" applyFont="true" applyBorder="true" applyAlignment="true" applyProtection="true">
      <alignment horizontal="center" vertical="center" textRotation="0" wrapText="false" indent="0" shrinkToFit="false"/>
      <protection locked="true" hidden="false"/>
    </xf>
    <xf numFmtId="174" fontId="55" fillId="0" borderId="11" xfId="0" applyFont="true" applyBorder="true" applyAlignment="true" applyProtection="true">
      <alignment horizontal="center" vertical="center" textRotation="0" wrapText="false" indent="0" shrinkToFit="true"/>
      <protection locked="true" hidden="false"/>
    </xf>
    <xf numFmtId="174" fontId="55" fillId="0" borderId="12" xfId="0" applyFont="true" applyBorder="true" applyAlignment="true" applyProtection="true">
      <alignment horizontal="center" vertical="center" textRotation="0" wrapText="false" indent="0" shrinkToFit="true"/>
      <protection locked="true" hidden="false"/>
    </xf>
    <xf numFmtId="174" fontId="55" fillId="0" borderId="9" xfId="0" applyFont="true" applyBorder="true" applyAlignment="true" applyProtection="true">
      <alignment horizontal="center" vertical="center" textRotation="0" wrapText="false" indent="0" shrinkToFit="true"/>
      <protection locked="true" hidden="false"/>
    </xf>
    <xf numFmtId="174" fontId="56" fillId="12" borderId="13" xfId="0" applyFont="true" applyBorder="true" applyAlignment="true" applyProtection="true">
      <alignment horizontal="left" vertical="bottom" textRotation="0" wrapText="false" indent="0" shrinkToFit="false"/>
      <protection locked="true" hidden="false"/>
    </xf>
    <xf numFmtId="174" fontId="48" fillId="13" borderId="14" xfId="0" applyFont="true" applyBorder="true" applyAlignment="true" applyProtection="true">
      <alignment horizontal="general" vertical="bottom" textRotation="0" wrapText="false" indent="0" shrinkToFit="false"/>
      <protection locked="true" hidden="false"/>
    </xf>
    <xf numFmtId="174" fontId="48" fillId="13" borderId="15" xfId="0" applyFont="true" applyBorder="true" applyAlignment="true" applyProtection="true">
      <alignment horizontal="general" vertical="bottom" textRotation="0" wrapText="false" indent="0" shrinkToFit="false"/>
      <protection locked="true" hidden="false"/>
    </xf>
    <xf numFmtId="174" fontId="48" fillId="13" borderId="16" xfId="0" applyFont="true" applyBorder="true" applyAlignment="true" applyProtection="true">
      <alignment horizontal="general" vertical="bottom" textRotation="0" wrapText="false" indent="0" shrinkToFit="false"/>
      <protection locked="true" hidden="false"/>
    </xf>
    <xf numFmtId="174" fontId="48" fillId="13" borderId="17" xfId="0" applyFont="true" applyBorder="true" applyAlignment="true" applyProtection="true">
      <alignment horizontal="general" vertical="bottom" textRotation="0" wrapText="false" indent="0" shrinkToFit="false"/>
      <protection locked="true" hidden="false"/>
    </xf>
    <xf numFmtId="174" fontId="57" fillId="13" borderId="15" xfId="0" applyFont="true" applyBorder="true" applyAlignment="true" applyProtection="true">
      <alignment horizontal="general" vertical="bottom" textRotation="0" wrapText="false" indent="0" shrinkToFit="false"/>
      <protection locked="true" hidden="false"/>
    </xf>
    <xf numFmtId="174" fontId="48" fillId="13" borderId="18" xfId="0" applyFont="true" applyBorder="true" applyAlignment="true" applyProtection="true">
      <alignment horizontal="general" vertical="bottom" textRotation="0" wrapText="false" indent="0" shrinkToFit="false"/>
      <protection locked="true" hidden="false"/>
    </xf>
    <xf numFmtId="174" fontId="48" fillId="13" borderId="19" xfId="0" applyFont="true" applyBorder="true" applyAlignment="true" applyProtection="true">
      <alignment horizontal="general" vertical="bottom" textRotation="0" wrapText="false" indent="0" shrinkToFit="false"/>
      <protection locked="true" hidden="false"/>
    </xf>
    <xf numFmtId="174" fontId="57" fillId="13" borderId="20" xfId="0" applyFont="true" applyBorder="true" applyAlignment="true" applyProtection="true">
      <alignment horizontal="general" vertical="bottom" textRotation="0" wrapText="false" indent="0" shrinkToFit="false"/>
      <protection locked="true" hidden="false"/>
    </xf>
    <xf numFmtId="174" fontId="48" fillId="13" borderId="21" xfId="0" applyFont="true" applyBorder="true" applyAlignment="true" applyProtection="true">
      <alignment horizontal="general" vertical="bottom" textRotation="0" wrapText="false" indent="0" shrinkToFit="false"/>
      <protection locked="true" hidden="false"/>
    </xf>
    <xf numFmtId="174" fontId="58" fillId="0" borderId="0" xfId="0" applyFont="true" applyBorder="false" applyAlignment="true" applyProtection="true">
      <alignment horizontal="general" vertical="bottom" textRotation="0" wrapText="false" indent="0" shrinkToFit="false"/>
      <protection locked="true" hidden="false"/>
    </xf>
    <xf numFmtId="174" fontId="48" fillId="13" borderId="22" xfId="0" applyFont="true" applyBorder="true" applyAlignment="true" applyProtection="true">
      <alignment horizontal="general" vertical="bottom" textRotation="0" wrapText="false" indent="0" shrinkToFit="false"/>
      <protection locked="true" hidden="false"/>
    </xf>
    <xf numFmtId="174" fontId="48" fillId="13" borderId="20" xfId="0" applyFont="true" applyBorder="true" applyAlignment="true" applyProtection="true">
      <alignment horizontal="general" vertical="bottom" textRotation="0" wrapText="false" indent="0" shrinkToFit="false"/>
      <protection locked="true" hidden="false"/>
    </xf>
    <xf numFmtId="174" fontId="48" fillId="13" borderId="23" xfId="0" applyFont="true" applyBorder="true" applyAlignment="true" applyProtection="true">
      <alignment horizontal="general" vertical="bottom" textRotation="0" wrapText="false" indent="0" shrinkToFit="false"/>
      <protection locked="true" hidden="false"/>
    </xf>
    <xf numFmtId="174" fontId="48" fillId="13" borderId="24" xfId="0" applyFont="true" applyBorder="true" applyAlignment="true" applyProtection="true">
      <alignment horizontal="general" vertical="bottom" textRotation="0" wrapText="false" indent="0" shrinkToFit="false"/>
      <protection locked="true" hidden="false"/>
    </xf>
    <xf numFmtId="174" fontId="48" fillId="13" borderId="25" xfId="0" applyFont="true" applyBorder="true" applyAlignment="true" applyProtection="true">
      <alignment horizontal="general" vertical="bottom" textRotation="0" wrapText="false" indent="0" shrinkToFit="false"/>
      <protection locked="true" hidden="false"/>
    </xf>
    <xf numFmtId="174" fontId="57" fillId="13" borderId="23" xfId="0" applyFont="true" applyBorder="true" applyAlignment="true" applyProtection="true">
      <alignment horizontal="general" vertical="bottom" textRotation="0" wrapText="false" indent="0" shrinkToFit="false"/>
      <protection locked="true" hidden="false"/>
    </xf>
    <xf numFmtId="174" fontId="48" fillId="13" borderId="26" xfId="0" applyFont="true" applyBorder="true" applyAlignment="true" applyProtection="true">
      <alignment horizontal="general" vertical="bottom" textRotation="0" wrapText="false" indent="0" shrinkToFit="false"/>
      <protection locked="true" hidden="false"/>
    </xf>
    <xf numFmtId="174" fontId="48" fillId="13" borderId="27" xfId="0" applyFont="true" applyBorder="true" applyAlignment="true" applyProtection="true">
      <alignment horizontal="general" vertical="bottom" textRotation="0" wrapText="false" indent="0" shrinkToFit="false"/>
      <protection locked="true" hidden="false"/>
    </xf>
    <xf numFmtId="174" fontId="57" fillId="13" borderId="28" xfId="0" applyFont="true" applyBorder="true" applyAlignment="true" applyProtection="true">
      <alignment horizontal="general" vertical="bottom" textRotation="0" wrapText="false" indent="0" shrinkToFit="false"/>
      <protection locked="true" hidden="false"/>
    </xf>
    <xf numFmtId="174" fontId="57" fillId="13" borderId="29" xfId="0" applyFont="true" applyBorder="true" applyAlignment="true" applyProtection="true">
      <alignment horizontal="general" vertical="bottom" textRotation="0" wrapText="false" indent="0" shrinkToFit="false"/>
      <protection locked="true" hidden="false"/>
    </xf>
    <xf numFmtId="174" fontId="56" fillId="12" borderId="30" xfId="0" applyFont="true" applyBorder="true" applyAlignment="true" applyProtection="true">
      <alignment horizontal="left" vertical="bottom" textRotation="0" wrapText="false" indent="0" shrinkToFit="false"/>
      <protection locked="true" hidden="false"/>
    </xf>
    <xf numFmtId="174" fontId="48" fillId="13" borderId="28" xfId="0" applyFont="true" applyBorder="true" applyAlignment="true" applyProtection="true">
      <alignment horizontal="general" vertical="bottom" textRotation="0" wrapText="false" indent="0" shrinkToFit="false"/>
      <protection locked="true" hidden="false"/>
    </xf>
    <xf numFmtId="174" fontId="48" fillId="13" borderId="29" xfId="0" applyFont="true" applyBorder="true" applyAlignment="true" applyProtection="true">
      <alignment horizontal="general" vertical="bottom" textRotation="0" wrapText="false" indent="0" shrinkToFit="false"/>
      <protection locked="true" hidden="false"/>
    </xf>
    <xf numFmtId="174" fontId="48" fillId="13" borderId="31" xfId="0" applyFont="true" applyBorder="true" applyAlignment="true" applyProtection="true">
      <alignment horizontal="general" vertical="bottom" textRotation="0" wrapText="false" indent="0" shrinkToFit="false"/>
      <protection locked="true" hidden="false"/>
    </xf>
    <xf numFmtId="174" fontId="48" fillId="13" borderId="32" xfId="0" applyFont="true" applyBorder="true" applyAlignment="true" applyProtection="true">
      <alignment horizontal="general" vertical="bottom" textRotation="0" wrapText="false" indent="0" shrinkToFit="false"/>
      <protection locked="true" hidden="false"/>
    </xf>
    <xf numFmtId="174" fontId="56" fillId="12" borderId="13" xfId="0" applyFont="true" applyBorder="true" applyAlignment="true" applyProtection="true">
      <alignment horizontal="left" vertical="bottom" textRotation="0" wrapText="false" indent="0" shrinkToFit="true"/>
      <protection locked="true" hidden="false"/>
    </xf>
    <xf numFmtId="174" fontId="48" fillId="14" borderId="26" xfId="0" applyFont="true" applyBorder="true" applyAlignment="true" applyProtection="true">
      <alignment horizontal="general" vertical="bottom" textRotation="0" wrapText="false" indent="0" shrinkToFit="false"/>
      <protection locked="true" hidden="false"/>
    </xf>
    <xf numFmtId="174" fontId="48" fillId="14" borderId="20" xfId="0" applyFont="true" applyBorder="true" applyAlignment="true" applyProtection="true">
      <alignment horizontal="general" vertical="bottom" textRotation="0" wrapText="false" indent="0" shrinkToFit="false"/>
      <protection locked="true" hidden="false"/>
    </xf>
    <xf numFmtId="174" fontId="48" fillId="14" borderId="22" xfId="0" applyFont="true" applyBorder="true" applyAlignment="true" applyProtection="true">
      <alignment horizontal="general" vertical="bottom" textRotation="0" wrapText="false" indent="0" shrinkToFit="false"/>
      <protection locked="true" hidden="false"/>
    </xf>
    <xf numFmtId="174" fontId="48" fillId="14" borderId="3" xfId="0" applyFont="true" applyBorder="true" applyAlignment="true" applyProtection="true">
      <alignment horizontal="general" vertical="bottom" textRotation="0" wrapText="false" indent="0" shrinkToFit="false"/>
      <protection locked="true" hidden="false"/>
    </xf>
    <xf numFmtId="174" fontId="48" fillId="14" borderId="29" xfId="0" applyFont="true" applyBorder="true" applyAlignment="true" applyProtection="true">
      <alignment horizontal="general" vertical="bottom" textRotation="0" wrapText="false" indent="0" shrinkToFit="false"/>
      <protection locked="true" hidden="false"/>
    </xf>
    <xf numFmtId="174" fontId="57" fillId="14" borderId="28" xfId="0" applyFont="true" applyBorder="true" applyAlignment="true" applyProtection="true">
      <alignment horizontal="general" vertical="bottom" textRotation="0" wrapText="false" indent="0" shrinkToFit="false"/>
      <protection locked="true" hidden="false"/>
    </xf>
    <xf numFmtId="174" fontId="48" fillId="0" borderId="24" xfId="0" applyFont="true" applyBorder="true" applyAlignment="true" applyProtection="true">
      <alignment horizontal="general" vertical="bottom" textRotation="0" wrapText="false" indent="0" shrinkToFit="false"/>
      <protection locked="true" hidden="false"/>
    </xf>
    <xf numFmtId="174" fontId="48" fillId="0" borderId="25" xfId="0" applyFont="true" applyBorder="true" applyAlignment="true" applyProtection="true">
      <alignment horizontal="general" vertical="bottom" textRotation="0" wrapText="false" indent="0" shrinkToFit="false"/>
      <protection locked="true" hidden="false"/>
    </xf>
    <xf numFmtId="174" fontId="57" fillId="0" borderId="23" xfId="0" applyFont="true" applyBorder="true" applyAlignment="true" applyProtection="true">
      <alignment horizontal="general" vertical="bottom" textRotation="0" wrapText="false" indent="0" shrinkToFit="false"/>
      <protection locked="true" hidden="false"/>
    </xf>
    <xf numFmtId="174" fontId="48" fillId="0" borderId="21" xfId="0" applyFont="true" applyBorder="true" applyAlignment="true" applyProtection="true">
      <alignment horizontal="general" vertical="bottom" textRotation="0" wrapText="false" indent="0" shrinkToFit="false"/>
      <protection locked="true" hidden="false"/>
    </xf>
    <xf numFmtId="174" fontId="58" fillId="15" borderId="0" xfId="0" applyFont="true" applyBorder="false" applyAlignment="true" applyProtection="true">
      <alignment horizontal="general" vertical="bottom" textRotation="0" wrapText="false" indent="0" shrinkToFit="false"/>
      <protection locked="true" hidden="false"/>
    </xf>
    <xf numFmtId="174" fontId="56" fillId="15" borderId="13" xfId="0" applyFont="true" applyBorder="true" applyAlignment="true" applyProtection="true">
      <alignment horizontal="left" vertical="bottom" textRotation="0" wrapText="false" indent="0" shrinkToFit="false"/>
      <protection locked="true" hidden="false"/>
    </xf>
    <xf numFmtId="174" fontId="59" fillId="15" borderId="22" xfId="0" applyFont="true" applyBorder="true" applyAlignment="true" applyProtection="true">
      <alignment horizontal="general" vertical="bottom" textRotation="0" wrapText="false" indent="0" shrinkToFit="false"/>
      <protection locked="true" hidden="false"/>
    </xf>
    <xf numFmtId="174" fontId="59" fillId="15" borderId="20" xfId="0" applyFont="true" applyBorder="true" applyAlignment="true" applyProtection="true">
      <alignment horizontal="general" vertical="bottom" textRotation="0" wrapText="false" indent="0" shrinkToFit="false"/>
      <protection locked="true" hidden="false"/>
    </xf>
    <xf numFmtId="174" fontId="59" fillId="15" borderId="5" xfId="0" applyFont="true" applyBorder="true" applyAlignment="true" applyProtection="true">
      <alignment horizontal="general" vertical="bottom" textRotation="0" wrapText="false" indent="0" shrinkToFit="false"/>
      <protection locked="true" hidden="false"/>
    </xf>
    <xf numFmtId="174" fontId="59" fillId="15" borderId="23" xfId="0" applyFont="true" applyBorder="true" applyAlignment="true" applyProtection="true">
      <alignment horizontal="general" vertical="bottom" textRotation="0" wrapText="false" indent="0" shrinkToFit="false"/>
      <protection locked="true" hidden="false"/>
    </xf>
    <xf numFmtId="174" fontId="48" fillId="15" borderId="20" xfId="0" applyFont="true" applyBorder="true" applyAlignment="true" applyProtection="true">
      <alignment horizontal="general" vertical="bottom" textRotation="0" wrapText="false" indent="0" shrinkToFit="false"/>
      <protection locked="true" hidden="false"/>
    </xf>
    <xf numFmtId="174" fontId="59" fillId="15" borderId="24" xfId="0" applyFont="true" applyBorder="true" applyAlignment="true" applyProtection="true">
      <alignment horizontal="general" vertical="bottom" textRotation="0" wrapText="false" indent="0" shrinkToFit="false"/>
      <protection locked="true" hidden="false"/>
    </xf>
    <xf numFmtId="174" fontId="59" fillId="15" borderId="25" xfId="0" applyFont="true" applyBorder="true" applyAlignment="true" applyProtection="true">
      <alignment horizontal="general" vertical="bottom" textRotation="0" wrapText="false" indent="0" shrinkToFit="false"/>
      <protection locked="true" hidden="false"/>
    </xf>
    <xf numFmtId="174" fontId="48" fillId="15" borderId="23" xfId="0" applyFont="true" applyBorder="true" applyAlignment="true" applyProtection="true">
      <alignment horizontal="general" vertical="bottom" textRotation="0" wrapText="false" indent="0" shrinkToFit="false"/>
      <protection locked="true" hidden="false"/>
    </xf>
    <xf numFmtId="174" fontId="48" fillId="15" borderId="21" xfId="0" applyFont="true" applyBorder="true" applyAlignment="true" applyProtection="true">
      <alignment horizontal="general" vertical="bottom" textRotation="0" wrapText="false" indent="0" shrinkToFit="false"/>
      <protection locked="true" hidden="false"/>
    </xf>
    <xf numFmtId="174" fontId="48" fillId="15" borderId="25" xfId="0" applyFont="true" applyBorder="true" applyAlignment="true" applyProtection="true">
      <alignment horizontal="general" vertical="bottom" textRotation="0" wrapText="false" indent="0" shrinkToFit="false"/>
      <protection locked="true" hidden="false"/>
    </xf>
    <xf numFmtId="174" fontId="56" fillId="15" borderId="30" xfId="0" applyFont="true" applyBorder="true" applyAlignment="true" applyProtection="true">
      <alignment horizontal="left" vertical="bottom" textRotation="0" wrapText="false" indent="0" shrinkToFit="false"/>
      <protection locked="true" hidden="false"/>
    </xf>
    <xf numFmtId="174" fontId="59" fillId="15" borderId="26" xfId="0" applyFont="true" applyBorder="true" applyAlignment="true" applyProtection="true">
      <alignment horizontal="general" vertical="bottom" textRotation="0" wrapText="false" indent="0" shrinkToFit="false"/>
      <protection locked="true" hidden="false"/>
    </xf>
    <xf numFmtId="174" fontId="59" fillId="15" borderId="28" xfId="0" applyFont="true" applyBorder="true" applyAlignment="true" applyProtection="true">
      <alignment horizontal="general" vertical="bottom" textRotation="0" wrapText="false" indent="0" shrinkToFit="false"/>
      <protection locked="true" hidden="false"/>
    </xf>
    <xf numFmtId="174" fontId="59" fillId="15" borderId="3" xfId="0" applyFont="true" applyBorder="true" applyAlignment="true" applyProtection="true">
      <alignment horizontal="general" vertical="bottom" textRotation="0" wrapText="false" indent="0" shrinkToFit="false"/>
      <protection locked="true" hidden="false"/>
    </xf>
    <xf numFmtId="174" fontId="59" fillId="15" borderId="29" xfId="0" applyFont="true" applyBorder="true" applyAlignment="true" applyProtection="true">
      <alignment horizontal="general" vertical="bottom" textRotation="0" wrapText="false" indent="0" shrinkToFit="false"/>
      <protection locked="true" hidden="false"/>
    </xf>
    <xf numFmtId="174" fontId="48" fillId="15" borderId="28" xfId="0" applyFont="true" applyBorder="true" applyAlignment="true" applyProtection="true">
      <alignment horizontal="general" vertical="bottom" textRotation="0" wrapText="false" indent="0" shrinkToFit="false"/>
      <protection locked="true" hidden="false"/>
    </xf>
    <xf numFmtId="174" fontId="59" fillId="15" borderId="27" xfId="0" applyFont="true" applyBorder="true" applyAlignment="true" applyProtection="true">
      <alignment horizontal="general" vertical="bottom" textRotation="0" wrapText="false" indent="0" shrinkToFit="false"/>
      <protection locked="true" hidden="false"/>
    </xf>
    <xf numFmtId="174" fontId="48" fillId="15" borderId="29" xfId="0" applyFont="true" applyBorder="true" applyAlignment="true" applyProtection="true">
      <alignment horizontal="general" vertical="bottom" textRotation="0" wrapText="false" indent="0" shrinkToFit="false"/>
      <protection locked="true" hidden="false"/>
    </xf>
    <xf numFmtId="174" fontId="48" fillId="15" borderId="26" xfId="0" applyFont="true" applyBorder="true" applyAlignment="true" applyProtection="true">
      <alignment horizontal="general" vertical="bottom" textRotation="0" wrapText="false" indent="0" shrinkToFit="false"/>
      <protection locked="true" hidden="false"/>
    </xf>
    <xf numFmtId="174" fontId="48" fillId="15" borderId="3" xfId="0" applyFont="true" applyBorder="true" applyAlignment="true" applyProtection="true">
      <alignment horizontal="general" vertical="bottom" textRotation="0" wrapText="false" indent="0" shrinkToFit="false"/>
      <protection locked="true" hidden="false"/>
    </xf>
    <xf numFmtId="174" fontId="59" fillId="15" borderId="16" xfId="0" applyFont="true" applyBorder="true" applyAlignment="true" applyProtection="true">
      <alignment horizontal="general" vertical="bottom" textRotation="0" wrapText="false" indent="0" shrinkToFit="false"/>
      <protection locked="true" hidden="false"/>
    </xf>
    <xf numFmtId="174" fontId="48" fillId="15" borderId="22" xfId="0" applyFont="true" applyBorder="true" applyAlignment="true" applyProtection="true">
      <alignment horizontal="general" vertical="bottom" textRotation="0" wrapText="false" indent="0" shrinkToFit="false"/>
      <protection locked="true" hidden="false"/>
    </xf>
    <xf numFmtId="174" fontId="48" fillId="15" borderId="5" xfId="0" applyFont="true" applyBorder="true" applyAlignment="true" applyProtection="true">
      <alignment horizontal="general" vertical="bottom" textRotation="0" wrapText="false" indent="0" shrinkToFit="false"/>
      <protection locked="true" hidden="false"/>
    </xf>
    <xf numFmtId="174" fontId="56" fillId="15" borderId="33" xfId="0" applyFont="true" applyBorder="true" applyAlignment="true" applyProtection="true">
      <alignment horizontal="left" vertical="bottom" textRotation="0" wrapText="false" indent="0" shrinkToFit="false"/>
      <protection locked="true" hidden="false"/>
    </xf>
    <xf numFmtId="174" fontId="59" fillId="15" borderId="34" xfId="0" applyFont="true" applyBorder="true" applyAlignment="true" applyProtection="true">
      <alignment horizontal="general" vertical="bottom" textRotation="0" wrapText="false" indent="0" shrinkToFit="false"/>
      <protection locked="true" hidden="false"/>
    </xf>
    <xf numFmtId="174" fontId="59" fillId="15" borderId="35" xfId="0" applyFont="true" applyBorder="true" applyAlignment="true" applyProtection="true">
      <alignment horizontal="general" vertical="bottom" textRotation="0" wrapText="false" indent="0" shrinkToFit="false"/>
      <protection locked="true" hidden="false"/>
    </xf>
    <xf numFmtId="174" fontId="59" fillId="15" borderId="4" xfId="0" applyFont="true" applyBorder="true" applyAlignment="true" applyProtection="true">
      <alignment horizontal="general" vertical="bottom" textRotation="0" wrapText="false" indent="0" shrinkToFit="false"/>
      <protection locked="true" hidden="false"/>
    </xf>
    <xf numFmtId="174" fontId="59" fillId="15" borderId="36" xfId="0" applyFont="true" applyBorder="true" applyAlignment="true" applyProtection="true">
      <alignment horizontal="general" vertical="bottom" textRotation="0" wrapText="false" indent="0" shrinkToFit="false"/>
      <protection locked="true" hidden="false"/>
    </xf>
    <xf numFmtId="174" fontId="48" fillId="15" borderId="35" xfId="0" applyFont="true" applyBorder="true" applyAlignment="true" applyProtection="true">
      <alignment horizontal="general" vertical="bottom" textRotation="0" wrapText="false" indent="0" shrinkToFit="false"/>
      <protection locked="true" hidden="false"/>
    </xf>
    <xf numFmtId="174" fontId="59" fillId="15" borderId="37" xfId="0" applyFont="true" applyBorder="true" applyAlignment="true" applyProtection="true">
      <alignment horizontal="general" vertical="bottom" textRotation="0" wrapText="false" indent="0" shrinkToFit="false"/>
      <protection locked="true" hidden="false"/>
    </xf>
    <xf numFmtId="174" fontId="48" fillId="15" borderId="38" xfId="0" applyFont="true" applyBorder="true" applyAlignment="true" applyProtection="true">
      <alignment horizontal="general" vertical="bottom" textRotation="0" wrapText="false" indent="0" shrinkToFit="false"/>
      <protection locked="true" hidden="false"/>
    </xf>
    <xf numFmtId="174" fontId="48" fillId="15" borderId="37" xfId="0" applyFont="true" applyBorder="true" applyAlignment="true" applyProtection="true">
      <alignment horizontal="general" vertical="bottom" textRotation="0" wrapText="false" indent="0" shrinkToFit="false"/>
      <protection locked="true" hidden="false"/>
    </xf>
    <xf numFmtId="174" fontId="56" fillId="16" borderId="7" xfId="0" applyFont="true" applyBorder="true" applyAlignment="true" applyProtection="true">
      <alignment horizontal="center" vertical="center" textRotation="0" wrapText="false" indent="0" shrinkToFit="false"/>
      <protection locked="true" hidden="false"/>
    </xf>
    <xf numFmtId="174" fontId="57" fillId="16" borderId="11" xfId="0" applyFont="true" applyBorder="true" applyAlignment="true" applyProtection="true">
      <alignment horizontal="general" vertical="bottom" textRotation="0" wrapText="false" indent="0" shrinkToFit="false"/>
      <protection locked="true" hidden="false"/>
    </xf>
    <xf numFmtId="174" fontId="57" fillId="16" borderId="9" xfId="0" applyFont="true" applyBorder="true" applyAlignment="true" applyProtection="true">
      <alignment horizontal="general" vertical="bottom" textRotation="0" wrapText="false" indent="0" shrinkToFit="false"/>
      <protection locked="true" hidden="false"/>
    </xf>
    <xf numFmtId="174" fontId="57" fillId="16" borderId="10" xfId="0" applyFont="true" applyBorder="true" applyAlignment="true" applyProtection="true">
      <alignment horizontal="general" vertical="bottom" textRotation="0" wrapText="false" indent="0" shrinkToFit="false"/>
      <protection locked="true" hidden="false"/>
    </xf>
    <xf numFmtId="174" fontId="57" fillId="16" borderId="39" xfId="0" applyFont="true" applyBorder="true" applyAlignment="true" applyProtection="true">
      <alignment horizontal="general" vertical="bottom" textRotation="0" wrapText="false" indent="0" shrinkToFit="false"/>
      <protection locked="true" hidden="false"/>
    </xf>
    <xf numFmtId="174" fontId="57" fillId="16" borderId="8" xfId="0" applyFont="true" applyBorder="true" applyAlignment="true" applyProtection="true">
      <alignment horizontal="general" vertical="bottom" textRotation="0" wrapText="false" indent="0" shrinkToFit="false"/>
      <protection locked="true" hidden="false"/>
    </xf>
    <xf numFmtId="174" fontId="56" fillId="12" borderId="40" xfId="0" applyFont="true" applyBorder="true" applyAlignment="true" applyProtection="true">
      <alignment horizontal="left" vertical="bottom" textRotation="0" wrapText="false" indent="0" shrinkToFit="false"/>
      <protection locked="true" hidden="false"/>
    </xf>
    <xf numFmtId="174" fontId="59" fillId="0" borderId="22" xfId="0" applyFont="true" applyBorder="true" applyAlignment="true" applyProtection="true">
      <alignment horizontal="general" vertical="bottom" textRotation="0" wrapText="false" indent="0" shrinkToFit="false"/>
      <protection locked="true" hidden="false"/>
    </xf>
    <xf numFmtId="174" fontId="59" fillId="0" borderId="20" xfId="0" applyFont="true" applyBorder="true" applyAlignment="true" applyProtection="true">
      <alignment horizontal="general" vertical="bottom" textRotation="0" wrapText="false" indent="0" shrinkToFit="false"/>
      <protection locked="true" hidden="false"/>
    </xf>
    <xf numFmtId="174" fontId="59" fillId="0" borderId="19" xfId="0" applyFont="true" applyBorder="true" applyAlignment="true" applyProtection="true">
      <alignment horizontal="general" vertical="bottom" textRotation="0" wrapText="false" indent="0" shrinkToFit="false"/>
      <protection locked="true" hidden="false"/>
    </xf>
    <xf numFmtId="174" fontId="57" fillId="0" borderId="20" xfId="0" applyFont="true" applyBorder="true" applyAlignment="true" applyProtection="true">
      <alignment horizontal="general" vertical="bottom" textRotation="0" wrapText="false" indent="0" shrinkToFit="false"/>
      <protection locked="true" hidden="false"/>
    </xf>
    <xf numFmtId="174" fontId="59" fillId="0" borderId="24" xfId="0" applyFont="true" applyBorder="true" applyAlignment="true" applyProtection="true">
      <alignment horizontal="general" vertical="bottom" textRotation="0" wrapText="false" indent="0" shrinkToFit="false"/>
      <protection locked="true" hidden="false"/>
    </xf>
    <xf numFmtId="174" fontId="59" fillId="0" borderId="25" xfId="0" applyFont="true" applyBorder="true" applyAlignment="true" applyProtection="true">
      <alignment horizontal="general" vertical="bottom" textRotation="0" wrapText="false" indent="0" shrinkToFit="false"/>
      <protection locked="true" hidden="false"/>
    </xf>
    <xf numFmtId="174" fontId="57" fillId="0" borderId="17" xfId="0" applyFont="true" applyBorder="true" applyAlignment="true" applyProtection="true">
      <alignment horizontal="general" vertical="bottom" textRotation="0" wrapText="false" indent="0" shrinkToFit="false"/>
      <protection locked="true" hidden="false"/>
    </xf>
    <xf numFmtId="174" fontId="48" fillId="13" borderId="34" xfId="0" applyFont="true" applyBorder="true" applyAlignment="true" applyProtection="true">
      <alignment horizontal="general" vertical="bottom" textRotation="0" wrapText="false" indent="0" shrinkToFit="false"/>
      <protection locked="true" hidden="false"/>
    </xf>
    <xf numFmtId="174" fontId="59" fillId="14" borderId="22" xfId="0" applyFont="true" applyBorder="true" applyAlignment="true" applyProtection="true">
      <alignment horizontal="general" vertical="bottom" textRotation="0" wrapText="false" indent="0" shrinkToFit="false"/>
      <protection locked="true" hidden="false"/>
    </xf>
    <xf numFmtId="174" fontId="59" fillId="14" borderId="20" xfId="0" applyFont="true" applyBorder="true" applyAlignment="true" applyProtection="true">
      <alignment horizontal="general" vertical="bottom" textRotation="0" wrapText="false" indent="0" shrinkToFit="false"/>
      <protection locked="true" hidden="false"/>
    </xf>
    <xf numFmtId="174" fontId="59" fillId="14" borderId="24" xfId="0" applyFont="true" applyBorder="true" applyAlignment="true" applyProtection="true">
      <alignment horizontal="general" vertical="bottom" textRotation="0" wrapText="false" indent="0" shrinkToFit="false"/>
      <protection locked="true" hidden="false"/>
    </xf>
    <xf numFmtId="174" fontId="56" fillId="12" borderId="41" xfId="0" applyFont="true" applyBorder="true" applyAlignment="true" applyProtection="true">
      <alignment horizontal="left" vertical="bottom" textRotation="0" wrapText="false" indent="0" shrinkToFit="false"/>
      <protection locked="true" hidden="false"/>
    </xf>
    <xf numFmtId="174" fontId="48" fillId="14" borderId="24" xfId="0" applyFont="true" applyBorder="true" applyAlignment="true" applyProtection="true">
      <alignment horizontal="general" vertical="bottom" textRotation="0" wrapText="false" indent="0" shrinkToFit="false"/>
      <protection locked="true" hidden="false"/>
    </xf>
    <xf numFmtId="174" fontId="59" fillId="14" borderId="29" xfId="0" applyFont="true" applyBorder="true" applyAlignment="true" applyProtection="true">
      <alignment horizontal="general" vertical="bottom" textRotation="0" wrapText="false" indent="0" shrinkToFit="false"/>
      <protection locked="true" hidden="false"/>
    </xf>
    <xf numFmtId="174" fontId="56" fillId="17" borderId="30" xfId="0" applyFont="true" applyBorder="true" applyAlignment="true" applyProtection="true">
      <alignment horizontal="left" vertical="bottom" textRotation="0" wrapText="false" indent="0" shrinkToFit="false"/>
      <protection locked="true" hidden="false"/>
    </xf>
    <xf numFmtId="174" fontId="59" fillId="14" borderId="23" xfId="0" applyFont="true" applyBorder="true" applyAlignment="true" applyProtection="true">
      <alignment horizontal="general" vertical="bottom" textRotation="0" wrapText="false" indent="0" shrinkToFit="false"/>
      <protection locked="true" hidden="false"/>
    </xf>
    <xf numFmtId="177" fontId="56" fillId="12" borderId="13" xfId="0" applyFont="true" applyBorder="true" applyAlignment="true" applyProtection="true">
      <alignment horizontal="left" vertical="bottom" textRotation="0" wrapText="false" indent="0" shrinkToFit="true"/>
      <protection locked="true" hidden="false"/>
    </xf>
    <xf numFmtId="174" fontId="48" fillId="14" borderId="25" xfId="0" applyFont="true" applyBorder="true" applyAlignment="true" applyProtection="true">
      <alignment horizontal="general" vertical="bottom" textRotation="0" wrapText="false" indent="0" shrinkToFit="false"/>
      <protection locked="true" hidden="false"/>
    </xf>
    <xf numFmtId="174" fontId="57" fillId="14" borderId="23" xfId="0" applyFont="true" applyBorder="true" applyAlignment="true" applyProtection="true">
      <alignment horizontal="general" vertical="bottom" textRotation="0" wrapText="false" indent="0" shrinkToFit="false"/>
      <protection locked="true" hidden="false"/>
    </xf>
    <xf numFmtId="174" fontId="56" fillId="17" borderId="13" xfId="0" applyFont="true" applyBorder="true" applyAlignment="true" applyProtection="true">
      <alignment horizontal="left" vertical="bottom" textRotation="0" wrapText="false" indent="0" shrinkToFit="false"/>
      <protection locked="true" hidden="false"/>
    </xf>
    <xf numFmtId="174" fontId="48" fillId="13" borderId="42" xfId="0" applyFont="true" applyBorder="true" applyAlignment="true" applyProtection="true">
      <alignment horizontal="general" vertical="bottom" textRotation="0" wrapText="false" indent="0" shrinkToFit="false"/>
      <protection locked="true" hidden="false"/>
    </xf>
    <xf numFmtId="174" fontId="48" fillId="13" borderId="36" xfId="0" applyFont="true" applyBorder="true" applyAlignment="true" applyProtection="true">
      <alignment horizontal="general" vertical="bottom" textRotation="0" wrapText="false" indent="0" shrinkToFit="false"/>
      <protection locked="true" hidden="false"/>
    </xf>
    <xf numFmtId="174" fontId="48" fillId="13" borderId="43" xfId="0" applyFont="true" applyBorder="true" applyAlignment="true" applyProtection="true">
      <alignment horizontal="general" vertical="bottom" textRotation="0" wrapText="false" indent="0" shrinkToFit="false"/>
      <protection locked="true" hidden="false"/>
    </xf>
    <xf numFmtId="174" fontId="59" fillId="14" borderId="26" xfId="0" applyFont="true" applyBorder="true" applyAlignment="true" applyProtection="true">
      <alignment horizontal="general" vertical="bottom" textRotation="0" wrapText="false" indent="0" shrinkToFit="false"/>
      <protection locked="true" hidden="false"/>
    </xf>
    <xf numFmtId="174" fontId="59" fillId="14" borderId="31" xfId="0" applyFont="true" applyBorder="true" applyAlignment="true" applyProtection="true">
      <alignment horizontal="general" vertical="bottom" textRotation="0" wrapText="false" indent="0" shrinkToFit="false"/>
      <protection locked="true" hidden="false"/>
    </xf>
    <xf numFmtId="174" fontId="56" fillId="12" borderId="30" xfId="0" applyFont="true" applyBorder="true" applyAlignment="true" applyProtection="true">
      <alignment horizontal="left" vertical="bottom" textRotation="0" wrapText="false" indent="0" shrinkToFit="true"/>
      <protection locked="true" hidden="false"/>
    </xf>
    <xf numFmtId="174" fontId="56" fillId="17" borderId="30" xfId="0" applyFont="true" applyBorder="true" applyAlignment="true" applyProtection="true">
      <alignment horizontal="left" vertical="bottom" textRotation="0" wrapText="false" indent="0" shrinkToFit="true"/>
      <protection locked="true" hidden="false"/>
    </xf>
    <xf numFmtId="174" fontId="48" fillId="13" borderId="3" xfId="0" applyFont="true" applyBorder="true" applyAlignment="true" applyProtection="true">
      <alignment horizontal="general" vertical="bottom" textRotation="0" wrapText="false" indent="0" shrinkToFit="false"/>
      <protection locked="true" hidden="false"/>
    </xf>
    <xf numFmtId="164" fontId="55" fillId="18" borderId="3" xfId="0" applyFont="true" applyBorder="true" applyAlignment="true" applyProtection="true">
      <alignment horizontal="general" vertical="center" textRotation="0" wrapText="true" indent="0" shrinkToFit="true"/>
      <protection locked="true" hidden="false"/>
    </xf>
    <xf numFmtId="174" fontId="56" fillId="17" borderId="33" xfId="0" applyFont="true" applyBorder="true" applyAlignment="true" applyProtection="true">
      <alignment horizontal="general" vertical="bottom" textRotation="0" wrapText="false" indent="0" shrinkToFit="false"/>
      <protection locked="true" hidden="false"/>
    </xf>
    <xf numFmtId="174" fontId="56" fillId="17" borderId="41" xfId="0" applyFont="true" applyBorder="true" applyAlignment="true" applyProtection="true">
      <alignment horizontal="left" vertical="bottom" textRotation="0" wrapText="false" indent="0" shrinkToFit="false"/>
      <protection locked="true" hidden="false"/>
    </xf>
    <xf numFmtId="174" fontId="48" fillId="14" borderId="31" xfId="0" applyFont="true" applyBorder="true" applyAlignment="true" applyProtection="true">
      <alignment horizontal="general" vertical="bottom" textRotation="0" wrapText="false" indent="0" shrinkToFit="false"/>
      <protection locked="true" hidden="false"/>
    </xf>
    <xf numFmtId="174" fontId="57" fillId="14" borderId="20" xfId="0" applyFont="true" applyBorder="true" applyAlignment="true" applyProtection="true">
      <alignment horizontal="general" vertical="bottom" textRotation="0" wrapText="false" indent="0" shrinkToFit="false"/>
      <protection locked="true" hidden="false"/>
    </xf>
    <xf numFmtId="174" fontId="56" fillId="12" borderId="41" xfId="0" applyFont="true" applyBorder="true" applyAlignment="true" applyProtection="true">
      <alignment horizontal="left" vertical="bottom" textRotation="0" wrapText="true" indent="0" shrinkToFit="true"/>
      <protection locked="true" hidden="false"/>
    </xf>
    <xf numFmtId="174" fontId="59" fillId="0" borderId="23" xfId="0" applyFont="true" applyBorder="true" applyAlignment="true" applyProtection="true">
      <alignment horizontal="general" vertical="bottom" textRotation="0" wrapText="false" indent="0" shrinkToFit="false"/>
      <protection locked="true" hidden="false"/>
    </xf>
    <xf numFmtId="174" fontId="59" fillId="0" borderId="27" xfId="0" applyFont="true" applyBorder="true" applyAlignment="true" applyProtection="true">
      <alignment horizontal="general" vertical="bottom" textRotation="0" wrapText="false" indent="0" shrinkToFit="false"/>
      <protection locked="true" hidden="false"/>
    </xf>
    <xf numFmtId="174" fontId="59" fillId="0" borderId="3" xfId="0" applyFont="true" applyBorder="true" applyAlignment="true" applyProtection="true">
      <alignment horizontal="general" vertical="bottom" textRotation="0" wrapText="false" indent="0" shrinkToFit="false"/>
      <protection locked="true" hidden="false"/>
    </xf>
    <xf numFmtId="174" fontId="59" fillId="0" borderId="26" xfId="0" applyFont="true" applyBorder="true" applyAlignment="true" applyProtection="true">
      <alignment horizontal="general" vertical="bottom" textRotation="0" wrapText="false" indent="0" shrinkToFit="false"/>
      <protection locked="true" hidden="false"/>
    </xf>
    <xf numFmtId="164" fontId="58" fillId="18" borderId="3" xfId="0" applyFont="true" applyBorder="true" applyAlignment="true" applyProtection="true">
      <alignment horizontal="general" vertical="center" textRotation="0" wrapText="true" indent="0" shrinkToFit="true"/>
      <protection locked="true" hidden="false"/>
    </xf>
    <xf numFmtId="174" fontId="48" fillId="0" borderId="22" xfId="0" applyFont="true" applyBorder="true" applyAlignment="true" applyProtection="true">
      <alignment horizontal="general" vertical="bottom" textRotation="0" wrapText="false" indent="0" shrinkToFit="false"/>
      <protection locked="true" hidden="false"/>
    </xf>
    <xf numFmtId="174" fontId="48" fillId="0" borderId="29" xfId="0" applyFont="true" applyBorder="true" applyAlignment="true" applyProtection="true">
      <alignment horizontal="general" vertical="bottom" textRotation="0" wrapText="false" indent="0" shrinkToFit="false"/>
      <protection locked="true" hidden="false"/>
    </xf>
    <xf numFmtId="174" fontId="48" fillId="0" borderId="32" xfId="0" applyFont="true" applyBorder="true" applyAlignment="true" applyProtection="true">
      <alignment horizontal="general" vertical="bottom" textRotation="0" wrapText="false" indent="0" shrinkToFit="false"/>
      <protection locked="true" hidden="false"/>
    </xf>
    <xf numFmtId="174" fontId="48" fillId="15" borderId="27" xfId="0" applyFont="true" applyBorder="true" applyAlignment="true" applyProtection="true">
      <alignment horizontal="general" vertical="bottom" textRotation="0" wrapText="false" indent="0" shrinkToFit="false"/>
      <protection locked="true" hidden="false"/>
    </xf>
    <xf numFmtId="174" fontId="57" fillId="15" borderId="28" xfId="0" applyFont="true" applyBorder="true" applyAlignment="true" applyProtection="true">
      <alignment horizontal="general" vertical="bottom" textRotation="0" wrapText="false" indent="0" shrinkToFit="false"/>
      <protection locked="true" hidden="false"/>
    </xf>
    <xf numFmtId="174" fontId="48" fillId="15" borderId="16" xfId="0" applyFont="true" applyBorder="true" applyAlignment="true" applyProtection="true">
      <alignment horizontal="general" vertical="bottom" textRotation="0" wrapText="false" indent="0" shrinkToFit="false"/>
      <protection locked="true" hidden="false"/>
    </xf>
    <xf numFmtId="174" fontId="57" fillId="15" borderId="23" xfId="0" applyFont="true" applyBorder="true" applyAlignment="true" applyProtection="true">
      <alignment horizontal="general" vertical="bottom" textRotation="0" wrapText="false" indent="0" shrinkToFit="false"/>
      <protection locked="true" hidden="false"/>
    </xf>
    <xf numFmtId="174" fontId="59" fillId="15" borderId="44" xfId="0" applyFont="true" applyBorder="true" applyAlignment="true" applyProtection="true">
      <alignment horizontal="general" vertical="bottom" textRotation="0" wrapText="false" indent="0" shrinkToFit="false"/>
      <protection locked="true" hidden="false"/>
    </xf>
    <xf numFmtId="174" fontId="59" fillId="15" borderId="45" xfId="0" applyFont="true" applyBorder="true" applyAlignment="true" applyProtection="true">
      <alignment horizontal="general" vertical="bottom" textRotation="0" wrapText="false" indent="0" shrinkToFit="false"/>
      <protection locked="true" hidden="false"/>
    </xf>
    <xf numFmtId="174" fontId="59" fillId="15" borderId="46" xfId="0" applyFont="true" applyBorder="true" applyAlignment="true" applyProtection="true">
      <alignment horizontal="general" vertical="bottom" textRotation="0" wrapText="false" indent="0" shrinkToFit="false"/>
      <protection locked="true" hidden="false"/>
    </xf>
    <xf numFmtId="174" fontId="59" fillId="15" borderId="47" xfId="0" applyFont="true" applyBorder="true" applyAlignment="true" applyProtection="true">
      <alignment horizontal="general" vertical="bottom" textRotation="0" wrapText="false" indent="0" shrinkToFit="false"/>
      <protection locked="true" hidden="false"/>
    </xf>
    <xf numFmtId="174" fontId="57" fillId="15" borderId="48" xfId="0" applyFont="true" applyBorder="true" applyAlignment="true" applyProtection="true">
      <alignment horizontal="general" vertical="bottom" textRotation="0" wrapText="false" indent="0" shrinkToFit="false"/>
      <protection locked="true" hidden="false"/>
    </xf>
    <xf numFmtId="174" fontId="48" fillId="15" borderId="46" xfId="0" applyFont="true" applyBorder="true" applyAlignment="true" applyProtection="true">
      <alignment horizontal="general" vertical="bottom" textRotation="0" wrapText="false" indent="0" shrinkToFit="false"/>
      <protection locked="true" hidden="false"/>
    </xf>
    <xf numFmtId="174" fontId="57" fillId="15" borderId="45" xfId="0" applyFont="true" applyBorder="true" applyAlignment="true" applyProtection="true">
      <alignment horizontal="general" vertical="bottom" textRotation="0" wrapText="false" indent="0" shrinkToFit="false"/>
      <protection locked="true" hidden="false"/>
    </xf>
    <xf numFmtId="174" fontId="48" fillId="15" borderId="44" xfId="0" applyFont="true" applyBorder="true" applyAlignment="true" applyProtection="true">
      <alignment horizontal="general" vertical="bottom" textRotation="0" wrapText="false" indent="0" shrinkToFit="false"/>
      <protection locked="true" hidden="false"/>
    </xf>
    <xf numFmtId="174" fontId="48" fillId="15" borderId="45" xfId="0" applyFont="true" applyBorder="true" applyAlignment="true" applyProtection="true">
      <alignment horizontal="general" vertical="bottom" textRotation="0" wrapText="false" indent="0" shrinkToFit="false"/>
      <protection locked="true" hidden="false"/>
    </xf>
    <xf numFmtId="174" fontId="48" fillId="15" borderId="47" xfId="0" applyFont="true" applyBorder="true" applyAlignment="true" applyProtection="true">
      <alignment horizontal="general" vertical="bottom" textRotation="0" wrapText="false" indent="0" shrinkToFit="false"/>
      <protection locked="true" hidden="false"/>
    </xf>
    <xf numFmtId="174" fontId="48" fillId="15" borderId="17" xfId="0" applyFont="true" applyBorder="true" applyAlignment="true" applyProtection="true">
      <alignment horizontal="general" vertical="bottom" textRotation="0" wrapText="false" indent="0" shrinkToFit="false"/>
      <protection locked="true" hidden="false"/>
    </xf>
    <xf numFmtId="174" fontId="57" fillId="15" borderId="15" xfId="0" applyFont="true" applyBorder="true" applyAlignment="true" applyProtection="true">
      <alignment horizontal="general" vertical="bottom" textRotation="0" wrapText="false" indent="0" shrinkToFit="false"/>
      <protection locked="true" hidden="false"/>
    </xf>
    <xf numFmtId="174" fontId="48" fillId="15" borderId="49" xfId="0" applyFont="true" applyBorder="true" applyAlignment="true" applyProtection="true">
      <alignment horizontal="general" vertical="bottom" textRotation="0" wrapText="false" indent="0" shrinkToFit="false"/>
      <protection locked="true" hidden="false"/>
    </xf>
    <xf numFmtId="174" fontId="48" fillId="15" borderId="50" xfId="0" applyFont="true" applyBorder="true" applyAlignment="true" applyProtection="true">
      <alignment horizontal="general" vertical="bottom" textRotation="0" wrapText="false" indent="0" shrinkToFit="false"/>
      <protection locked="true" hidden="false"/>
    </xf>
    <xf numFmtId="174" fontId="48" fillId="15" borderId="51" xfId="0" applyFont="true" applyBorder="true" applyAlignment="true" applyProtection="true">
      <alignment horizontal="general" vertical="center" textRotation="0" wrapText="false" indent="0" shrinkToFit="false"/>
      <protection locked="true" hidden="false"/>
    </xf>
    <xf numFmtId="174" fontId="48" fillId="15" borderId="52" xfId="0" applyFont="true" applyBorder="true" applyAlignment="true" applyProtection="true">
      <alignment horizontal="general" vertical="center" textRotation="0" wrapText="false" indent="0" shrinkToFit="false"/>
      <protection locked="true" hidden="false"/>
    </xf>
    <xf numFmtId="174" fontId="48" fillId="15" borderId="53" xfId="0" applyFont="true" applyBorder="true" applyAlignment="true" applyProtection="true">
      <alignment horizontal="general" vertical="center" textRotation="0" wrapText="false" indent="0" shrinkToFit="false"/>
      <protection locked="true" hidden="false"/>
    </xf>
    <xf numFmtId="174" fontId="56" fillId="15" borderId="41" xfId="0" applyFont="true" applyBorder="true" applyAlignment="true" applyProtection="true">
      <alignment horizontal="left" vertical="bottom" textRotation="0" wrapText="false" indent="0" shrinkToFit="false"/>
      <protection locked="true" hidden="false"/>
    </xf>
    <xf numFmtId="174" fontId="48" fillId="15" borderId="34" xfId="0" applyFont="true" applyBorder="true" applyAlignment="true" applyProtection="true">
      <alignment horizontal="general" vertical="bottom" textRotation="0" wrapText="false" indent="0" shrinkToFit="false"/>
      <protection locked="true" hidden="false"/>
    </xf>
    <xf numFmtId="174" fontId="48" fillId="15" borderId="36" xfId="0" applyFont="true" applyBorder="true" applyAlignment="true" applyProtection="true">
      <alignment horizontal="general" vertical="bottom" textRotation="0" wrapText="false" indent="0" shrinkToFit="false"/>
      <protection locked="true" hidden="false"/>
    </xf>
    <xf numFmtId="174" fontId="48" fillId="15" borderId="54" xfId="0" applyFont="true" applyBorder="true" applyAlignment="true" applyProtection="true">
      <alignment horizontal="general" vertical="bottom" textRotation="0" wrapText="false" indent="0" shrinkToFit="false"/>
      <protection locked="true" hidden="false"/>
    </xf>
    <xf numFmtId="174" fontId="48" fillId="15" borderId="55" xfId="0" applyFont="true" applyBorder="true" applyAlignment="true" applyProtection="true">
      <alignment horizontal="general" vertical="bottom" textRotation="0" wrapText="false" indent="0" shrinkToFit="false"/>
      <protection locked="true" hidden="false"/>
    </xf>
    <xf numFmtId="174" fontId="48" fillId="15" borderId="56" xfId="0" applyFont="true" applyBorder="true" applyAlignment="true" applyProtection="true">
      <alignment horizontal="general" vertical="center" textRotation="0" wrapText="false" indent="0" shrinkToFit="false"/>
      <protection locked="true" hidden="false"/>
    </xf>
    <xf numFmtId="174" fontId="48" fillId="15" borderId="57" xfId="0" applyFont="true" applyBorder="true" applyAlignment="true" applyProtection="true">
      <alignment horizontal="general" vertical="center" textRotation="0" wrapText="false" indent="0" shrinkToFit="false"/>
      <protection locked="true" hidden="false"/>
    </xf>
    <xf numFmtId="174" fontId="48" fillId="15" borderId="58" xfId="0" applyFont="true" applyBorder="true" applyAlignment="true" applyProtection="true">
      <alignment horizontal="general" vertical="center" textRotation="0" wrapText="false" indent="0" shrinkToFit="false"/>
      <protection locked="true" hidden="false"/>
    </xf>
    <xf numFmtId="174" fontId="48" fillId="13" borderId="46" xfId="0" applyFont="true" applyBorder="true" applyAlignment="true" applyProtection="true">
      <alignment horizontal="general" vertical="bottom" textRotation="0" wrapText="false" indent="0" shrinkToFit="false"/>
      <protection locked="true" hidden="false"/>
    </xf>
    <xf numFmtId="174" fontId="48" fillId="13" borderId="47" xfId="0" applyFont="true" applyBorder="true" applyAlignment="true" applyProtection="true">
      <alignment horizontal="general" vertical="bottom" textRotation="0" wrapText="false" indent="0" shrinkToFit="false"/>
      <protection locked="true" hidden="false"/>
    </xf>
    <xf numFmtId="174" fontId="48" fillId="13" borderId="45" xfId="0" applyFont="true" applyBorder="true" applyAlignment="true" applyProtection="true">
      <alignment horizontal="general" vertical="bottom" textRotation="0" wrapText="false" indent="0" shrinkToFit="false"/>
      <protection locked="true" hidden="false"/>
    </xf>
    <xf numFmtId="174" fontId="48" fillId="14" borderId="4" xfId="0" applyFont="true" applyBorder="true" applyAlignment="true" applyProtection="true">
      <alignment horizontal="general" vertical="bottom" textRotation="0" wrapText="false" indent="0" shrinkToFit="false"/>
      <protection locked="true" hidden="false"/>
    </xf>
    <xf numFmtId="174" fontId="57" fillId="14" borderId="45" xfId="0" applyFont="true" applyBorder="true" applyAlignment="true" applyProtection="true">
      <alignment horizontal="general" vertical="bottom" textRotation="0" wrapText="false" indent="0" shrinkToFit="false"/>
      <protection locked="true" hidden="false"/>
    </xf>
    <xf numFmtId="174" fontId="57" fillId="16" borderId="59" xfId="0" applyFont="true" applyBorder="true" applyAlignment="true" applyProtection="true">
      <alignment horizontal="general" vertical="bottom" textRotation="0" wrapText="false" indent="0" shrinkToFit="false"/>
      <protection locked="true" hidden="false"/>
    </xf>
    <xf numFmtId="174" fontId="57" fillId="16" borderId="60" xfId="0" applyFont="true" applyBorder="true" applyAlignment="true" applyProtection="true">
      <alignment horizontal="general" vertical="bottom" textRotation="0" wrapText="false" indent="0" shrinkToFit="false"/>
      <protection locked="true" hidden="false"/>
    </xf>
    <xf numFmtId="174" fontId="57" fillId="14" borderId="11" xfId="0" applyFont="true" applyBorder="true" applyAlignment="true" applyProtection="true">
      <alignment horizontal="general" vertical="bottom" textRotation="0" wrapText="false" indent="0" shrinkToFit="false"/>
      <protection locked="true" hidden="false"/>
    </xf>
    <xf numFmtId="174" fontId="57" fillId="14" borderId="10" xfId="0" applyFont="true" applyBorder="true" applyAlignment="true" applyProtection="true">
      <alignment horizontal="general" vertical="bottom" textRotation="0" wrapText="false" indent="0" shrinkToFit="false"/>
      <protection locked="true" hidden="false"/>
    </xf>
    <xf numFmtId="174" fontId="57" fillId="14" borderId="39" xfId="0" applyFont="true" applyBorder="true" applyAlignment="true" applyProtection="true">
      <alignment horizontal="general" vertical="bottom" textRotation="0" wrapText="false" indent="0" shrinkToFit="false"/>
      <protection locked="true" hidden="false"/>
    </xf>
    <xf numFmtId="174" fontId="48" fillId="13" borderId="5" xfId="0" applyFont="true" applyBorder="true" applyAlignment="true" applyProtection="true">
      <alignment horizontal="general" vertical="bottom" textRotation="0" wrapText="false" indent="0" shrinkToFit="false"/>
      <protection locked="true" hidden="false"/>
    </xf>
    <xf numFmtId="174" fontId="59" fillId="14" borderId="5" xfId="0" applyFont="true" applyBorder="true" applyAlignment="true" applyProtection="true">
      <alignment horizontal="general" vertical="bottom" textRotation="0" wrapText="false" indent="0" shrinkToFit="false"/>
      <protection locked="true" hidden="false"/>
    </xf>
    <xf numFmtId="174" fontId="59" fillId="14" borderId="25" xfId="0" applyFont="true" applyBorder="true" applyAlignment="true" applyProtection="true">
      <alignment horizontal="general" vertical="bottom" textRotation="0" wrapText="false" indent="0" shrinkToFit="false"/>
      <protection locked="true" hidden="false"/>
    </xf>
    <xf numFmtId="174" fontId="59" fillId="0" borderId="21" xfId="0" applyFont="true" applyBorder="true" applyAlignment="true" applyProtection="true">
      <alignment horizontal="general" vertical="bottom" textRotation="0" wrapText="false" indent="0" shrinkToFit="false"/>
      <protection locked="true" hidden="false"/>
    </xf>
    <xf numFmtId="174" fontId="59" fillId="14" borderId="21" xfId="0" applyFont="true" applyBorder="true" applyAlignment="true" applyProtection="true">
      <alignment horizontal="general" vertical="bottom" textRotation="0" wrapText="false" indent="0" shrinkToFit="false"/>
      <protection locked="true" hidden="false"/>
    </xf>
    <xf numFmtId="174" fontId="59" fillId="14" borderId="59" xfId="0" applyFont="true" applyBorder="true" applyAlignment="true" applyProtection="true">
      <alignment horizontal="general" vertical="bottom" textRotation="0" wrapText="false" indent="0" shrinkToFit="false"/>
      <protection locked="true" hidden="false"/>
    </xf>
    <xf numFmtId="174" fontId="59" fillId="14" borderId="12" xfId="0" applyFont="true" applyBorder="true" applyAlignment="true" applyProtection="true">
      <alignment horizontal="general" vertical="bottom" textRotation="0" wrapText="false" indent="0" shrinkToFit="false"/>
      <protection locked="true" hidden="false"/>
    </xf>
    <xf numFmtId="174" fontId="59" fillId="14" borderId="37" xfId="0" applyFont="true" applyBorder="true" applyAlignment="true" applyProtection="true">
      <alignment horizontal="general" vertical="bottom" textRotation="0" wrapText="false" indent="0" shrinkToFit="false"/>
      <protection locked="true" hidden="false"/>
    </xf>
    <xf numFmtId="174" fontId="48" fillId="14" borderId="60" xfId="0" applyFont="true" applyBorder="true" applyAlignment="true" applyProtection="true">
      <alignment horizontal="general" vertical="bottom" textRotation="0" wrapText="false" indent="0" shrinkToFit="false"/>
      <protection locked="true" hidden="false"/>
    </xf>
    <xf numFmtId="174" fontId="57" fillId="14" borderId="12" xfId="0" applyFont="true" applyBorder="true" applyAlignment="true" applyProtection="true">
      <alignment horizontal="general" vertical="bottom" textRotation="0" wrapText="false" indent="0" shrinkToFit="false"/>
      <protection locked="true" hidden="false"/>
    </xf>
    <xf numFmtId="174" fontId="60" fillId="14" borderId="6" xfId="0" applyFont="true" applyBorder="true" applyAlignment="true" applyProtection="true">
      <alignment horizontal="general" vertical="bottom" textRotation="0" wrapText="false" indent="0" shrinkToFit="false"/>
      <protection locked="true" hidden="false"/>
    </xf>
    <xf numFmtId="174" fontId="60" fillId="14" borderId="61" xfId="0" applyFont="true" applyBorder="true" applyAlignment="true" applyProtection="true">
      <alignment horizontal="general" vertical="bottom" textRotation="0" wrapText="false" indent="0" shrinkToFit="false"/>
      <protection locked="true" hidden="false"/>
    </xf>
    <xf numFmtId="174" fontId="57" fillId="14" borderId="60" xfId="0" applyFont="true" applyBorder="true" applyAlignment="true" applyProtection="true">
      <alignment horizontal="general" vertical="bottom" textRotation="0" wrapText="false" indent="0" shrinkToFit="false"/>
      <protection locked="true" hidden="false"/>
    </xf>
    <xf numFmtId="174" fontId="48" fillId="14" borderId="62" xfId="0" applyFont="true" applyBorder="true" applyAlignment="true" applyProtection="true">
      <alignment horizontal="general" vertical="bottom" textRotation="0" wrapText="false" indent="0" shrinkToFit="false"/>
      <protection locked="true" hidden="false"/>
    </xf>
    <xf numFmtId="174" fontId="48" fillId="14" borderId="61" xfId="0" applyFont="true" applyBorder="true" applyAlignment="true" applyProtection="true">
      <alignment horizontal="general" vertical="bottom" textRotation="0" wrapText="false" indent="0" shrinkToFit="false"/>
      <protection locked="true" hidden="false"/>
    </xf>
    <xf numFmtId="174" fontId="59" fillId="14" borderId="62" xfId="0" applyFont="true" applyBorder="true" applyAlignment="true" applyProtection="true">
      <alignment horizontal="general" vertical="bottom" textRotation="0" wrapText="false" indent="0" shrinkToFit="false"/>
      <protection locked="true" hidden="false"/>
    </xf>
    <xf numFmtId="174" fontId="59" fillId="14" borderId="61" xfId="0" applyFont="true" applyBorder="true" applyAlignment="true" applyProtection="true">
      <alignment horizontal="general" vertical="bottom" textRotation="0" wrapText="false" indent="0" shrinkToFit="false"/>
      <protection locked="true" hidden="false"/>
    </xf>
    <xf numFmtId="174" fontId="57" fillId="16" borderId="63" xfId="0" applyFont="true" applyBorder="true" applyAlignment="true" applyProtection="true">
      <alignment horizontal="general" vertical="bottom" textRotation="0" wrapText="false" indent="0" shrinkToFit="false"/>
      <protection locked="true" hidden="false"/>
    </xf>
    <xf numFmtId="174" fontId="56" fillId="12" borderId="64" xfId="0" applyFont="true" applyBorder="true" applyAlignment="true" applyProtection="true">
      <alignment horizontal="left" vertical="bottom" textRotation="0" wrapText="false" indent="0" shrinkToFit="false"/>
      <protection locked="true" hidden="false"/>
    </xf>
    <xf numFmtId="174" fontId="48" fillId="14" borderId="11" xfId="0" applyFont="true" applyBorder="true" applyAlignment="true" applyProtection="true">
      <alignment horizontal="general" vertical="bottom" textRotation="0" wrapText="false" indent="0" shrinkToFit="false"/>
      <protection locked="true" hidden="false"/>
    </xf>
    <xf numFmtId="174" fontId="48" fillId="14" borderId="8" xfId="0" applyFont="true" applyBorder="true" applyAlignment="true" applyProtection="true">
      <alignment horizontal="general" vertical="bottom" textRotation="0" wrapText="false" indent="0" shrinkToFit="false"/>
      <protection locked="true" hidden="false"/>
    </xf>
    <xf numFmtId="174" fontId="48" fillId="14" borderId="59" xfId="0" applyFont="true" applyBorder="true" applyAlignment="true" applyProtection="true">
      <alignment horizontal="general" vertical="bottom" textRotation="0" wrapText="false" indent="0" shrinkToFit="false"/>
      <protection locked="true" hidden="false"/>
    </xf>
    <xf numFmtId="174" fontId="48" fillId="14" borderId="65" xfId="0" applyFont="true" applyBorder="true" applyAlignment="true" applyProtection="true">
      <alignment horizontal="general" vertical="bottom" textRotation="0" wrapText="false" indent="0" shrinkToFit="false"/>
      <protection locked="true" hidden="false"/>
    </xf>
    <xf numFmtId="174" fontId="61" fillId="0" borderId="6" xfId="0" applyFont="true" applyBorder="true" applyAlignment="true" applyProtection="true">
      <alignment horizontal="general" vertical="bottom" textRotation="0" wrapText="false" indent="0" shrinkToFit="false"/>
      <protection locked="true" hidden="false"/>
    </xf>
    <xf numFmtId="174" fontId="62" fillId="14" borderId="10" xfId="0" applyFont="true" applyBorder="true" applyAlignment="true" applyProtection="true">
      <alignment horizontal="general" vertical="bottom" textRotation="0" wrapText="false" indent="0" shrinkToFit="true"/>
      <protection locked="true" hidden="false"/>
    </xf>
    <xf numFmtId="174" fontId="57" fillId="0" borderId="60" xfId="0" applyFont="true" applyBorder="true" applyAlignment="true" applyProtection="true">
      <alignment horizontal="general" vertical="bottom" textRotation="0" wrapText="false" indent="0" shrinkToFit="false"/>
      <protection locked="true" hidden="false"/>
    </xf>
    <xf numFmtId="174" fontId="53" fillId="19" borderId="7" xfId="0" applyFont="true" applyBorder="true" applyAlignment="true" applyProtection="true">
      <alignment horizontal="center" vertical="center" textRotation="0" wrapText="false" indent="0" shrinkToFit="false"/>
      <protection locked="true" hidden="false"/>
    </xf>
    <xf numFmtId="174" fontId="64" fillId="19" borderId="11" xfId="0" applyFont="true" applyBorder="true" applyAlignment="true" applyProtection="true">
      <alignment horizontal="general" vertical="bottom" textRotation="0" wrapText="false" indent="0" shrinkToFit="false"/>
      <protection locked="true" hidden="false"/>
    </xf>
    <xf numFmtId="174" fontId="64" fillId="19" borderId="39" xfId="0" applyFont="true" applyBorder="true" applyAlignment="true" applyProtection="true">
      <alignment horizontal="general" vertical="bottom" textRotation="0" wrapText="false" indent="0" shrinkToFit="false"/>
      <protection locked="true" hidden="false"/>
    </xf>
    <xf numFmtId="174" fontId="64" fillId="19" borderId="9" xfId="0" applyFont="true" applyBorder="true" applyAlignment="true" applyProtection="true">
      <alignment horizontal="general" vertical="bottom" textRotation="0" wrapText="false" indent="0" shrinkToFit="false"/>
      <protection locked="true" hidden="false"/>
    </xf>
    <xf numFmtId="174" fontId="64" fillId="19" borderId="7" xfId="0" applyFont="true" applyBorder="true" applyAlignment="true" applyProtection="true">
      <alignment horizontal="general" vertical="bottom" textRotation="0" wrapText="false" indent="0" shrinkToFit="false"/>
      <protection locked="true" hidden="false"/>
    </xf>
    <xf numFmtId="174" fontId="57" fillId="19" borderId="9" xfId="0" applyFont="true" applyBorder="true" applyAlignment="true" applyProtection="true">
      <alignment horizontal="general" vertical="bottom" textRotation="0" wrapText="false" indent="0" shrinkToFit="false"/>
      <protection locked="true" hidden="false"/>
    </xf>
    <xf numFmtId="174" fontId="57" fillId="19" borderId="60" xfId="0" applyFont="true" applyBorder="true" applyAlignment="true" applyProtection="true">
      <alignment horizontal="general" vertical="bottom" textRotation="0" wrapText="false" indent="0" shrinkToFit="false"/>
      <protection locked="true" hidden="false"/>
    </xf>
    <xf numFmtId="174" fontId="57" fillId="19" borderId="11" xfId="0" applyFont="true" applyBorder="true" applyAlignment="true" applyProtection="true">
      <alignment horizontal="general" vertical="bottom" textRotation="0" wrapText="false" indent="0" shrinkToFit="false"/>
      <protection locked="true" hidden="false"/>
    </xf>
    <xf numFmtId="177" fontId="58" fillId="0" borderId="0" xfId="0" applyFont="true" applyBorder="true" applyAlignment="true" applyProtection="true">
      <alignment horizontal="center" vertical="bottom" textRotation="0" wrapText="true" indent="0" shrinkToFit="true"/>
      <protection locked="true" hidden="false"/>
    </xf>
    <xf numFmtId="174" fontId="48" fillId="0" borderId="0" xfId="0" applyFont="true" applyBorder="true" applyAlignment="true" applyProtection="true">
      <alignment horizontal="general" vertical="bottom" textRotation="0" wrapText="false" indent="0" shrinkToFit="true"/>
      <protection locked="true" hidden="false"/>
    </xf>
    <xf numFmtId="174" fontId="65" fillId="0" borderId="6" xfId="0" applyFont="true" applyBorder="true" applyAlignment="true" applyProtection="true">
      <alignment horizontal="general" vertical="center" textRotation="0" wrapText="false" indent="0" shrinkToFit="false"/>
      <protection locked="true" hidden="false"/>
    </xf>
    <xf numFmtId="176" fontId="52" fillId="0" borderId="0" xfId="0" applyFont="true" applyBorder="true" applyAlignment="true" applyProtection="true">
      <alignment horizontal="center" vertical="center" textRotation="0" wrapText="false" indent="0" shrinkToFit="false"/>
      <protection locked="true" hidden="false"/>
    </xf>
    <xf numFmtId="174" fontId="65" fillId="0" borderId="0" xfId="0" applyFont="true" applyBorder="false" applyAlignment="true" applyProtection="true">
      <alignment horizontal="general" vertical="center" textRotation="0" wrapText="false" indent="0" shrinkToFit="false"/>
      <protection locked="true" hidden="false"/>
    </xf>
    <xf numFmtId="174" fontId="57" fillId="13" borderId="3" xfId="0" applyFont="true" applyBorder="true" applyAlignment="true" applyProtection="true">
      <alignment horizontal="general" vertical="bottom" textRotation="0" wrapText="false" indent="0" shrinkToFit="false"/>
      <protection locked="true" hidden="false"/>
    </xf>
    <xf numFmtId="174" fontId="59" fillId="20" borderId="22" xfId="0" applyFont="true" applyBorder="true" applyAlignment="true" applyProtection="true">
      <alignment horizontal="general" vertical="bottom" textRotation="0" wrapText="false" indent="0" shrinkToFit="false"/>
      <protection locked="true" hidden="false"/>
    </xf>
    <xf numFmtId="174" fontId="59" fillId="20" borderId="20" xfId="0" applyFont="true" applyBorder="true" applyAlignment="true" applyProtection="true">
      <alignment horizontal="general" vertical="bottom" textRotation="0" wrapText="false" indent="0" shrinkToFit="false"/>
      <protection locked="true" hidden="false"/>
    </xf>
    <xf numFmtId="174" fontId="59" fillId="20" borderId="19" xfId="0" applyFont="true" applyBorder="true" applyAlignment="true" applyProtection="true">
      <alignment horizontal="general" vertical="bottom" textRotation="0" wrapText="false" indent="0" shrinkToFit="false"/>
      <protection locked="true" hidden="false"/>
    </xf>
    <xf numFmtId="174" fontId="57" fillId="20" borderId="20" xfId="0" applyFont="true" applyBorder="true" applyAlignment="true" applyProtection="true">
      <alignment horizontal="general" vertical="bottom" textRotation="0" wrapText="false" indent="0" shrinkToFit="false"/>
      <protection locked="true" hidden="false"/>
    </xf>
    <xf numFmtId="174" fontId="59" fillId="20" borderId="24" xfId="0" applyFont="true" applyBorder="true" applyAlignment="true" applyProtection="true">
      <alignment horizontal="general" vertical="bottom" textRotation="0" wrapText="false" indent="0" shrinkToFit="false"/>
      <protection locked="true" hidden="false"/>
    </xf>
    <xf numFmtId="174" fontId="59" fillId="20" borderId="25" xfId="0" applyFont="true" applyBorder="true" applyAlignment="true" applyProtection="true">
      <alignment horizontal="general" vertical="bottom" textRotation="0" wrapText="false" indent="0" shrinkToFit="false"/>
      <protection locked="true" hidden="false"/>
    </xf>
    <xf numFmtId="174" fontId="57" fillId="20" borderId="23" xfId="0" applyFont="true" applyBorder="true" applyAlignment="true" applyProtection="true">
      <alignment horizontal="general" vertical="bottom" textRotation="0" wrapText="false" indent="0" shrinkToFit="false"/>
      <protection locked="true" hidden="false"/>
    </xf>
    <xf numFmtId="174" fontId="57" fillId="20" borderId="17" xfId="0" applyFont="true" applyBorder="true" applyAlignment="true" applyProtection="true">
      <alignment horizontal="general" vertical="bottom" textRotation="0" wrapText="false" indent="0" shrinkToFit="false"/>
      <protection locked="true" hidden="false"/>
    </xf>
    <xf numFmtId="174" fontId="57" fillId="13" borderId="24" xfId="0" applyFont="true" applyBorder="true" applyAlignment="true" applyProtection="true">
      <alignment horizontal="general" vertical="bottom" textRotation="0" wrapText="false" indent="0" shrinkToFit="false"/>
      <protection locked="true" hidden="false"/>
    </xf>
    <xf numFmtId="174" fontId="59" fillId="20" borderId="23" xfId="0" applyFont="true" applyBorder="true" applyAlignment="true" applyProtection="true">
      <alignment horizontal="general" vertical="bottom" textRotation="0" wrapText="false" indent="0" shrinkToFit="false"/>
      <protection locked="true" hidden="false"/>
    </xf>
    <xf numFmtId="174" fontId="59" fillId="20" borderId="27" xfId="0" applyFont="true" applyBorder="true" applyAlignment="true" applyProtection="true">
      <alignment horizontal="general" vertical="bottom" textRotation="0" wrapText="false" indent="0" shrinkToFit="false"/>
      <protection locked="true" hidden="false"/>
    </xf>
    <xf numFmtId="174" fontId="59" fillId="20" borderId="3" xfId="0" applyFont="true" applyBorder="true" applyAlignment="true" applyProtection="true">
      <alignment horizontal="general" vertical="bottom" textRotation="0" wrapText="false" indent="0" shrinkToFit="false"/>
      <protection locked="true" hidden="false"/>
    </xf>
    <xf numFmtId="174" fontId="59" fillId="20" borderId="26" xfId="0" applyFont="true" applyBorder="true" applyAlignment="true" applyProtection="true">
      <alignment horizontal="general" vertical="bottom" textRotation="0" wrapText="false" indent="0" shrinkToFit="false"/>
      <protection locked="true" hidden="false"/>
    </xf>
    <xf numFmtId="174" fontId="48" fillId="14" borderId="23" xfId="0" applyFont="true" applyBorder="true" applyAlignment="true" applyProtection="true">
      <alignment horizontal="general" vertical="bottom" textRotation="0" wrapText="false" indent="0" shrinkToFit="false"/>
      <protection locked="true" hidden="false"/>
    </xf>
    <xf numFmtId="174" fontId="59" fillId="14" borderId="6" xfId="0" applyFont="true" applyBorder="true" applyAlignment="true" applyProtection="true">
      <alignment horizontal="general" vertical="bottom" textRotation="0" wrapText="false" indent="0" shrinkToFit="false"/>
      <protection locked="true" hidden="false"/>
    </xf>
    <xf numFmtId="174" fontId="66" fillId="14" borderId="10" xfId="0" applyFont="true" applyBorder="true" applyAlignment="true" applyProtection="true">
      <alignment horizontal="general" vertical="bottom" textRotation="0" wrapText="false" indent="0" shrinkToFit="true"/>
      <protection locked="true" hidden="false"/>
    </xf>
    <xf numFmtId="174" fontId="58" fillId="0" borderId="0" xfId="0" applyFont="true" applyBorder="true" applyAlignment="true" applyProtection="true">
      <alignment horizontal="left" vertical="bottom" textRotation="0" wrapText="false" indent="0" shrinkToFit="false"/>
      <protection locked="true" hidden="false"/>
    </xf>
    <xf numFmtId="174" fontId="58" fillId="0" borderId="0" xfId="0" applyFont="true" applyBorder="true" applyAlignment="true" applyProtection="true">
      <alignment horizontal="general" vertical="bottom" textRotation="0" wrapText="false" indent="0" shrinkToFit="false"/>
      <protection locked="true" hidden="false"/>
    </xf>
    <xf numFmtId="174" fontId="67" fillId="13" borderId="23" xfId="0" applyFont="true" applyBorder="true" applyAlignment="true" applyProtection="true">
      <alignment horizontal="general" vertical="bottom" textRotation="0" wrapText="false" indent="0" shrinkToFit="false"/>
      <protection locked="true" hidden="false"/>
    </xf>
    <xf numFmtId="174" fontId="68" fillId="15" borderId="23" xfId="0" applyFont="true" applyBorder="true" applyAlignment="true" applyProtection="true">
      <alignment horizontal="general" vertical="bottom" textRotation="0" wrapText="false" indent="0" shrinkToFit="false"/>
      <protection locked="true" hidden="false"/>
    </xf>
    <xf numFmtId="174" fontId="68" fillId="15" borderId="29" xfId="0" applyFont="true" applyBorder="true" applyAlignment="true" applyProtection="true">
      <alignment horizontal="general" vertical="bottom" textRotation="0" wrapText="false" indent="0" shrinkToFit="false"/>
      <protection locked="true" hidden="false"/>
    </xf>
    <xf numFmtId="174" fontId="68" fillId="15" borderId="38" xfId="0" applyFont="true" applyBorder="true" applyAlignment="true" applyProtection="true">
      <alignment horizontal="general" vertical="bottom" textRotation="0" wrapText="false" indent="0" shrinkToFit="false"/>
      <protection locked="true" hidden="false"/>
    </xf>
    <xf numFmtId="174" fontId="60" fillId="13" borderId="26" xfId="0" applyFont="true" applyBorder="true" applyAlignment="true" applyProtection="true">
      <alignment horizontal="general" vertical="bottom" textRotation="0" wrapText="false" indent="0" shrinkToFit="false"/>
      <protection locked="true" hidden="false"/>
    </xf>
    <xf numFmtId="174" fontId="60" fillId="13" borderId="23" xfId="0" applyFont="true" applyBorder="true" applyAlignment="true" applyProtection="true">
      <alignment horizontal="general" vertical="bottom" textRotation="0" wrapText="false" indent="0" shrinkToFit="false"/>
      <protection locked="true" hidden="false"/>
    </xf>
    <xf numFmtId="174" fontId="60" fillId="13" borderId="22" xfId="0" applyFont="true" applyBorder="true" applyAlignment="true" applyProtection="true">
      <alignment horizontal="general" vertical="bottom" textRotation="0" wrapText="false" indent="0" shrinkToFit="false"/>
      <protection locked="true" hidden="false"/>
    </xf>
    <xf numFmtId="174" fontId="60" fillId="13" borderId="24" xfId="0" applyFont="true" applyBorder="true" applyAlignment="true" applyProtection="true">
      <alignment horizontal="general" vertical="bottom" textRotation="0" wrapText="false" indent="0" shrinkToFit="false"/>
      <protection locked="true" hidden="false"/>
    </xf>
    <xf numFmtId="174" fontId="60" fillId="13" borderId="3" xfId="0" applyFont="true" applyBorder="true" applyAlignment="true" applyProtection="true">
      <alignment horizontal="general" vertical="bottom" textRotation="0" wrapText="false" indent="0" shrinkToFit="false"/>
      <protection locked="true" hidden="false"/>
    </xf>
    <xf numFmtId="174" fontId="60" fillId="13" borderId="25" xfId="0" applyFont="true" applyBorder="true" applyAlignment="true" applyProtection="true">
      <alignment horizontal="general" vertical="bottom" textRotation="0" wrapText="false" indent="0" shrinkToFit="false"/>
      <protection locked="true" hidden="false"/>
    </xf>
    <xf numFmtId="174" fontId="69" fillId="12" borderId="30" xfId="0" applyFont="true" applyBorder="true" applyAlignment="true" applyProtection="true">
      <alignment horizontal="left" vertical="bottom" textRotation="0" wrapText="false" indent="0" shrinkToFit="false"/>
      <protection locked="true" hidden="false"/>
    </xf>
    <xf numFmtId="174" fontId="48" fillId="0" borderId="26" xfId="0" applyFont="true" applyBorder="true" applyAlignment="true" applyProtection="true">
      <alignment horizontal="general" vertical="bottom" textRotation="0" wrapText="false" indent="0" shrinkToFit="false"/>
      <protection locked="true" hidden="false"/>
    </xf>
    <xf numFmtId="174" fontId="48" fillId="0" borderId="31" xfId="0" applyFont="true" applyBorder="true" applyAlignment="true" applyProtection="true">
      <alignment horizontal="general" vertical="bottom" textRotation="0" wrapText="false" indent="0" shrinkToFit="false"/>
      <protection locked="true" hidden="false"/>
    </xf>
    <xf numFmtId="174" fontId="59" fillId="20" borderId="28" xfId="0" applyFont="true" applyBorder="true" applyAlignment="true" applyProtection="true">
      <alignment horizontal="general" vertical="bottom" textRotation="0" wrapText="false" indent="0" shrinkToFit="false"/>
      <protection locked="true" hidden="false"/>
    </xf>
    <xf numFmtId="174" fontId="59" fillId="20" borderId="29" xfId="0" applyFont="true" applyBorder="true" applyAlignment="true" applyProtection="true">
      <alignment horizontal="general" vertical="bottom" textRotation="0" wrapText="false" indent="0" shrinkToFit="false"/>
      <protection locked="true" hidden="false"/>
    </xf>
    <xf numFmtId="174" fontId="59" fillId="0" borderId="6" xfId="0" applyFont="true" applyBorder="true" applyAlignment="true" applyProtection="true">
      <alignment horizontal="general" vertical="bottom" textRotation="0" wrapText="false" indent="0" shrinkToFit="false"/>
      <protection locked="true" hidden="false"/>
    </xf>
    <xf numFmtId="174" fontId="59" fillId="0" borderId="61" xfId="0" applyFont="true" applyBorder="true" applyAlignment="true" applyProtection="true">
      <alignment horizontal="general" vertical="bottom" textRotation="0" wrapText="false" indent="0" shrinkToFit="false"/>
      <protection locked="true" hidden="false"/>
    </xf>
    <xf numFmtId="174" fontId="59" fillId="0" borderId="62" xfId="0" applyFont="true" applyBorder="true" applyAlignment="true" applyProtection="true">
      <alignment horizontal="general" vertical="bottom" textRotation="0" wrapText="false" indent="0" shrinkToFit="false"/>
      <protection locked="true" hidden="false"/>
    </xf>
    <xf numFmtId="174" fontId="65" fillId="21" borderId="6" xfId="0" applyFont="true" applyBorder="true" applyAlignment="true" applyProtection="true">
      <alignment horizontal="general" vertical="center" textRotation="0" wrapText="false" indent="0" shrinkToFit="false"/>
      <protection locked="true" hidden="false"/>
    </xf>
    <xf numFmtId="178" fontId="52" fillId="21" borderId="6" xfId="0" applyFont="true" applyBorder="true" applyAlignment="true" applyProtection="true">
      <alignment horizontal="center" vertical="center" textRotation="0" wrapText="false" indent="0" shrinkToFit="false"/>
      <protection locked="true" hidden="false"/>
    </xf>
    <xf numFmtId="174" fontId="48" fillId="14" borderId="10" xfId="0" applyFont="true" applyBorder="true" applyAlignment="true" applyProtection="true">
      <alignment horizontal="general" vertical="bottom" textRotation="0" wrapText="false" indent="0" shrinkToFit="false"/>
      <protection locked="true" hidden="false"/>
    </xf>
    <xf numFmtId="174" fontId="59" fillId="20" borderId="14" xfId="0" applyFont="true" applyBorder="true" applyAlignment="true" applyProtection="true">
      <alignment horizontal="general" vertical="bottom" textRotation="0" wrapText="false" indent="0" shrinkToFit="false"/>
      <protection locked="true" hidden="false"/>
    </xf>
    <xf numFmtId="174" fontId="59" fillId="20" borderId="17" xfId="0" applyFont="true" applyBorder="true" applyAlignment="true" applyProtection="true">
      <alignment horizontal="general" vertical="bottom" textRotation="0" wrapText="false" indent="0" shrinkToFit="false"/>
      <protection locked="true" hidden="false"/>
    </xf>
    <xf numFmtId="174" fontId="59" fillId="20" borderId="16" xfId="0" applyFont="true" applyBorder="true" applyAlignment="true" applyProtection="true">
      <alignment horizontal="general" vertical="bottom" textRotation="0" wrapText="false" indent="0" shrinkToFit="false"/>
      <protection locked="true" hidden="false"/>
    </xf>
    <xf numFmtId="174" fontId="56" fillId="12" borderId="21" xfId="0" applyFont="true" applyBorder="true" applyAlignment="true" applyProtection="true">
      <alignment horizontal="left" vertical="bottom" textRotation="0" wrapText="false" indent="0" shrinkToFit="false"/>
      <protection locked="true" hidden="false"/>
    </xf>
    <xf numFmtId="174" fontId="56" fillId="12" borderId="66" xfId="0" applyFont="true" applyBorder="true" applyAlignment="true" applyProtection="true">
      <alignment horizontal="left" vertical="bottom" textRotation="0" wrapText="false" indent="0" shrinkToFit="false"/>
      <protection locked="true" hidden="false"/>
    </xf>
    <xf numFmtId="174" fontId="56" fillId="12" borderId="67" xfId="0" applyFont="true" applyBorder="true" applyAlignment="true" applyProtection="true">
      <alignment horizontal="left" vertical="bottom" textRotation="0" wrapText="false" indent="0" shrinkToFit="false"/>
      <protection locked="true" hidden="false"/>
    </xf>
    <xf numFmtId="174" fontId="56" fillId="17" borderId="67" xfId="0" applyFont="true" applyBorder="true" applyAlignment="true" applyProtection="true">
      <alignment horizontal="left" vertical="bottom" textRotation="0" wrapText="false" indent="0" shrinkToFit="false"/>
      <protection locked="true" hidden="false"/>
    </xf>
    <xf numFmtId="174" fontId="56" fillId="17" borderId="21" xfId="0" applyFont="true" applyBorder="true" applyAlignment="true" applyProtection="true">
      <alignment horizontal="left" vertical="bottom" textRotation="0" wrapText="false" indent="0" shrinkToFit="false"/>
      <protection locked="true" hidden="false"/>
    </xf>
    <xf numFmtId="174" fontId="56" fillId="12" borderId="67" xfId="0" applyFont="true" applyBorder="true" applyAlignment="true" applyProtection="true">
      <alignment horizontal="left" vertical="bottom" textRotation="0" wrapText="false" indent="0" shrinkToFit="true"/>
      <protection locked="true" hidden="false"/>
    </xf>
    <xf numFmtId="174" fontId="56" fillId="17" borderId="67" xfId="0" applyFont="true" applyBorder="true" applyAlignment="true" applyProtection="true">
      <alignment horizontal="left" vertical="bottom" textRotation="0" wrapText="false" indent="0" shrinkToFit="true"/>
      <protection locked="true" hidden="false"/>
    </xf>
    <xf numFmtId="174" fontId="56" fillId="17" borderId="68" xfId="0" applyFont="true" applyBorder="true" applyAlignment="true" applyProtection="true">
      <alignment horizontal="general" vertical="bottom" textRotation="0" wrapText="false" indent="0" shrinkToFit="false"/>
      <protection locked="true" hidden="false"/>
    </xf>
    <xf numFmtId="174" fontId="58" fillId="15" borderId="67" xfId="0" applyFont="true" applyBorder="true" applyAlignment="true" applyProtection="true">
      <alignment horizontal="left" vertical="bottom" textRotation="0" wrapText="false" indent="0" shrinkToFit="false"/>
      <protection locked="true" hidden="false"/>
    </xf>
    <xf numFmtId="174" fontId="48" fillId="15" borderId="69" xfId="0" applyFont="true" applyBorder="true" applyAlignment="true" applyProtection="true">
      <alignment horizontal="general" vertical="bottom" textRotation="0" wrapText="false" indent="0" shrinkToFit="false"/>
      <protection locked="true" hidden="false"/>
    </xf>
    <xf numFmtId="174" fontId="58" fillId="19" borderId="0" xfId="0" applyFont="true" applyBorder="false" applyAlignment="true" applyProtection="true">
      <alignment horizontal="general" vertical="bottom" textRotation="0" wrapText="false" indent="0" shrinkToFit="false"/>
      <protection locked="true" hidden="false"/>
    </xf>
    <xf numFmtId="174" fontId="56" fillId="0" borderId="41" xfId="0" applyFont="true" applyBorder="true" applyAlignment="true" applyProtection="true">
      <alignment horizontal="left" vertical="bottom" textRotation="0" wrapText="false" indent="0" shrinkToFit="false"/>
      <protection locked="true" hidden="false"/>
    </xf>
    <xf numFmtId="174" fontId="58" fillId="13" borderId="0" xfId="0" applyFont="true" applyBorder="false" applyAlignment="true" applyProtection="true">
      <alignment horizontal="general" vertical="bottom" textRotation="0" wrapText="false" indent="0" shrinkToFit="false"/>
      <protection locked="true" hidden="false"/>
    </xf>
    <xf numFmtId="177" fontId="56" fillId="22" borderId="13" xfId="0" applyFont="true" applyBorder="true" applyAlignment="true" applyProtection="true">
      <alignment horizontal="left" vertical="bottom" textRotation="0" wrapText="false" indent="0" shrinkToFit="true"/>
      <protection locked="true" hidden="false"/>
    </xf>
    <xf numFmtId="174" fontId="48" fillId="22" borderId="22" xfId="0" applyFont="true" applyBorder="true" applyAlignment="true" applyProtection="true">
      <alignment horizontal="general" vertical="bottom" textRotation="0" wrapText="false" indent="0" shrinkToFit="false"/>
      <protection locked="true" hidden="false"/>
    </xf>
    <xf numFmtId="174" fontId="48" fillId="22" borderId="23" xfId="0" applyFont="true" applyBorder="true" applyAlignment="true" applyProtection="true">
      <alignment horizontal="general" vertical="bottom" textRotation="0" wrapText="false" indent="0" shrinkToFit="false"/>
      <protection locked="true" hidden="false"/>
    </xf>
    <xf numFmtId="174" fontId="48" fillId="22" borderId="24" xfId="0" applyFont="true" applyBorder="true" applyAlignment="true" applyProtection="true">
      <alignment horizontal="general" vertical="bottom" textRotation="0" wrapText="false" indent="0" shrinkToFit="false"/>
      <protection locked="true" hidden="false"/>
    </xf>
    <xf numFmtId="174" fontId="57" fillId="22" borderId="20" xfId="0" applyFont="true" applyBorder="true" applyAlignment="true" applyProtection="true">
      <alignment horizontal="general" vertical="bottom" textRotation="0" wrapText="false" indent="0" shrinkToFit="false"/>
      <protection locked="true" hidden="false"/>
    </xf>
    <xf numFmtId="174" fontId="70" fillId="0" borderId="6" xfId="0" applyFont="true" applyBorder="true" applyAlignment="true" applyProtection="true">
      <alignment horizontal="general" vertical="bottom" textRotation="0" wrapText="false" indent="0" shrinkToFit="false"/>
      <protection locked="true" hidden="false"/>
    </xf>
    <xf numFmtId="174" fontId="59" fillId="0" borderId="14" xfId="0" applyFont="true" applyBorder="true" applyAlignment="true" applyProtection="true">
      <alignment horizontal="general" vertical="bottom" textRotation="0" wrapText="false" indent="0" shrinkToFit="false"/>
      <protection locked="true" hidden="false"/>
    </xf>
    <xf numFmtId="174" fontId="59" fillId="0" borderId="15" xfId="0" applyFont="true" applyBorder="true" applyAlignment="true" applyProtection="true">
      <alignment horizontal="general" vertical="bottom" textRotation="0" wrapText="false" indent="0" shrinkToFit="false"/>
      <protection locked="true" hidden="false"/>
    </xf>
    <xf numFmtId="174" fontId="59" fillId="0" borderId="16" xfId="0" applyFont="true" applyBorder="true" applyAlignment="true" applyProtection="true">
      <alignment horizontal="general" vertical="bottom" textRotation="0" wrapText="false" indent="0" shrinkToFit="false"/>
      <protection locked="true" hidden="false"/>
    </xf>
    <xf numFmtId="174" fontId="59" fillId="0" borderId="17" xfId="0" applyFont="true" applyBorder="true" applyAlignment="true" applyProtection="true">
      <alignment horizontal="general" vertical="bottom" textRotation="0" wrapText="false" indent="0" shrinkToFit="false"/>
      <protection locked="true" hidden="false"/>
    </xf>
    <xf numFmtId="174" fontId="57" fillId="0" borderId="15" xfId="0" applyFont="true" applyBorder="true" applyAlignment="true" applyProtection="true">
      <alignment horizontal="general" vertical="bottom" textRotation="0" wrapText="false" indent="0" shrinkToFit="false"/>
      <protection locked="true" hidden="false"/>
    </xf>
    <xf numFmtId="174" fontId="59" fillId="0" borderId="18" xfId="0" applyFont="true" applyBorder="true" applyAlignment="true" applyProtection="true">
      <alignment horizontal="general" vertical="bottom" textRotation="0" wrapText="false" indent="0" shrinkToFit="false"/>
      <protection locked="true" hidden="false"/>
    </xf>
    <xf numFmtId="174" fontId="57" fillId="0" borderId="28" xfId="0" applyFont="true" applyBorder="true" applyAlignment="true" applyProtection="true">
      <alignment horizontal="general" vertical="bottom" textRotation="0" wrapText="false" indent="0" shrinkToFit="false"/>
      <protection locked="true" hidden="false"/>
    </xf>
    <xf numFmtId="174" fontId="59" fillId="0" borderId="28" xfId="0" applyFont="true" applyBorder="true" applyAlignment="true" applyProtection="true">
      <alignment horizontal="general" vertical="bottom" textRotation="0" wrapText="false" indent="0" shrinkToFit="false"/>
      <protection locked="true" hidden="false"/>
    </xf>
    <xf numFmtId="174" fontId="59" fillId="0" borderId="29" xfId="0" applyFont="true" applyBorder="true" applyAlignment="true" applyProtection="true">
      <alignment horizontal="general" vertical="bottom" textRotation="0" wrapText="false" indent="0" shrinkToFit="false"/>
      <protection locked="true" hidden="false"/>
    </xf>
    <xf numFmtId="174" fontId="59" fillId="0" borderId="31" xfId="0" applyFont="true" applyBorder="true" applyAlignment="true" applyProtection="true">
      <alignment horizontal="general" vertical="bottom" textRotation="0" wrapText="false" indent="0" shrinkToFit="false"/>
      <protection locked="true" hidden="false"/>
    </xf>
    <xf numFmtId="174" fontId="59" fillId="0" borderId="32" xfId="0" applyFont="true" applyBorder="true" applyAlignment="true" applyProtection="true">
      <alignment horizontal="general" vertical="bottom" textRotation="0" wrapText="false" indent="0" shrinkToFit="false"/>
      <protection locked="true" hidden="false"/>
    </xf>
    <xf numFmtId="174" fontId="48" fillId="0" borderId="23" xfId="0" applyFont="true" applyBorder="true" applyAlignment="true" applyProtection="true">
      <alignment horizontal="general" vertical="bottom" textRotation="0" wrapText="false" indent="0" shrinkToFit="false"/>
      <protection locked="true" hidden="false"/>
    </xf>
    <xf numFmtId="174" fontId="48" fillId="0" borderId="3" xfId="0" applyFont="true" applyBorder="true" applyAlignment="true" applyProtection="true">
      <alignment horizontal="general" vertical="bottom" textRotation="0" wrapText="false" indent="0" shrinkToFit="false"/>
      <protection locked="true" hidden="false"/>
    </xf>
    <xf numFmtId="174" fontId="48" fillId="0" borderId="20" xfId="0" applyFont="true" applyBorder="true" applyAlignment="true" applyProtection="true">
      <alignment horizontal="general" vertical="bottom" textRotation="0" wrapText="false" indent="0" shrinkToFit="false"/>
      <protection locked="true" hidden="false"/>
    </xf>
    <xf numFmtId="174" fontId="56" fillId="18" borderId="41" xfId="0" applyFont="true" applyBorder="true" applyAlignment="true" applyProtection="true">
      <alignment horizontal="left" vertical="bottom" textRotation="0" wrapText="false" indent="0" shrinkToFit="false"/>
      <protection locked="true" hidden="false"/>
    </xf>
    <xf numFmtId="174" fontId="48" fillId="0" borderId="28" xfId="0" applyFont="true" applyBorder="true" applyAlignment="true" applyProtection="true">
      <alignment horizontal="general" vertical="bottom" textRotation="0" wrapText="false" indent="0" shrinkToFit="false"/>
      <protection locked="true" hidden="false"/>
    </xf>
    <xf numFmtId="174" fontId="48" fillId="0" borderId="27" xfId="0" applyFont="true" applyBorder="true" applyAlignment="true" applyProtection="true">
      <alignment horizontal="general" vertical="bottom" textRotation="0" wrapText="false" indent="0" shrinkToFit="false"/>
      <protection locked="true" hidden="false"/>
    </xf>
    <xf numFmtId="174" fontId="57" fillId="15" borderId="20" xfId="0" applyFont="true" applyBorder="true" applyAlignment="true" applyProtection="true">
      <alignment horizontal="general" vertical="bottom" textRotation="0" wrapText="false" indent="0" shrinkToFit="false"/>
      <protection locked="true" hidden="false"/>
    </xf>
    <xf numFmtId="174" fontId="58" fillId="0" borderId="33" xfId="0" applyFont="true" applyBorder="true" applyAlignment="true" applyProtection="true">
      <alignment horizontal="center" vertical="center" textRotation="0" wrapText="false" indent="0" shrinkToFit="false"/>
      <protection locked="true" hidden="false"/>
    </xf>
    <xf numFmtId="174" fontId="57" fillId="0" borderId="44" xfId="0" applyFont="true" applyBorder="true" applyAlignment="true" applyProtection="true">
      <alignment horizontal="general" vertical="bottom" textRotation="0" wrapText="false" indent="0" shrinkToFit="false"/>
      <protection locked="true" hidden="false"/>
    </xf>
    <xf numFmtId="174" fontId="57" fillId="0" borderId="45" xfId="0" applyFont="true" applyBorder="true" applyAlignment="true" applyProtection="true">
      <alignment horizontal="general" vertical="bottom" textRotation="0" wrapText="false" indent="0" shrinkToFit="false"/>
      <protection locked="true" hidden="false"/>
    </xf>
    <xf numFmtId="174" fontId="57" fillId="0" borderId="46" xfId="0" applyFont="true" applyBorder="true" applyAlignment="true" applyProtection="true">
      <alignment horizontal="general" vertical="bottom" textRotation="0" wrapText="false" indent="0" shrinkToFit="false"/>
      <protection locked="true" hidden="false"/>
    </xf>
    <xf numFmtId="174" fontId="57" fillId="0" borderId="47" xfId="0" applyFont="true" applyBorder="true" applyAlignment="true" applyProtection="true">
      <alignment horizontal="general" vertical="bottom" textRotation="0" wrapText="false" indent="0" shrinkToFit="false"/>
      <protection locked="true" hidden="false"/>
    </xf>
    <xf numFmtId="174" fontId="57" fillId="0" borderId="48" xfId="0" applyFont="true" applyBorder="true" applyAlignment="true" applyProtection="true">
      <alignment horizontal="general" vertical="bottom" textRotation="0" wrapText="false" indent="0" shrinkToFit="false"/>
      <protection locked="true" hidden="false"/>
    </xf>
    <xf numFmtId="174" fontId="59" fillId="0" borderId="34" xfId="0" applyFont="true" applyBorder="true" applyAlignment="true" applyProtection="true">
      <alignment horizontal="general" vertical="bottom" textRotation="0" wrapText="false" indent="0" shrinkToFit="false"/>
      <protection locked="true" hidden="false"/>
    </xf>
    <xf numFmtId="174" fontId="59" fillId="0" borderId="36" xfId="0" applyFont="true" applyBorder="true" applyAlignment="true" applyProtection="true">
      <alignment horizontal="general" vertical="bottom" textRotation="0" wrapText="false" indent="0" shrinkToFit="false"/>
      <protection locked="true" hidden="false"/>
    </xf>
    <xf numFmtId="174" fontId="48" fillId="0" borderId="34" xfId="0" applyFont="true" applyBorder="true" applyAlignment="true" applyProtection="true">
      <alignment horizontal="general" vertical="bottom" textRotation="0" wrapText="false" indent="0" shrinkToFit="false"/>
      <protection locked="true" hidden="false"/>
    </xf>
    <xf numFmtId="174" fontId="48" fillId="0" borderId="36" xfId="0" applyFont="true" applyBorder="true" applyAlignment="true" applyProtection="true">
      <alignment horizontal="general" vertical="bottom" textRotation="0" wrapText="false" indent="0" shrinkToFit="false"/>
      <protection locked="true" hidden="false"/>
    </xf>
    <xf numFmtId="174" fontId="48" fillId="0" borderId="46" xfId="0" applyFont="true" applyBorder="true" applyAlignment="true" applyProtection="true">
      <alignment horizontal="general" vertical="bottom" textRotation="0" wrapText="false" indent="0" shrinkToFit="false"/>
      <protection locked="true" hidden="false"/>
    </xf>
    <xf numFmtId="174" fontId="48" fillId="0" borderId="47" xfId="0" applyFont="true" applyBorder="true" applyAlignment="true" applyProtection="true">
      <alignment horizontal="general" vertical="bottom" textRotation="0" wrapText="false" indent="0" shrinkToFit="false"/>
      <protection locked="true" hidden="false"/>
    </xf>
    <xf numFmtId="174" fontId="48" fillId="0" borderId="45" xfId="0" applyFont="true" applyBorder="true" applyAlignment="true" applyProtection="true">
      <alignment horizontal="general" vertical="bottom" textRotation="0" wrapText="false" indent="0" shrinkToFit="false"/>
      <protection locked="true" hidden="false"/>
    </xf>
    <xf numFmtId="176" fontId="65" fillId="0" borderId="6" xfId="0" applyFont="true" applyBorder="true" applyAlignment="true" applyProtection="true">
      <alignment horizontal="center" vertical="center" textRotation="0" wrapText="false" indent="0" shrinkToFit="false"/>
      <protection locked="true" hidden="false"/>
    </xf>
    <xf numFmtId="174" fontId="57" fillId="0" borderId="30" xfId="0" applyFont="true" applyBorder="true" applyAlignment="true" applyProtection="true">
      <alignment horizontal="general" vertical="bottom" textRotation="0" wrapText="false" indent="0" shrinkToFit="false"/>
      <protection locked="true" hidden="false"/>
    </xf>
    <xf numFmtId="174" fontId="57" fillId="0" borderId="29" xfId="0" applyFont="true" applyBorder="true" applyAlignment="true" applyProtection="true">
      <alignment horizontal="general" vertical="bottom" textRotation="0" wrapText="false" indent="0" shrinkToFit="false"/>
      <protection locked="true" hidden="false"/>
    </xf>
    <xf numFmtId="174" fontId="59" fillId="15" borderId="21" xfId="0" applyFont="true" applyBorder="true" applyAlignment="true" applyProtection="true">
      <alignment horizontal="general" vertical="bottom" textRotation="0" wrapText="false" indent="0" shrinkToFit="false"/>
      <protection locked="true" hidden="false"/>
    </xf>
    <xf numFmtId="174" fontId="57" fillId="20" borderId="30" xfId="0" applyFont="true" applyBorder="true" applyAlignment="true" applyProtection="true">
      <alignment horizontal="general" vertical="bottom" textRotation="0" wrapText="false" indent="0" shrinkToFit="false"/>
      <protection locked="true" hidden="false"/>
    </xf>
    <xf numFmtId="174" fontId="57" fillId="20" borderId="29" xfId="0" applyFont="true" applyBorder="true" applyAlignment="true" applyProtection="true">
      <alignment horizontal="general" vertical="bottom" textRotation="0" wrapText="false" indent="0" shrinkToFit="false"/>
      <protection locked="true" hidden="false"/>
    </xf>
    <xf numFmtId="174" fontId="59" fillId="14" borderId="67" xfId="0" applyFont="true" applyBorder="true" applyAlignment="true" applyProtection="true">
      <alignment horizontal="general" vertical="bottom" textRotation="0" wrapText="false" indent="0" shrinkToFit="false"/>
      <protection locked="true" hidden="false"/>
    </xf>
    <xf numFmtId="174" fontId="48" fillId="15" borderId="70" xfId="0" applyFont="true" applyBorder="true" applyAlignment="true" applyProtection="true">
      <alignment horizontal="general" vertical="bottom" textRotation="0" wrapText="false" indent="0" shrinkToFit="false"/>
      <protection locked="true" hidden="false"/>
    </xf>
    <xf numFmtId="174" fontId="48" fillId="15" borderId="71" xfId="0" applyFont="true" applyBorder="true" applyAlignment="true" applyProtection="true">
      <alignment horizontal="general" vertical="bottom" textRotation="0" wrapText="false" indent="0" shrinkToFit="false"/>
      <protection locked="true" hidden="false"/>
    </xf>
    <xf numFmtId="174" fontId="59" fillId="0" borderId="46" xfId="0" applyFont="true" applyBorder="true" applyAlignment="true" applyProtection="true">
      <alignment horizontal="general" vertical="bottom" textRotation="0" wrapText="false" indent="0" shrinkToFit="false"/>
      <protection locked="true" hidden="false"/>
    </xf>
    <xf numFmtId="174" fontId="59" fillId="0" borderId="47" xfId="0" applyFont="true" applyBorder="true" applyAlignment="true" applyProtection="true">
      <alignment horizontal="general" vertical="bottom" textRotation="0" wrapText="false" indent="0" shrinkToFit="false"/>
      <protection locked="true" hidden="false"/>
    </xf>
    <xf numFmtId="174" fontId="59" fillId="0" borderId="45" xfId="0" applyFont="true" applyBorder="true" applyAlignment="true" applyProtection="true">
      <alignment horizontal="general" vertical="bottom" textRotation="0" wrapText="false" indent="0" shrinkToFit="false"/>
      <protection locked="true" hidden="false"/>
    </xf>
    <xf numFmtId="174" fontId="48" fillId="14" borderId="34" xfId="0" applyFont="true" applyBorder="true" applyAlignment="true" applyProtection="true">
      <alignment horizontal="general" vertical="bottom" textRotation="0" wrapText="false" indent="0" shrinkToFit="false"/>
      <protection locked="true" hidden="false"/>
    </xf>
    <xf numFmtId="174" fontId="57" fillId="16" borderId="72" xfId="0" applyFont="true" applyBorder="true" applyAlignment="true" applyProtection="true">
      <alignment horizontal="general" vertical="bottom" textRotation="0" wrapText="false" indent="0" shrinkToFit="false"/>
      <protection locked="true" hidden="false"/>
    </xf>
    <xf numFmtId="178" fontId="65" fillId="21" borderId="6" xfId="0" applyFont="true" applyBorder="true" applyAlignment="true" applyProtection="true">
      <alignment horizontal="center" vertical="center" textRotation="0" wrapText="false" indent="0" shrinkToFit="false"/>
      <protection locked="true" hidden="false"/>
    </xf>
    <xf numFmtId="174" fontId="57" fillId="0" borderId="22" xfId="0" applyFont="true" applyBorder="true" applyAlignment="true" applyProtection="true">
      <alignment horizontal="general" vertical="bottom" textRotation="0" wrapText="false" indent="0" shrinkToFit="false"/>
      <protection locked="true" hidden="false"/>
    </xf>
    <xf numFmtId="174" fontId="57" fillId="0" borderId="32" xfId="0" applyFont="true" applyBorder="true" applyAlignment="true" applyProtection="true">
      <alignment horizontal="general" vertical="bottom" textRotation="0" wrapText="false" indent="0" shrinkToFit="false"/>
      <protection locked="true" hidden="false"/>
    </xf>
    <xf numFmtId="174" fontId="57" fillId="0" borderId="11" xfId="0" applyFont="true" applyBorder="true" applyAlignment="true" applyProtection="true">
      <alignment horizontal="general" vertical="bottom" textRotation="0" wrapText="false" indent="0" shrinkToFit="false"/>
      <protection locked="true" hidden="false"/>
    </xf>
    <xf numFmtId="174" fontId="57" fillId="0" borderId="39" xfId="0" applyFont="true" applyBorder="true" applyAlignment="true" applyProtection="true">
      <alignment horizontal="general" vertical="bottom" textRotation="0" wrapText="false" indent="0" shrinkToFit="false"/>
      <protection locked="true" hidden="false"/>
    </xf>
    <xf numFmtId="174" fontId="57" fillId="0" borderId="9" xfId="0" applyFont="true" applyBorder="true" applyAlignment="true" applyProtection="true">
      <alignment horizontal="general" vertical="bottom" textRotation="0" wrapText="false" indent="0" shrinkToFit="false"/>
      <protection locked="true" hidden="false"/>
    </xf>
    <xf numFmtId="174" fontId="57" fillId="0" borderId="10" xfId="0" applyFont="true" applyBorder="true" applyAlignment="true" applyProtection="true">
      <alignment horizontal="general" vertical="bottom" textRotation="0" wrapText="false" indent="0" shrinkToFit="false"/>
      <protection locked="true" hidden="false"/>
    </xf>
    <xf numFmtId="174" fontId="57" fillId="0" borderId="8" xfId="0" applyFont="true" applyBorder="true" applyAlignment="true" applyProtection="true">
      <alignment horizontal="general" vertical="bottom" textRotation="0" wrapText="false" indent="0" shrinkToFit="false"/>
      <protection locked="true" hidden="false"/>
    </xf>
    <xf numFmtId="174" fontId="48" fillId="0" borderId="44" xfId="0" applyFont="true" applyBorder="true" applyAlignment="true" applyProtection="true">
      <alignment horizontal="general" vertical="bottom" textRotation="0" wrapText="false" indent="0" shrinkToFit="false"/>
      <protection locked="true" hidden="false"/>
    </xf>
    <xf numFmtId="174" fontId="48" fillId="0" borderId="17" xfId="0" applyFont="true" applyBorder="true" applyAlignment="true" applyProtection="true">
      <alignment horizontal="general" vertical="bottom" textRotation="0" wrapText="false" indent="0" shrinkToFit="false"/>
      <protection locked="true" hidden="false"/>
    </xf>
    <xf numFmtId="174" fontId="59" fillId="0" borderId="5" xfId="0" applyFont="true" applyBorder="true" applyAlignment="true" applyProtection="true">
      <alignment horizontal="general" vertical="bottom" textRotation="0" wrapText="false" indent="0" shrinkToFit="false"/>
      <protection locked="true" hidden="false"/>
    </xf>
    <xf numFmtId="174" fontId="59" fillId="0" borderId="59" xfId="0" applyFont="true" applyBorder="true" applyAlignment="true" applyProtection="true">
      <alignment horizontal="general" vertical="bottom" textRotation="0" wrapText="false" indent="0" shrinkToFit="false"/>
      <protection locked="true" hidden="false"/>
    </xf>
    <xf numFmtId="174" fontId="59" fillId="0" borderId="12" xfId="0" applyFont="true" applyBorder="true" applyAlignment="true" applyProtection="true">
      <alignment horizontal="general" vertical="bottom" textRotation="0" wrapText="false" indent="0" shrinkToFit="false"/>
      <protection locked="true" hidden="false"/>
    </xf>
    <xf numFmtId="174" fontId="59" fillId="0" borderId="37" xfId="0" applyFont="true" applyBorder="true" applyAlignment="true" applyProtection="true">
      <alignment horizontal="general" vertical="bottom" textRotation="0" wrapText="false" indent="0" shrinkToFit="false"/>
      <protection locked="true" hidden="false"/>
    </xf>
    <xf numFmtId="174" fontId="57" fillId="0" borderId="12" xfId="0" applyFont="true" applyBorder="true" applyAlignment="true" applyProtection="true">
      <alignment horizontal="general" vertical="bottom" textRotation="0" wrapText="false" indent="0" shrinkToFit="false"/>
      <protection locked="true" hidden="false"/>
    </xf>
    <xf numFmtId="174" fontId="59" fillId="0" borderId="66" xfId="0" applyFont="true" applyBorder="true" applyAlignment="true" applyProtection="true">
      <alignment horizontal="general" vertical="bottom" textRotation="0" wrapText="false" indent="0" shrinkToFit="false"/>
      <protection locked="true" hidden="false"/>
    </xf>
    <xf numFmtId="174" fontId="59" fillId="0" borderId="43" xfId="0" applyFont="true" applyBorder="true" applyAlignment="true" applyProtection="true">
      <alignment horizontal="general" vertical="bottom" textRotation="0" wrapText="false" indent="0" shrinkToFit="false"/>
      <protection locked="true" hidden="false"/>
    </xf>
    <xf numFmtId="174" fontId="67" fillId="0" borderId="23" xfId="0" applyFont="true" applyBorder="true" applyAlignment="true" applyProtection="true">
      <alignment horizontal="general" vertical="bottom" textRotation="0" wrapText="false" indent="0" shrinkToFit="false"/>
      <protection locked="true" hidden="false"/>
    </xf>
    <xf numFmtId="174" fontId="54" fillId="15" borderId="3" xfId="0" applyFont="true" applyBorder="true" applyAlignment="true" applyProtection="true">
      <alignment horizontal="general" vertical="bottom" textRotation="0" wrapText="false" indent="0" shrinkToFit="false"/>
      <protection locked="true" hidden="false"/>
    </xf>
    <xf numFmtId="174" fontId="57" fillId="0" borderId="25" xfId="0" applyFont="true" applyBorder="true" applyAlignment="true" applyProtection="true">
      <alignment horizontal="general" vertical="bottom" textRotation="0" wrapText="false" indent="0" shrinkToFit="false"/>
      <protection locked="true" hidden="false"/>
    </xf>
    <xf numFmtId="174" fontId="59" fillId="20" borderId="34" xfId="0" applyFont="true" applyBorder="true" applyAlignment="true" applyProtection="true">
      <alignment horizontal="general" vertical="bottom" textRotation="0" wrapText="false" indent="0" shrinkToFit="false"/>
      <protection locked="true" hidden="false"/>
    </xf>
    <xf numFmtId="174" fontId="69" fillId="12" borderId="13" xfId="0" applyFont="true" applyBorder="true" applyAlignment="true" applyProtection="true">
      <alignment horizontal="left" vertical="bottom" textRotation="0" wrapText="false" indent="0" shrinkToFit="false"/>
      <protection locked="true" hidden="false"/>
    </xf>
    <xf numFmtId="174" fontId="60" fillId="14" borderId="22" xfId="0" applyFont="true" applyBorder="true" applyAlignment="true" applyProtection="true">
      <alignment horizontal="general" vertical="bottom" textRotation="0" wrapText="false" indent="0" shrinkToFit="false"/>
      <protection locked="true" hidden="false"/>
    </xf>
    <xf numFmtId="174" fontId="60" fillId="14" borderId="23" xfId="0" applyFont="true" applyBorder="true" applyAlignment="true" applyProtection="true">
      <alignment horizontal="general" vertical="bottom" textRotation="0" wrapText="false" indent="0" shrinkToFit="false"/>
      <protection locked="true" hidden="false"/>
    </xf>
    <xf numFmtId="174" fontId="60" fillId="0" borderId="20" xfId="0" applyFont="true" applyBorder="true" applyAlignment="true" applyProtection="true">
      <alignment horizontal="general" vertical="bottom" textRotation="0" wrapText="false" indent="0" shrinkToFit="false"/>
      <protection locked="true" hidden="false"/>
    </xf>
    <xf numFmtId="174" fontId="60" fillId="14" borderId="24" xfId="0" applyFont="true" applyBorder="true" applyAlignment="true" applyProtection="true">
      <alignment horizontal="general" vertical="bottom" textRotation="0" wrapText="false" indent="0" shrinkToFit="false"/>
      <protection locked="true" hidden="false"/>
    </xf>
    <xf numFmtId="174" fontId="60" fillId="0" borderId="23" xfId="0" applyFont="true" applyBorder="true" applyAlignment="true" applyProtection="true">
      <alignment horizontal="general" vertical="bottom" textRotation="0" wrapText="false" indent="0" shrinkToFit="false"/>
      <protection locked="true" hidden="false"/>
    </xf>
    <xf numFmtId="174" fontId="71" fillId="0" borderId="0" xfId="0" applyFont="true" applyBorder="false" applyAlignment="true" applyProtection="true">
      <alignment horizontal="general" vertical="bottom" textRotation="0" wrapText="false" indent="0" shrinkToFit="false"/>
      <protection locked="true" hidden="false"/>
    </xf>
    <xf numFmtId="174" fontId="59" fillId="20" borderId="44" xfId="0" applyFont="true" applyBorder="true" applyAlignment="true" applyProtection="true">
      <alignment horizontal="general" vertical="bottom" textRotation="0" wrapText="false" indent="0" shrinkToFit="false"/>
      <protection locked="true" hidden="false"/>
    </xf>
    <xf numFmtId="174" fontId="59" fillId="20" borderId="5" xfId="0" applyFont="true" applyBorder="true" applyAlignment="true" applyProtection="true">
      <alignment horizontal="general" vertical="bottom" textRotation="0" wrapText="false" indent="0" shrinkToFit="false"/>
      <protection locked="true" hidden="false"/>
    </xf>
    <xf numFmtId="174" fontId="59" fillId="14" borderId="27" xfId="0" applyFont="true" applyBorder="true" applyAlignment="true" applyProtection="true">
      <alignment horizontal="general" vertical="bottom" textRotation="0" wrapText="false" indent="0" shrinkToFit="false"/>
      <protection locked="true" hidden="false"/>
    </xf>
    <xf numFmtId="174" fontId="48" fillId="20" borderId="27" xfId="0" applyFont="true" applyBorder="true" applyAlignment="true" applyProtection="true">
      <alignment horizontal="general" vertical="bottom" textRotation="0" wrapText="false" indent="0" shrinkToFit="false"/>
      <protection locked="true" hidden="false"/>
    </xf>
    <xf numFmtId="174" fontId="48" fillId="20" borderId="3" xfId="0" applyFont="true" applyBorder="true" applyAlignment="true" applyProtection="true">
      <alignment horizontal="general" vertical="bottom" textRotation="0" wrapText="false" indent="0" shrinkToFit="false"/>
      <protection locked="true" hidden="false"/>
    </xf>
    <xf numFmtId="174" fontId="59" fillId="0" borderId="42" xfId="0" applyFont="true" applyBorder="true" applyAlignment="true" applyProtection="true">
      <alignment horizontal="general" vertical="bottom" textRotation="0" wrapText="false" indent="0" shrinkToFit="false"/>
      <protection locked="true" hidden="false"/>
    </xf>
    <xf numFmtId="174" fontId="57" fillId="0" borderId="24" xfId="0" applyFont="true" applyBorder="true" applyAlignment="true" applyProtection="true">
      <alignment horizontal="general" vertical="bottom" textRotation="0" wrapText="false" indent="0" shrinkToFit="false"/>
      <protection locked="true" hidden="false"/>
    </xf>
    <xf numFmtId="174" fontId="57" fillId="0" borderId="3" xfId="0" applyFont="true" applyBorder="true" applyAlignment="true" applyProtection="true">
      <alignment horizontal="general" vertical="bottom" textRotation="0" wrapText="false" indent="0" shrinkToFit="false"/>
      <protection locked="true" hidden="false"/>
    </xf>
    <xf numFmtId="174" fontId="59" fillId="14" borderId="3" xfId="0" applyFont="true" applyBorder="true" applyAlignment="true" applyProtection="true">
      <alignment horizontal="general" vertical="bottom" textRotation="0" wrapText="false" indent="0" shrinkToFit="false"/>
      <protection locked="true" hidden="false"/>
    </xf>
    <xf numFmtId="174" fontId="72" fillId="21" borderId="6" xfId="0" applyFont="true" applyBorder="true" applyAlignment="true" applyProtection="true">
      <alignment horizontal="right" vertical="center" textRotation="0" wrapText="false" indent="1" shrinkToFit="false"/>
      <protection locked="true" hidden="false"/>
    </xf>
    <xf numFmtId="174" fontId="73" fillId="21" borderId="6" xfId="0" applyFont="true" applyBorder="true" applyAlignment="true" applyProtection="true">
      <alignment horizontal="left" vertical="center" textRotation="0" wrapText="false" indent="0" shrinkToFit="false"/>
      <protection locked="true" hidden="false"/>
    </xf>
    <xf numFmtId="174" fontId="57" fillId="15" borderId="14" xfId="0" applyFont="true" applyBorder="true" applyAlignment="true" applyProtection="true">
      <alignment horizontal="general" vertical="bottom" textRotation="0" wrapText="false" indent="0" shrinkToFit="false"/>
      <protection locked="true" hidden="false"/>
    </xf>
    <xf numFmtId="174" fontId="57" fillId="15" borderId="16" xfId="0" applyFont="true" applyBorder="true" applyAlignment="true" applyProtection="true">
      <alignment horizontal="general" vertical="bottom" textRotation="0" wrapText="false" indent="0" shrinkToFit="false"/>
      <protection locked="true" hidden="false"/>
    </xf>
    <xf numFmtId="174" fontId="57" fillId="15" borderId="17" xfId="0" applyFont="true" applyBorder="true" applyAlignment="true" applyProtection="true">
      <alignment horizontal="general" vertical="bottom" textRotation="0" wrapText="false" indent="0" shrinkToFit="false"/>
      <protection locked="true" hidden="false"/>
    </xf>
    <xf numFmtId="174" fontId="57" fillId="15" borderId="19" xfId="0" applyFont="true" applyBorder="true" applyAlignment="true" applyProtection="true">
      <alignment horizontal="general" vertical="bottom" textRotation="0" wrapText="false" indent="0" shrinkToFit="false"/>
      <protection locked="true" hidden="false"/>
    </xf>
    <xf numFmtId="174" fontId="57" fillId="15" borderId="21" xfId="0" applyFont="true" applyBorder="true" applyAlignment="true" applyProtection="true">
      <alignment horizontal="general" vertical="bottom" textRotation="0" wrapText="false" indent="0" shrinkToFit="false"/>
      <protection locked="true" hidden="false"/>
    </xf>
    <xf numFmtId="174" fontId="57" fillId="15" borderId="22" xfId="0" applyFont="true" applyBorder="true" applyAlignment="true" applyProtection="true">
      <alignment horizontal="general" vertical="bottom" textRotation="0" wrapText="false" indent="0" shrinkToFit="false"/>
      <protection locked="true" hidden="false"/>
    </xf>
    <xf numFmtId="174" fontId="57" fillId="15" borderId="25" xfId="0" applyFont="true" applyBorder="true" applyAlignment="true" applyProtection="true">
      <alignment horizontal="general" vertical="bottom" textRotation="0" wrapText="false" indent="0" shrinkToFit="false"/>
      <protection locked="true" hidden="false"/>
    </xf>
    <xf numFmtId="174" fontId="57" fillId="15" borderId="26" xfId="0" applyFont="true" applyBorder="true" applyAlignment="true" applyProtection="true">
      <alignment horizontal="general" vertical="bottom" textRotation="0" wrapText="false" indent="0" shrinkToFit="false"/>
      <protection locked="true" hidden="false"/>
    </xf>
    <xf numFmtId="174" fontId="57" fillId="15" borderId="27" xfId="0" applyFont="true" applyBorder="true" applyAlignment="true" applyProtection="true">
      <alignment horizontal="general" vertical="bottom" textRotation="0" wrapText="false" indent="0" shrinkToFit="false"/>
      <protection locked="true" hidden="false"/>
    </xf>
    <xf numFmtId="174" fontId="57" fillId="15" borderId="24" xfId="0" applyFont="true" applyBorder="true" applyAlignment="true" applyProtection="true">
      <alignment horizontal="general" vertical="bottom" textRotation="0" wrapText="false" indent="0" shrinkToFit="false"/>
      <protection locked="true" hidden="false"/>
    </xf>
    <xf numFmtId="174" fontId="57" fillId="15" borderId="29" xfId="0" applyFont="true" applyBorder="true" applyAlignment="true" applyProtection="true">
      <alignment horizontal="general" vertical="bottom" textRotation="0" wrapText="false" indent="0" shrinkToFit="false"/>
      <protection locked="true" hidden="false"/>
    </xf>
    <xf numFmtId="174" fontId="57" fillId="15" borderId="67" xfId="0" applyFont="true" applyBorder="true" applyAlignment="true" applyProtection="true">
      <alignment horizontal="general" vertical="bottom" textRotation="0" wrapText="false" indent="0" shrinkToFit="false"/>
      <protection locked="true" hidden="false"/>
    </xf>
    <xf numFmtId="174" fontId="57" fillId="15" borderId="32" xfId="0" applyFont="true" applyBorder="true" applyAlignment="true" applyProtection="true">
      <alignment horizontal="general" vertical="bottom" textRotation="0" wrapText="false" indent="0" shrinkToFit="false"/>
      <protection locked="true" hidden="false"/>
    </xf>
    <xf numFmtId="174" fontId="57" fillId="14" borderId="26" xfId="0" applyFont="true" applyBorder="true" applyAlignment="true" applyProtection="true">
      <alignment horizontal="general" vertical="bottom" textRotation="0" wrapText="false" indent="0" shrinkToFit="false"/>
      <protection locked="true" hidden="false"/>
    </xf>
    <xf numFmtId="174" fontId="57" fillId="14" borderId="3" xfId="0" applyFont="true" applyBorder="true" applyAlignment="true" applyProtection="true">
      <alignment horizontal="general" vertical="bottom" textRotation="0" wrapText="false" indent="0" shrinkToFit="false"/>
      <protection locked="true" hidden="false"/>
    </xf>
    <xf numFmtId="174" fontId="57" fillId="14" borderId="29" xfId="0" applyFont="true" applyBorder="true" applyAlignment="true" applyProtection="true">
      <alignment horizontal="general" vertical="bottom" textRotation="0" wrapText="false" indent="0" shrinkToFit="false"/>
      <protection locked="true" hidden="false"/>
    </xf>
    <xf numFmtId="174" fontId="57" fillId="15" borderId="4" xfId="0" applyFont="true" applyBorder="true" applyAlignment="true" applyProtection="true">
      <alignment horizontal="general" vertical="bottom" textRotation="0" wrapText="false" indent="0" shrinkToFit="false"/>
      <protection locked="true" hidden="false"/>
    </xf>
    <xf numFmtId="174" fontId="57" fillId="15" borderId="30" xfId="0" applyFont="true" applyBorder="true" applyAlignment="true" applyProtection="true">
      <alignment horizontal="general" vertical="bottom" textRotation="0" wrapText="false" indent="0" shrinkToFit="false"/>
      <protection locked="true" hidden="false"/>
    </xf>
    <xf numFmtId="174" fontId="57" fillId="15" borderId="3" xfId="0" applyFont="true" applyBorder="true" applyAlignment="true" applyProtection="true">
      <alignment horizontal="general" vertical="bottom" textRotation="0" wrapText="false" indent="0" shrinkToFit="false"/>
      <protection locked="true" hidden="false"/>
    </xf>
    <xf numFmtId="174" fontId="57" fillId="15" borderId="5" xfId="0" applyFont="true" applyBorder="true" applyAlignment="true" applyProtection="true">
      <alignment horizontal="general" vertical="bottom" textRotation="0" wrapText="false" indent="0" shrinkToFit="false"/>
      <protection locked="true" hidden="false"/>
    </xf>
    <xf numFmtId="174" fontId="57" fillId="15" borderId="34" xfId="0" applyFont="true" applyBorder="true" applyAlignment="true" applyProtection="true">
      <alignment horizontal="general" vertical="bottom" textRotation="0" wrapText="false" indent="0" shrinkToFit="false"/>
      <protection locked="true" hidden="false"/>
    </xf>
    <xf numFmtId="174" fontId="57" fillId="15" borderId="35" xfId="0" applyFont="true" applyBorder="true" applyAlignment="true" applyProtection="true">
      <alignment horizontal="general" vertical="bottom" textRotation="0" wrapText="false" indent="0" shrinkToFit="false"/>
      <protection locked="true" hidden="false"/>
    </xf>
    <xf numFmtId="174" fontId="57" fillId="15" borderId="36" xfId="0" applyFont="true" applyBorder="true" applyAlignment="true" applyProtection="true">
      <alignment horizontal="general" vertical="bottom" textRotation="0" wrapText="false" indent="0" shrinkToFit="false"/>
      <protection locked="true" hidden="false"/>
    </xf>
    <xf numFmtId="174" fontId="57" fillId="15" borderId="37" xfId="0" applyFont="true" applyBorder="true" applyAlignment="true" applyProtection="true">
      <alignment horizontal="general" vertical="bottom" textRotation="0" wrapText="false" indent="0" shrinkToFit="false"/>
      <protection locked="true" hidden="false"/>
    </xf>
    <xf numFmtId="174" fontId="57" fillId="15" borderId="38" xfId="0" applyFont="true" applyBorder="true" applyAlignment="true" applyProtection="true">
      <alignment horizontal="general" vertical="bottom" textRotation="0" wrapText="false" indent="0" shrinkToFit="false"/>
      <protection locked="true" hidden="false"/>
    </xf>
    <xf numFmtId="174" fontId="57" fillId="15" borderId="44" xfId="0" applyFont="true" applyBorder="true" applyAlignment="true" applyProtection="true">
      <alignment horizontal="general" vertical="bottom" textRotation="0" wrapText="false" indent="0" shrinkToFit="false"/>
      <protection locked="true" hidden="false"/>
    </xf>
    <xf numFmtId="174" fontId="57" fillId="15" borderId="42" xfId="0" applyFont="true" applyBorder="true" applyAlignment="true" applyProtection="true">
      <alignment horizontal="general" vertical="bottom" textRotation="0" wrapText="false" indent="0" shrinkToFit="false"/>
      <protection locked="true" hidden="false"/>
    </xf>
    <xf numFmtId="174" fontId="57" fillId="15" borderId="66" xfId="0" applyFont="true" applyBorder="true" applyAlignment="true" applyProtection="true">
      <alignment horizontal="general" vertical="bottom" textRotation="0" wrapText="false" indent="0" shrinkToFit="false"/>
      <protection locked="true" hidden="false"/>
    </xf>
    <xf numFmtId="174" fontId="57" fillId="15" borderId="43" xfId="0" applyFont="true" applyBorder="true" applyAlignment="true" applyProtection="true">
      <alignment horizontal="general" vertical="bottom" textRotation="0" wrapText="false" indent="0" shrinkToFit="false"/>
      <protection locked="true" hidden="false"/>
    </xf>
    <xf numFmtId="174" fontId="57" fillId="15" borderId="31" xfId="0" applyFont="true" applyBorder="true" applyAlignment="true" applyProtection="true">
      <alignment horizontal="general" vertical="bottom" textRotation="0" wrapText="false" indent="0" shrinkToFit="false"/>
      <protection locked="true" hidden="false"/>
    </xf>
    <xf numFmtId="174" fontId="56" fillId="15" borderId="30" xfId="0" applyFont="true" applyBorder="true" applyAlignment="true" applyProtection="true">
      <alignment horizontal="left" vertical="bottom" textRotation="0" wrapText="false" indent="0" shrinkToFit="true"/>
      <protection locked="true" hidden="false"/>
    </xf>
    <xf numFmtId="174" fontId="56" fillId="15" borderId="33" xfId="0" applyFont="true" applyBorder="true" applyAlignment="true" applyProtection="true">
      <alignment horizontal="general" vertical="bottom" textRotation="0" wrapText="false" indent="0" shrinkToFit="false"/>
      <protection locked="true" hidden="false"/>
    </xf>
    <xf numFmtId="174" fontId="57" fillId="15" borderId="46" xfId="0" applyFont="true" applyBorder="true" applyAlignment="true" applyProtection="true">
      <alignment horizontal="general" vertical="bottom" textRotation="0" wrapText="false" indent="0" shrinkToFit="false"/>
      <protection locked="true" hidden="false"/>
    </xf>
    <xf numFmtId="174" fontId="57" fillId="15" borderId="47" xfId="0" applyFont="true" applyBorder="true" applyAlignment="true" applyProtection="true">
      <alignment horizontal="general" vertical="bottom" textRotation="0" wrapText="false" indent="0" shrinkToFit="false"/>
      <protection locked="true" hidden="false"/>
    </xf>
    <xf numFmtId="174" fontId="57" fillId="15" borderId="70" xfId="0" applyFont="true" applyBorder="true" applyAlignment="true" applyProtection="true">
      <alignment horizontal="general" vertical="bottom" textRotation="0" wrapText="false" indent="0" shrinkToFit="false"/>
      <protection locked="true" hidden="false"/>
    </xf>
    <xf numFmtId="174" fontId="57" fillId="15" borderId="49" xfId="0" applyFont="true" applyBorder="true" applyAlignment="true" applyProtection="true">
      <alignment horizontal="general" vertical="bottom" textRotation="0" wrapText="false" indent="0" shrinkToFit="false"/>
      <protection locked="true" hidden="false"/>
    </xf>
    <xf numFmtId="174" fontId="57" fillId="15" borderId="50" xfId="0" applyFont="true" applyBorder="true" applyAlignment="true" applyProtection="true">
      <alignment horizontal="general" vertical="bottom" textRotation="0" wrapText="false" indent="0" shrinkToFit="false"/>
      <protection locked="true" hidden="false"/>
    </xf>
    <xf numFmtId="174" fontId="57" fillId="15" borderId="51" xfId="0" applyFont="true" applyBorder="true" applyAlignment="true" applyProtection="true">
      <alignment horizontal="general" vertical="center" textRotation="0" wrapText="false" indent="0" shrinkToFit="false"/>
      <protection locked="true" hidden="false"/>
    </xf>
    <xf numFmtId="174" fontId="57" fillId="15" borderId="52" xfId="0" applyFont="true" applyBorder="true" applyAlignment="true" applyProtection="true">
      <alignment horizontal="general" vertical="center" textRotation="0" wrapText="false" indent="0" shrinkToFit="false"/>
      <protection locked="true" hidden="false"/>
    </xf>
    <xf numFmtId="174" fontId="57" fillId="15" borderId="53" xfId="0" applyFont="true" applyBorder="true" applyAlignment="true" applyProtection="true">
      <alignment horizontal="general" vertical="center" textRotation="0" wrapText="false" indent="0" shrinkToFit="false"/>
      <protection locked="true" hidden="false"/>
    </xf>
    <xf numFmtId="174" fontId="57" fillId="15" borderId="71" xfId="0" applyFont="true" applyBorder="true" applyAlignment="true" applyProtection="true">
      <alignment horizontal="general" vertical="bottom" textRotation="0" wrapText="false" indent="0" shrinkToFit="false"/>
      <protection locked="true" hidden="false"/>
    </xf>
    <xf numFmtId="174" fontId="57" fillId="15" borderId="54" xfId="0" applyFont="true" applyBorder="true" applyAlignment="true" applyProtection="true">
      <alignment horizontal="general" vertical="bottom" textRotation="0" wrapText="false" indent="0" shrinkToFit="false"/>
      <protection locked="true" hidden="false"/>
    </xf>
    <xf numFmtId="174" fontId="57" fillId="15" borderId="55" xfId="0" applyFont="true" applyBorder="true" applyAlignment="true" applyProtection="true">
      <alignment horizontal="general" vertical="bottom" textRotation="0" wrapText="false" indent="0" shrinkToFit="false"/>
      <protection locked="true" hidden="false"/>
    </xf>
    <xf numFmtId="174" fontId="57" fillId="15" borderId="56" xfId="0" applyFont="true" applyBorder="true" applyAlignment="true" applyProtection="true">
      <alignment horizontal="general" vertical="center" textRotation="0" wrapText="false" indent="0" shrinkToFit="false"/>
      <protection locked="true" hidden="false"/>
    </xf>
    <xf numFmtId="174" fontId="57" fillId="15" borderId="57" xfId="0" applyFont="true" applyBorder="true" applyAlignment="true" applyProtection="true">
      <alignment horizontal="general" vertical="center" textRotation="0" wrapText="false" indent="0" shrinkToFit="false"/>
      <protection locked="true" hidden="false"/>
    </xf>
    <xf numFmtId="174" fontId="57" fillId="15" borderId="58" xfId="0" applyFont="true" applyBorder="true" applyAlignment="true" applyProtection="true">
      <alignment horizontal="general" vertical="center" textRotation="0" wrapText="false" indent="0" shrinkToFit="false"/>
      <protection locked="true" hidden="false"/>
    </xf>
    <xf numFmtId="174" fontId="57" fillId="14" borderId="4" xfId="0" applyFont="true" applyBorder="true" applyAlignment="true" applyProtection="true">
      <alignment horizontal="general" vertical="bottom" textRotation="0" wrapText="false" indent="0" shrinkToFit="false"/>
      <protection locked="true" hidden="false"/>
    </xf>
    <xf numFmtId="174" fontId="57" fillId="15" borderId="59" xfId="0" applyFont="true" applyBorder="true" applyAlignment="true" applyProtection="true">
      <alignment horizontal="general" vertical="bottom" textRotation="0" wrapText="false" indent="0" shrinkToFit="false"/>
      <protection locked="true" hidden="false"/>
    </xf>
    <xf numFmtId="174" fontId="57" fillId="15" borderId="12" xfId="0" applyFont="true" applyBorder="true" applyAlignment="true" applyProtection="true">
      <alignment horizontal="general" vertical="bottom" textRotation="0" wrapText="false" indent="0" shrinkToFit="false"/>
      <protection locked="true" hidden="false"/>
    </xf>
    <xf numFmtId="174" fontId="57" fillId="15" borderId="6" xfId="0" applyFont="true" applyBorder="true" applyAlignment="true" applyProtection="true">
      <alignment horizontal="general" vertical="bottom" textRotation="0" wrapText="false" indent="0" shrinkToFit="false"/>
      <protection locked="true" hidden="false"/>
    </xf>
    <xf numFmtId="174" fontId="57" fillId="15" borderId="61" xfId="0" applyFont="true" applyBorder="true" applyAlignment="true" applyProtection="true">
      <alignment horizontal="general" vertical="bottom" textRotation="0" wrapText="false" indent="0" shrinkToFit="false"/>
      <protection locked="true" hidden="false"/>
    </xf>
    <xf numFmtId="174" fontId="57" fillId="15" borderId="60" xfId="0" applyFont="true" applyBorder="true" applyAlignment="true" applyProtection="true">
      <alignment horizontal="general" vertical="bottom" textRotation="0" wrapText="false" indent="0" shrinkToFit="false"/>
      <protection locked="true" hidden="false"/>
    </xf>
    <xf numFmtId="174" fontId="57" fillId="15" borderId="62" xfId="0" applyFont="true" applyBorder="true" applyAlignment="true" applyProtection="true">
      <alignment horizontal="general" vertical="bottom" textRotation="0" wrapText="false" indent="0" shrinkToFit="false"/>
      <protection locked="true" hidden="false"/>
    </xf>
    <xf numFmtId="174" fontId="56" fillId="15" borderId="64" xfId="0" applyFont="true" applyBorder="true" applyAlignment="true" applyProtection="true">
      <alignment horizontal="center" vertical="center" textRotation="0" wrapText="false" indent="0" shrinkToFit="false"/>
      <protection locked="true" hidden="false"/>
    </xf>
    <xf numFmtId="174" fontId="57" fillId="14" borderId="8" xfId="0" applyFont="true" applyBorder="true" applyAlignment="true" applyProtection="true">
      <alignment horizontal="general" vertical="bottom" textRotation="0" wrapText="false" indent="0" shrinkToFit="false"/>
      <protection locked="true" hidden="false"/>
    </xf>
    <xf numFmtId="174" fontId="57" fillId="14" borderId="59" xfId="0" applyFont="true" applyBorder="true" applyAlignment="true" applyProtection="true">
      <alignment horizontal="general" vertical="bottom" textRotation="0" wrapText="false" indent="0" shrinkToFit="false"/>
      <protection locked="true" hidden="false"/>
    </xf>
    <xf numFmtId="174" fontId="57" fillId="14" borderId="65" xfId="0" applyFont="true" applyBorder="true" applyAlignment="true" applyProtection="true">
      <alignment horizontal="general" vertical="bottom" textRotation="0" wrapText="false" indent="0" shrinkToFit="false"/>
      <protection locked="true" hidden="false"/>
    </xf>
    <xf numFmtId="174" fontId="57" fillId="14" borderId="6" xfId="0" applyFont="true" applyBorder="true" applyAlignment="true" applyProtection="true">
      <alignment horizontal="general" vertical="bottom" textRotation="0" wrapText="false" indent="0" shrinkToFit="false"/>
      <protection locked="true" hidden="false"/>
    </xf>
    <xf numFmtId="174" fontId="57" fillId="14" borderId="10" xfId="0" applyFont="true" applyBorder="true" applyAlignment="true" applyProtection="true">
      <alignment horizontal="general" vertical="bottom" textRotation="0" wrapText="false" indent="0" shrinkToFit="true"/>
      <protection locked="true" hidden="false"/>
    </xf>
    <xf numFmtId="174" fontId="64" fillId="19" borderId="8" xfId="0" applyFont="true" applyBorder="true" applyAlignment="true" applyProtection="true">
      <alignment horizontal="general" vertical="bottom" textRotation="0" wrapText="false" indent="0" shrinkToFit="false"/>
      <protection locked="true" hidden="false"/>
    </xf>
    <xf numFmtId="174" fontId="64" fillId="19" borderId="12" xfId="0" applyFont="true" applyBorder="true" applyAlignment="true" applyProtection="true">
      <alignment horizontal="general" vertical="bottom" textRotation="0" wrapText="false" indent="0" shrinkToFit="false"/>
      <protection locked="true" hidden="false"/>
    </xf>
    <xf numFmtId="174" fontId="65" fillId="13" borderId="6" xfId="0" applyFont="true" applyBorder="true" applyAlignment="true" applyProtection="true">
      <alignment horizontal="general" vertical="center" textRotation="0" wrapText="false" indent="0" shrinkToFit="false"/>
      <protection locked="true" hidden="false"/>
    </xf>
    <xf numFmtId="174" fontId="52" fillId="13" borderId="6" xfId="0" applyFont="true" applyBorder="true" applyAlignment="true" applyProtection="true">
      <alignment horizontal="right" vertical="center" textRotation="0" wrapText="false" indent="1" shrinkToFit="false"/>
      <protection locked="true" hidden="false"/>
    </xf>
    <xf numFmtId="174" fontId="53" fillId="13" borderId="6" xfId="0" applyFont="true" applyBorder="true" applyAlignment="true" applyProtection="true">
      <alignment horizontal="left" vertical="center" textRotation="0" wrapText="false" indent="1" shrinkToFit="false"/>
      <protection locked="true" hidden="false"/>
    </xf>
    <xf numFmtId="174" fontId="65" fillId="0" borderId="6" xfId="0" applyFont="true" applyBorder="true" applyAlignment="true" applyProtection="true">
      <alignment horizontal="center" vertical="center" textRotation="0" wrapText="false" indent="0" shrinkToFit="false"/>
      <protection locked="true" hidden="false"/>
    </xf>
    <xf numFmtId="174" fontId="0" fillId="14" borderId="40" xfId="0" applyFont="true" applyBorder="true" applyAlignment="true" applyProtection="true">
      <alignment horizontal="center"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74" fontId="53" fillId="14" borderId="7" xfId="0" applyFont="true" applyBorder="true" applyAlignment="true" applyProtection="true">
      <alignment horizontal="center" vertical="center" textRotation="0" wrapText="false" indent="0" shrinkToFit="false"/>
      <protection locked="true" hidden="false"/>
    </xf>
    <xf numFmtId="174" fontId="0" fillId="14" borderId="67" xfId="0" applyFont="true" applyBorder="true" applyAlignment="true" applyProtection="true">
      <alignment horizontal="center" vertical="bottom" textRotation="0" wrapText="false" indent="0" shrinkToFit="false"/>
      <protection locked="true" hidden="false"/>
    </xf>
    <xf numFmtId="174" fontId="0" fillId="14" borderId="3" xfId="0" applyFont="true" applyBorder="true" applyAlignment="true" applyProtection="true">
      <alignment horizontal="center" vertical="bottom" textRotation="0" wrapText="false" indent="0" shrinkToFit="false"/>
      <protection locked="true" hidden="false"/>
    </xf>
    <xf numFmtId="174" fontId="0" fillId="14" borderId="31" xfId="0" applyFont="true" applyBorder="true" applyAlignment="true" applyProtection="true">
      <alignment horizontal="center" vertical="bottom" textRotation="0" wrapText="false" indent="0" shrinkToFit="false"/>
      <protection locked="true" hidden="false"/>
    </xf>
    <xf numFmtId="174" fontId="0" fillId="14" borderId="11" xfId="0" applyFont="true" applyBorder="true" applyAlignment="true" applyProtection="true">
      <alignment horizontal="center" vertical="center" textRotation="0" wrapText="false" indent="0" shrinkToFit="false"/>
      <protection locked="true" hidden="false"/>
    </xf>
    <xf numFmtId="174" fontId="0" fillId="14" borderId="12" xfId="0" applyFont="true" applyBorder="true" applyAlignment="true" applyProtection="true">
      <alignment horizontal="center" vertical="center" textRotation="0" wrapText="false" indent="0" shrinkToFit="false"/>
      <protection locked="true" hidden="false"/>
    </xf>
    <xf numFmtId="174" fontId="53" fillId="0" borderId="11" xfId="0" applyFont="true" applyBorder="true" applyAlignment="true" applyProtection="true">
      <alignment horizontal="center" vertical="center" textRotation="0" wrapText="true" indent="0" shrinkToFit="false"/>
      <protection locked="true" hidden="false"/>
    </xf>
    <xf numFmtId="174" fontId="53" fillId="0" borderId="39" xfId="0" applyFont="true" applyBorder="true" applyAlignment="true" applyProtection="true">
      <alignment horizontal="center" vertical="center" textRotation="0" wrapText="true" indent="0" shrinkToFit="false"/>
      <protection locked="true" hidden="false"/>
    </xf>
    <xf numFmtId="174" fontId="0" fillId="14" borderId="6" xfId="0" applyFont="true" applyBorder="true" applyAlignment="true" applyProtection="true">
      <alignment horizontal="center" vertical="bottom" textRotation="0" wrapText="false" indent="0" shrinkToFit="false"/>
      <protection locked="true" hidden="false"/>
    </xf>
    <xf numFmtId="174" fontId="0" fillId="14" borderId="61" xfId="0" applyFont="true" applyBorder="true" applyAlignment="true" applyProtection="true">
      <alignment horizontal="center" vertical="bottom" textRotation="0" wrapText="false" indent="0" shrinkToFit="false"/>
      <protection locked="true" hidden="false"/>
    </xf>
    <xf numFmtId="174" fontId="0" fillId="14" borderId="37" xfId="0" applyFont="true" applyBorder="true" applyAlignment="true" applyProtection="true">
      <alignment horizontal="center" vertical="bottom" textRotation="0" wrapText="false" indent="0" shrinkToFit="false"/>
      <protection locked="true" hidden="false"/>
    </xf>
    <xf numFmtId="174" fontId="53" fillId="0" borderId="13" xfId="0" applyFont="true" applyBorder="true" applyAlignment="true" applyProtection="true">
      <alignment horizontal="left" vertical="bottom" textRotation="0" wrapText="false" indent="0" shrinkToFit="false"/>
      <protection locked="true" hidden="false"/>
    </xf>
    <xf numFmtId="174" fontId="0" fillId="14" borderId="22" xfId="0" applyFont="true" applyBorder="true" applyAlignment="true" applyProtection="true">
      <alignment horizontal="general" vertical="bottom" textRotation="0" wrapText="false" indent="0" shrinkToFit="false"/>
      <protection locked="true" hidden="false"/>
    </xf>
    <xf numFmtId="174" fontId="0" fillId="14" borderId="20" xfId="0" applyFont="true" applyBorder="true" applyAlignment="true" applyProtection="true">
      <alignment horizontal="general" vertical="bottom" textRotation="0" wrapText="false" indent="0" shrinkToFit="false"/>
      <protection locked="true" hidden="false"/>
    </xf>
    <xf numFmtId="165" fontId="0" fillId="13" borderId="3" xfId="21" applyFont="true" applyBorder="true" applyAlignment="true" applyProtection="true">
      <alignment horizontal="general" vertical="bottom" textRotation="0" wrapText="false" indent="0" shrinkToFit="false"/>
      <protection locked="true" hidden="false"/>
    </xf>
    <xf numFmtId="174" fontId="74" fillId="13" borderId="13" xfId="0" applyFont="true" applyBorder="true" applyAlignment="true" applyProtection="true">
      <alignment horizontal="right" vertical="bottom" textRotation="0" wrapText="false" indent="0" shrinkToFit="true"/>
      <protection locked="true" hidden="false"/>
    </xf>
    <xf numFmtId="174" fontId="0" fillId="14" borderId="24" xfId="0" applyFont="true" applyBorder="true" applyAlignment="true" applyProtection="true">
      <alignment horizontal="general" vertical="bottom" textRotation="0" wrapText="false" indent="0" shrinkToFit="false"/>
      <protection locked="true" hidden="false"/>
    </xf>
    <xf numFmtId="174" fontId="0" fillId="14" borderId="25" xfId="0" applyFont="true" applyBorder="true" applyAlignment="true" applyProtection="true">
      <alignment horizontal="general" vertical="bottom" textRotation="0" wrapText="false" indent="0" shrinkToFit="false"/>
      <protection locked="true" hidden="false"/>
    </xf>
    <xf numFmtId="174" fontId="74" fillId="14" borderId="23" xfId="0" applyFont="true" applyBorder="true" applyAlignment="true" applyProtection="true">
      <alignment horizontal="general" vertical="bottom" textRotation="0" wrapText="false" indent="0" shrinkToFit="false"/>
      <protection locked="true" hidden="false"/>
    </xf>
    <xf numFmtId="174" fontId="0" fillId="14" borderId="21" xfId="0" applyFont="true" applyBorder="true" applyAlignment="true" applyProtection="true">
      <alignment horizontal="general" vertical="bottom" textRotation="0" wrapText="false" indent="0" shrinkToFit="false"/>
      <protection locked="true" hidden="false"/>
    </xf>
    <xf numFmtId="179" fontId="0" fillId="13" borderId="26" xfId="0" applyFont="true" applyBorder="true" applyAlignment="true" applyProtection="true">
      <alignment horizontal="right" vertical="bottom" textRotation="0" wrapText="false" indent="0" shrinkToFit="true"/>
      <protection locked="true" hidden="false"/>
    </xf>
    <xf numFmtId="179" fontId="0" fillId="13" borderId="29" xfId="0" applyFont="true" applyBorder="true" applyAlignment="true" applyProtection="true">
      <alignment horizontal="right" vertical="bottom" textRotation="0" wrapText="false" indent="0" shrinkToFit="true"/>
      <protection locked="true" hidden="false"/>
    </xf>
    <xf numFmtId="174" fontId="0" fillId="14" borderId="26" xfId="0" applyFont="true" applyBorder="true" applyAlignment="true" applyProtection="true">
      <alignment horizontal="general" vertical="bottom" textRotation="0" wrapText="false" indent="0" shrinkToFit="false"/>
      <protection locked="true" hidden="false"/>
    </xf>
    <xf numFmtId="174" fontId="0" fillId="14" borderId="27" xfId="0" applyFont="true" applyBorder="true" applyAlignment="true" applyProtection="true">
      <alignment horizontal="general" vertical="bottom" textRotation="0" wrapText="false" indent="0" shrinkToFit="false"/>
      <protection locked="true" hidden="false"/>
    </xf>
    <xf numFmtId="174" fontId="0" fillId="14" borderId="16" xfId="0" applyFont="true" applyBorder="true" applyAlignment="true" applyProtection="true">
      <alignment horizontal="general" vertical="bottom" textRotation="0" wrapText="false" indent="0" shrinkToFit="false"/>
      <protection locked="true" hidden="false"/>
    </xf>
    <xf numFmtId="165" fontId="0" fillId="13" borderId="3" xfId="21" applyFont="true" applyBorder="true" applyAlignment="true" applyProtection="true">
      <alignment horizontal="right" vertical="bottom" textRotation="0" wrapText="false" indent="0" shrinkToFit="false"/>
      <protection locked="true" hidden="false"/>
    </xf>
    <xf numFmtId="174" fontId="56" fillId="0" borderId="30" xfId="0" applyFont="true" applyBorder="true" applyAlignment="true" applyProtection="true">
      <alignment horizontal="left" vertical="bottom" textRotation="0" wrapText="false" indent="0" shrinkToFit="false"/>
      <protection locked="true" hidden="false"/>
    </xf>
    <xf numFmtId="174" fontId="0" fillId="14" borderId="31" xfId="0" applyFont="true" applyBorder="true" applyAlignment="true" applyProtection="true">
      <alignment horizontal="general" vertical="bottom" textRotation="0" wrapText="false" indent="0" shrinkToFit="false"/>
      <protection locked="true" hidden="false"/>
    </xf>
    <xf numFmtId="174" fontId="0" fillId="14" borderId="32" xfId="0" applyFont="true" applyBorder="true" applyAlignment="true" applyProtection="true">
      <alignment horizontal="general" vertical="bottom" textRotation="0" wrapText="false" indent="0" shrinkToFit="false"/>
      <protection locked="true" hidden="false"/>
    </xf>
    <xf numFmtId="174" fontId="53" fillId="0" borderId="33" xfId="0" applyFont="true" applyBorder="true" applyAlignment="true" applyProtection="true">
      <alignment horizontal="general" vertical="bottom" textRotation="0" wrapText="false" indent="0" shrinkToFit="false"/>
      <protection locked="true" hidden="false"/>
    </xf>
    <xf numFmtId="174" fontId="0" fillId="15" borderId="41" xfId="0" applyFont="true" applyBorder="true" applyAlignment="true" applyProtection="true">
      <alignment horizontal="left" vertical="bottom" textRotation="0" wrapText="false" indent="0" shrinkToFit="false"/>
      <protection locked="true" hidden="false"/>
    </xf>
    <xf numFmtId="174" fontId="0" fillId="14" borderId="29" xfId="0" applyFont="true" applyBorder="true" applyAlignment="true" applyProtection="true">
      <alignment horizontal="general" vertical="bottom" textRotation="0" wrapText="false" indent="0" shrinkToFit="false"/>
      <protection locked="true" hidden="false"/>
    </xf>
    <xf numFmtId="179" fontId="0" fillId="15" borderId="26" xfId="0" applyFont="true" applyBorder="true" applyAlignment="true" applyProtection="true">
      <alignment horizontal="right" vertical="bottom" textRotation="0" wrapText="false" indent="0" shrinkToFit="true"/>
      <protection locked="true" hidden="false"/>
    </xf>
    <xf numFmtId="179" fontId="0" fillId="15" borderId="29" xfId="0" applyFont="true" applyBorder="true" applyAlignment="true" applyProtection="true">
      <alignment horizontal="right" vertical="bottom" textRotation="0" wrapText="false" indent="0" shrinkToFit="true"/>
      <protection locked="true" hidden="false"/>
    </xf>
    <xf numFmtId="174" fontId="74" fillId="15" borderId="13" xfId="0" applyFont="true" applyBorder="true" applyAlignment="true" applyProtection="true">
      <alignment horizontal="right" vertical="bottom" textRotation="0" wrapText="false" indent="0" shrinkToFit="true"/>
      <protection locked="true" hidden="false"/>
    </xf>
    <xf numFmtId="174" fontId="0" fillId="14" borderId="28" xfId="0" applyFont="true" applyBorder="true" applyAlignment="true" applyProtection="true">
      <alignment horizontal="general" vertical="bottom" textRotation="0" wrapText="false" indent="0" shrinkToFit="false"/>
      <protection locked="true" hidden="false"/>
    </xf>
    <xf numFmtId="174" fontId="0" fillId="14" borderId="3" xfId="0" applyFont="true" applyBorder="true" applyAlignment="true" applyProtection="true">
      <alignment horizontal="general" vertical="bottom" textRotation="0" wrapText="false" indent="0" shrinkToFit="false"/>
      <protection locked="true" hidden="false"/>
    </xf>
    <xf numFmtId="174" fontId="0" fillId="15" borderId="30" xfId="0" applyFont="true" applyBorder="true" applyAlignment="true" applyProtection="true">
      <alignment horizontal="left" vertical="bottom" textRotation="0" wrapText="false" indent="0" shrinkToFit="false"/>
      <protection locked="true" hidden="false"/>
    </xf>
    <xf numFmtId="174" fontId="0" fillId="14" borderId="5" xfId="0" applyFont="true" applyBorder="true" applyAlignment="true" applyProtection="true">
      <alignment horizontal="general" vertical="bottom" textRotation="0" wrapText="false" indent="0" shrinkToFit="false"/>
      <protection locked="true" hidden="false"/>
    </xf>
    <xf numFmtId="179" fontId="0" fillId="15" borderId="69" xfId="0" applyFont="true" applyBorder="true" applyAlignment="true" applyProtection="true">
      <alignment horizontal="right" vertical="bottom" textRotation="0" wrapText="false" indent="0" shrinkToFit="true"/>
      <protection locked="true" hidden="false"/>
    </xf>
    <xf numFmtId="179" fontId="0" fillId="15" borderId="38" xfId="0" applyFont="true" applyBorder="true" applyAlignment="true" applyProtection="true">
      <alignment horizontal="right" vertical="bottom" textRotation="0" wrapText="false" indent="0" shrinkToFit="true"/>
      <protection locked="true" hidden="false"/>
    </xf>
    <xf numFmtId="174" fontId="53" fillId="15" borderId="7" xfId="0" applyFont="true" applyBorder="true" applyAlignment="true" applyProtection="true">
      <alignment horizontal="center" vertical="center" textRotation="0" wrapText="false" indent="0" shrinkToFit="false"/>
      <protection locked="true" hidden="false"/>
    </xf>
    <xf numFmtId="174" fontId="74" fillId="14" borderId="11" xfId="0" applyFont="true" applyBorder="true" applyAlignment="true" applyProtection="true">
      <alignment horizontal="general" vertical="bottom" textRotation="0" wrapText="false" indent="0" shrinkToFit="false"/>
      <protection locked="true" hidden="false"/>
    </xf>
    <xf numFmtId="174" fontId="74" fillId="14" borderId="8" xfId="0" applyFont="true" applyBorder="true" applyAlignment="true" applyProtection="true">
      <alignment horizontal="general" vertical="bottom" textRotation="0" wrapText="false" indent="0" shrinkToFit="false"/>
      <protection locked="true" hidden="false"/>
    </xf>
    <xf numFmtId="179" fontId="74" fillId="15" borderId="72" xfId="0" applyFont="true" applyBorder="true" applyAlignment="true" applyProtection="true">
      <alignment horizontal="right" vertical="bottom" textRotation="0" wrapText="false" indent="0" shrinkToFit="true"/>
      <protection locked="true" hidden="false"/>
    </xf>
    <xf numFmtId="179" fontId="74" fillId="15" borderId="39" xfId="0" applyFont="true" applyBorder="true" applyAlignment="true" applyProtection="true">
      <alignment horizontal="right" vertical="bottom" textRotation="0" wrapText="false" indent="0" shrinkToFit="true"/>
      <protection locked="true" hidden="false"/>
    </xf>
    <xf numFmtId="174" fontId="74" fillId="15" borderId="7" xfId="0" applyFont="true" applyBorder="true" applyAlignment="true" applyProtection="true">
      <alignment horizontal="right" vertical="bottom" textRotation="0" wrapText="false" indent="0" shrinkToFit="true"/>
      <protection locked="true" hidden="false"/>
    </xf>
    <xf numFmtId="174" fontId="74" fillId="14" borderId="9" xfId="0" applyFont="true" applyBorder="true" applyAlignment="true" applyProtection="true">
      <alignment horizontal="general" vertical="bottom" textRotation="0" wrapText="false" indent="0" shrinkToFit="false"/>
      <protection locked="true" hidden="false"/>
    </xf>
    <xf numFmtId="174" fontId="74" fillId="14" borderId="73" xfId="0" applyFont="true" applyBorder="true" applyAlignment="true" applyProtection="true">
      <alignment horizontal="general" vertical="bottom" textRotation="0" wrapText="false" indent="0" shrinkToFit="false"/>
      <protection locked="true" hidden="false"/>
    </xf>
    <xf numFmtId="174" fontId="74" fillId="14" borderId="60" xfId="0" applyFont="true" applyBorder="true" applyAlignment="true" applyProtection="true">
      <alignment horizontal="general" vertical="bottom" textRotation="0" wrapText="false" indent="0" shrinkToFit="false"/>
      <protection locked="true" hidden="false"/>
    </xf>
    <xf numFmtId="174" fontId="0" fillId="15" borderId="0" xfId="0" applyFont="true" applyBorder="false" applyAlignment="true" applyProtection="true">
      <alignment horizontal="general" vertical="bottom" textRotation="0" wrapText="false" indent="0" shrinkToFit="false"/>
      <protection locked="true" hidden="false"/>
    </xf>
    <xf numFmtId="174" fontId="53" fillId="15" borderId="8" xfId="0" applyFont="true" applyBorder="true" applyAlignment="true" applyProtection="true">
      <alignment horizontal="center" vertical="center" textRotation="0" wrapText="false" indent="0" shrinkToFit="false"/>
      <protection locked="true" hidden="false"/>
    </xf>
    <xf numFmtId="174" fontId="59" fillId="0" borderId="67" xfId="0" applyFont="true" applyBorder="true" applyAlignment="true" applyProtection="true">
      <alignment horizontal="general" vertical="bottom" textRotation="0" wrapText="false" indent="0" shrinkToFit="false"/>
      <protection locked="true" hidden="false"/>
    </xf>
    <xf numFmtId="174" fontId="57" fillId="14" borderId="27" xfId="0" applyFont="true" applyBorder="true" applyAlignment="true" applyProtection="true">
      <alignment horizontal="general" vertical="bottom" textRotation="0" wrapText="false" indent="0" shrinkToFit="false"/>
      <protection locked="true" hidden="false"/>
    </xf>
    <xf numFmtId="174" fontId="59" fillId="20" borderId="21" xfId="0" applyFont="true" applyBorder="true" applyAlignment="true" applyProtection="true">
      <alignment horizontal="general" vertical="bottom" textRotation="0" wrapText="false" indent="0" shrinkToFit="false"/>
      <protection locked="true" hidden="false"/>
    </xf>
    <xf numFmtId="174" fontId="59" fillId="20" borderId="32" xfId="0" applyFont="true" applyBorder="true" applyAlignment="true" applyProtection="true">
      <alignment horizontal="general" vertical="bottom" textRotation="0" wrapText="false" indent="0" shrinkToFit="false"/>
      <protection locked="true" hidden="false"/>
    </xf>
    <xf numFmtId="174" fontId="48" fillId="15" borderId="59" xfId="0" applyFont="true" applyBorder="true" applyAlignment="true" applyProtection="true">
      <alignment horizontal="general" vertical="bottom" textRotation="0" wrapText="false" indent="0" shrinkToFit="false"/>
      <protection locked="true" hidden="false"/>
    </xf>
    <xf numFmtId="174" fontId="48" fillId="15" borderId="12" xfId="0" applyFont="true" applyBorder="true" applyAlignment="true" applyProtection="true">
      <alignment horizontal="general" vertical="bottom" textRotation="0" wrapText="false" indent="0" shrinkToFit="false"/>
      <protection locked="true" hidden="false"/>
    </xf>
    <xf numFmtId="174" fontId="59" fillId="15" borderId="6" xfId="0" applyFont="true" applyBorder="true" applyAlignment="true" applyProtection="true">
      <alignment horizontal="general" vertical="bottom" textRotation="0" wrapText="false" indent="0" shrinkToFit="false"/>
      <protection locked="true" hidden="false"/>
    </xf>
    <xf numFmtId="174" fontId="59" fillId="15" borderId="61" xfId="0" applyFont="true" applyBorder="true" applyAlignment="true" applyProtection="true">
      <alignment horizontal="general" vertical="bottom" textRotation="0" wrapText="false" indent="0" shrinkToFit="false"/>
      <protection locked="true" hidden="false"/>
    </xf>
    <xf numFmtId="174" fontId="59" fillId="15" borderId="62" xfId="0" applyFont="true" applyBorder="true" applyAlignment="true" applyProtection="true">
      <alignment horizontal="general" vertical="bottom" textRotation="0" wrapText="false" indent="0" shrinkToFit="false"/>
      <protection locked="true" hidden="false"/>
    </xf>
    <xf numFmtId="174" fontId="54" fillId="0" borderId="0" xfId="0" applyFont="true" applyBorder="false" applyAlignment="true" applyProtection="true">
      <alignment horizontal="general" vertical="bottom" textRotation="0" wrapText="false" indent="0" shrinkToFit="false"/>
      <protection locked="true" hidden="false"/>
    </xf>
    <xf numFmtId="174" fontId="64" fillId="15" borderId="7" xfId="0" applyFont="true" applyBorder="true" applyAlignment="true" applyProtection="true">
      <alignment horizontal="center" vertical="center" textRotation="0" wrapText="false" indent="0" shrinkToFit="false"/>
      <protection locked="true" hidden="false"/>
    </xf>
    <xf numFmtId="174" fontId="75" fillId="15" borderId="11" xfId="0" applyFont="true" applyBorder="true" applyAlignment="true" applyProtection="true">
      <alignment horizontal="center" vertical="center" textRotation="0" wrapText="false" indent="0" shrinkToFit="false"/>
      <protection locked="true" hidden="false"/>
    </xf>
    <xf numFmtId="180" fontId="76" fillId="15" borderId="8" xfId="0" applyFont="true" applyBorder="true" applyAlignment="true" applyProtection="true">
      <alignment horizontal="center" vertical="center" textRotation="0" wrapText="false" indent="0" shrinkToFit="false"/>
      <protection locked="true" hidden="false"/>
    </xf>
    <xf numFmtId="180" fontId="75" fillId="15" borderId="11" xfId="0" applyFont="true" applyBorder="true" applyAlignment="true" applyProtection="true">
      <alignment horizontal="center" vertical="center" textRotation="0" wrapText="false" indent="0" shrinkToFit="false"/>
      <protection locked="true" hidden="false"/>
    </xf>
    <xf numFmtId="180" fontId="75" fillId="15" borderId="0" xfId="0" applyFont="true" applyBorder="true" applyAlignment="true" applyProtection="true">
      <alignment horizontal="center" vertical="center" textRotation="0" wrapText="false" indent="0" shrinkToFit="false"/>
      <protection locked="true" hidden="false"/>
    </xf>
    <xf numFmtId="180" fontId="75" fillId="15" borderId="6" xfId="0" applyFont="true" applyBorder="true" applyAlignment="true" applyProtection="true">
      <alignment horizontal="center" vertical="center" textRotation="0" wrapText="false" indent="0" shrinkToFit="false"/>
      <protection locked="true" hidden="false"/>
    </xf>
    <xf numFmtId="174" fontId="75" fillId="15" borderId="0" xfId="0" applyFont="true" applyBorder="true" applyAlignment="true" applyProtection="true">
      <alignment horizontal="center" vertical="center" textRotation="0" wrapText="false" indent="0" shrinkToFit="false"/>
      <protection locked="true" hidden="false"/>
    </xf>
    <xf numFmtId="174" fontId="48" fillId="15" borderId="0" xfId="0" applyFont="true" applyBorder="true" applyAlignment="true" applyProtection="true">
      <alignment horizontal="center" vertical="center" textRotation="0" wrapText="false" indent="0" shrinkToFit="false"/>
      <protection locked="true" hidden="false"/>
    </xf>
    <xf numFmtId="174" fontId="48" fillId="15"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74" fontId="0" fillId="0" borderId="0"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74" fontId="0" fillId="0" borderId="6" xfId="0" applyFont="false" applyBorder="true" applyAlignment="true" applyProtection="true">
      <alignment horizontal="general" vertical="center" textRotation="0" wrapText="false" indent="0" shrinkToFit="false"/>
      <protection locked="true" hidden="false"/>
    </xf>
    <xf numFmtId="174" fontId="0" fillId="0" borderId="7" xfId="0" applyFont="true" applyBorder="true" applyAlignment="true" applyProtection="true">
      <alignment horizontal="center" vertical="center" textRotation="0" wrapText="false" indent="0" shrinkToFit="false"/>
      <protection locked="true" hidden="false"/>
    </xf>
    <xf numFmtId="174" fontId="94" fillId="0" borderId="11" xfId="0" applyFont="true" applyBorder="true" applyAlignment="true" applyProtection="true">
      <alignment horizontal="center" vertical="center" textRotation="0" wrapText="false" indent="0" shrinkToFit="false"/>
      <protection locked="true" hidden="false"/>
    </xf>
    <xf numFmtId="174" fontId="94" fillId="0" borderId="12" xfId="0" applyFont="true" applyBorder="true" applyAlignment="true" applyProtection="true">
      <alignment horizontal="center" vertical="center" textRotation="0" wrapText="false" indent="0" shrinkToFit="false"/>
      <protection locked="true" hidden="false"/>
    </xf>
    <xf numFmtId="174" fontId="94" fillId="0" borderId="9" xfId="0" applyFont="true" applyBorder="true" applyAlignment="true" applyProtection="true">
      <alignment horizontal="center" vertical="center" textRotation="0" wrapText="false" indent="0" shrinkToFit="false"/>
      <protection locked="true" hidden="false"/>
    </xf>
    <xf numFmtId="174" fontId="95" fillId="0" borderId="12" xfId="0" applyFont="true" applyBorder="true" applyAlignment="true" applyProtection="true">
      <alignment horizontal="center" vertical="center" textRotation="0" wrapText="false" indent="0" shrinkToFit="false"/>
      <protection locked="true" hidden="false"/>
    </xf>
    <xf numFmtId="174" fontId="57" fillId="0" borderId="14" xfId="0" applyFont="true" applyBorder="true" applyAlignment="true" applyProtection="true">
      <alignment horizontal="general" vertical="bottom" textRotation="0" wrapText="false" indent="0" shrinkToFit="false"/>
      <protection locked="true" hidden="false"/>
    </xf>
    <xf numFmtId="174" fontId="57" fillId="0" borderId="16" xfId="0" applyFont="true" applyBorder="true" applyAlignment="true" applyProtection="true">
      <alignment horizontal="general" vertical="bottom" textRotation="0" wrapText="false" indent="0" shrinkToFit="false"/>
      <protection locked="true" hidden="false"/>
    </xf>
    <xf numFmtId="174" fontId="57" fillId="0" borderId="19" xfId="0" applyFont="true" applyBorder="true" applyAlignment="true" applyProtection="true">
      <alignment horizontal="general" vertical="bottom" textRotation="0" wrapText="false" indent="0" shrinkToFit="false"/>
      <protection locked="true" hidden="false"/>
    </xf>
    <xf numFmtId="174" fontId="57" fillId="0" borderId="21" xfId="0" applyFont="true" applyBorder="true" applyAlignment="true" applyProtection="true">
      <alignment horizontal="general" vertical="bottom" textRotation="0" wrapText="false" indent="0" shrinkToFit="false"/>
      <protection locked="true" hidden="false"/>
    </xf>
    <xf numFmtId="174" fontId="57" fillId="0" borderId="26" xfId="0" applyFont="true" applyBorder="true" applyAlignment="true" applyProtection="true">
      <alignment horizontal="general" vertical="bottom" textRotation="0" wrapText="false" indent="0" shrinkToFit="false"/>
      <protection locked="true" hidden="false"/>
    </xf>
    <xf numFmtId="174" fontId="57" fillId="0" borderId="27" xfId="0" applyFont="true" applyBorder="true" applyAlignment="true" applyProtection="true">
      <alignment horizontal="general" vertical="bottom" textRotation="0" wrapText="false" indent="0" shrinkToFit="false"/>
      <protection locked="true" hidden="false"/>
    </xf>
    <xf numFmtId="174" fontId="57" fillId="0" borderId="67" xfId="0" applyFont="true" applyBorder="true" applyAlignment="true" applyProtection="true">
      <alignment horizontal="general" vertical="bottom" textRotation="0" wrapText="false" indent="0" shrinkToFit="false"/>
      <protection locked="true" hidden="false"/>
    </xf>
    <xf numFmtId="174" fontId="57" fillId="0" borderId="37" xfId="0" applyFont="true" applyBorder="true" applyAlignment="true" applyProtection="true">
      <alignment horizontal="general" vertical="bottom" textRotation="0" wrapText="false" indent="0" shrinkToFit="false"/>
      <protection locked="true" hidden="false"/>
    </xf>
    <xf numFmtId="174" fontId="58" fillId="14" borderId="13" xfId="0" applyFont="true" applyBorder="true" applyAlignment="true" applyProtection="true">
      <alignment horizontal="left" vertical="bottom" textRotation="0" wrapText="false" indent="0" shrinkToFit="false"/>
      <protection locked="true" hidden="false"/>
    </xf>
    <xf numFmtId="174" fontId="57" fillId="14" borderId="22" xfId="0" applyFont="true" applyBorder="true" applyAlignment="true" applyProtection="true">
      <alignment horizontal="general" vertical="bottom" textRotation="0" wrapText="false" indent="0" shrinkToFit="false"/>
      <protection locked="true" hidden="false"/>
    </xf>
    <xf numFmtId="174" fontId="57" fillId="14" borderId="5" xfId="0" applyFont="true" applyBorder="true" applyAlignment="true" applyProtection="true">
      <alignment horizontal="general" vertical="bottom" textRotation="0" wrapText="false" indent="0" shrinkToFit="false"/>
      <protection locked="true" hidden="false"/>
    </xf>
    <xf numFmtId="174" fontId="57" fillId="14" borderId="21" xfId="0" applyFont="true" applyBorder="true" applyAlignment="true" applyProtection="true">
      <alignment horizontal="general" vertical="bottom" textRotation="0" wrapText="false" indent="0" shrinkToFit="false"/>
      <protection locked="true" hidden="false"/>
    </xf>
    <xf numFmtId="174" fontId="57" fillId="14" borderId="25" xfId="0" applyFont="true" applyBorder="true" applyAlignment="true" applyProtection="true">
      <alignment horizontal="general" vertical="bottom" textRotation="0" wrapText="false" indent="0" shrinkToFit="false"/>
      <protection locked="true" hidden="false"/>
    </xf>
    <xf numFmtId="174" fontId="58" fillId="14" borderId="30" xfId="0" applyFont="true" applyBorder="true" applyAlignment="true" applyProtection="true">
      <alignment horizontal="left" vertical="bottom" textRotation="0" wrapText="false" indent="0" shrinkToFit="false"/>
      <protection locked="true" hidden="false"/>
    </xf>
    <xf numFmtId="174" fontId="58" fillId="14" borderId="33" xfId="0" applyFont="true" applyBorder="true" applyAlignment="true" applyProtection="true">
      <alignment horizontal="left" vertical="bottom" textRotation="0" wrapText="false" indent="0" shrinkToFit="false"/>
      <protection locked="true" hidden="false"/>
    </xf>
    <xf numFmtId="174" fontId="57" fillId="14" borderId="34" xfId="0" applyFont="true" applyBorder="true" applyAlignment="true" applyProtection="true">
      <alignment horizontal="general" vertical="bottom" textRotation="0" wrapText="false" indent="0" shrinkToFit="false"/>
      <protection locked="true" hidden="false"/>
    </xf>
    <xf numFmtId="174" fontId="57" fillId="14" borderId="35" xfId="0" applyFont="true" applyBorder="true" applyAlignment="true" applyProtection="true">
      <alignment horizontal="general" vertical="bottom" textRotation="0" wrapText="false" indent="0" shrinkToFit="false"/>
      <protection locked="true" hidden="false"/>
    </xf>
    <xf numFmtId="174" fontId="57" fillId="14" borderId="36" xfId="0" applyFont="true" applyBorder="true" applyAlignment="true" applyProtection="true">
      <alignment horizontal="general" vertical="bottom" textRotation="0" wrapText="false" indent="0" shrinkToFit="false"/>
      <protection locked="true" hidden="false"/>
    </xf>
    <xf numFmtId="174" fontId="57" fillId="14" borderId="37" xfId="0" applyFont="true" applyBorder="true" applyAlignment="true" applyProtection="true">
      <alignment horizontal="general" vertical="bottom" textRotation="0" wrapText="false" indent="0" shrinkToFit="false"/>
      <protection locked="true" hidden="false"/>
    </xf>
    <xf numFmtId="174" fontId="58" fillId="12" borderId="74" xfId="0" applyFont="true" applyBorder="true" applyAlignment="true" applyProtection="true">
      <alignment horizontal="left" vertical="bottom" textRotation="0" wrapText="false" indent="0" shrinkToFit="false"/>
      <protection locked="true" hidden="false"/>
    </xf>
    <xf numFmtId="174" fontId="57" fillId="15" borderId="75" xfId="0" applyFont="true" applyBorder="true" applyAlignment="true" applyProtection="true">
      <alignment horizontal="general" vertical="bottom" textRotation="0" wrapText="false" indent="0" shrinkToFit="false"/>
      <protection locked="true" hidden="false"/>
    </xf>
    <xf numFmtId="174" fontId="57" fillId="14" borderId="24" xfId="0" applyFont="true" applyBorder="true" applyAlignment="true" applyProtection="true">
      <alignment horizontal="general" vertical="bottom" textRotation="0" wrapText="false" indent="0" shrinkToFit="false"/>
      <protection locked="true" hidden="false"/>
    </xf>
    <xf numFmtId="174" fontId="57" fillId="0" borderId="66" xfId="0" applyFont="true" applyBorder="true" applyAlignment="true" applyProtection="true">
      <alignment horizontal="general" vertical="bottom" textRotation="0" wrapText="false" indent="0" shrinkToFit="false"/>
      <protection locked="true" hidden="false"/>
    </xf>
    <xf numFmtId="174" fontId="57" fillId="0" borderId="43" xfId="0" applyFont="true" applyBorder="true" applyAlignment="true" applyProtection="true">
      <alignment horizontal="general" vertical="bottom" textRotation="0" wrapText="false" indent="0" shrinkToFit="false"/>
      <protection locked="true" hidden="false"/>
    </xf>
    <xf numFmtId="174" fontId="57" fillId="0" borderId="42" xfId="0" applyFont="true" applyBorder="true" applyAlignment="true" applyProtection="true">
      <alignment horizontal="general" vertical="bottom" textRotation="0" wrapText="false" indent="0" shrinkToFit="false"/>
      <protection locked="true" hidden="false"/>
    </xf>
    <xf numFmtId="174" fontId="57" fillId="14" borderId="67" xfId="0" applyFont="true" applyBorder="true" applyAlignment="true" applyProtection="true">
      <alignment horizontal="general" vertical="bottom" textRotation="0" wrapText="false" indent="0" shrinkToFit="false"/>
      <protection locked="true" hidden="false"/>
    </xf>
    <xf numFmtId="174" fontId="57" fillId="14" borderId="31" xfId="0" applyFont="true" applyBorder="true" applyAlignment="true" applyProtection="true">
      <alignment horizontal="general" vertical="bottom" textRotation="0" wrapText="false" indent="0" shrinkToFit="false"/>
      <protection locked="true" hidden="false"/>
    </xf>
    <xf numFmtId="174" fontId="56" fillId="12" borderId="66" xfId="0" applyFont="true" applyBorder="true" applyAlignment="true" applyProtection="true">
      <alignment horizontal="left" vertical="bottom" textRotation="0" wrapText="false" indent="0" shrinkToFit="true"/>
      <protection locked="true" hidden="false"/>
    </xf>
    <xf numFmtId="174" fontId="57" fillId="0" borderId="5" xfId="0" applyFont="true" applyBorder="true" applyAlignment="true" applyProtection="true">
      <alignment horizontal="general" vertical="bottom" textRotation="0" wrapText="false" indent="0" shrinkToFit="false"/>
      <protection locked="true" hidden="false"/>
    </xf>
    <xf numFmtId="174" fontId="58" fillId="14" borderId="68" xfId="0" applyFont="true" applyBorder="true" applyAlignment="true" applyProtection="true">
      <alignment horizontal="left" vertical="bottom" textRotation="0" wrapText="false" indent="0" shrinkToFit="false"/>
      <protection locked="true" hidden="false"/>
    </xf>
    <xf numFmtId="174" fontId="57" fillId="14" borderId="48" xfId="0" applyFont="true" applyBorder="true" applyAlignment="true" applyProtection="true">
      <alignment horizontal="general" vertical="bottom" textRotation="0" wrapText="false" indent="0" shrinkToFit="false"/>
      <protection locked="true" hidden="false"/>
    </xf>
    <xf numFmtId="174" fontId="57" fillId="14" borderId="44" xfId="0" applyFont="true" applyBorder="true" applyAlignment="true" applyProtection="true">
      <alignment horizontal="general" vertical="bottom" textRotation="0" wrapText="false" indent="0" shrinkToFit="false"/>
      <protection locked="true" hidden="false"/>
    </xf>
    <xf numFmtId="174" fontId="57" fillId="14" borderId="46" xfId="0" applyFont="true" applyBorder="true" applyAlignment="true" applyProtection="true">
      <alignment horizontal="general" vertical="bottom" textRotation="0" wrapText="false" indent="0" shrinkToFit="false"/>
      <protection locked="true" hidden="false"/>
    </xf>
    <xf numFmtId="174" fontId="57" fillId="14" borderId="47" xfId="0" applyFont="true" applyBorder="true" applyAlignment="true" applyProtection="true">
      <alignment horizontal="general" vertical="bottom" textRotation="0" wrapText="false" indent="0" shrinkToFit="false"/>
      <protection locked="true" hidden="false"/>
    </xf>
    <xf numFmtId="174" fontId="57" fillId="14" borderId="17" xfId="0" applyFont="true" applyBorder="true" applyAlignment="true" applyProtection="true">
      <alignment horizontal="general" vertical="bottom" textRotation="0" wrapText="false" indent="0" shrinkToFit="false"/>
      <protection locked="true" hidden="false"/>
    </xf>
    <xf numFmtId="174" fontId="57" fillId="14" borderId="15" xfId="0" applyFont="true" applyBorder="true" applyAlignment="true" applyProtection="true">
      <alignment horizontal="general" vertical="bottom" textRotation="0" wrapText="false" indent="0" shrinkToFit="false"/>
      <protection locked="true" hidden="false"/>
    </xf>
    <xf numFmtId="174" fontId="57" fillId="0" borderId="76" xfId="0" applyFont="true" applyBorder="true" applyAlignment="true" applyProtection="true">
      <alignment horizontal="general" vertical="bottom" textRotation="0" wrapText="false" indent="0" shrinkToFit="false"/>
      <protection locked="true" hidden="false"/>
    </xf>
    <xf numFmtId="174" fontId="57" fillId="0" borderId="77" xfId="0" applyFont="true" applyBorder="true" applyAlignment="true" applyProtection="true">
      <alignment horizontal="general" vertical="bottom" textRotation="0" wrapText="false" indent="0" shrinkToFit="false"/>
      <protection locked="true" hidden="false"/>
    </xf>
    <xf numFmtId="174" fontId="57" fillId="0" borderId="78" xfId="0" applyFont="true" applyBorder="true" applyAlignment="true" applyProtection="true">
      <alignment horizontal="general" vertical="bottom" textRotation="0" wrapText="false" indent="0" shrinkToFit="false"/>
      <protection locked="true" hidden="false"/>
    </xf>
    <xf numFmtId="174" fontId="57" fillId="0" borderId="76" xfId="0" applyFont="true" applyBorder="true" applyAlignment="true" applyProtection="true">
      <alignment horizontal="general" vertical="center" textRotation="0" wrapText="false" indent="0" shrinkToFit="false"/>
      <protection locked="true" hidden="false"/>
    </xf>
    <xf numFmtId="174" fontId="57" fillId="0" borderId="77" xfId="0" applyFont="true" applyBorder="true" applyAlignment="true" applyProtection="true">
      <alignment horizontal="general" vertical="center" textRotation="0" wrapText="false" indent="0" shrinkToFit="false"/>
      <protection locked="true" hidden="false"/>
    </xf>
    <xf numFmtId="174" fontId="48" fillId="0" borderId="78" xfId="0" applyFont="true" applyBorder="true" applyAlignment="true" applyProtection="true">
      <alignment horizontal="general" vertical="center" textRotation="0" wrapText="false" indent="0" shrinkToFit="false"/>
      <protection locked="true" hidden="false"/>
    </xf>
    <xf numFmtId="174" fontId="58" fillId="14" borderId="41" xfId="0" applyFont="true" applyBorder="true" applyAlignment="true" applyProtection="true">
      <alignment horizontal="left" vertical="bottom" textRotation="0" wrapText="false" indent="0" shrinkToFit="false"/>
      <protection locked="true" hidden="false"/>
    </xf>
    <xf numFmtId="174" fontId="57" fillId="0" borderId="68" xfId="0" applyFont="true" applyBorder="true" applyAlignment="true" applyProtection="true">
      <alignment horizontal="general" vertical="bottom" textRotation="0" wrapText="false" indent="0" shrinkToFit="false"/>
      <protection locked="true" hidden="false"/>
    </xf>
    <xf numFmtId="174" fontId="57" fillId="0" borderId="0" xfId="0" applyFont="true" applyBorder="true" applyAlignment="true" applyProtection="true">
      <alignment horizontal="general" vertical="bottom" textRotation="0" wrapText="false" indent="0" shrinkToFit="false"/>
      <protection locked="true" hidden="false"/>
    </xf>
    <xf numFmtId="174" fontId="57" fillId="0" borderId="68" xfId="0" applyFont="true" applyBorder="true" applyAlignment="true" applyProtection="true">
      <alignment horizontal="general" vertical="center" textRotation="0" wrapText="false" indent="0" shrinkToFit="false"/>
      <protection locked="true" hidden="false"/>
    </xf>
    <xf numFmtId="174" fontId="57" fillId="0" borderId="0" xfId="0" applyFont="true" applyBorder="true" applyAlignment="true" applyProtection="true">
      <alignment horizontal="general" vertical="center" textRotation="0" wrapText="false" indent="0" shrinkToFit="false"/>
      <protection locked="true" hidden="false"/>
    </xf>
    <xf numFmtId="174" fontId="48" fillId="0" borderId="48" xfId="0" applyFont="true" applyBorder="true" applyAlignment="true" applyProtection="true">
      <alignment horizontal="general" vertical="center" textRotation="0" wrapText="false" indent="0" shrinkToFit="false"/>
      <protection locked="true" hidden="false"/>
    </xf>
    <xf numFmtId="174" fontId="58" fillId="12" borderId="76" xfId="0" applyFont="true" applyBorder="true" applyAlignment="true" applyProtection="true">
      <alignment horizontal="left" vertical="bottom" textRotation="0" wrapText="false" indent="0" shrinkToFit="false"/>
      <protection locked="true" hidden="false"/>
    </xf>
    <xf numFmtId="174" fontId="57" fillId="0" borderId="79" xfId="0" applyFont="true" applyBorder="true" applyAlignment="true" applyProtection="true">
      <alignment horizontal="center" vertical="bottom" textRotation="0" wrapText="false" indent="0" shrinkToFit="false"/>
      <protection locked="true" hidden="false"/>
    </xf>
    <xf numFmtId="174" fontId="56" fillId="12" borderId="80" xfId="0" applyFont="true" applyBorder="true" applyAlignment="true" applyProtection="true">
      <alignment horizontal="left" vertical="bottom" textRotation="0" wrapText="false" indent="0" shrinkToFit="false"/>
      <protection locked="true" hidden="false"/>
    </xf>
    <xf numFmtId="174" fontId="57" fillId="15" borderId="69" xfId="0" applyFont="true" applyBorder="true" applyAlignment="true" applyProtection="true">
      <alignment horizontal="general" vertical="bottom" textRotation="0" wrapText="false" indent="0" shrinkToFit="false"/>
      <protection locked="true" hidden="false"/>
    </xf>
    <xf numFmtId="174" fontId="57" fillId="0" borderId="81" xfId="0" applyFont="true" applyBorder="true" applyAlignment="true" applyProtection="true">
      <alignment horizontal="general" vertical="bottom" textRotation="0" wrapText="false" indent="0" shrinkToFit="false"/>
      <protection locked="true" hidden="false"/>
    </xf>
    <xf numFmtId="174" fontId="58" fillId="16" borderId="64" xfId="0" applyFont="true" applyBorder="true" applyAlignment="true" applyProtection="true">
      <alignment horizontal="center" vertical="center" textRotation="0" wrapText="false" indent="0" shrinkToFit="false"/>
      <protection locked="true" hidden="false"/>
    </xf>
    <xf numFmtId="174" fontId="57" fillId="16" borderId="61" xfId="0" applyFont="true" applyBorder="true" applyAlignment="true" applyProtection="true">
      <alignment horizontal="general" vertical="bottom" textRotation="0" wrapText="false" indent="0" shrinkToFit="false"/>
      <protection locked="true" hidden="false"/>
    </xf>
    <xf numFmtId="174" fontId="57" fillId="16" borderId="65" xfId="0" applyFont="true" applyBorder="true" applyAlignment="true" applyProtection="true">
      <alignment horizontal="general" vertical="bottom" textRotation="0" wrapText="false" indent="0" shrinkToFit="false"/>
      <protection locked="true" hidden="false"/>
    </xf>
    <xf numFmtId="174" fontId="57" fillId="16" borderId="12" xfId="0" applyFont="true" applyBorder="true" applyAlignment="true" applyProtection="true">
      <alignment horizontal="general" vertical="bottom" textRotation="0" wrapText="false" indent="0" shrinkToFit="false"/>
      <protection locked="true" hidden="false"/>
    </xf>
    <xf numFmtId="174" fontId="57" fillId="0" borderId="59" xfId="0" applyFont="true" applyBorder="true" applyAlignment="true" applyProtection="true">
      <alignment horizontal="general" vertical="bottom" textRotation="0" wrapText="false" indent="0" shrinkToFit="false"/>
      <protection locked="true" hidden="false"/>
    </xf>
    <xf numFmtId="174" fontId="57" fillId="0" borderId="62" xfId="0" applyFont="true" applyBorder="true" applyAlignment="true" applyProtection="true">
      <alignment horizontal="general" vertical="bottom" textRotation="0" wrapText="false" indent="0" shrinkToFit="false"/>
      <protection locked="true" hidden="false"/>
    </xf>
    <xf numFmtId="174" fontId="57" fillId="0" borderId="61" xfId="0" applyFont="true" applyBorder="true" applyAlignment="true" applyProtection="true">
      <alignment horizontal="general" vertical="bottom" textRotation="0" wrapText="false" indent="0" shrinkToFit="false"/>
      <protection locked="true" hidden="false"/>
    </xf>
    <xf numFmtId="174" fontId="57" fillId="0" borderId="69" xfId="0" applyFont="true" applyBorder="true" applyAlignment="true" applyProtection="true">
      <alignment horizontal="general" vertical="bottom" textRotation="0" wrapText="false" indent="0" shrinkToFit="false"/>
      <protection locked="true" hidden="false"/>
    </xf>
    <xf numFmtId="174" fontId="57" fillId="0" borderId="6" xfId="0" applyFont="true" applyBorder="true" applyAlignment="true" applyProtection="true">
      <alignment horizontal="general" vertical="bottom" textRotation="0" wrapText="false" indent="0" shrinkToFit="false"/>
      <protection locked="true" hidden="false"/>
    </xf>
    <xf numFmtId="174" fontId="57" fillId="14" borderId="62" xfId="0" applyFont="true" applyBorder="true" applyAlignment="true" applyProtection="true">
      <alignment horizontal="general" vertical="bottom" textRotation="0" wrapText="false" indent="0" shrinkToFit="false"/>
      <protection locked="true" hidden="false"/>
    </xf>
    <xf numFmtId="174" fontId="57" fillId="14" borderId="9" xfId="0" applyFont="true" applyBorder="true" applyAlignment="true" applyProtection="true">
      <alignment horizontal="general" vertical="bottom" textRotation="0" wrapText="false" indent="0" shrinkToFit="false"/>
      <protection locked="true" hidden="false"/>
    </xf>
    <xf numFmtId="174" fontId="0" fillId="16" borderId="7" xfId="0" applyFont="true" applyBorder="true" applyAlignment="true" applyProtection="true">
      <alignment horizontal="center" vertical="center" textRotation="0" wrapText="false" indent="0" shrinkToFit="false"/>
      <protection locked="true" hidden="false"/>
    </xf>
    <xf numFmtId="174" fontId="57" fillId="16" borderId="82" xfId="0" applyFont="true" applyBorder="true" applyAlignment="true" applyProtection="true">
      <alignment horizontal="general" vertical="bottom" textRotation="0" wrapText="false" indent="0" shrinkToFit="false"/>
      <protection locked="true" hidden="false"/>
    </xf>
    <xf numFmtId="174" fontId="57" fillId="16" borderId="76" xfId="0" applyFont="true" applyBorder="true" applyAlignment="true" applyProtection="true">
      <alignment horizontal="general" vertical="bottom" textRotation="0" wrapText="false" indent="0" shrinkToFit="false"/>
      <protection locked="true" hidden="false"/>
    </xf>
    <xf numFmtId="174" fontId="57" fillId="16" borderId="83" xfId="0" applyFont="true" applyBorder="true" applyAlignment="true" applyProtection="true">
      <alignment horizontal="general" vertical="bottom" textRotation="0" wrapText="false" indent="0" shrinkToFit="false"/>
      <protection locked="true" hidden="false"/>
    </xf>
    <xf numFmtId="174" fontId="57" fillId="16" borderId="84" xfId="0" applyFont="true" applyBorder="true" applyAlignment="true" applyProtection="true">
      <alignment horizontal="general" vertical="bottom" textRotation="0" wrapText="false" indent="0" shrinkToFit="false"/>
      <protection locked="true" hidden="false"/>
    </xf>
    <xf numFmtId="174" fontId="57" fillId="16" borderId="75" xfId="0" applyFont="true" applyBorder="true" applyAlignment="true" applyProtection="true">
      <alignment horizontal="general" vertical="bottom" textRotation="0" wrapText="false" indent="0" shrinkToFit="false"/>
      <protection locked="true" hidden="false"/>
    </xf>
    <xf numFmtId="174" fontId="57" fillId="16" borderId="85" xfId="0" applyFont="true" applyBorder="true" applyAlignment="true" applyProtection="true">
      <alignment horizontal="general" vertical="bottom" textRotation="0" wrapText="false" indent="0" shrinkToFit="false"/>
      <protection locked="true" hidden="false"/>
    </xf>
    <xf numFmtId="176" fontId="65" fillId="0" borderId="0" xfId="0" applyFont="true" applyBorder="true" applyAlignment="true" applyProtection="true">
      <alignment horizontal="center" vertical="center" textRotation="0" wrapText="false" indent="0" shrinkToFit="false"/>
      <protection locked="true" hidden="false"/>
    </xf>
    <xf numFmtId="174" fontId="57" fillId="0" borderId="74" xfId="0" applyFont="true" applyBorder="true" applyAlignment="true" applyProtection="true">
      <alignment horizontal="general" vertical="bottom" textRotation="0" wrapText="false" indent="0" shrinkToFit="false"/>
      <protection locked="true" hidden="false"/>
    </xf>
    <xf numFmtId="174" fontId="59" fillId="14" borderId="4" xfId="0" applyFont="true" applyBorder="true" applyAlignment="true" applyProtection="true">
      <alignment horizontal="general" vertical="bottom" textRotation="0" wrapText="false" indent="0" shrinkToFit="false"/>
      <protection locked="true" hidden="false"/>
    </xf>
    <xf numFmtId="174" fontId="57" fillId="14" borderId="38" xfId="0" applyFont="true" applyBorder="true" applyAlignment="true" applyProtection="true">
      <alignment horizontal="general" vertical="bottom" textRotation="0" wrapText="false" indent="0" shrinkToFit="false"/>
      <protection locked="true" hidden="false"/>
    </xf>
    <xf numFmtId="174" fontId="57" fillId="0" borderId="40" xfId="0" applyFont="true" applyBorder="true" applyAlignment="true" applyProtection="true">
      <alignment horizontal="general" vertical="bottom" textRotation="0" wrapText="false" indent="0" shrinkToFit="false"/>
      <protection locked="true" hidden="false"/>
    </xf>
    <xf numFmtId="174" fontId="57" fillId="15" borderId="86" xfId="0" applyFont="true" applyBorder="true" applyAlignment="true" applyProtection="true">
      <alignment horizontal="general" vertical="bottom" textRotation="0" wrapText="false" indent="0" shrinkToFit="false"/>
      <protection locked="true" hidden="false"/>
    </xf>
    <xf numFmtId="174" fontId="57" fillId="0" borderId="13" xfId="0" applyFont="true" applyBorder="true" applyAlignment="true" applyProtection="true">
      <alignment horizontal="general" vertical="bottom" textRotation="0" wrapText="false" indent="0" shrinkToFit="false"/>
      <protection locked="true" hidden="false"/>
    </xf>
    <xf numFmtId="174" fontId="58" fillId="17" borderId="66" xfId="0" applyFont="true" applyBorder="true" applyAlignment="true" applyProtection="true">
      <alignment horizontal="left" vertical="bottom" textRotation="0" wrapText="false" indent="0" shrinkToFit="false"/>
      <protection locked="true" hidden="false"/>
    </xf>
    <xf numFmtId="174" fontId="57" fillId="14" borderId="87" xfId="0" applyFont="true" applyBorder="true" applyAlignment="true" applyProtection="true">
      <alignment horizontal="general" vertical="bottom" textRotation="0" wrapText="false" indent="0" shrinkToFit="false"/>
      <protection locked="true" hidden="false"/>
    </xf>
    <xf numFmtId="174" fontId="57" fillId="14" borderId="64" xfId="0" applyFont="true" applyBorder="true" applyAlignment="true" applyProtection="true">
      <alignment horizontal="general" vertical="bottom" textRotation="0" wrapText="false" indent="0" shrinkToFit="false"/>
      <protection locked="true" hidden="false"/>
    </xf>
    <xf numFmtId="174" fontId="57" fillId="14" borderId="73" xfId="0" applyFont="true" applyBorder="true" applyAlignment="true" applyProtection="true">
      <alignment horizontal="general" vertical="bottom" textRotation="0" wrapText="false" indent="0" shrinkToFit="false"/>
      <protection locked="true" hidden="false"/>
    </xf>
    <xf numFmtId="174" fontId="48" fillId="14" borderId="12" xfId="0" applyFont="true" applyBorder="true" applyAlignment="true" applyProtection="true">
      <alignment horizontal="general" vertical="bottom" textRotation="0" wrapText="false" indent="0" shrinkToFit="false"/>
      <protection locked="true" hidden="false"/>
    </xf>
    <xf numFmtId="174" fontId="58" fillId="14" borderId="74" xfId="0" applyFont="true" applyBorder="true" applyAlignment="true" applyProtection="true">
      <alignment horizontal="left" vertical="bottom" textRotation="0" wrapText="false" indent="0" shrinkToFit="false"/>
      <protection locked="true" hidden="false"/>
    </xf>
    <xf numFmtId="174" fontId="57" fillId="14" borderId="75" xfId="0" applyFont="true" applyBorder="true" applyAlignment="true" applyProtection="true">
      <alignment horizontal="general" vertical="bottom" textRotation="0" wrapText="false" indent="0" shrinkToFit="false"/>
      <protection locked="true" hidden="false"/>
    </xf>
    <xf numFmtId="174" fontId="57" fillId="14" borderId="84" xfId="0" applyFont="true" applyBorder="true" applyAlignment="true" applyProtection="true">
      <alignment horizontal="general" vertical="bottom" textRotation="0" wrapText="false" indent="0" shrinkToFit="false"/>
      <protection locked="true" hidden="false"/>
    </xf>
    <xf numFmtId="174" fontId="57" fillId="14" borderId="14" xfId="0" applyFont="true" applyBorder="true" applyAlignment="true" applyProtection="true">
      <alignment horizontal="general" vertical="bottom" textRotation="0" wrapText="false" indent="0" shrinkToFit="false"/>
      <protection locked="true" hidden="false"/>
    </xf>
    <xf numFmtId="174" fontId="57" fillId="14" borderId="19" xfId="0" applyFont="true" applyBorder="true" applyAlignment="true" applyProtection="true">
      <alignment horizontal="general" vertical="bottom" textRotation="0" wrapText="false" indent="0" shrinkToFit="false"/>
      <protection locked="true" hidden="false"/>
    </xf>
    <xf numFmtId="174" fontId="57" fillId="14" borderId="40" xfId="0" applyFont="true" applyBorder="true" applyAlignment="true" applyProtection="true">
      <alignment horizontal="general" vertical="bottom" textRotation="0" wrapText="false" indent="0" shrinkToFit="false"/>
      <protection locked="true" hidden="false"/>
    </xf>
    <xf numFmtId="174" fontId="58" fillId="14" borderId="66" xfId="0" applyFont="true" applyBorder="true" applyAlignment="true" applyProtection="true">
      <alignment horizontal="left" vertical="bottom" textRotation="0" wrapText="false" indent="0" shrinkToFit="false"/>
      <protection locked="true" hidden="false"/>
    </xf>
    <xf numFmtId="174" fontId="57" fillId="14" borderId="33" xfId="0" applyFont="true" applyBorder="true" applyAlignment="true" applyProtection="true">
      <alignment horizontal="general" vertical="bottom" textRotation="0" wrapText="false" indent="0" shrinkToFit="false"/>
      <protection locked="true" hidden="false"/>
    </xf>
    <xf numFmtId="174" fontId="58" fillId="12" borderId="66" xfId="0" applyFont="true" applyBorder="true" applyAlignment="true" applyProtection="true">
      <alignment horizontal="left" vertical="bottom" textRotation="0" wrapText="false" indent="0" shrinkToFit="false"/>
      <protection locked="true" hidden="false"/>
    </xf>
    <xf numFmtId="174" fontId="57" fillId="0" borderId="64" xfId="0" applyFont="true" applyBorder="true" applyAlignment="true" applyProtection="true">
      <alignment horizontal="center" vertical="bottom" textRotation="0" wrapText="false" indent="0" shrinkToFit="false"/>
      <protection locked="true" hidden="false"/>
    </xf>
    <xf numFmtId="174" fontId="57" fillId="0" borderId="12" xfId="0" applyFont="true" applyBorder="true" applyAlignment="true" applyProtection="true">
      <alignment horizontal="center" vertical="bottom" textRotation="0" wrapText="false" indent="0" shrinkToFit="false"/>
      <protection locked="true" hidden="false"/>
    </xf>
    <xf numFmtId="174" fontId="58" fillId="16" borderId="62" xfId="0" applyFont="true" applyBorder="true" applyAlignment="true" applyProtection="true">
      <alignment horizontal="center" vertical="center" textRotation="0" wrapText="false" indent="0" shrinkToFit="false"/>
      <protection locked="true" hidden="false"/>
    </xf>
    <xf numFmtId="174" fontId="57" fillId="0" borderId="88" xfId="0" applyFont="true" applyBorder="true" applyAlignment="true" applyProtection="true">
      <alignment horizontal="general" vertical="bottom" textRotation="0" wrapText="false" indent="0" shrinkToFit="false"/>
      <protection locked="true" hidden="false"/>
    </xf>
    <xf numFmtId="174" fontId="59" fillId="14" borderId="16" xfId="0" applyFont="true" applyBorder="true" applyAlignment="true" applyProtection="true">
      <alignment horizontal="general" vertical="bottom" textRotation="0" wrapText="false" indent="0" shrinkToFit="false"/>
      <protection locked="true" hidden="false"/>
    </xf>
    <xf numFmtId="174" fontId="57" fillId="14" borderId="16" xfId="0" applyFont="true" applyBorder="true" applyAlignment="true" applyProtection="true">
      <alignment horizontal="general" vertical="bottom" textRotation="0" wrapText="false" indent="0" shrinkToFit="false"/>
      <protection locked="true" hidden="false"/>
    </xf>
    <xf numFmtId="174" fontId="59" fillId="14" borderId="86" xfId="0" applyFont="true" applyBorder="true" applyAlignment="true" applyProtection="true">
      <alignment horizontal="general" vertical="bottom" textRotation="0" wrapText="false" indent="0" shrinkToFit="false"/>
      <protection locked="true" hidden="false"/>
    </xf>
    <xf numFmtId="174" fontId="48" fillId="14" borderId="48" xfId="0" applyFont="true" applyBorder="true" applyAlignment="true" applyProtection="true">
      <alignment horizontal="general" vertical="bottom" textRotation="0" wrapText="false" indent="0" shrinkToFit="false"/>
      <protection locked="true" hidden="false"/>
    </xf>
    <xf numFmtId="174" fontId="57" fillId="15" borderId="84" xfId="0" applyFont="true" applyBorder="true" applyAlignment="true" applyProtection="true">
      <alignment horizontal="general" vertical="bottom" textRotation="0" wrapText="false" indent="0" shrinkToFit="false"/>
      <protection locked="true" hidden="false"/>
    </xf>
    <xf numFmtId="174" fontId="57" fillId="15" borderId="18" xfId="0" applyFont="true" applyBorder="true" applyAlignment="true" applyProtection="true">
      <alignment horizontal="general" vertical="bottom" textRotation="0" wrapText="false" indent="0" shrinkToFit="false"/>
      <protection locked="true" hidden="false"/>
    </xf>
    <xf numFmtId="174" fontId="57" fillId="15" borderId="88" xfId="0" applyFont="true" applyBorder="true" applyAlignment="true" applyProtection="true">
      <alignment horizontal="general" vertical="bottom" textRotation="0" wrapText="false" indent="0" shrinkToFit="false"/>
      <protection locked="true" hidden="false"/>
    </xf>
    <xf numFmtId="174" fontId="57" fillId="15" borderId="81" xfId="0" applyFont="true" applyBorder="true" applyAlignment="true" applyProtection="true">
      <alignment horizontal="general" vertical="bottom" textRotation="0" wrapText="false" indent="0" shrinkToFit="false"/>
      <protection locked="true" hidden="false"/>
    </xf>
    <xf numFmtId="178" fontId="65" fillId="21" borderId="0" xfId="0" applyFont="true" applyBorder="true" applyAlignment="true" applyProtection="true">
      <alignment horizontal="center" vertical="center" textRotation="0" wrapText="false" indent="0" shrinkToFit="false"/>
      <protection locked="true" hidden="false"/>
    </xf>
    <xf numFmtId="174" fontId="48" fillId="14" borderId="5" xfId="0" applyFont="true" applyBorder="true" applyAlignment="true" applyProtection="true">
      <alignment horizontal="general" vertical="bottom" textRotation="0" wrapText="false" indent="0" shrinkToFit="false"/>
      <protection locked="true" hidden="false"/>
    </xf>
    <xf numFmtId="174" fontId="48" fillId="14" borderId="46" xfId="0" applyFont="true" applyBorder="true" applyAlignment="true" applyProtection="true">
      <alignment horizontal="general" vertical="bottom" textRotation="0" wrapText="false" indent="0" shrinkToFit="false"/>
      <protection locked="true" hidden="false"/>
    </xf>
    <xf numFmtId="174" fontId="58" fillId="12" borderId="89" xfId="0" applyFont="true" applyBorder="true" applyAlignment="true" applyProtection="true">
      <alignment horizontal="left" vertical="bottom" textRotation="0" wrapText="false" indent="0" shrinkToFit="false"/>
      <protection locked="true" hidden="false"/>
    </xf>
    <xf numFmtId="174" fontId="57" fillId="0" borderId="34" xfId="0" applyFont="true" applyBorder="true" applyAlignment="true" applyProtection="true">
      <alignment horizontal="general" vertical="bottom" textRotation="0" wrapText="false" indent="0" shrinkToFit="false"/>
      <protection locked="true" hidden="false"/>
    </xf>
    <xf numFmtId="174" fontId="57" fillId="0" borderId="36" xfId="0" applyFont="true" applyBorder="true" applyAlignment="true" applyProtection="true">
      <alignment horizontal="general" vertical="bottom" textRotation="0" wrapText="false" indent="0" shrinkToFit="false"/>
      <protection locked="true" hidden="false"/>
    </xf>
    <xf numFmtId="174" fontId="96" fillId="0" borderId="26" xfId="0" applyFont="true" applyBorder="true" applyAlignment="true" applyProtection="true">
      <alignment horizontal="general" vertical="bottom" textRotation="0" wrapText="false" indent="0" shrinkToFit="false"/>
      <protection locked="true" hidden="false"/>
    </xf>
    <xf numFmtId="174" fontId="96" fillId="0" borderId="20" xfId="0" applyFont="true" applyBorder="true" applyAlignment="true" applyProtection="true">
      <alignment horizontal="general" vertical="bottom" textRotation="0" wrapText="false" indent="0" shrinkToFit="false"/>
      <protection locked="true" hidden="false"/>
    </xf>
    <xf numFmtId="174" fontId="96" fillId="0" borderId="22" xfId="0" applyFont="true" applyBorder="true" applyAlignment="true" applyProtection="true">
      <alignment horizontal="general" vertical="bottom" textRotation="0" wrapText="false" indent="0" shrinkToFit="false"/>
      <protection locked="true" hidden="false"/>
    </xf>
    <xf numFmtId="174" fontId="96" fillId="0" borderId="4" xfId="0" applyFont="true" applyBorder="true" applyAlignment="true" applyProtection="true">
      <alignment horizontal="general" vertical="bottom" textRotation="0" wrapText="false" indent="0" shrinkToFit="false"/>
      <protection locked="true" hidden="false"/>
    </xf>
    <xf numFmtId="174" fontId="96" fillId="0" borderId="45" xfId="0" applyFont="true" applyBorder="true" applyAlignment="true" applyProtection="true">
      <alignment horizontal="general" vertical="bottom" textRotation="0" wrapText="false" indent="0" shrinkToFit="false"/>
      <protection locked="true" hidden="false"/>
    </xf>
    <xf numFmtId="174" fontId="96" fillId="0" borderId="21" xfId="0" applyFont="true" applyBorder="true" applyAlignment="true" applyProtection="true">
      <alignment horizontal="general" vertical="bottom" textRotation="0" wrapText="false" indent="0" shrinkToFit="false"/>
      <protection locked="true" hidden="false"/>
    </xf>
    <xf numFmtId="174" fontId="96" fillId="14" borderId="22" xfId="0" applyFont="true" applyBorder="true" applyAlignment="true" applyProtection="true">
      <alignment horizontal="general" vertical="bottom" textRotation="0" wrapText="false" indent="0" shrinkToFit="false"/>
      <protection locked="true" hidden="false"/>
    </xf>
    <xf numFmtId="174" fontId="96" fillId="14" borderId="20" xfId="0" applyFont="true" applyBorder="true" applyAlignment="true" applyProtection="true">
      <alignment horizontal="general" vertical="bottom" textRotation="0" wrapText="false" indent="0" shrinkToFit="false"/>
      <protection locked="true" hidden="false"/>
    </xf>
    <xf numFmtId="174" fontId="96" fillId="14" borderId="3" xfId="0" applyFont="true" applyBorder="true" applyAlignment="true" applyProtection="true">
      <alignment horizontal="general" vertical="bottom" textRotation="0" wrapText="false" indent="0" shrinkToFit="false"/>
      <protection locked="true" hidden="false"/>
    </xf>
    <xf numFmtId="174" fontId="96" fillId="14" borderId="29" xfId="0" applyFont="true" applyBorder="true" applyAlignment="true" applyProtection="true">
      <alignment horizontal="general" vertical="bottom" textRotation="0" wrapText="false" indent="0" shrinkToFit="false"/>
      <protection locked="true" hidden="false"/>
    </xf>
    <xf numFmtId="174" fontId="96" fillId="14" borderId="21" xfId="0" applyFont="true" applyBorder="true" applyAlignment="true" applyProtection="true">
      <alignment horizontal="general" vertical="bottom" textRotation="0" wrapText="false" indent="0" shrinkToFit="false"/>
      <protection locked="true" hidden="false"/>
    </xf>
    <xf numFmtId="174" fontId="96" fillId="14" borderId="25" xfId="0" applyFont="true" applyBorder="true" applyAlignment="true" applyProtection="true">
      <alignment horizontal="general" vertical="bottom" textRotation="0" wrapText="false" indent="0" shrinkToFit="false"/>
      <protection locked="true" hidden="false"/>
    </xf>
    <xf numFmtId="174" fontId="96" fillId="14" borderId="26" xfId="0" applyFont="true" applyBorder="true" applyAlignment="true" applyProtection="true">
      <alignment horizontal="general" vertical="bottom" textRotation="0" wrapText="false" indent="0" shrinkToFit="false"/>
      <protection locked="true" hidden="false"/>
    </xf>
    <xf numFmtId="174" fontId="96" fillId="14" borderId="28" xfId="0" applyFont="true" applyBorder="true" applyAlignment="true" applyProtection="true">
      <alignment horizontal="general" vertical="bottom" textRotation="0" wrapText="false" indent="0" shrinkToFit="false"/>
      <protection locked="true" hidden="false"/>
    </xf>
    <xf numFmtId="174" fontId="96" fillId="14" borderId="5" xfId="0" applyFont="true" applyBorder="true" applyAlignment="true" applyProtection="true">
      <alignment horizontal="general" vertical="bottom" textRotation="0" wrapText="false" indent="0" shrinkToFit="false"/>
      <protection locked="true" hidden="false"/>
    </xf>
    <xf numFmtId="174" fontId="96" fillId="14" borderId="23" xfId="0" applyFont="true" applyBorder="true" applyAlignment="true" applyProtection="true">
      <alignment horizontal="general" vertical="bottom" textRotation="0" wrapText="false" indent="0" shrinkToFit="false"/>
      <protection locked="true" hidden="false"/>
    </xf>
    <xf numFmtId="174" fontId="96" fillId="14" borderId="34" xfId="0" applyFont="true" applyBorder="true" applyAlignment="true" applyProtection="true">
      <alignment horizontal="general" vertical="bottom" textRotation="0" wrapText="false" indent="0" shrinkToFit="false"/>
      <protection locked="true" hidden="false"/>
    </xf>
    <xf numFmtId="174" fontId="96" fillId="14" borderId="35" xfId="0" applyFont="true" applyBorder="true" applyAlignment="true" applyProtection="true">
      <alignment horizontal="general" vertical="bottom" textRotation="0" wrapText="false" indent="0" shrinkToFit="false"/>
      <protection locked="true" hidden="false"/>
    </xf>
    <xf numFmtId="174" fontId="96" fillId="14" borderId="4" xfId="0" applyFont="true" applyBorder="true" applyAlignment="true" applyProtection="true">
      <alignment horizontal="general" vertical="bottom" textRotation="0" wrapText="false" indent="0" shrinkToFit="false"/>
      <protection locked="true" hidden="false"/>
    </xf>
    <xf numFmtId="174" fontId="96" fillId="14" borderId="36" xfId="0" applyFont="true" applyBorder="true" applyAlignment="true" applyProtection="true">
      <alignment horizontal="general" vertical="bottom" textRotation="0" wrapText="false" indent="0" shrinkToFit="false"/>
      <protection locked="true" hidden="false"/>
    </xf>
    <xf numFmtId="174" fontId="96" fillId="14" borderId="37" xfId="0" applyFont="true" applyBorder="true" applyAlignment="true" applyProtection="true">
      <alignment horizontal="general" vertical="bottom" textRotation="0" wrapText="false" indent="0" shrinkToFit="false"/>
      <protection locked="true" hidden="false"/>
    </xf>
    <xf numFmtId="174" fontId="96" fillId="14" borderId="59" xfId="0" applyFont="true" applyBorder="true" applyAlignment="true" applyProtection="true">
      <alignment horizontal="general" vertical="bottom" textRotation="0" wrapText="false" indent="0" shrinkToFit="false"/>
      <protection locked="true" hidden="false"/>
    </xf>
    <xf numFmtId="174" fontId="96" fillId="14" borderId="60" xfId="0" applyFont="true" applyBorder="true" applyAlignment="true" applyProtection="true">
      <alignment horizontal="general" vertical="bottom" textRotation="0" wrapText="false" indent="0" shrinkToFit="false"/>
      <protection locked="true" hidden="false"/>
    </xf>
    <xf numFmtId="174" fontId="96" fillId="14" borderId="73" xfId="0" applyFont="true" applyBorder="true" applyAlignment="true" applyProtection="true">
      <alignment horizontal="general" vertical="bottom" textRotation="0" wrapText="false" indent="0" shrinkToFit="false"/>
      <protection locked="true" hidden="false"/>
    </xf>
    <xf numFmtId="174" fontId="96" fillId="14" borderId="65" xfId="0" applyFont="true" applyBorder="true" applyAlignment="true" applyProtection="true">
      <alignment horizontal="general" vertical="bottom" textRotation="0" wrapText="false" indent="0" shrinkToFit="false"/>
      <protection locked="true" hidden="false"/>
    </xf>
    <xf numFmtId="174" fontId="96" fillId="14" borderId="44" xfId="0" applyFont="true" applyBorder="true" applyAlignment="true" applyProtection="true">
      <alignment horizontal="general" vertical="bottom" textRotation="0" wrapText="false" indent="0" shrinkToFit="false"/>
      <protection locked="true" hidden="false"/>
    </xf>
    <xf numFmtId="174" fontId="96" fillId="14" borderId="46" xfId="0" applyFont="true" applyBorder="true" applyAlignment="true" applyProtection="true">
      <alignment horizontal="general" vertical="bottom" textRotation="0" wrapText="false" indent="0" shrinkToFit="false"/>
      <protection locked="true" hidden="false"/>
    </xf>
    <xf numFmtId="174" fontId="96" fillId="14" borderId="45" xfId="0" applyFont="true" applyBorder="true" applyAlignment="true" applyProtection="true">
      <alignment horizontal="general" vertical="bottom" textRotation="0" wrapText="false" indent="0" shrinkToFit="false"/>
      <protection locked="true" hidden="false"/>
    </xf>
    <xf numFmtId="174" fontId="96" fillId="14" borderId="47" xfId="0" applyFont="true" applyBorder="true" applyAlignment="true" applyProtection="true">
      <alignment horizontal="general" vertical="bottom" textRotation="0" wrapText="false" indent="0" shrinkToFit="false"/>
      <protection locked="true" hidden="false"/>
    </xf>
    <xf numFmtId="174" fontId="96" fillId="14" borderId="17" xfId="0" applyFont="true" applyBorder="true" applyAlignment="true" applyProtection="true">
      <alignment horizontal="general" vertical="bottom" textRotation="0" wrapText="false" indent="0" shrinkToFit="false"/>
      <protection locked="true" hidden="false"/>
    </xf>
    <xf numFmtId="174" fontId="96" fillId="0" borderId="76" xfId="0" applyFont="true" applyBorder="true" applyAlignment="true" applyProtection="true">
      <alignment horizontal="general" vertical="bottom" textRotation="0" wrapText="false" indent="0" shrinkToFit="false"/>
      <protection locked="true" hidden="false"/>
    </xf>
    <xf numFmtId="174" fontId="96" fillId="0" borderId="77" xfId="0" applyFont="true" applyBorder="true" applyAlignment="true" applyProtection="true">
      <alignment horizontal="general" vertical="bottom" textRotation="0" wrapText="false" indent="0" shrinkToFit="false"/>
      <protection locked="true" hidden="false"/>
    </xf>
    <xf numFmtId="174" fontId="96" fillId="0" borderId="76" xfId="0" applyFont="true" applyBorder="true" applyAlignment="true" applyProtection="true">
      <alignment horizontal="general" vertical="center" textRotation="0" wrapText="false" indent="0" shrinkToFit="false"/>
      <protection locked="true" hidden="false"/>
    </xf>
    <xf numFmtId="174" fontId="96" fillId="0" borderId="77" xfId="0" applyFont="true" applyBorder="true" applyAlignment="true" applyProtection="true">
      <alignment horizontal="general" vertical="center" textRotation="0" wrapText="false" indent="0" shrinkToFit="false"/>
      <protection locked="true" hidden="false"/>
    </xf>
    <xf numFmtId="174" fontId="96" fillId="0" borderId="68" xfId="0" applyFont="true" applyBorder="true" applyAlignment="true" applyProtection="true">
      <alignment horizontal="general" vertical="bottom" textRotation="0" wrapText="false" indent="0" shrinkToFit="false"/>
      <protection locked="true" hidden="false"/>
    </xf>
    <xf numFmtId="174" fontId="96" fillId="0" borderId="0" xfId="0" applyFont="true" applyBorder="true" applyAlignment="true" applyProtection="true">
      <alignment horizontal="general" vertical="bottom" textRotation="0" wrapText="false" indent="0" shrinkToFit="false"/>
      <protection locked="true" hidden="false"/>
    </xf>
    <xf numFmtId="174" fontId="96" fillId="0" borderId="68" xfId="0" applyFont="true" applyBorder="true" applyAlignment="true" applyProtection="true">
      <alignment horizontal="general" vertical="center" textRotation="0" wrapText="false" indent="0" shrinkToFit="false"/>
      <protection locked="true" hidden="false"/>
    </xf>
    <xf numFmtId="174" fontId="96" fillId="0" borderId="0" xfId="0" applyFont="true" applyBorder="true" applyAlignment="true" applyProtection="true">
      <alignment horizontal="general" vertical="center" textRotation="0" wrapText="false" indent="0" shrinkToFit="false"/>
      <protection locked="true" hidden="false"/>
    </xf>
    <xf numFmtId="174" fontId="96" fillId="0" borderId="34" xfId="0" applyFont="true" applyBorder="true" applyAlignment="true" applyProtection="true">
      <alignment horizontal="general" vertical="bottom" textRotation="0" wrapText="false" indent="0" shrinkToFit="false"/>
      <protection locked="true" hidden="false"/>
    </xf>
    <xf numFmtId="174" fontId="96" fillId="0" borderId="36" xfId="0" applyFont="true" applyBorder="true" applyAlignment="true" applyProtection="true">
      <alignment horizontal="general" vertical="bottom" textRotation="0" wrapText="false" indent="0" shrinkToFit="false"/>
      <protection locked="true" hidden="false"/>
    </xf>
    <xf numFmtId="174" fontId="96" fillId="0" borderId="46" xfId="0" applyFont="true" applyBorder="true" applyAlignment="true" applyProtection="true">
      <alignment horizontal="general" vertical="bottom" textRotation="0" wrapText="false" indent="0" shrinkToFit="false"/>
      <protection locked="true" hidden="false"/>
    </xf>
    <xf numFmtId="174" fontId="96" fillId="0" borderId="47" xfId="0" applyFont="true" applyBorder="true" applyAlignment="true" applyProtection="true">
      <alignment horizontal="general" vertical="bottom" textRotation="0" wrapText="false" indent="0" shrinkToFit="false"/>
      <protection locked="true" hidden="false"/>
    </xf>
    <xf numFmtId="174" fontId="96" fillId="0" borderId="60" xfId="0" applyFont="true" applyBorder="true" applyAlignment="true" applyProtection="true">
      <alignment horizontal="general" vertical="bottom" textRotation="0" wrapText="false" indent="0" shrinkToFit="false"/>
      <protection locked="true" hidden="false"/>
    </xf>
    <xf numFmtId="174" fontId="96" fillId="14" borderId="11" xfId="0" applyFont="true" applyBorder="true" applyAlignment="true" applyProtection="true">
      <alignment horizontal="general" vertical="bottom" textRotation="0" wrapText="false" indent="0" shrinkToFit="false"/>
      <protection locked="true" hidden="false"/>
    </xf>
    <xf numFmtId="174" fontId="96" fillId="14" borderId="8" xfId="0" applyFont="true" applyBorder="true" applyAlignment="true" applyProtection="true">
      <alignment horizontal="general" vertical="bottom" textRotation="0" wrapText="false" indent="0" shrinkToFit="false"/>
      <protection locked="true" hidden="false"/>
    </xf>
    <xf numFmtId="174" fontId="57" fillId="0" borderId="89" xfId="0" applyFont="true" applyBorder="true" applyAlignment="true" applyProtection="true">
      <alignment horizontal="general" vertical="bottom" textRotation="0" wrapText="false" indent="0" shrinkToFit="false"/>
      <protection locked="true" hidden="false"/>
    </xf>
    <xf numFmtId="174" fontId="57" fillId="16" borderId="7" xfId="0" applyFont="true" applyBorder="true" applyAlignment="true" applyProtection="true">
      <alignment horizontal="general" vertical="bottom" textRotation="0" wrapText="false" indent="0" shrinkToFit="false"/>
      <protection locked="true" hidden="false"/>
    </xf>
    <xf numFmtId="174" fontId="57" fillId="0" borderId="72" xfId="0" applyFont="true" applyBorder="true" applyAlignment="true" applyProtection="true">
      <alignment horizontal="general" vertical="bottom" textRotation="0" wrapText="false" indent="0" shrinkToFit="false"/>
      <protection locked="true" hidden="false"/>
    </xf>
    <xf numFmtId="174" fontId="57" fillId="0" borderId="63" xfId="0" applyFont="true" applyBorder="true" applyAlignment="true" applyProtection="true">
      <alignment horizontal="general" vertical="bottom" textRotation="0" wrapText="false" indent="0" shrinkToFit="false"/>
      <protection locked="true" hidden="false"/>
    </xf>
    <xf numFmtId="164" fontId="74" fillId="14" borderId="48" xfId="0" applyFont="true" applyBorder="true" applyAlignment="true" applyProtection="true">
      <alignment horizontal="general" vertical="bottom" textRotation="0" wrapText="false" indent="0" shrinkToFit="false"/>
      <protection locked="true" hidden="false"/>
    </xf>
    <xf numFmtId="164" fontId="0" fillId="0" borderId="48" xfId="0" applyFont="false" applyBorder="true" applyAlignment="true" applyProtection="true">
      <alignment horizontal="general" vertical="center" textRotation="0" wrapText="false" indent="0" shrinkToFit="false"/>
      <protection locked="true" hidden="false"/>
    </xf>
    <xf numFmtId="174" fontId="97" fillId="0" borderId="6" xfId="0" applyFont="true" applyBorder="true" applyAlignment="true" applyProtection="true">
      <alignment horizontal="right" vertical="center" textRotation="0" wrapText="false" indent="1" shrinkToFit="false"/>
      <protection locked="true" hidden="false"/>
    </xf>
    <xf numFmtId="174" fontId="97" fillId="0" borderId="6" xfId="0" applyFont="true" applyBorder="true" applyAlignment="true" applyProtection="true">
      <alignment horizontal="left" vertical="center" textRotation="0" wrapText="false" indent="1" shrinkToFit="false"/>
      <protection locked="true" hidden="false"/>
    </xf>
    <xf numFmtId="174" fontId="97" fillId="0" borderId="6" xfId="0" applyFont="true" applyBorder="true" applyAlignment="true" applyProtection="true">
      <alignment horizontal="center" vertical="center" textRotation="0" wrapText="false" indent="0" shrinkToFit="false"/>
      <protection locked="true" hidden="false"/>
    </xf>
    <xf numFmtId="164" fontId="74" fillId="0" borderId="48" xfId="0" applyFont="true" applyBorder="true" applyAlignment="true" applyProtection="true">
      <alignment horizontal="general" vertical="bottom" textRotation="0" wrapText="false" indent="0" shrinkToFit="false"/>
      <protection locked="true" hidden="false"/>
    </xf>
    <xf numFmtId="164" fontId="74" fillId="0" borderId="12" xfId="0" applyFont="true" applyBorder="true" applyAlignment="true" applyProtection="true">
      <alignment horizontal="general" vertical="bottom" textRotation="0" wrapText="false" indent="0" shrinkToFit="false"/>
      <protection locked="true" hidden="false"/>
    </xf>
    <xf numFmtId="174" fontId="57" fillId="0" borderId="62" xfId="0" applyFont="true" applyBorder="true" applyAlignment="true" applyProtection="true">
      <alignment horizontal="general" vertical="center" textRotation="0" wrapText="false" indent="0" shrinkToFit="false"/>
      <protection locked="true" hidden="false"/>
    </xf>
    <xf numFmtId="174" fontId="57" fillId="0" borderId="6" xfId="0" applyFont="true" applyBorder="true" applyAlignment="true" applyProtection="true">
      <alignment horizontal="general" vertical="center" textRotation="0" wrapText="false" indent="0" shrinkToFit="false"/>
      <protection locked="true" hidden="false"/>
    </xf>
    <xf numFmtId="164" fontId="0" fillId="0" borderId="12" xfId="0" applyFont="false" applyBorder="true" applyAlignment="true" applyProtection="true">
      <alignment horizontal="general" vertical="center" textRotation="0" wrapText="false" indent="0" shrinkToFit="false"/>
      <protection locked="true" hidden="false"/>
    </xf>
    <xf numFmtId="174" fontId="57" fillId="0" borderId="4" xfId="0" applyFont="true" applyBorder="true" applyAlignment="true" applyProtection="true">
      <alignment horizontal="general" vertical="bottom" textRotation="0" wrapText="false" indent="0" shrinkToFit="false"/>
      <protection locked="true" hidden="false"/>
    </xf>
    <xf numFmtId="174" fontId="57" fillId="14" borderId="43" xfId="0" applyFont="true" applyBorder="true" applyAlignment="true" applyProtection="true">
      <alignment horizontal="general" vertical="bottom" textRotation="0" wrapText="false" indent="0" shrinkToFit="false"/>
      <protection locked="true" hidden="false"/>
    </xf>
    <xf numFmtId="174" fontId="57" fillId="15" borderId="22" xfId="0" applyFont="true" applyBorder="true" applyAlignment="true" applyProtection="true">
      <alignment horizontal="general" vertical="center" textRotation="0" wrapText="false" indent="0" shrinkToFit="false"/>
      <protection locked="true" hidden="false"/>
    </xf>
    <xf numFmtId="174" fontId="98" fillId="12" borderId="30" xfId="0" applyFont="true" applyBorder="true" applyAlignment="true" applyProtection="true">
      <alignment horizontal="left" vertical="center" textRotation="0" wrapText="false" indent="0" shrinkToFit="tru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5" fontId="48" fillId="0" borderId="0" xfId="21"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left" vertical="bottom" textRotation="0" wrapText="false" indent="0" shrinkToFit="false"/>
      <protection locked="true" hidden="false"/>
    </xf>
    <xf numFmtId="174" fontId="72" fillId="0" borderId="0" xfId="0" applyFont="true" applyBorder="false" applyAlignment="true" applyProtection="true">
      <alignment horizontal="general" vertical="bottom" textRotation="0" wrapText="false" indent="0" shrinkToFit="false"/>
      <protection locked="true" hidden="false"/>
    </xf>
    <xf numFmtId="165" fontId="53" fillId="0" borderId="0" xfId="21" applyFont="true" applyBorder="true" applyAlignment="true" applyProtection="true">
      <alignment horizontal="general" vertical="bottom" textRotation="0" wrapText="false" indent="0" shrinkToFit="false"/>
      <protection locked="true" hidden="false"/>
    </xf>
    <xf numFmtId="164" fontId="99" fillId="0" borderId="0" xfId="0" applyFont="true" applyBorder="false" applyAlignment="true" applyProtection="true">
      <alignment horizontal="general" vertical="center" textRotation="0" wrapText="false" indent="0" shrinkToFit="false"/>
      <protection locked="true" hidden="false"/>
    </xf>
    <xf numFmtId="165" fontId="54" fillId="0" borderId="0" xfId="20" applyFont="true" applyBorder="true" applyAlignment="true" applyProtection="true">
      <alignment horizontal="right" vertical="bottom" textRotation="0" wrapText="false" indent="0" shrinkToFit="false"/>
      <protection locked="true" hidden="false"/>
    </xf>
    <xf numFmtId="164" fontId="99" fillId="0" borderId="0" xfId="0" applyFont="true" applyBorder="false" applyAlignment="true" applyProtection="true">
      <alignment horizontal="general" vertical="bottom" textRotation="0" wrapText="false" indent="0" shrinkToFit="false"/>
      <protection locked="true" hidden="false"/>
    </xf>
    <xf numFmtId="164" fontId="65" fillId="0" borderId="0" xfId="0" applyFont="true" applyBorder="false" applyAlignment="true" applyProtection="true">
      <alignment horizontal="general" vertical="bottom" textRotation="0" wrapText="false" indent="0" shrinkToFit="false"/>
      <protection locked="true" hidden="false"/>
    </xf>
    <xf numFmtId="164" fontId="65" fillId="0" borderId="0" xfId="0" applyFont="true" applyBorder="true" applyAlignment="true" applyProtection="true">
      <alignment horizontal="general" vertical="bottom" textRotation="0" wrapText="false" indent="0" shrinkToFit="false"/>
      <protection locked="true" hidden="false"/>
    </xf>
    <xf numFmtId="165" fontId="56" fillId="0" borderId="0" xfId="20" applyFont="true" applyBorder="true" applyAlignment="true" applyProtection="true">
      <alignment horizontal="right" vertical="bottom" textRotation="0" wrapText="false" indent="0" shrinkToFit="false"/>
      <protection locked="true" hidden="false"/>
    </xf>
    <xf numFmtId="164" fontId="54" fillId="0" borderId="11" xfId="0" applyFont="true" applyBorder="true" applyAlignment="true" applyProtection="true">
      <alignment horizontal="center" vertical="center" textRotation="0" wrapText="false" indent="0" shrinkToFit="false"/>
      <protection locked="true" hidden="false"/>
    </xf>
    <xf numFmtId="165" fontId="54" fillId="0" borderId="10" xfId="21" applyFont="true" applyBorder="true" applyAlignment="true" applyProtection="true">
      <alignment horizontal="center" vertical="center" textRotation="0" wrapText="true" indent="0" shrinkToFit="false"/>
      <protection locked="true" hidden="false"/>
    </xf>
    <xf numFmtId="165" fontId="54" fillId="0" borderId="10" xfId="21" applyFont="true" applyBorder="true" applyAlignment="true" applyProtection="true">
      <alignment horizontal="center" vertical="center" textRotation="0" wrapText="false" indent="0" shrinkToFit="false"/>
      <protection locked="true" hidden="false"/>
    </xf>
    <xf numFmtId="165" fontId="54" fillId="0" borderId="82" xfId="21" applyFont="true" applyBorder="true" applyAlignment="true" applyProtection="true">
      <alignment horizontal="center" vertical="center" textRotation="0" wrapText="true" indent="0" shrinkToFit="false"/>
      <protection locked="true" hidden="false"/>
    </xf>
    <xf numFmtId="165" fontId="54" fillId="0" borderId="90" xfId="21" applyFont="true" applyBorder="true" applyAlignment="true" applyProtection="true">
      <alignment horizontal="center" vertical="center" textRotation="0" wrapText="false" indent="0" shrinkToFit="true"/>
      <protection locked="true" hidden="false"/>
    </xf>
    <xf numFmtId="165" fontId="54" fillId="15" borderId="8" xfId="21" applyFont="true" applyBorder="true" applyAlignment="true" applyProtection="true">
      <alignment horizontal="center" vertical="center" textRotation="0" wrapText="false" indent="0" shrinkToFit="false"/>
      <protection locked="true" hidden="false"/>
    </xf>
    <xf numFmtId="165" fontId="48" fillId="0" borderId="0" xfId="21" applyFont="true" applyBorder="true" applyAlignment="true" applyProtection="true">
      <alignment horizontal="center" vertical="center" textRotation="0" wrapText="false" indent="0" shrinkToFit="false"/>
      <protection locked="true" hidden="false"/>
    </xf>
    <xf numFmtId="164" fontId="54" fillId="19" borderId="82" xfId="0" applyFont="true" applyBorder="true" applyAlignment="true" applyProtection="true">
      <alignment horizontal="center" vertical="center" textRotation="0" wrapText="true" indent="0" shrinkToFit="false"/>
      <protection locked="true" hidden="false"/>
    </xf>
    <xf numFmtId="164" fontId="75" fillId="0" borderId="91" xfId="0" applyFont="true" applyBorder="true" applyAlignment="true" applyProtection="true">
      <alignment horizontal="center" vertical="center" textRotation="0" wrapText="false" indent="0" shrinkToFit="false"/>
      <protection locked="true" hidden="false"/>
    </xf>
    <xf numFmtId="164" fontId="75" fillId="0" borderId="92" xfId="0" applyFont="true" applyBorder="true" applyAlignment="true" applyProtection="true">
      <alignment horizontal="center" vertical="center" textRotation="0" wrapText="false" indent="0" shrinkToFit="false"/>
      <protection locked="true" hidden="false"/>
    </xf>
    <xf numFmtId="164" fontId="75" fillId="0" borderId="93" xfId="0" applyFont="true" applyBorder="true" applyAlignment="true" applyProtection="true">
      <alignment horizontal="center" vertical="center" textRotation="0" wrapText="false" indent="0" shrinkToFit="false"/>
      <protection locked="true" hidden="false"/>
    </xf>
    <xf numFmtId="164" fontId="75" fillId="0" borderId="94" xfId="0" applyFont="true" applyBorder="true" applyAlignment="true" applyProtection="true">
      <alignment horizontal="center" vertical="center" textRotation="0" wrapText="false" indent="0" shrinkToFit="false"/>
      <protection locked="true" hidden="false"/>
    </xf>
    <xf numFmtId="164" fontId="75" fillId="0" borderId="95" xfId="0" applyFont="true" applyBorder="true" applyAlignment="true" applyProtection="true">
      <alignment horizontal="center" vertical="center" textRotation="0" wrapText="false" indent="0" shrinkToFit="false"/>
      <protection locked="true" hidden="false"/>
    </xf>
    <xf numFmtId="165" fontId="75" fillId="0" borderId="95" xfId="21" applyFont="true" applyBorder="true" applyAlignment="true" applyProtection="true">
      <alignment horizontal="center" vertical="center" textRotation="0" wrapText="false" indent="0" shrinkToFit="true"/>
      <protection locked="true" hidden="false"/>
    </xf>
    <xf numFmtId="165" fontId="75" fillId="0" borderId="96" xfId="21" applyFont="true" applyBorder="true" applyAlignment="true" applyProtection="true">
      <alignment horizontal="center" vertical="center" textRotation="0" wrapText="false" indent="0" shrinkToFit="true"/>
      <protection locked="true" hidden="false"/>
    </xf>
    <xf numFmtId="164" fontId="54" fillId="15" borderId="22" xfId="0" applyFont="true" applyBorder="true" applyAlignment="true" applyProtection="true">
      <alignment horizontal="general" vertical="bottom" textRotation="0" wrapText="false" indent="0" shrinkToFit="false"/>
      <protection locked="true" hidden="false"/>
    </xf>
    <xf numFmtId="165" fontId="48" fillId="15" borderId="5" xfId="20" applyFont="true" applyBorder="true" applyAlignment="true" applyProtection="true">
      <alignment horizontal="general" vertical="bottom" textRotation="0" wrapText="false" indent="0" shrinkToFit="true"/>
      <protection locked="true" hidden="false"/>
    </xf>
    <xf numFmtId="165" fontId="48" fillId="15" borderId="25" xfId="21" applyFont="true" applyBorder="true" applyAlignment="true" applyProtection="true">
      <alignment horizontal="general" vertical="bottom" textRotation="0" wrapText="false" indent="0" shrinkToFit="true"/>
      <protection locked="true" hidden="false"/>
    </xf>
    <xf numFmtId="165" fontId="48" fillId="15" borderId="97" xfId="21" applyFont="true" applyBorder="true" applyAlignment="true" applyProtection="true">
      <alignment horizontal="general" vertical="bottom" textRotation="0" wrapText="false" indent="0" shrinkToFit="true"/>
      <protection locked="true" hidden="false"/>
    </xf>
    <xf numFmtId="165" fontId="57" fillId="15" borderId="20"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bottom" textRotation="0" wrapText="false" indent="0" shrinkToFit="false"/>
      <protection locked="true" hidden="false"/>
    </xf>
    <xf numFmtId="164" fontId="54" fillId="0" borderId="14" xfId="0" applyFont="true" applyBorder="true" applyAlignment="true" applyProtection="true">
      <alignment horizontal="general" vertical="bottom" textRotation="0" wrapText="false" indent="0" shrinkToFit="true"/>
      <protection locked="true" hidden="false"/>
    </xf>
    <xf numFmtId="174" fontId="64" fillId="19" borderId="98" xfId="0" applyFont="true" applyBorder="true" applyAlignment="true" applyProtection="true">
      <alignment horizontal="general" vertical="bottom" textRotation="0" wrapText="false" indent="0" shrinkToFit="true"/>
      <protection locked="true" hidden="false"/>
    </xf>
    <xf numFmtId="165" fontId="75" fillId="0" borderId="99" xfId="21" applyFont="true" applyBorder="true" applyAlignment="true" applyProtection="true">
      <alignment horizontal="general" vertical="bottom" textRotation="0" wrapText="false" indent="0" shrinkToFit="true"/>
      <protection locked="true" hidden="false"/>
    </xf>
    <xf numFmtId="165" fontId="75" fillId="0" borderId="100" xfId="21" applyFont="true" applyBorder="true" applyAlignment="true" applyProtection="true">
      <alignment horizontal="general" vertical="bottom" textRotation="0" wrapText="false" indent="0" shrinkToFit="true"/>
      <protection locked="true" hidden="false"/>
    </xf>
    <xf numFmtId="165" fontId="75" fillId="0" borderId="101" xfId="21" applyFont="true" applyBorder="true" applyAlignment="true" applyProtection="true">
      <alignment horizontal="general" vertical="bottom" textRotation="0" wrapText="false" indent="0" shrinkToFit="true"/>
      <protection locked="true" hidden="false"/>
    </xf>
    <xf numFmtId="165" fontId="75" fillId="0" borderId="102" xfId="21" applyFont="true" applyBorder="true" applyAlignment="true" applyProtection="true">
      <alignment horizontal="general" vertical="bottom" textRotation="0" wrapText="false" indent="0" shrinkToFit="true"/>
      <protection locked="true" hidden="false"/>
    </xf>
    <xf numFmtId="165" fontId="75" fillId="0" borderId="103" xfId="21" applyFont="true" applyBorder="true" applyAlignment="true" applyProtection="true">
      <alignment horizontal="general" vertical="bottom" textRotation="0" wrapText="false" indent="0" shrinkToFit="true"/>
      <protection locked="true" hidden="false"/>
    </xf>
    <xf numFmtId="165" fontId="75" fillId="0" borderId="104" xfId="21" applyFont="true" applyBorder="true" applyAlignment="true" applyProtection="true">
      <alignment horizontal="general" vertical="bottom" textRotation="0" wrapText="false" indent="0" shrinkToFit="true"/>
      <protection locked="true" hidden="false"/>
    </xf>
    <xf numFmtId="164" fontId="54" fillId="0" borderId="26" xfId="0" applyFont="true" applyBorder="true" applyAlignment="true" applyProtection="true">
      <alignment horizontal="general" vertical="bottom" textRotation="0" wrapText="false" indent="0" shrinkToFit="false"/>
      <protection locked="true" hidden="false"/>
    </xf>
    <xf numFmtId="165" fontId="60" fillId="0" borderId="3" xfId="21" applyFont="true" applyBorder="true" applyAlignment="true" applyProtection="true">
      <alignment horizontal="general" vertical="bottom" textRotation="0" wrapText="false" indent="0" shrinkToFit="true"/>
      <protection locked="true" hidden="false"/>
    </xf>
    <xf numFmtId="165" fontId="60" fillId="0" borderId="5" xfId="21" applyFont="true" applyBorder="true" applyAlignment="true" applyProtection="true">
      <alignment horizontal="general" vertical="bottom" textRotation="0" wrapText="false" indent="0" shrinkToFit="true"/>
      <protection locked="true" hidden="false"/>
    </xf>
    <xf numFmtId="165" fontId="60" fillId="0" borderId="32" xfId="21" applyFont="true" applyBorder="true" applyAlignment="true" applyProtection="true">
      <alignment horizontal="general" vertical="bottom" textRotation="0" wrapText="false" indent="0" shrinkToFit="true"/>
      <protection locked="true" hidden="false"/>
    </xf>
    <xf numFmtId="165" fontId="60" fillId="0" borderId="97" xfId="21" applyFont="true" applyBorder="true" applyAlignment="true" applyProtection="true">
      <alignment horizontal="general" vertical="bottom" textRotation="0" wrapText="false" indent="0" shrinkToFit="true"/>
      <protection locked="true" hidden="false"/>
    </xf>
    <xf numFmtId="164" fontId="54" fillId="0" borderId="26" xfId="0" applyFont="true" applyBorder="true" applyAlignment="true" applyProtection="true">
      <alignment horizontal="general" vertical="bottom" textRotation="0" wrapText="false" indent="0" shrinkToFit="true"/>
      <protection locked="true" hidden="false"/>
    </xf>
    <xf numFmtId="174" fontId="64" fillId="19" borderId="32" xfId="0" applyFont="true" applyBorder="true" applyAlignment="true" applyProtection="true">
      <alignment horizontal="general" vertical="bottom" textRotation="0" wrapText="false" indent="0" shrinkToFit="true"/>
      <protection locked="true" hidden="false"/>
    </xf>
    <xf numFmtId="165" fontId="75" fillId="0" borderId="105" xfId="21" applyFont="true" applyBorder="true" applyAlignment="true" applyProtection="true">
      <alignment horizontal="general" vertical="bottom" textRotation="0" wrapText="false" indent="0" shrinkToFit="true"/>
      <protection locked="true" hidden="false"/>
    </xf>
    <xf numFmtId="165" fontId="75" fillId="0" borderId="106" xfId="21" applyFont="true" applyBorder="true" applyAlignment="true" applyProtection="true">
      <alignment horizontal="general" vertical="bottom" textRotation="0" wrapText="false" indent="0" shrinkToFit="true"/>
      <protection locked="true" hidden="false"/>
    </xf>
    <xf numFmtId="165" fontId="75" fillId="0" borderId="107" xfId="21" applyFont="true" applyBorder="true" applyAlignment="true" applyProtection="true">
      <alignment horizontal="general" vertical="bottom" textRotation="0" wrapText="false" indent="0" shrinkToFit="true"/>
      <protection locked="true" hidden="false"/>
    </xf>
    <xf numFmtId="165" fontId="75" fillId="0" borderId="108" xfId="21" applyFont="true" applyBorder="true" applyAlignment="true" applyProtection="true">
      <alignment horizontal="general" vertical="bottom" textRotation="0" wrapText="false" indent="0" shrinkToFit="true"/>
      <protection locked="true" hidden="false"/>
    </xf>
    <xf numFmtId="165" fontId="75" fillId="0" borderId="109" xfId="21" applyFont="true" applyBorder="true" applyAlignment="true" applyProtection="true">
      <alignment horizontal="general" vertical="bottom" textRotation="0" wrapText="false" indent="0" shrinkToFit="true"/>
      <protection locked="true" hidden="false"/>
    </xf>
    <xf numFmtId="165" fontId="75" fillId="0" borderId="110" xfId="21" applyFont="true" applyBorder="true" applyAlignment="true" applyProtection="true">
      <alignment horizontal="general" vertical="bottom" textRotation="0" wrapText="false" indent="0" shrinkToFit="true"/>
      <protection locked="true" hidden="false"/>
    </xf>
    <xf numFmtId="165" fontId="48" fillId="0" borderId="3" xfId="21" applyFont="true" applyBorder="true" applyAlignment="true" applyProtection="true">
      <alignment horizontal="general" vertical="bottom" textRotation="0" wrapText="false" indent="0" shrinkToFit="true"/>
      <protection locked="true" hidden="false"/>
    </xf>
    <xf numFmtId="165" fontId="48" fillId="0" borderId="5" xfId="21" applyFont="true" applyBorder="true" applyAlignment="true" applyProtection="true">
      <alignment horizontal="general" vertical="bottom" textRotation="0" wrapText="false" indent="0" shrinkToFit="true"/>
      <protection locked="true" hidden="false"/>
    </xf>
    <xf numFmtId="165" fontId="48" fillId="0" borderId="32" xfId="21" applyFont="true" applyBorder="true" applyAlignment="true" applyProtection="true">
      <alignment horizontal="general" vertical="bottom" textRotation="0" wrapText="false" indent="0" shrinkToFit="true"/>
      <protection locked="true" hidden="false"/>
    </xf>
    <xf numFmtId="165" fontId="48" fillId="0" borderId="97" xfId="21" applyFont="true" applyBorder="true" applyAlignment="true" applyProtection="true">
      <alignment horizontal="general" vertical="bottom" textRotation="0" wrapText="false" indent="0" shrinkToFit="true"/>
      <protection locked="true" hidden="false"/>
    </xf>
    <xf numFmtId="174" fontId="64" fillId="19" borderId="3" xfId="0" applyFont="true" applyBorder="true" applyAlignment="true" applyProtection="true">
      <alignment horizontal="general" vertical="bottom" textRotation="0" wrapText="false" indent="0" shrinkToFit="true"/>
      <protection locked="true" hidden="false"/>
    </xf>
    <xf numFmtId="165" fontId="75" fillId="0" borderId="111" xfId="21" applyFont="true" applyBorder="true" applyAlignment="true" applyProtection="true">
      <alignment horizontal="general" vertical="bottom" textRotation="0" wrapText="false" indent="0" shrinkToFit="true"/>
      <protection locked="true" hidden="false"/>
    </xf>
    <xf numFmtId="165" fontId="75" fillId="0" borderId="112" xfId="21" applyFont="true" applyBorder="true" applyAlignment="true" applyProtection="true">
      <alignment horizontal="general" vertical="bottom" textRotation="0" wrapText="false" indent="0" shrinkToFit="true"/>
      <protection locked="true" hidden="false"/>
    </xf>
    <xf numFmtId="165" fontId="75" fillId="0" borderId="113" xfId="21" applyFont="true" applyBorder="true" applyAlignment="true" applyProtection="true">
      <alignment horizontal="general" vertical="bottom" textRotation="0" wrapText="false" indent="0" shrinkToFit="true"/>
      <protection locked="true" hidden="false"/>
    </xf>
    <xf numFmtId="165" fontId="48" fillId="15" borderId="3" xfId="21" applyFont="true" applyBorder="true" applyAlignment="true" applyProtection="true">
      <alignment horizontal="general" vertical="bottom" textRotation="0" wrapText="false" indent="0" shrinkToFit="true"/>
      <protection locked="true" hidden="false"/>
    </xf>
    <xf numFmtId="165" fontId="48" fillId="15" borderId="32" xfId="21" applyFont="true" applyBorder="true" applyAlignment="true" applyProtection="true">
      <alignment horizontal="general" vertical="bottom" textRotation="0" wrapText="false" indent="0" shrinkToFit="true"/>
      <protection locked="true" hidden="false"/>
    </xf>
    <xf numFmtId="165" fontId="48" fillId="0" borderId="3" xfId="21" applyFont="true" applyBorder="true" applyAlignment="true" applyProtection="true">
      <alignment horizontal="general" vertical="bottom" textRotation="0" wrapText="false" indent="0" shrinkToFit="false"/>
      <protection locked="true" hidden="false"/>
    </xf>
    <xf numFmtId="165" fontId="75" fillId="0" borderId="105" xfId="20" applyFont="true" applyBorder="true" applyAlignment="true" applyProtection="true">
      <alignment horizontal="general" vertical="bottom" textRotation="0" wrapText="false" indent="0" shrinkToFit="true"/>
      <protection locked="true" hidden="false"/>
    </xf>
    <xf numFmtId="165" fontId="75" fillId="0" borderId="114" xfId="21" applyFont="true" applyBorder="true" applyAlignment="true" applyProtection="true">
      <alignment horizontal="general" vertical="bottom" textRotation="0" wrapText="false" indent="0" shrinkToFit="true"/>
      <protection locked="true" hidden="false"/>
    </xf>
    <xf numFmtId="165" fontId="75" fillId="0" borderId="107" xfId="20" applyFont="true" applyBorder="true" applyAlignment="true" applyProtection="true">
      <alignment horizontal="general" vertical="bottom" textRotation="0" wrapText="false" indent="0" shrinkToFit="true"/>
      <protection locked="true" hidden="false"/>
    </xf>
    <xf numFmtId="165" fontId="75" fillId="0" borderId="106" xfId="20" applyFont="true" applyBorder="true" applyAlignment="true" applyProtection="true">
      <alignment horizontal="general" vertical="bottom" textRotation="0" wrapText="false" indent="0" shrinkToFit="true"/>
      <protection locked="true" hidden="false"/>
    </xf>
    <xf numFmtId="164" fontId="54" fillId="15" borderId="69" xfId="0" applyFont="true" applyBorder="true" applyAlignment="true" applyProtection="true">
      <alignment horizontal="general" vertical="bottom" textRotation="0" wrapText="false" indent="0" shrinkToFit="false"/>
      <protection locked="true" hidden="false"/>
    </xf>
    <xf numFmtId="165" fontId="60" fillId="0" borderId="37" xfId="21" applyFont="true" applyBorder="true" applyAlignment="true" applyProtection="true">
      <alignment horizontal="general" vertical="bottom" textRotation="0" wrapText="false" indent="0" shrinkToFit="true"/>
      <protection locked="true" hidden="false"/>
    </xf>
    <xf numFmtId="165" fontId="60" fillId="0" borderId="115" xfId="21" applyFont="true" applyBorder="true" applyAlignment="true" applyProtection="true">
      <alignment horizontal="general" vertical="bottom" textRotation="0" wrapText="false" indent="0" shrinkToFit="true"/>
      <protection locked="true" hidden="false"/>
    </xf>
    <xf numFmtId="165" fontId="60" fillId="0" borderId="116" xfId="21" applyFont="true" applyBorder="true" applyAlignment="true" applyProtection="true">
      <alignment horizontal="general" vertical="bottom" textRotation="0" wrapText="false" indent="0" shrinkToFit="true"/>
      <protection locked="true" hidden="false"/>
    </xf>
    <xf numFmtId="165" fontId="57" fillId="15" borderId="81" xfId="21" applyFont="true" applyBorder="true" applyAlignment="true" applyProtection="true">
      <alignment horizontal="general" vertical="bottom" textRotation="0" wrapText="false" indent="0" shrinkToFit="true"/>
      <protection locked="true" hidden="false"/>
    </xf>
    <xf numFmtId="164" fontId="54" fillId="0" borderId="69" xfId="0" applyFont="true" applyBorder="true" applyAlignment="true" applyProtection="true">
      <alignment horizontal="general" vertical="bottom" textRotation="0" wrapText="false" indent="0" shrinkToFit="true"/>
      <protection locked="true" hidden="false"/>
    </xf>
    <xf numFmtId="174" fontId="64" fillId="19" borderId="115" xfId="0" applyFont="true" applyBorder="true" applyAlignment="true" applyProtection="true">
      <alignment horizontal="general" vertical="bottom" textRotation="0" wrapText="false" indent="0" shrinkToFit="true"/>
      <protection locked="true" hidden="false"/>
    </xf>
    <xf numFmtId="165" fontId="75" fillId="0" borderId="117" xfId="21" applyFont="true" applyBorder="true" applyAlignment="true" applyProtection="true">
      <alignment horizontal="general" vertical="bottom" textRotation="0" wrapText="false" indent="0" shrinkToFit="true"/>
      <protection locked="true" hidden="false"/>
    </xf>
    <xf numFmtId="165" fontId="75" fillId="0" borderId="118" xfId="21" applyFont="true" applyBorder="true" applyAlignment="true" applyProtection="true">
      <alignment horizontal="general" vertical="bottom" textRotation="0" wrapText="false" indent="0" shrinkToFit="true"/>
      <protection locked="true" hidden="false"/>
    </xf>
    <xf numFmtId="165" fontId="75" fillId="0" borderId="119" xfId="21" applyFont="true" applyBorder="true" applyAlignment="true" applyProtection="true">
      <alignment horizontal="general" vertical="bottom" textRotation="0" wrapText="false" indent="0" shrinkToFit="true"/>
      <protection locked="true" hidden="false"/>
    </xf>
    <xf numFmtId="165" fontId="75" fillId="0" borderId="120" xfId="21" applyFont="true" applyBorder="true" applyAlignment="true" applyProtection="true">
      <alignment horizontal="general" vertical="bottom" textRotation="0" wrapText="false" indent="0" shrinkToFit="true"/>
      <protection locked="true" hidden="false"/>
    </xf>
    <xf numFmtId="165" fontId="75" fillId="0" borderId="121" xfId="21" applyFont="true" applyBorder="true" applyAlignment="true" applyProtection="true">
      <alignment horizontal="general" vertical="bottom" textRotation="0" wrapText="false" indent="0" shrinkToFit="true"/>
      <protection locked="true" hidden="false"/>
    </xf>
    <xf numFmtId="165" fontId="75" fillId="0" borderId="122" xfId="21" applyFont="true" applyBorder="true" applyAlignment="true" applyProtection="true">
      <alignment horizontal="general" vertical="bottom" textRotation="0" wrapText="false" indent="0" shrinkToFit="true"/>
      <protection locked="true" hidden="false"/>
    </xf>
    <xf numFmtId="164" fontId="54" fillId="15" borderId="59" xfId="0" applyFont="true" applyBorder="true" applyAlignment="true" applyProtection="true">
      <alignment horizontal="center" vertical="center" textRotation="0" wrapText="false" indent="0" shrinkToFit="false"/>
      <protection locked="true" hidden="false"/>
    </xf>
    <xf numFmtId="165" fontId="57" fillId="15" borderId="65" xfId="21" applyFont="true" applyBorder="true" applyAlignment="true" applyProtection="true">
      <alignment horizontal="general" vertical="bottom" textRotation="0" wrapText="false" indent="0" shrinkToFit="true"/>
      <protection locked="true" hidden="false"/>
    </xf>
    <xf numFmtId="165" fontId="57" fillId="15" borderId="61" xfId="21" applyFont="true" applyBorder="true" applyAlignment="true" applyProtection="true">
      <alignment horizontal="general" vertical="bottom" textRotation="0" wrapText="false" indent="0" shrinkToFit="true"/>
      <protection locked="true" hidden="false"/>
    </xf>
    <xf numFmtId="165" fontId="57" fillId="15" borderId="90" xfId="21" applyFont="true" applyBorder="true" applyAlignment="true" applyProtection="true">
      <alignment horizontal="general" vertical="bottom" textRotation="0" wrapText="false" indent="0" shrinkToFit="true"/>
      <protection locked="true" hidden="false"/>
    </xf>
    <xf numFmtId="165" fontId="57" fillId="15" borderId="8" xfId="21" applyFont="true" applyBorder="true" applyAlignment="true" applyProtection="true">
      <alignment horizontal="general" vertical="bottom" textRotation="0" wrapText="false" indent="0" shrinkToFit="true"/>
      <protection locked="true" hidden="false"/>
    </xf>
    <xf numFmtId="164" fontId="54" fillId="0" borderId="11" xfId="0" applyFont="true" applyBorder="true" applyAlignment="true" applyProtection="true">
      <alignment horizontal="general" vertical="bottom" textRotation="0" wrapText="false" indent="0" shrinkToFit="true"/>
      <protection locked="true" hidden="false"/>
    </xf>
    <xf numFmtId="174" fontId="64" fillId="19" borderId="82" xfId="0" applyFont="true" applyBorder="true" applyAlignment="true" applyProtection="true">
      <alignment horizontal="general" vertical="bottom" textRotation="0" wrapText="false" indent="0" shrinkToFit="true"/>
      <protection locked="true" hidden="false"/>
    </xf>
    <xf numFmtId="165" fontId="100" fillId="0" borderId="91" xfId="21" applyFont="true" applyBorder="true" applyAlignment="true" applyProtection="true">
      <alignment horizontal="general" vertical="bottom" textRotation="0" wrapText="false" indent="0" shrinkToFit="true"/>
      <protection locked="true" hidden="false"/>
    </xf>
    <xf numFmtId="165" fontId="100" fillId="0" borderId="92" xfId="21" applyFont="true" applyBorder="true" applyAlignment="true" applyProtection="true">
      <alignment horizontal="general" vertical="bottom" textRotation="0" wrapText="false" indent="0" shrinkToFit="true"/>
      <protection locked="true" hidden="false"/>
    </xf>
    <xf numFmtId="165" fontId="100" fillId="0" borderId="93" xfId="21" applyFont="true" applyBorder="true" applyAlignment="true" applyProtection="true">
      <alignment horizontal="general" vertical="bottom" textRotation="0" wrapText="false" indent="0" shrinkToFit="true"/>
      <protection locked="true" hidden="false"/>
    </xf>
    <xf numFmtId="165" fontId="75" fillId="0" borderId="94" xfId="21" applyFont="true" applyBorder="true" applyAlignment="true" applyProtection="true">
      <alignment horizontal="general" vertical="bottom" textRotation="0" wrapText="false" indent="0" shrinkToFit="true"/>
      <protection locked="true" hidden="false"/>
    </xf>
    <xf numFmtId="165" fontId="75" fillId="0" borderId="95" xfId="21" applyFont="true" applyBorder="true" applyAlignment="true" applyProtection="true">
      <alignment horizontal="general" vertical="bottom" textRotation="0" wrapText="false" indent="0" shrinkToFit="true"/>
      <protection locked="true" hidden="false"/>
    </xf>
    <xf numFmtId="165" fontId="75" fillId="0" borderId="96" xfId="21" applyFont="true" applyBorder="true" applyAlignment="true" applyProtection="true">
      <alignment horizontal="general" vertical="bottom" textRotation="0" wrapText="false" indent="0" shrinkToFit="true"/>
      <protection locked="true" hidden="false"/>
    </xf>
    <xf numFmtId="165" fontId="48" fillId="0" borderId="0" xfId="0" applyFont="true" applyBorder="fals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left" vertical="bottom" textRotation="0" wrapText="false" indent="0" shrinkToFit="false"/>
      <protection locked="true" hidden="false"/>
    </xf>
    <xf numFmtId="164" fontId="65" fillId="0" borderId="6"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general" vertical="bottom" textRotation="0" wrapText="false" indent="0" shrinkToFit="false"/>
      <protection locked="true" hidden="false"/>
    </xf>
    <xf numFmtId="164" fontId="54" fillId="19" borderId="11" xfId="0" applyFont="true" applyBorder="true" applyAlignment="true" applyProtection="true">
      <alignment horizontal="center" vertical="center" textRotation="0" wrapText="false" indent="0" shrinkToFit="false"/>
      <protection locked="true" hidden="false"/>
    </xf>
    <xf numFmtId="165" fontId="54" fillId="19" borderId="10" xfId="21" applyFont="true" applyBorder="true" applyAlignment="true" applyProtection="true">
      <alignment horizontal="center" vertical="center" textRotation="0" wrapText="true" indent="0" shrinkToFit="false"/>
      <protection locked="true" hidden="false"/>
    </xf>
    <xf numFmtId="165" fontId="54" fillId="19" borderId="10" xfId="21" applyFont="true" applyBorder="true" applyAlignment="true" applyProtection="true">
      <alignment horizontal="center" vertical="center" textRotation="0" wrapText="false" indent="0" shrinkToFit="false"/>
      <protection locked="true" hidden="false"/>
    </xf>
    <xf numFmtId="165" fontId="54" fillId="19" borderId="63" xfId="21" applyFont="true" applyBorder="true" applyAlignment="true" applyProtection="true">
      <alignment horizontal="center" vertical="center" textRotation="0" wrapText="false" indent="0" shrinkToFit="true"/>
      <protection locked="true" hidden="false"/>
    </xf>
    <xf numFmtId="165" fontId="54" fillId="19" borderId="123" xfId="21" applyFont="true" applyBorder="true" applyAlignment="true" applyProtection="true">
      <alignment horizontal="center" vertical="center" textRotation="0" wrapText="false" indent="0" shrinkToFit="false"/>
      <protection locked="true" hidden="false"/>
    </xf>
    <xf numFmtId="164" fontId="54" fillId="19" borderId="22" xfId="0" applyFont="true" applyBorder="true" applyAlignment="true" applyProtection="true">
      <alignment horizontal="general" vertical="bottom" textRotation="0" wrapText="false" indent="0" shrinkToFit="false"/>
      <protection locked="true" hidden="false"/>
    </xf>
    <xf numFmtId="165" fontId="57" fillId="19" borderId="5" xfId="21" applyFont="true" applyBorder="true" applyAlignment="true" applyProtection="true">
      <alignment horizontal="general" vertical="bottom" textRotation="0" wrapText="false" indent="0" shrinkToFit="true"/>
      <protection locked="true" hidden="false"/>
    </xf>
    <xf numFmtId="165" fontId="57" fillId="19" borderId="25" xfId="21" applyFont="true" applyBorder="true" applyAlignment="true" applyProtection="true">
      <alignment horizontal="general" vertical="bottom" textRotation="0" wrapText="false" indent="0" shrinkToFit="true"/>
      <protection locked="true" hidden="false"/>
    </xf>
    <xf numFmtId="165" fontId="57" fillId="19" borderId="124" xfId="21" applyFont="true" applyBorder="true" applyAlignment="true" applyProtection="true">
      <alignment horizontal="general" vertical="bottom" textRotation="0" wrapText="false" indent="0" shrinkToFit="true"/>
      <protection locked="true" hidden="false"/>
    </xf>
    <xf numFmtId="165" fontId="75" fillId="0" borderId="125" xfId="21" applyFont="true" applyBorder="true" applyAlignment="true" applyProtection="true">
      <alignment horizontal="general" vertical="bottom" textRotation="0" wrapText="false" indent="0" shrinkToFit="true"/>
      <protection locked="true" hidden="false"/>
    </xf>
    <xf numFmtId="165" fontId="75" fillId="0" borderId="126" xfId="21" applyFont="true" applyBorder="true" applyAlignment="true" applyProtection="true">
      <alignment horizontal="general" vertical="bottom" textRotation="0" wrapText="false" indent="0" shrinkToFit="true"/>
      <protection locked="true" hidden="false"/>
    </xf>
    <xf numFmtId="165" fontId="75" fillId="0" borderId="127" xfId="21" applyFont="true" applyBorder="true" applyAlignment="true" applyProtection="true">
      <alignment horizontal="general" vertical="bottom" textRotation="0" wrapText="false" indent="0" shrinkToFit="true"/>
      <protection locked="true" hidden="false"/>
    </xf>
    <xf numFmtId="164" fontId="54" fillId="19" borderId="26" xfId="0" applyFont="true" applyBorder="true" applyAlignment="true" applyProtection="true">
      <alignment horizontal="general" vertical="bottom" textRotation="0" wrapText="false" indent="0" shrinkToFit="false"/>
      <protection locked="true" hidden="false"/>
    </xf>
    <xf numFmtId="165" fontId="57" fillId="19" borderId="3" xfId="21" applyFont="true" applyBorder="true" applyAlignment="true" applyProtection="true">
      <alignment horizontal="general" vertical="bottom" textRotation="0" wrapText="false" indent="0" shrinkToFit="true"/>
      <protection locked="true" hidden="false"/>
    </xf>
    <xf numFmtId="165" fontId="57" fillId="19" borderId="32" xfId="21" applyFont="true" applyBorder="true" applyAlignment="true" applyProtection="true">
      <alignment horizontal="general" vertical="bottom" textRotation="0" wrapText="false" indent="0" shrinkToFit="true"/>
      <protection locked="true" hidden="false"/>
    </xf>
    <xf numFmtId="165" fontId="75" fillId="0" borderId="128" xfId="21" applyFont="true" applyBorder="true" applyAlignment="true" applyProtection="true">
      <alignment horizontal="general" vertical="bottom" textRotation="0" wrapText="false" indent="0" shrinkToFit="true"/>
      <protection locked="true" hidden="false"/>
    </xf>
    <xf numFmtId="165" fontId="75" fillId="0" borderId="129" xfId="21" applyFont="true" applyBorder="true" applyAlignment="true" applyProtection="true">
      <alignment horizontal="general" vertical="bottom" textRotation="0" wrapText="false" indent="0" shrinkToFit="true"/>
      <protection locked="true" hidden="false"/>
    </xf>
    <xf numFmtId="165" fontId="75" fillId="0" borderId="130" xfId="21" applyFont="true" applyBorder="true" applyAlignment="true" applyProtection="true">
      <alignment horizontal="general" vertical="bottom" textRotation="0" wrapText="false" indent="0" shrinkToFit="true"/>
      <protection locked="true" hidden="false"/>
    </xf>
    <xf numFmtId="164" fontId="54" fillId="19" borderId="69" xfId="0" applyFont="true" applyBorder="true" applyAlignment="true" applyProtection="true">
      <alignment horizontal="general" vertical="bottom" textRotation="0" wrapText="false" indent="0" shrinkToFit="false"/>
      <protection locked="true" hidden="false"/>
    </xf>
    <xf numFmtId="165" fontId="57" fillId="19" borderId="37" xfId="21" applyFont="true" applyBorder="true" applyAlignment="true" applyProtection="true">
      <alignment horizontal="general" vertical="bottom" textRotation="0" wrapText="false" indent="0" shrinkToFit="true"/>
      <protection locked="true" hidden="false"/>
    </xf>
    <xf numFmtId="165" fontId="57" fillId="19" borderId="115" xfId="21" applyFont="true" applyBorder="true" applyAlignment="true" applyProtection="true">
      <alignment horizontal="general" vertical="bottom" textRotation="0" wrapText="false" indent="0" shrinkToFit="true"/>
      <protection locked="true" hidden="false"/>
    </xf>
    <xf numFmtId="165" fontId="57" fillId="19" borderId="131" xfId="21" applyFont="true" applyBorder="true" applyAlignment="true" applyProtection="true">
      <alignment horizontal="general" vertical="bottom" textRotation="0" wrapText="false" indent="0" shrinkToFit="true"/>
      <protection locked="true" hidden="false"/>
    </xf>
    <xf numFmtId="165" fontId="75" fillId="0" borderId="132" xfId="21" applyFont="true" applyBorder="true" applyAlignment="true" applyProtection="true">
      <alignment horizontal="general" vertical="bottom" textRotation="0" wrapText="false" indent="0" shrinkToFit="true"/>
      <protection locked="true" hidden="false"/>
    </xf>
    <xf numFmtId="165" fontId="75" fillId="0" borderId="133" xfId="21" applyFont="true" applyBorder="true" applyAlignment="true" applyProtection="true">
      <alignment horizontal="general" vertical="bottom" textRotation="0" wrapText="false" indent="0" shrinkToFit="true"/>
      <protection locked="true" hidden="false"/>
    </xf>
    <xf numFmtId="165" fontId="75" fillId="0" borderId="134" xfId="21" applyFont="true" applyBorder="true" applyAlignment="true" applyProtection="true">
      <alignment horizontal="general" vertical="bottom" textRotation="0" wrapText="false" indent="0" shrinkToFit="true"/>
      <protection locked="true" hidden="false"/>
    </xf>
    <xf numFmtId="164" fontId="54" fillId="19" borderId="59" xfId="0" applyFont="true" applyBorder="true" applyAlignment="true" applyProtection="true">
      <alignment horizontal="center" vertical="center" textRotation="0" wrapText="false" indent="0" shrinkToFit="false"/>
      <protection locked="true" hidden="false"/>
    </xf>
    <xf numFmtId="165" fontId="57" fillId="19" borderId="65" xfId="21" applyFont="true" applyBorder="true" applyAlignment="true" applyProtection="true">
      <alignment horizontal="general" vertical="bottom" textRotation="0" wrapText="false" indent="0" shrinkToFit="true"/>
      <protection locked="true" hidden="false"/>
    </xf>
    <xf numFmtId="165" fontId="57" fillId="19" borderId="135" xfId="21" applyFont="true" applyBorder="true" applyAlignment="true" applyProtection="true">
      <alignment horizontal="general" vertical="bottom" textRotation="0" wrapText="false" indent="0" shrinkToFit="true"/>
      <protection locked="true" hidden="false"/>
    </xf>
    <xf numFmtId="165" fontId="75" fillId="0" borderId="92" xfId="21" applyFont="true" applyBorder="true" applyAlignment="true" applyProtection="true">
      <alignment horizontal="general" vertical="bottom" textRotation="0" wrapText="false" indent="0" shrinkToFit="true"/>
      <protection locked="true" hidden="false"/>
    </xf>
    <xf numFmtId="165" fontId="75" fillId="0" borderId="136" xfId="21" applyFont="true" applyBorder="true" applyAlignment="true" applyProtection="true">
      <alignment horizontal="general" vertical="bottom" textRotation="0" wrapText="false" indent="0" shrinkToFit="true"/>
      <protection locked="true" hidden="false"/>
    </xf>
    <xf numFmtId="165" fontId="75" fillId="0" borderId="137" xfId="21" applyFont="true" applyBorder="true" applyAlignment="true" applyProtection="true">
      <alignment horizontal="general" vertical="bottom" textRotation="0" wrapText="false" indent="0" shrinkToFit="true"/>
      <protection locked="true" hidden="false"/>
    </xf>
    <xf numFmtId="165" fontId="75" fillId="0" borderId="138" xfId="21" applyFont="true" applyBorder="true" applyAlignment="true" applyProtection="true">
      <alignment horizontal="general" vertical="bottom" textRotation="0" wrapText="false" indent="0" shrinkToFit="true"/>
      <protection locked="true" hidden="false"/>
    </xf>
    <xf numFmtId="165" fontId="48" fillId="0" borderId="0" xfId="0" applyFont="true" applyBorder="true" applyAlignment="true" applyProtection="true">
      <alignment horizontal="general" vertical="bottom" textRotation="0" wrapText="false" indent="0" shrinkToFit="false"/>
      <protection locked="true" hidden="false"/>
    </xf>
    <xf numFmtId="164" fontId="101" fillId="0" borderId="0" xfId="0" applyFont="true" applyBorder="false" applyAlignment="true" applyProtection="true">
      <alignment horizontal="general" vertical="center" textRotation="0" wrapText="false" indent="0" shrinkToFit="false"/>
      <protection locked="true" hidden="false"/>
    </xf>
    <xf numFmtId="164" fontId="58" fillId="0" borderId="0" xfId="0" applyFont="true" applyBorder="false" applyAlignment="true" applyProtection="true">
      <alignment horizontal="general" vertical="center" textRotation="0" wrapText="false" indent="0" shrinkToFit="false"/>
      <protection locked="true" hidden="false"/>
    </xf>
    <xf numFmtId="164" fontId="71" fillId="0" borderId="6" xfId="0" applyFont="true" applyBorder="true" applyAlignment="true" applyProtection="true">
      <alignment horizontal="center" vertical="center" textRotation="0" wrapText="false" indent="0" shrinkToFit="true"/>
      <protection locked="true" hidden="false"/>
    </xf>
    <xf numFmtId="164" fontId="71" fillId="0" borderId="0" xfId="0" applyFont="true" applyBorder="true" applyAlignment="true" applyProtection="true">
      <alignment horizontal="center" vertical="center" textRotation="0" wrapText="false" indent="0" shrinkToFit="true"/>
      <protection locked="true" hidden="false"/>
    </xf>
    <xf numFmtId="165" fontId="102" fillId="0" borderId="0" xfId="20" applyFont="true" applyBorder="true" applyAlignment="true" applyProtection="true">
      <alignment horizontal="right" vertical="center" textRotation="0" wrapText="false" indent="0" shrinkToFit="false"/>
      <protection locked="true" hidden="false"/>
    </xf>
    <xf numFmtId="165" fontId="54" fillId="0" borderId="8" xfId="21" applyFont="true" applyBorder="true" applyAlignment="true" applyProtection="true">
      <alignment horizontal="center" vertical="center" textRotation="0" wrapText="false" indent="0" shrinkToFit="false"/>
      <protection locked="true" hidden="false"/>
    </xf>
    <xf numFmtId="164" fontId="54" fillId="0" borderId="22" xfId="0" applyFont="true" applyBorder="true" applyAlignment="true" applyProtection="true">
      <alignment horizontal="general" vertical="bottom" textRotation="0" wrapText="false" indent="0" shrinkToFit="false"/>
      <protection locked="true" hidden="false"/>
    </xf>
    <xf numFmtId="165" fontId="103" fillId="0" borderId="3" xfId="21" applyFont="true" applyBorder="true" applyAlignment="true" applyProtection="true">
      <alignment horizontal="general" vertical="bottom" textRotation="0" wrapText="false" indent="0" shrinkToFit="true"/>
      <protection locked="true" hidden="false"/>
    </xf>
    <xf numFmtId="165" fontId="103" fillId="0" borderId="5" xfId="21" applyFont="true" applyBorder="true" applyAlignment="true" applyProtection="true">
      <alignment horizontal="general" vertical="bottom" textRotation="0" wrapText="false" indent="0" shrinkToFit="true"/>
      <protection locked="true" hidden="false"/>
    </xf>
    <xf numFmtId="165" fontId="103" fillId="15" borderId="3" xfId="21" applyFont="true" applyBorder="true" applyAlignment="true" applyProtection="true">
      <alignment horizontal="general" vertical="bottom" textRotation="0" wrapText="false" indent="0" shrinkToFit="true"/>
      <protection locked="true" hidden="false"/>
    </xf>
    <xf numFmtId="164" fontId="54" fillId="0" borderId="69" xfId="0" applyFont="true" applyBorder="true" applyAlignment="true" applyProtection="true">
      <alignment horizontal="general" vertical="bottom" textRotation="0" wrapText="false" indent="0" shrinkToFit="false"/>
      <protection locked="true" hidden="false"/>
    </xf>
    <xf numFmtId="165" fontId="103" fillId="0" borderId="37" xfId="21" applyFont="true" applyBorder="true" applyAlignment="true" applyProtection="true">
      <alignment horizontal="general" vertical="bottom" textRotation="0" wrapText="false" indent="0" shrinkToFit="true"/>
      <protection locked="true" hidden="false"/>
    </xf>
    <xf numFmtId="165" fontId="103" fillId="15" borderId="37" xfId="21" applyFont="true" applyBorder="true" applyAlignment="true" applyProtection="true">
      <alignment horizontal="general" vertical="bottom" textRotation="0" wrapText="false" indent="0" shrinkToFit="true"/>
      <protection locked="true" hidden="false"/>
    </xf>
    <xf numFmtId="164" fontId="54" fillId="0" borderId="59" xfId="0" applyFont="true" applyBorder="true" applyAlignment="true" applyProtection="true">
      <alignment horizontal="center" vertical="center" textRotation="0" wrapText="false" indent="0" shrinkToFit="false"/>
      <protection locked="true" hidden="false"/>
    </xf>
    <xf numFmtId="165" fontId="57" fillId="0" borderId="65"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center" textRotation="0" wrapText="false" indent="0" shrinkToFit="false"/>
      <protection locked="true" hidden="false"/>
    </xf>
    <xf numFmtId="164" fontId="104" fillId="0" borderId="6" xfId="0" applyFont="true" applyBorder="true" applyAlignment="true" applyProtection="true">
      <alignment horizontal="center" vertical="center" textRotation="0" wrapText="false" indent="0" shrinkToFit="true"/>
      <protection locked="true" hidden="false"/>
    </xf>
    <xf numFmtId="164" fontId="104" fillId="0" borderId="0" xfId="0" applyFont="true" applyBorder="true" applyAlignment="true" applyProtection="true">
      <alignment horizontal="center" vertical="center" textRotation="0" wrapText="false" indent="0" shrinkToFit="true"/>
      <protection locked="true" hidden="false"/>
    </xf>
    <xf numFmtId="164" fontId="48" fillId="0" borderId="0" xfId="0" applyFont="true" applyBorder="false" applyAlignment="true" applyProtection="true">
      <alignment horizontal="general" vertical="center" textRotation="0" wrapText="false" indent="0" shrinkToFit="false"/>
      <protection locked="true" hidden="false"/>
    </xf>
    <xf numFmtId="165" fontId="48" fillId="0" borderId="0" xfId="21" applyFont="true" applyBorder="true" applyAlignment="true" applyProtection="true">
      <alignment horizontal="general" vertical="center" textRotation="0" wrapText="false" indent="0" shrinkToFit="false"/>
      <protection locked="true" hidden="false"/>
    </xf>
    <xf numFmtId="164" fontId="48" fillId="0" borderId="0" xfId="0" applyFont="true" applyBorder="false" applyAlignment="true" applyProtection="true">
      <alignment horizontal="left" vertical="center" textRotation="0" wrapText="false" indent="0" shrinkToFit="false"/>
      <protection locked="true" hidden="false"/>
    </xf>
    <xf numFmtId="164" fontId="48" fillId="0" borderId="0" xfId="0" applyFont="true" applyBorder="true" applyAlignment="true" applyProtection="true">
      <alignment horizontal="general" vertical="center" textRotation="0" wrapText="false" indent="0" shrinkToFit="false"/>
      <protection locked="true" hidden="false"/>
    </xf>
    <xf numFmtId="164" fontId="106" fillId="0" borderId="0" xfId="0" applyFont="true" applyBorder="false" applyAlignment="true" applyProtection="true">
      <alignment horizontal="general" vertical="center" textRotation="0" wrapText="false" indent="0" shrinkToFit="false"/>
      <protection locked="true" hidden="false"/>
    </xf>
    <xf numFmtId="165" fontId="48" fillId="0" borderId="3" xfId="20" applyFont="true" applyBorder="true" applyAlignment="true" applyProtection="true">
      <alignment horizontal="general" vertical="bottom" textRotation="0" wrapText="false" indent="0" shrinkToFit="true"/>
      <protection locked="true" hidden="false"/>
    </xf>
    <xf numFmtId="165" fontId="48" fillId="0" borderId="5" xfId="20" applyFont="true" applyBorder="true" applyAlignment="true" applyProtection="true">
      <alignment horizontal="general" vertical="bottom" textRotation="0" wrapText="false" indent="0" shrinkToFit="true"/>
      <protection locked="true" hidden="false"/>
    </xf>
    <xf numFmtId="164" fontId="56" fillId="0" borderId="0" xfId="0" applyFont="true" applyBorder="false" applyAlignment="true" applyProtection="true">
      <alignment horizontal="general" vertical="center" textRotation="0" wrapText="false" indent="0" shrinkToFit="false"/>
      <protection locked="true" hidden="false"/>
    </xf>
    <xf numFmtId="165" fontId="60" fillId="15" borderId="3" xfId="21" applyFont="true" applyBorder="true" applyAlignment="true" applyProtection="true">
      <alignment horizontal="general" vertical="bottom" textRotation="0" wrapText="false" indent="0" shrinkToFit="true"/>
      <protection locked="true" hidden="false"/>
    </xf>
    <xf numFmtId="164" fontId="94" fillId="0" borderId="0" xfId="0" applyFont="true" applyBorder="false" applyAlignment="true" applyProtection="true">
      <alignment horizontal="general" vertical="center" textRotation="0" wrapText="false" indent="0" shrinkToFit="false"/>
      <protection locked="true" hidden="false"/>
    </xf>
    <xf numFmtId="165" fontId="60" fillId="15" borderId="37" xfId="21" applyFont="true" applyBorder="true" applyAlignment="true" applyProtection="true">
      <alignment horizontal="general" vertical="bottom" textRotation="0" wrapText="false" indent="0" shrinkToFit="true"/>
      <protection locked="true" hidden="false"/>
    </xf>
    <xf numFmtId="174" fontId="52"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right" vertical="bottom" textRotation="0" wrapText="false" indent="0" shrinkToFit="false"/>
      <protection locked="true" hidden="false"/>
    </xf>
    <xf numFmtId="164" fontId="55" fillId="0" borderId="0" xfId="0" applyFont="true" applyBorder="false" applyAlignment="true" applyProtection="true">
      <alignment horizontal="left" vertical="bottom" textRotation="0" wrapText="true" indent="0" shrinkToFit="false"/>
      <protection locked="true" hidden="false"/>
    </xf>
    <xf numFmtId="165" fontId="54" fillId="19" borderId="90" xfId="21" applyFont="true" applyBorder="true" applyAlignment="true" applyProtection="true">
      <alignment horizontal="center" vertical="center" textRotation="0" wrapText="true" indent="0" shrinkToFit="false"/>
      <protection locked="true" hidden="false"/>
    </xf>
    <xf numFmtId="165" fontId="54" fillId="19" borderId="123" xfId="21" applyFont="true" applyBorder="true" applyAlignment="true" applyProtection="true">
      <alignment horizontal="center" vertical="center" textRotation="0" wrapText="true" indent="0" shrinkToFit="false"/>
      <protection locked="true" hidden="false"/>
    </xf>
    <xf numFmtId="181" fontId="108" fillId="19" borderId="8" xfId="21" applyFont="true" applyBorder="true" applyAlignment="true" applyProtection="true">
      <alignment horizontal="center" vertical="center" textRotation="0" wrapText="true" indent="0" shrinkToFit="true"/>
      <protection locked="true" hidden="false"/>
    </xf>
    <xf numFmtId="165" fontId="54" fillId="0" borderId="91" xfId="21" applyFont="true" applyBorder="true" applyAlignment="true" applyProtection="true">
      <alignment horizontal="center" vertical="center" textRotation="0" wrapText="true" indent="0" shrinkToFit="false"/>
      <protection locked="true" hidden="false"/>
    </xf>
    <xf numFmtId="165" fontId="54" fillId="0" borderId="139" xfId="21" applyFont="true" applyBorder="true" applyAlignment="true" applyProtection="true">
      <alignment horizontal="center" vertical="center" textRotation="0" wrapText="true" indent="0" shrinkToFit="false"/>
      <protection locked="true" hidden="false"/>
    </xf>
    <xf numFmtId="165" fontId="54" fillId="0" borderId="93" xfId="21" applyFont="true" applyBorder="true" applyAlignment="true" applyProtection="true">
      <alignment horizontal="center" vertical="center" textRotation="0" wrapText="true" indent="0" shrinkToFit="false"/>
      <protection locked="true" hidden="false"/>
    </xf>
    <xf numFmtId="165" fontId="54" fillId="0" borderId="140" xfId="21" applyFont="true" applyBorder="true" applyAlignment="true" applyProtection="true">
      <alignment horizontal="center" vertical="center" textRotation="0" wrapText="true" indent="0" shrinkToFit="false"/>
      <protection locked="true" hidden="false"/>
    </xf>
    <xf numFmtId="164" fontId="94" fillId="0" borderId="0" xfId="0" applyFont="true" applyBorder="true" applyAlignment="true" applyProtection="true">
      <alignment horizontal="right" vertical="bottom" textRotation="0" wrapText="true" indent="0" shrinkToFit="false"/>
      <protection locked="true" hidden="false"/>
    </xf>
    <xf numFmtId="182" fontId="57" fillId="19" borderId="22" xfId="0" applyFont="true" applyBorder="true" applyAlignment="true" applyProtection="true">
      <alignment horizontal="left" vertical="bottom" textRotation="0" wrapText="false" indent="0" shrinkToFit="true"/>
      <protection locked="true" hidden="false"/>
    </xf>
    <xf numFmtId="183" fontId="57" fillId="19" borderId="5" xfId="21" applyFont="true" applyBorder="true" applyAlignment="true" applyProtection="true">
      <alignment horizontal="general" vertical="bottom" textRotation="0" wrapText="false" indent="0" shrinkToFit="true"/>
      <protection locked="true" hidden="false"/>
    </xf>
    <xf numFmtId="183" fontId="57" fillId="19" borderId="98" xfId="21" applyFont="true" applyBorder="true" applyAlignment="true" applyProtection="true">
      <alignment horizontal="general" vertical="bottom" textRotation="0" wrapText="false" indent="0" shrinkToFit="true"/>
      <protection locked="true" hidden="false"/>
    </xf>
    <xf numFmtId="183" fontId="57" fillId="19" borderId="141" xfId="21" applyFont="true" applyBorder="true" applyAlignment="true" applyProtection="true">
      <alignment horizontal="general" vertical="bottom" textRotation="0" wrapText="false" indent="0" shrinkToFit="true"/>
      <protection locked="true" hidden="false"/>
    </xf>
    <xf numFmtId="183" fontId="57" fillId="19" borderId="124" xfId="21" applyFont="true" applyBorder="true" applyAlignment="true" applyProtection="true">
      <alignment horizontal="general" vertical="bottom" textRotation="0" wrapText="false" indent="0" shrinkToFit="true"/>
      <protection locked="true" hidden="false"/>
    </xf>
    <xf numFmtId="183" fontId="57" fillId="19" borderId="20" xfId="21" applyFont="true" applyBorder="true" applyAlignment="true" applyProtection="true">
      <alignment horizontal="general" vertical="bottom" textRotation="0" wrapText="false" indent="0" shrinkToFit="true"/>
      <protection locked="true" hidden="false"/>
    </xf>
    <xf numFmtId="165" fontId="110" fillId="0" borderId="5" xfId="21" applyFont="true" applyBorder="true" applyAlignment="true" applyProtection="true">
      <alignment horizontal="general" vertical="bottom" textRotation="0" wrapText="false" indent="0" shrinkToFit="true"/>
      <protection locked="true" hidden="false"/>
    </xf>
    <xf numFmtId="183" fontId="110" fillId="0" borderId="5" xfId="21" applyFont="true" applyBorder="true" applyAlignment="true" applyProtection="true">
      <alignment horizontal="general" vertical="bottom" textRotation="0" wrapText="false" indent="0" shrinkToFit="true"/>
      <protection locked="true" hidden="false"/>
    </xf>
    <xf numFmtId="183" fontId="48" fillId="0" borderId="24" xfId="21" applyFont="true" applyBorder="true" applyAlignment="true" applyProtection="true">
      <alignment horizontal="general" vertical="bottom" textRotation="0" wrapText="false" indent="0" shrinkToFit="true"/>
      <protection locked="true" hidden="false"/>
    </xf>
    <xf numFmtId="183" fontId="48" fillId="0" borderId="142" xfId="21" applyFont="true" applyBorder="true" applyAlignment="true" applyProtection="true">
      <alignment horizontal="general" vertical="bottom" textRotation="0" wrapText="false" indent="0" shrinkToFit="true"/>
      <protection locked="true" hidden="false"/>
    </xf>
    <xf numFmtId="183" fontId="48" fillId="0" borderId="143" xfId="21" applyFont="true" applyBorder="true" applyAlignment="true" applyProtection="true">
      <alignment horizontal="general" vertical="bottom" textRotation="0" wrapText="false" indent="0" shrinkToFit="true"/>
      <protection locked="true" hidden="false"/>
    </xf>
    <xf numFmtId="165" fontId="57" fillId="0" borderId="20" xfId="21" applyFont="true" applyBorder="true" applyAlignment="true" applyProtection="true">
      <alignment horizontal="general" vertical="bottom" textRotation="0" wrapText="false" indent="0" shrinkToFit="true"/>
      <protection locked="true" hidden="false"/>
    </xf>
    <xf numFmtId="164" fontId="110" fillId="0" borderId="0" xfId="0" applyFont="true" applyBorder="true" applyAlignment="true" applyProtection="true">
      <alignment horizontal="general" vertical="bottom" textRotation="0" wrapText="false" indent="0" shrinkToFit="false"/>
      <protection locked="true" hidden="false"/>
    </xf>
    <xf numFmtId="183" fontId="48" fillId="22" borderId="0" xfId="0" applyFont="true" applyBorder="true" applyAlignment="true" applyProtection="true">
      <alignment horizontal="right" vertical="bottom" textRotation="0" wrapText="false" indent="0" shrinkToFit="false"/>
      <protection locked="true" hidden="false"/>
    </xf>
    <xf numFmtId="183" fontId="57" fillId="19" borderId="3" xfId="21" applyFont="true" applyBorder="true" applyAlignment="true" applyProtection="true">
      <alignment horizontal="general" vertical="bottom" textRotation="0" wrapText="false" indent="0" shrinkToFit="true"/>
      <protection locked="true" hidden="false"/>
    </xf>
    <xf numFmtId="183" fontId="57" fillId="19" borderId="25" xfId="21" applyFont="true" applyBorder="true" applyAlignment="true" applyProtection="true">
      <alignment horizontal="general" vertical="bottom" textRotation="0" wrapText="false" indent="0" shrinkToFit="true"/>
      <protection locked="true" hidden="false"/>
    </xf>
    <xf numFmtId="183" fontId="57" fillId="19" borderId="144" xfId="21" applyFont="true" applyBorder="true" applyAlignment="true" applyProtection="true">
      <alignment horizontal="general" vertical="bottom" textRotation="0" wrapText="false" indent="0" shrinkToFit="true"/>
      <protection locked="true" hidden="false"/>
    </xf>
    <xf numFmtId="165" fontId="110" fillId="0" borderId="3" xfId="21" applyFont="true" applyBorder="true" applyAlignment="true" applyProtection="true">
      <alignment horizontal="general" vertical="bottom" textRotation="0" wrapText="false" indent="0" shrinkToFit="true"/>
      <protection locked="true" hidden="false"/>
    </xf>
    <xf numFmtId="183" fontId="110" fillId="0" borderId="3" xfId="21" applyFont="true" applyBorder="true" applyAlignment="true" applyProtection="true">
      <alignment horizontal="general" vertical="bottom" textRotation="0" wrapText="false" indent="0" shrinkToFit="true"/>
      <protection locked="true" hidden="false"/>
    </xf>
    <xf numFmtId="183" fontId="48" fillId="0" borderId="105" xfId="21" applyFont="true" applyBorder="true" applyAlignment="true" applyProtection="true">
      <alignment horizontal="general" vertical="bottom" textRotation="0" wrapText="false" indent="0" shrinkToFit="true"/>
      <protection locked="true" hidden="false"/>
    </xf>
    <xf numFmtId="183" fontId="48" fillId="0" borderId="145" xfId="21" applyFont="true" applyBorder="true" applyAlignment="true" applyProtection="true">
      <alignment horizontal="general" vertical="bottom" textRotation="0" wrapText="false" indent="0" shrinkToFit="true"/>
      <protection locked="true" hidden="false"/>
    </xf>
    <xf numFmtId="183" fontId="48" fillId="0" borderId="107" xfId="21" applyFont="true" applyBorder="true" applyAlignment="true" applyProtection="true">
      <alignment horizontal="general" vertical="bottom" textRotation="0" wrapText="false" indent="0" shrinkToFit="true"/>
      <protection locked="true" hidden="false"/>
    </xf>
    <xf numFmtId="183" fontId="48" fillId="0" borderId="146" xfId="21" applyFont="true" applyBorder="true" applyAlignment="true" applyProtection="true">
      <alignment horizontal="general" vertical="bottom" textRotation="0" wrapText="false" indent="0" shrinkToFit="true"/>
      <protection locked="true" hidden="false"/>
    </xf>
    <xf numFmtId="183" fontId="48" fillId="0" borderId="3" xfId="21" applyFont="true" applyBorder="true" applyAlignment="true" applyProtection="true">
      <alignment horizontal="general" vertical="bottom" textRotation="0" wrapText="false" indent="0" shrinkToFit="true"/>
      <protection locked="true" hidden="false"/>
    </xf>
    <xf numFmtId="184" fontId="57" fillId="19" borderId="22" xfId="0" applyFont="true" applyBorder="true" applyAlignment="true" applyProtection="true">
      <alignment horizontal="left" vertical="bottom" textRotation="0" wrapText="false" indent="0" shrinkToFit="true"/>
      <protection locked="true" hidden="false"/>
    </xf>
    <xf numFmtId="183" fontId="57" fillId="19" borderId="32" xfId="21" applyFont="true" applyBorder="true" applyAlignment="true" applyProtection="true">
      <alignment horizontal="general" vertical="bottom" textRotation="0" wrapText="false" indent="0" shrinkToFit="true"/>
      <protection locked="true" hidden="false"/>
    </xf>
    <xf numFmtId="165" fontId="110" fillId="15" borderId="3" xfId="21" applyFont="true" applyBorder="true" applyAlignment="true" applyProtection="true">
      <alignment horizontal="general" vertical="bottom" textRotation="0" wrapText="false" indent="0" shrinkToFit="true"/>
      <protection locked="true" hidden="false"/>
    </xf>
    <xf numFmtId="183" fontId="110" fillId="15" borderId="3" xfId="21" applyFont="true" applyBorder="true" applyAlignment="true" applyProtection="true">
      <alignment horizontal="general" vertical="bottom" textRotation="0" wrapText="false" indent="0" shrinkToFit="true"/>
      <protection locked="true" hidden="false"/>
    </xf>
    <xf numFmtId="183" fontId="48" fillId="15" borderId="145" xfId="21" applyFont="true" applyBorder="true" applyAlignment="true" applyProtection="true">
      <alignment horizontal="general" vertical="bottom" textRotation="0" wrapText="false" indent="0" shrinkToFit="true"/>
      <protection locked="true" hidden="false"/>
    </xf>
    <xf numFmtId="183" fontId="48" fillId="15" borderId="146" xfId="21" applyFont="true" applyBorder="true" applyAlignment="true" applyProtection="true">
      <alignment horizontal="general" vertical="bottom" textRotation="0" wrapText="false" indent="0" shrinkToFit="true"/>
      <protection locked="true" hidden="false"/>
    </xf>
    <xf numFmtId="183" fontId="48" fillId="0" borderId="3" xfId="20" applyFont="true" applyBorder="true" applyAlignment="true" applyProtection="true">
      <alignment horizontal="general" vertical="bottom" textRotation="0" wrapText="false" indent="0" shrinkToFit="true"/>
      <protection locked="true" hidden="false"/>
    </xf>
    <xf numFmtId="183" fontId="103" fillId="0" borderId="145" xfId="21" applyFont="true" applyBorder="true" applyAlignment="true" applyProtection="true">
      <alignment horizontal="general" vertical="bottom" textRotation="0" wrapText="false" indent="0" shrinkToFit="true"/>
      <protection locked="true" hidden="false"/>
    </xf>
    <xf numFmtId="183" fontId="103" fillId="0" borderId="146" xfId="21" applyFont="true" applyBorder="true" applyAlignment="true" applyProtection="true">
      <alignment horizontal="general" vertical="bottom" textRotation="0" wrapText="false" indent="0" shrinkToFit="true"/>
      <protection locked="true" hidden="false"/>
    </xf>
    <xf numFmtId="183" fontId="103" fillId="15" borderId="145" xfId="21" applyFont="true" applyBorder="true" applyAlignment="true" applyProtection="true">
      <alignment horizontal="general" vertical="bottom" textRotation="0" wrapText="false" indent="0" shrinkToFit="true"/>
      <protection locked="true" hidden="false"/>
    </xf>
    <xf numFmtId="183" fontId="103" fillId="15" borderId="146" xfId="21" applyFont="true" applyBorder="true" applyAlignment="true" applyProtection="true">
      <alignment horizontal="general" vertical="bottom" textRotation="0" wrapText="false" indent="0" shrinkToFit="true"/>
      <protection locked="true" hidden="false"/>
    </xf>
    <xf numFmtId="165" fontId="111" fillId="0" borderId="3" xfId="21" applyFont="true" applyBorder="true" applyAlignment="true" applyProtection="true">
      <alignment horizontal="general" vertical="bottom" textRotation="0" wrapText="false" indent="0" shrinkToFit="true"/>
      <protection locked="true" hidden="false"/>
    </xf>
    <xf numFmtId="183" fontId="111" fillId="0" borderId="3" xfId="21" applyFont="true" applyBorder="true" applyAlignment="true" applyProtection="true">
      <alignment horizontal="general" vertical="bottom" textRotation="0" wrapText="false" indent="0" shrinkToFit="true"/>
      <protection locked="true" hidden="false"/>
    </xf>
    <xf numFmtId="183" fontId="57" fillId="19" borderId="146" xfId="21" applyFont="true" applyBorder="true" applyAlignment="true" applyProtection="true">
      <alignment horizontal="general" vertical="bottom" textRotation="0" wrapText="false" indent="0" shrinkToFit="true"/>
      <protection locked="true" hidden="false"/>
    </xf>
    <xf numFmtId="183" fontId="103" fillId="0" borderId="105" xfId="21" applyFont="true" applyBorder="true" applyAlignment="true" applyProtection="true">
      <alignment horizontal="general" vertical="bottom" textRotation="0" wrapText="false" indent="0" shrinkToFit="true"/>
      <protection locked="true" hidden="false"/>
    </xf>
    <xf numFmtId="183" fontId="103" fillId="0" borderId="107" xfId="21" applyFont="true" applyBorder="true" applyAlignment="true" applyProtection="true">
      <alignment horizontal="general" vertical="bottom" textRotation="0" wrapText="false" indent="0" shrinkToFit="true"/>
      <protection locked="true" hidden="false"/>
    </xf>
    <xf numFmtId="183" fontId="48" fillId="15" borderId="105" xfId="21" applyFont="true" applyBorder="true" applyAlignment="true" applyProtection="true">
      <alignment horizontal="general" vertical="bottom" textRotation="0" wrapText="false" indent="0" shrinkToFit="true"/>
      <protection locked="true" hidden="false"/>
    </xf>
    <xf numFmtId="183" fontId="48" fillId="15" borderId="107" xfId="21" applyFont="true" applyBorder="true" applyAlignment="true" applyProtection="true">
      <alignment horizontal="general" vertical="bottom" textRotation="0" wrapText="false" indent="0" shrinkToFit="true"/>
      <protection locked="true" hidden="false"/>
    </xf>
    <xf numFmtId="183" fontId="57" fillId="19" borderId="4" xfId="21" applyFont="true" applyBorder="true" applyAlignment="true" applyProtection="true">
      <alignment horizontal="general" vertical="bottom" textRotation="0" wrapText="false" indent="0" shrinkToFit="true"/>
      <protection locked="true" hidden="false"/>
    </xf>
    <xf numFmtId="183" fontId="57" fillId="19" borderId="43" xfId="21" applyFont="true" applyBorder="true" applyAlignment="true" applyProtection="true">
      <alignment horizontal="general" vertical="bottom" textRotation="0" wrapText="false" indent="0" shrinkToFit="true"/>
      <protection locked="true" hidden="false"/>
    </xf>
    <xf numFmtId="183" fontId="57" fillId="19" borderId="147" xfId="21" applyFont="true" applyBorder="true" applyAlignment="true" applyProtection="true">
      <alignment horizontal="general" vertical="bottom" textRotation="0" wrapText="false" indent="0" shrinkToFit="true"/>
      <protection locked="true" hidden="false"/>
    </xf>
    <xf numFmtId="183" fontId="57" fillId="19" borderId="148" xfId="21" applyFont="true" applyBorder="true" applyAlignment="true" applyProtection="true">
      <alignment horizontal="general" vertical="bottom" textRotation="0" wrapText="false" indent="0" shrinkToFit="true"/>
      <protection locked="true" hidden="false"/>
    </xf>
    <xf numFmtId="183" fontId="110" fillId="15" borderId="4" xfId="21" applyFont="true" applyBorder="true" applyAlignment="true" applyProtection="true">
      <alignment horizontal="general" vertical="bottom" textRotation="0" wrapText="false" indent="0" shrinkToFit="true"/>
      <protection locked="true" hidden="false"/>
    </xf>
    <xf numFmtId="183" fontId="48" fillId="15" borderId="149" xfId="21" applyFont="true" applyBorder="true" applyAlignment="true" applyProtection="true">
      <alignment horizontal="general" vertical="bottom" textRotation="0" wrapText="false" indent="0" shrinkToFit="true"/>
      <protection locked="true" hidden="false"/>
    </xf>
    <xf numFmtId="183" fontId="103" fillId="15" borderId="150" xfId="21" applyFont="true" applyBorder="true" applyAlignment="true" applyProtection="true">
      <alignment horizontal="general" vertical="bottom" textRotation="0" wrapText="false" indent="0" shrinkToFit="true"/>
      <protection locked="true" hidden="false"/>
    </xf>
    <xf numFmtId="183" fontId="48" fillId="15" borderId="151" xfId="21" applyFont="true" applyBorder="true" applyAlignment="true" applyProtection="true">
      <alignment horizontal="general" vertical="bottom" textRotation="0" wrapText="false" indent="0" shrinkToFit="true"/>
      <protection locked="true" hidden="false"/>
    </xf>
    <xf numFmtId="183" fontId="103" fillId="15" borderId="152" xfId="21" applyFont="true" applyBorder="true" applyAlignment="true" applyProtection="true">
      <alignment horizontal="general" vertical="bottom" textRotation="0" wrapText="false" indent="0" shrinkToFit="true"/>
      <protection locked="true" hidden="false"/>
    </xf>
    <xf numFmtId="183" fontId="57" fillId="19" borderId="153"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bottom" textRotation="0" wrapText="false" indent="0" shrinkToFit="true"/>
      <protection locked="true" hidden="false"/>
    </xf>
    <xf numFmtId="177" fontId="54" fillId="19" borderId="26" xfId="0" applyFont="true" applyBorder="true" applyAlignment="true" applyProtection="true">
      <alignment horizontal="left" vertical="center" textRotation="0" wrapText="false" indent="0" shrinkToFit="true"/>
      <protection locked="true" hidden="false"/>
    </xf>
    <xf numFmtId="177" fontId="57" fillId="19" borderId="26" xfId="0" applyFont="true" applyBorder="true" applyAlignment="true" applyProtection="true">
      <alignment horizontal="left" vertical="center" textRotation="0" wrapText="false" indent="0" shrinkToFit="true"/>
      <protection locked="true" hidden="false"/>
    </xf>
    <xf numFmtId="165" fontId="110" fillId="14" borderId="3" xfId="21" applyFont="true" applyBorder="true" applyAlignment="true" applyProtection="true">
      <alignment horizontal="general" vertical="bottom" textRotation="0" wrapText="false" indent="0" shrinkToFit="true"/>
      <protection locked="true" hidden="false"/>
    </xf>
    <xf numFmtId="183" fontId="110" fillId="14" borderId="3" xfId="21" applyFont="true" applyBorder="true" applyAlignment="true" applyProtection="true">
      <alignment horizontal="general" vertical="bottom" textRotation="0" wrapText="false" indent="0" shrinkToFit="true"/>
      <protection locked="true" hidden="false"/>
    </xf>
    <xf numFmtId="165" fontId="57" fillId="14" borderId="20" xfId="21" applyFont="true" applyBorder="true" applyAlignment="true" applyProtection="true">
      <alignment horizontal="general" vertical="bottom" textRotation="0" wrapText="false" indent="0" shrinkToFit="true"/>
      <protection locked="true" hidden="false"/>
    </xf>
    <xf numFmtId="183" fontId="110" fillId="14" borderId="28" xfId="21" applyFont="true" applyBorder="true" applyAlignment="true" applyProtection="true">
      <alignment horizontal="general" vertical="bottom" textRotation="0" wrapText="false" indent="0" shrinkToFit="true"/>
      <protection locked="true" hidden="false"/>
    </xf>
    <xf numFmtId="183" fontId="48" fillId="0" borderId="0" xfId="0" applyFont="true" applyBorder="true" applyAlignment="true" applyProtection="true">
      <alignment horizontal="left" vertical="bottom" textRotation="0" wrapText="false" indent="0" shrinkToFit="false"/>
      <protection locked="true" hidden="false"/>
    </xf>
    <xf numFmtId="177" fontId="54" fillId="19" borderId="44" xfId="0" applyFont="true" applyBorder="true" applyAlignment="true" applyProtection="true">
      <alignment horizontal="left" vertical="center" textRotation="0" wrapText="false" indent="0" shrinkToFit="true"/>
      <protection locked="true" hidden="false"/>
    </xf>
    <xf numFmtId="183" fontId="57" fillId="19" borderId="47" xfId="21" applyFont="true" applyBorder="true" applyAlignment="true" applyProtection="true">
      <alignment horizontal="general" vertical="bottom" textRotation="0" wrapText="false" indent="0" shrinkToFit="true"/>
      <protection locked="true" hidden="false"/>
    </xf>
    <xf numFmtId="177" fontId="57" fillId="19" borderId="44" xfId="0" applyFont="true" applyBorder="true" applyAlignment="true" applyProtection="true">
      <alignment horizontal="left" vertical="center" textRotation="0" wrapText="false" indent="0" shrinkToFit="true"/>
      <protection locked="true" hidden="false"/>
    </xf>
    <xf numFmtId="165" fontId="110" fillId="14" borderId="47" xfId="21" applyFont="true" applyBorder="true" applyAlignment="true" applyProtection="true">
      <alignment horizontal="general" vertical="bottom" textRotation="0" wrapText="false" indent="0" shrinkToFit="true"/>
      <protection locked="true" hidden="false"/>
    </xf>
    <xf numFmtId="183" fontId="110" fillId="14" borderId="47" xfId="21" applyFont="true" applyBorder="true" applyAlignment="true" applyProtection="true">
      <alignment horizontal="general" vertical="bottom" textRotation="0" wrapText="false" indent="0" shrinkToFit="true"/>
      <protection locked="true" hidden="false"/>
    </xf>
    <xf numFmtId="165" fontId="57" fillId="14" borderId="48" xfId="21" applyFont="true" applyBorder="true" applyAlignment="true" applyProtection="true">
      <alignment horizontal="general" vertical="bottom" textRotation="0" wrapText="false" indent="0" shrinkToFit="true"/>
      <protection locked="true" hidden="false"/>
    </xf>
    <xf numFmtId="183" fontId="110" fillId="14" borderId="36" xfId="21" applyFont="true" applyBorder="true" applyAlignment="true" applyProtection="true">
      <alignment horizontal="general" vertical="bottom" textRotation="0" wrapText="false" indent="0" shrinkToFit="true"/>
      <protection locked="true" hidden="false"/>
    </xf>
    <xf numFmtId="183" fontId="57" fillId="19" borderId="10" xfId="21" applyFont="true" applyBorder="true" applyAlignment="true" applyProtection="true">
      <alignment horizontal="general" vertical="bottom" textRotation="0" wrapText="false" indent="0" shrinkToFit="true"/>
      <protection locked="true" hidden="false"/>
    </xf>
    <xf numFmtId="183" fontId="57" fillId="19" borderId="82" xfId="21" applyFont="true" applyBorder="true" applyAlignment="true" applyProtection="true">
      <alignment horizontal="general" vertical="bottom" textRotation="0" wrapText="false" indent="0" shrinkToFit="true"/>
      <protection locked="true" hidden="false"/>
    </xf>
    <xf numFmtId="183" fontId="57" fillId="19" borderId="154" xfId="21" applyFont="true" applyBorder="true" applyAlignment="true" applyProtection="true">
      <alignment horizontal="general" vertical="bottom" textRotation="0" wrapText="false" indent="0" shrinkToFit="true"/>
      <protection locked="true" hidden="false"/>
    </xf>
    <xf numFmtId="183" fontId="57" fillId="19" borderId="123" xfId="21" applyFont="true" applyBorder="true" applyAlignment="true" applyProtection="true">
      <alignment horizontal="general" vertical="bottom" textRotation="0" wrapText="false" indent="0" shrinkToFit="true"/>
      <protection locked="true" hidden="false"/>
    </xf>
    <xf numFmtId="183" fontId="57" fillId="19" borderId="8" xfId="21" applyFont="true" applyBorder="true" applyAlignment="true" applyProtection="true">
      <alignment horizontal="general" vertical="bottom" textRotation="0" wrapText="false" indent="0" shrinkToFit="true"/>
      <protection locked="true" hidden="false"/>
    </xf>
    <xf numFmtId="165" fontId="57" fillId="0" borderId="10" xfId="21" applyFont="true" applyBorder="true" applyAlignment="true" applyProtection="true">
      <alignment horizontal="general" vertical="bottom" textRotation="0" wrapText="false" indent="0" shrinkToFit="true"/>
      <protection locked="true" hidden="false"/>
    </xf>
    <xf numFmtId="165" fontId="57" fillId="0" borderId="91" xfId="21" applyFont="true" applyBorder="true" applyAlignment="true" applyProtection="true">
      <alignment horizontal="general" vertical="bottom" textRotation="0" wrapText="false" indent="0" shrinkToFit="true"/>
      <protection locked="true" hidden="false"/>
    </xf>
    <xf numFmtId="183" fontId="57" fillId="0" borderId="139" xfId="21" applyFont="true" applyBorder="true" applyAlignment="true" applyProtection="true">
      <alignment horizontal="general" vertical="bottom" textRotation="0" wrapText="false" indent="0" shrinkToFit="true"/>
      <protection locked="true" hidden="false"/>
    </xf>
    <xf numFmtId="165" fontId="57" fillId="0" borderId="93" xfId="21" applyFont="true" applyBorder="true" applyAlignment="true" applyProtection="true">
      <alignment horizontal="general" vertical="bottom" textRotation="0" wrapText="false" indent="0" shrinkToFit="true"/>
      <protection locked="true" hidden="false"/>
    </xf>
    <xf numFmtId="183" fontId="57" fillId="0" borderId="154" xfId="21" applyFont="true" applyBorder="true" applyAlignment="true" applyProtection="true">
      <alignment horizontal="general" vertical="bottom" textRotation="0" wrapText="false" indent="0" shrinkToFit="true"/>
      <protection locked="true" hidden="false"/>
    </xf>
    <xf numFmtId="165" fontId="57" fillId="0" borderId="8" xfId="21" applyFont="true" applyBorder="true" applyAlignment="true" applyProtection="true">
      <alignment horizontal="general" vertical="bottom" textRotation="0" wrapText="false" indent="0" shrinkToFit="true"/>
      <protection locked="true" hidden="false"/>
    </xf>
    <xf numFmtId="183" fontId="57" fillId="0" borderId="39" xfId="21" applyFont="true" applyBorder="true" applyAlignment="true" applyProtection="true">
      <alignment horizontal="general" vertical="bottom" textRotation="0" wrapText="false" indent="0" shrinkToFit="true"/>
      <protection locked="true" hidden="false"/>
    </xf>
    <xf numFmtId="164" fontId="76" fillId="15" borderId="0" xfId="0" applyFont="true" applyBorder="true" applyAlignment="true" applyProtection="true">
      <alignment horizontal="general" vertical="center" textRotation="0" wrapText="false" indent="0" shrinkToFit="false"/>
      <protection locked="true" hidden="false"/>
    </xf>
    <xf numFmtId="164" fontId="48" fillId="15" borderId="0" xfId="0" applyFont="true" applyBorder="true" applyAlignment="true" applyProtection="true">
      <alignment horizontal="general" vertical="bottom" textRotation="0" wrapText="false" indent="0" shrinkToFit="false"/>
      <protection locked="true" hidden="false"/>
    </xf>
    <xf numFmtId="165" fontId="48" fillId="15" borderId="0" xfId="20" applyFont="true" applyBorder="true" applyAlignment="true" applyProtection="true">
      <alignment horizontal="right" vertical="bottom" textRotation="0" wrapText="false" indent="0" shrinkToFit="false"/>
      <protection locked="true" hidden="false"/>
    </xf>
    <xf numFmtId="181" fontId="108" fillId="15" borderId="8" xfId="21" applyFont="true" applyBorder="true" applyAlignment="true" applyProtection="true">
      <alignment horizontal="center" vertical="center" textRotation="0" wrapText="true" indent="0" shrinkToFit="true"/>
      <protection locked="true" hidden="false"/>
    </xf>
    <xf numFmtId="183" fontId="48" fillId="0" borderId="5" xfId="21" applyFont="true" applyBorder="true" applyAlignment="true" applyProtection="true">
      <alignment horizontal="general" vertical="bottom" textRotation="0" wrapText="false" indent="0" shrinkToFit="true"/>
      <protection locked="true" hidden="false"/>
    </xf>
    <xf numFmtId="183" fontId="48" fillId="0" borderId="25" xfId="21" applyFont="true" applyBorder="true" applyAlignment="true" applyProtection="true">
      <alignment horizontal="general" vertical="bottom" textRotation="0" wrapText="false" indent="0" shrinkToFit="true"/>
      <protection locked="true" hidden="false"/>
    </xf>
    <xf numFmtId="183" fontId="48" fillId="0" borderId="20" xfId="21" applyFont="true" applyBorder="true" applyAlignment="true" applyProtection="true">
      <alignment horizontal="general" vertical="bottom" textRotation="0" wrapText="false" indent="0" shrinkToFit="true"/>
      <protection locked="true" hidden="false"/>
    </xf>
    <xf numFmtId="183" fontId="48" fillId="0" borderId="27" xfId="21" applyFont="true" applyBorder="true" applyAlignment="true" applyProtection="true">
      <alignment horizontal="general" vertical="bottom" textRotation="0" wrapText="false" indent="0" shrinkToFit="true"/>
      <protection locked="true" hidden="false"/>
    </xf>
    <xf numFmtId="183" fontId="48" fillId="0" borderId="28" xfId="21" applyFont="true" applyBorder="true" applyAlignment="true" applyProtection="true">
      <alignment horizontal="general" vertical="bottom" textRotation="0" wrapText="false" indent="0" shrinkToFit="true"/>
      <protection locked="true" hidden="false"/>
    </xf>
    <xf numFmtId="183" fontId="48" fillId="15" borderId="27" xfId="21" applyFont="true" applyBorder="true" applyAlignment="true" applyProtection="true">
      <alignment horizontal="general" vertical="bottom" textRotation="0" wrapText="false" indent="0" shrinkToFit="true"/>
      <protection locked="true" hidden="false"/>
    </xf>
    <xf numFmtId="183" fontId="48" fillId="15" borderId="28" xfId="21" applyFont="true" applyBorder="true" applyAlignment="true" applyProtection="true">
      <alignment horizontal="general" vertical="bottom" textRotation="0" wrapText="false" indent="0" shrinkToFit="true"/>
      <protection locked="true" hidden="false"/>
    </xf>
    <xf numFmtId="165" fontId="48" fillId="15" borderId="5" xfId="21" applyFont="true" applyBorder="true" applyAlignment="true" applyProtection="true">
      <alignment horizontal="general" vertical="bottom" textRotation="0" wrapText="false" indent="0" shrinkToFit="true"/>
      <protection locked="true" hidden="false"/>
    </xf>
    <xf numFmtId="183" fontId="48" fillId="15" borderId="5" xfId="21" applyFont="true" applyBorder="true" applyAlignment="true" applyProtection="true">
      <alignment horizontal="general" vertical="bottom" textRotation="0" wrapText="false" indent="0" shrinkToFit="true"/>
      <protection locked="true" hidden="false"/>
    </xf>
    <xf numFmtId="183" fontId="103" fillId="0" borderId="28" xfId="21" applyFont="true" applyBorder="true" applyAlignment="true" applyProtection="true">
      <alignment horizontal="general" vertical="bottom" textRotation="0" wrapText="false" indent="0" shrinkToFit="true"/>
      <protection locked="true" hidden="false"/>
    </xf>
    <xf numFmtId="183" fontId="48" fillId="15" borderId="3" xfId="21" applyFont="true" applyBorder="true" applyAlignment="true" applyProtection="true">
      <alignment horizontal="general" vertical="bottom" textRotation="0" wrapText="false" indent="0" shrinkToFit="true"/>
      <protection locked="true" hidden="false"/>
    </xf>
    <xf numFmtId="183" fontId="103" fillId="0" borderId="27" xfId="21" applyFont="true" applyBorder="true" applyAlignment="true" applyProtection="true">
      <alignment horizontal="general" vertical="bottom" textRotation="0" wrapText="false" indent="0" shrinkToFit="true"/>
      <protection locked="true" hidden="false"/>
    </xf>
    <xf numFmtId="183" fontId="103" fillId="15" borderId="27" xfId="21" applyFont="true" applyBorder="true" applyAlignment="true" applyProtection="true">
      <alignment horizontal="general" vertical="bottom" textRotation="0" wrapText="false" indent="0" shrinkToFit="true"/>
      <protection locked="true" hidden="false"/>
    </xf>
    <xf numFmtId="183" fontId="103" fillId="15" borderId="28" xfId="21" applyFont="true" applyBorder="true" applyAlignment="true" applyProtection="true">
      <alignment horizontal="general" vertical="bottom" textRotation="0" wrapText="false" indent="0" shrinkToFit="true"/>
      <protection locked="true" hidden="false"/>
    </xf>
    <xf numFmtId="183" fontId="103" fillId="0" borderId="5" xfId="21" applyFont="true" applyBorder="true" applyAlignment="true" applyProtection="true">
      <alignment horizontal="general" vertical="bottom" textRotation="0" wrapText="false" indent="0" shrinkToFit="true"/>
      <protection locked="true" hidden="false"/>
    </xf>
    <xf numFmtId="165" fontId="48" fillId="14" borderId="3" xfId="21" applyFont="true" applyBorder="true" applyAlignment="true" applyProtection="true">
      <alignment horizontal="general" vertical="bottom" textRotation="0" wrapText="false" indent="0" shrinkToFit="true"/>
      <protection locked="true" hidden="false"/>
    </xf>
    <xf numFmtId="183" fontId="48" fillId="14" borderId="4" xfId="21" applyFont="true" applyBorder="true" applyAlignment="true" applyProtection="true">
      <alignment horizontal="general" vertical="bottom" textRotation="0" wrapText="false" indent="0" shrinkToFit="true"/>
      <protection locked="true" hidden="false"/>
    </xf>
    <xf numFmtId="183" fontId="48" fillId="14" borderId="149" xfId="21" applyFont="true" applyBorder="true" applyAlignment="true" applyProtection="true">
      <alignment horizontal="general" vertical="bottom" textRotation="0" wrapText="false" indent="0" shrinkToFit="true"/>
      <protection locked="true" hidden="false"/>
    </xf>
    <xf numFmtId="183" fontId="103" fillId="14" borderId="86" xfId="21" applyFont="true" applyBorder="true" applyAlignment="true" applyProtection="true">
      <alignment horizontal="general" vertical="bottom" textRotation="0" wrapText="false" indent="0" shrinkToFit="true"/>
      <protection locked="true" hidden="false"/>
    </xf>
    <xf numFmtId="183" fontId="48" fillId="14" borderId="151" xfId="21" applyFont="true" applyBorder="true" applyAlignment="true" applyProtection="true">
      <alignment horizontal="general" vertical="bottom" textRotation="0" wrapText="false" indent="0" shrinkToFit="true"/>
      <protection locked="true" hidden="false"/>
    </xf>
    <xf numFmtId="183" fontId="103" fillId="14" borderId="152" xfId="21" applyFont="true" applyBorder="true" applyAlignment="true" applyProtection="true">
      <alignment horizontal="general" vertical="bottom" textRotation="0" wrapText="false" indent="0" shrinkToFit="true"/>
      <protection locked="true" hidden="false"/>
    </xf>
    <xf numFmtId="183" fontId="103" fillId="14" borderId="35" xfId="21" applyFont="true" applyBorder="true" applyAlignment="true" applyProtection="true">
      <alignment horizontal="general" vertical="bottom" textRotation="0" wrapText="false" indent="0" shrinkToFit="true"/>
      <protection locked="true" hidden="false"/>
    </xf>
    <xf numFmtId="183" fontId="103" fillId="15" borderId="35" xfId="21" applyFont="true" applyBorder="true" applyAlignment="true" applyProtection="true">
      <alignment horizontal="general" vertical="bottom" textRotation="0" wrapText="false" indent="0" shrinkToFit="true"/>
      <protection locked="true" hidden="false"/>
    </xf>
    <xf numFmtId="183" fontId="103" fillId="14" borderId="27" xfId="21" applyFont="true" applyBorder="true" applyAlignment="true" applyProtection="true">
      <alignment horizontal="general" vertical="bottom" textRotation="0" wrapText="false" indent="0" shrinkToFit="true"/>
      <protection locked="true" hidden="false"/>
    </xf>
    <xf numFmtId="183" fontId="103" fillId="14" borderId="146" xfId="21" applyFont="true" applyBorder="true" applyAlignment="true" applyProtection="true">
      <alignment horizontal="general" vertical="bottom" textRotation="0" wrapText="false" indent="0" shrinkToFit="true"/>
      <protection locked="true" hidden="false"/>
    </xf>
    <xf numFmtId="183" fontId="103" fillId="14" borderId="28" xfId="21" applyFont="true" applyBorder="true" applyAlignment="true" applyProtection="true">
      <alignment horizontal="general" vertical="bottom" textRotation="0" wrapText="false" indent="0" shrinkToFit="true"/>
      <protection locked="true" hidden="false"/>
    </xf>
    <xf numFmtId="183" fontId="48" fillId="14" borderId="3" xfId="21" applyFont="true" applyBorder="true" applyAlignment="true" applyProtection="true">
      <alignment horizontal="general" vertical="bottom" textRotation="0" wrapText="false" indent="0" shrinkToFit="true"/>
      <protection locked="true" hidden="false"/>
    </xf>
    <xf numFmtId="183" fontId="48" fillId="14" borderId="105" xfId="21" applyFont="true" applyBorder="true" applyAlignment="true" applyProtection="true">
      <alignment horizontal="general" vertical="bottom" textRotation="0" wrapText="false" indent="0" shrinkToFit="true"/>
      <protection locked="true" hidden="false"/>
    </xf>
    <xf numFmtId="183" fontId="48" fillId="14" borderId="27" xfId="21" applyFont="true" applyBorder="true" applyAlignment="true" applyProtection="true">
      <alignment horizontal="general" vertical="bottom" textRotation="0" wrapText="false" indent="0" shrinkToFit="true"/>
      <protection locked="true" hidden="false"/>
    </xf>
    <xf numFmtId="183" fontId="48" fillId="14" borderId="107" xfId="21" applyFont="true" applyBorder="true" applyAlignment="true" applyProtection="true">
      <alignment horizontal="general" vertical="bottom" textRotation="0" wrapText="false" indent="0" shrinkToFit="true"/>
      <protection locked="true" hidden="false"/>
    </xf>
    <xf numFmtId="183" fontId="48" fillId="14" borderId="146" xfId="21" applyFont="true" applyBorder="true" applyAlignment="true" applyProtection="true">
      <alignment horizontal="general" vertical="bottom" textRotation="0" wrapText="false" indent="0" shrinkToFit="true"/>
      <protection locked="true" hidden="false"/>
    </xf>
    <xf numFmtId="183" fontId="48" fillId="14" borderId="28" xfId="21" applyFont="true" applyBorder="true" applyAlignment="true" applyProtection="true">
      <alignment horizontal="general" vertical="bottom" textRotation="0" wrapText="false" indent="0" shrinkToFit="true"/>
      <protection locked="true" hidden="false"/>
    </xf>
    <xf numFmtId="183" fontId="103" fillId="15" borderId="3" xfId="21" applyFont="true" applyBorder="true" applyAlignment="true" applyProtection="true">
      <alignment horizontal="general" vertical="bottom" textRotation="0" wrapText="false" indent="0" shrinkToFit="true"/>
      <protection locked="true" hidden="false"/>
    </xf>
    <xf numFmtId="165" fontId="48" fillId="14" borderId="47" xfId="21" applyFont="true" applyBorder="true" applyAlignment="true" applyProtection="true">
      <alignment horizontal="general" vertical="bottom" textRotation="0" wrapText="false" indent="0" shrinkToFit="true"/>
      <protection locked="true" hidden="false"/>
    </xf>
    <xf numFmtId="183" fontId="48" fillId="14" borderId="47" xfId="21" applyFont="true" applyBorder="true" applyAlignment="true" applyProtection="true">
      <alignment horizontal="general" vertical="bottom" textRotation="0" wrapText="false" indent="0" shrinkToFit="true"/>
      <protection locked="true" hidden="false"/>
    </xf>
    <xf numFmtId="183" fontId="48" fillId="14" borderId="86" xfId="21" applyFont="true" applyBorder="true" applyAlignment="true" applyProtection="true">
      <alignment horizontal="general" vertical="bottom" textRotation="0" wrapText="false" indent="0" shrinkToFit="true"/>
      <protection locked="true" hidden="false"/>
    </xf>
    <xf numFmtId="183" fontId="48" fillId="14" borderId="152" xfId="21" applyFont="true" applyBorder="true" applyAlignment="true" applyProtection="true">
      <alignment horizontal="general" vertical="bottom" textRotation="0" wrapText="false" indent="0" shrinkToFit="true"/>
      <protection locked="true" hidden="false"/>
    </xf>
    <xf numFmtId="183" fontId="48" fillId="14" borderId="36" xfId="21" applyFont="true" applyBorder="true" applyAlignment="true" applyProtection="true">
      <alignment horizontal="general" vertical="bottom" textRotation="0" wrapText="false" indent="0" shrinkToFit="true"/>
      <protection locked="true" hidden="false"/>
    </xf>
    <xf numFmtId="165" fontId="103" fillId="15" borderId="47" xfId="21" applyFont="true" applyBorder="true" applyAlignment="true" applyProtection="true">
      <alignment horizontal="general" vertical="bottom" textRotation="0" wrapText="false" indent="0" shrinkToFit="true"/>
      <protection locked="true" hidden="false"/>
    </xf>
    <xf numFmtId="183" fontId="103" fillId="15" borderId="47" xfId="21" applyFont="true" applyBorder="true" applyAlignment="true" applyProtection="true">
      <alignment horizontal="general" vertical="bottom" textRotation="0" wrapText="false" indent="0" shrinkToFit="true"/>
      <protection locked="true" hidden="false"/>
    </xf>
    <xf numFmtId="183" fontId="48" fillId="15" borderId="150" xfId="21" applyFont="true" applyBorder="true" applyAlignment="true" applyProtection="true">
      <alignment horizontal="general" vertical="bottom" textRotation="0" wrapText="false" indent="0" shrinkToFit="true"/>
      <protection locked="true" hidden="false"/>
    </xf>
    <xf numFmtId="183" fontId="48" fillId="15" borderId="152" xfId="21" applyFont="true" applyBorder="true" applyAlignment="true" applyProtection="true">
      <alignment horizontal="general" vertical="bottom" textRotation="0" wrapText="false" indent="0" shrinkToFit="true"/>
      <protection locked="true" hidden="false"/>
    </xf>
    <xf numFmtId="165" fontId="57" fillId="15" borderId="48" xfId="21" applyFont="true" applyBorder="true" applyAlignment="true" applyProtection="true">
      <alignment horizontal="general" vertical="bottom" textRotation="0" wrapText="false" indent="0" shrinkToFit="true"/>
      <protection locked="true" hidden="false"/>
    </xf>
    <xf numFmtId="183" fontId="48" fillId="15" borderId="36" xfId="21" applyFont="true" applyBorder="true" applyAlignment="true" applyProtection="true">
      <alignment horizontal="general" vertical="bottom" textRotation="0" wrapText="false" indent="0" shrinkToFit="true"/>
      <protection locked="true" hidden="false"/>
    </xf>
    <xf numFmtId="183" fontId="57" fillId="0" borderId="9" xfId="21" applyFont="true" applyBorder="true" applyAlignment="true" applyProtection="true">
      <alignment horizontal="general" vertical="bottom" textRotation="0" wrapText="false" indent="0" shrinkToFit="true"/>
      <protection locked="true" hidden="false"/>
    </xf>
    <xf numFmtId="164" fontId="58" fillId="0" borderId="0" xfId="0" applyFont="true" applyBorder="false" applyAlignment="true" applyProtection="true">
      <alignment horizontal="general" vertical="bottom" textRotation="0" wrapText="false" indent="0" shrinkToFit="false"/>
      <protection locked="true" hidden="false"/>
    </xf>
    <xf numFmtId="165" fontId="58" fillId="0" borderId="0" xfId="21" applyFont="true" applyBorder="true" applyAlignment="true" applyProtection="true">
      <alignment horizontal="general" vertical="bottom" textRotation="0" wrapText="false" indent="0" shrinkToFit="false"/>
      <protection locked="true" hidden="false"/>
    </xf>
    <xf numFmtId="164" fontId="112" fillId="0" borderId="0" xfId="0" applyFont="true" applyBorder="true" applyAlignment="true" applyProtection="true">
      <alignment horizontal="general" vertical="bottom" textRotation="0" wrapText="false" indent="0" shrinkToFit="false"/>
      <protection locked="true" hidden="false"/>
    </xf>
    <xf numFmtId="185" fontId="112" fillId="0" borderId="0" xfId="21" applyFont="true" applyBorder="true" applyAlignment="true" applyProtection="true">
      <alignment horizontal="general" vertical="bottom" textRotation="0" wrapText="false" indent="0" shrinkToFit="false"/>
      <protection locked="true" hidden="false"/>
    </xf>
    <xf numFmtId="186" fontId="112" fillId="0" borderId="0" xfId="21" applyFont="true" applyBorder="tru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left" vertical="bottom" textRotation="0" wrapText="false" indent="0" shrinkToFit="false"/>
      <protection locked="true" hidden="false"/>
    </xf>
    <xf numFmtId="164" fontId="58" fillId="0" borderId="0" xfId="0" applyFont="true" applyBorder="true" applyAlignment="true" applyProtection="true">
      <alignment horizontal="general" vertical="bottom" textRotation="0" wrapText="false" indent="0" shrinkToFit="false"/>
      <protection locked="true" hidden="false"/>
    </xf>
    <xf numFmtId="164" fontId="113" fillId="0" borderId="0" xfId="0" applyFont="true" applyBorder="true" applyAlignment="true" applyProtection="true">
      <alignment horizontal="general" vertical="bottom" textRotation="0" wrapText="false" indent="0" shrinkToFit="false"/>
      <protection locked="true" hidden="false"/>
    </xf>
    <xf numFmtId="165" fontId="96" fillId="0" borderId="0" xfId="21" applyFont="true" applyBorder="true" applyAlignment="true" applyProtection="true">
      <alignment horizontal="general" vertical="bottom" textRotation="0" wrapText="false" indent="0" shrinkToFit="false"/>
      <protection locked="true" hidden="false"/>
    </xf>
    <xf numFmtId="165" fontId="104" fillId="0" borderId="0" xfId="21" applyFont="true" applyBorder="true" applyAlignment="true" applyProtection="true">
      <alignment horizontal="center" vertical="bottom" textRotation="0" wrapText="false" indent="0" shrinkToFit="false"/>
      <protection locked="true" hidden="false"/>
    </xf>
    <xf numFmtId="165" fontId="112" fillId="0" borderId="0" xfId="21" applyFont="true" applyBorder="true" applyAlignment="true" applyProtection="true">
      <alignment horizontal="general" vertical="bottom" textRotation="0" wrapText="false" indent="0" shrinkToFit="false"/>
      <protection locked="true" hidden="false"/>
    </xf>
    <xf numFmtId="185" fontId="104" fillId="0" borderId="0" xfId="21" applyFont="true" applyBorder="true" applyAlignment="true" applyProtection="true">
      <alignment horizontal="general" vertical="bottom" textRotation="0" wrapText="false" indent="0" shrinkToFit="false"/>
      <protection locked="true" hidden="false"/>
    </xf>
    <xf numFmtId="186" fontId="104" fillId="0" borderId="0" xfId="21" applyFont="true" applyBorder="true" applyAlignment="true" applyProtection="true">
      <alignment horizontal="general" vertical="bottom" textRotation="0" wrapText="false" indent="0" shrinkToFit="false"/>
      <protection locked="true" hidden="false"/>
    </xf>
    <xf numFmtId="183" fontId="103" fillId="15" borderId="4" xfId="21" applyFont="true" applyBorder="true" applyAlignment="true" applyProtection="true">
      <alignment horizontal="general" vertical="bottom" textRotation="0" wrapText="false" indent="0" shrinkToFit="true"/>
      <protection locked="true" hidden="false"/>
    </xf>
    <xf numFmtId="164" fontId="104" fillId="0" borderId="0" xfId="0" applyFont="true" applyBorder="true" applyAlignment="true" applyProtection="true">
      <alignment horizontal="general" vertical="bottom" textRotation="0" wrapText="false" indent="0" shrinkToFit="false"/>
      <protection locked="true" hidden="false"/>
    </xf>
    <xf numFmtId="164" fontId="105" fillId="0" borderId="0" xfId="0" applyFont="true" applyBorder="true" applyAlignment="true" applyProtection="true">
      <alignment horizontal="general" vertical="bottom" textRotation="0" wrapText="false" indent="0" shrinkToFit="false"/>
      <protection locked="true" hidden="false"/>
    </xf>
    <xf numFmtId="165" fontId="104" fillId="0" borderId="0" xfId="21" applyFont="true" applyBorder="true" applyAlignment="true" applyProtection="true">
      <alignment horizontal="general" vertical="bottom" textRotation="0" wrapText="false" indent="0" shrinkToFit="false"/>
      <protection locked="true" hidden="false"/>
    </xf>
    <xf numFmtId="182" fontId="57" fillId="0" borderId="22" xfId="0" applyFont="true" applyBorder="true" applyAlignment="true" applyProtection="true">
      <alignment horizontal="left" vertical="bottom" textRotation="0" wrapText="false" indent="0" shrinkToFit="true"/>
      <protection locked="true" hidden="false"/>
    </xf>
    <xf numFmtId="174" fontId="74" fillId="0" borderId="0" xfId="0" applyFont="true" applyBorder="false" applyAlignment="true" applyProtection="true">
      <alignment horizontal="general" vertical="bottom" textRotation="0" wrapText="false" indent="0" shrinkToFit="true"/>
      <protection locked="true" hidden="false"/>
    </xf>
    <xf numFmtId="164" fontId="56" fillId="13" borderId="24" xfId="0" applyFont="true" applyBorder="true" applyAlignment="true" applyProtection="true">
      <alignment horizontal="left" vertical="bottom" textRotation="0" wrapText="false" indent="0" shrinkToFit="false"/>
      <protection locked="true" hidden="false"/>
    </xf>
    <xf numFmtId="164" fontId="55" fillId="0" borderId="0" xfId="0" applyFont="true" applyBorder="false" applyAlignment="true" applyProtection="true">
      <alignment horizontal="right" vertical="bottom" textRotation="0" wrapText="false" indent="0" shrinkToFit="false"/>
      <protection locked="true" hidden="false"/>
    </xf>
    <xf numFmtId="164" fontId="53" fillId="13"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center" vertical="center" textRotation="0" wrapText="tru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83" fontId="116" fillId="0" borderId="0" xfId="20" applyFont="true" applyBorder="true" applyAlignment="true" applyProtection="true">
      <alignment horizontal="general" vertical="bottom" textRotation="0" wrapText="false" indent="0" shrinkToFit="false"/>
      <protection locked="true" hidden="false"/>
    </xf>
    <xf numFmtId="183" fontId="117" fillId="0" borderId="0" xfId="20" applyFont="true" applyBorder="true" applyAlignment="true" applyProtection="true">
      <alignment horizontal="general" vertical="bottom" textRotation="0" wrapText="false" indent="0" shrinkToFit="false"/>
      <protection locked="true" hidden="false"/>
    </xf>
    <xf numFmtId="164" fontId="54" fillId="0" borderId="3" xfId="0" applyFont="true" applyBorder="true" applyAlignment="true" applyProtection="true">
      <alignment horizontal="center" vertical="center" textRotation="0" wrapText="false" indent="0" shrinkToFit="false"/>
      <protection locked="true" hidden="false"/>
    </xf>
    <xf numFmtId="164" fontId="54" fillId="0" borderId="3" xfId="0" applyFont="true" applyBorder="true" applyAlignment="true" applyProtection="true">
      <alignment horizontal="center" vertical="center" textRotation="0" wrapText="true" indent="0" shrinkToFit="false"/>
      <protection locked="true" hidden="false"/>
    </xf>
    <xf numFmtId="164" fontId="102" fillId="0" borderId="3" xfId="0" applyFont="true" applyBorder="true" applyAlignment="true" applyProtection="true">
      <alignment horizontal="center" vertical="center" textRotation="0" wrapText="true" indent="0" shrinkToFit="false"/>
      <protection locked="true" hidden="false"/>
    </xf>
    <xf numFmtId="164" fontId="102" fillId="16" borderId="3" xfId="0" applyFont="true" applyBorder="true" applyAlignment="true" applyProtection="true">
      <alignment horizontal="center" vertical="center" textRotation="0" wrapText="true" indent="0" shrinkToFit="false"/>
      <protection locked="true" hidden="false"/>
    </xf>
    <xf numFmtId="164" fontId="118" fillId="12" borderId="3" xfId="0" applyFont="true" applyBorder="true" applyAlignment="true" applyProtection="true">
      <alignment horizontal="center" vertical="center" textRotation="0" wrapText="true" indent="0" shrinkToFit="false"/>
      <protection locked="true" hidden="false"/>
    </xf>
    <xf numFmtId="164" fontId="95" fillId="0" borderId="0" xfId="0" applyFont="true" applyBorder="true" applyAlignment="true" applyProtection="true">
      <alignment horizontal="center" vertical="center" textRotation="0" wrapText="true" indent="0" shrinkToFit="false"/>
      <protection locked="true" hidden="false"/>
    </xf>
    <xf numFmtId="164" fontId="54" fillId="0" borderId="27" xfId="0" applyFont="true" applyBorder="true" applyAlignment="true" applyProtection="true">
      <alignment horizontal="center" vertical="center" textRotation="0" wrapText="false" indent="0" shrinkToFit="false"/>
      <protection locked="true" hidden="false"/>
    </xf>
    <xf numFmtId="164" fontId="54" fillId="0" borderId="32" xfId="0" applyFont="true" applyBorder="true" applyAlignment="true" applyProtection="true">
      <alignment horizontal="center" vertical="center" textRotation="0" wrapText="true" indent="0" shrinkToFit="false"/>
      <protection locked="true" hidden="false"/>
    </xf>
    <xf numFmtId="164" fontId="54" fillId="0" borderId="155" xfId="0" applyFont="true" applyBorder="true" applyAlignment="true" applyProtection="true">
      <alignment horizontal="center" vertical="center" textRotation="0" wrapText="true" indent="0" shrinkToFit="false"/>
      <protection locked="true" hidden="false"/>
    </xf>
    <xf numFmtId="164" fontId="54" fillId="0" borderId="156" xfId="0" applyFont="true" applyBorder="true" applyAlignment="true" applyProtection="true">
      <alignment horizontal="center" vertical="center" textRotation="0" wrapText="true" indent="0" shrinkToFit="false"/>
      <protection locked="true" hidden="false"/>
    </xf>
    <xf numFmtId="164" fontId="54" fillId="0" borderId="157" xfId="0" applyFont="true" applyBorder="true" applyAlignment="true" applyProtection="true">
      <alignment horizontal="center" vertical="center" textRotation="0" wrapText="true" indent="0" shrinkToFit="false"/>
      <protection locked="true" hidden="false"/>
    </xf>
    <xf numFmtId="164" fontId="54" fillId="0" borderId="27" xfId="0" applyFont="true" applyBorder="true" applyAlignment="true" applyProtection="true">
      <alignment horizontal="center" vertical="center" textRotation="0" wrapText="true" indent="0" shrinkToFit="false"/>
      <protection locked="true" hidden="false"/>
    </xf>
    <xf numFmtId="164" fontId="54" fillId="0" borderId="0" xfId="0" applyFont="true" applyBorder="true" applyAlignment="true" applyProtection="true">
      <alignment horizontal="center" vertical="center" textRotation="0" wrapText="true" indent="0" shrinkToFit="false"/>
      <protection locked="true" hidden="false"/>
    </xf>
    <xf numFmtId="183" fontId="54" fillId="0" borderId="0" xfId="20" applyFont="true" applyBorder="true" applyAlignment="true" applyProtection="true">
      <alignment horizontal="left" vertical="center" textRotation="0" wrapText="true" indent="0" shrinkToFit="false"/>
      <protection locked="true" hidden="false"/>
    </xf>
    <xf numFmtId="164" fontId="48" fillId="0" borderId="0" xfId="0" applyFont="true" applyBorder="true" applyAlignment="true" applyProtection="true">
      <alignment horizontal="center" vertical="center" textRotation="0" wrapText="false" indent="0" shrinkToFit="false"/>
      <protection locked="true" hidden="false"/>
    </xf>
    <xf numFmtId="164" fontId="55" fillId="0" borderId="3" xfId="0" applyFont="true" applyBorder="true" applyAlignment="true" applyProtection="true">
      <alignment horizontal="center" vertical="center" textRotation="0" wrapText="true" indent="0" shrinkToFit="false"/>
      <protection locked="true" hidden="false"/>
    </xf>
    <xf numFmtId="183" fontId="117" fillId="0" borderId="4" xfId="20" applyFont="true" applyBorder="true" applyAlignment="true" applyProtection="true">
      <alignment horizontal="general" vertical="bottom" textRotation="0" wrapText="false" indent="0" shrinkToFit="false"/>
      <protection locked="true" hidden="false"/>
    </xf>
    <xf numFmtId="164" fontId="54" fillId="0" borderId="3" xfId="0" applyFont="true" applyBorder="true" applyAlignment="true" applyProtection="true">
      <alignment horizontal="general" vertical="bottom" textRotation="0" wrapText="false" indent="0" shrinkToFit="false"/>
      <protection locked="true" hidden="false"/>
    </xf>
    <xf numFmtId="165" fontId="119" fillId="0" borderId="3" xfId="20" applyFont="true" applyBorder="true" applyAlignment="true" applyProtection="true">
      <alignment horizontal="general" vertical="bottom" textRotation="0" wrapText="false" indent="0" shrinkToFit="false"/>
      <protection locked="true" hidden="false"/>
    </xf>
    <xf numFmtId="165" fontId="120" fillId="0" borderId="3" xfId="20" applyFont="true" applyBorder="true" applyAlignment="true" applyProtection="true">
      <alignment horizontal="general" vertical="bottom" textRotation="0" wrapText="false" indent="0" shrinkToFit="false"/>
      <protection locked="true" hidden="false"/>
    </xf>
    <xf numFmtId="165" fontId="119" fillId="16" borderId="3" xfId="20" applyFont="true" applyBorder="true" applyAlignment="true" applyProtection="true">
      <alignment horizontal="general" vertical="bottom" textRotation="0" wrapText="false" indent="0" shrinkToFit="false"/>
      <protection locked="true" hidden="false"/>
    </xf>
    <xf numFmtId="165" fontId="56" fillId="12" borderId="3" xfId="20" applyFont="true" applyBorder="true" applyAlignment="true" applyProtection="true">
      <alignment horizontal="right" vertical="center" textRotation="0" wrapText="false" indent="0" shrinkToFit="false"/>
      <protection locked="true" hidden="false"/>
    </xf>
    <xf numFmtId="165" fontId="119" fillId="0" borderId="0" xfId="20" applyFont="true" applyBorder="true" applyAlignment="true" applyProtection="true">
      <alignment horizontal="general" vertical="bottom" textRotation="0" wrapText="false" indent="0" shrinkToFit="false"/>
      <protection locked="true" hidden="false"/>
    </xf>
    <xf numFmtId="165" fontId="120" fillId="0" borderId="0" xfId="20" applyFont="true" applyBorder="true" applyAlignment="true" applyProtection="true">
      <alignment horizontal="general" vertical="bottom" textRotation="0" wrapText="false" indent="0" shrinkToFit="false"/>
      <protection locked="true" hidden="false"/>
    </xf>
    <xf numFmtId="164" fontId="54" fillId="0" borderId="27" xfId="0" applyFont="true" applyBorder="true" applyAlignment="true" applyProtection="true">
      <alignment horizontal="general" vertical="bottom" textRotation="0" wrapText="false" indent="0" shrinkToFit="false"/>
      <protection locked="true" hidden="false"/>
    </xf>
    <xf numFmtId="165" fontId="120" fillId="0" borderId="32" xfId="20" applyFont="true" applyBorder="true" applyAlignment="true" applyProtection="true">
      <alignment horizontal="general" vertical="bottom" textRotation="0" wrapText="false" indent="0" shrinkToFit="false"/>
      <protection locked="true" hidden="false"/>
    </xf>
    <xf numFmtId="165" fontId="120" fillId="0" borderId="155" xfId="20" applyFont="true" applyBorder="true" applyAlignment="true" applyProtection="true">
      <alignment horizontal="general" vertical="bottom" textRotation="0" wrapText="false" indent="0" shrinkToFit="false"/>
      <protection locked="true" hidden="false"/>
    </xf>
    <xf numFmtId="165" fontId="120" fillId="0" borderId="157" xfId="20" applyFont="true" applyBorder="true" applyAlignment="true" applyProtection="true">
      <alignment horizontal="general" vertical="bottom" textRotation="0" wrapText="false" indent="0" shrinkToFit="false"/>
      <protection locked="true" hidden="false"/>
    </xf>
    <xf numFmtId="165" fontId="120" fillId="0" borderId="27" xfId="20" applyFont="true" applyBorder="true" applyAlignment="true" applyProtection="true">
      <alignment horizontal="general" vertical="bottom" textRotation="0" wrapText="false" indent="0" shrinkToFit="false"/>
      <protection locked="true" hidden="false"/>
    </xf>
    <xf numFmtId="165" fontId="120" fillId="0" borderId="0" xfId="21" applyFont="true" applyBorder="true" applyAlignment="true" applyProtection="true">
      <alignment horizontal="general" vertical="bottom" textRotation="0" wrapText="false" indent="0" shrinkToFit="false"/>
      <protection locked="true" hidden="false"/>
    </xf>
    <xf numFmtId="183" fontId="121" fillId="0" borderId="0" xfId="20" applyFont="true" applyBorder="true" applyAlignment="true" applyProtection="true">
      <alignment horizontal="center" vertical="bottom" textRotation="0" wrapText="false" indent="0" shrinkToFit="true"/>
      <protection locked="true" hidden="false"/>
    </xf>
    <xf numFmtId="183" fontId="117" fillId="0" borderId="47" xfId="20" applyFont="true" applyBorder="true" applyAlignment="true" applyProtection="true">
      <alignment horizontal="general" vertical="bottom" textRotation="0" wrapText="false" indent="0" shrinkToFit="false"/>
      <protection locked="true" hidden="false"/>
    </xf>
    <xf numFmtId="165" fontId="121" fillId="0" borderId="0" xfId="20" applyFont="true" applyBorder="true" applyAlignment="true" applyProtection="true">
      <alignment horizontal="center" vertical="bottom" textRotation="0" wrapText="false" indent="0" shrinkToFit="false"/>
      <protection locked="true" hidden="false"/>
    </xf>
    <xf numFmtId="165" fontId="119" fillId="12" borderId="3" xfId="20" applyFont="true" applyBorder="true" applyAlignment="true" applyProtection="true">
      <alignment horizontal="general" vertical="bottom" textRotation="0" wrapText="false" indent="0" shrinkToFit="false"/>
      <protection locked="true" hidden="false"/>
    </xf>
    <xf numFmtId="183" fontId="122" fillId="0" borderId="0" xfId="20" applyFont="true" applyBorder="true" applyAlignment="true" applyProtection="true">
      <alignment horizontal="general" vertical="bottom" textRotation="0" wrapText="false" indent="0" shrinkToFit="false"/>
      <protection locked="true" hidden="false"/>
    </xf>
    <xf numFmtId="164" fontId="54" fillId="0" borderId="3" xfId="0" applyFont="true" applyBorder="true" applyAlignment="true" applyProtection="true">
      <alignment horizontal="general" vertical="bottom" textRotation="0" wrapText="true" indent="0" shrinkToFit="false"/>
      <protection locked="true" hidden="false"/>
    </xf>
    <xf numFmtId="164" fontId="54" fillId="0" borderId="27" xfId="0" applyFont="true" applyBorder="true" applyAlignment="true" applyProtection="true">
      <alignment horizontal="general" vertical="bottom" textRotation="0" wrapText="true" indent="0" shrinkToFit="false"/>
      <protection locked="true" hidden="false"/>
    </xf>
    <xf numFmtId="165" fontId="120" fillId="0" borderId="0" xfId="21"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83" fontId="117" fillId="0" borderId="5" xfId="20" applyFont="true" applyBorder="true" applyAlignment="true" applyProtection="true">
      <alignment horizontal="general" vertical="bottom" textRotation="0" wrapText="false" indent="0" shrinkToFit="false"/>
      <protection locked="true" hidden="false"/>
    </xf>
    <xf numFmtId="165" fontId="119" fillId="0" borderId="32" xfId="20" applyFont="true" applyBorder="true" applyAlignment="true" applyProtection="true">
      <alignment horizontal="general" vertical="bottom" textRotation="0" wrapText="false" indent="0" shrinkToFit="false"/>
      <protection locked="true" hidden="false"/>
    </xf>
    <xf numFmtId="165" fontId="119" fillId="0" borderId="155" xfId="20" applyFont="true" applyBorder="true" applyAlignment="true" applyProtection="true">
      <alignment horizontal="general" vertical="bottom" textRotation="0" wrapText="false" indent="0" shrinkToFit="false"/>
      <protection locked="true" hidden="false"/>
    </xf>
    <xf numFmtId="165" fontId="119" fillId="0" borderId="157" xfId="20" applyFont="true" applyBorder="true" applyAlignment="true" applyProtection="true">
      <alignment horizontal="general" vertical="bottom" textRotation="0" wrapText="false" indent="0" shrinkToFit="false"/>
      <protection locked="true" hidden="false"/>
    </xf>
    <xf numFmtId="165" fontId="119" fillId="0" borderId="27" xfId="20" applyFont="true" applyBorder="true" applyAlignment="true" applyProtection="true">
      <alignment horizontal="general" vertical="bottom" textRotation="0" wrapText="false" indent="0" shrinkToFit="false"/>
      <protection locked="true" hidden="false"/>
    </xf>
    <xf numFmtId="174" fontId="119" fillId="12"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true" applyAlignment="true" applyProtection="true">
      <alignment horizontal="general" vertical="top"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23" fillId="0" borderId="0" xfId="20" applyFont="true" applyBorder="true" applyAlignment="true" applyProtection="true">
      <alignment horizontal="general" vertical="bottom" textRotation="0" wrapText="false" indent="0" shrinkToFit="false"/>
      <protection locked="true" hidden="false"/>
    </xf>
    <xf numFmtId="165" fontId="58" fillId="0" borderId="0" xfId="21" applyFont="true" applyBorder="true" applyAlignment="true" applyProtection="true">
      <alignment horizontal="center" vertical="bottom" textRotation="0" wrapText="false" indent="0" shrinkToFit="false"/>
      <protection locked="true" hidden="false"/>
    </xf>
    <xf numFmtId="165" fontId="64" fillId="0" borderId="0" xfId="21" applyFont="true" applyBorder="true" applyAlignment="true" applyProtection="true">
      <alignment horizontal="left" vertical="center" textRotation="0" wrapText="false" indent="0" shrinkToFit="true"/>
      <protection locked="true" hidden="false"/>
    </xf>
    <xf numFmtId="165" fontId="54" fillId="0" borderId="0" xfId="21" applyFont="true" applyBorder="true" applyAlignment="true" applyProtection="true">
      <alignment horizontal="left" vertical="center" textRotation="0" wrapText="false" indent="0" shrinkToFit="false"/>
      <protection locked="true" hidden="false"/>
    </xf>
    <xf numFmtId="165" fontId="56" fillId="0" borderId="3" xfId="21" applyFont="true" applyBorder="true" applyAlignment="true" applyProtection="true">
      <alignment horizontal="center" vertical="center" textRotation="0" wrapText="false" indent="0" shrinkToFit="false"/>
      <protection locked="true" hidden="false"/>
    </xf>
    <xf numFmtId="187" fontId="96" fillId="0" borderId="32" xfId="21" applyFont="true" applyBorder="true" applyAlignment="true" applyProtection="true">
      <alignment horizontal="right" vertical="center" textRotation="0" wrapText="false" indent="0" shrinkToFit="false"/>
      <protection locked="true" hidden="false"/>
    </xf>
    <xf numFmtId="165" fontId="58" fillId="0" borderId="27" xfId="21" applyFont="true" applyBorder="true" applyAlignment="true" applyProtection="true">
      <alignment horizontal="left" vertical="center" textRotation="0" wrapText="false" indent="0" shrinkToFit="false"/>
      <protection locked="true" hidden="false"/>
    </xf>
    <xf numFmtId="185" fontId="125" fillId="0" borderId="0" xfId="21" applyFont="true" applyBorder="true" applyAlignment="true" applyProtection="true">
      <alignment horizontal="general" vertical="bottom" textRotation="0" wrapText="false" indent="0" shrinkToFit="false"/>
      <protection locked="true" hidden="false"/>
    </xf>
    <xf numFmtId="165" fontId="95" fillId="0" borderId="0" xfId="21" applyFont="true" applyBorder="true" applyAlignment="true" applyProtection="true">
      <alignment horizontal="general" vertical="bottom" textRotation="0" wrapText="false" indent="0" shrinkToFit="false"/>
      <protection locked="true" hidden="false"/>
    </xf>
    <xf numFmtId="165" fontId="95" fillId="0" borderId="0" xfId="21" applyFont="true" applyBorder="true" applyAlignment="true" applyProtection="true">
      <alignment horizontal="center" vertical="bottom" textRotation="0" wrapText="false" indent="0" shrinkToFit="false"/>
      <protection locked="true" hidden="false"/>
    </xf>
    <xf numFmtId="188" fontId="95" fillId="0" borderId="0" xfId="21" applyFont="true" applyBorder="true" applyAlignment="true" applyProtection="true">
      <alignment horizontal="center" vertical="bottom" textRotation="0" wrapText="false" indent="0" shrinkToFit="false"/>
      <protection locked="true" hidden="false"/>
    </xf>
    <xf numFmtId="165" fontId="95" fillId="0" borderId="158" xfId="21" applyFont="true" applyBorder="true" applyAlignment="true" applyProtection="true">
      <alignment horizontal="center" vertical="bottom" textRotation="0" wrapText="false" indent="0" shrinkToFit="false"/>
      <protection locked="true" hidden="false"/>
    </xf>
    <xf numFmtId="165" fontId="58" fillId="0" borderId="0" xfId="21" applyFont="true" applyBorder="true" applyAlignment="true" applyProtection="true">
      <alignment horizontal="right" vertical="bottom" textRotation="0" wrapText="false" indent="0" shrinkToFit="false"/>
      <protection locked="true" hidden="false"/>
    </xf>
    <xf numFmtId="188" fontId="104" fillId="0" borderId="0" xfId="21" applyFont="true" applyBorder="true" applyAlignment="true" applyProtection="true">
      <alignment horizontal="general" vertical="bottom" textRotation="0" wrapText="false" indent="0" shrinkToFit="false"/>
      <protection locked="true" hidden="false"/>
    </xf>
    <xf numFmtId="185" fontId="58" fillId="0" borderId="0" xfId="21" applyFont="true" applyBorder="true" applyAlignment="true" applyProtection="true">
      <alignment horizontal="general" vertical="bottom" textRotation="0" wrapText="false" indent="0" shrinkToFit="false"/>
      <protection locked="true" hidden="false"/>
    </xf>
    <xf numFmtId="188" fontId="58" fillId="0" borderId="0" xfId="21" applyFont="true" applyBorder="true" applyAlignment="true" applyProtection="true">
      <alignment horizontal="center" vertical="bottom" textRotation="0" wrapText="false" indent="0" shrinkToFit="false"/>
      <protection locked="true" hidden="false"/>
    </xf>
    <xf numFmtId="165" fontId="56" fillId="0" borderId="7" xfId="21" applyFont="true" applyBorder="true" applyAlignment="true" applyProtection="true">
      <alignment horizontal="center" vertical="center" textRotation="0" wrapText="true" indent="0" shrinkToFit="false"/>
      <protection locked="true" hidden="false"/>
    </xf>
    <xf numFmtId="165" fontId="55" fillId="0" borderId="40" xfId="21" applyFont="true" applyBorder="true" applyAlignment="true" applyProtection="true">
      <alignment horizontal="center" vertical="center" textRotation="0" wrapText="false" indent="0" shrinkToFit="true"/>
      <protection locked="true" hidden="false"/>
    </xf>
    <xf numFmtId="165" fontId="126" fillId="0" borderId="7" xfId="21" applyFont="true" applyBorder="true" applyAlignment="true" applyProtection="true">
      <alignment horizontal="center" vertical="center" textRotation="0" wrapText="true" indent="0" shrinkToFit="false"/>
      <protection locked="true" hidden="false"/>
    </xf>
    <xf numFmtId="165" fontId="55" fillId="0" borderId="37" xfId="21" applyFont="true" applyBorder="true" applyAlignment="true" applyProtection="true">
      <alignment horizontal="center" vertical="center" textRotation="0" wrapText="true" indent="0" shrinkToFit="false"/>
      <protection locked="true" hidden="false"/>
    </xf>
    <xf numFmtId="165" fontId="55" fillId="0" borderId="38" xfId="21" applyFont="true" applyBorder="true" applyAlignment="true" applyProtection="true">
      <alignment horizontal="center" vertical="center" textRotation="0" wrapText="true" indent="0" shrinkToFit="false"/>
      <protection locked="true" hidden="false"/>
    </xf>
    <xf numFmtId="165" fontId="55" fillId="0" borderId="6" xfId="21" applyFont="true" applyBorder="true" applyAlignment="true" applyProtection="true">
      <alignment horizontal="center" vertical="center" textRotation="0" wrapText="true" indent="0" shrinkToFit="false"/>
      <protection locked="true" hidden="false"/>
    </xf>
    <xf numFmtId="165" fontId="55" fillId="0" borderId="13" xfId="21" applyFont="true" applyBorder="true" applyAlignment="true" applyProtection="true">
      <alignment horizontal="center" vertical="bottom" textRotation="0" wrapText="false" indent="0" shrinkToFit="false"/>
      <protection locked="true" hidden="false"/>
    </xf>
    <xf numFmtId="165" fontId="127" fillId="0" borderId="16" xfId="21" applyFont="true" applyBorder="true" applyAlignment="true" applyProtection="true">
      <alignment horizontal="general" vertical="bottom" textRotation="0" wrapText="false" indent="0" shrinkToFit="false"/>
      <protection locked="true" hidden="false"/>
    </xf>
    <xf numFmtId="165" fontId="108" fillId="15" borderId="23" xfId="21" applyFont="true" applyBorder="true" applyAlignment="true" applyProtection="true">
      <alignment horizontal="general" vertical="bottom" textRotation="0" wrapText="false" indent="0" shrinkToFit="false"/>
      <protection locked="true" hidden="false"/>
    </xf>
    <xf numFmtId="165" fontId="127" fillId="0" borderId="5" xfId="21" applyFont="true" applyBorder="true" applyAlignment="true" applyProtection="true">
      <alignment horizontal="general" vertical="bottom" textRotation="0" wrapText="false" indent="0" shrinkToFit="false"/>
      <protection locked="true" hidden="false"/>
    </xf>
    <xf numFmtId="165" fontId="108" fillId="15" borderId="24" xfId="21" applyFont="true" applyBorder="true" applyAlignment="true" applyProtection="true">
      <alignment horizontal="general" vertical="bottom" textRotation="0" wrapText="false" indent="0" shrinkToFit="false"/>
      <protection locked="true" hidden="false"/>
    </xf>
    <xf numFmtId="165" fontId="128" fillId="0" borderId="13" xfId="21" applyFont="true" applyBorder="true" applyAlignment="true" applyProtection="true">
      <alignment horizontal="general" vertical="bottom" textRotation="0" wrapText="false" indent="0" shrinkToFit="false"/>
      <protection locked="true" hidden="false"/>
    </xf>
    <xf numFmtId="165" fontId="55" fillId="0" borderId="30" xfId="21" applyFont="true" applyBorder="true" applyAlignment="true" applyProtection="true">
      <alignment horizontal="center" vertical="bottom" textRotation="0" wrapText="false" indent="0" shrinkToFit="false"/>
      <protection locked="true" hidden="false"/>
    </xf>
    <xf numFmtId="165" fontId="108" fillId="15" borderId="29" xfId="21" applyFont="true" applyBorder="true" applyAlignment="true" applyProtection="true">
      <alignment horizontal="general" vertical="bottom" textRotation="0" wrapText="false" indent="0" shrinkToFit="false"/>
      <protection locked="true" hidden="false"/>
    </xf>
    <xf numFmtId="165" fontId="108" fillId="15" borderId="31" xfId="21" applyFont="true" applyBorder="true" applyAlignment="true" applyProtection="true">
      <alignment horizontal="general" vertical="bottom" textRotation="0" wrapText="false" indent="0" shrinkToFit="false"/>
      <protection locked="true" hidden="false"/>
    </xf>
    <xf numFmtId="165" fontId="128" fillId="0" borderId="30" xfId="21" applyFont="true" applyBorder="true" applyAlignment="true" applyProtection="true">
      <alignment horizontal="general" vertical="bottom" textRotation="0" wrapText="false" indent="0" shrinkToFit="false"/>
      <protection locked="true" hidden="false"/>
    </xf>
    <xf numFmtId="165" fontId="55" fillId="23" borderId="30" xfId="21" applyFont="true" applyBorder="true" applyAlignment="true" applyProtection="true">
      <alignment horizontal="center" vertical="bottom" textRotation="0" wrapText="false" indent="0" shrinkToFit="false"/>
      <protection locked="true" hidden="false"/>
    </xf>
    <xf numFmtId="165" fontId="127" fillId="23" borderId="3" xfId="21" applyFont="true" applyBorder="true" applyAlignment="true" applyProtection="true">
      <alignment horizontal="general" vertical="bottom" textRotation="0" wrapText="false" indent="0" shrinkToFit="false"/>
      <protection locked="true" hidden="false"/>
    </xf>
    <xf numFmtId="165" fontId="108" fillId="23" borderId="29" xfId="21" applyFont="true" applyBorder="true" applyAlignment="true" applyProtection="true">
      <alignment horizontal="general" vertical="bottom" textRotation="0" wrapText="false" indent="0" shrinkToFit="false"/>
      <protection locked="true" hidden="false"/>
    </xf>
    <xf numFmtId="165" fontId="108" fillId="23" borderId="31" xfId="21" applyFont="true" applyBorder="true" applyAlignment="true" applyProtection="true">
      <alignment horizontal="general" vertical="bottom" textRotation="0" wrapText="false" indent="0" shrinkToFit="false"/>
      <protection locked="true" hidden="false"/>
    </xf>
    <xf numFmtId="165" fontId="128" fillId="23" borderId="30" xfId="21" applyFont="true" applyBorder="true" applyAlignment="true" applyProtection="true">
      <alignment horizontal="general" vertical="bottom" textRotation="0" wrapText="false" indent="0" shrinkToFit="true"/>
      <protection locked="true" hidden="false"/>
    </xf>
    <xf numFmtId="165" fontId="127" fillId="15" borderId="5" xfId="21" applyFont="true" applyBorder="true" applyAlignment="true" applyProtection="true">
      <alignment horizontal="general" vertical="bottom" textRotation="0" wrapText="false" indent="0" shrinkToFit="false"/>
      <protection locked="true" hidden="false"/>
    </xf>
    <xf numFmtId="165" fontId="128" fillId="0" borderId="30" xfId="21" applyFont="true" applyBorder="true" applyAlignment="true" applyProtection="true">
      <alignment horizontal="general" vertical="bottom" textRotation="0" wrapText="false" indent="0" shrinkToFit="true"/>
      <protection locked="true" hidden="false"/>
    </xf>
    <xf numFmtId="165" fontId="94" fillId="0" borderId="16" xfId="21" applyFont="true" applyBorder="true" applyAlignment="true" applyProtection="true">
      <alignment horizontal="general" vertical="bottom" textRotation="0" wrapText="false" indent="0" shrinkToFit="false"/>
      <protection locked="true" hidden="false"/>
    </xf>
    <xf numFmtId="165" fontId="55" fillId="15" borderId="30" xfId="21" applyFont="true" applyBorder="true" applyAlignment="true" applyProtection="true">
      <alignment horizontal="center" vertical="bottom" textRotation="0" wrapText="false" indent="0" shrinkToFit="false"/>
      <protection locked="true" hidden="false"/>
    </xf>
    <xf numFmtId="165" fontId="107" fillId="0" borderId="16" xfId="21" applyFont="true" applyBorder="true" applyAlignment="true" applyProtection="true">
      <alignment horizontal="general" vertical="bottom" textRotation="0" wrapText="false" indent="0" shrinkToFit="false"/>
      <protection locked="true" hidden="false"/>
    </xf>
    <xf numFmtId="165" fontId="128" fillId="15" borderId="30" xfId="21" applyFont="true" applyBorder="true" applyAlignment="true" applyProtection="true">
      <alignment horizontal="general" vertical="bottom" textRotation="0" wrapText="false" indent="0" shrinkToFit="false"/>
      <protection locked="true" hidden="false"/>
    </xf>
    <xf numFmtId="165" fontId="107" fillId="23" borderId="3" xfId="21" applyFont="true" applyBorder="true" applyAlignment="true" applyProtection="true">
      <alignment horizontal="general" vertical="bottom" textRotation="0" wrapText="false" indent="0" shrinkToFit="false"/>
      <protection locked="true" hidden="false"/>
    </xf>
    <xf numFmtId="165" fontId="128" fillId="23" borderId="30" xfId="21" applyFont="true" applyBorder="true" applyAlignment="true" applyProtection="true">
      <alignment horizontal="general" vertical="bottom" textRotation="0" wrapText="false" indent="0" shrinkToFit="false"/>
      <protection locked="true" hidden="false"/>
    </xf>
    <xf numFmtId="165" fontId="55" fillId="23" borderId="41" xfId="21" applyFont="true" applyBorder="true" applyAlignment="true" applyProtection="true">
      <alignment horizontal="center" vertical="bottom" textRotation="0" wrapText="false" indent="0" shrinkToFit="false"/>
      <protection locked="true" hidden="false"/>
    </xf>
    <xf numFmtId="165" fontId="55" fillId="15" borderId="41" xfId="21" applyFont="true" applyBorder="true" applyAlignment="true" applyProtection="true">
      <alignment horizontal="center" vertical="bottom" textRotation="0" wrapText="false" indent="0" shrinkToFit="false"/>
      <protection locked="true" hidden="false"/>
    </xf>
    <xf numFmtId="165" fontId="102" fillId="24" borderId="41" xfId="21" applyFont="true" applyBorder="true" applyAlignment="true" applyProtection="true">
      <alignment horizontal="center" vertical="bottom" textRotation="0" wrapText="true" indent="0" shrinkToFit="false"/>
      <protection locked="true" hidden="false"/>
    </xf>
    <xf numFmtId="165" fontId="94" fillId="24" borderId="3" xfId="21" applyFont="true" applyBorder="true" applyAlignment="true" applyProtection="true">
      <alignment horizontal="general" vertical="bottom" textRotation="0" wrapText="false" indent="0" shrinkToFit="false"/>
      <protection locked="true" hidden="false"/>
    </xf>
    <xf numFmtId="165" fontId="108" fillId="24" borderId="29" xfId="21" applyFont="true" applyBorder="true" applyAlignment="true" applyProtection="true">
      <alignment horizontal="general" vertical="bottom" textRotation="0" wrapText="false" indent="0" shrinkToFit="false"/>
      <protection locked="true" hidden="false"/>
    </xf>
    <xf numFmtId="165" fontId="129" fillId="24" borderId="4" xfId="21" applyFont="true" applyBorder="true" applyAlignment="true" applyProtection="true">
      <alignment horizontal="general" vertical="bottom" textRotation="0" wrapText="false" indent="0" shrinkToFit="false"/>
      <protection locked="true" hidden="false"/>
    </xf>
    <xf numFmtId="165" fontId="108" fillId="24" borderId="42" xfId="21" applyFont="true" applyBorder="true" applyAlignment="true" applyProtection="true">
      <alignment horizontal="general" vertical="bottom" textRotation="0" wrapText="false" indent="0" shrinkToFit="false"/>
      <protection locked="true" hidden="false"/>
    </xf>
    <xf numFmtId="165" fontId="128" fillId="24" borderId="41" xfId="21" applyFont="true" applyBorder="true" applyAlignment="true" applyProtection="true">
      <alignment horizontal="general" vertical="bottom" textRotation="0" wrapText="false" indent="0" shrinkToFit="false"/>
      <protection locked="true" hidden="false"/>
    </xf>
    <xf numFmtId="165" fontId="102" fillId="24" borderId="89" xfId="21" applyFont="true" applyBorder="true" applyAlignment="true" applyProtection="true">
      <alignment horizontal="center" vertical="bottom" textRotation="0" wrapText="true" indent="0" shrinkToFit="false"/>
      <protection locked="true" hidden="false"/>
    </xf>
    <xf numFmtId="165" fontId="108" fillId="24" borderId="38" xfId="21" applyFont="true" applyBorder="true" applyAlignment="true" applyProtection="true">
      <alignment horizontal="general" vertical="bottom" textRotation="0" wrapText="false" indent="0" shrinkToFit="false"/>
      <protection locked="true" hidden="false"/>
    </xf>
    <xf numFmtId="165" fontId="129" fillId="24" borderId="37" xfId="21" applyFont="true" applyBorder="true" applyAlignment="true" applyProtection="true">
      <alignment horizontal="general" vertical="bottom" textRotation="0" wrapText="false" indent="0" shrinkToFit="false"/>
      <protection locked="true" hidden="false"/>
    </xf>
    <xf numFmtId="165" fontId="108" fillId="24" borderId="158" xfId="21" applyFont="true" applyBorder="true" applyAlignment="true" applyProtection="true">
      <alignment horizontal="general" vertical="bottom" textRotation="0" wrapText="false" indent="0" shrinkToFit="false"/>
      <protection locked="true" hidden="false"/>
    </xf>
    <xf numFmtId="165" fontId="128" fillId="24" borderId="89" xfId="21" applyFont="true" applyBorder="true" applyAlignment="true" applyProtection="true">
      <alignment horizontal="general" vertical="bottom" textRotation="0" wrapText="false" indent="0" shrinkToFit="false"/>
      <protection locked="true" hidden="false"/>
    </xf>
    <xf numFmtId="165" fontId="102" fillId="0" borderId="0" xfId="21"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56" fillId="0" borderId="0" xfId="0" applyFont="true" applyBorder="false" applyAlignment="true" applyProtection="true">
      <alignment horizontal="left" vertical="top" textRotation="0" wrapText="false" indent="0" shrinkToFit="false"/>
      <protection locked="true" hidden="false"/>
    </xf>
    <xf numFmtId="164" fontId="132" fillId="0" borderId="0" xfId="0" applyFont="true" applyBorder="false" applyAlignment="true" applyProtection="true">
      <alignment horizontal="general" vertical="center" textRotation="0" wrapText="false" indent="0" shrinkToFit="false"/>
      <protection locked="true" hidden="false"/>
    </xf>
    <xf numFmtId="164" fontId="132" fillId="0" borderId="0" xfId="0" applyFont="true" applyBorder="true" applyAlignment="true" applyProtection="true">
      <alignment horizontal="general" vertical="center" textRotation="0" wrapText="false" indent="0" shrinkToFit="false"/>
      <protection locked="true" hidden="false"/>
    </xf>
    <xf numFmtId="164" fontId="53" fillId="0" borderId="0" xfId="0" applyFont="true" applyBorder="true" applyAlignment="true" applyProtection="true">
      <alignment horizontal="center" vertical="center" textRotation="0" wrapText="false" indent="0" shrinkToFit="false"/>
      <protection locked="true" hidden="false"/>
    </xf>
    <xf numFmtId="164" fontId="133" fillId="0" borderId="0" xfId="0" applyFont="true" applyBorder="true" applyAlignment="true" applyProtection="true">
      <alignment horizontal="general" vertical="center" textRotation="0" wrapText="false" indent="0" shrinkToFit="false"/>
      <protection locked="true" hidden="false"/>
    </xf>
    <xf numFmtId="164" fontId="133" fillId="0" borderId="0" xfId="0" applyFont="true" applyBorder="false" applyAlignment="true" applyProtection="true">
      <alignment horizontal="general" vertical="center" textRotation="0" wrapText="false" indent="0" shrinkToFit="false"/>
      <protection locked="true" hidden="false"/>
    </xf>
    <xf numFmtId="164" fontId="53" fillId="0" borderId="0" xfId="0" applyFont="true" applyBorder="true" applyAlignment="true" applyProtection="true">
      <alignment horizontal="distributed" vertical="center" textRotation="0" wrapText="false" indent="5" shrinkToFit="false"/>
      <protection locked="true" hidden="false"/>
    </xf>
    <xf numFmtId="164" fontId="133" fillId="0" borderId="0" xfId="0" applyFont="true" applyBorder="false" applyAlignment="true" applyProtection="true">
      <alignment horizontal="center" vertical="center" textRotation="0" wrapText="false" indent="0" shrinkToFit="false"/>
      <protection locked="true" hidden="false"/>
    </xf>
    <xf numFmtId="164" fontId="53" fillId="0" borderId="0" xfId="0" applyFont="true" applyBorder="true" applyAlignment="true" applyProtection="true">
      <alignment horizontal="distributed" vertical="center" textRotation="0" wrapText="false" indent="6" shrinkToFit="false"/>
      <protection locked="true" hidden="false"/>
    </xf>
    <xf numFmtId="164" fontId="53" fillId="0" borderId="0" xfId="0" applyFont="true" applyBorder="true" applyAlignment="true" applyProtection="true">
      <alignment horizontal="distributed" vertical="center" textRotation="0" wrapText="false" indent="7" shrinkToFit="false"/>
      <protection locked="true" hidden="false"/>
    </xf>
    <xf numFmtId="164" fontId="134"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false" applyBorder="true" applyAlignment="true" applyProtection="true">
      <alignment horizontal="general" vertical="center" textRotation="0" wrapText="false" indent="0" shrinkToFit="false"/>
      <protection locked="true" hidden="false"/>
    </xf>
    <xf numFmtId="164" fontId="133" fillId="0" borderId="0" xfId="0" applyFont="true" applyBorder="false" applyAlignment="true" applyProtection="true">
      <alignment horizontal="general" vertical="bottom" textRotation="0" wrapText="false" indent="0" shrinkToFit="false"/>
      <protection locked="true" hidden="false"/>
    </xf>
    <xf numFmtId="164" fontId="135" fillId="0" borderId="0" xfId="0" applyFont="true" applyBorder="false" applyAlignment="true" applyProtection="true">
      <alignment horizontal="general" vertical="center" textRotation="0" wrapText="false" indent="0" shrinkToFit="false"/>
      <protection locked="true" hidden="false"/>
    </xf>
    <xf numFmtId="164" fontId="136" fillId="0" borderId="0" xfId="0" applyFont="true" applyBorder="false" applyAlignment="true" applyProtection="true">
      <alignment horizontal="general" vertical="center" textRotation="0" wrapText="false" indent="0" shrinkToFit="false"/>
      <protection locked="true" hidden="false"/>
    </xf>
    <xf numFmtId="189" fontId="74"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tru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54" fillId="0" borderId="0" xfId="0" applyFont="true" applyBorder="false" applyAlignment="true" applyProtection="true">
      <alignment horizontal="right" vertical="center" textRotation="0" wrapText="false" indent="0" shrinkToFit="false"/>
      <protection locked="true" hidden="false"/>
    </xf>
    <xf numFmtId="190" fontId="74" fillId="0" borderId="0" xfId="0" applyFont="true" applyBorder="false" applyAlignment="true" applyProtection="true">
      <alignment horizontal="left" vertical="center" textRotation="0" wrapText="false" indent="0" shrinkToFit="false"/>
      <protection locked="true" hidden="false"/>
    </xf>
    <xf numFmtId="164" fontId="54" fillId="0" borderId="0" xfId="0" applyFont="true" applyBorder="true" applyAlignment="true" applyProtection="true">
      <alignment horizontal="right" vertical="center" textRotation="0" wrapText="false" indent="0" shrinkToFit="false"/>
      <protection locked="true" hidden="false"/>
    </xf>
    <xf numFmtId="190" fontId="74" fillId="0" borderId="0" xfId="0" applyFont="true" applyBorder="false" applyAlignment="true" applyProtection="true">
      <alignment horizontal="general" vertical="center" textRotation="0" wrapText="false" indent="0" shrinkToFit="false"/>
      <protection locked="true" hidden="false"/>
    </xf>
    <xf numFmtId="191" fontId="74" fillId="0" borderId="0" xfId="0" applyFont="true" applyBorder="false" applyAlignment="true" applyProtection="true">
      <alignment horizontal="general" vertical="center" textRotation="0" wrapText="false" indent="0" shrinkToFit="false"/>
      <protection locked="true" hidden="false"/>
    </xf>
    <xf numFmtId="164" fontId="53" fillId="0" borderId="3" xfId="0" applyFont="true" applyBorder="true" applyAlignment="true" applyProtection="true">
      <alignment horizontal="center" vertical="center" textRotation="0" wrapText="false" indent="0" shrinkToFit="false"/>
      <protection locked="true" hidden="false"/>
    </xf>
    <xf numFmtId="164" fontId="53" fillId="0" borderId="32" xfId="0" applyFont="true" applyBorder="true" applyAlignment="true" applyProtection="true">
      <alignment horizontal="center" vertical="center" textRotation="0" wrapText="false" indent="0" shrinkToFit="false"/>
      <protection locked="true" hidden="false"/>
    </xf>
    <xf numFmtId="192" fontId="74" fillId="0" borderId="86" xfId="0" applyFont="true" applyBorder="true" applyAlignment="true" applyProtection="true">
      <alignment horizontal="left" vertical="center" textRotation="0" wrapText="false" indent="0" shrinkToFit="false"/>
      <protection locked="true" hidden="false"/>
    </xf>
    <xf numFmtId="164" fontId="53" fillId="0" borderId="32" xfId="0" applyFont="true" applyBorder="true" applyAlignment="true" applyProtection="true">
      <alignment horizontal="right" vertical="center" textRotation="0" wrapText="false" indent="1" shrinkToFit="false"/>
      <protection locked="true" hidden="false"/>
    </xf>
    <xf numFmtId="193" fontId="137" fillId="0" borderId="27" xfId="0" applyFont="true" applyBorder="true" applyAlignment="true" applyProtection="true">
      <alignment horizontal="left" vertical="center" textRotation="0" wrapText="false" indent="0" shrinkToFit="false"/>
      <protection locked="true" hidden="false"/>
    </xf>
    <xf numFmtId="164" fontId="53" fillId="0" borderId="32" xfId="0" applyFont="true" applyBorder="true" applyAlignment="true" applyProtection="true">
      <alignment horizontal="right" vertical="center" textRotation="0" wrapText="false" indent="0" shrinkToFit="false"/>
      <protection locked="true" hidden="false"/>
    </xf>
    <xf numFmtId="193" fontId="74" fillId="0" borderId="27" xfId="0" applyFont="true" applyBorder="true" applyAlignment="true" applyProtection="true">
      <alignment horizontal="left" vertical="center" textRotation="0" wrapText="false" indent="1" shrinkToFit="false"/>
      <protection locked="true" hidden="false"/>
    </xf>
    <xf numFmtId="164" fontId="53" fillId="0" borderId="3" xfId="0" applyFont="true" applyBorder="true" applyAlignment="true" applyProtection="true">
      <alignment horizontal="distributed" vertical="center" textRotation="0" wrapText="false" indent="1" shrinkToFit="false"/>
      <protection locked="true" hidden="false"/>
    </xf>
    <xf numFmtId="164" fontId="53" fillId="0" borderId="4" xfId="0" applyFont="true" applyBorder="true" applyAlignment="true" applyProtection="true">
      <alignment horizontal="center" vertical="center" textRotation="0" wrapText="false" indent="0" shrinkToFit="false"/>
      <protection locked="true" hidden="false"/>
    </xf>
    <xf numFmtId="194" fontId="53" fillId="0" borderId="3" xfId="0" applyFont="true" applyBorder="true" applyAlignment="true" applyProtection="true">
      <alignment horizontal="center" vertical="center" textRotation="0" wrapText="false" indent="0" shrinkToFit="false"/>
      <protection locked="true" hidden="false"/>
    </xf>
    <xf numFmtId="164" fontId="0" fillId="0" borderId="87" xfId="0" applyFont="false" applyBorder="true" applyAlignment="true" applyProtection="true">
      <alignment horizontal="general" vertical="center" textRotation="0" wrapText="false" indent="0" shrinkToFit="false"/>
      <protection locked="true" hidden="false"/>
    </xf>
    <xf numFmtId="164" fontId="53" fillId="0" borderId="25" xfId="0" applyFont="true" applyBorder="true" applyAlignment="true" applyProtection="true">
      <alignment horizontal="right" vertical="center" textRotation="0" wrapText="false" indent="0" shrinkToFit="false"/>
      <protection locked="true" hidden="false"/>
    </xf>
    <xf numFmtId="195" fontId="74" fillId="0" borderId="16" xfId="0" applyFont="true" applyBorder="true" applyAlignment="true" applyProtection="true">
      <alignment horizontal="left" vertical="center" textRotation="0" wrapText="false" indent="0" shrinkToFit="false"/>
      <protection locked="true" hidden="false"/>
    </xf>
    <xf numFmtId="165" fontId="138" fillId="0" borderId="3" xfId="21" applyFont="true" applyBorder="true" applyAlignment="true" applyProtection="true">
      <alignment horizontal="general" vertical="center" textRotation="0" wrapText="false" indent="0" shrinkToFit="false"/>
      <protection locked="true" hidden="false"/>
    </xf>
    <xf numFmtId="165" fontId="74" fillId="0" borderId="3" xfId="21" applyFont="true" applyBorder="true" applyAlignment="true" applyProtection="true">
      <alignment horizontal="general" vertical="center" textRotation="0" wrapText="false" indent="0" shrinkToFit="false"/>
      <protection locked="true" hidden="false"/>
    </xf>
    <xf numFmtId="164" fontId="139" fillId="0" borderId="3" xfId="0" applyFont="true" applyBorder="true" applyAlignment="true" applyProtection="true">
      <alignment horizontal="center" vertical="center" textRotation="0" wrapText="true" indent="0" shrinkToFit="false"/>
      <protection locked="true" hidden="false"/>
    </xf>
    <xf numFmtId="164" fontId="139" fillId="0" borderId="3" xfId="0" applyFont="true" applyBorder="true" applyAlignment="true" applyProtection="true">
      <alignment horizontal="center" vertical="center" textRotation="0" wrapText="false" indent="0" shrinkToFit="false"/>
      <protection locked="true" hidden="false"/>
    </xf>
    <xf numFmtId="165" fontId="138" fillId="0" borderId="3" xfId="21" applyFont="true" applyBorder="true" applyAlignment="true" applyProtection="true">
      <alignment horizontal="right" vertical="center" textRotation="0" wrapText="false" indent="0" shrinkToFit="false"/>
      <protection locked="true" hidden="false"/>
    </xf>
    <xf numFmtId="165" fontId="74" fillId="0" borderId="0" xfId="21" applyFont="true" applyBorder="true" applyAlignment="true" applyProtection="true">
      <alignment horizontal="general" vertical="center" textRotation="0" wrapText="false" indent="0" shrinkToFit="false"/>
      <protection locked="true" hidden="false"/>
    </xf>
    <xf numFmtId="165" fontId="74" fillId="0" borderId="32" xfId="21" applyFont="true" applyBorder="true" applyAlignment="true" applyProtection="true">
      <alignment horizontal="right" vertical="center" textRotation="0" wrapText="false" indent="0" shrinkToFit="false"/>
      <protection locked="true" hidden="false"/>
    </xf>
    <xf numFmtId="165" fontId="74" fillId="0" borderId="3" xfId="21" applyFont="true" applyBorder="true" applyAlignment="true" applyProtection="true">
      <alignment horizontal="right" vertical="center" textRotation="0" wrapText="false" indent="0" shrinkToFit="false"/>
      <protection locked="true" hidden="false"/>
    </xf>
    <xf numFmtId="165" fontId="140" fillId="25" borderId="3" xfId="21" applyFont="true" applyBorder="true" applyAlignment="true" applyProtection="true">
      <alignment horizontal="general" vertical="center" textRotation="0" wrapText="false" indent="0" shrinkToFit="false"/>
      <protection locked="true" hidden="false"/>
    </xf>
    <xf numFmtId="165" fontId="140" fillId="25" borderId="3" xfId="21" applyFont="true" applyBorder="true" applyAlignment="true" applyProtection="true">
      <alignment horizontal="right" vertical="center" textRotation="0" wrapText="false" indent="0" shrinkToFit="false"/>
      <protection locked="true" hidden="false"/>
    </xf>
    <xf numFmtId="183" fontId="74" fillId="0" borderId="3" xfId="21" applyFont="true" applyBorder="true" applyAlignment="true" applyProtection="true">
      <alignment horizontal="general" vertical="center" textRotation="0" wrapText="false" indent="0" shrinkToFit="false"/>
      <protection locked="true" hidden="false"/>
    </xf>
    <xf numFmtId="183" fontId="74" fillId="0" borderId="3" xfId="21" applyFont="true" applyBorder="true" applyAlignment="true" applyProtection="true">
      <alignment horizontal="right" vertical="center" textRotation="0" wrapText="false" indent="0" shrinkToFit="false"/>
      <protection locked="true" hidden="false"/>
    </xf>
    <xf numFmtId="164" fontId="53" fillId="0" borderId="32" xfId="0" applyFont="true" applyBorder="true" applyAlignment="true" applyProtection="true">
      <alignment horizontal="general" vertical="center" textRotation="0" wrapText="false" indent="0" shrinkToFit="false"/>
      <protection locked="true" hidden="false"/>
    </xf>
    <xf numFmtId="164" fontId="53" fillId="0" borderId="27" xfId="0" applyFont="true" applyBorder="true" applyAlignment="true" applyProtection="true">
      <alignment horizontal="general" vertical="center" textRotation="0" wrapText="false" indent="0" shrinkToFit="false"/>
      <protection locked="true" hidden="false"/>
    </xf>
    <xf numFmtId="165" fontId="74" fillId="15" borderId="3" xfId="21" applyFont="true" applyBorder="true" applyAlignment="true" applyProtection="true">
      <alignment horizontal="general" vertical="center" textRotation="0" wrapText="false" indent="0" shrinkToFit="false"/>
      <protection locked="true" hidden="false"/>
    </xf>
    <xf numFmtId="165" fontId="74" fillId="15" borderId="0" xfId="21" applyFont="true" applyBorder="true" applyAlignment="true" applyProtection="true">
      <alignment horizontal="general" vertical="center" textRotation="0" wrapText="false" indent="0" shrinkToFit="false"/>
      <protection locked="true" hidden="false"/>
    </xf>
    <xf numFmtId="165" fontId="74" fillId="15" borderId="3" xfId="21" applyFont="true" applyBorder="true" applyAlignment="true" applyProtection="true">
      <alignment horizontal="right" vertical="center" textRotation="0" wrapText="false" indent="0" shrinkToFit="false"/>
      <protection locked="true" hidden="false"/>
    </xf>
    <xf numFmtId="164" fontId="56" fillId="0" borderId="0" xfId="0" applyFont="true" applyBorder="false" applyAlignment="true" applyProtection="true">
      <alignment horizontal="left" vertical="center" textRotation="0" wrapText="false" indent="0" shrinkToFit="false"/>
      <protection locked="true" hidden="false"/>
    </xf>
    <xf numFmtId="164" fontId="58" fillId="0" borderId="0" xfId="0" applyFont="true" applyBorder="false" applyAlignment="true" applyProtection="true">
      <alignment horizontal="left" vertical="center" textRotation="0" wrapText="false" indent="0" shrinkToFit="false"/>
      <protection locked="true" hidden="false"/>
    </xf>
    <xf numFmtId="164" fontId="58" fillId="0" borderId="0" xfId="0" applyFont="true" applyBorder="true" applyAlignment="true" applyProtection="true">
      <alignment horizontal="general" vertical="center" textRotation="0" wrapText="false" indent="0" shrinkToFit="false"/>
      <protection locked="true" hidden="false"/>
    </xf>
    <xf numFmtId="196" fontId="142" fillId="0" borderId="0" xfId="0" applyFont="true" applyBorder="true" applyAlignment="true" applyProtection="true">
      <alignment horizontal="left" vertical="center" textRotation="0" wrapText="false" indent="1" shrinkToFit="true"/>
      <protection locked="true" hidden="false"/>
    </xf>
    <xf numFmtId="197" fontId="56" fillId="0" borderId="0" xfId="0" applyFont="true" applyBorder="false" applyAlignment="true" applyProtection="true">
      <alignment horizontal="general" vertical="center" textRotation="0" wrapText="false" indent="0" shrinkToFit="false"/>
      <protection locked="true" hidden="false"/>
    </xf>
    <xf numFmtId="197" fontId="141" fillId="0" borderId="0" xfId="0" applyFont="true" applyBorder="false" applyAlignment="true" applyProtection="true">
      <alignment horizontal="general" vertical="center" textRotation="0" wrapText="true" indent="0" shrinkToFit="false"/>
      <protection locked="true" hidden="false"/>
    </xf>
    <xf numFmtId="164" fontId="53" fillId="0" borderId="0" xfId="0" applyFont="true" applyBorder="false" applyAlignment="true" applyProtection="true">
      <alignment horizontal="general" vertical="center" textRotation="0" wrapText="false" indent="0" shrinkToFit="false"/>
      <protection locked="true" hidden="false"/>
    </xf>
    <xf numFmtId="164" fontId="53" fillId="0" borderId="3" xfId="0" applyFont="true" applyBorder="true" applyAlignment="true" applyProtection="true">
      <alignment horizontal="distributed" vertical="center" textRotation="0" wrapText="false" indent="2" shrinkToFit="false"/>
      <protection locked="true" hidden="false"/>
    </xf>
    <xf numFmtId="164" fontId="53" fillId="0" borderId="27" xfId="0" applyFont="true" applyBorder="true" applyAlignment="true" applyProtection="true">
      <alignment horizontal="distributed" vertical="center" textRotation="0" wrapText="false" indent="1" shrinkToFit="false"/>
      <protection locked="true" hidden="false"/>
    </xf>
    <xf numFmtId="164" fontId="53" fillId="0" borderId="27" xfId="0" applyFont="true" applyBorder="true" applyAlignment="true" applyProtection="true">
      <alignment horizontal="center" vertical="center" textRotation="0" wrapText="false" indent="0" shrinkToFit="false"/>
      <protection locked="true" hidden="false"/>
    </xf>
    <xf numFmtId="164" fontId="53" fillId="0" borderId="16" xfId="0" applyFont="true" applyBorder="true" applyAlignment="true" applyProtection="true">
      <alignment horizontal="center" vertical="center" textRotation="0" wrapText="false" indent="0" shrinkToFit="false"/>
      <protection locked="true" hidden="false"/>
    </xf>
    <xf numFmtId="164" fontId="53" fillId="0" borderId="5" xfId="0" applyFont="true" applyBorder="true" applyAlignment="true" applyProtection="true">
      <alignment horizontal="center" vertical="center" textRotation="0" wrapText="false" indent="0" shrinkToFit="false"/>
      <protection locked="true" hidden="false"/>
    </xf>
    <xf numFmtId="164" fontId="0" fillId="0" borderId="3" xfId="0" applyFont="true" applyBorder="true" applyAlignment="true" applyProtection="true">
      <alignment horizontal="center" vertical="center" textRotation="0" wrapText="false" indent="0" shrinkToFit="false"/>
      <protection locked="true" hidden="false"/>
    </xf>
    <xf numFmtId="164" fontId="0" fillId="0" borderId="3" xfId="0" applyFont="false" applyBorder="true" applyAlignment="true" applyProtection="true">
      <alignment horizontal="general" vertical="center" textRotation="0" wrapText="false" indent="0" shrinkToFit="false"/>
      <protection locked="true" hidden="false"/>
    </xf>
    <xf numFmtId="165" fontId="0" fillId="0" borderId="3" xfId="21" applyFont="true" applyBorder="true" applyAlignment="true" applyProtection="true">
      <alignment horizontal="right" vertical="center" textRotation="0" wrapText="false" indent="0" shrinkToFit="false"/>
      <protection locked="true" hidden="false"/>
    </xf>
    <xf numFmtId="165" fontId="0" fillId="0" borderId="3" xfId="21" applyFont="true" applyBorder="true" applyAlignment="true" applyProtection="true">
      <alignment horizontal="general" vertical="center" textRotation="0" wrapText="false" indent="0" shrinkToFit="false"/>
      <protection locked="true" hidden="false"/>
    </xf>
    <xf numFmtId="174" fontId="0" fillId="0" borderId="3" xfId="0" applyFont="false" applyBorder="true" applyAlignment="true" applyProtection="true">
      <alignment horizontal="general" vertical="center" textRotation="0" wrapText="false" indent="0" shrinkToFit="false"/>
      <protection locked="true" hidden="false"/>
    </xf>
    <xf numFmtId="174" fontId="74" fillId="0" borderId="3" xfId="0" applyFont="true" applyBorder="true" applyAlignment="true" applyProtection="true">
      <alignment horizontal="general" vertical="center" textRotation="0" wrapText="false" indent="0" shrinkToFit="false"/>
      <protection locked="true" hidden="false"/>
    </xf>
    <xf numFmtId="198" fontId="74" fillId="0" borderId="0" xfId="0" applyFont="true" applyBorder="false" applyAlignment="true" applyProtection="true">
      <alignment horizontal="left" vertical="center" textRotation="0" wrapText="false" indent="0" shrinkToFit="false"/>
      <protection locked="true" hidden="false"/>
    </xf>
    <xf numFmtId="199" fontId="74" fillId="0" borderId="24" xfId="0" applyFont="true" applyBorder="true" applyAlignment="true" applyProtection="true">
      <alignment horizontal="general" vertical="center" textRotation="0" wrapText="false" indent="0" shrinkToFit="false"/>
      <protection locked="true" hidden="false"/>
    </xf>
    <xf numFmtId="177" fontId="74" fillId="0" borderId="24" xfId="0" applyFont="true" applyBorder="true" applyAlignment="true" applyProtection="true">
      <alignment horizontal="general" vertical="center" textRotation="0" wrapText="false" indent="0" shrinkToFit="false"/>
      <protection locked="true" hidden="false"/>
    </xf>
    <xf numFmtId="177" fontId="0" fillId="0" borderId="0" xfId="0" applyFont="false" applyBorder="false" applyAlignment="true" applyProtection="true">
      <alignment horizontal="general" vertical="center" textRotation="0" wrapText="false" indent="0" shrinkToFit="false"/>
      <protection locked="true" hidden="false"/>
    </xf>
    <xf numFmtId="177" fontId="143" fillId="0" borderId="0" xfId="0" applyFont="true" applyBorder="false" applyAlignment="true" applyProtection="true">
      <alignment horizontal="left" vertical="center" textRotation="0" wrapText="false" indent="0" shrinkToFit="false"/>
      <protection locked="true" hidden="false"/>
    </xf>
    <xf numFmtId="200" fontId="74" fillId="0" borderId="0" xfId="0" applyFont="true" applyBorder="false" applyAlignment="true" applyProtection="true">
      <alignment horizontal="general" vertical="center" textRotation="0" wrapText="false" indent="0" shrinkToFit="false"/>
      <protection locked="true" hidden="false"/>
    </xf>
    <xf numFmtId="201" fontId="74" fillId="0" borderId="27" xfId="0" applyFont="true" applyBorder="true" applyAlignment="true" applyProtection="true">
      <alignment horizontal="left" vertical="center" textRotation="0" wrapText="false" indent="0" shrinkToFit="false"/>
      <protection locked="true" hidden="false"/>
    </xf>
    <xf numFmtId="201" fontId="74" fillId="0" borderId="27" xfId="0" applyFont="true" applyBorder="true" applyAlignment="true" applyProtection="true">
      <alignment horizontal="left" vertical="center" textRotation="0" wrapText="false" indent="1" shrinkToFit="false"/>
      <protection locked="true" hidden="false"/>
    </xf>
    <xf numFmtId="202" fontId="74" fillId="0" borderId="0" xfId="0" applyFont="true" applyBorder="false" applyAlignment="true" applyProtection="true">
      <alignment horizontal="left" vertical="center" textRotation="0" wrapText="false" indent="0" shrinkToFit="false"/>
      <protection locked="true" hidden="false"/>
    </xf>
    <xf numFmtId="202" fontId="74" fillId="0" borderId="0" xfId="0" applyFont="true" applyBorder="false" applyAlignment="true" applyProtection="true">
      <alignment horizontal="general" vertical="center" textRotation="0" wrapText="false" indent="0" shrinkToFit="false"/>
      <protection locked="true" hidden="false"/>
    </xf>
    <xf numFmtId="203" fontId="74" fillId="0" borderId="0" xfId="0" applyFont="true" applyBorder="false" applyAlignment="true" applyProtection="true">
      <alignment horizontal="general" vertical="center" textRotation="0" wrapText="false" indent="0" shrinkToFit="false"/>
      <protection locked="true" hidden="false"/>
    </xf>
    <xf numFmtId="165" fontId="140" fillId="15" borderId="3" xfId="21" applyFont="true" applyBorder="true" applyAlignment="true" applyProtection="true">
      <alignment horizontal="general" vertical="center" textRotation="0" wrapText="false" indent="0" shrinkToFit="false"/>
      <protection locked="true" hidden="false"/>
    </xf>
    <xf numFmtId="165" fontId="137" fillId="0" borderId="3" xfId="21" applyFont="true" applyBorder="true" applyAlignment="true" applyProtection="true">
      <alignment horizontal="right" vertical="center" textRotation="0" wrapText="false" indent="0" shrinkToFit="false"/>
      <protection locked="true" hidden="false"/>
    </xf>
    <xf numFmtId="165" fontId="140" fillId="15" borderId="3" xfId="21" applyFont="true" applyBorder="true" applyAlignment="true" applyProtection="true">
      <alignment horizontal="right" vertical="center" textRotation="0" wrapText="false" indent="0" shrinkToFit="false"/>
      <protection locked="true" hidden="false"/>
    </xf>
    <xf numFmtId="204" fontId="74" fillId="0" borderId="0" xfId="0" applyFont="true" applyBorder="false" applyAlignment="true" applyProtection="true">
      <alignment horizontal="left" vertical="center" textRotation="0" wrapText="false" indent="0" shrinkToFit="false"/>
      <protection locked="true" hidden="false"/>
    </xf>
    <xf numFmtId="204" fontId="74" fillId="0" borderId="0" xfId="0" applyFont="true" applyBorder="false" applyAlignment="true" applyProtection="true">
      <alignment horizontal="general" vertical="center" textRotation="0" wrapText="false" indent="0" shrinkToFit="false"/>
      <protection locked="true" hidden="false"/>
    </xf>
    <xf numFmtId="182" fontId="74" fillId="0" borderId="0" xfId="0" applyFont="true" applyBorder="false" applyAlignment="true" applyProtection="true">
      <alignment horizontal="left" vertical="center" textRotation="0" wrapText="false" indent="0" shrinkToFit="false"/>
      <protection locked="true" hidden="false"/>
    </xf>
    <xf numFmtId="164" fontId="144" fillId="15" borderId="0" xfId="0" applyFont="true" applyBorder="false" applyAlignment="true" applyProtection="true">
      <alignment horizontal="general" vertical="center" textRotation="0" wrapText="false" indent="0" shrinkToFit="false"/>
      <protection locked="true" hidden="false"/>
    </xf>
    <xf numFmtId="165" fontId="146" fillId="15" borderId="3" xfId="21" applyFont="true" applyBorder="true" applyAlignment="true" applyProtection="true">
      <alignment horizontal="general" vertical="center" textRotation="0" wrapText="false" indent="0" shrinkToFit="false"/>
      <protection locked="true" hidden="false"/>
    </xf>
    <xf numFmtId="165" fontId="146" fillId="0" borderId="3" xfId="21" applyFont="true" applyBorder="true" applyAlignment="true" applyProtection="true">
      <alignment horizontal="right" vertical="center" textRotation="0" wrapText="false" indent="0" shrinkToFit="false"/>
      <protection locked="true" hidden="false"/>
    </xf>
    <xf numFmtId="165" fontId="146" fillId="15" borderId="3" xfId="21" applyFont="true" applyBorder="true" applyAlignment="true" applyProtection="true">
      <alignment horizontal="right" vertical="center" textRotation="0" wrapText="false" indent="0" shrinkToFit="false"/>
      <protection locked="true" hidden="false"/>
    </xf>
    <xf numFmtId="205" fontId="74" fillId="0" borderId="0" xfId="0" applyFont="true" applyBorder="false" applyAlignment="true" applyProtection="true">
      <alignment horizontal="general" vertical="center" textRotation="0" wrapText="false" indent="0" shrinkToFit="false"/>
      <protection locked="true" hidden="false"/>
    </xf>
    <xf numFmtId="165" fontId="74" fillId="0" borderId="3" xfId="0" applyFont="true" applyBorder="true" applyAlignment="true" applyProtection="true">
      <alignment horizontal="general" vertical="center" textRotation="0" wrapText="false" indent="0" shrinkToFit="false"/>
      <protection locked="true" hidden="false"/>
    </xf>
    <xf numFmtId="164" fontId="74" fillId="0" borderId="3"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74" fontId="74" fillId="0" borderId="0" xfId="0" applyFont="true" applyBorder="true" applyAlignment="true" applyProtection="true">
      <alignment horizontal="general" vertical="center" textRotation="0" wrapText="false" indent="0" shrinkToFit="false"/>
      <protection locked="true" hidden="false"/>
    </xf>
    <xf numFmtId="165" fontId="74" fillId="0" borderId="0" xfId="21" applyFont="true" applyBorder="true" applyAlignment="true" applyProtection="true">
      <alignment horizontal="right" vertical="center" textRotation="0" wrapText="false" indent="0" shrinkToFit="false"/>
      <protection locked="true" hidden="false"/>
    </xf>
    <xf numFmtId="174" fontId="74" fillId="0" borderId="0" xfId="0" applyFont="true" applyBorder="false" applyAlignment="true" applyProtection="true">
      <alignment horizontal="general" vertical="bottom" textRotation="0" wrapText="false" indent="0" shrinkToFit="false"/>
      <protection locked="true" hidden="false"/>
    </xf>
    <xf numFmtId="164" fontId="147" fillId="0" borderId="0" xfId="0" applyFont="true" applyBorder="false" applyAlignment="true" applyProtection="true">
      <alignment horizontal="general" vertical="bottom" textRotation="0" wrapText="false" indent="0" shrinkToFit="false"/>
      <protection locked="true" hidden="false"/>
    </xf>
    <xf numFmtId="164" fontId="53" fillId="0" borderId="11" xfId="0" applyFont="true" applyBorder="true" applyAlignment="true" applyProtection="true">
      <alignment horizontal="center" vertical="center" textRotation="0" wrapText="false" indent="0" shrinkToFit="false"/>
      <protection locked="true" hidden="false"/>
    </xf>
    <xf numFmtId="164" fontId="53" fillId="0" borderId="39" xfId="0" applyFont="true" applyBorder="true" applyAlignment="true" applyProtection="true">
      <alignment horizontal="center" vertical="center" textRotation="0" wrapText="false" indent="0" shrinkToFit="false"/>
      <protection locked="true" hidden="false"/>
    </xf>
    <xf numFmtId="164" fontId="53" fillId="0" borderId="72" xfId="0" applyFont="true" applyBorder="true" applyAlignment="true" applyProtection="true">
      <alignment horizontal="center" vertical="center" textRotation="0" wrapText="false" indent="0" shrinkToFit="false"/>
      <protection locked="true" hidden="false"/>
    </xf>
    <xf numFmtId="182" fontId="74" fillId="0" borderId="44" xfId="0" applyFont="true" applyBorder="true" applyAlignment="true" applyProtection="true">
      <alignment horizontal="center" vertical="bottom" textRotation="0" wrapText="false" indent="0" shrinkToFit="false"/>
      <protection locked="true" hidden="false"/>
    </xf>
    <xf numFmtId="206" fontId="0" fillId="0" borderId="17" xfId="0" applyFont="true" applyBorder="true" applyAlignment="true" applyProtection="true">
      <alignment horizontal="general" vertical="bottom" textRotation="0" wrapText="false" indent="0" shrinkToFit="false"/>
      <protection locked="true" hidden="false"/>
    </xf>
    <xf numFmtId="165" fontId="0" fillId="0" borderId="0" xfId="20" applyFont="true" applyBorder="true" applyAlignment="true" applyProtection="true">
      <alignment horizontal="general" vertical="bottom" textRotation="0" wrapText="false" indent="0" shrinkToFit="false"/>
      <protection locked="true" hidden="false"/>
    </xf>
    <xf numFmtId="165" fontId="74" fillId="12" borderId="0" xfId="20" applyFont="true" applyBorder="true" applyAlignment="true" applyProtection="true">
      <alignment horizontal="general" vertical="bottom" textRotation="0" wrapText="false" indent="0" shrinkToFit="false"/>
      <protection locked="true" hidden="false"/>
    </xf>
    <xf numFmtId="182" fontId="74" fillId="0" borderId="14" xfId="0" applyFont="true" applyBorder="true" applyAlignment="true" applyProtection="true">
      <alignment horizontal="center" vertical="bottom" textRotation="0" wrapText="false" indent="0" shrinkToFit="false"/>
      <protection locked="true" hidden="false"/>
    </xf>
    <xf numFmtId="165" fontId="0" fillId="0" borderId="23" xfId="20" applyFont="true" applyBorder="true" applyAlignment="true" applyProtection="true">
      <alignment horizontal="right" vertical="bottom" textRotation="0" wrapText="false" indent="0" shrinkToFit="false"/>
      <protection locked="true" hidden="false"/>
    </xf>
    <xf numFmtId="165" fontId="74" fillId="0" borderId="0" xfId="20" applyFont="true" applyBorder="true" applyAlignment="true" applyProtection="true">
      <alignment horizontal="right" vertical="bottom" textRotation="0" wrapText="false" indent="0" shrinkToFit="false"/>
      <protection locked="true" hidden="false"/>
    </xf>
    <xf numFmtId="165" fontId="74" fillId="0" borderId="0" xfId="0" applyFont="true" applyBorder="true" applyAlignment="true" applyProtection="true">
      <alignment horizontal="general" vertical="bottom" textRotation="0" wrapText="false" indent="0" shrinkToFit="false"/>
      <protection locked="true" hidden="false"/>
    </xf>
    <xf numFmtId="165" fontId="0" fillId="0" borderId="17" xfId="20" applyFont="true" applyBorder="true" applyAlignment="true" applyProtection="true">
      <alignment horizontal="right" vertical="bottom" textRotation="0" wrapText="false" indent="0" shrinkToFit="false"/>
      <protection locked="true" hidden="false"/>
    </xf>
    <xf numFmtId="165" fontId="0" fillId="0" borderId="0" xfId="20" applyFont="true" applyBorder="true" applyAlignment="true" applyProtection="true">
      <alignment horizontal="right" vertical="bottom" textRotation="0" wrapText="false" indent="0" shrinkToFit="false"/>
      <protection locked="true" hidden="false"/>
    </xf>
    <xf numFmtId="165" fontId="74" fillId="0" borderId="0" xfId="0" applyFont="true" applyBorder="true" applyAlignment="true" applyProtection="true">
      <alignment horizontal="right" vertical="bottom" textRotation="0" wrapText="false" indent="0" shrinkToFit="false"/>
      <protection locked="true" hidden="false"/>
    </xf>
    <xf numFmtId="182" fontId="74" fillId="0" borderId="26" xfId="0" applyFont="true" applyBorder="true" applyAlignment="true" applyProtection="true">
      <alignment horizontal="center" vertical="bottom" textRotation="0" wrapText="false" indent="0" shrinkToFit="false"/>
      <protection locked="true" hidden="false"/>
    </xf>
    <xf numFmtId="165" fontId="74" fillId="0" borderId="17" xfId="20" applyFont="true" applyBorder="true" applyAlignment="true" applyProtection="true">
      <alignment horizontal="right" vertical="center" textRotation="0" wrapText="false" indent="0" shrinkToFit="false"/>
      <protection locked="true" hidden="false"/>
    </xf>
    <xf numFmtId="165" fontId="0" fillId="0" borderId="0" xfId="20" applyFont="true" applyBorder="true" applyAlignment="true" applyProtection="true">
      <alignment horizontal="right" vertical="center" textRotation="0" wrapText="false" indent="0" shrinkToFit="false"/>
      <protection locked="true" hidden="false"/>
    </xf>
    <xf numFmtId="165" fontId="0" fillId="0" borderId="29" xfId="20" applyFont="true" applyBorder="true" applyAlignment="true" applyProtection="true">
      <alignment horizontal="general" vertical="bottom" textRotation="0" wrapText="false" indent="0" shrinkToFit="false"/>
      <protection locked="true" hidden="false"/>
    </xf>
    <xf numFmtId="165" fontId="0" fillId="0" borderId="29" xfId="20" applyFont="true" applyBorder="true" applyAlignment="true" applyProtection="true">
      <alignment horizontal="right" vertical="bottom" textRotation="0" wrapText="false" indent="0" shrinkToFit="false"/>
      <protection locked="true" hidden="false"/>
    </xf>
    <xf numFmtId="182" fontId="74" fillId="0" borderId="67" xfId="0" applyFont="true" applyBorder="true" applyAlignment="true" applyProtection="true">
      <alignment horizontal="center" vertical="bottom" textRotation="0" wrapText="false" indent="0" shrinkToFit="false"/>
      <protection locked="true" hidden="false"/>
    </xf>
    <xf numFmtId="165" fontId="74" fillId="0" borderId="45" xfId="20" applyFont="true" applyBorder="true" applyAlignment="true" applyProtection="true">
      <alignment horizontal="right" vertical="center" textRotation="0" wrapText="false" indent="0" shrinkToFit="false"/>
      <protection locked="true" hidden="false"/>
    </xf>
    <xf numFmtId="165" fontId="74" fillId="0" borderId="36" xfId="20" applyFont="true" applyBorder="true" applyAlignment="true" applyProtection="true">
      <alignment horizontal="right" vertical="center" textRotation="0" wrapText="false" indent="0" shrinkToFit="false"/>
      <protection locked="true" hidden="false"/>
    </xf>
    <xf numFmtId="182" fontId="74" fillId="0" borderId="159" xfId="0" applyFont="true" applyBorder="true" applyAlignment="true" applyProtection="true">
      <alignment horizontal="center" vertical="bottom" textRotation="0" wrapText="false" indent="0" shrinkToFit="false"/>
      <protection locked="true" hidden="false"/>
    </xf>
    <xf numFmtId="165" fontId="0" fillId="0" borderId="160" xfId="20" applyFont="true" applyBorder="true" applyAlignment="true" applyProtection="true">
      <alignment horizontal="general" vertical="bottom" textRotation="0" wrapText="false" indent="0" shrinkToFit="false"/>
      <protection locked="true" hidden="false"/>
    </xf>
    <xf numFmtId="165" fontId="0" fillId="0" borderId="160" xfId="20" applyFont="true" applyBorder="true" applyAlignment="true" applyProtection="true">
      <alignment horizontal="right" vertical="bottom" textRotation="0" wrapText="false" indent="0" shrinkToFit="false"/>
      <protection locked="true" hidden="false"/>
    </xf>
    <xf numFmtId="165" fontId="146" fillId="0" borderId="0" xfId="20" applyFont="true" applyBorder="true" applyAlignment="true" applyProtection="true">
      <alignment horizontal="right" vertical="bottom" textRotation="0" wrapText="false" indent="0" shrinkToFit="false"/>
      <protection locked="true" hidden="false"/>
    </xf>
    <xf numFmtId="165" fontId="0" fillId="0" borderId="161" xfId="20" applyFont="true" applyBorder="true" applyAlignment="true" applyProtection="true">
      <alignment horizontal="right" vertical="bottom" textRotation="0" wrapText="false" indent="0" shrinkToFit="false"/>
      <protection locked="true" hidden="false"/>
    </xf>
    <xf numFmtId="182" fontId="74" fillId="0" borderId="162" xfId="0" applyFont="true" applyBorder="true" applyAlignment="true" applyProtection="true">
      <alignment horizontal="center" vertical="bottom" textRotation="0" wrapText="false" indent="0" shrinkToFit="false"/>
      <protection locked="true" hidden="false"/>
    </xf>
    <xf numFmtId="165" fontId="0" fillId="0" borderId="36" xfId="20" applyFont="true" applyBorder="true" applyAlignment="true" applyProtection="true">
      <alignment horizontal="right" vertical="bottom" textRotation="0" wrapText="false" indent="0" shrinkToFit="false"/>
      <protection locked="true" hidden="false"/>
    </xf>
    <xf numFmtId="165" fontId="74" fillId="0" borderId="161" xfId="20" applyFont="true" applyBorder="true" applyAlignment="true" applyProtection="true">
      <alignment horizontal="right" vertical="center" textRotation="0" wrapText="false" indent="0" shrinkToFit="false"/>
      <protection locked="true" hidden="false"/>
    </xf>
    <xf numFmtId="177" fontId="53" fillId="0" borderId="59" xfId="0" applyFont="true" applyBorder="true" applyAlignment="true" applyProtection="true">
      <alignment horizontal="center" vertical="bottom" textRotation="0" wrapText="false" indent="0" shrinkToFit="false"/>
      <protection locked="true" hidden="false"/>
    </xf>
    <xf numFmtId="165" fontId="74" fillId="12" borderId="60" xfId="20" applyFont="true" applyBorder="true" applyAlignment="true" applyProtection="true">
      <alignment horizontal="general" vertical="bottom" textRotation="0" wrapText="false" indent="0" shrinkToFit="false"/>
      <protection locked="true" hidden="false"/>
    </xf>
    <xf numFmtId="177" fontId="53" fillId="0" borderId="163" xfId="0" applyFont="true" applyBorder="true" applyAlignment="true" applyProtection="true">
      <alignment horizontal="center" vertical="bottom" textRotation="0" wrapText="false" indent="0" shrinkToFit="false"/>
      <protection locked="true" hidden="false"/>
    </xf>
    <xf numFmtId="165" fontId="74" fillId="0" borderId="60" xfId="20" applyFont="true" applyBorder="true" applyAlignment="true" applyProtection="true">
      <alignment horizontal="right" vertical="bottom" textRotation="0" wrapText="false" indent="0" shrinkToFit="false"/>
      <protection locked="true" hidden="false"/>
    </xf>
    <xf numFmtId="165" fontId="74" fillId="12" borderId="0" xfId="20" applyFont="true" applyBorder="true" applyAlignment="true" applyProtection="true">
      <alignment horizontal="right" vertical="bottom" textRotation="0" wrapText="false" indent="0" shrinkToFit="false"/>
      <protection locked="true" hidden="false"/>
    </xf>
    <xf numFmtId="165" fontId="74" fillId="0" borderId="164" xfId="20" applyFont="true" applyBorder="true" applyAlignment="true" applyProtection="true">
      <alignment horizontal="right" vertical="bottom" textRotation="0" wrapText="false" indent="0" shrinkToFit="false"/>
      <protection locked="true" hidden="false"/>
    </xf>
    <xf numFmtId="177" fontId="53" fillId="0" borderId="165" xfId="0" applyFont="true" applyBorder="true" applyAlignment="true" applyProtection="true">
      <alignment horizontal="center" vertical="bottom" textRotation="0" wrapText="false" indent="0" shrinkToFit="false"/>
      <protection locked="true" hidden="false"/>
    </xf>
    <xf numFmtId="165" fontId="74" fillId="0" borderId="60" xfId="21" applyFont="true" applyBorder="true" applyAlignment="true" applyProtection="true">
      <alignment horizontal="right" vertical="center" textRotation="0" wrapText="false" indent="0" shrinkToFit="false"/>
      <protection locked="true" hidden="false"/>
    </xf>
    <xf numFmtId="164" fontId="74"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82" fontId="52" fillId="22" borderId="0" xfId="0" applyFont="true" applyBorder="false" applyAlignment="true" applyProtection="true">
      <alignment horizontal="right" vertical="center" textRotation="0" wrapText="false" indent="0" shrinkToFit="false"/>
      <protection locked="true" hidden="false"/>
    </xf>
    <xf numFmtId="164" fontId="53" fillId="22" borderId="0" xfId="0" applyFont="true" applyBorder="false" applyAlignment="true" applyProtection="true">
      <alignment horizontal="left" vertical="center" textRotation="0" wrapText="false" indent="0" shrinkToFit="false"/>
      <protection locked="true" hidden="false"/>
    </xf>
    <xf numFmtId="164" fontId="56" fillId="0" borderId="3" xfId="0" applyFont="true" applyBorder="true" applyAlignment="true" applyProtection="true">
      <alignment horizontal="center" vertical="center" textRotation="0" wrapText="true" indent="0" shrinkToFit="false"/>
      <protection locked="true" hidden="false"/>
    </xf>
    <xf numFmtId="164" fontId="95" fillId="0" borderId="0" xfId="0" applyFont="true" applyBorder="false" applyAlignment="true" applyProtection="true">
      <alignment horizontal="general" vertical="bottom" textRotation="0" wrapText="true" indent="0" shrinkToFit="false"/>
      <protection locked="true" hidden="false"/>
    </xf>
    <xf numFmtId="164" fontId="48" fillId="0" borderId="0" xfId="0" applyFont="true" applyBorder="false" applyAlignment="true" applyProtection="true">
      <alignment horizontal="general" vertical="bottom" textRotation="0" wrapText="false" indent="0" shrinkToFit="true"/>
      <protection locked="true" hidden="false"/>
    </xf>
    <xf numFmtId="164" fontId="75" fillId="15" borderId="0" xfId="0" applyFont="true" applyBorder="false" applyAlignment="true" applyProtection="true">
      <alignment horizontal="general" vertical="bottom" textRotation="0" wrapText="false" indent="0" shrinkToFit="false"/>
      <protection locked="true" hidden="false"/>
    </xf>
    <xf numFmtId="164" fontId="48" fillId="15" borderId="0" xfId="0" applyFont="true" applyBorder="false" applyAlignment="true" applyProtection="true">
      <alignment horizontal="general" vertical="bottom" textRotation="0" wrapText="false" indent="0" shrinkToFit="false"/>
      <protection locked="true" hidden="false"/>
    </xf>
    <xf numFmtId="207" fontId="151" fillId="12" borderId="3" xfId="0" applyFont="true" applyBorder="true" applyAlignment="true" applyProtection="true">
      <alignment horizontal="center" vertical="center" textRotation="0" wrapText="true" indent="0" shrinkToFit="false"/>
      <protection locked="true" hidden="false"/>
    </xf>
    <xf numFmtId="164" fontId="151" fillId="12" borderId="3" xfId="0" applyFont="true" applyBorder="true" applyAlignment="true" applyProtection="true">
      <alignment horizontal="center" vertical="center" textRotation="0" wrapText="true" indent="0" shrinkToFit="false"/>
      <protection locked="true" hidden="false"/>
    </xf>
    <xf numFmtId="164" fontId="112" fillId="12" borderId="3" xfId="0" applyFont="true" applyBorder="true" applyAlignment="true" applyProtection="true">
      <alignment horizontal="center" vertical="center" textRotation="0" wrapText="true" indent="0" shrinkToFit="false"/>
      <protection locked="true" hidden="false"/>
    </xf>
    <xf numFmtId="164" fontId="95" fillId="15" borderId="0" xfId="0" applyFont="true" applyBorder="false" applyAlignment="true" applyProtection="true">
      <alignment horizontal="general" vertical="bottom" textRotation="0" wrapText="true" indent="0" shrinkToFit="false"/>
      <protection locked="true" hidden="false"/>
    </xf>
    <xf numFmtId="164" fontId="48" fillId="15" borderId="0" xfId="0" applyFont="true" applyBorder="false" applyAlignment="true" applyProtection="true">
      <alignment horizontal="general" vertical="bottom" textRotation="0" wrapText="false" indent="0" shrinkToFit="true"/>
      <protection locked="true" hidden="false"/>
    </xf>
    <xf numFmtId="164" fontId="152" fillId="0" borderId="0" xfId="0" applyFont="true" applyBorder="false" applyAlignment="true" applyProtection="true">
      <alignment horizontal="right" vertical="bottom" textRotation="0" wrapText="true" indent="0" shrinkToFit="false"/>
      <protection locked="true" hidden="false"/>
    </xf>
    <xf numFmtId="164" fontId="102" fillId="0" borderId="0" xfId="0" applyFont="true" applyBorder="false" applyAlignment="true" applyProtection="true">
      <alignment horizontal="center" vertical="bottom" textRotation="0" wrapText="true" indent="0" shrinkToFit="false"/>
      <protection locked="true" hidden="false"/>
    </xf>
    <xf numFmtId="164" fontId="75"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true"/>
      <protection locked="true" hidden="false"/>
    </xf>
    <xf numFmtId="164" fontId="101" fillId="0" borderId="11" xfId="0" applyFont="true" applyBorder="true" applyAlignment="true" applyProtection="true">
      <alignment horizontal="center" vertical="center" textRotation="0" wrapText="false" indent="0" shrinkToFit="false"/>
      <protection locked="true" hidden="false"/>
    </xf>
    <xf numFmtId="164" fontId="101" fillId="0" borderId="90" xfId="0" applyFont="true" applyBorder="true" applyAlignment="true" applyProtection="true">
      <alignment horizontal="center" vertical="center" textRotation="0" wrapText="false" indent="0" shrinkToFit="false"/>
      <protection locked="true" hidden="false"/>
    </xf>
    <xf numFmtId="164" fontId="56" fillId="0" borderId="9" xfId="0" applyFont="true" applyBorder="true" applyAlignment="true" applyProtection="true">
      <alignment horizontal="center" vertical="center" textRotation="0" wrapText="false" indent="0" shrinkToFit="false"/>
      <protection locked="true" hidden="false"/>
    </xf>
    <xf numFmtId="164" fontId="56" fillId="0" borderId="10" xfId="0" applyFont="true" applyBorder="true" applyAlignment="true" applyProtection="true">
      <alignment horizontal="center" vertical="center" textRotation="0" wrapText="false" indent="0" shrinkToFit="false"/>
      <protection locked="true" hidden="false"/>
    </xf>
    <xf numFmtId="164" fontId="102" fillId="0" borderId="9" xfId="0" applyFont="true" applyBorder="true" applyAlignment="true" applyProtection="true">
      <alignment horizontal="center" vertical="center" textRotation="0" wrapText="false" indent="0" shrinkToFit="false"/>
      <protection locked="true" hidden="false"/>
    </xf>
    <xf numFmtId="164" fontId="56" fillId="15" borderId="39" xfId="0" applyFont="true" applyBorder="true" applyAlignment="true" applyProtection="true">
      <alignment horizontal="center" vertical="center" textRotation="0" wrapText="false" indent="0" shrinkToFit="false"/>
      <protection locked="true" hidden="false"/>
    </xf>
    <xf numFmtId="164" fontId="56" fillId="15" borderId="4" xfId="0" applyFont="true" applyBorder="true" applyAlignment="true" applyProtection="true">
      <alignment horizontal="center" vertical="center" textRotation="0" wrapText="true" indent="0" shrinkToFit="true"/>
      <protection locked="true" hidden="false"/>
    </xf>
    <xf numFmtId="164" fontId="56" fillId="0" borderId="166" xfId="0" applyFont="true" applyBorder="true" applyAlignment="true" applyProtection="true">
      <alignment horizontal="general" vertical="center" textRotation="0" wrapText="true" indent="0" shrinkToFit="false"/>
      <protection locked="true" hidden="false"/>
    </xf>
    <xf numFmtId="174" fontId="57" fillId="0" borderId="167" xfId="0" applyFont="true" applyBorder="true" applyAlignment="true" applyProtection="true">
      <alignment horizontal="general" vertical="bottom" textRotation="0" wrapText="false" indent="0" shrinkToFit="false"/>
      <protection locked="true" hidden="false"/>
    </xf>
    <xf numFmtId="174" fontId="57" fillId="0" borderId="168" xfId="0" applyFont="true" applyBorder="true" applyAlignment="true" applyProtection="true">
      <alignment horizontal="general" vertical="bottom" textRotation="0" wrapText="false" indent="0" shrinkToFit="false"/>
      <protection locked="true" hidden="false"/>
    </xf>
    <xf numFmtId="174" fontId="57" fillId="0" borderId="169" xfId="0" applyFont="true" applyBorder="true" applyAlignment="true" applyProtection="true">
      <alignment horizontal="right" vertical="bottom" textRotation="0" wrapText="false" indent="0" shrinkToFit="false"/>
      <protection locked="true" hidden="false"/>
    </xf>
    <xf numFmtId="174" fontId="54" fillId="0" borderId="169" xfId="0" applyFont="true" applyBorder="true" applyAlignment="true" applyProtection="true">
      <alignment horizontal="center" vertical="center" textRotation="0" wrapText="false" indent="0" shrinkToFit="false"/>
      <protection locked="true" hidden="false"/>
    </xf>
    <xf numFmtId="174" fontId="57" fillId="0" borderId="169" xfId="0" applyFont="true" applyBorder="true" applyAlignment="true" applyProtection="true">
      <alignment horizontal="general" vertical="bottom" textRotation="0" wrapText="false" indent="0" shrinkToFit="false"/>
      <protection locked="true" hidden="false"/>
    </xf>
    <xf numFmtId="174" fontId="57" fillId="0" borderId="170" xfId="0" applyFont="true" applyBorder="true" applyAlignment="true" applyProtection="true">
      <alignment horizontal="right" vertical="bottom" textRotation="0" wrapText="false" indent="0" shrinkToFit="false"/>
      <protection locked="true" hidden="false"/>
    </xf>
    <xf numFmtId="174" fontId="57" fillId="0" borderId="171" xfId="0" applyFont="true" applyBorder="true" applyAlignment="true" applyProtection="true">
      <alignment horizontal="right" vertical="bottom" textRotation="0" wrapText="false" indent="0" shrinkToFit="false"/>
      <protection locked="true" hidden="false"/>
    </xf>
    <xf numFmtId="174" fontId="57" fillId="0" borderId="172" xfId="0" applyFont="true" applyBorder="true" applyAlignment="true" applyProtection="true">
      <alignment horizontal="right" vertical="bottom" textRotation="0" wrapText="false" indent="0" shrinkToFit="true"/>
      <protection locked="true" hidden="false"/>
    </xf>
    <xf numFmtId="164" fontId="154" fillId="0" borderId="22" xfId="0" applyFont="true" applyBorder="true" applyAlignment="true" applyProtection="true">
      <alignment horizontal="right" vertical="bottom" textRotation="0" wrapText="false" indent="0" shrinkToFit="false"/>
      <protection locked="true" hidden="false"/>
    </xf>
    <xf numFmtId="208" fontId="155" fillId="12" borderId="97" xfId="0" applyFont="true" applyBorder="true" applyAlignment="true" applyProtection="true">
      <alignment horizontal="left" vertical="bottom" textRotation="0" wrapText="false" indent="0" shrinkToFit="false"/>
      <protection locked="true" hidden="false"/>
    </xf>
    <xf numFmtId="209" fontId="156" fillId="12" borderId="16" xfId="0" applyFont="true" applyBorder="true" applyAlignment="true" applyProtection="true">
      <alignment horizontal="left" vertical="bottom" textRotation="0" wrapText="false" indent="0" shrinkToFit="false"/>
      <protection locked="true" hidden="false"/>
    </xf>
    <xf numFmtId="209" fontId="156" fillId="12" borderId="173" xfId="0" applyFont="true" applyBorder="true" applyAlignment="true" applyProtection="true">
      <alignment horizontal="left" vertical="bottom" textRotation="0" wrapText="false" indent="0" shrinkToFit="false"/>
      <protection locked="true" hidden="false"/>
    </xf>
    <xf numFmtId="210" fontId="157" fillId="12" borderId="173" xfId="0" applyFont="true" applyBorder="true" applyAlignment="true" applyProtection="true">
      <alignment horizontal="center" vertical="center" textRotation="0" wrapText="false" indent="0" shrinkToFit="false"/>
      <protection locked="true" hidden="false"/>
    </xf>
    <xf numFmtId="210" fontId="156" fillId="12" borderId="173" xfId="0" applyFont="true" applyBorder="true" applyAlignment="true" applyProtection="true">
      <alignment horizontal="left" vertical="bottom" textRotation="0" wrapText="false" indent="0" shrinkToFit="false"/>
      <protection locked="true" hidden="false"/>
    </xf>
    <xf numFmtId="211" fontId="156" fillId="12" borderId="174" xfId="0" applyFont="true" applyBorder="true" applyAlignment="true" applyProtection="true">
      <alignment horizontal="left" vertical="bottom" textRotation="0" wrapText="false" indent="0" shrinkToFit="false"/>
      <protection locked="true" hidden="false"/>
    </xf>
    <xf numFmtId="211" fontId="156" fillId="12" borderId="173" xfId="0" applyFont="true" applyBorder="true" applyAlignment="true" applyProtection="true">
      <alignment horizontal="left" vertical="bottom" textRotation="0" wrapText="false" indent="0" shrinkToFit="false"/>
      <protection locked="true" hidden="false"/>
    </xf>
    <xf numFmtId="211" fontId="156" fillId="12" borderId="175" xfId="0" applyFont="true" applyBorder="true" applyAlignment="true" applyProtection="true">
      <alignment horizontal="left" vertical="bottom" textRotation="0" wrapText="false" indent="0" shrinkToFit="false"/>
      <protection locked="true" hidden="false"/>
    </xf>
    <xf numFmtId="164" fontId="158" fillId="0" borderId="44" xfId="0" applyFont="true" applyBorder="true" applyAlignment="true" applyProtection="true">
      <alignment horizontal="center" vertical="center" textRotation="0" wrapText="false" indent="0" shrinkToFit="false"/>
      <protection locked="true" hidden="false"/>
    </xf>
    <xf numFmtId="211" fontId="155" fillId="0" borderId="173" xfId="0" applyFont="true" applyBorder="true" applyAlignment="true" applyProtection="true">
      <alignment horizontal="left" vertical="bottom" textRotation="0" wrapText="false" indent="0" shrinkToFit="true"/>
      <protection locked="true" hidden="false"/>
    </xf>
    <xf numFmtId="164" fontId="94" fillId="0" borderId="0" xfId="0" applyFont="true" applyBorder="false" applyAlignment="true" applyProtection="true">
      <alignment horizontal="general" vertical="bottom" textRotation="0" wrapText="false" indent="0" shrinkToFit="false"/>
      <protection locked="true" hidden="false"/>
    </xf>
    <xf numFmtId="174" fontId="57" fillId="0" borderId="172" xfId="0" applyFont="true" applyBorder="true" applyAlignment="true" applyProtection="true">
      <alignment horizontal="right" vertical="bottom" textRotation="0" wrapText="false" indent="0" shrinkToFit="false"/>
      <protection locked="true" hidden="false"/>
    </xf>
    <xf numFmtId="174" fontId="54" fillId="0" borderId="176" xfId="0" applyFont="true" applyBorder="true" applyAlignment="true" applyProtection="true">
      <alignment horizontal="center" vertical="center" textRotation="0" wrapText="false" indent="0" shrinkToFit="false"/>
      <protection locked="true" hidden="false"/>
    </xf>
    <xf numFmtId="174" fontId="57" fillId="0" borderId="176" xfId="0" applyFont="true" applyBorder="true" applyAlignment="true" applyProtection="true">
      <alignment horizontal="general" vertical="bottom" textRotation="0" wrapText="false" indent="0" shrinkToFit="false"/>
      <protection locked="true" hidden="false"/>
    </xf>
    <xf numFmtId="174" fontId="57" fillId="0" borderId="168" xfId="0" applyFont="true" applyBorder="true" applyAlignment="true" applyProtection="true">
      <alignment horizontal="right" vertical="bottom" textRotation="0" wrapText="false" indent="0" shrinkToFit="false"/>
      <protection locked="true" hidden="false"/>
    </xf>
    <xf numFmtId="174" fontId="57" fillId="0" borderId="176" xfId="0" applyFont="true" applyBorder="true" applyAlignment="true" applyProtection="true">
      <alignment horizontal="right" vertical="bottom" textRotation="0" wrapText="false" indent="0" shrinkToFit="false"/>
      <protection locked="true" hidden="false"/>
    </xf>
    <xf numFmtId="174" fontId="57" fillId="0" borderId="177" xfId="0" applyFont="true" applyBorder="true" applyAlignment="true" applyProtection="true">
      <alignment horizontal="right" vertical="bottom" textRotation="0" wrapText="false" indent="0" shrinkToFit="false"/>
      <protection locked="true" hidden="false"/>
    </xf>
    <xf numFmtId="174" fontId="57" fillId="0" borderId="176" xfId="0" applyFont="true" applyBorder="true" applyAlignment="true" applyProtection="true">
      <alignment horizontal="right" vertical="bottom" textRotation="0" wrapText="false" indent="0" shrinkToFit="true"/>
      <protection locked="true" hidden="false"/>
    </xf>
    <xf numFmtId="164" fontId="154" fillId="0" borderId="178" xfId="0" applyFont="true" applyBorder="true" applyAlignment="true" applyProtection="true">
      <alignment horizontal="right" vertical="bottom" textRotation="0" wrapText="false" indent="0" shrinkToFit="false"/>
      <protection locked="true" hidden="false"/>
    </xf>
    <xf numFmtId="212" fontId="155" fillId="12" borderId="179" xfId="0" applyFont="true" applyBorder="true" applyAlignment="true" applyProtection="true">
      <alignment horizontal="left" vertical="bottom" textRotation="0" wrapText="false" indent="0" shrinkToFit="false"/>
      <protection locked="true" hidden="false"/>
    </xf>
    <xf numFmtId="212" fontId="155" fillId="12" borderId="180" xfId="0" applyFont="true" applyBorder="true" applyAlignment="true" applyProtection="true">
      <alignment horizontal="left" vertical="bottom" textRotation="0" wrapText="false" indent="0" shrinkToFit="false"/>
      <protection locked="true" hidden="false"/>
    </xf>
    <xf numFmtId="212" fontId="155" fillId="12" borderId="181" xfId="0" applyFont="true" applyBorder="true" applyAlignment="true" applyProtection="true">
      <alignment horizontal="left" vertical="bottom" textRotation="0" wrapText="false" indent="0" shrinkToFit="false"/>
      <protection locked="true" hidden="false"/>
    </xf>
    <xf numFmtId="213" fontId="54" fillId="12" borderId="5" xfId="0" applyFont="true" applyBorder="true" applyAlignment="true" applyProtection="true">
      <alignment horizontal="center" vertical="center" textRotation="0" wrapText="false" indent="0" shrinkToFit="false"/>
      <protection locked="true" hidden="false"/>
    </xf>
    <xf numFmtId="213" fontId="155" fillId="12" borderId="5" xfId="0" applyFont="true" applyBorder="true" applyAlignment="true" applyProtection="true">
      <alignment horizontal="left" vertical="bottom" textRotation="0" wrapText="false" indent="0" shrinkToFit="false"/>
      <protection locked="true" hidden="false"/>
    </xf>
    <xf numFmtId="214" fontId="155" fillId="12" borderId="174" xfId="0" applyFont="true" applyBorder="true" applyAlignment="true" applyProtection="true">
      <alignment horizontal="left" vertical="bottom" textRotation="0" wrapText="false" indent="0" shrinkToFit="false"/>
      <protection locked="true" hidden="false"/>
    </xf>
    <xf numFmtId="215" fontId="155" fillId="12" borderId="173" xfId="0" applyFont="true" applyBorder="true" applyAlignment="true" applyProtection="true">
      <alignment horizontal="left" vertical="bottom" textRotation="0" wrapText="false" indent="0" shrinkToFit="false"/>
      <protection locked="true" hidden="false"/>
    </xf>
    <xf numFmtId="214" fontId="155" fillId="12" borderId="175" xfId="0" applyFont="true" applyBorder="true" applyAlignment="true" applyProtection="true">
      <alignment horizontal="left" vertical="bottom" textRotation="0" wrapText="false" indent="0" shrinkToFit="false"/>
      <protection locked="true" hidden="false"/>
    </xf>
    <xf numFmtId="214" fontId="155" fillId="0" borderId="173" xfId="0" applyFont="true" applyBorder="true" applyAlignment="true" applyProtection="true">
      <alignment horizontal="left" vertical="bottom" textRotation="0" wrapText="false" indent="0" shrinkToFit="true"/>
      <protection locked="true" hidden="false"/>
    </xf>
    <xf numFmtId="164" fontId="99" fillId="0" borderId="59" xfId="0" applyFont="true" applyBorder="true" applyAlignment="true" applyProtection="true">
      <alignment horizontal="center" vertical="bottom" textRotation="0" wrapText="false" indent="0" shrinkToFit="false"/>
      <protection locked="true" hidden="false"/>
    </xf>
    <xf numFmtId="174" fontId="57" fillId="0" borderId="182" xfId="0" applyFont="true" applyBorder="true" applyAlignment="true" applyProtection="true">
      <alignment horizontal="right" vertical="bottom" textRotation="0" wrapText="false" indent="0" shrinkToFit="false"/>
      <protection locked="true" hidden="false"/>
    </xf>
    <xf numFmtId="174" fontId="57" fillId="0" borderId="183" xfId="0" applyFont="true" applyBorder="true" applyAlignment="true" applyProtection="true">
      <alignment horizontal="right" vertical="bottom" textRotation="0" wrapText="false" indent="0" shrinkToFit="false"/>
      <protection locked="true" hidden="false"/>
    </xf>
    <xf numFmtId="174" fontId="57" fillId="0" borderId="184" xfId="0" applyFont="true" applyBorder="true" applyAlignment="true" applyProtection="true">
      <alignment horizontal="right" vertical="bottom" textRotation="0" wrapText="false" indent="0" shrinkToFit="false"/>
      <protection locked="true" hidden="false"/>
    </xf>
    <xf numFmtId="174" fontId="54" fillId="0" borderId="184" xfId="0" applyFont="true" applyBorder="true" applyAlignment="true" applyProtection="true">
      <alignment horizontal="center" vertical="center" textRotation="0" wrapText="false" indent="0" shrinkToFit="false"/>
      <protection locked="true" hidden="false"/>
    </xf>
    <xf numFmtId="174" fontId="57" fillId="0" borderId="164" xfId="0" applyFont="true" applyBorder="true" applyAlignment="true" applyProtection="true">
      <alignment horizontal="right" vertical="bottom" textRotation="0" wrapText="false" indent="0" shrinkToFit="false"/>
      <protection locked="true" hidden="false"/>
    </xf>
    <xf numFmtId="174" fontId="57" fillId="0" borderId="185" xfId="0" applyFont="true" applyBorder="true" applyAlignment="true" applyProtection="true">
      <alignment horizontal="right" vertical="bottom" textRotation="0" wrapText="false" indent="0" shrinkToFit="true"/>
      <protection locked="true" hidden="false"/>
    </xf>
    <xf numFmtId="164" fontId="94" fillId="0" borderId="0" xfId="0" applyFont="true" applyBorder="false" applyAlignment="true" applyProtection="true">
      <alignment horizontal="general" vertical="top" textRotation="0" wrapText="false" indent="0" shrinkToFit="false"/>
      <protection locked="true" hidden="false"/>
    </xf>
    <xf numFmtId="164" fontId="55" fillId="0" borderId="0" xfId="0" applyFont="true" applyBorder="false" applyAlignment="true" applyProtection="true">
      <alignment horizontal="center" vertical="top" textRotation="0" wrapText="false" indent="0" shrinkToFit="false"/>
      <protection locked="true" hidden="false"/>
    </xf>
    <xf numFmtId="164" fontId="55" fillId="0" borderId="77" xfId="0" applyFont="true" applyBorder="true" applyAlignment="true" applyProtection="true">
      <alignment horizontal="center" vertical="top" textRotation="0" wrapText="false" indent="0" shrinkToFit="false"/>
      <protection locked="true" hidden="false"/>
    </xf>
    <xf numFmtId="164" fontId="55" fillId="0" borderId="0" xfId="0" applyFont="true" applyBorder="true" applyAlignment="true" applyProtection="true">
      <alignment horizontal="center" vertical="top" textRotation="0" wrapText="false" indent="0" shrinkToFit="false"/>
      <protection locked="true" hidden="false"/>
    </xf>
    <xf numFmtId="164" fontId="94" fillId="0" borderId="0" xfId="0" applyFont="true" applyBorder="true" applyAlignment="true" applyProtection="true">
      <alignment horizontal="center" vertical="top" textRotation="0" wrapText="false" indent="0" shrinkToFit="true"/>
      <protection locked="true" hidden="false"/>
    </xf>
    <xf numFmtId="164" fontId="58" fillId="0" borderId="0" xfId="0" applyFont="true" applyBorder="false" applyAlignment="true" applyProtection="true">
      <alignment horizontal="center" vertical="bottom" textRotation="0" wrapText="false" indent="0" shrinkToFit="false"/>
      <protection locked="true" hidden="false"/>
    </xf>
    <xf numFmtId="164" fontId="58" fillId="0" borderId="0" xfId="0" applyFont="true" applyBorder="true" applyAlignment="true" applyProtection="true">
      <alignment horizontal="center" vertical="bottom" textRotation="0" wrapText="false" indent="0" shrinkToFit="false"/>
      <protection locked="true" hidden="false"/>
    </xf>
    <xf numFmtId="164" fontId="58" fillId="0" borderId="0" xfId="0" applyFont="true" applyBorder="true" applyAlignment="true" applyProtection="true">
      <alignment horizontal="center" vertical="bottom" textRotation="0" wrapText="false" indent="0" shrinkToFit="true"/>
      <protection locked="true" hidden="false"/>
    </xf>
    <xf numFmtId="164" fontId="56" fillId="0" borderId="186" xfId="0" applyFont="true" applyBorder="true" applyAlignment="true" applyProtection="true">
      <alignment horizontal="center" vertical="center" textRotation="0" wrapText="false" indent="0" shrinkToFit="false"/>
      <protection locked="true" hidden="false"/>
    </xf>
    <xf numFmtId="164" fontId="56" fillId="15" borderId="187" xfId="0" applyFont="true" applyBorder="true" applyAlignment="true" applyProtection="true">
      <alignment horizontal="center" vertical="center" textRotation="0" wrapText="true" indent="0" shrinkToFit="false"/>
      <protection locked="true" hidden="false"/>
    </xf>
    <xf numFmtId="164" fontId="118" fillId="15" borderId="9" xfId="0" applyFont="true" applyBorder="true" applyAlignment="true" applyProtection="true">
      <alignment horizontal="center" vertical="center" textRotation="0" wrapText="true" indent="0" shrinkToFit="false"/>
      <protection locked="true" hidden="false"/>
    </xf>
    <xf numFmtId="164" fontId="56" fillId="15" borderId="9" xfId="0" applyFont="true" applyBorder="true" applyAlignment="true" applyProtection="true">
      <alignment horizontal="center" vertical="center" textRotation="0" wrapText="true" indent="0" shrinkToFit="false"/>
      <protection locked="true" hidden="false"/>
    </xf>
    <xf numFmtId="164" fontId="102" fillId="0" borderId="166" xfId="0" applyFont="true" applyBorder="true" applyAlignment="true" applyProtection="true">
      <alignment horizontal="general" vertical="center" textRotation="0" wrapText="true" indent="0" shrinkToFit="false"/>
      <protection locked="true" hidden="false"/>
    </xf>
    <xf numFmtId="174" fontId="57" fillId="0" borderId="188" xfId="0" applyFont="true" applyBorder="true" applyAlignment="true" applyProtection="true">
      <alignment horizontal="general" vertical="bottom" textRotation="0" wrapText="false" indent="0" shrinkToFit="false"/>
      <protection locked="true" hidden="false"/>
    </xf>
    <xf numFmtId="174" fontId="57" fillId="0" borderId="189" xfId="0" applyFont="true" applyBorder="true" applyAlignment="true" applyProtection="true">
      <alignment horizontal="general" vertical="bottom" textRotation="0" wrapText="false" indent="0" shrinkToFit="false"/>
      <protection locked="true" hidden="false"/>
    </xf>
    <xf numFmtId="174" fontId="57" fillId="0" borderId="170" xfId="0" applyFont="true" applyBorder="true" applyAlignment="true" applyProtection="true">
      <alignment horizontal="general" vertical="bottom" textRotation="0" wrapText="false" indent="0" shrinkToFit="false"/>
      <protection locked="true" hidden="false"/>
    </xf>
    <xf numFmtId="174" fontId="57" fillId="0" borderId="171" xfId="0" applyFont="true" applyBorder="true" applyAlignment="true" applyProtection="true">
      <alignment horizontal="general" vertical="bottom" textRotation="0" wrapText="false" indent="0" shrinkToFit="false"/>
      <protection locked="true" hidden="false"/>
    </xf>
    <xf numFmtId="174" fontId="57" fillId="0" borderId="172" xfId="0" applyFont="true" applyBorder="true" applyAlignment="true" applyProtection="true">
      <alignment horizontal="general" vertical="bottom" textRotation="0" wrapText="false" indent="0" shrinkToFit="true"/>
      <protection locked="true" hidden="false"/>
    </xf>
    <xf numFmtId="212" fontId="155" fillId="12" borderId="190" xfId="0" applyFont="true" applyBorder="true" applyAlignment="true" applyProtection="true">
      <alignment horizontal="left" vertical="bottom" textRotation="0" wrapText="false" indent="0" shrinkToFit="false"/>
      <protection locked="true" hidden="false"/>
    </xf>
    <xf numFmtId="212" fontId="156" fillId="12" borderId="16" xfId="0" applyFont="true" applyBorder="true" applyAlignment="true" applyProtection="true">
      <alignment horizontal="left" vertical="bottom" textRotation="0" wrapText="false" indent="0" shrinkToFit="false"/>
      <protection locked="true" hidden="false"/>
    </xf>
    <xf numFmtId="212" fontId="156" fillId="12" borderId="191" xfId="0" applyFont="true" applyBorder="true" applyAlignment="true" applyProtection="true">
      <alignment horizontal="left" vertical="bottom" textRotation="0" wrapText="false" indent="0" shrinkToFit="false"/>
      <protection locked="true" hidden="false"/>
    </xf>
    <xf numFmtId="210" fontId="156" fillId="12" borderId="192" xfId="0" applyFont="true" applyBorder="true" applyAlignment="true" applyProtection="true">
      <alignment horizontal="left" vertical="bottom" textRotation="0" wrapText="false" indent="0" shrinkToFit="false"/>
      <protection locked="true" hidden="false"/>
    </xf>
    <xf numFmtId="210" fontId="156" fillId="12" borderId="174" xfId="0" applyFont="true" applyBorder="true" applyAlignment="true" applyProtection="true">
      <alignment horizontal="left" vertical="bottom" textRotation="0" wrapText="false" indent="0" shrinkToFit="false"/>
      <protection locked="true" hidden="false"/>
    </xf>
    <xf numFmtId="216" fontId="156" fillId="12" borderId="173" xfId="0" applyFont="true" applyBorder="true" applyAlignment="true" applyProtection="true">
      <alignment horizontal="left" vertical="bottom" textRotation="0" wrapText="false" indent="0" shrinkToFit="false"/>
      <protection locked="true" hidden="false"/>
    </xf>
    <xf numFmtId="217" fontId="156" fillId="12" borderId="173" xfId="0" applyFont="true" applyBorder="true" applyAlignment="true" applyProtection="true">
      <alignment horizontal="left" vertical="bottom" textRotation="0" wrapText="false" indent="0" shrinkToFit="false"/>
      <protection locked="true" hidden="false"/>
    </xf>
    <xf numFmtId="217" fontId="156" fillId="12" borderId="175" xfId="0" applyFont="true" applyBorder="true" applyAlignment="true" applyProtection="true">
      <alignment horizontal="left" vertical="bottom" textRotation="0" wrapText="false" indent="0" shrinkToFit="false"/>
      <protection locked="true" hidden="false"/>
    </xf>
    <xf numFmtId="216" fontId="155" fillId="0" borderId="173" xfId="0" applyFont="true" applyBorder="true" applyAlignment="true" applyProtection="true">
      <alignment horizontal="left" vertical="bottom" textRotation="0" wrapText="false" indent="0" shrinkToFit="true"/>
      <protection locked="true" hidden="false"/>
    </xf>
    <xf numFmtId="174" fontId="57" fillId="0" borderId="193" xfId="0" applyFont="true" applyBorder="true" applyAlignment="true" applyProtection="true">
      <alignment horizontal="general" vertical="bottom" textRotation="0" wrapText="false" indent="0" shrinkToFit="false"/>
      <protection locked="true" hidden="false"/>
    </xf>
    <xf numFmtId="174" fontId="57" fillId="0" borderId="194" xfId="0" applyFont="true" applyBorder="true" applyAlignment="true" applyProtection="true">
      <alignment horizontal="right" vertical="bottom" textRotation="0" wrapText="false" indent="0" shrinkToFit="false"/>
      <protection locked="true" hidden="false"/>
    </xf>
    <xf numFmtId="174" fontId="57" fillId="0" borderId="177" xfId="0" applyFont="true" applyBorder="true" applyAlignment="true" applyProtection="true">
      <alignment horizontal="general" vertical="bottom" textRotation="0" wrapText="false" indent="0" shrinkToFit="false"/>
      <protection locked="true" hidden="false"/>
    </xf>
    <xf numFmtId="174" fontId="57" fillId="0" borderId="176" xfId="0" applyFont="true" applyBorder="true" applyAlignment="true" applyProtection="true">
      <alignment horizontal="general" vertical="bottom" textRotation="0" wrapText="false" indent="0" shrinkToFit="true"/>
      <protection locked="true" hidden="false"/>
    </xf>
    <xf numFmtId="164" fontId="154" fillId="0" borderId="195" xfId="0" applyFont="true" applyBorder="true" applyAlignment="true" applyProtection="true">
      <alignment horizontal="right" vertical="bottom" textRotation="0" wrapText="false" indent="0" shrinkToFit="false"/>
      <protection locked="true" hidden="false"/>
    </xf>
    <xf numFmtId="212" fontId="155" fillId="0" borderId="190" xfId="0" applyFont="true" applyBorder="true" applyAlignment="true" applyProtection="true">
      <alignment horizontal="left" vertical="bottom" textRotation="0" wrapText="false" indent="0" shrinkToFit="false"/>
      <protection locked="true" hidden="false"/>
    </xf>
    <xf numFmtId="212" fontId="155" fillId="0" borderId="196" xfId="0" applyFont="true" applyBorder="true" applyAlignment="true" applyProtection="true">
      <alignment horizontal="left" vertical="bottom" textRotation="0" wrapText="false" indent="0" shrinkToFit="false"/>
      <protection locked="true" hidden="false"/>
    </xf>
    <xf numFmtId="212" fontId="155" fillId="0" borderId="191" xfId="0" applyFont="true" applyBorder="true" applyAlignment="true" applyProtection="true">
      <alignment horizontal="left" vertical="bottom" textRotation="0" wrapText="false" indent="0" shrinkToFit="false"/>
      <protection locked="true" hidden="false"/>
    </xf>
    <xf numFmtId="218" fontId="118" fillId="0" borderId="192" xfId="0" applyFont="true" applyBorder="true" applyAlignment="true" applyProtection="true">
      <alignment horizontal="center" vertical="bottom" textRotation="0" wrapText="false" indent="0" shrinkToFit="false"/>
      <protection locked="true" hidden="false"/>
    </xf>
    <xf numFmtId="211" fontId="155" fillId="0" borderId="174" xfId="0" applyFont="true" applyBorder="true" applyAlignment="true" applyProtection="true">
      <alignment horizontal="left" vertical="bottom" textRotation="0" wrapText="false" indent="0" shrinkToFit="false"/>
      <protection locked="true" hidden="false"/>
    </xf>
    <xf numFmtId="211" fontId="155" fillId="0" borderId="173" xfId="0" applyFont="true" applyBorder="true" applyAlignment="true" applyProtection="true">
      <alignment horizontal="left" vertical="bottom" textRotation="0" wrapText="false" indent="0" shrinkToFit="false"/>
      <protection locked="true" hidden="false"/>
    </xf>
    <xf numFmtId="219" fontId="155" fillId="0" borderId="173" xfId="0" applyFont="true" applyBorder="true" applyAlignment="true" applyProtection="true">
      <alignment horizontal="left" vertical="bottom" textRotation="0" wrapText="false" indent="0" shrinkToFit="false"/>
      <protection locked="true" hidden="false"/>
    </xf>
    <xf numFmtId="219" fontId="155" fillId="0" borderId="175" xfId="0" applyFont="true" applyBorder="true" applyAlignment="true" applyProtection="true">
      <alignment horizontal="left" vertical="bottom" textRotation="0" wrapText="false" indent="0" shrinkToFit="false"/>
      <protection locked="true" hidden="false"/>
    </xf>
    <xf numFmtId="219" fontId="155" fillId="0" borderId="173" xfId="0" applyFont="true" applyBorder="true" applyAlignment="true" applyProtection="true">
      <alignment horizontal="left" vertical="bottom" textRotation="0" wrapText="false" indent="0" shrinkToFit="true"/>
      <protection locked="true" hidden="false"/>
    </xf>
    <xf numFmtId="164" fontId="56" fillId="0" borderId="166" xfId="0" applyFont="true" applyBorder="true" applyAlignment="true" applyProtection="true">
      <alignment horizontal="general" vertical="center" textRotation="0" wrapText="false" indent="0" shrinkToFit="false"/>
      <protection locked="true" hidden="false"/>
    </xf>
    <xf numFmtId="174" fontId="57" fillId="0" borderId="197" xfId="0" applyFont="true" applyBorder="true" applyAlignment="true" applyProtection="true">
      <alignment horizontal="general" vertical="bottom" textRotation="0" wrapText="false" indent="0" shrinkToFit="false"/>
      <protection locked="true" hidden="false"/>
    </xf>
    <xf numFmtId="212" fontId="155" fillId="0" borderId="179" xfId="0" applyFont="true" applyBorder="true" applyAlignment="true" applyProtection="true">
      <alignment horizontal="left" vertical="bottom" textRotation="0" wrapText="false" indent="0" shrinkToFit="false"/>
      <protection locked="true" hidden="false"/>
    </xf>
    <xf numFmtId="218" fontId="102" fillId="0" borderId="192" xfId="0" applyFont="true" applyBorder="true" applyAlignment="true" applyProtection="true">
      <alignment horizontal="center" vertical="bottom" textRotation="0" wrapText="false" indent="0" shrinkToFit="false"/>
      <protection locked="true" hidden="false"/>
    </xf>
    <xf numFmtId="211" fontId="155" fillId="0" borderId="180" xfId="0" applyFont="true" applyBorder="true" applyAlignment="true" applyProtection="true">
      <alignment horizontal="left" vertical="bottom" textRotation="0" wrapText="false" indent="0" shrinkToFit="false"/>
      <protection locked="true" hidden="false"/>
    </xf>
    <xf numFmtId="211" fontId="155" fillId="0" borderId="181" xfId="0" applyFont="true" applyBorder="true" applyAlignment="true" applyProtection="true">
      <alignment horizontal="left" vertical="bottom" textRotation="0" wrapText="false" indent="0" shrinkToFit="false"/>
      <protection locked="true" hidden="false"/>
    </xf>
    <xf numFmtId="219" fontId="155" fillId="0" borderId="181" xfId="0" applyFont="true" applyBorder="true" applyAlignment="true" applyProtection="true">
      <alignment horizontal="left" vertical="bottom" textRotation="0" wrapText="false" indent="0" shrinkToFit="false"/>
      <protection locked="true" hidden="false"/>
    </xf>
    <xf numFmtId="219" fontId="155" fillId="0" borderId="198" xfId="0" applyFont="true" applyBorder="true" applyAlignment="true" applyProtection="true">
      <alignment horizontal="left" vertical="bottom" textRotation="0" wrapText="false" indent="0" shrinkToFit="false"/>
      <protection locked="true" hidden="false"/>
    </xf>
    <xf numFmtId="219" fontId="155" fillId="0" borderId="181" xfId="0" applyFont="true" applyBorder="true" applyAlignment="true" applyProtection="true">
      <alignment horizontal="left" vertical="bottom" textRotation="0" wrapText="false" indent="0" shrinkToFit="true"/>
      <protection locked="true" hidden="false"/>
    </xf>
    <xf numFmtId="174" fontId="57" fillId="0" borderId="182" xfId="0" applyFont="true" applyBorder="true" applyAlignment="true" applyProtection="true">
      <alignment horizontal="general" vertical="bottom" textRotation="0" wrapText="false" indent="0" shrinkToFit="false"/>
      <protection locked="true" hidden="false"/>
    </xf>
    <xf numFmtId="174" fontId="57" fillId="0" borderId="199" xfId="0" applyFont="true" applyBorder="true" applyAlignment="true" applyProtection="true">
      <alignment horizontal="general" vertical="bottom" textRotation="0" wrapText="false" indent="0" shrinkToFit="false"/>
      <protection locked="true" hidden="false"/>
    </xf>
    <xf numFmtId="174" fontId="57" fillId="0" borderId="200" xfId="0" applyFont="true" applyBorder="true" applyAlignment="true" applyProtection="true">
      <alignment horizontal="general" vertical="bottom" textRotation="0" wrapText="false" indent="0" shrinkToFit="false"/>
      <protection locked="true" hidden="false"/>
    </xf>
    <xf numFmtId="174" fontId="57" fillId="0" borderId="201" xfId="0" applyFont="true" applyBorder="true" applyAlignment="true" applyProtection="true">
      <alignment horizontal="general" vertical="bottom" textRotation="0" wrapText="false" indent="0" shrinkToFit="false"/>
      <protection locked="true" hidden="false"/>
    </xf>
    <xf numFmtId="174" fontId="57" fillId="0" borderId="183" xfId="0" applyFont="true" applyBorder="true" applyAlignment="true" applyProtection="true">
      <alignment horizontal="general" vertical="bottom" textRotation="0" wrapText="false" indent="0" shrinkToFit="false"/>
      <protection locked="true" hidden="false"/>
    </xf>
    <xf numFmtId="174" fontId="57" fillId="0" borderId="202" xfId="0" applyFont="true" applyBorder="true" applyAlignment="true" applyProtection="true">
      <alignment horizontal="general" vertical="bottom" textRotation="0" wrapText="false" indent="0" shrinkToFit="false"/>
      <protection locked="true" hidden="false"/>
    </xf>
    <xf numFmtId="164" fontId="0" fillId="0" borderId="44" xfId="0" applyFont="false" applyBorder="true" applyAlignment="true" applyProtection="true">
      <alignment horizontal="general" vertical="bottom" textRotation="0" wrapText="false" indent="0" shrinkToFit="false"/>
      <protection locked="true" hidden="false"/>
    </xf>
    <xf numFmtId="174" fontId="57" fillId="0" borderId="185" xfId="0" applyFont="true" applyBorder="true" applyAlignment="true" applyProtection="true">
      <alignment horizontal="general" vertical="bottom" textRotation="0" wrapText="false" indent="0" shrinkToFit="true"/>
      <protection locked="true" hidden="false"/>
    </xf>
    <xf numFmtId="164" fontId="94" fillId="0" borderId="0" xfId="0" applyFont="true" applyBorder="false" applyAlignment="true" applyProtection="true">
      <alignment horizontal="center" vertical="top" textRotation="0" wrapText="false" indent="0" shrinkToFit="true"/>
      <protection locked="true" hidden="false"/>
    </xf>
    <xf numFmtId="164" fontId="101" fillId="0" borderId="72" xfId="0" applyFont="true" applyBorder="true" applyAlignment="true" applyProtection="true">
      <alignment horizontal="center" vertical="center" textRotation="0" wrapText="false" indent="0" shrinkToFit="true"/>
      <protection locked="true" hidden="false"/>
    </xf>
    <xf numFmtId="174" fontId="159" fillId="0" borderId="8" xfId="0" applyFont="true" applyBorder="true" applyAlignment="true" applyProtection="true">
      <alignment horizontal="general" vertical="center" textRotation="0" wrapText="false" indent="0" shrinkToFit="true"/>
      <protection locked="true" hidden="false"/>
    </xf>
    <xf numFmtId="164" fontId="95" fillId="0" borderId="0" xfId="0" applyFont="true" applyBorder="false" applyAlignment="true" applyProtection="true">
      <alignment horizontal="general" vertical="bottom" textRotation="0" wrapText="false" indent="0" shrinkToFit="false"/>
      <protection locked="true" hidden="false"/>
    </xf>
    <xf numFmtId="164" fontId="160" fillId="15" borderId="0" xfId="0" applyFont="true" applyBorder="false" applyAlignment="true" applyProtection="true">
      <alignment horizontal="center" vertical="bottom" textRotation="0" wrapText="false" indent="0" shrinkToFit="true"/>
      <protection locked="true" hidden="false"/>
    </xf>
    <xf numFmtId="164" fontId="161" fillId="0" borderId="0" xfId="0" applyFont="true" applyBorder="true" applyAlignment="true" applyProtection="true">
      <alignment horizontal="general" vertical="bottom" textRotation="0" wrapText="false" indent="0" shrinkToFit="false"/>
      <protection locked="true" hidden="false"/>
    </xf>
    <xf numFmtId="164" fontId="58" fillId="0" borderId="0" xfId="0" applyFont="true" applyBorder="true" applyAlignment="true" applyProtection="true">
      <alignment horizontal="center" vertical="center" textRotation="0" wrapText="false" indent="0" shrinkToFit="false"/>
      <protection locked="true" hidden="false"/>
    </xf>
    <xf numFmtId="164" fontId="56" fillId="0" borderId="0" xfId="0" applyFont="true" applyBorder="false" applyAlignment="true" applyProtection="true">
      <alignment horizontal="left" vertical="center" textRotation="0" wrapText="false" indent="1" shrinkToFit="false"/>
      <protection locked="true" hidden="false"/>
    </xf>
    <xf numFmtId="164" fontId="161" fillId="0" borderId="0" xfId="0" applyFont="true" applyBorder="false" applyAlignment="true" applyProtection="true">
      <alignment horizontal="general" vertical="center" textRotation="0" wrapText="false" indent="0" shrinkToFit="false"/>
      <protection locked="true" hidden="false"/>
    </xf>
    <xf numFmtId="164" fontId="161" fillId="0" borderId="0" xfId="0" applyFont="true" applyBorder="false" applyAlignment="true" applyProtection="true">
      <alignment horizontal="left" vertical="center" textRotation="0" wrapText="false" indent="0" shrinkToFit="false"/>
      <protection locked="true" hidden="false"/>
    </xf>
    <xf numFmtId="164" fontId="56" fillId="15" borderId="0" xfId="0" applyFont="true" applyBorder="false" applyAlignment="true" applyProtection="true">
      <alignment horizontal="left" vertical="center" textRotation="0" wrapText="false" indent="0" shrinkToFit="false"/>
      <protection locked="true" hidden="false"/>
    </xf>
    <xf numFmtId="220" fontId="162" fillId="0" borderId="0" xfId="21" applyFont="true" applyBorder="true" applyAlignment="true" applyProtection="true">
      <alignment horizontal="right" vertical="center" textRotation="0" wrapText="false" indent="0" shrinkToFit="false"/>
      <protection locked="true" hidden="false"/>
    </xf>
    <xf numFmtId="174" fontId="161" fillId="0" borderId="0" xfId="0" applyFont="true" applyBorder="false" applyAlignment="true" applyProtection="true">
      <alignment horizontal="left" vertical="center" textRotation="0" wrapText="false" indent="0" shrinkToFit="false"/>
      <protection locked="true" hidden="false"/>
    </xf>
    <xf numFmtId="164" fontId="56" fillId="0" borderId="0" xfId="0" applyFont="true" applyBorder="true" applyAlignment="true" applyProtection="true">
      <alignment horizontal="general" vertical="bottom" textRotation="0" wrapText="false" indent="0" shrinkToFit="false"/>
      <protection locked="true" hidden="false"/>
    </xf>
    <xf numFmtId="164" fontId="95" fillId="0" borderId="0" xfId="0" applyFont="true" applyBorder="true" applyAlignment="true" applyProtection="true">
      <alignment horizontal="left" vertical="bottom" textRotation="0" wrapText="false" indent="0" shrinkToFit="false"/>
      <protection locked="true" hidden="false"/>
    </xf>
    <xf numFmtId="165" fontId="104" fillId="0" borderId="0" xfId="20" applyFont="true" applyBorder="true" applyAlignment="true" applyProtection="true">
      <alignment horizontal="general" vertical="bottom" textRotation="0" wrapText="false" indent="0" shrinkToFit="true"/>
      <protection locked="true" hidden="false"/>
    </xf>
    <xf numFmtId="164" fontId="161" fillId="0" borderId="0" xfId="0" applyFont="true" applyBorder="false" applyAlignment="true" applyProtection="true">
      <alignment horizontal="left" vertical="center" textRotation="0" wrapText="false" indent="1" shrinkToFit="false"/>
      <protection locked="true" hidden="false"/>
    </xf>
    <xf numFmtId="164" fontId="163" fillId="15" borderId="0" xfId="0" applyFont="true" applyBorder="false" applyAlignment="true" applyProtection="true">
      <alignment horizontal="center" vertical="top" textRotation="0" wrapText="false" indent="0" shrinkToFit="true"/>
      <protection locked="true" hidden="false"/>
    </xf>
    <xf numFmtId="221" fontId="164" fillId="15" borderId="0" xfId="0" applyFont="true" applyBorder="false" applyAlignment="true" applyProtection="true">
      <alignment horizontal="right" vertical="center" textRotation="0" wrapText="false" indent="0" shrinkToFit="false"/>
      <protection locked="true" hidden="false"/>
    </xf>
    <xf numFmtId="222" fontId="164" fillId="0" borderId="0" xfId="0" applyFont="true" applyBorder="false" applyAlignment="true" applyProtection="true">
      <alignment horizontal="left" vertical="center" textRotation="0" wrapText="false" indent="0" shrinkToFit="false"/>
      <protection locked="true" hidden="false"/>
    </xf>
    <xf numFmtId="164" fontId="56" fillId="0" borderId="11" xfId="0" applyFont="true" applyBorder="true" applyAlignment="true" applyProtection="true">
      <alignment horizontal="center" vertical="center" textRotation="0" wrapText="false" indent="0" shrinkToFit="false"/>
      <protection locked="true" hidden="false"/>
    </xf>
    <xf numFmtId="165" fontId="96" fillId="0" borderId="39" xfId="20" applyFont="true" applyBorder="true" applyAlignment="true" applyProtection="true">
      <alignment horizontal="right" vertical="center" textRotation="0" wrapText="false" indent="0" shrinkToFit="false"/>
      <protection locked="true" hidden="false"/>
    </xf>
    <xf numFmtId="165" fontId="164" fillId="0" borderId="0" xfId="20" applyFont="true" applyBorder="true" applyAlignment="true" applyProtection="true">
      <alignment horizontal="right" vertical="bottom" textRotation="0" wrapText="false" indent="0" shrinkToFit="false"/>
      <protection locked="true" hidden="false"/>
    </xf>
    <xf numFmtId="165" fontId="104" fillId="0" borderId="0" xfId="20" applyFont="true" applyBorder="true" applyAlignment="true" applyProtection="true">
      <alignment horizontal="left" vertical="bottom" textRotation="0" wrapText="false" indent="1" shrinkToFit="true"/>
      <protection locked="true" hidden="false"/>
    </xf>
    <xf numFmtId="164" fontId="94" fillId="0" borderId="0" xfId="0" applyFont="true" applyBorder="false" applyAlignment="true" applyProtection="true">
      <alignment horizontal="general" vertical="bottom" textRotation="0" wrapText="false" indent="0" shrinkToFit="true"/>
      <protection locked="true" hidden="false"/>
    </xf>
    <xf numFmtId="164" fontId="55" fillId="0" borderId="11" xfId="0" applyFont="true" applyBorder="true" applyAlignment="true" applyProtection="true">
      <alignment horizontal="center" vertical="center" textRotation="0" wrapText="true" indent="0" shrinkToFit="false"/>
      <protection locked="true" hidden="false"/>
    </xf>
    <xf numFmtId="165" fontId="71" fillId="0" borderId="39" xfId="20" applyFont="true" applyBorder="true" applyAlignment="true" applyProtection="true">
      <alignment horizontal="right" vertical="center" textRotation="0" wrapText="false" indent="0" shrinkToFit="false"/>
      <protection locked="true" hidden="false"/>
    </xf>
    <xf numFmtId="164" fontId="56" fillId="15" borderId="0" xfId="0" applyFont="true" applyBorder="false" applyAlignment="true" applyProtection="true">
      <alignment horizontal="left" vertical="center" textRotation="0" wrapText="false" indent="1" shrinkToFit="false"/>
      <protection locked="true" hidden="false"/>
    </xf>
    <xf numFmtId="164" fontId="161" fillId="15" borderId="0" xfId="0" applyFont="true" applyBorder="false" applyAlignment="true" applyProtection="true">
      <alignment horizontal="general" vertical="center" textRotation="0" wrapText="false" indent="0" shrinkToFit="false"/>
      <protection locked="true" hidden="false"/>
    </xf>
    <xf numFmtId="164" fontId="56" fillId="15" borderId="0" xfId="0" applyFont="true" applyBorder="false" applyAlignment="true" applyProtection="true">
      <alignment horizontal="general" vertical="center" textRotation="0" wrapText="false" indent="0" shrinkToFit="false"/>
      <protection locked="true" hidden="false"/>
    </xf>
    <xf numFmtId="165" fontId="95" fillId="0" borderId="0" xfId="20" applyFont="true" applyBorder="true" applyAlignment="true" applyProtection="true">
      <alignment horizontal="left" vertical="top" textRotation="0" wrapText="true" indent="1" shrinkToFit="false"/>
      <protection locked="true" hidden="false"/>
    </xf>
    <xf numFmtId="223" fontId="164" fillId="0" borderId="0" xfId="0" applyFont="true" applyBorder="false" applyAlignment="true" applyProtection="true">
      <alignment horizontal="left" vertical="center" textRotation="0" wrapText="false" indent="0" shrinkToFit="false"/>
      <protection locked="true" hidden="false"/>
    </xf>
    <xf numFmtId="165" fontId="96" fillId="0" borderId="0" xfId="20" applyFont="true" applyBorder="true" applyAlignment="true" applyProtection="true">
      <alignment horizontal="general" vertical="center" textRotation="0" wrapText="false" indent="0" shrinkToFit="false"/>
      <protection locked="true" hidden="false"/>
    </xf>
    <xf numFmtId="165" fontId="164" fillId="0" borderId="0" xfId="0" applyFont="true" applyBorder="true" applyAlignment="true" applyProtection="true">
      <alignment horizontal="general" vertical="bottom" textRotation="0" wrapText="false" indent="0" shrinkToFit="false"/>
      <protection locked="true" hidden="false"/>
    </xf>
    <xf numFmtId="164" fontId="55" fillId="0" borderId="0" xfId="0" applyFont="true" applyBorder="true" applyAlignment="true" applyProtection="true">
      <alignment horizontal="left" vertical="bottom" textRotation="0" wrapText="true" indent="1" shrinkToFit="false"/>
      <protection locked="true" hidden="false"/>
    </xf>
    <xf numFmtId="165" fontId="95" fillId="0" borderId="0" xfId="20" applyFont="true" applyBorder="true" applyAlignment="true" applyProtection="true">
      <alignment horizontal="general" vertical="top" textRotation="0" wrapText="true" indent="0" shrinkToFit="false"/>
      <protection locked="true" hidden="false"/>
    </xf>
    <xf numFmtId="174" fontId="162" fillId="0" borderId="0" xfId="0" applyFont="true" applyBorder="true" applyAlignment="true" applyProtection="true">
      <alignment horizontal="general" vertical="center" textRotation="0" wrapText="false" indent="0" shrinkToFit="false"/>
      <protection locked="true" hidden="false"/>
    </xf>
    <xf numFmtId="207" fontId="96" fillId="15" borderId="3" xfId="0" applyFont="true" applyBorder="true" applyAlignment="true" applyProtection="true">
      <alignment horizontal="center" vertical="center" textRotation="0" wrapText="true" indent="0" shrinkToFit="false"/>
      <protection locked="true" hidden="false"/>
    </xf>
    <xf numFmtId="224" fontId="96" fillId="15" borderId="3" xfId="0" applyFont="true" applyBorder="true" applyAlignment="true" applyProtection="true">
      <alignment horizontal="center" vertical="center" textRotation="0" wrapText="true" indent="0" shrinkToFit="false"/>
      <protection locked="true" hidden="false"/>
    </xf>
    <xf numFmtId="164" fontId="95" fillId="0" borderId="0" xfId="0" applyFont="true" applyBorder="false" applyAlignment="true" applyProtection="true">
      <alignment horizontal="left" vertical="bottom" textRotation="0" wrapText="true" indent="0" shrinkToFit="false"/>
      <protection locked="true" hidden="false"/>
    </xf>
    <xf numFmtId="164" fontId="165" fillId="0" borderId="22" xfId="0" applyFont="true" applyBorder="true" applyAlignment="true" applyProtection="true">
      <alignment horizontal="right" vertical="bottom" textRotation="0" wrapText="false" indent="0" shrinkToFit="false"/>
      <protection locked="true" hidden="false"/>
    </xf>
    <xf numFmtId="208" fontId="155" fillId="0" borderId="97" xfId="0" applyFont="true" applyBorder="true" applyAlignment="true" applyProtection="true">
      <alignment horizontal="left" vertical="bottom" textRotation="0" wrapText="false" indent="0" shrinkToFit="false"/>
      <protection locked="true" hidden="false"/>
    </xf>
    <xf numFmtId="209" fontId="155" fillId="0" borderId="16" xfId="0" applyFont="true" applyBorder="true" applyAlignment="true" applyProtection="true">
      <alignment horizontal="left" vertical="bottom" textRotation="0" wrapText="false" indent="0" shrinkToFit="false"/>
      <protection locked="true" hidden="false"/>
    </xf>
    <xf numFmtId="209" fontId="155" fillId="0" borderId="173" xfId="0" applyFont="true" applyBorder="true" applyAlignment="true" applyProtection="true">
      <alignment horizontal="left" vertical="bottom" textRotation="0" wrapText="false" indent="0" shrinkToFit="false"/>
      <protection locked="true" hidden="false"/>
    </xf>
    <xf numFmtId="210" fontId="166" fillId="15" borderId="173" xfId="0" applyFont="true" applyBorder="true" applyAlignment="true" applyProtection="true">
      <alignment horizontal="center" vertical="center" textRotation="0" wrapText="false" indent="0" shrinkToFit="false"/>
      <protection locked="true" hidden="false"/>
    </xf>
    <xf numFmtId="210" fontId="155" fillId="15" borderId="173" xfId="0" applyFont="true" applyBorder="true" applyAlignment="true" applyProtection="true">
      <alignment horizontal="left" vertical="bottom" textRotation="0" wrapText="false" indent="0" shrinkToFit="false"/>
      <protection locked="true" hidden="false"/>
    </xf>
    <xf numFmtId="211" fontId="155" fillId="0" borderId="175" xfId="0" applyFont="true" applyBorder="true" applyAlignment="true" applyProtection="true">
      <alignment horizontal="left" vertical="bottom" textRotation="0" wrapText="false" indent="0" shrinkToFit="false"/>
      <protection locked="true" hidden="false"/>
    </xf>
    <xf numFmtId="164" fontId="108" fillId="0" borderId="0" xfId="0" applyFont="true" applyBorder="false" applyAlignment="true" applyProtection="true">
      <alignment horizontal="general" vertical="bottom" textRotation="0" wrapText="false" indent="0" shrinkToFit="false"/>
      <protection locked="true" hidden="false"/>
    </xf>
    <xf numFmtId="164" fontId="165" fillId="0" borderId="178" xfId="0" applyFont="true" applyBorder="true" applyAlignment="true" applyProtection="true">
      <alignment horizontal="right" vertical="bottom" textRotation="0" wrapText="false" indent="0" shrinkToFit="false"/>
      <protection locked="true" hidden="false"/>
    </xf>
    <xf numFmtId="212" fontId="155" fillId="0" borderId="180" xfId="0" applyFont="true" applyBorder="true" applyAlignment="true" applyProtection="true">
      <alignment horizontal="left" vertical="bottom" textRotation="0" wrapText="false" indent="0" shrinkToFit="false"/>
      <protection locked="true" hidden="false"/>
    </xf>
    <xf numFmtId="212" fontId="155" fillId="0" borderId="181" xfId="0" applyFont="true" applyBorder="true" applyAlignment="true" applyProtection="true">
      <alignment horizontal="left" vertical="bottom" textRotation="0" wrapText="false" indent="0" shrinkToFit="false"/>
      <protection locked="true" hidden="false"/>
    </xf>
    <xf numFmtId="213" fontId="54" fillId="15" borderId="5" xfId="0" applyFont="true" applyBorder="true" applyAlignment="true" applyProtection="true">
      <alignment horizontal="center" vertical="center" textRotation="0" wrapText="false" indent="0" shrinkToFit="false"/>
      <protection locked="true" hidden="false"/>
    </xf>
    <xf numFmtId="213" fontId="155" fillId="15" borderId="5" xfId="0" applyFont="true" applyBorder="true" applyAlignment="true" applyProtection="true">
      <alignment horizontal="left" vertical="bottom" textRotation="0" wrapText="false" indent="0" shrinkToFit="false"/>
      <protection locked="true" hidden="false"/>
    </xf>
    <xf numFmtId="214" fontId="155" fillId="0" borderId="174" xfId="0" applyFont="true" applyBorder="true" applyAlignment="true" applyProtection="true">
      <alignment horizontal="left" vertical="bottom" textRotation="0" wrapText="false" indent="0" shrinkToFit="false"/>
      <protection locked="true" hidden="false"/>
    </xf>
    <xf numFmtId="215" fontId="155" fillId="0" borderId="173" xfId="0" applyFont="true" applyBorder="true" applyAlignment="true" applyProtection="true">
      <alignment horizontal="left" vertical="bottom" textRotation="0" wrapText="false" indent="0" shrinkToFit="false"/>
      <protection locked="true" hidden="false"/>
    </xf>
    <xf numFmtId="214" fontId="155" fillId="0" borderId="175" xfId="0" applyFont="true" applyBorder="true" applyAlignment="true" applyProtection="true">
      <alignment horizontal="left" vertical="bottom" textRotation="0" wrapText="false" indent="0" shrinkToFit="false"/>
      <protection locked="true" hidden="false"/>
    </xf>
    <xf numFmtId="212" fontId="155" fillId="0" borderId="16" xfId="0" applyFont="true" applyBorder="true" applyAlignment="true" applyProtection="true">
      <alignment horizontal="left" vertical="bottom" textRotation="0" wrapText="false" indent="0" shrinkToFit="false"/>
      <protection locked="true" hidden="false"/>
    </xf>
    <xf numFmtId="210" fontId="155" fillId="0" borderId="192" xfId="0" applyFont="true" applyBorder="true" applyAlignment="true" applyProtection="true">
      <alignment horizontal="left" vertical="bottom" textRotation="0" wrapText="false" indent="0" shrinkToFit="false"/>
      <protection locked="true" hidden="false"/>
    </xf>
    <xf numFmtId="210" fontId="155" fillId="0" borderId="174" xfId="0" applyFont="true" applyBorder="true" applyAlignment="true" applyProtection="true">
      <alignment horizontal="left" vertical="bottom" textRotation="0" wrapText="false" indent="0" shrinkToFit="false"/>
      <protection locked="true" hidden="false"/>
    </xf>
    <xf numFmtId="216" fontId="155" fillId="0" borderId="173" xfId="0" applyFont="true" applyBorder="true" applyAlignment="true" applyProtection="true">
      <alignment horizontal="left" vertical="bottom" textRotation="0" wrapText="false" indent="0" shrinkToFit="false"/>
      <protection locked="true" hidden="false"/>
    </xf>
    <xf numFmtId="217" fontId="155" fillId="0" borderId="173" xfId="0" applyFont="true" applyBorder="true" applyAlignment="true" applyProtection="true">
      <alignment horizontal="left" vertical="bottom" textRotation="0" wrapText="false" indent="0" shrinkToFit="false"/>
      <protection locked="true" hidden="false"/>
    </xf>
    <xf numFmtId="217" fontId="155" fillId="0" borderId="175" xfId="0" applyFont="true" applyBorder="true" applyAlignment="true" applyProtection="true">
      <alignment horizontal="left" vertical="bottom" textRotation="0" wrapText="false" indent="0" shrinkToFit="false"/>
      <protection locked="true" hidden="false"/>
    </xf>
    <xf numFmtId="164" fontId="165" fillId="0" borderId="195" xfId="0" applyFont="true" applyBorder="true" applyAlignment="true" applyProtection="true">
      <alignment horizontal="right" vertical="bottom" textRotation="0" wrapText="false" indent="0" shrinkToFit="false"/>
      <protection locked="true" hidden="false"/>
    </xf>
    <xf numFmtId="174" fontId="57" fillId="0" borderId="164"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general" vertical="center" textRotation="255" wrapText="false" indent="0" shrinkToFit="true"/>
      <protection locked="true" hidden="false"/>
    </xf>
    <xf numFmtId="164" fontId="58" fillId="15" borderId="0" xfId="0" applyFont="true" applyBorder="true" applyAlignment="true" applyProtection="true">
      <alignment horizontal="center" vertical="center" textRotation="0" wrapText="true" indent="0" shrinkToFit="true"/>
      <protection locked="true" hidden="false"/>
    </xf>
    <xf numFmtId="174" fontId="48" fillId="0" borderId="0" xfId="0" applyFont="true" applyBorder="true" applyAlignment="true" applyProtection="true">
      <alignment horizontal="center" vertical="center" textRotation="0" wrapText="false" indent="0" shrinkToFit="true"/>
      <protection locked="true" hidden="false"/>
    </xf>
    <xf numFmtId="216" fontId="95" fillId="0" borderId="0"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true" applyAlignment="true" applyProtection="true">
      <alignment horizontal="general" vertical="center" textRotation="255" wrapText="false" indent="0" shrinkToFit="true"/>
      <protection locked="true" hidden="false"/>
    </xf>
    <xf numFmtId="219" fontId="95" fillId="0" borderId="0" xfId="0" applyFont="true" applyBorder="true" applyAlignment="true" applyProtection="true">
      <alignment horizontal="center" vertical="center" textRotation="0" wrapText="false" indent="0" shrinkToFit="true"/>
      <protection locked="true" hidden="false"/>
    </xf>
    <xf numFmtId="164" fontId="94" fillId="0" borderId="0" xfId="0" applyFont="true" applyBorder="true" applyAlignment="true" applyProtection="true">
      <alignment horizontal="general" vertical="bottom" textRotation="0" wrapText="false" indent="0" shrinkToFit="false"/>
      <protection locked="true" hidden="false"/>
    </xf>
    <xf numFmtId="174" fontId="162" fillId="0" borderId="0" xfId="0" applyFont="true" applyBorder="false" applyAlignment="true" applyProtection="true">
      <alignment horizontal="general" vertical="center" textRotation="0" wrapText="false" indent="0" shrinkToFit="false"/>
      <protection locked="true" hidden="false"/>
    </xf>
    <xf numFmtId="182" fontId="52" fillId="19" borderId="0" xfId="0" applyFont="true" applyBorder="false" applyAlignment="true" applyProtection="true">
      <alignment horizontal="right" vertical="center" textRotation="0" wrapText="false" indent="0" shrinkToFit="false"/>
      <protection locked="true" hidden="false"/>
    </xf>
    <xf numFmtId="164" fontId="53" fillId="19" borderId="0" xfId="0" applyFont="true" applyBorder="false" applyAlignment="true" applyProtection="true">
      <alignment horizontal="left" vertical="center" textRotation="0" wrapText="false" indent="0" shrinkToFit="false"/>
      <protection locked="true" hidden="false"/>
    </xf>
    <xf numFmtId="174" fontId="48" fillId="0" borderId="167" xfId="0" applyFont="true" applyBorder="true" applyAlignment="true" applyProtection="true">
      <alignment horizontal="general" vertical="bottom" textRotation="0" wrapText="false" indent="0" shrinkToFit="false"/>
      <protection locked="true" hidden="false"/>
    </xf>
    <xf numFmtId="164" fontId="95" fillId="0" borderId="0" xfId="0" applyFont="true" applyBorder="true" applyAlignment="true" applyProtection="true">
      <alignment horizontal="general" vertical="bottom" textRotation="0" wrapText="false" indent="0" shrinkToFit="false"/>
      <protection locked="true" hidden="false"/>
    </xf>
    <xf numFmtId="164" fontId="56" fillId="0" borderId="24" xfId="0" applyFont="true" applyBorder="true" applyAlignment="true" applyProtection="true">
      <alignment horizontal="left" vertical="bottom" textRotation="0" wrapText="false" indent="0" shrinkToFit="true"/>
      <protection locked="true" hidden="false"/>
    </xf>
    <xf numFmtId="164" fontId="56" fillId="0" borderId="3" xfId="0" applyFont="true" applyBorder="true" applyAlignment="true" applyProtection="true">
      <alignment horizontal="left" vertical="center" textRotation="0" wrapText="false" indent="0" shrinkToFit="true"/>
      <protection locked="true" hidden="false"/>
    </xf>
    <xf numFmtId="174" fontId="96" fillId="0" borderId="3" xfId="0" applyFont="true" applyBorder="true" applyAlignment="true" applyProtection="true">
      <alignment horizontal="general" vertical="bottom" textRotation="0" wrapText="false" indent="0" shrinkToFit="true"/>
      <protection locked="true" hidden="false"/>
    </xf>
    <xf numFmtId="164" fontId="56" fillId="0" borderId="4" xfId="0" applyFont="true" applyBorder="true" applyAlignment="true" applyProtection="true">
      <alignment horizontal="left" vertical="center" textRotation="0" wrapText="false" indent="0" shrinkToFit="true"/>
      <protection locked="true" hidden="false"/>
    </xf>
    <xf numFmtId="174" fontId="96" fillId="0" borderId="4" xfId="0" applyFont="true" applyBorder="true" applyAlignment="true" applyProtection="true">
      <alignment horizontal="general" vertical="bottom" textRotation="0" wrapText="false" indent="0" shrinkToFit="true"/>
      <protection locked="true" hidden="false"/>
    </xf>
    <xf numFmtId="164" fontId="56" fillId="0" borderId="11" xfId="0" applyFont="true" applyBorder="true" applyAlignment="true" applyProtection="true">
      <alignment horizontal="center" vertical="bottom" textRotation="0" wrapText="false" indent="0" shrinkToFit="true"/>
      <protection locked="true" hidden="false"/>
    </xf>
    <xf numFmtId="174" fontId="96" fillId="0" borderId="39" xfId="0" applyFont="true" applyBorder="true" applyAlignment="true" applyProtection="true">
      <alignment horizontal="general" vertical="bottom" textRotation="0" wrapText="false" indent="0" shrinkToFit="true"/>
      <protection locked="true" hidden="false"/>
    </xf>
    <xf numFmtId="164" fontId="56" fillId="0" borderId="3" xfId="0" applyFont="true" applyBorder="true" applyAlignment="true" applyProtection="true">
      <alignment horizontal="general" vertical="center" textRotation="0" wrapText="false" indent="0" shrinkToFit="true"/>
      <protection locked="true" hidden="false"/>
    </xf>
    <xf numFmtId="174" fontId="58" fillId="0" borderId="3" xfId="0" applyFont="true" applyBorder="true" applyAlignment="true" applyProtection="true">
      <alignment horizontal="general" vertical="bottom" textRotation="0" wrapText="false" indent="0" shrinkToFit="true"/>
      <protection locked="true" hidden="false"/>
    </xf>
    <xf numFmtId="164" fontId="56" fillId="0" borderId="4" xfId="0" applyFont="true" applyBorder="true" applyAlignment="true" applyProtection="true">
      <alignment horizontal="general" vertical="center" textRotation="0" wrapText="false" indent="0" shrinkToFit="true"/>
      <protection locked="true" hidden="false"/>
    </xf>
    <xf numFmtId="165" fontId="96" fillId="0" borderId="0" xfId="20" applyFont="true" applyBorder="true" applyAlignment="true" applyProtection="true">
      <alignment horizontal="right" vertical="center" textRotation="0" wrapText="false" indent="0" shrinkToFit="false"/>
      <protection locked="true" hidden="false"/>
    </xf>
    <xf numFmtId="182" fontId="52" fillId="13" borderId="0" xfId="0" applyFont="true" applyBorder="false" applyAlignment="true" applyProtection="true">
      <alignment horizontal="right" vertical="center" textRotation="0" wrapText="false" indent="0" shrinkToFit="true"/>
      <protection locked="true" hidden="false"/>
    </xf>
    <xf numFmtId="164" fontId="53" fillId="13" borderId="0" xfId="0" applyFont="true" applyBorder="false" applyAlignment="true" applyProtection="true">
      <alignment horizontal="left" vertical="center" textRotation="0" wrapText="false" indent="0" shrinkToFit="false"/>
      <protection locked="true" hidden="false"/>
    </xf>
    <xf numFmtId="164" fontId="75" fillId="15" borderId="0" xfId="0" applyFont="true" applyBorder="false" applyAlignment="true" applyProtection="true">
      <alignment horizontal="general" vertical="top" textRotation="0" wrapText="false" indent="0" shrinkToFit="false"/>
      <protection locked="true" hidden="false"/>
    </xf>
    <xf numFmtId="174" fontId="57" fillId="0" borderId="172" xfId="0" applyFont="true" applyBorder="true" applyAlignment="true" applyProtection="true">
      <alignment horizontal="general" vertical="bottom" textRotation="0" wrapText="false" indent="0" shrinkToFit="false"/>
      <protection locked="true" hidden="false"/>
    </xf>
    <xf numFmtId="174" fontId="162" fillId="0" borderId="0" xfId="0" applyFont="true" applyBorder="false" applyAlignment="true" applyProtection="true">
      <alignment horizontal="right" vertical="center" textRotation="0" wrapText="false" indent="0" shrinkToFit="false"/>
      <protection locked="true" hidden="false"/>
    </xf>
    <xf numFmtId="165" fontId="167" fillId="0" borderId="39" xfId="20" applyFont="true" applyBorder="true" applyAlignment="true" applyProtection="true">
      <alignment horizontal="right" vertical="center" textRotation="0" wrapText="false" indent="0" shrinkToFit="false"/>
      <protection locked="true" hidden="false"/>
    </xf>
    <xf numFmtId="164" fontId="65" fillId="15" borderId="0" xfId="0" applyFont="true" applyBorder="false" applyAlignment="true" applyProtection="true">
      <alignment horizontal="general" vertical="bottom" textRotation="0" wrapText="false" indent="0" shrinkToFit="false"/>
      <protection locked="true" hidden="false"/>
    </xf>
    <xf numFmtId="164" fontId="58" fillId="0" borderId="4" xfId="0" applyFont="true" applyBorder="true" applyAlignment="true" applyProtection="true">
      <alignment horizontal="left" vertical="center" textRotation="0" wrapText="false" indent="0" shrinkToFit="true"/>
      <protection locked="true" hidden="false"/>
    </xf>
    <xf numFmtId="164" fontId="56" fillId="0" borderId="11" xfId="0" applyFont="true" applyBorder="true" applyAlignment="true" applyProtection="true">
      <alignment horizontal="left" vertical="center" textRotation="0" wrapText="false" indent="0" shrinkToFit="true"/>
      <protection locked="true" hidden="false"/>
    </xf>
    <xf numFmtId="164" fontId="58" fillId="0" borderId="0" xfId="0" applyFont="true" applyBorder="true" applyAlignment="true" applyProtection="true">
      <alignment horizontal="left" vertical="center" textRotation="0" wrapText="false" indent="0" shrinkToFit="true"/>
      <protection locked="true" hidden="false"/>
    </xf>
    <xf numFmtId="174" fontId="96" fillId="0" borderId="0" xfId="0" applyFont="true" applyBorder="true" applyAlignment="true" applyProtection="true">
      <alignment horizontal="general" vertical="bottom" textRotation="0" wrapText="false" indent="0" shrinkToFit="true"/>
      <protection locked="true" hidden="false"/>
    </xf>
    <xf numFmtId="183" fontId="74" fillId="0" borderId="0" xfId="20" applyFont="true" applyBorder="true" applyAlignment="true" applyProtection="true">
      <alignment horizontal="general" vertical="bottom" textRotation="0" wrapText="false" indent="0" shrinkToFit="true"/>
      <protection locked="true" hidden="false"/>
    </xf>
    <xf numFmtId="183" fontId="53" fillId="0" borderId="0" xfId="20" applyFont="true" applyBorder="true" applyAlignment="true" applyProtection="true">
      <alignment horizontal="general" vertical="bottom" textRotation="0" wrapText="false" indent="0" shrinkToFit="false"/>
      <protection locked="true" hidden="false"/>
    </xf>
    <xf numFmtId="183" fontId="54" fillId="0" borderId="0" xfId="20" applyFont="true" applyBorder="true" applyAlignment="true" applyProtection="true">
      <alignment horizontal="general" vertical="bottom" textRotation="0" wrapText="false" indent="0" shrinkToFit="false"/>
      <protection locked="true" hidden="false"/>
    </xf>
    <xf numFmtId="183" fontId="117" fillId="0" borderId="0" xfId="20" applyFont="true" applyBorder="true" applyAlignment="true" applyProtection="true">
      <alignment horizontal="right" vertical="bottom" textRotation="0" wrapText="false" indent="0" shrinkToFit="false"/>
      <protection locked="true" hidden="false"/>
    </xf>
    <xf numFmtId="183" fontId="54" fillId="0" borderId="0" xfId="20" applyFont="true" applyBorder="true" applyAlignment="true" applyProtection="true">
      <alignment horizontal="right" vertical="bottom" textRotation="0" wrapText="false" indent="0" shrinkToFit="false"/>
      <protection locked="true" hidden="false"/>
    </xf>
    <xf numFmtId="183" fontId="54" fillId="0" borderId="3" xfId="20" applyFont="true" applyBorder="true" applyAlignment="true" applyProtection="true">
      <alignment horizontal="center" vertical="center" textRotation="0" wrapText="false" indent="0" shrinkToFit="false"/>
      <protection locked="true" hidden="false"/>
    </xf>
    <xf numFmtId="183" fontId="54" fillId="0" borderId="3" xfId="20" applyFont="true" applyBorder="true" applyAlignment="true" applyProtection="true">
      <alignment horizontal="center" vertical="center" textRotation="0" wrapText="true" indent="0" shrinkToFit="false"/>
      <protection locked="true" hidden="false"/>
    </xf>
    <xf numFmtId="183" fontId="55" fillId="0" borderId="0" xfId="20" applyFont="true" applyBorder="true" applyAlignment="true" applyProtection="true">
      <alignment horizontal="left" vertical="center" textRotation="0" wrapText="true" indent="0" shrinkToFit="false"/>
      <protection locked="true" hidden="false"/>
    </xf>
    <xf numFmtId="183" fontId="54" fillId="0" borderId="3" xfId="20" applyFont="true" applyBorder="true" applyAlignment="true" applyProtection="true">
      <alignment horizontal="general" vertical="bottom" textRotation="0" wrapText="false" indent="0" shrinkToFit="false"/>
      <protection locked="true" hidden="false"/>
    </xf>
    <xf numFmtId="183" fontId="119" fillId="0" borderId="3" xfId="20" applyFont="true" applyBorder="true" applyAlignment="true" applyProtection="true">
      <alignment horizontal="general" vertical="bottom" textRotation="0" wrapText="false" indent="0" shrinkToFit="true"/>
      <protection locked="true" hidden="false"/>
    </xf>
    <xf numFmtId="183" fontId="172" fillId="0" borderId="0" xfId="20" applyFont="true" applyBorder="true" applyAlignment="true" applyProtection="true">
      <alignment horizontal="left" vertical="bottom" textRotation="0" wrapText="false" indent="0" shrinkToFit="false"/>
      <protection locked="true" hidden="false"/>
    </xf>
    <xf numFmtId="183" fontId="121" fillId="0" borderId="0" xfId="20" applyFont="true" applyBorder="true" applyAlignment="true" applyProtection="true">
      <alignment horizontal="general" vertical="bottom" textRotation="0" wrapText="false" indent="0" shrinkToFit="true"/>
      <protection locked="true" hidden="false"/>
    </xf>
    <xf numFmtId="183" fontId="119" fillId="14" borderId="3" xfId="20" applyFont="true" applyBorder="true" applyAlignment="true" applyProtection="true">
      <alignment horizontal="general" vertical="bottom" textRotation="0" wrapText="false" indent="0" shrinkToFit="true"/>
      <protection locked="true" hidden="false"/>
    </xf>
    <xf numFmtId="183" fontId="119" fillId="15" borderId="3" xfId="20" applyFont="true" applyBorder="true" applyAlignment="true" applyProtection="true">
      <alignment horizontal="general" vertical="bottom" textRotation="0" wrapText="false" indent="0" shrinkToFit="true"/>
      <protection locked="true" hidden="false"/>
    </xf>
    <xf numFmtId="183" fontId="54" fillId="0" borderId="3" xfId="20" applyFont="true" applyBorder="true" applyAlignment="true" applyProtection="true">
      <alignment horizontal="general" vertical="center" textRotation="0" wrapText="true" indent="0" shrinkToFit="true"/>
      <protection locked="true" hidden="false"/>
    </xf>
    <xf numFmtId="183" fontId="117" fillId="0" borderId="0" xfId="20" applyFont="true" applyBorder="true" applyAlignment="true" applyProtection="true">
      <alignment horizontal="center" vertical="center" textRotation="0" wrapText="false" indent="0" shrinkToFit="false"/>
      <protection locked="true" hidden="false"/>
    </xf>
    <xf numFmtId="183" fontId="119" fillId="0" borderId="0" xfId="20" applyFont="true" applyBorder="true" applyAlignment="true" applyProtection="true">
      <alignment horizontal="general" vertical="bottom" textRotation="0" wrapText="false" indent="0" shrinkToFit="true"/>
      <protection locked="true" hidden="false"/>
    </xf>
    <xf numFmtId="183" fontId="173" fillId="0" borderId="0" xfId="20" applyFont="true" applyBorder="true" applyAlignment="true" applyProtection="true">
      <alignment horizontal="left" vertical="bottom" textRotation="0" wrapText="false" indent="0" shrinkToFit="false"/>
      <protection locked="true" hidden="false"/>
    </xf>
    <xf numFmtId="183" fontId="123" fillId="0" borderId="0" xfId="20" applyFont="true" applyBorder="true" applyAlignment="true" applyProtection="true">
      <alignment horizontal="general" vertical="bottom" textRotation="0" wrapText="false" indent="0" shrinkToFit="true"/>
      <protection locked="true" hidden="false"/>
    </xf>
    <xf numFmtId="183" fontId="174" fillId="0" borderId="0" xfId="20" applyFont="true" applyBorder="true" applyAlignment="true" applyProtection="true">
      <alignment horizontal="center" vertical="bottom" textRotation="0" wrapText="false" indent="0" shrinkToFit="false"/>
      <protection locked="true" hidden="false"/>
    </xf>
    <xf numFmtId="183" fontId="173" fillId="0" borderId="0" xfId="20" applyFont="true" applyBorder="true" applyAlignment="true" applyProtection="true">
      <alignment horizontal="general" vertical="bottom" textRotation="0" wrapText="false" indent="0" shrinkToFit="false"/>
      <protection locked="true" hidden="false"/>
    </xf>
    <xf numFmtId="183" fontId="171" fillId="0" borderId="0" xfId="20" applyFont="true" applyBorder="true" applyAlignment="true" applyProtection="true">
      <alignment horizontal="left" vertical="bottom" textRotation="0" wrapText="false" indent="1" shrinkToFit="false"/>
      <protection locked="true" hidden="false"/>
    </xf>
    <xf numFmtId="183" fontId="171" fillId="0" borderId="0" xfId="20" applyFont="true" applyBorder="true" applyAlignment="true" applyProtection="true">
      <alignment horizontal="general" vertical="bottom" textRotation="0" wrapText="false" indent="0" shrinkToFit="false"/>
      <protection locked="true" hidden="false"/>
    </xf>
    <xf numFmtId="183" fontId="171" fillId="0" borderId="0" xfId="20" applyFont="true" applyBorder="true" applyAlignment="true" applyProtection="true">
      <alignment horizontal="left" vertical="bottom" textRotation="0" wrapText="false" indent="0" shrinkToFit="false"/>
      <protection locked="true" hidden="false"/>
    </xf>
    <xf numFmtId="183" fontId="171" fillId="0" borderId="0" xfId="20" applyFont="true" applyBorder="true" applyAlignment="true" applyProtection="true">
      <alignment horizontal="center" vertical="top" textRotation="0" wrapText="false" indent="0" shrinkToFit="false"/>
      <protection locked="true" hidden="false"/>
    </xf>
    <xf numFmtId="183" fontId="123" fillId="0" borderId="0" xfId="20" applyFont="true" applyBorder="true" applyAlignment="true" applyProtection="true">
      <alignment horizontal="general" vertical="bottom" textRotation="0" wrapText="false" indent="0" shrinkToFit="false"/>
      <protection locked="true" hidden="false"/>
    </xf>
    <xf numFmtId="183" fontId="175" fillId="0" borderId="0" xfId="20" applyFont="true" applyBorder="true" applyAlignment="true" applyProtection="true">
      <alignment horizontal="general" vertical="center" textRotation="0" wrapText="true" indent="0" shrinkToFit="true"/>
      <protection locked="true" hidden="false"/>
    </xf>
    <xf numFmtId="183" fontId="123" fillId="0" borderId="0" xfId="20" applyFont="true" applyBorder="true" applyAlignment="true" applyProtection="true">
      <alignment horizontal="general" vertical="center" textRotation="0" wrapText="true" indent="0" shrinkToFit="false"/>
      <protection locked="true" hidden="false"/>
    </xf>
    <xf numFmtId="183" fontId="119" fillId="0" borderId="0" xfId="20" applyFont="true" applyBorder="true" applyAlignment="true" applyProtection="true">
      <alignment horizontal="general" vertical="center" textRotation="0" wrapText="false" indent="0" shrinkToFit="false"/>
      <protection locked="true" hidden="false"/>
    </xf>
    <xf numFmtId="183" fontId="123" fillId="0" borderId="0" xfId="20" applyFont="true" applyBorder="true" applyAlignment="true" applyProtection="true">
      <alignment horizontal="center" vertical="bottom" textRotation="0" wrapText="false" indent="0" shrinkToFit="false"/>
      <protection locked="true" hidden="false"/>
    </xf>
    <xf numFmtId="183" fontId="119" fillId="0" borderId="0" xfId="20" applyFont="true" applyBorder="true" applyAlignment="true" applyProtection="true">
      <alignment horizontal="center" vertical="bottom" textRotation="0" wrapText="false" indent="0" shrinkToFit="false"/>
      <protection locked="true" hidden="false"/>
    </xf>
    <xf numFmtId="183" fontId="123" fillId="0" borderId="0" xfId="20" applyFont="true" applyBorder="true" applyAlignment="true" applyProtection="true">
      <alignment horizontal="right" vertical="center" textRotation="0" wrapText="true" indent="0" shrinkToFit="false"/>
      <protection locked="true" hidden="false"/>
    </xf>
    <xf numFmtId="183" fontId="119" fillId="0" borderId="0" xfId="20" applyFont="true" applyBorder="true" applyAlignment="true" applyProtection="true">
      <alignment horizontal="center" vertical="center" textRotation="0" wrapText="false" indent="0" shrinkToFit="false"/>
      <protection locked="true" hidden="false"/>
    </xf>
    <xf numFmtId="183" fontId="171" fillId="0" borderId="0" xfId="20" applyFont="true" applyBorder="true" applyAlignment="true" applyProtection="true">
      <alignment horizontal="general" vertical="top" textRotation="0" wrapText="false" indent="0" shrinkToFit="false"/>
      <protection locked="true" hidden="false"/>
    </xf>
    <xf numFmtId="183" fontId="176" fillId="0" borderId="0" xfId="20" applyFont="true" applyBorder="true" applyAlignment="true" applyProtection="true">
      <alignment horizontal="general" vertical="bottom" textRotation="0" wrapText="false" indent="0" shrinkToFit="false"/>
      <protection locked="true" hidden="false"/>
    </xf>
    <xf numFmtId="164" fontId="177" fillId="0" borderId="0" xfId="0" applyFont="true" applyBorder="false" applyAlignment="true" applyProtection="true">
      <alignment horizontal="left" vertical="bottom" textRotation="0" wrapText="false" indent="0" shrinkToFit="true"/>
      <protection locked="true" hidden="false"/>
    </xf>
    <xf numFmtId="164" fontId="178" fillId="0" borderId="0" xfId="0" applyFont="true" applyBorder="false" applyAlignment="true" applyProtection="true">
      <alignment horizontal="general" vertical="bottom" textRotation="0" wrapText="false" indent="0" shrinkToFit="false"/>
      <protection locked="true" hidden="false"/>
    </xf>
    <xf numFmtId="164" fontId="75" fillId="15" borderId="0" xfId="0" applyFont="true" applyBorder="true" applyAlignment="true" applyProtection="true">
      <alignment horizontal="center" vertical="center" textRotation="0" wrapText="false" indent="0" shrinkToFit="false"/>
      <protection locked="true" hidden="false"/>
    </xf>
    <xf numFmtId="165" fontId="162" fillId="15" borderId="0" xfId="21" applyFont="true" applyBorder="true" applyAlignment="true" applyProtection="true">
      <alignment horizontal="general" vertical="bottom" textRotation="0" wrapText="false" indent="0" shrinkToFit="true"/>
      <protection locked="true" hidden="false"/>
    </xf>
    <xf numFmtId="164" fontId="53" fillId="0" borderId="6" xfId="0" applyFont="true" applyBorder="true" applyAlignment="true" applyProtection="true">
      <alignment horizontal="general" vertical="bottom" textRotation="0" wrapText="false" indent="0" shrinkToFit="false"/>
      <protection locked="true" hidden="false"/>
    </xf>
    <xf numFmtId="165" fontId="179" fillId="0" borderId="0" xfId="21" applyFont="true" applyBorder="true" applyAlignment="true" applyProtection="true">
      <alignment horizontal="center" vertical="bottom" textRotation="0" wrapText="false" indent="0" shrinkToFit="false"/>
      <protection locked="true" hidden="false"/>
    </xf>
    <xf numFmtId="165" fontId="162" fillId="0" borderId="0" xfId="21" applyFont="true" applyBorder="true" applyAlignment="true" applyProtection="true">
      <alignment horizontal="general" vertical="bottom" textRotation="0" wrapText="false" indent="0" shrinkToFit="true"/>
      <protection locked="true" hidden="false"/>
    </xf>
    <xf numFmtId="183" fontId="180" fillId="0" borderId="24" xfId="20" applyFont="true" applyBorder="true" applyAlignment="true" applyProtection="true">
      <alignment horizontal="left" vertical="bottom" textRotation="0" wrapText="true" indent="0" shrinkToFit="false"/>
      <protection locked="true" hidden="false"/>
    </xf>
    <xf numFmtId="164" fontId="53" fillId="0" borderId="11" xfId="0" applyFont="true" applyBorder="true" applyAlignment="true" applyProtection="true">
      <alignment horizontal="center" vertical="center" textRotation="0" wrapText="false" indent="0" shrinkToFit="true"/>
      <protection locked="true" hidden="false"/>
    </xf>
    <xf numFmtId="165" fontId="53" fillId="0" borderId="10" xfId="21" applyFont="true" applyBorder="true" applyAlignment="true" applyProtection="true">
      <alignment horizontal="center" vertical="center" textRotation="0" wrapText="true" indent="0" shrinkToFit="false"/>
      <protection locked="true" hidden="false"/>
    </xf>
    <xf numFmtId="165" fontId="53" fillId="0" borderId="203" xfId="21" applyFont="true" applyBorder="true" applyAlignment="true" applyProtection="true">
      <alignment horizontal="center" vertical="center" textRotation="0" wrapText="false" indent="0" shrinkToFit="true"/>
      <protection locked="true" hidden="false"/>
    </xf>
    <xf numFmtId="165" fontId="53" fillId="0" borderId="39" xfId="21" applyFont="true" applyBorder="true" applyAlignment="true" applyProtection="true">
      <alignment horizontal="center" vertical="center" textRotation="0" wrapText="false" indent="0" shrinkToFit="true"/>
      <protection locked="true" hidden="false"/>
    </xf>
    <xf numFmtId="165" fontId="179" fillId="0" borderId="0" xfId="21" applyFont="true" applyBorder="true" applyAlignment="true" applyProtection="true">
      <alignment horizontal="center" vertical="center" textRotation="0" wrapText="false" indent="0" shrinkToFit="false"/>
      <protection locked="true" hidden="false"/>
    </xf>
    <xf numFmtId="165" fontId="53" fillId="0" borderId="204" xfId="21" applyFont="true" applyBorder="true" applyAlignment="true" applyProtection="true">
      <alignment horizontal="center" vertical="center" textRotation="0" wrapText="false" indent="0" shrinkToFit="true"/>
      <protection locked="true" hidden="false"/>
    </xf>
    <xf numFmtId="165" fontId="53" fillId="0" borderId="123" xfId="21" applyFont="true" applyBorder="true" applyAlignment="true" applyProtection="true">
      <alignment horizontal="center" vertical="center" textRotation="0" wrapText="false" indent="0" shrinkToFit="true"/>
      <protection locked="true" hidden="false"/>
    </xf>
    <xf numFmtId="165" fontId="75" fillId="0" borderId="0" xfId="21" applyFont="true" applyBorder="true" applyAlignment="true" applyProtection="true">
      <alignment horizontal="center" vertical="center" textRotation="0" wrapText="false" indent="0" shrinkToFit="false"/>
      <protection locked="true" hidden="false"/>
    </xf>
    <xf numFmtId="165" fontId="53" fillId="0" borderId="205" xfId="21" applyFont="true" applyBorder="true" applyAlignment="true" applyProtection="true">
      <alignment horizontal="center" vertical="center" textRotation="0" wrapText="false" indent="0" shrinkToFit="true"/>
      <protection locked="true" hidden="false"/>
    </xf>
    <xf numFmtId="165" fontId="53" fillId="0" borderId="206" xfId="21" applyFont="true" applyBorder="true" applyAlignment="true" applyProtection="true">
      <alignment horizontal="center" vertical="center" textRotation="0" wrapText="false" indent="0" shrinkToFit="true"/>
      <protection locked="true" hidden="false"/>
    </xf>
    <xf numFmtId="165" fontId="53" fillId="0" borderId="207" xfId="21" applyFont="true" applyBorder="true" applyAlignment="true" applyProtection="true">
      <alignment horizontal="center" vertical="center" textRotation="0" wrapText="false" indent="0" shrinkToFit="true"/>
      <protection locked="true" hidden="false"/>
    </xf>
    <xf numFmtId="165" fontId="53" fillId="0" borderId="208" xfId="21" applyFont="true" applyBorder="true" applyAlignment="true" applyProtection="true">
      <alignment horizontal="center" vertical="center" textRotation="0" wrapText="false" indent="0" shrinkToFit="true"/>
      <protection locked="true" hidden="false"/>
    </xf>
    <xf numFmtId="164" fontId="53" fillId="0" borderId="22" xfId="0" applyFont="true" applyBorder="true" applyAlignment="true" applyProtection="true">
      <alignment horizontal="general" vertical="bottom" textRotation="0" wrapText="false" indent="0" shrinkToFit="true"/>
      <protection locked="true" hidden="false"/>
    </xf>
    <xf numFmtId="165" fontId="52" fillId="0" borderId="5" xfId="21" applyFont="true" applyBorder="true" applyAlignment="true" applyProtection="true">
      <alignment horizontal="general" vertical="bottom" textRotation="0" wrapText="false" indent="0" shrinkToFit="true"/>
      <protection locked="true" hidden="false"/>
    </xf>
    <xf numFmtId="165" fontId="52" fillId="0" borderId="209" xfId="21" applyFont="true" applyBorder="true" applyAlignment="true" applyProtection="true">
      <alignment horizontal="general" vertical="bottom" textRotation="0" wrapText="false" indent="0" shrinkToFit="true"/>
      <protection locked="true" hidden="false"/>
    </xf>
    <xf numFmtId="165" fontId="52" fillId="0" borderId="210" xfId="21" applyFont="true" applyBorder="true" applyAlignment="true" applyProtection="true">
      <alignment horizontal="general" vertical="bottom" textRotation="0" wrapText="false" indent="0" shrinkToFit="true"/>
      <protection locked="true" hidden="false"/>
    </xf>
    <xf numFmtId="165" fontId="52" fillId="0" borderId="20" xfId="21" applyFont="true" applyBorder="true" applyAlignment="true" applyProtection="true">
      <alignment horizontal="general" vertical="bottom" textRotation="0" wrapText="false" indent="0" shrinkToFit="true"/>
      <protection locked="true" hidden="false"/>
    </xf>
    <xf numFmtId="165" fontId="182" fillId="0" borderId="0" xfId="21" applyFont="true" applyBorder="true" applyAlignment="true" applyProtection="true">
      <alignment horizontal="general" vertical="bottom" textRotation="0" wrapText="false" indent="0" shrinkToFit="false"/>
      <protection locked="true" hidden="false"/>
    </xf>
    <xf numFmtId="165" fontId="52" fillId="15" borderId="209" xfId="21" applyFont="true" applyBorder="true" applyAlignment="true" applyProtection="true">
      <alignment horizontal="general" vertical="bottom" textRotation="0" wrapText="false" indent="0" shrinkToFit="true"/>
      <protection locked="true" hidden="false"/>
    </xf>
    <xf numFmtId="165" fontId="52" fillId="0" borderId="128" xfId="21" applyFont="true" applyBorder="true" applyAlignment="true" applyProtection="true">
      <alignment horizontal="general" vertical="bottom" textRotation="0" wrapText="false" indent="0" shrinkToFit="true"/>
      <protection locked="true" hidden="false"/>
    </xf>
    <xf numFmtId="165" fontId="52" fillId="0" borderId="124" xfId="21" applyFont="true" applyBorder="true" applyAlignment="true" applyProtection="true">
      <alignment horizontal="general" vertical="bottom" textRotation="0" wrapText="false" indent="0" shrinkToFit="true"/>
      <protection locked="true" hidden="false"/>
    </xf>
    <xf numFmtId="183" fontId="180" fillId="0" borderId="4" xfId="20" applyFont="true" applyBorder="true" applyAlignment="true" applyProtection="true">
      <alignment horizontal="general" vertical="bottom" textRotation="0" wrapText="false" indent="0" shrinkToFit="false"/>
      <protection locked="true" hidden="false"/>
    </xf>
    <xf numFmtId="164" fontId="53" fillId="0" borderId="26" xfId="0" applyFont="true" applyBorder="true" applyAlignment="true" applyProtection="true">
      <alignment horizontal="general" vertical="bottom" textRotation="0" wrapText="false" indent="0" shrinkToFit="true"/>
      <protection locked="true" hidden="false"/>
    </xf>
    <xf numFmtId="183" fontId="180" fillId="0" borderId="47" xfId="20" applyFont="true" applyBorder="true" applyAlignment="true" applyProtection="true">
      <alignment horizontal="general" vertical="bottom" textRotation="0" wrapText="false" indent="0" shrinkToFit="false"/>
      <protection locked="true" hidden="false"/>
    </xf>
    <xf numFmtId="165" fontId="52" fillId="0" borderId="3" xfId="21" applyFont="true" applyBorder="true" applyAlignment="true" applyProtection="true">
      <alignment horizontal="general" vertical="bottom" textRotation="0" wrapText="false" indent="0" shrinkToFit="true"/>
      <protection locked="true" hidden="false"/>
    </xf>
    <xf numFmtId="165" fontId="52" fillId="0" borderId="105" xfId="21" applyFont="true" applyBorder="true" applyAlignment="true" applyProtection="true">
      <alignment horizontal="general" vertical="bottom" textRotation="0" wrapText="false" indent="0" shrinkToFit="true"/>
      <protection locked="true" hidden="false"/>
    </xf>
    <xf numFmtId="165" fontId="52" fillId="0" borderId="211" xfId="21" applyFont="true" applyBorder="true" applyAlignment="true" applyProtection="true">
      <alignment horizontal="general" vertical="bottom" textRotation="0" wrapText="false" indent="0" shrinkToFit="true"/>
      <protection locked="true" hidden="false"/>
    </xf>
    <xf numFmtId="165" fontId="52" fillId="15" borderId="3" xfId="21" applyFont="true" applyBorder="true" applyAlignment="true" applyProtection="true">
      <alignment horizontal="general" vertical="bottom" textRotation="0" wrapText="false" indent="0" shrinkToFit="true"/>
      <protection locked="true" hidden="false"/>
    </xf>
    <xf numFmtId="165" fontId="52" fillId="0" borderId="106" xfId="21" applyFont="true" applyBorder="true" applyAlignment="true" applyProtection="true">
      <alignment horizontal="general" vertical="bottom" textRotation="0" wrapText="false" indent="0" shrinkToFit="true"/>
      <protection locked="true" hidden="false"/>
    </xf>
    <xf numFmtId="164" fontId="53" fillId="0" borderId="26" xfId="0" applyFont="true" applyBorder="true" applyAlignment="true" applyProtection="true">
      <alignment horizontal="general" vertical="center" textRotation="0" wrapText="false" indent="0" shrinkToFit="true"/>
      <protection locked="true" hidden="false"/>
    </xf>
    <xf numFmtId="164" fontId="53" fillId="0" borderId="212" xfId="0" applyFont="true" applyBorder="true" applyAlignment="true" applyProtection="true">
      <alignment horizontal="general" vertical="center" textRotation="0" wrapText="false" indent="0" shrinkToFit="true"/>
      <protection locked="true" hidden="false"/>
    </xf>
    <xf numFmtId="165" fontId="52" fillId="0" borderId="48" xfId="21" applyFont="true" applyBorder="true" applyAlignment="true" applyProtection="true">
      <alignment horizontal="general" vertical="bottom" textRotation="0" wrapText="false" indent="0" shrinkToFit="true"/>
      <protection locked="true" hidden="false"/>
    </xf>
    <xf numFmtId="165" fontId="52" fillId="0" borderId="213" xfId="21" applyFont="true" applyBorder="true" applyAlignment="true" applyProtection="true">
      <alignment horizontal="general" vertical="bottom" textRotation="0" wrapText="false" indent="0" shrinkToFit="true"/>
      <protection locked="true" hidden="false"/>
    </xf>
    <xf numFmtId="164" fontId="53" fillId="0" borderId="59" xfId="0" applyFont="true" applyBorder="true" applyAlignment="true" applyProtection="true">
      <alignment horizontal="center" vertical="center" textRotation="0" wrapText="false" indent="0" shrinkToFit="true"/>
      <protection locked="true" hidden="false"/>
    </xf>
    <xf numFmtId="165" fontId="52" fillId="0" borderId="184" xfId="21" applyFont="true" applyBorder="true" applyAlignment="true" applyProtection="true">
      <alignment horizontal="general" vertical="bottom" textRotation="0" wrapText="false" indent="0" shrinkToFit="true"/>
      <protection locked="true" hidden="false"/>
    </xf>
    <xf numFmtId="165" fontId="52" fillId="0" borderId="164" xfId="21" applyFont="true" applyBorder="true" applyAlignment="true" applyProtection="true">
      <alignment horizontal="general" vertical="bottom" textRotation="0" wrapText="false" indent="0" shrinkToFit="true"/>
      <protection locked="true" hidden="false"/>
    </xf>
    <xf numFmtId="165" fontId="52" fillId="0" borderId="65" xfId="21" applyFont="true" applyBorder="true" applyAlignment="true" applyProtection="true">
      <alignment horizontal="general" vertical="bottom" textRotation="0" wrapText="false" indent="0" shrinkToFit="true"/>
      <protection locked="true" hidden="false"/>
    </xf>
    <xf numFmtId="165" fontId="52" fillId="15" borderId="214" xfId="21" applyFont="true" applyBorder="true" applyAlignment="true" applyProtection="true">
      <alignment horizontal="general" vertical="bottom" textRotation="0" wrapText="false" indent="0" shrinkToFit="true"/>
      <protection locked="true" hidden="false"/>
    </xf>
    <xf numFmtId="165" fontId="52" fillId="0" borderId="215" xfId="21" applyFont="true" applyBorder="true" applyAlignment="true" applyProtection="true">
      <alignment horizontal="general" vertical="bottom" textRotation="0" wrapText="false" indent="0" shrinkToFit="true"/>
      <protection locked="true" hidden="false"/>
    </xf>
    <xf numFmtId="165" fontId="52" fillId="0" borderId="216" xfId="21" applyFont="true" applyBorder="true" applyAlignment="true" applyProtection="true">
      <alignment horizontal="general" vertical="bottom" textRotation="0" wrapText="false" indent="0" shrinkToFit="true"/>
      <protection locked="true" hidden="false"/>
    </xf>
    <xf numFmtId="183" fontId="180" fillId="0" borderId="5" xfId="20" applyFont="true" applyBorder="true" applyAlignment="true" applyProtection="true">
      <alignment horizontal="general" vertical="bottom" textRotation="0" wrapText="false" indent="0" shrinkToFit="false"/>
      <protection locked="true" hidden="false"/>
    </xf>
    <xf numFmtId="164" fontId="75" fillId="0" borderId="0" xfId="0" applyFont="true" applyBorder="true" applyAlignment="true" applyProtection="true">
      <alignment horizontal="center" vertical="center" textRotation="0" wrapText="false" indent="0" shrinkToFit="false"/>
      <protection locked="true" hidden="false"/>
    </xf>
    <xf numFmtId="165" fontId="56" fillId="0" borderId="77" xfId="21" applyFont="true" applyBorder="true" applyAlignment="true" applyProtection="true">
      <alignment horizontal="center" vertical="center" textRotation="0" wrapText="false" indent="0" shrinkToFit="true"/>
      <protection locked="true" hidden="false"/>
    </xf>
    <xf numFmtId="165" fontId="64" fillId="0" borderId="0" xfId="21" applyFont="true" applyBorder="true" applyAlignment="true" applyProtection="true">
      <alignment horizontal="general" vertical="bottom" textRotation="0" wrapText="false" indent="0" shrinkToFit="true"/>
      <protection locked="true" hidden="false"/>
    </xf>
    <xf numFmtId="164" fontId="53" fillId="0" borderId="0" xfId="0" applyFont="true" applyBorder="false" applyAlignment="true" applyProtection="true">
      <alignment horizontal="left" vertical="bottom" textRotation="0" wrapText="false" indent="0" shrinkToFit="false"/>
      <protection locked="true" hidden="false"/>
    </xf>
    <xf numFmtId="165" fontId="53" fillId="0" borderId="84" xfId="21" applyFont="true" applyBorder="true" applyAlignment="true" applyProtection="true">
      <alignment horizontal="center" vertical="center" textRotation="0" wrapText="false" indent="0" shrinkToFit="true"/>
      <protection locked="true" hidden="false"/>
    </xf>
    <xf numFmtId="165" fontId="65" fillId="0" borderId="0" xfId="21" applyFont="true" applyBorder="true" applyAlignment="true" applyProtection="true">
      <alignment horizontal="center" vertical="center" textRotation="0" wrapText="false" indent="0" shrinkToFit="true"/>
      <protection locked="true" hidden="false"/>
    </xf>
    <xf numFmtId="164" fontId="53" fillId="0" borderId="7" xfId="0" applyFont="true" applyBorder="true" applyAlignment="true" applyProtection="true">
      <alignment horizontal="center" vertical="center" textRotation="0" wrapText="false" indent="0" shrinkToFit="true"/>
      <protection locked="true" hidden="false"/>
    </xf>
    <xf numFmtId="165" fontId="52" fillId="0" borderId="7" xfId="21" applyFont="true" applyBorder="true" applyAlignment="true" applyProtection="true">
      <alignment horizontal="center" vertical="center" textRotation="0" wrapText="false" indent="0" shrinkToFit="false"/>
      <protection locked="true" hidden="false"/>
    </xf>
    <xf numFmtId="164" fontId="53" fillId="0" borderId="0" xfId="0" applyFont="true" applyBorder="true" applyAlignment="true" applyProtection="true">
      <alignment horizontal="left" vertical="bottom" textRotation="0" wrapText="true" indent="0" shrinkToFit="false"/>
      <protection locked="true" hidden="false"/>
    </xf>
    <xf numFmtId="165" fontId="53" fillId="0" borderId="37" xfId="21" applyFont="true" applyBorder="true" applyAlignment="true" applyProtection="true">
      <alignment horizontal="center" vertical="center" textRotation="0" wrapText="false" indent="0" shrinkToFit="true"/>
      <protection locked="true" hidden="false"/>
    </xf>
    <xf numFmtId="165" fontId="53" fillId="0" borderId="88" xfId="21" applyFont="true" applyBorder="true" applyAlignment="true" applyProtection="true">
      <alignment horizontal="center" vertical="center" textRotation="0" wrapText="false" indent="0" shrinkToFit="true"/>
      <protection locked="true" hidden="false"/>
    </xf>
    <xf numFmtId="165" fontId="53" fillId="16" borderId="38" xfId="21" applyFont="true" applyBorder="true" applyAlignment="true" applyProtection="true">
      <alignment horizontal="center" vertical="center" textRotation="0" wrapText="false" indent="0" shrinkToFit="true"/>
      <protection locked="true" hidden="false"/>
    </xf>
    <xf numFmtId="164" fontId="53" fillId="19" borderId="11" xfId="0" applyFont="true" applyBorder="true" applyAlignment="true" applyProtection="true">
      <alignment horizontal="center" vertical="center" textRotation="0" wrapText="false" indent="0" shrinkToFit="true"/>
      <protection locked="true" hidden="false"/>
    </xf>
    <xf numFmtId="164" fontId="53" fillId="19" borderId="39" xfId="0" applyFont="true" applyBorder="true" applyAlignment="true" applyProtection="true">
      <alignment horizontal="center" vertical="center" textRotation="0" wrapText="false" indent="0" shrinkToFit="true"/>
      <protection locked="true" hidden="false"/>
    </xf>
    <xf numFmtId="164" fontId="75" fillId="19" borderId="0" xfId="0" applyFont="true" applyBorder="true" applyAlignment="true" applyProtection="true">
      <alignment horizontal="general" vertical="bottom" textRotation="0" wrapText="false" indent="0" shrinkToFit="false"/>
      <protection locked="true" hidden="false"/>
    </xf>
    <xf numFmtId="174" fontId="64" fillId="19" borderId="0" xfId="0" applyFont="true" applyBorder="true" applyAlignment="true" applyProtection="true">
      <alignment horizontal="general" vertical="bottom" textRotation="0" wrapText="false" indent="0" shrinkToFit="true"/>
      <protection locked="true" hidden="false"/>
    </xf>
    <xf numFmtId="165" fontId="52" fillId="0" borderId="16" xfId="21" applyFont="true" applyBorder="true" applyAlignment="true" applyProtection="true">
      <alignment horizontal="general" vertical="bottom" textRotation="0" wrapText="false" indent="0" shrinkToFit="true"/>
      <protection locked="true" hidden="false"/>
    </xf>
    <xf numFmtId="165" fontId="183" fillId="16" borderId="20" xfId="21" applyFont="true" applyBorder="true" applyAlignment="true" applyProtection="true">
      <alignment horizontal="general" vertical="bottom" textRotation="0" wrapText="false" indent="0" shrinkToFit="true"/>
      <protection locked="true" hidden="false"/>
    </xf>
    <xf numFmtId="165" fontId="65" fillId="0" borderId="0" xfId="21" applyFont="true" applyBorder="true" applyAlignment="true" applyProtection="true">
      <alignment horizontal="general" vertical="bottom" textRotation="0" wrapText="false" indent="0" shrinkToFit="true"/>
      <protection locked="true" hidden="false"/>
    </xf>
    <xf numFmtId="164" fontId="75" fillId="0" borderId="0" xfId="0" applyFont="true" applyBorder="true" applyAlignment="true" applyProtection="true">
      <alignment horizontal="general" vertical="center" textRotation="0" wrapText="false" indent="0" shrinkToFit="false"/>
      <protection locked="true" hidden="false"/>
    </xf>
    <xf numFmtId="164" fontId="53" fillId="19" borderId="22" xfId="0" applyFont="true" applyBorder="true" applyAlignment="true" applyProtection="true">
      <alignment horizontal="general" vertical="bottom" textRotation="0" wrapText="false" indent="0" shrinkToFit="true"/>
      <protection locked="true" hidden="false"/>
    </xf>
    <xf numFmtId="174" fontId="52" fillId="19" borderId="23" xfId="0" applyFont="true" applyBorder="true" applyAlignment="true" applyProtection="true">
      <alignment horizontal="general" vertical="bottom" textRotation="0" wrapText="false" indent="0" shrinkToFit="true"/>
      <protection locked="true" hidden="false"/>
    </xf>
    <xf numFmtId="164" fontId="53" fillId="19" borderId="26" xfId="0" applyFont="true" applyBorder="true" applyAlignment="true" applyProtection="true">
      <alignment horizontal="general" vertical="bottom" textRotation="0" wrapText="false" indent="0" shrinkToFit="true"/>
      <protection locked="true" hidden="false"/>
    </xf>
    <xf numFmtId="165" fontId="184" fillId="0" borderId="0" xfId="21" applyFont="true" applyBorder="true" applyAlignment="true" applyProtection="true">
      <alignment horizontal="left" vertical="bottom" textRotation="0" wrapText="false" indent="0" shrinkToFit="true"/>
      <protection locked="true" hidden="false"/>
    </xf>
    <xf numFmtId="225" fontId="184" fillId="0" borderId="0" xfId="21" applyFont="true" applyBorder="true" applyAlignment="true" applyProtection="true">
      <alignment horizontal="general" vertical="bottom" textRotation="0" wrapText="false" indent="0" shrinkToFit="true"/>
      <protection locked="true" hidden="false"/>
    </xf>
    <xf numFmtId="164" fontId="53" fillId="19" borderId="34" xfId="0" applyFont="true" applyBorder="true" applyAlignment="true" applyProtection="true">
      <alignment horizontal="general" vertical="bottom" textRotation="0" wrapText="false" indent="0" shrinkToFit="true"/>
      <protection locked="true" hidden="false"/>
    </xf>
    <xf numFmtId="226" fontId="184" fillId="15" borderId="0" xfId="21" applyFont="true" applyBorder="true" applyAlignment="true" applyProtection="true">
      <alignment horizontal="left" vertical="bottom" textRotation="0" wrapText="false" indent="0" shrinkToFit="true"/>
      <protection locked="true" hidden="false"/>
    </xf>
    <xf numFmtId="164" fontId="53" fillId="19" borderId="159" xfId="0" applyFont="true" applyBorder="true" applyAlignment="true" applyProtection="true">
      <alignment horizontal="general" vertical="bottom" textRotation="0" wrapText="false" indent="0" shrinkToFit="true"/>
      <protection locked="true" hidden="false"/>
    </xf>
    <xf numFmtId="165" fontId="183" fillId="16" borderId="28" xfId="21" applyFont="true" applyBorder="true" applyAlignment="true" applyProtection="true">
      <alignment horizontal="general" vertical="bottom" textRotation="0" wrapText="false" indent="0" shrinkToFit="true"/>
      <protection locked="true" hidden="false"/>
    </xf>
    <xf numFmtId="164" fontId="53" fillId="19" borderId="163" xfId="0" applyFont="true" applyBorder="true" applyAlignment="true" applyProtection="true">
      <alignment horizontal="general" vertical="bottom" textRotation="0" wrapText="false" indent="0" shrinkToFit="true"/>
      <protection locked="true" hidden="false"/>
    </xf>
    <xf numFmtId="174" fontId="52" fillId="19" borderId="164" xfId="0" applyFont="true" applyBorder="true" applyAlignment="true" applyProtection="true">
      <alignment horizontal="general" vertical="bottom" textRotation="0" wrapText="false" indent="0" shrinkToFit="true"/>
      <protection locked="true" hidden="false"/>
    </xf>
    <xf numFmtId="227" fontId="184" fillId="15" borderId="0" xfId="21" applyFont="true" applyBorder="true" applyAlignment="true" applyProtection="true">
      <alignment horizontal="left" vertical="top" textRotation="0" wrapText="false" indent="0" shrinkToFit="true"/>
      <protection locked="true" hidden="false"/>
    </xf>
    <xf numFmtId="164" fontId="53" fillId="19" borderId="59" xfId="0" applyFont="true" applyBorder="true" applyAlignment="true" applyProtection="true">
      <alignment horizontal="general" vertical="bottom" textRotation="0" wrapText="false" indent="0" shrinkToFit="true"/>
      <protection locked="true" hidden="false"/>
    </xf>
    <xf numFmtId="165" fontId="52" fillId="0" borderId="46" xfId="21" applyFont="true" applyBorder="true" applyAlignment="true" applyProtection="true">
      <alignment horizontal="general" vertical="bottom" textRotation="0" wrapText="false" indent="0" shrinkToFit="true"/>
      <protection locked="true" hidden="false"/>
    </xf>
    <xf numFmtId="165" fontId="65" fillId="16" borderId="217" xfId="21" applyFont="true" applyBorder="true" applyAlignment="true" applyProtection="true">
      <alignment horizontal="general" vertical="bottom" textRotation="0" wrapText="false" indent="0" shrinkToFit="true"/>
      <protection locked="true" hidden="false"/>
    </xf>
    <xf numFmtId="164" fontId="75" fillId="15" borderId="0" xfId="0" applyFont="true" applyBorder="true" applyAlignment="true" applyProtection="true">
      <alignment horizontal="general" vertical="bottom" textRotation="0" wrapText="false" indent="0" shrinkToFit="false"/>
      <protection locked="true" hidden="false"/>
    </xf>
    <xf numFmtId="174" fontId="64" fillId="15" borderId="0" xfId="0" applyFont="true" applyBorder="true" applyAlignment="true" applyProtection="true">
      <alignment horizontal="general" vertical="bottom" textRotation="0" wrapText="false" indent="0" shrinkToFit="true"/>
      <protection locked="true" hidden="false"/>
    </xf>
    <xf numFmtId="165" fontId="52" fillId="0" borderId="12" xfId="21" applyFont="true" applyBorder="true" applyAlignment="true" applyProtection="true">
      <alignment horizontal="general" vertical="bottom" textRotation="0" wrapText="false" indent="0" shrinkToFit="true"/>
      <protection locked="true" hidden="false"/>
    </xf>
    <xf numFmtId="165" fontId="52" fillId="0" borderId="0" xfId="21" applyFont="true" applyBorder="true" applyAlignment="true" applyProtection="true">
      <alignment horizontal="general" vertical="bottom" textRotation="0" wrapText="false" indent="0" shrinkToFit="true"/>
      <protection locked="true" hidden="false"/>
    </xf>
    <xf numFmtId="164" fontId="177" fillId="0" borderId="0" xfId="0" applyFont="true" applyBorder="false" applyAlignment="true" applyProtection="true">
      <alignment horizontal="general" vertical="bottom" textRotation="0" wrapText="false" indent="0" shrinkToFit="true"/>
      <protection locked="true" hidden="false"/>
    </xf>
    <xf numFmtId="165" fontId="185" fillId="0" borderId="0" xfId="21" applyFont="true" applyBorder="true" applyAlignment="true" applyProtection="true">
      <alignment horizontal="general" vertical="bottom" textRotation="0" wrapText="false" indent="0" shrinkToFit="false"/>
      <protection locked="true" hidden="false"/>
    </xf>
    <xf numFmtId="164" fontId="65" fillId="15" borderId="0" xfId="0" applyFont="true" applyBorder="true" applyAlignment="true" applyProtection="true">
      <alignment horizontal="general" vertical="bottom" textRotation="0" wrapText="false" indent="0" shrinkToFit="false"/>
      <protection locked="true" hidden="false"/>
    </xf>
    <xf numFmtId="174" fontId="52" fillId="15" borderId="0" xfId="0" applyFont="true" applyBorder="true" applyAlignment="true" applyProtection="true">
      <alignment horizontal="general" vertical="bottom" textRotation="0" wrapText="false" indent="0" shrinkToFit="true"/>
      <protection locked="true" hidden="false"/>
    </xf>
    <xf numFmtId="165" fontId="53" fillId="0" borderId="8" xfId="21" applyFont="true" applyBorder="true" applyAlignment="true" applyProtection="true">
      <alignment horizontal="center" vertical="center" textRotation="0" wrapText="false" indent="0" shrinkToFit="false"/>
      <protection locked="true" hidden="false"/>
    </xf>
    <xf numFmtId="165" fontId="65" fillId="0" borderId="0" xfId="21" applyFont="true" applyBorder="true" applyAlignment="true" applyProtection="true">
      <alignment horizontal="center" vertical="center" textRotation="0" wrapText="false" indent="0" shrinkToFit="false"/>
      <protection locked="true" hidden="false"/>
    </xf>
    <xf numFmtId="165" fontId="53" fillId="0" borderId="10" xfId="21" applyFont="true" applyBorder="true" applyAlignment="true" applyProtection="true">
      <alignment horizontal="center" vertical="center" textRotation="0" wrapText="false" indent="0" shrinkToFit="false"/>
      <protection locked="true" hidden="false"/>
    </xf>
    <xf numFmtId="165" fontId="53" fillId="0" borderId="39" xfId="21" applyFont="true" applyBorder="true" applyAlignment="true" applyProtection="true">
      <alignment horizontal="center" vertical="center" textRotation="0" wrapText="false" indent="0" shrinkToFit="false"/>
      <protection locked="true" hidden="false"/>
    </xf>
    <xf numFmtId="165" fontId="53" fillId="0" borderId="218" xfId="21" applyFont="true" applyBorder="true" applyAlignment="true" applyProtection="true">
      <alignment horizontal="center" vertical="center" textRotation="0" wrapText="false" indent="0" shrinkToFit="true"/>
      <protection locked="true" hidden="false"/>
    </xf>
    <xf numFmtId="165" fontId="52" fillId="0" borderId="99" xfId="21" applyFont="true" applyBorder="true" applyAlignment="true" applyProtection="true">
      <alignment horizontal="general" vertical="bottom" textRotation="0" wrapText="false" indent="0" shrinkToFit="true"/>
      <protection locked="true" hidden="false"/>
    </xf>
    <xf numFmtId="165" fontId="52" fillId="0" borderId="141" xfId="21" applyFont="true" applyBorder="true" applyAlignment="true" applyProtection="true">
      <alignment horizontal="general" vertical="bottom" textRotation="0" wrapText="false" indent="0" shrinkToFit="true"/>
      <protection locked="true" hidden="false"/>
    </xf>
    <xf numFmtId="165" fontId="52" fillId="0" borderId="0" xfId="21" applyFont="true" applyBorder="true" applyAlignment="true" applyProtection="true">
      <alignment horizontal="general" vertical="bottom" textRotation="0" wrapText="false" indent="0" shrinkToFit="false"/>
      <protection locked="true" hidden="false"/>
    </xf>
    <xf numFmtId="165" fontId="52" fillId="0" borderId="144" xfId="21" applyFont="true" applyBorder="true" applyAlignment="true" applyProtection="true">
      <alignment horizontal="general" vertical="bottom" textRotation="0" wrapText="false" indent="0" shrinkToFit="true"/>
      <protection locked="true" hidden="false"/>
    </xf>
    <xf numFmtId="165" fontId="52" fillId="0" borderId="28" xfId="21" applyFont="true" applyBorder="true" applyAlignment="true" applyProtection="true">
      <alignment horizontal="general" vertical="bottom" textRotation="0" wrapText="false" indent="0" shrinkToFit="true"/>
      <protection locked="true" hidden="false"/>
    </xf>
    <xf numFmtId="165" fontId="52" fillId="0" borderId="29" xfId="21" applyFont="true" applyBorder="true" applyAlignment="true" applyProtection="true">
      <alignment horizontal="general" vertical="bottom" textRotation="0" wrapText="false" indent="0" shrinkToFit="true"/>
      <protection locked="true" hidden="false"/>
    </xf>
    <xf numFmtId="165" fontId="52" fillId="15" borderId="219" xfId="21" applyFont="true" applyBorder="true" applyAlignment="true" applyProtection="true">
      <alignment horizontal="general" vertical="bottom" textRotation="0" wrapText="false" indent="0" shrinkToFit="true"/>
      <protection locked="true" hidden="false"/>
    </xf>
    <xf numFmtId="165" fontId="52" fillId="0" borderId="220" xfId="21" applyFont="true" applyBorder="true" applyAlignment="true" applyProtection="true">
      <alignment horizontal="general" vertical="bottom" textRotation="0" wrapText="false" indent="0" shrinkToFit="true"/>
      <protection locked="true" hidden="false"/>
    </xf>
    <xf numFmtId="165" fontId="52" fillId="0" borderId="217" xfId="21" applyFont="true" applyBorder="true" applyAlignment="true" applyProtection="true">
      <alignment horizontal="general" vertical="bottom" textRotation="0" wrapText="false" indent="0" shrinkToFit="true"/>
      <protection locked="true" hidden="false"/>
    </xf>
    <xf numFmtId="165" fontId="52" fillId="0" borderId="214" xfId="21" applyFont="true" applyBorder="true" applyAlignment="true" applyProtection="true">
      <alignment horizontal="general" vertical="bottom" textRotation="0" wrapText="false" indent="0" shrinkToFit="true"/>
      <protection locked="true" hidden="false"/>
    </xf>
    <xf numFmtId="165" fontId="52" fillId="0" borderId="221" xfId="21" applyFont="true" applyBorder="true" applyAlignment="true" applyProtection="true">
      <alignment horizontal="general" vertical="bottom" textRotation="0" wrapText="false" indent="0" shrinkToFit="true"/>
      <protection locked="true" hidden="false"/>
    </xf>
    <xf numFmtId="164" fontId="187" fillId="0" borderId="0" xfId="0" applyFont="true" applyBorder="false" applyAlignment="true" applyProtection="true">
      <alignment horizontal="general" vertical="top" textRotation="0" wrapText="false" indent="0" shrinkToFit="false"/>
      <protection locked="true" hidden="false"/>
    </xf>
    <xf numFmtId="164" fontId="53" fillId="0" borderId="222" xfId="0" applyFont="true" applyBorder="true" applyAlignment="true" applyProtection="true">
      <alignment horizontal="center" vertical="bottom" textRotation="0" wrapText="false" indent="0" shrinkToFit="true"/>
      <protection locked="true" hidden="false"/>
    </xf>
    <xf numFmtId="164" fontId="65" fillId="0" borderId="0" xfId="0" applyFont="true" applyBorder="true" applyAlignment="true" applyProtection="true">
      <alignment horizontal="center" vertical="bottom" textRotation="0" wrapText="true" indent="0" shrinkToFit="false"/>
      <protection locked="true" hidden="false"/>
    </xf>
    <xf numFmtId="164" fontId="56" fillId="0" borderId="64" xfId="0" applyFont="true" applyBorder="true" applyAlignment="true" applyProtection="true">
      <alignment horizontal="right" vertical="center" textRotation="0" wrapText="false" indent="0" shrinkToFit="false"/>
      <protection locked="true" hidden="false"/>
    </xf>
    <xf numFmtId="164" fontId="161" fillId="0" borderId="0" xfId="0" applyFont="true" applyBorder="true" applyAlignment="true" applyProtection="true">
      <alignment horizontal="right" vertical="center" textRotation="0" wrapText="false" indent="0" shrinkToFit="false"/>
      <protection locked="true" hidden="false"/>
    </xf>
    <xf numFmtId="165" fontId="52" fillId="0" borderId="23" xfId="21" applyFont="true" applyBorder="true" applyAlignment="true" applyProtection="true">
      <alignment horizontal="general" vertical="bottom" textRotation="0" wrapText="false" indent="0" shrinkToFit="true"/>
      <protection locked="true" hidden="false"/>
    </xf>
    <xf numFmtId="165" fontId="52" fillId="0" borderId="7" xfId="21" applyFont="true" applyBorder="true" applyAlignment="true" applyProtection="true">
      <alignment horizontal="center" vertical="center" textRotation="0" wrapText="false" indent="0" shrinkToFit="true"/>
      <protection locked="true" hidden="false"/>
    </xf>
    <xf numFmtId="165" fontId="52" fillId="0" borderId="0" xfId="21" applyFont="true" applyBorder="true" applyAlignment="true" applyProtection="true">
      <alignment horizontal="center" vertical="center" textRotation="0" wrapText="false" indent="0" shrinkToFit="true"/>
      <protection locked="true" hidden="false"/>
    </xf>
    <xf numFmtId="164" fontId="52" fillId="0" borderId="0" xfId="0" applyFont="true" applyBorder="true" applyAlignment="true" applyProtection="true">
      <alignment horizontal="general" vertical="bottom" textRotation="0" wrapText="false" indent="0" shrinkToFit="false"/>
      <protection locked="true" hidden="false"/>
    </xf>
    <xf numFmtId="225" fontId="184" fillId="15" borderId="0" xfId="21" applyFont="true" applyBorder="true" applyAlignment="true" applyProtection="true">
      <alignment horizontal="general" vertical="bottom" textRotation="0" wrapText="false" indent="0" shrinkToFit="true"/>
      <protection locked="true" hidden="false"/>
    </xf>
    <xf numFmtId="226" fontId="184" fillId="15" borderId="0" xfId="21" applyFont="true" applyBorder="true" applyAlignment="true" applyProtection="true">
      <alignment horizontal="left" vertical="center" textRotation="0" wrapText="false" indent="0" shrinkToFit="true"/>
      <protection locked="true" hidden="false"/>
    </xf>
    <xf numFmtId="164" fontId="65" fillId="0" borderId="0" xfId="0" applyFont="true" applyBorder="true" applyAlignment="true" applyProtection="true">
      <alignment horizontal="center" vertical="center" textRotation="0" wrapText="false" indent="0" shrinkToFit="false"/>
      <protection locked="true" hidden="false"/>
    </xf>
    <xf numFmtId="165" fontId="52" fillId="15" borderId="0" xfId="21" applyFont="true" applyBorder="true" applyAlignment="true" applyProtection="true">
      <alignment horizontal="general" vertical="bottom" textRotation="0" wrapText="false" indent="0" shrinkToFit="true"/>
      <protection locked="true" hidden="false"/>
    </xf>
    <xf numFmtId="165" fontId="52" fillId="0" borderId="45" xfId="21" applyFont="true" applyBorder="true" applyAlignment="true" applyProtection="true">
      <alignment horizontal="general" vertical="bottom" textRotation="0" wrapText="false" indent="0" shrinkToFit="true"/>
      <protection locked="true" hidden="false"/>
    </xf>
    <xf numFmtId="164" fontId="177" fillId="13" borderId="0" xfId="0" applyFont="true" applyBorder="false" applyAlignment="true" applyProtection="true">
      <alignment horizontal="general" vertical="bottom" textRotation="0" wrapText="false" indent="0" shrinkToFit="true"/>
      <protection locked="true" hidden="false"/>
    </xf>
    <xf numFmtId="164" fontId="178" fillId="13" borderId="0" xfId="0" applyFont="true" applyBorder="false" applyAlignment="true" applyProtection="true">
      <alignment horizontal="general" vertical="bottom" textRotation="0" wrapText="false" indent="0" shrinkToFit="false"/>
      <protection locked="true" hidden="false"/>
    </xf>
    <xf numFmtId="165" fontId="188" fillId="13" borderId="0" xfId="21" applyFont="true" applyBorder="true" applyAlignment="true" applyProtection="true">
      <alignment horizontal="general" vertical="bottom" textRotation="0" wrapText="false" indent="0" shrinkToFit="false"/>
      <protection locked="true" hidden="false"/>
    </xf>
    <xf numFmtId="165" fontId="65" fillId="0" borderId="0" xfId="20" applyFont="true" applyBorder="true" applyAlignment="true" applyProtection="true">
      <alignment horizontal="right" vertical="bottom" textRotation="0" wrapText="false" indent="0" shrinkToFit="false"/>
      <protection locked="true" hidden="false"/>
    </xf>
    <xf numFmtId="164" fontId="53" fillId="0" borderId="6" xfId="0" applyFont="true" applyBorder="true" applyAlignment="true" applyProtection="true">
      <alignment horizontal="left" vertical="bottom" textRotation="0" wrapText="true" indent="0" shrinkToFit="true"/>
      <protection locked="true" hidden="false"/>
    </xf>
    <xf numFmtId="165" fontId="53" fillId="0" borderId="10" xfId="21" applyFont="true" applyBorder="true" applyAlignment="true" applyProtection="true">
      <alignment horizontal="center" vertical="center" textRotation="0" wrapText="true" indent="0" shrinkToFit="true"/>
      <protection locked="true" hidden="false"/>
    </xf>
    <xf numFmtId="165" fontId="53" fillId="0" borderId="10" xfId="21" applyFont="true" applyBorder="true" applyAlignment="true" applyProtection="true">
      <alignment horizontal="center" vertical="center" textRotation="0" wrapText="false" indent="0" shrinkToFit="true"/>
      <protection locked="true" hidden="false"/>
    </xf>
    <xf numFmtId="165" fontId="53" fillId="0" borderId="90" xfId="21" applyFont="true" applyBorder="true" applyAlignment="true" applyProtection="true">
      <alignment horizontal="center" vertical="center" textRotation="0" wrapText="true" indent="0" shrinkToFit="true"/>
      <protection locked="true" hidden="false"/>
    </xf>
    <xf numFmtId="165" fontId="53" fillId="0" borderId="8" xfId="21" applyFont="true" applyBorder="true" applyAlignment="true" applyProtection="true">
      <alignment horizontal="center" vertical="center" textRotation="0" wrapText="false" indent="0" shrinkToFit="true"/>
      <protection locked="true" hidden="false"/>
    </xf>
    <xf numFmtId="164" fontId="53" fillId="19" borderId="11" xfId="0" applyFont="true" applyBorder="true" applyAlignment="true" applyProtection="true">
      <alignment horizontal="center" vertical="center" textRotation="0" wrapText="false" indent="0" shrinkToFit="false"/>
      <protection locked="true" hidden="false"/>
    </xf>
    <xf numFmtId="164" fontId="54" fillId="19" borderId="39" xfId="0" applyFont="true" applyBorder="true" applyAlignment="true" applyProtection="true">
      <alignment horizontal="center" vertical="center" textRotation="0" wrapText="true" indent="0" shrinkToFit="false"/>
      <protection locked="true" hidden="false"/>
    </xf>
    <xf numFmtId="164" fontId="53" fillId="19" borderId="39" xfId="0" applyFont="true" applyBorder="true" applyAlignment="true" applyProtection="true">
      <alignment horizontal="center" vertical="center" textRotation="0" wrapText="true" indent="0" shrinkToFit="false"/>
      <protection locked="true" hidden="false"/>
    </xf>
    <xf numFmtId="183" fontId="52" fillId="0" borderId="5" xfId="21" applyFont="true" applyBorder="true" applyAlignment="true" applyProtection="true">
      <alignment horizontal="general" vertical="bottom" textRotation="0" wrapText="false" indent="0" shrinkToFit="true"/>
      <protection locked="true" hidden="false"/>
    </xf>
    <xf numFmtId="183" fontId="52" fillId="0" borderId="97" xfId="21" applyFont="true" applyBorder="true" applyAlignment="true" applyProtection="true">
      <alignment horizontal="general" vertical="bottom" textRotation="0" wrapText="false" indent="0" shrinkToFit="true"/>
      <protection locked="true" hidden="false"/>
    </xf>
    <xf numFmtId="183" fontId="52" fillId="0" borderId="20" xfId="21" applyFont="true" applyBorder="true" applyAlignment="true" applyProtection="true">
      <alignment horizontal="general" vertical="bottom" textRotation="0" wrapText="false" indent="0" shrinkToFit="true"/>
      <protection locked="true" hidden="false"/>
    </xf>
    <xf numFmtId="183" fontId="52" fillId="19" borderId="23" xfId="0" applyFont="true" applyBorder="true" applyAlignment="true" applyProtection="true">
      <alignment horizontal="general" vertical="bottom" textRotation="0" wrapText="false" indent="0" shrinkToFit="true"/>
      <protection locked="true" hidden="false"/>
    </xf>
    <xf numFmtId="164" fontId="53" fillId="19" borderId="22" xfId="0" applyFont="true" applyBorder="true" applyAlignment="true" applyProtection="true">
      <alignment horizontal="general" vertical="bottom" textRotation="0" wrapText="false" indent="0" shrinkToFit="false"/>
      <protection locked="true" hidden="false"/>
    </xf>
    <xf numFmtId="183" fontId="52" fillId="0" borderId="3" xfId="21" applyFont="true" applyBorder="true" applyAlignment="true" applyProtection="true">
      <alignment horizontal="general" vertical="bottom" textRotation="0" wrapText="false" indent="0" shrinkToFit="true"/>
      <protection locked="true" hidden="false"/>
    </xf>
    <xf numFmtId="183" fontId="52" fillId="0" borderId="223" xfId="21" applyFont="true" applyBorder="true" applyAlignment="true" applyProtection="true">
      <alignment horizontal="general" vertical="bottom" textRotation="0" wrapText="false" indent="0" shrinkToFit="true"/>
      <protection locked="true" hidden="false"/>
    </xf>
    <xf numFmtId="183" fontId="52" fillId="19" borderId="29" xfId="0" applyFont="true" applyBorder="true" applyAlignment="true" applyProtection="true">
      <alignment horizontal="general" vertical="bottom" textRotation="0" wrapText="false" indent="0" shrinkToFit="true"/>
      <protection locked="true" hidden="false"/>
    </xf>
    <xf numFmtId="164" fontId="53" fillId="19" borderId="26" xfId="0" applyFont="true" applyBorder="true" applyAlignment="true" applyProtection="true">
      <alignment horizontal="general" vertical="bottom" textRotation="0" wrapText="false" indent="0" shrinkToFit="false"/>
      <protection locked="true" hidden="false"/>
    </xf>
    <xf numFmtId="183" fontId="52" fillId="14" borderId="223" xfId="21" applyFont="true" applyBorder="true" applyAlignment="true" applyProtection="true">
      <alignment horizontal="general" vertical="bottom" textRotation="0" wrapText="false" indent="0" shrinkToFit="true"/>
      <protection locked="true" hidden="false"/>
    </xf>
    <xf numFmtId="183" fontId="52" fillId="15" borderId="223" xfId="21" applyFont="true" applyBorder="true" applyAlignment="true" applyProtection="true">
      <alignment horizontal="general" vertical="bottom" textRotation="0" wrapText="false" indent="0" shrinkToFit="true"/>
      <protection locked="true" hidden="false"/>
    </xf>
    <xf numFmtId="183" fontId="52" fillId="19" borderId="36" xfId="0" applyFont="true" applyBorder="true" applyAlignment="true" applyProtection="true">
      <alignment horizontal="general" vertical="bottom" textRotation="0" wrapText="false" indent="0" shrinkToFit="true"/>
      <protection locked="true" hidden="false"/>
    </xf>
    <xf numFmtId="164" fontId="53" fillId="19" borderId="34" xfId="0" applyFont="true" applyBorder="true" applyAlignment="true" applyProtection="true">
      <alignment horizontal="general" vertical="bottom" textRotation="0" wrapText="false" indent="0" shrinkToFit="false"/>
      <protection locked="true" hidden="false"/>
    </xf>
    <xf numFmtId="164" fontId="53" fillId="19" borderId="11" xfId="0" applyFont="true" applyBorder="true" applyAlignment="true" applyProtection="true">
      <alignment horizontal="general" vertical="bottom" textRotation="0" wrapText="false" indent="0" shrinkToFit="true"/>
      <protection locked="true" hidden="false"/>
    </xf>
    <xf numFmtId="183" fontId="52" fillId="19" borderId="39" xfId="0" applyFont="true" applyBorder="true" applyAlignment="true" applyProtection="true">
      <alignment horizontal="general" vertical="bottom" textRotation="0" wrapText="false" indent="0" shrinkToFit="true"/>
      <protection locked="true" hidden="false"/>
    </xf>
    <xf numFmtId="164" fontId="53" fillId="19" borderId="11" xfId="0" applyFont="true" applyBorder="true" applyAlignment="true" applyProtection="true">
      <alignment horizontal="general" vertical="bottom" textRotation="0" wrapText="false" indent="0" shrinkToFit="false"/>
      <protection locked="true" hidden="false"/>
    </xf>
    <xf numFmtId="183" fontId="52" fillId="0" borderId="4" xfId="21" applyFont="true" applyBorder="true" applyAlignment="true" applyProtection="true">
      <alignment horizontal="general" vertical="bottom" textRotation="0" wrapText="false" indent="0" shrinkToFit="true"/>
      <protection locked="true" hidden="false"/>
    </xf>
    <xf numFmtId="183" fontId="52" fillId="14" borderId="224" xfId="21" applyFont="true" applyBorder="true" applyAlignment="true" applyProtection="true">
      <alignment horizontal="general" vertical="bottom" textRotation="0" wrapText="false" indent="0" shrinkToFit="true"/>
      <protection locked="true" hidden="false"/>
    </xf>
    <xf numFmtId="164" fontId="65" fillId="15" borderId="0" xfId="0" applyFont="true" applyBorder="true" applyAlignment="true" applyProtection="true">
      <alignment horizontal="general" vertical="bottom" textRotation="0" wrapText="false" indent="0" shrinkToFit="true"/>
      <protection locked="true" hidden="false"/>
    </xf>
    <xf numFmtId="183" fontId="52" fillId="0" borderId="28" xfId="21" applyFont="true" applyBorder="true" applyAlignment="true" applyProtection="true">
      <alignment horizontal="general" vertical="bottom" textRotation="0" wrapText="false" indent="0" shrinkToFit="true"/>
      <protection locked="true" hidden="false"/>
    </xf>
    <xf numFmtId="183" fontId="52" fillId="0" borderId="153" xfId="21" applyFont="true" applyBorder="true" applyAlignment="true" applyProtection="true">
      <alignment horizontal="general" vertical="bottom" textRotation="0" wrapText="false" indent="0" shrinkToFit="true"/>
      <protection locked="true" hidden="false"/>
    </xf>
    <xf numFmtId="183" fontId="52" fillId="0" borderId="225" xfId="21" applyFont="true" applyBorder="true" applyAlignment="true" applyProtection="true">
      <alignment horizontal="general" vertical="bottom" textRotation="0" wrapText="false" indent="0" shrinkToFit="true"/>
      <protection locked="true" hidden="false"/>
    </xf>
    <xf numFmtId="183" fontId="52" fillId="14" borderId="226" xfId="21" applyFont="true" applyBorder="true" applyAlignment="true" applyProtection="true">
      <alignment horizontal="general" vertical="bottom" textRotation="0" wrapText="false" indent="0" shrinkToFit="true"/>
      <protection locked="true" hidden="false"/>
    </xf>
    <xf numFmtId="183" fontId="52" fillId="0" borderId="217" xfId="21" applyFont="true" applyBorder="true" applyAlignment="true" applyProtection="true">
      <alignment horizontal="general" vertical="bottom" textRotation="0" wrapText="false" indent="0" shrinkToFit="true"/>
      <protection locked="true" hidden="false"/>
    </xf>
    <xf numFmtId="183" fontId="52" fillId="0" borderId="65" xfId="21" applyFont="true" applyBorder="true" applyAlignment="true" applyProtection="true">
      <alignment horizontal="general" vertical="bottom" textRotation="0" wrapText="false" indent="0" shrinkToFit="true"/>
      <protection locked="true" hidden="false"/>
    </xf>
    <xf numFmtId="183" fontId="52" fillId="0" borderId="182" xfId="21" applyFont="true" applyBorder="true" applyAlignment="true" applyProtection="true">
      <alignment horizontal="general" vertical="bottom" textRotation="0" wrapText="false" indent="0" shrinkToFit="true"/>
      <protection locked="true" hidden="false"/>
    </xf>
    <xf numFmtId="183" fontId="52" fillId="0" borderId="12" xfId="21" applyFont="true" applyBorder="true" applyAlignment="true" applyProtection="true">
      <alignment horizontal="general" vertical="bottom" textRotation="0" wrapText="false" indent="0" shrinkToFit="true"/>
      <protection locked="true" hidden="false"/>
    </xf>
    <xf numFmtId="165" fontId="65" fillId="15" borderId="0" xfId="21" applyFont="true" applyBorder="true" applyAlignment="true" applyProtection="true">
      <alignment horizontal="general" vertical="bottom" textRotation="0" wrapText="false" indent="0" shrinkToFit="false"/>
      <protection locked="true" hidden="false"/>
    </xf>
    <xf numFmtId="183" fontId="189" fillId="0" borderId="0" xfId="20" applyFont="true" applyBorder="true" applyAlignment="true" applyProtection="true">
      <alignment horizontal="left" vertical="bottom" textRotation="0" wrapText="true" indent="0" shrinkToFit="false"/>
      <protection locked="true" hidden="false"/>
    </xf>
    <xf numFmtId="183" fontId="189" fillId="0" borderId="0" xfId="20" applyFont="true" applyBorder="true" applyAlignment="true" applyProtection="true">
      <alignment horizontal="general" vertical="bottom" textRotation="0" wrapText="true" indent="0" shrinkToFit="false"/>
      <protection locked="true" hidden="false"/>
    </xf>
    <xf numFmtId="183" fontId="189" fillId="0" borderId="227" xfId="20" applyFont="true" applyBorder="true" applyAlignment="true" applyProtection="true">
      <alignment horizontal="general" vertical="bottom" textRotation="0" wrapText="false" indent="0" shrinkToFit="false"/>
      <protection locked="true" hidden="false"/>
    </xf>
    <xf numFmtId="183" fontId="65" fillId="0" borderId="0" xfId="20" applyFont="true" applyBorder="true" applyAlignment="true" applyProtection="true">
      <alignment horizontal="general" vertical="bottom" textRotation="0" wrapText="false" indent="0" shrinkToFit="false"/>
      <protection locked="true" hidden="false"/>
    </xf>
    <xf numFmtId="183" fontId="189" fillId="0" borderId="228" xfId="20" applyFont="true" applyBorder="true" applyAlignment="true" applyProtection="true">
      <alignment horizontal="general" vertical="bottom" textRotation="0" wrapText="false" indent="0" shrinkToFit="false"/>
      <protection locked="true" hidden="false"/>
    </xf>
    <xf numFmtId="183" fontId="52" fillId="19" borderId="45" xfId="0" applyFont="true" applyBorder="true" applyAlignment="true" applyProtection="true">
      <alignment horizontal="general" vertical="bottom" textRotation="0" wrapText="false" indent="0" shrinkToFit="true"/>
      <protection locked="true" hidden="false"/>
    </xf>
    <xf numFmtId="183" fontId="189" fillId="0" borderId="229" xfId="20" applyFont="true" applyBorder="true" applyAlignment="true" applyProtection="true">
      <alignment horizontal="general" vertical="bottom" textRotation="0" wrapText="false" indent="0" shrinkToFit="false"/>
      <protection locked="true" hidden="false"/>
    </xf>
    <xf numFmtId="164" fontId="53" fillId="19" borderId="69" xfId="0" applyFont="true" applyBorder="true" applyAlignment="true" applyProtection="true">
      <alignment horizontal="general" vertical="bottom" textRotation="0" wrapText="false" indent="0" shrinkToFit="true"/>
      <protection locked="true" hidden="false"/>
    </xf>
    <xf numFmtId="183" fontId="52" fillId="19" borderId="38" xfId="0" applyFont="true" applyBorder="true" applyAlignment="true" applyProtection="true">
      <alignment horizontal="general" vertical="bottom" textRotation="0" wrapText="false" indent="0" shrinkToFit="true"/>
      <protection locked="true" hidden="false"/>
    </xf>
    <xf numFmtId="164" fontId="53" fillId="26" borderId="0" xfId="0" applyFont="true" applyBorder="false" applyAlignment="true" applyProtection="true">
      <alignment horizontal="general" vertical="bottom" textRotation="0" wrapText="false" indent="0" shrinkToFit="false"/>
      <protection locked="true" hidden="false"/>
    </xf>
    <xf numFmtId="183" fontId="191" fillId="0" borderId="0" xfId="20" applyFont="true" applyBorder="true" applyAlignment="true" applyProtection="true">
      <alignment horizontal="general" vertical="bottom" textRotation="0" wrapText="false" indent="0" shrinkToFit="false"/>
      <protection locked="true" hidden="false"/>
    </xf>
    <xf numFmtId="165" fontId="52" fillId="0" borderId="0" xfId="21" applyFont="true" applyBorder="true" applyAlignment="true" applyProtection="true">
      <alignment horizontal="center" vertical="bottom" textRotation="0" wrapText="false" indent="0" shrinkToFit="false"/>
      <protection locked="true" hidden="false"/>
    </xf>
    <xf numFmtId="183" fontId="191" fillId="0" borderId="227" xfId="20" applyFont="true" applyBorder="true" applyAlignment="true" applyProtection="true">
      <alignment horizontal="general" vertical="bottom" textRotation="0" wrapText="false" indent="0" shrinkToFit="false"/>
      <protection locked="true" hidden="false"/>
    </xf>
    <xf numFmtId="165" fontId="65" fillId="0" borderId="0" xfId="21" applyFont="true" applyBorder="true" applyAlignment="true" applyProtection="true">
      <alignment horizontal="center" vertical="center" textRotation="0" wrapText="true" indent="0" shrinkToFit="false"/>
      <protection locked="true" hidden="false"/>
    </xf>
    <xf numFmtId="183" fontId="191" fillId="0" borderId="228" xfId="20" applyFont="true" applyBorder="true" applyAlignment="true" applyProtection="true">
      <alignment horizontal="general" vertical="bottom" textRotation="0" wrapText="false" indent="0" shrinkToFit="false"/>
      <protection locked="true" hidden="false"/>
    </xf>
    <xf numFmtId="164" fontId="65" fillId="0" borderId="0" xfId="0" applyFont="true" applyBorder="true" applyAlignment="true" applyProtection="true">
      <alignment horizontal="general" vertical="center" textRotation="0" wrapText="true" indent="0" shrinkToFit="true"/>
      <protection locked="true" hidden="false"/>
    </xf>
    <xf numFmtId="183" fontId="52" fillId="0" borderId="213" xfId="21" applyFont="true" applyBorder="true" applyAlignment="true" applyProtection="true">
      <alignment horizontal="general" vertical="bottom" textRotation="0" wrapText="false" indent="0" shrinkToFit="true"/>
      <protection locked="true" hidden="false"/>
    </xf>
    <xf numFmtId="183" fontId="52" fillId="0" borderId="47" xfId="21" applyFont="true" applyBorder="true" applyAlignment="true" applyProtection="true">
      <alignment horizontal="general" vertical="bottom" textRotation="0" wrapText="false" indent="0" shrinkToFit="true"/>
      <protection locked="true" hidden="false"/>
    </xf>
    <xf numFmtId="183" fontId="52" fillId="0" borderId="230" xfId="21" applyFont="true" applyBorder="true" applyAlignment="true" applyProtection="true">
      <alignment horizontal="general" vertical="bottom" textRotation="0" wrapText="false" indent="0" shrinkToFit="true"/>
      <protection locked="true" hidden="false"/>
    </xf>
    <xf numFmtId="183" fontId="191" fillId="0" borderId="229" xfId="20" applyFont="true" applyBorder="true" applyAlignment="true" applyProtection="true">
      <alignment horizontal="general" vertical="bottom" textRotation="0" wrapText="false" indent="0" shrinkToFit="false"/>
      <protection locked="true" hidden="false"/>
    </xf>
    <xf numFmtId="183" fontId="52" fillId="0" borderId="184" xfId="21" applyFont="true" applyBorder="true" applyAlignment="true" applyProtection="true">
      <alignment horizontal="general" vertical="bottom" textRotation="0" wrapText="false" indent="0" shrinkToFit="true"/>
      <protection locked="true" hidden="false"/>
    </xf>
    <xf numFmtId="183" fontId="52" fillId="0" borderId="231" xfId="21" applyFont="true" applyBorder="true" applyAlignment="true" applyProtection="true">
      <alignment horizontal="general" vertical="bottom" textRotation="0" wrapText="false" indent="0" shrinkToFit="true"/>
      <protection locked="true" hidden="false"/>
    </xf>
    <xf numFmtId="164" fontId="65" fillId="0" borderId="0" xfId="0" applyFont="true" applyBorder="true" applyAlignment="true" applyProtection="true">
      <alignment horizontal="center" vertical="center" textRotation="0" wrapText="false" indent="0" shrinkToFit="true"/>
      <protection locked="true" hidden="false"/>
    </xf>
    <xf numFmtId="165" fontId="193" fillId="0" borderId="0" xfId="21" applyFont="true" applyBorder="true" applyAlignment="true" applyProtection="true">
      <alignment horizontal="general" vertical="bottom" textRotation="0" wrapText="false" indent="0" shrinkToFit="false"/>
      <protection locked="true" hidden="false"/>
    </xf>
    <xf numFmtId="164" fontId="193" fillId="0" borderId="0" xfId="0" applyFont="true" applyBorder="true" applyAlignment="true" applyProtection="true">
      <alignment horizontal="general" vertical="bottom" textRotation="0" wrapText="false" indent="0" shrinkToFit="false"/>
      <protection locked="true" hidden="false"/>
    </xf>
    <xf numFmtId="164" fontId="177" fillId="0" borderId="0" xfId="0" applyFont="true" applyBorder="false" applyAlignment="true" applyProtection="true">
      <alignment horizontal="general" vertical="bottom" textRotation="0" wrapText="false" indent="0" shrinkToFit="false"/>
      <protection locked="true" hidden="false"/>
    </xf>
    <xf numFmtId="165" fontId="188" fillId="0" borderId="0" xfId="21" applyFont="true" applyBorder="true" applyAlignment="true" applyProtection="true">
      <alignment horizontal="general" vertical="bottom" textRotation="0" wrapText="false" indent="0" shrinkToFit="false"/>
      <protection locked="true" hidden="false"/>
    </xf>
    <xf numFmtId="164" fontId="53" fillId="0" borderId="59" xfId="0" applyFont="true" applyBorder="true" applyAlignment="true" applyProtection="true">
      <alignment horizontal="center" vertical="center" textRotation="0" wrapText="false" indent="0" shrinkToFit="false"/>
      <protection locked="true" hidden="false"/>
    </xf>
    <xf numFmtId="183" fontId="189" fillId="0" borderId="0" xfId="20" applyFont="true" applyBorder="true" applyAlignment="true" applyProtection="true">
      <alignment horizontal="left" vertical="center" textRotation="0" wrapText="true" indent="0" shrinkToFit="false"/>
      <protection locked="true" hidden="false"/>
    </xf>
    <xf numFmtId="165" fontId="52" fillId="0" borderId="68" xfId="21" applyFont="true" applyBorder="true" applyAlignment="true" applyProtection="true">
      <alignment horizontal="general" vertical="bottom" textRotation="0" wrapText="false" indent="0" shrinkToFit="false"/>
      <protection locked="true" hidden="false"/>
    </xf>
    <xf numFmtId="165" fontId="180" fillId="0" borderId="0" xfId="21" applyFont="true" applyBorder="true" applyAlignment="true" applyProtection="true">
      <alignment horizontal="general" vertical="bottom" textRotation="0" wrapText="false" indent="0" shrinkToFit="true"/>
      <protection locked="true" hidden="false"/>
    </xf>
    <xf numFmtId="165" fontId="194" fillId="0" borderId="0" xfId="21" applyFont="true" applyBorder="true" applyAlignment="true" applyProtection="true">
      <alignment horizontal="general" vertical="bottom" textRotation="0" wrapText="false" indent="0" shrinkToFit="true"/>
      <protection locked="true" hidden="false"/>
    </xf>
    <xf numFmtId="165" fontId="65" fillId="0" borderId="232" xfId="21" applyFont="true" applyBorder="true" applyAlignment="true" applyProtection="true">
      <alignment horizontal="general" vertical="bottom" textRotation="0" wrapText="false" indent="0" shrinkToFit="false"/>
      <protection locked="true" hidden="false"/>
    </xf>
    <xf numFmtId="165" fontId="72" fillId="0" borderId="0" xfId="21" applyFont="true" applyBorder="true" applyAlignment="true" applyProtection="true">
      <alignment horizontal="center" vertical="bottom" textRotation="0" wrapText="false" indent="0" shrinkToFit="false"/>
      <protection locked="true" hidden="false"/>
    </xf>
    <xf numFmtId="164" fontId="53" fillId="0" borderId="6" xfId="0" applyFont="true" applyBorder="true" applyAlignment="true" applyProtection="true">
      <alignment horizontal="left" vertical="bottom" textRotation="0" wrapText="false" indent="0" shrinkToFit="tru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83" fontId="74" fillId="0" borderId="0" xfId="20" applyFont="true" applyBorder="true" applyAlignment="true" applyProtection="true">
      <alignment horizontal="left" vertical="bottom" textRotation="0" wrapText="false" indent="0" shrinkToFit="true"/>
      <protection locked="true" hidden="false"/>
    </xf>
    <xf numFmtId="164" fontId="0" fillId="0" borderId="233" xfId="0" applyFont="false" applyBorder="true" applyAlignment="true" applyProtection="true">
      <alignment horizontal="general" vertical="bottom" textRotation="0" wrapText="false" indent="0" shrinkToFit="false"/>
      <protection locked="true" hidden="false"/>
    </xf>
    <xf numFmtId="183" fontId="195" fillId="27" borderId="234" xfId="20" applyFont="true" applyBorder="true" applyAlignment="true" applyProtection="true">
      <alignment horizontal="left" vertical="top" textRotation="0" wrapText="true" indent="0" shrinkToFit="false"/>
      <protection locked="true" hidden="false"/>
    </xf>
    <xf numFmtId="183" fontId="117" fillId="0" borderId="233" xfId="20" applyFont="true" applyBorder="true" applyAlignment="true" applyProtection="true">
      <alignment horizontal="general" vertical="bottom" textRotation="0" wrapText="false" indent="0" shrinkToFit="false"/>
      <protection locked="true" hidden="false"/>
    </xf>
    <xf numFmtId="183" fontId="55" fillId="0" borderId="233" xfId="20" applyFont="true" applyBorder="true" applyAlignment="true" applyProtection="true">
      <alignment horizontal="left" vertical="center" textRotation="0" wrapText="true" indent="0" shrinkToFit="false"/>
      <protection locked="true" hidden="false"/>
    </xf>
    <xf numFmtId="183" fontId="196" fillId="27" borderId="0" xfId="20" applyFont="true" applyBorder="true" applyAlignment="true" applyProtection="true">
      <alignment horizontal="general" vertical="bottom" textRotation="0" wrapText="false" indent="0" shrinkToFit="false"/>
      <protection locked="true" hidden="false"/>
    </xf>
    <xf numFmtId="183" fontId="121" fillId="0" borderId="233" xfId="20" applyFont="true" applyBorder="true" applyAlignment="true" applyProtection="true">
      <alignment horizontal="general" vertical="bottom" textRotation="0" wrapText="false" indent="0" shrinkToFit="true"/>
      <protection locked="true" hidden="false"/>
    </xf>
    <xf numFmtId="183" fontId="122" fillId="0" borderId="233" xfId="20" applyFont="true" applyBorder="true" applyAlignment="true" applyProtection="true">
      <alignment horizontal="general" vertical="bottom" textRotation="0" wrapText="false" indent="0" shrinkToFit="false"/>
      <protection locked="true" hidden="false"/>
    </xf>
    <xf numFmtId="183" fontId="54" fillId="21" borderId="3" xfId="20" applyFont="true" applyBorder="true" applyAlignment="true" applyProtection="true">
      <alignment horizontal="general" vertical="bottom" textRotation="0" wrapText="false" indent="0" shrinkToFit="false"/>
      <protection locked="true" hidden="false"/>
    </xf>
    <xf numFmtId="183" fontId="119" fillId="21" borderId="3" xfId="20" applyFont="true" applyBorder="true" applyAlignment="true" applyProtection="true">
      <alignment horizontal="general" vertical="bottom" textRotation="0" wrapText="false" indent="0" shrinkToFit="true"/>
      <protection locked="true" hidden="false"/>
    </xf>
    <xf numFmtId="183" fontId="54" fillId="21" borderId="3" xfId="20" applyFont="true" applyBorder="true" applyAlignment="true" applyProtection="true">
      <alignment horizontal="general" vertical="center" textRotation="0" wrapText="true" indent="0" shrinkToFit="true"/>
      <protection locked="true" hidden="false"/>
    </xf>
    <xf numFmtId="164" fontId="0" fillId="0" borderId="233" xfId="0" applyFont="true" applyBorder="true" applyAlignment="true" applyProtection="true">
      <alignment horizontal="general" vertical="bottom" textRotation="0" wrapText="false" indent="0" shrinkToFit="false"/>
      <protection locked="true" hidden="false"/>
    </xf>
    <xf numFmtId="183" fontId="196" fillId="27" borderId="235" xfId="20" applyFont="true" applyBorder="true" applyAlignment="true" applyProtection="true">
      <alignment horizontal="general" vertical="bottom" textRotation="0" wrapText="false" indent="0" shrinkToFit="false"/>
      <protection locked="true" hidden="false"/>
    </xf>
    <xf numFmtId="183" fontId="196" fillId="0" borderId="0" xfId="20" applyFont="true" applyBorder="true" applyAlignment="true" applyProtection="true">
      <alignment horizontal="general" vertical="bottom" textRotation="0" wrapText="false" indent="0" shrinkToFit="false"/>
      <protection locked="true" hidden="false"/>
    </xf>
    <xf numFmtId="183" fontId="122" fillId="0" borderId="236" xfId="20" applyFont="true" applyBorder="true" applyAlignment="true" applyProtection="true">
      <alignment horizontal="general" vertical="bottom" textRotation="0" wrapText="false" indent="0" shrinkToFit="false"/>
      <protection locked="true" hidden="false"/>
    </xf>
    <xf numFmtId="183" fontId="197" fillId="0" borderId="0" xfId="20" applyFont="true" applyBorder="true" applyAlignment="true" applyProtection="true">
      <alignment horizontal="general" vertical="bottom" textRotation="0" wrapText="false" indent="0" shrinkToFit="false"/>
      <protection locked="true" hidden="false"/>
    </xf>
    <xf numFmtId="183" fontId="198" fillId="0" borderId="0" xfId="20" applyFont="true" applyBorder="true" applyAlignment="true" applyProtection="true">
      <alignment horizontal="left" vertical="bottom" textRotation="0" wrapText="false" indent="1" shrinkToFit="false"/>
      <protection locked="true" hidden="false"/>
    </xf>
    <xf numFmtId="183" fontId="198" fillId="0" borderId="0" xfId="20" applyFont="true" applyBorder="true" applyAlignment="true" applyProtection="true">
      <alignment horizontal="general" vertical="bottom" textRotation="0" wrapText="false" indent="0" shrinkToFit="false"/>
      <protection locked="true" hidden="false"/>
    </xf>
    <xf numFmtId="183" fontId="54" fillId="0" borderId="0" xfId="20" applyFont="true" applyBorder="true" applyAlignment="true" applyProtection="true">
      <alignment horizontal="left" vertical="bottom" textRotation="0" wrapText="false" indent="0" shrinkToFit="false"/>
      <protection locked="true" hidden="false"/>
    </xf>
    <xf numFmtId="183" fontId="198" fillId="0" borderId="0" xfId="20" applyFont="true" applyBorder="true" applyAlignment="true" applyProtection="true">
      <alignment horizontal="left" vertical="bottom" textRotation="0" wrapText="false" indent="0" shrinkToFit="false"/>
      <protection locked="true" hidden="false"/>
    </xf>
    <xf numFmtId="183" fontId="54" fillId="0" borderId="87" xfId="20" applyFont="true" applyBorder="true" applyAlignment="true" applyProtection="true">
      <alignment horizontal="general" vertical="top" textRotation="0" wrapText="true" indent="0" shrinkToFit="false"/>
      <protection locked="true" hidden="false"/>
    </xf>
    <xf numFmtId="183" fontId="198" fillId="0" borderId="0" xfId="20" applyFont="true" applyBorder="true" applyAlignment="true" applyProtection="true">
      <alignment horizontal="center" vertical="top" textRotation="0" wrapText="false" indent="0" shrinkToFit="false"/>
      <protection locked="true" hidden="false"/>
    </xf>
    <xf numFmtId="183" fontId="199" fillId="0" borderId="0" xfId="20" applyFont="true" applyBorder="true" applyAlignment="true" applyProtection="true">
      <alignment horizontal="left" vertical="bottom" textRotation="0" wrapText="false" indent="1" shrinkToFit="false"/>
      <protection locked="true" hidden="false"/>
    </xf>
    <xf numFmtId="183" fontId="117" fillId="0" borderId="0" xfId="20" applyFont="true" applyBorder="true" applyAlignment="true" applyProtection="true">
      <alignment horizontal="left" vertical="bottom" textRotation="0" wrapText="false" indent="1" shrinkToFit="false"/>
      <protection locked="true" hidden="false"/>
    </xf>
    <xf numFmtId="228" fontId="200" fillId="0" borderId="0" xfId="20" applyFont="true" applyBorder="true" applyAlignment="true" applyProtection="true">
      <alignment horizontal="left" vertical="bottom" textRotation="0" wrapText="false" indent="0" shrinkToFit="false"/>
      <protection locked="true" hidden="false"/>
    </xf>
    <xf numFmtId="183" fontId="54" fillId="0" borderId="0" xfId="20" applyFont="true" applyBorder="true" applyAlignment="true" applyProtection="true">
      <alignment horizontal="left" vertical="bottom" textRotation="0" wrapText="false" indent="1" shrinkToFit="false"/>
      <protection locked="true" hidden="false"/>
    </xf>
    <xf numFmtId="229" fontId="200" fillId="0" borderId="0" xfId="20" applyFont="true" applyBorder="true" applyAlignment="true" applyProtection="true">
      <alignment horizontal="left" vertical="bottom" textRotation="0" wrapText="false" indent="0" shrinkToFit="false"/>
      <protection locked="true" hidden="false"/>
    </xf>
    <xf numFmtId="183" fontId="126" fillId="0" borderId="0" xfId="20" applyFont="true" applyBorder="true" applyAlignment="true" applyProtection="true">
      <alignment horizontal="right" vertical="bottom" textRotation="0" wrapText="false" indent="0" shrinkToFit="false"/>
      <protection locked="true" hidden="false"/>
    </xf>
    <xf numFmtId="183" fontId="201" fillId="0" borderId="0" xfId="20" applyFont="true" applyBorder="true" applyAlignment="true" applyProtection="true">
      <alignment horizontal="general" vertical="bottom" textRotation="0" wrapText="false" indent="0" shrinkToFit="false"/>
      <protection locked="true" hidden="false"/>
    </xf>
    <xf numFmtId="183" fontId="101" fillId="0" borderId="0" xfId="20" applyFont="true" applyBorder="true" applyAlignment="true" applyProtection="true">
      <alignment horizontal="left" vertical="bottom" textRotation="0" wrapText="false" indent="1" shrinkToFit="false"/>
      <protection locked="true" hidden="false"/>
    </xf>
    <xf numFmtId="183" fontId="202" fillId="0" borderId="0" xfId="20" applyFont="true" applyBorder="true" applyAlignment="true" applyProtection="true">
      <alignment horizontal="general" vertical="bottom" textRotation="0" wrapText="false" indent="0" shrinkToFit="false"/>
      <protection locked="true" hidden="false"/>
    </xf>
    <xf numFmtId="183" fontId="203" fillId="0" borderId="0" xfId="20" applyFont="true" applyBorder="true" applyAlignment="true" applyProtection="true">
      <alignment horizontal="general" vertical="bottom" textRotation="0" wrapText="false" indent="0" shrinkToFit="true"/>
      <protection locked="true" hidden="false"/>
    </xf>
    <xf numFmtId="183" fontId="101" fillId="0" borderId="0" xfId="20" applyFont="true" applyBorder="true" applyAlignment="true" applyProtection="true">
      <alignment horizontal="left" vertical="top" textRotation="0" wrapText="false" indent="1" shrinkToFit="false"/>
      <protection locked="true" hidden="false"/>
    </xf>
    <xf numFmtId="183" fontId="205" fillId="0" borderId="0" xfId="20" applyFont="true" applyBorder="true" applyAlignment="true" applyProtection="true">
      <alignment horizontal="general" vertical="bottom" textRotation="0" wrapText="false" indent="0" shrinkToFit="true"/>
      <protection locked="true" hidden="false"/>
    </xf>
    <xf numFmtId="183" fontId="206" fillId="0" borderId="0" xfId="20" applyFont="true" applyBorder="true" applyAlignment="true" applyProtection="true">
      <alignment horizontal="general" vertical="center" textRotation="0" wrapText="true" indent="0" shrinkToFit="true"/>
      <protection locked="true" hidden="false"/>
    </xf>
    <xf numFmtId="183" fontId="201" fillId="0" borderId="0" xfId="20" applyFont="true" applyBorder="true" applyAlignment="true" applyProtection="true">
      <alignment horizontal="general" vertical="center" textRotation="0" wrapText="true" indent="0" shrinkToFit="false"/>
      <protection locked="true" hidden="false"/>
    </xf>
    <xf numFmtId="183" fontId="207" fillId="0" borderId="0" xfId="20" applyFont="true" applyBorder="true" applyAlignment="true" applyProtection="true">
      <alignment horizontal="general" vertical="center" textRotation="0" wrapText="false" indent="0" shrinkToFit="false"/>
      <protection locked="true" hidden="false"/>
    </xf>
    <xf numFmtId="183" fontId="132" fillId="0" borderId="0" xfId="20" applyFont="true" applyBorder="true" applyAlignment="true" applyProtection="true">
      <alignment horizontal="general" vertical="bottom" textRotation="0" wrapText="false" indent="0" shrinkToFit="false"/>
      <protection locked="true" hidden="false"/>
    </xf>
    <xf numFmtId="183" fontId="123" fillId="0" borderId="0" xfId="20" applyFont="true" applyBorder="true" applyAlignment="true" applyProtection="true">
      <alignment horizontal="general" vertical="center" textRotation="0" wrapText="false" indent="0" shrinkToFit="false"/>
      <protection locked="true" hidden="false"/>
    </xf>
    <xf numFmtId="183" fontId="201" fillId="0" borderId="0" xfId="20" applyFont="true" applyBorder="true" applyAlignment="true" applyProtection="true">
      <alignment horizontal="right" vertical="center"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桁区切り 2" xfId="20"/>
    <cellStyle name="Excel Built-in Comma [0]" xfId="21"/>
  </cellStyles>
  <dxfs count="150">
    <dxf>
      <font>
        <b val="1"/>
        <color rgb="FFC00000"/>
      </font>
    </dxf>
    <dxf>
      <font>
        <b val="1"/>
        <color rgb="FFFFFFFF"/>
      </font>
      <fill>
        <patternFill>
          <bgColor rgb="FFC00000"/>
        </patternFill>
      </fill>
    </dxf>
    <dxf>
      <font>
        <b val="1"/>
        <color rgb="FF2E7D32"/>
      </font>
    </dxf>
    <dxf>
      <fill>
        <patternFill patternType="solid">
          <fgColor rgb="FF1F3864"/>
          <bgColor rgb="FF000000"/>
        </patternFill>
      </fill>
    </dxf>
    <dxf>
      <fill>
        <patternFill patternType="solid">
          <fgColor rgb="FFD9E2F3"/>
          <bgColor rgb="FF000000"/>
        </patternFill>
      </fill>
    </dxf>
    <dxf>
      <fill>
        <patternFill patternType="solid">
          <fgColor rgb="FFFFD966"/>
          <bgColor rgb="FF000000"/>
        </patternFill>
      </fill>
    </dxf>
    <dxf>
      <fill>
        <patternFill patternType="solid">
          <fgColor rgb="FFFFFFFF"/>
          <bgColor rgb="FF000000"/>
        </patternFill>
      </fill>
    </dxf>
    <dxf>
      <fill>
        <patternFill patternType="solid">
          <bgColor rgb="FF000000"/>
        </patternFill>
      </fill>
    </dxf>
    <dxf>
      <fill>
        <patternFill patternType="solid">
          <fgColor rgb="FF99CC00"/>
          <bgColor rgb="FF000000"/>
        </patternFill>
      </fill>
    </dxf>
    <dxf>
      <fill>
        <patternFill patternType="solid">
          <fgColor rgb="FFDDEBF7"/>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2F5597"/>
          <bgColor rgb="FF000000"/>
        </patternFill>
      </fill>
    </dxf>
    <dxf>
      <fill>
        <patternFill patternType="solid">
          <fgColor rgb="FFFFF2CC"/>
          <bgColor rgb="FF000000"/>
        </patternFill>
      </fill>
    </dxf>
    <dxf>
      <fill>
        <patternFill patternType="solid">
          <fgColor rgb="FFF2F2F2"/>
          <bgColor rgb="FF000000"/>
        </patternFill>
      </fill>
    </dxf>
    <dxf>
      <fill>
        <patternFill>
          <bgColor rgb="FF99CC00"/>
        </patternFill>
      </fill>
    </dxf>
    <dxf>
      <fill>
        <patternFill>
          <bgColor rgb="FFDDEBF7"/>
        </patternFill>
      </fill>
    </dxf>
    <dxf>
      <font>
        <color rgb="FF7F7F7F"/>
      </font>
    </dxf>
    <dxf>
      <font>
        <color rgb="FF9C5700"/>
      </font>
      <fill>
        <patternFill>
          <bgColor rgb="FFFFEB9C"/>
        </patternFill>
      </fill>
    </dxf>
    <dxf>
      <font>
        <b val="1"/>
      </font>
      <fill>
        <patternFill>
          <bgColor rgb="FFF8CBAD"/>
        </patternFill>
      </fill>
    </dxf>
    <dxf>
      <font>
        <b val="1"/>
      </font>
      <fill>
        <patternFill>
          <bgColor rgb="FFFFD966"/>
        </patternFill>
      </fill>
    </dxf>
    <dxf>
      <font>
        <b val="1"/>
      </font>
      <fill>
        <patternFill>
          <bgColor rgb="FFFCE4D6"/>
        </patternFill>
      </fill>
    </dxf>
    <dxf>
      <font>
        <color rgb="FFFF0000"/>
      </font>
    </dxf>
    <dxf>
      <font>
        <color rgb="FF000000"/>
      </font>
    </dxf>
    <dxf>
      <font>
        <color rgb="FF000000"/>
      </font>
      <fill>
        <patternFill>
          <bgColor rgb="FF99CC00"/>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FFFFFF"/>
        <sz val="14"/>
      </font>
      <fill>
        <patternFill>
          <bgColor rgb="FF800080"/>
        </patternFill>
      </fill>
    </dxf>
    <dxf>
      <font>
        <name val="ＭＳ 明朝"/>
        <charset val="128"/>
        <family val="1"/>
        <color rgb="FFFFFFFF"/>
        <sz val="14"/>
      </font>
      <fill>
        <patternFill>
          <bgColor rgb="FF800080"/>
        </patternFill>
      </fill>
    </dxf>
  </dxfs>
  <colors>
    <indexedColors>
      <rgbColor rgb="FF000000"/>
      <rgbColor rgb="FFFFFFFF"/>
      <rgbColor rgb="FFFF0000"/>
      <rgbColor rgb="FF00FF00"/>
      <rgbColor rgb="FF0000FF"/>
      <rgbColor rgb="FFFFFF00"/>
      <rgbColor rgb="FFFFEB9C"/>
      <rgbColor rgb="FFF2F2F2"/>
      <rgbColor rgb="FFC00000"/>
      <rgbColor rgb="FF008000"/>
      <rgbColor rgb="FF000080"/>
      <rgbColor rgb="FF9C5700"/>
      <rgbColor rgb="FF800080"/>
      <rgbColor rgb="FF006666"/>
      <rgbColor rgb="FFC0C0C0"/>
      <rgbColor rgb="FF808080"/>
      <rgbColor rgb="FFBFBFBF"/>
      <rgbColor rgb="FF7030A0"/>
      <rgbColor rgb="FFFFFFCC"/>
      <rgbColor rgb="FFCCFFFF"/>
      <rgbColor rgb="FF660066"/>
      <rgbColor rgb="FFFF8080"/>
      <rgbColor rgb="FF2F5597"/>
      <rgbColor rgb="FFD9E2F3"/>
      <rgbColor rgb="FF000080"/>
      <rgbColor rgb="FFFF00FF"/>
      <rgbColor rgb="FFFFD966"/>
      <rgbColor rgb="FFFFF2CC"/>
      <rgbColor rgb="FF800080"/>
      <rgbColor rgb="FF800000"/>
      <rgbColor rgb="FF2E7D32"/>
      <rgbColor rgb="FF0000FF"/>
      <rgbColor rgb="FFFCE4D6"/>
      <rgbColor rgb="FFDDEBF7"/>
      <rgbColor rgb="FFCCFFCC"/>
      <rgbColor rgb="FFFFFF99"/>
      <rgbColor rgb="FF99CCFF"/>
      <rgbColor rgb="FFFF99CC"/>
      <rgbColor rgb="FFCC99FF"/>
      <rgbColor rgb="FFFFCC99"/>
      <rgbColor rgb="FFF8CBAD"/>
      <rgbColor rgb="FF33CCCC"/>
      <rgbColor rgb="FF99CC00"/>
      <rgbColor rgb="FFFFCC00"/>
      <rgbColor rgb="FFED7D31"/>
      <rgbColor rgb="FFFF6600"/>
      <rgbColor rgb="FF595959"/>
      <rgbColor rgb="FF969696"/>
      <rgbColor rgb="FF003366"/>
      <rgbColor rgb="FF339966"/>
      <rgbColor rgb="FF003300"/>
      <rgbColor rgb="FFBF9000"/>
      <rgbColor rgb="FF993300"/>
      <rgbColor rgb="FF7F7F7F"/>
      <rgbColor rgb="FF333399"/>
      <rgbColor rgb="FF1F3864"/>
    </indexedColors>
  </color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372960</xdr:colOff>
      <xdr:row>977</xdr:row>
      <xdr:rowOff>92880</xdr:rowOff>
    </xdr:from>
    <xdr:to>
      <xdr:col>6</xdr:col>
      <xdr:colOff>712800</xdr:colOff>
      <xdr:row>978</xdr:row>
      <xdr:rowOff>102960</xdr:rowOff>
    </xdr:to>
    <xdr:sp>
      <xdr:nvSpPr>
        <xdr:cNvPr id="0" name="テキスト ボックス 1"/>
        <xdr:cNvSpPr/>
      </xdr:nvSpPr>
      <xdr:spPr>
        <a:xfrm>
          <a:off x="8188560" y="244370520"/>
          <a:ext cx="180792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5</xdr:col>
      <xdr:colOff>507600</xdr:colOff>
      <xdr:row>1042</xdr:row>
      <xdr:rowOff>75240</xdr:rowOff>
    </xdr:from>
    <xdr:to>
      <xdr:col>6</xdr:col>
      <xdr:colOff>723600</xdr:colOff>
      <xdr:row>1043</xdr:row>
      <xdr:rowOff>93960</xdr:rowOff>
    </xdr:to>
    <xdr:sp>
      <xdr:nvSpPr>
        <xdr:cNvPr id="1" name="テキスト ボックス 4"/>
        <xdr:cNvSpPr/>
      </xdr:nvSpPr>
      <xdr:spPr>
        <a:xfrm>
          <a:off x="8323200" y="260749800"/>
          <a:ext cx="168408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168840</xdr:colOff>
      <xdr:row>1042</xdr:row>
      <xdr:rowOff>75240</xdr:rowOff>
    </xdr:from>
    <xdr:to>
      <xdr:col>9</xdr:col>
      <xdr:colOff>1854000</xdr:colOff>
      <xdr:row>1043</xdr:row>
      <xdr:rowOff>93960</xdr:rowOff>
    </xdr:to>
    <xdr:sp>
      <xdr:nvSpPr>
        <xdr:cNvPr id="2" name="テキスト ボックス 8"/>
        <xdr:cNvSpPr/>
      </xdr:nvSpPr>
      <xdr:spPr>
        <a:xfrm>
          <a:off x="15745320" y="260749800"/>
          <a:ext cx="168516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12</xdr:col>
      <xdr:colOff>169200</xdr:colOff>
      <xdr:row>1042</xdr:row>
      <xdr:rowOff>92880</xdr:rowOff>
    </xdr:from>
    <xdr:to>
      <xdr:col>12</xdr:col>
      <xdr:colOff>1854360</xdr:colOff>
      <xdr:row>1043</xdr:row>
      <xdr:rowOff>102960</xdr:rowOff>
    </xdr:to>
    <xdr:sp>
      <xdr:nvSpPr>
        <xdr:cNvPr id="3" name="テキスト ボックス 10"/>
        <xdr:cNvSpPr/>
      </xdr:nvSpPr>
      <xdr:spPr>
        <a:xfrm>
          <a:off x="227617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123480</xdr:colOff>
      <xdr:row>977</xdr:row>
      <xdr:rowOff>113040</xdr:rowOff>
    </xdr:from>
    <xdr:to>
      <xdr:col>9</xdr:col>
      <xdr:colOff>1934280</xdr:colOff>
      <xdr:row>978</xdr:row>
      <xdr:rowOff>121680</xdr:rowOff>
    </xdr:to>
    <xdr:sp>
      <xdr:nvSpPr>
        <xdr:cNvPr id="4" name="テキスト ボックス 11"/>
        <xdr:cNvSpPr/>
      </xdr:nvSpPr>
      <xdr:spPr>
        <a:xfrm>
          <a:off x="15699960" y="244390680"/>
          <a:ext cx="1810800" cy="57996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12</xdr:col>
      <xdr:colOff>123480</xdr:colOff>
      <xdr:row>977</xdr:row>
      <xdr:rowOff>104040</xdr:rowOff>
    </xdr:from>
    <xdr:to>
      <xdr:col>12</xdr:col>
      <xdr:colOff>1934280</xdr:colOff>
      <xdr:row>978</xdr:row>
      <xdr:rowOff>113040</xdr:rowOff>
    </xdr:to>
    <xdr:sp>
      <xdr:nvSpPr>
        <xdr:cNvPr id="5" name="テキスト ボックス 12"/>
        <xdr:cNvSpPr/>
      </xdr:nvSpPr>
      <xdr:spPr>
        <a:xfrm>
          <a:off x="227160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16</xdr:col>
      <xdr:colOff>67320</xdr:colOff>
      <xdr:row>827</xdr:row>
      <xdr:rowOff>113040</xdr:rowOff>
    </xdr:from>
    <xdr:to>
      <xdr:col>20</xdr:col>
      <xdr:colOff>102240</xdr:colOff>
      <xdr:row>828</xdr:row>
      <xdr:rowOff>264600</xdr:rowOff>
    </xdr:to>
    <xdr:sp>
      <xdr:nvSpPr>
        <xdr:cNvPr id="6" name="テキスト ボックス 2"/>
        <xdr:cNvSpPr/>
      </xdr:nvSpPr>
      <xdr:spPr>
        <a:xfrm>
          <a:off x="32014800" y="207332640"/>
          <a:ext cx="2451600" cy="42768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22320</xdr:colOff>
      <xdr:row>825</xdr:row>
      <xdr:rowOff>102960</xdr:rowOff>
    </xdr:from>
    <xdr:to>
      <xdr:col>20</xdr:col>
      <xdr:colOff>68040</xdr:colOff>
      <xdr:row>827</xdr:row>
      <xdr:rowOff>65160</xdr:rowOff>
    </xdr:to>
    <xdr:sp>
      <xdr:nvSpPr>
        <xdr:cNvPr id="7" name="テキスト ボックス 9"/>
        <xdr:cNvSpPr/>
      </xdr:nvSpPr>
      <xdr:spPr>
        <a:xfrm>
          <a:off x="31969800" y="206798760"/>
          <a:ext cx="2462400" cy="48600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44640</xdr:colOff>
      <xdr:row>823</xdr:row>
      <xdr:rowOff>75240</xdr:rowOff>
    </xdr:from>
    <xdr:to>
      <xdr:col>20</xdr:col>
      <xdr:colOff>45360</xdr:colOff>
      <xdr:row>825</xdr:row>
      <xdr:rowOff>36720</xdr:rowOff>
    </xdr:to>
    <xdr:sp>
      <xdr:nvSpPr>
        <xdr:cNvPr id="8" name="テキスト ボックス 13"/>
        <xdr:cNvSpPr/>
      </xdr:nvSpPr>
      <xdr:spPr>
        <a:xfrm>
          <a:off x="31992120" y="206260200"/>
          <a:ext cx="2417400" cy="47232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565200</xdr:colOff>
      <xdr:row>876</xdr:row>
      <xdr:rowOff>104040</xdr:rowOff>
    </xdr:from>
    <xdr:to>
      <xdr:col>21</xdr:col>
      <xdr:colOff>1063080</xdr:colOff>
      <xdr:row>881</xdr:row>
      <xdr:rowOff>218160</xdr:rowOff>
    </xdr:to>
    <xdr:sp>
      <xdr:nvSpPr>
        <xdr:cNvPr id="9" name="正方形/長方形 14"/>
        <xdr:cNvSpPr/>
      </xdr:nvSpPr>
      <xdr:spPr>
        <a:xfrm>
          <a:off x="32512680" y="219418920"/>
          <a:ext cx="41230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16</xdr:col>
      <xdr:colOff>440280</xdr:colOff>
      <xdr:row>869</xdr:row>
      <xdr:rowOff>93960</xdr:rowOff>
    </xdr:from>
    <xdr:to>
      <xdr:col>21</xdr:col>
      <xdr:colOff>1197360</xdr:colOff>
      <xdr:row>874</xdr:row>
      <xdr:rowOff>208440</xdr:rowOff>
    </xdr:to>
    <xdr:sp>
      <xdr:nvSpPr>
        <xdr:cNvPr id="10" name="正方形/長方形 15"/>
        <xdr:cNvSpPr/>
      </xdr:nvSpPr>
      <xdr:spPr>
        <a:xfrm>
          <a:off x="32387760" y="217622160"/>
          <a:ext cx="43822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15</xdr:col>
      <xdr:colOff>169200</xdr:colOff>
      <xdr:row>1042</xdr:row>
      <xdr:rowOff>92880</xdr:rowOff>
    </xdr:from>
    <xdr:to>
      <xdr:col>15</xdr:col>
      <xdr:colOff>1854360</xdr:colOff>
      <xdr:row>1043</xdr:row>
      <xdr:rowOff>102960</xdr:rowOff>
    </xdr:to>
    <xdr:sp>
      <xdr:nvSpPr>
        <xdr:cNvPr id="11" name="テキスト ボックス 16"/>
        <xdr:cNvSpPr/>
      </xdr:nvSpPr>
      <xdr:spPr>
        <a:xfrm>
          <a:off x="297781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15</xdr:col>
      <xdr:colOff>123480</xdr:colOff>
      <xdr:row>977</xdr:row>
      <xdr:rowOff>104040</xdr:rowOff>
    </xdr:from>
    <xdr:to>
      <xdr:col>15</xdr:col>
      <xdr:colOff>1934280</xdr:colOff>
      <xdr:row>978</xdr:row>
      <xdr:rowOff>113040</xdr:rowOff>
    </xdr:to>
    <xdr:sp>
      <xdr:nvSpPr>
        <xdr:cNvPr id="12" name="テキスト ボックス 17"/>
        <xdr:cNvSpPr/>
      </xdr:nvSpPr>
      <xdr:spPr>
        <a:xfrm>
          <a:off x="297324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xdr:col>
      <xdr:colOff>326880</xdr:colOff>
      <xdr:row>17</xdr:row>
      <xdr:rowOff>104400</xdr:rowOff>
    </xdr:from>
    <xdr:to>
      <xdr:col>2</xdr:col>
      <xdr:colOff>487440</xdr:colOff>
      <xdr:row>20</xdr:row>
      <xdr:rowOff>247320</xdr:rowOff>
    </xdr:to>
    <xdr:sp>
      <xdr:nvSpPr>
        <xdr:cNvPr id="13" name="吹き出し: 角を丸めた四角形 3"/>
        <xdr:cNvSpPr/>
      </xdr:nvSpPr>
      <xdr:spPr>
        <a:xfrm>
          <a:off x="2270160" y="4611600"/>
          <a:ext cx="1628640" cy="885960"/>
        </a:xfrm>
        <a:prstGeom prst="wedgeRoundRectCallout">
          <a:avLst>
            <a:gd name="adj1" fmla="val -63597"/>
            <a:gd name="adj2" fmla="val -59782"/>
            <a:gd name="adj3" fmla="val 16667"/>
          </a:avLst>
        </a:prstGeom>
        <a:noFill/>
        <a:ln w="22320">
          <a:solidFill>
            <a:srgbClr val="000000"/>
          </a:solidFill>
          <a:round/>
          <a:headEnd len="med" type="triangle" w="lg"/>
        </a:ln>
      </xdr:spPr>
      <xdr:style>
        <a:lnRef idx="0"/>
        <a:fillRef idx="0"/>
        <a:effectRef idx="0"/>
        <a:fontRef idx="minor"/>
      </xdr:style>
      <xdr:txBody>
        <a:bodyPr lIns="20160" rIns="20160" tIns="20160" bIns="20160" anchor="ctr">
          <a:noAutofit/>
        </a:bodyPr>
        <a:p>
          <a:pPr>
            <a:lnSpc>
              <a:spcPct val="100000"/>
            </a:lnSpc>
          </a:pPr>
          <a:r>
            <a:rPr b="0" lang="zh-CN" sz="1100" spc="-1" strike="noStrike">
              <a:solidFill>
                <a:srgbClr val="000000"/>
              </a:solidFill>
              <a:latin typeface="ＭＳ Ｐゴシック"/>
              <a:ea typeface="DejaVu Sans"/>
            </a:rPr>
            <a:t>教育給与課は人事異動の精査未了のため</a:t>
          </a:r>
          <a:r>
            <a:rPr b="0" lang="en-US" sz="1100" spc="-1" strike="noStrike">
              <a:solidFill>
                <a:srgbClr val="000000"/>
              </a:solidFill>
              <a:latin typeface="Calibri"/>
              <a:ea typeface="DejaVu Sans"/>
            </a:rPr>
            <a:t>5</a:t>
          </a:r>
          <a:r>
            <a:rPr b="0" lang="zh-CN" sz="1100" spc="-1" strike="noStrike">
              <a:solidFill>
                <a:srgbClr val="000000"/>
              </a:solidFill>
              <a:latin typeface="ＭＳ Ｐゴシック"/>
              <a:ea typeface="DejaVu Sans"/>
            </a:rPr>
            <a:t>月調整となる。</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45720</xdr:colOff>
      <xdr:row>118</xdr:row>
      <xdr:rowOff>18360</xdr:rowOff>
    </xdr:from>
    <xdr:to>
      <xdr:col>10</xdr:col>
      <xdr:colOff>2520</xdr:colOff>
      <xdr:row>122</xdr:row>
      <xdr:rowOff>190080</xdr:rowOff>
    </xdr:to>
    <xdr:sp>
      <xdr:nvSpPr>
        <xdr:cNvPr id="14" name="直線コネクタ 2"/>
        <xdr:cNvSpPr/>
      </xdr:nvSpPr>
      <xdr:spPr>
        <a:xfrm flipV="1">
          <a:off x="10944720" y="25412040"/>
          <a:ext cx="6973200" cy="1124280"/>
        </a:xfrm>
        <a:prstGeom prst="line">
          <a:avLst/>
        </a:prstGeom>
        <a:ln w="9360">
          <a:solidFill>
            <a:srgbClr val="4a7ebb"/>
          </a:solidFill>
          <a:miter/>
        </a:ln>
      </xdr:spPr>
      <xdr:style>
        <a:lnRef idx="0"/>
        <a:fillRef idx="0"/>
        <a:effectRef idx="0"/>
        <a:fontRef idx="minor"/>
      </xdr:style>
    </xdr:sp>
    <xdr:clientData/>
  </xdr:twoCellAnchor>
  <xdr:twoCellAnchor editAs="oneCell">
    <xdr:from>
      <xdr:col>10</xdr:col>
      <xdr:colOff>57240</xdr:colOff>
      <xdr:row>118</xdr:row>
      <xdr:rowOff>37800</xdr:rowOff>
    </xdr:from>
    <xdr:to>
      <xdr:col>13</xdr:col>
      <xdr:colOff>13680</xdr:colOff>
      <xdr:row>122</xdr:row>
      <xdr:rowOff>199440</xdr:rowOff>
    </xdr:to>
    <xdr:sp>
      <xdr:nvSpPr>
        <xdr:cNvPr id="15" name="直線コネクタ 3"/>
        <xdr:cNvSpPr/>
      </xdr:nvSpPr>
      <xdr:spPr>
        <a:xfrm flipV="1">
          <a:off x="17972640" y="25431480"/>
          <a:ext cx="6972480" cy="1114200"/>
        </a:xfrm>
        <a:prstGeom prst="line">
          <a:avLst/>
        </a:prstGeom>
        <a:ln w="9360">
          <a:solidFill>
            <a:srgbClr val="4a7ebb"/>
          </a:solidFill>
          <a:miter/>
        </a:ln>
      </xdr:spPr>
      <xdr:style>
        <a:lnRef idx="0"/>
        <a:fillRef idx="0"/>
        <a:effectRef idx="0"/>
        <a:fontRef idx="minor"/>
      </xdr:style>
    </xdr:sp>
    <xdr:clientData/>
  </xdr:twoCellAnchor>
  <xdr:twoCellAnchor editAs="oneCell">
    <xdr:from>
      <xdr:col>13</xdr:col>
      <xdr:colOff>0</xdr:colOff>
      <xdr:row>118</xdr:row>
      <xdr:rowOff>47520</xdr:rowOff>
    </xdr:from>
    <xdr:to>
      <xdr:col>15</xdr:col>
      <xdr:colOff>2306880</xdr:colOff>
      <xdr:row>122</xdr:row>
      <xdr:rowOff>219600</xdr:rowOff>
    </xdr:to>
    <xdr:sp>
      <xdr:nvSpPr>
        <xdr:cNvPr id="16" name="直線コネクタ 4"/>
        <xdr:cNvSpPr/>
      </xdr:nvSpPr>
      <xdr:spPr>
        <a:xfrm flipV="1">
          <a:off x="24931440" y="25441200"/>
          <a:ext cx="6984360" cy="1124640"/>
        </a:xfrm>
        <a:prstGeom prst="line">
          <a:avLst/>
        </a:prstGeom>
        <a:ln w="9360">
          <a:solidFill>
            <a:srgbClr val="4a7ebb"/>
          </a:solidFill>
          <a:miter/>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26</xdr:col>
      <xdr:colOff>0</xdr:colOff>
      <xdr:row>3</xdr:row>
      <xdr:rowOff>218880</xdr:rowOff>
    </xdr:from>
    <xdr:to>
      <xdr:col>28</xdr:col>
      <xdr:colOff>892440</xdr:colOff>
      <xdr:row>12</xdr:row>
      <xdr:rowOff>199440</xdr:rowOff>
    </xdr:to>
    <xdr:sp>
      <xdr:nvSpPr>
        <xdr:cNvPr id="17" name="テキスト ボックス 4"/>
        <xdr:cNvSpPr/>
      </xdr:nvSpPr>
      <xdr:spPr>
        <a:xfrm>
          <a:off x="21008880" y="923760"/>
          <a:ext cx="3151080" cy="2647440"/>
        </a:xfrm>
        <a:prstGeom prst="rect">
          <a:avLst/>
        </a:prstGeom>
        <a:solidFill>
          <a:srgbClr val="fdeada"/>
        </a:solidFill>
        <a:ln w="9360">
          <a:solidFill>
            <a:srgbClr val="c00000"/>
          </a:solidFill>
          <a:miter/>
        </a:ln>
      </xdr:spPr>
      <xdr:style>
        <a:lnRef idx="0"/>
        <a:fillRef idx="0"/>
        <a:effectRef idx="0"/>
        <a:fontRef idx="minor"/>
      </xdr:style>
      <xdr:txBody>
        <a:bodyPr lIns="20160" rIns="20160" tIns="20160" bIns="20160" anchor="t">
          <a:noAutofit/>
        </a:bodyPr>
        <a:p>
          <a:pPr>
            <a:lnSpc>
              <a:spcPct val="100000"/>
            </a:lnSpc>
          </a:pPr>
          <a:r>
            <a:rPr b="0" lang="zh-CN" sz="1100" spc="-1" strike="noStrike">
              <a:solidFill>
                <a:srgbClr val="000000"/>
              </a:solidFill>
              <a:latin typeface="ＭＳ Ｐゴシック"/>
              <a:ea typeface="DejaVu Sans"/>
            </a:rPr>
            <a:t>還付については、月例分・賞与分に関わらず、すべて月例分として整理及び伝票処理することとする。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還付を受ける本人には、金額の合計で振り込むので、なんら影響はない。</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共済側の内訳整理のみの影響であり、厳密に賞与分を分けて整理しようとすると、市町村連合への各種報告、拠出金の支払額等、遡及して数字を変えることになり、そのことによる修正の煩雑さがかえって数字の不整合を招く危険性があ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また、給与課等の規模の大きい所属は毎月のように、共済に連絡しないまま月例分で過去の賞与分もすべて調整して入金してきている（調整する人数が多すぎて報告していたらきりがない、できない、とのこと）。</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よって、共済が知り得ない賞与分調整が月例で行われているので、知り得た者のみ正確に整理しても意味がない。</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541800</xdr:colOff>
      <xdr:row>39</xdr:row>
      <xdr:rowOff>132840</xdr:rowOff>
    </xdr:from>
    <xdr:to>
      <xdr:col>14</xdr:col>
      <xdr:colOff>610560</xdr:colOff>
      <xdr:row>42</xdr:row>
      <xdr:rowOff>28440</xdr:rowOff>
    </xdr:to>
    <xdr:sp>
      <xdr:nvSpPr>
        <xdr:cNvPr id="18" name="テキスト ボックス 13"/>
        <xdr:cNvSpPr/>
      </xdr:nvSpPr>
      <xdr:spPr>
        <a:xfrm>
          <a:off x="13651920" y="11362680"/>
          <a:ext cx="2236680" cy="753120"/>
        </a:xfrm>
        <a:prstGeom prst="rect">
          <a:avLst/>
        </a:prstGeom>
        <a:solidFill>
          <a:srgbClr val="ffffff"/>
        </a:solidFill>
        <a:ln w="19080">
          <a:solidFill>
            <a:srgbClr val="17375e"/>
          </a:solidFill>
          <a:miter/>
        </a:ln>
      </xdr:spPr>
      <xdr:style>
        <a:lnRef idx="0"/>
        <a:fillRef idx="0"/>
        <a:effectRef idx="0"/>
        <a:fontRef idx="minor"/>
      </xdr:style>
      <xdr:txBody>
        <a:bodyPr lIns="20160" rIns="20160" tIns="20160" bIns="20160" anchor="ctr">
          <a:noAutofit/>
        </a:bodyPr>
        <a:p>
          <a:pPr>
            <a:lnSpc>
              <a:spcPct val="100000"/>
            </a:lnSpc>
          </a:pPr>
          <a:r>
            <a:rPr b="0" lang="zh-CN" sz="1200" spc="-1" strike="noStrike">
              <a:solidFill>
                <a:srgbClr val="000000"/>
              </a:solidFill>
              <a:latin typeface="ＭＳ Ｐゴシック"/>
              <a:ea typeface="DejaVu Sans"/>
            </a:rPr>
            <a:t>差額賞与分があれば、入金月に上乗せで入れる</a:t>
          </a:r>
          <a:endParaRPr b="0" lang="en-US" sz="1200" spc="-1" strike="noStrike">
            <a:latin typeface="Times New Roman"/>
          </a:endParaRPr>
        </a:p>
      </xdr:txBody>
    </xdr:sp>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529920</xdr:colOff>
      <xdr:row>22</xdr:row>
      <xdr:rowOff>77040</xdr:rowOff>
    </xdr:from>
    <xdr:to>
      <xdr:col>4</xdr:col>
      <xdr:colOff>531000</xdr:colOff>
      <xdr:row>23</xdr:row>
      <xdr:rowOff>9720</xdr:rowOff>
    </xdr:to>
    <xdr:sp>
      <xdr:nvSpPr>
        <xdr:cNvPr id="19" name="Line 2"/>
        <xdr:cNvSpPr/>
      </xdr:nvSpPr>
      <xdr:spPr>
        <a:xfrm flipH="1">
          <a:off x="5815800" y="7058880"/>
          <a:ext cx="1080" cy="30420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1072080</xdr:colOff>
      <xdr:row>22</xdr:row>
      <xdr:rowOff>95760</xdr:rowOff>
    </xdr:from>
    <xdr:to>
      <xdr:col>6</xdr:col>
      <xdr:colOff>227160</xdr:colOff>
      <xdr:row>23</xdr:row>
      <xdr:rowOff>57600</xdr:rowOff>
    </xdr:to>
    <xdr:sp>
      <xdr:nvSpPr>
        <xdr:cNvPr id="20" name="Line 3"/>
        <xdr:cNvSpPr/>
      </xdr:nvSpPr>
      <xdr:spPr>
        <a:xfrm>
          <a:off x="6357960" y="7077600"/>
          <a:ext cx="622440" cy="33336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1197360</xdr:colOff>
      <xdr:row>22</xdr:row>
      <xdr:rowOff>95760</xdr:rowOff>
    </xdr:from>
    <xdr:to>
      <xdr:col>11</xdr:col>
      <xdr:colOff>634320</xdr:colOff>
      <xdr:row>23</xdr:row>
      <xdr:rowOff>190080</xdr:rowOff>
    </xdr:to>
    <xdr:sp>
      <xdr:nvSpPr>
        <xdr:cNvPr id="21" name="Line 3"/>
        <xdr:cNvSpPr/>
      </xdr:nvSpPr>
      <xdr:spPr>
        <a:xfrm>
          <a:off x="6483240" y="7077600"/>
          <a:ext cx="7511400" cy="46584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1242720</xdr:colOff>
      <xdr:row>22</xdr:row>
      <xdr:rowOff>10080</xdr:rowOff>
    </xdr:from>
    <xdr:to>
      <xdr:col>17</xdr:col>
      <xdr:colOff>340560</xdr:colOff>
      <xdr:row>23</xdr:row>
      <xdr:rowOff>152280</xdr:rowOff>
    </xdr:to>
    <xdr:sp>
      <xdr:nvSpPr>
        <xdr:cNvPr id="22" name="Line 3"/>
        <xdr:cNvSpPr/>
      </xdr:nvSpPr>
      <xdr:spPr>
        <a:xfrm>
          <a:off x="6528600" y="6991920"/>
          <a:ext cx="15078240" cy="513720"/>
        </a:xfrm>
        <a:prstGeom prst="line">
          <a:avLst/>
        </a:prstGeom>
        <a:ln w="9360">
          <a:solidFill>
            <a:srgbClr val="000000"/>
          </a:solidFill>
          <a:miter/>
          <a:headEnd len="med" type="triangle" w="lg"/>
        </a:ln>
      </xdr:spPr>
      <xdr:style>
        <a:lnRef idx="0"/>
        <a:fillRef idx="0"/>
        <a:effectRef idx="0"/>
        <a:fontRef idx="minor"/>
      </xdr:style>
    </xdr:sp>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11160</xdr:colOff>
      <xdr:row>5</xdr:row>
      <xdr:rowOff>9720</xdr:rowOff>
    </xdr:from>
    <xdr:to>
      <xdr:col>3</xdr:col>
      <xdr:colOff>1436040</xdr:colOff>
      <xdr:row>19</xdr:row>
      <xdr:rowOff>343080</xdr:rowOff>
    </xdr:to>
    <xdr:sp>
      <xdr:nvSpPr>
        <xdr:cNvPr id="23" name="直線コネクタ 2"/>
        <xdr:cNvSpPr/>
      </xdr:nvSpPr>
      <xdr:spPr>
        <a:xfrm flipH="1">
          <a:off x="3579840" y="1847880"/>
          <a:ext cx="1424880" cy="5133960"/>
        </a:xfrm>
        <a:prstGeom prst="line">
          <a:avLst/>
        </a:prstGeom>
        <a:ln w="9360">
          <a:solidFill>
            <a:srgbClr val="4a7ebb"/>
          </a:solidFill>
          <a:miter/>
        </a:ln>
      </xdr:spPr>
      <xdr:style>
        <a:lnRef idx="0"/>
        <a:fillRef idx="0"/>
        <a:effectRef idx="0"/>
        <a:fontRef idx="minor"/>
      </xdr:style>
    </xdr:sp>
    <xdr:clientData/>
  </xdr:twoCellAnchor>
  <xdr:twoCellAnchor editAs="oneCell">
    <xdr:from>
      <xdr:col>4</xdr:col>
      <xdr:colOff>21600</xdr:colOff>
      <xdr:row>5</xdr:row>
      <xdr:rowOff>0</xdr:rowOff>
    </xdr:from>
    <xdr:to>
      <xdr:col>4</xdr:col>
      <xdr:colOff>1096200</xdr:colOff>
      <xdr:row>19</xdr:row>
      <xdr:rowOff>343080</xdr:rowOff>
    </xdr:to>
    <xdr:sp>
      <xdr:nvSpPr>
        <xdr:cNvPr id="24" name="直線コネクタ 3"/>
        <xdr:cNvSpPr/>
      </xdr:nvSpPr>
      <xdr:spPr>
        <a:xfrm flipH="1">
          <a:off x="5036040" y="1838160"/>
          <a:ext cx="1074600" cy="5143680"/>
        </a:xfrm>
        <a:prstGeom prst="line">
          <a:avLst/>
        </a:prstGeom>
        <a:ln w="9360">
          <a:solidFill>
            <a:srgbClr val="4a7ebb"/>
          </a:solidFill>
          <a:miter/>
        </a:ln>
      </xdr:spPr>
      <xdr:style>
        <a:lnRef idx="0"/>
        <a:fillRef idx="0"/>
        <a:effectRef idx="0"/>
        <a:fontRef idx="minor"/>
      </xdr:style>
    </xdr:sp>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225720</xdr:colOff>
      <xdr:row>1</xdr:row>
      <xdr:rowOff>324000</xdr:rowOff>
    </xdr:from>
    <xdr:to>
      <xdr:col>3</xdr:col>
      <xdr:colOff>441720</xdr:colOff>
      <xdr:row>2</xdr:row>
      <xdr:rowOff>152280</xdr:rowOff>
    </xdr:to>
    <xdr:cxnSp>
      <xdr:nvCxnSpPr>
        <xdr:cNvPr id="25" name="直線矢印コネクタ 2"/>
        <xdr:cNvCxnSpPr/>
      </xdr:nvCxnSpPr>
      <xdr:spPr>
        <a:xfrm flipH="1" flipV="1">
          <a:off x="4460400" y="657360"/>
          <a:ext cx="216360" cy="162000"/>
        </a:xfrm>
        <a:prstGeom prst="straightConnector1">
          <a:avLst/>
        </a:prstGeom>
        <a:ln w="9360">
          <a:solidFill>
            <a:srgbClr val="4a7ebb"/>
          </a:solidFill>
          <a:miter/>
          <a:tailEnd len="med" type="triangle" w="med"/>
        </a:ln>
      </xdr:spPr>
    </xdr:cxnSp>
    <xdr:clientData/>
  </xdr:twoCellAnchor>
  <xdr:twoCellAnchor editAs="oneCell">
    <xdr:from>
      <xdr:col>4</xdr:col>
      <xdr:colOff>214200</xdr:colOff>
      <xdr:row>2</xdr:row>
      <xdr:rowOff>19080</xdr:rowOff>
    </xdr:from>
    <xdr:to>
      <xdr:col>4</xdr:col>
      <xdr:colOff>522000</xdr:colOff>
      <xdr:row>2</xdr:row>
      <xdr:rowOff>176400</xdr:rowOff>
    </xdr:to>
    <xdr:cxnSp>
      <xdr:nvCxnSpPr>
        <xdr:cNvPr id="26" name="直線矢印コネクタ 6"/>
        <xdr:cNvCxnSpPr/>
      </xdr:nvCxnSpPr>
      <xdr:spPr>
        <a:xfrm flipV="1">
          <a:off x="5804280" y="685800"/>
          <a:ext cx="308160" cy="157680"/>
        </a:xfrm>
        <a:prstGeom prst="straightConnector1">
          <a:avLst/>
        </a:prstGeom>
        <a:ln w="9360">
          <a:solidFill>
            <a:srgbClr val="4a7ebb"/>
          </a:solidFill>
          <a:miter/>
          <a:tailEnd len="med" type="triangle" w="med"/>
        </a:ln>
      </xdr:spPr>
    </xdr:cxnSp>
    <xdr:clientData/>
  </xdr:twoCellAnchor>
  <xdr:twoCellAnchor editAs="oneCell">
    <xdr:from>
      <xdr:col>5</xdr:col>
      <xdr:colOff>225720</xdr:colOff>
      <xdr:row>1</xdr:row>
      <xdr:rowOff>324000</xdr:rowOff>
    </xdr:from>
    <xdr:to>
      <xdr:col>5</xdr:col>
      <xdr:colOff>441720</xdr:colOff>
      <xdr:row>2</xdr:row>
      <xdr:rowOff>152280</xdr:rowOff>
    </xdr:to>
    <xdr:cxnSp>
      <xdr:nvCxnSpPr>
        <xdr:cNvPr id="27" name="直線矢印コネクタ 3"/>
        <xdr:cNvCxnSpPr/>
      </xdr:nvCxnSpPr>
      <xdr:spPr>
        <a:xfrm flipH="1" flipV="1">
          <a:off x="7328880" y="657360"/>
          <a:ext cx="216360" cy="162000"/>
        </a:xfrm>
        <a:prstGeom prst="straightConnector1">
          <a:avLst/>
        </a:prstGeom>
        <a:ln w="9360">
          <a:solidFill>
            <a:srgbClr val="4a7ebb"/>
          </a:solidFill>
          <a:miter/>
          <a:tailEnd len="med" type="triangle" w="med"/>
        </a:ln>
      </xdr:spPr>
    </xdr:cxnSp>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22</xdr:row>
      <xdr:rowOff>398880</xdr:rowOff>
    </xdr:from>
    <xdr:to>
      <xdr:col>7</xdr:col>
      <xdr:colOff>724320</xdr:colOff>
      <xdr:row>23</xdr:row>
      <xdr:rowOff>219240</xdr:rowOff>
    </xdr:to>
    <xdr:sp>
      <xdr:nvSpPr>
        <xdr:cNvPr id="28" name="Line 3"/>
        <xdr:cNvSpPr/>
      </xdr:nvSpPr>
      <xdr:spPr>
        <a:xfrm flipV="1">
          <a:off x="5657760" y="10057320"/>
          <a:ext cx="3828960" cy="344160"/>
        </a:xfrm>
        <a:prstGeom prst="line">
          <a:avLst/>
        </a:prstGeom>
        <a:ln w="19080">
          <a:solidFill>
            <a:srgbClr val="000000"/>
          </a:solidFill>
          <a:miter/>
          <a:headEnd len="med" type="triangle" w="lg"/>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5.xml"/><Relationship Id="rId3" Type="http://schemas.openxmlformats.org/officeDocument/2006/relationships/vmlDrawing" Target="../drawings/vmlDrawing4.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6.xml"/><Relationship Id="rId3" Type="http://schemas.openxmlformats.org/officeDocument/2006/relationships/vmlDrawing" Target="../drawings/vmlDrawing5.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7.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8.xml"/><Relationship Id="rId3" Type="http://schemas.openxmlformats.org/officeDocument/2006/relationships/vmlDrawing" Target="../drawings/vmlDrawing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9.xml"/><Relationship Id="rId3" Type="http://schemas.openxmlformats.org/officeDocument/2006/relationships/vmlDrawing" Target="../drawings/vmlDrawing9.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I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21875" defaultRowHeight="15" zeroHeight="false" outlineLevelRow="0" outlineLevelCol="0"/>
  <cols>
    <col collapsed="false" customWidth="true" hidden="false" outlineLevel="0" max="1" min="1" style="0" width="2"/>
    <col collapsed="false" customWidth="true" hidden="false" outlineLevel="0" max="3" min="2" style="0" width="22"/>
    <col collapsed="false" customWidth="true" hidden="false" outlineLevel="0" max="4" min="4" style="0" width="14"/>
    <col collapsed="false" customWidth="true" hidden="false" outlineLevel="0" max="5" min="5" style="0" width="3"/>
    <col collapsed="false" customWidth="true" hidden="false" outlineLevel="0" max="6" min="6" style="0" width="2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9.7" hidden="false" customHeight="false" outlineLevel="0" collapsed="false">
      <c r="B1" s="1" t="s">
        <v>0</v>
      </c>
    </row>
    <row r="2" customFormat="false" ht="17.35" hidden="false" customHeight="false" outlineLevel="0" collapsed="false">
      <c r="B2" s="2" t="s">
        <v>1</v>
      </c>
    </row>
    <row r="3" customFormat="false" ht="17.35" hidden="false" customHeight="false" outlineLevel="0" collapsed="false"/>
    <row r="4" customFormat="false" ht="17.35" hidden="false" customHeight="false" outlineLevel="0" collapsed="false">
      <c r="B4" s="3" t="s">
        <v>2</v>
      </c>
      <c r="C4" s="4" t="s">
        <v>3</v>
      </c>
      <c r="D4" s="5" t="s">
        <v>4</v>
      </c>
    </row>
    <row r="5" customFormat="false" ht="17.35" hidden="false" customHeight="false" outlineLevel="0" collapsed="false"/>
    <row r="6" customFormat="false" ht="17.35" hidden="false" customHeight="false" outlineLevel="0" collapsed="false">
      <c r="B6" s="3" t="s">
        <v>5</v>
      </c>
      <c r="C6" s="3" t="s">
        <v>6</v>
      </c>
      <c r="F6" s="3" t="s">
        <v>7</v>
      </c>
      <c r="G6" s="3" t="s">
        <v>6</v>
      </c>
      <c r="H6" s="3" t="s">
        <v>8</v>
      </c>
    </row>
    <row r="7" customFormat="false" ht="17.35" hidden="false" customHeight="false" outlineLevel="0" collapsed="false">
      <c r="B7" s="6" t="s">
        <v>9</v>
      </c>
      <c r="C7" s="7" t="n">
        <f aca="false">COUNTIFS(報告入力!$A$7:$A$696,$C$4,報告入力!$C$7:$C$696,"未受領")</f>
        <v>35</v>
      </c>
      <c r="F7" s="6" t="s">
        <v>10</v>
      </c>
      <c r="G7" s="7" t="n">
        <f aca="false">COUNTIFS(報告入力!$A$7:$A$696,$C$4,報告入力!$D$7:$D$696,"要確認")</f>
        <v>0</v>
      </c>
      <c r="H7" s="7" t="n">
        <f aca="false">COUNT(伝票入力!A7:A600)</f>
        <v>0</v>
      </c>
    </row>
    <row r="8" customFormat="false" ht="17.35" hidden="false" customHeight="false" outlineLevel="0" collapsed="false">
      <c r="B8" s="6" t="s">
        <v>11</v>
      </c>
      <c r="C8" s="7" t="n">
        <f aca="false">COUNTIFS(報告入力!$A$7:$A$696,$C$4,報告入力!$C$7:$C$696,"受領済")</f>
        <v>8</v>
      </c>
      <c r="F8" s="6" t="s">
        <v>12</v>
      </c>
      <c r="G8" s="7" t="n">
        <f aca="false">COUNTIFS(報告入力!$A$7:$A$696,$C$4,報告入力!$D$7:$D$696,"問題なし")</f>
        <v>0</v>
      </c>
    </row>
    <row r="9" customFormat="false" ht="17.35" hidden="false" customHeight="false" outlineLevel="0" collapsed="false">
      <c r="B9" s="6" t="s">
        <v>13</v>
      </c>
      <c r="C9" s="7" t="n">
        <f aca="false">COUNTIFS(報告入力!$A$7:$A$696,$C$4,報告入力!$C$7:$C$696,"入金確認済")</f>
        <v>0</v>
      </c>
      <c r="F9" s="6" t="s">
        <v>14</v>
      </c>
      <c r="G9" s="7" t="n">
        <f aca="false">COUNTIFS(報告入力!$A$7:$A$696,$C$4,報告入力!$D$7:$D$696,"標報未入力")</f>
        <v>8</v>
      </c>
    </row>
    <row r="10" customFormat="false" ht="17.35" hidden="false" customHeight="false" outlineLevel="0" collapsed="false">
      <c r="B10" s="6" t="s">
        <v>15</v>
      </c>
      <c r="C10" s="7" t="n">
        <f aca="false">COUNTIFS(報告入力!$A$7:$A$696,$C$4,報告入力!$C$7:$C$696,"起票済")</f>
        <v>0</v>
      </c>
      <c r="F10" s="6" t="s">
        <v>16</v>
      </c>
      <c r="G10" s="7" t="n">
        <f aca="false">COUNTIFS(報告入力!$A$7:$A$696,$C$4,報告入力!$F$7:$F$696,"不一致")</f>
        <v>0</v>
      </c>
    </row>
    <row r="11" customFormat="false" ht="17.35" hidden="false" customHeight="false" outlineLevel="0" collapsed="false">
      <c r="B11" s="6" t="s">
        <v>17</v>
      </c>
      <c r="C11" s="7" t="n">
        <f aca="false">COUNTIFS(報告入力!$A$7:$A$696,$C$4,報告入力!$C$7:$C$696,"報告なし")</f>
        <v>3</v>
      </c>
      <c r="F11" s="6" t="s">
        <v>18</v>
      </c>
      <c r="G11" s="7" t="n">
        <f aca="false">COUNTIFS(報告入力!$A$7:$A$696,$C$4,報告入力!$F$7:$F$696,"未入金")</f>
        <v>8</v>
      </c>
    </row>
    <row r="12" customFormat="false" ht="26.85" hidden="false" customHeight="false" outlineLevel="0" collapsed="false">
      <c r="B12" s="8" t="s">
        <v>19</v>
      </c>
      <c r="C12" s="9" t="n">
        <f aca="false">SUM(C7:C11)</f>
        <v>46</v>
      </c>
      <c r="F12" s="6" t="s">
        <v>20</v>
      </c>
      <c r="G12" s="10" t="str">
        <f aca="false">IF(SUMIFS(報告入力!$CJ$7:$CJ$696,報告入力!$A$7:$A$696,$C$4)=INDEX('☆掛負収入'!$G$1:$G$1200,INDEX(設定!$E$20:$E$34,MATCH($C$4,設定!$A$20:$A$34,0))+63)+INDEX('☆掛負収入'!$J$1:$J$1200,INDEX(設定!$E$20:$E$34,MATCH($C$4,設定!$A$20:$A$34,0))+63)+INDEX('☆掛負収入'!$M$1:$M$1200,INDEX(設定!$E$20:$E$34,MATCH($C$4,設定!$A$20:$A$34,0))+63)+INDEX('☆掛負収入'!$P$1:$P$1200,INDEX(設定!$E$20:$E$34,MATCH($C$4,設定!$A$20:$A$34,0))+63),"一致","差異あり")</f>
        <v>一致</v>
      </c>
    </row>
    <row r="13" customFormat="false" ht="17.35" hidden="false" customHeight="false" outlineLevel="0" collapsed="false"/>
    <row r="14" customFormat="false" ht="17.35" hidden="false" customHeight="false" outlineLevel="0" collapsed="false"/>
    <row r="15" customFormat="false" ht="17.35" hidden="false" customHeight="true" outlineLevel="0" collapsed="false">
      <c r="B15" s="11" t="s">
        <v>21</v>
      </c>
      <c r="C15" s="11"/>
      <c r="F15" s="11" t="s">
        <v>22</v>
      </c>
      <c r="G15" s="11"/>
      <c r="H15" s="11" t="s">
        <v>23</v>
      </c>
    </row>
    <row r="16" customFormat="false" ht="17.35" hidden="false" customHeight="false" outlineLevel="0" collapsed="false">
      <c r="B16" s="6" t="str">
        <f aca="false">IFERROR(INDEX(検算!$A$7:$A$52,MATCH(1,検算!$AI$7:$AI$52,0)),"")</f>
        <v>市長部局</v>
      </c>
      <c r="C16" s="6"/>
      <c r="F16" s="6" t="str">
        <f aca="false">IFERROR(INDEX(検算!$A$7:$A$52,MATCH(1,検算!$AJ$7:$AJ$52,0)),"")</f>
        <v/>
      </c>
      <c r="G16" s="6"/>
      <c r="H16" s="12" t="str">
        <f aca="false">IFERROR(INDEX(検算!$AK$7:$AK$52,MATCH(1,検算!$AJ$7:$AJ$52,0)),"")</f>
        <v/>
      </c>
    </row>
    <row r="17" customFormat="false" ht="17.35" hidden="false" customHeight="false" outlineLevel="0" collapsed="false">
      <c r="B17" s="6" t="str">
        <f aca="false">IFERROR(INDEX(検算!$A$7:$A$52,MATCH(2,検算!$AI$7:$AI$52,0)),"")</f>
        <v>下水道局</v>
      </c>
      <c r="C17" s="6"/>
      <c r="F17" s="6" t="str">
        <f aca="false">IFERROR(INDEX(検算!$A$7:$A$52,MATCH(2,検算!$AJ$7:$AJ$52,0)),"")</f>
        <v/>
      </c>
      <c r="G17" s="6"/>
      <c r="H17" s="12" t="str">
        <f aca="false">IFERROR(INDEX(検算!$AK$7:$AK$52,MATCH(2,検算!$AJ$7:$AJ$52,0)),"")</f>
        <v/>
      </c>
    </row>
    <row r="18" customFormat="false" ht="17.35" hidden="false" customHeight="false" outlineLevel="0" collapsed="false">
      <c r="B18" s="6" t="str">
        <f aca="false">IFERROR(INDEX(検算!$A$7:$A$52,MATCH(3,検算!$AI$7:$AI$52,0)),"")</f>
        <v>消防局</v>
      </c>
      <c r="C18" s="6"/>
      <c r="F18" s="6" t="str">
        <f aca="false">IFERROR(INDEX(検算!$A$7:$A$52,MATCH(3,検算!$AJ$7:$AJ$52,0)),"")</f>
        <v/>
      </c>
      <c r="G18" s="6"/>
      <c r="H18" s="12" t="str">
        <f aca="false">IFERROR(INDEX(検算!$AK$7:$AK$52,MATCH(3,検算!$AJ$7:$AJ$52,0)),"")</f>
        <v/>
      </c>
    </row>
    <row r="19" customFormat="false" ht="17.35" hidden="false" customHeight="false" outlineLevel="0" collapsed="false">
      <c r="B19" s="6" t="str">
        <f aca="false">IFERROR(INDEX(検算!$A$7:$A$52,MATCH(4,検算!$AI$7:$AI$52,0)),"")</f>
        <v>議会事務局</v>
      </c>
      <c r="C19" s="6"/>
      <c r="F19" s="6" t="str">
        <f aca="false">IFERROR(INDEX(検算!$A$7:$A$52,MATCH(4,検算!$AJ$7:$AJ$52,0)),"")</f>
        <v/>
      </c>
      <c r="G19" s="6"/>
      <c r="H19" s="12" t="str">
        <f aca="false">IFERROR(INDEX(検算!$AK$7:$AK$52,MATCH(4,検算!$AJ$7:$AJ$52,0)),"")</f>
        <v/>
      </c>
    </row>
    <row r="20" customFormat="false" ht="17.35" hidden="false" customHeight="false" outlineLevel="0" collapsed="false">
      <c r="B20" s="6" t="str">
        <f aca="false">IFERROR(INDEX(検算!$A$7:$A$52,MATCH(5,検算!$AI$7:$AI$52,0)),"")</f>
        <v>教育委員会（総務課）</v>
      </c>
      <c r="C20" s="6"/>
      <c r="F20" s="6" t="str">
        <f aca="false">IFERROR(INDEX(検算!$A$7:$A$52,MATCH(5,検算!$AJ$7:$AJ$52,0)),"")</f>
        <v/>
      </c>
      <c r="G20" s="6"/>
      <c r="H20" s="12" t="str">
        <f aca="false">IFERROR(INDEX(検算!$AK$7:$AK$52,MATCH(5,検算!$AJ$7:$AJ$52,0)),"")</f>
        <v/>
      </c>
    </row>
    <row r="21" customFormat="false" ht="17.35" hidden="false" customHeight="false" outlineLevel="0" collapsed="false">
      <c r="B21" s="6" t="str">
        <f aca="false">IFERROR(INDEX(検算!$A$7:$A$52,MATCH(6,検算!$AI$7:$AI$52,0)),"")</f>
        <v>選挙管理委員会</v>
      </c>
      <c r="C21" s="6"/>
      <c r="F21" s="6" t="str">
        <f aca="false">IFERROR(INDEX(検算!$A$7:$A$52,MATCH(6,検算!$AJ$7:$AJ$52,0)),"")</f>
        <v/>
      </c>
      <c r="G21" s="6"/>
      <c r="H21" s="12" t="str">
        <f aca="false">IFERROR(INDEX(検算!$AK$7:$AK$52,MATCH(6,検算!$AJ$7:$AJ$52,0)),"")</f>
        <v/>
      </c>
    </row>
    <row r="22" customFormat="false" ht="17.35" hidden="false" customHeight="false" outlineLevel="0" collapsed="false">
      <c r="B22" s="6" t="str">
        <f aca="false">IFERROR(INDEX(検算!$A$7:$A$52,MATCH(7,検算!$AI$7:$AI$52,0)),"")</f>
        <v>人事委員会</v>
      </c>
      <c r="C22" s="6"/>
      <c r="F22" s="6" t="str">
        <f aca="false">IFERROR(INDEX(検算!$A$7:$A$52,MATCH(7,検算!$AJ$7:$AJ$52,0)),"")</f>
        <v/>
      </c>
      <c r="G22" s="6"/>
      <c r="H22" s="12" t="str">
        <f aca="false">IFERROR(INDEX(検算!$AK$7:$AK$52,MATCH(7,検算!$AJ$7:$AJ$52,0)),"")</f>
        <v/>
      </c>
    </row>
    <row r="23" customFormat="false" ht="17.35" hidden="false" customHeight="false" outlineLevel="0" collapsed="false">
      <c r="B23" s="6" t="str">
        <f aca="false">IFERROR(INDEX(検算!$A$7:$A$52,MATCH(8,検算!$AI$7:$AI$52,0)),"")</f>
        <v>監査事務局</v>
      </c>
      <c r="C23" s="6"/>
      <c r="F23" s="6" t="str">
        <f aca="false">IFERROR(INDEX(検算!$A$7:$A$52,MATCH(8,検算!$AJ$7:$AJ$52,0)),"")</f>
        <v/>
      </c>
      <c r="G23" s="6"/>
      <c r="H23" s="12" t="str">
        <f aca="false">IFERROR(INDEX(検算!$AK$7:$AK$52,MATCH(8,検算!$AJ$7:$AJ$52,0)),"")</f>
        <v/>
      </c>
    </row>
    <row r="24" customFormat="false" ht="17.35" hidden="false" customHeight="false" outlineLevel="0" collapsed="false">
      <c r="B24" s="6" t="str">
        <f aca="false">IFERROR(INDEX(検算!$A$7:$A$52,MATCH(9,検算!$AI$7:$AI$52,0)),"")</f>
        <v>農業委員会</v>
      </c>
      <c r="C24" s="6"/>
      <c r="F24" s="6" t="str">
        <f aca="false">IFERROR(INDEX(検算!$A$7:$A$52,MATCH(9,検算!$AJ$7:$AJ$52,0)),"")</f>
        <v/>
      </c>
      <c r="G24" s="6"/>
      <c r="H24" s="12" t="str">
        <f aca="false">IFERROR(INDEX(検算!$AK$7:$AK$52,MATCH(9,検算!$AJ$7:$AJ$52,0)),"")</f>
        <v/>
      </c>
    </row>
    <row r="25" customFormat="false" ht="17.35" hidden="false" customHeight="false" outlineLevel="0" collapsed="false">
      <c r="B25" s="6" t="str">
        <f aca="false">IFERROR(INDEX(検算!$A$7:$A$52,MATCH(10,検算!$AI$7:$AI$52,0)),"")</f>
        <v>水道局</v>
      </c>
      <c r="C25" s="6"/>
      <c r="F25" s="6" t="str">
        <f aca="false">IFERROR(INDEX(検算!$A$7:$A$52,MATCH(10,検算!$AJ$7:$AJ$52,0)),"")</f>
        <v/>
      </c>
      <c r="G25" s="6"/>
      <c r="H25" s="12" t="str">
        <f aca="false">IFERROR(INDEX(検算!$AK$7:$AK$52,MATCH(10,検算!$AJ$7:$AJ$52,0)),"")</f>
        <v/>
      </c>
    </row>
    <row r="26" customFormat="false" ht="17.35" hidden="false" customHeight="false" outlineLevel="0" collapsed="false">
      <c r="B26" s="6" t="str">
        <f aca="false">IFERROR(INDEX(検算!$A$7:$A$52,MATCH(11,検算!$AI$7:$AI$52,0)),"")</f>
        <v>医療政策課(安芸市民)</v>
      </c>
      <c r="C26" s="6"/>
      <c r="F26" s="6" t="str">
        <f aca="false">IFERROR(INDEX(検算!$A$7:$A$52,MATCH(11,検算!$AJ$7:$AJ$52,0)),"")</f>
        <v/>
      </c>
      <c r="G26" s="6"/>
      <c r="H26" s="12" t="str">
        <f aca="false">IFERROR(INDEX(検算!$AK$7:$AK$52,MATCH(11,検算!$AJ$7:$AJ$52,0)),"")</f>
        <v/>
      </c>
    </row>
    <row r="27" customFormat="false" ht="17.35" hidden="false" customHeight="false" outlineLevel="0" collapsed="false">
      <c r="B27" s="6" t="str">
        <f aca="false">IFERROR(INDEX(検算!$A$7:$A$52,MATCH(12,検算!$AI$7:$AI$52,0)),"")</f>
        <v>教育委員会（教育給与課）</v>
      </c>
      <c r="C27" s="6"/>
      <c r="F27" s="6" t="str">
        <f aca="false">IFERROR(INDEX(検算!$A$7:$A$52,MATCH(12,検算!$AJ$7:$AJ$52,0)),"")</f>
        <v/>
      </c>
      <c r="G27" s="6"/>
      <c r="H27" s="12" t="str">
        <f aca="false">IFERROR(INDEX(検算!$AK$7:$AK$52,MATCH(12,検算!$AJ$7:$AJ$52,0)),"")</f>
        <v/>
      </c>
    </row>
    <row r="28" customFormat="false" ht="17.35" hidden="false" customHeight="false" outlineLevel="0" collapsed="false">
      <c r="B28" s="6" t="str">
        <f aca="false">IFERROR(INDEX(検算!$A$7:$A$52,MATCH(13,検算!$AI$7:$AI$52,0)),"")</f>
        <v>平和文化センター</v>
      </c>
      <c r="C28" s="6"/>
      <c r="F28" s="6" t="str">
        <f aca="false">IFERROR(INDEX(検算!$A$7:$A$52,MATCH(13,検算!$AJ$7:$AJ$52,0)),"")</f>
        <v/>
      </c>
      <c r="G28" s="6"/>
      <c r="H28" s="12" t="str">
        <f aca="false">IFERROR(INDEX(検算!$AK$7:$AK$52,MATCH(13,検算!$AJ$7:$AJ$52,0)),"")</f>
        <v/>
      </c>
    </row>
    <row r="29" customFormat="false" ht="17.35" hidden="false" customHeight="false" outlineLevel="0" collapsed="false">
      <c r="B29" s="6" t="str">
        <f aca="false">IFERROR(INDEX(検算!$A$7:$A$52,MATCH(14,検算!$AI$7:$AI$52,0)),"")</f>
        <v>社会福祉事業団</v>
      </c>
      <c r="C29" s="6"/>
      <c r="F29" s="6" t="str">
        <f aca="false">IFERROR(INDEX(検算!$A$7:$A$52,MATCH(14,検算!$AJ$7:$AJ$52,0)),"")</f>
        <v/>
      </c>
      <c r="G29" s="6"/>
      <c r="H29" s="12" t="str">
        <f aca="false">IFERROR(INDEX(検算!$AK$7:$AK$52,MATCH(14,検算!$AJ$7:$AJ$52,0)),"")</f>
        <v/>
      </c>
    </row>
    <row r="30" customFormat="false" ht="17.35" hidden="false" customHeight="false" outlineLevel="0" collapsed="false">
      <c r="B30" s="6" t="str">
        <f aca="false">IFERROR(INDEX(検算!$A$7:$A$52,MATCH(15,検算!$AI$7:$AI$52,0)),"")</f>
        <v>原爆障害対策協議会</v>
      </c>
      <c r="C30" s="6"/>
      <c r="F30" s="6" t="str">
        <f aca="false">IFERROR(INDEX(検算!$A$7:$A$52,MATCH(15,検算!$AJ$7:$AJ$52,0)),"")</f>
        <v/>
      </c>
      <c r="G30" s="6"/>
      <c r="H30" s="12" t="str">
        <f aca="false">IFERROR(INDEX(検算!$AK$7:$AK$52,MATCH(15,検算!$AJ$7:$AJ$52,0)),"")</f>
        <v/>
      </c>
    </row>
    <row r="31" customFormat="false" ht="17.35" hidden="false" customHeight="false" outlineLevel="0" collapsed="false"/>
    <row r="32" customFormat="false" ht="17.35" hidden="false" customHeight="false" outlineLevel="0" collapsed="false">
      <c r="B32" s="5" t="s">
        <v>24</v>
      </c>
    </row>
    <row r="33" customFormat="false" ht="17.35" hidden="false" customHeight="false" outlineLevel="0" collapsed="false"/>
    <row r="34" customFormat="false" ht="17.35" hidden="false" customHeight="false" outlineLevel="0" collapsed="false">
      <c r="B34" s="13" t="s">
        <v>25</v>
      </c>
    </row>
    <row r="35" customFormat="false" ht="34" hidden="false" customHeight="true" outlineLevel="0" collapsed="false">
      <c r="B35" s="14" t="s">
        <v>26</v>
      </c>
      <c r="C35" s="6" t="s">
        <v>27</v>
      </c>
      <c r="D35" s="6"/>
      <c r="E35" s="6"/>
      <c r="F35" s="6"/>
      <c r="G35" s="6"/>
      <c r="H35" s="6"/>
      <c r="I35" s="6"/>
    </row>
    <row r="36" customFormat="false" ht="34" hidden="false" customHeight="true" outlineLevel="0" collapsed="false">
      <c r="B36" s="14" t="s">
        <v>28</v>
      </c>
      <c r="C36" s="6" t="s">
        <v>29</v>
      </c>
      <c r="D36" s="6"/>
      <c r="E36" s="6"/>
      <c r="F36" s="6"/>
      <c r="G36" s="6"/>
      <c r="H36" s="6"/>
      <c r="I36" s="6"/>
    </row>
    <row r="37" customFormat="false" ht="34" hidden="false" customHeight="true" outlineLevel="0" collapsed="false">
      <c r="B37" s="14" t="s">
        <v>30</v>
      </c>
      <c r="C37" s="6" t="s">
        <v>31</v>
      </c>
      <c r="D37" s="6"/>
      <c r="E37" s="6"/>
      <c r="F37" s="6"/>
      <c r="G37" s="6"/>
      <c r="H37" s="6"/>
      <c r="I37" s="6"/>
    </row>
    <row r="38" customFormat="false" ht="34" hidden="false" customHeight="true" outlineLevel="0" collapsed="false">
      <c r="B38" s="14" t="s">
        <v>32</v>
      </c>
      <c r="C38" s="6" t="s">
        <v>33</v>
      </c>
      <c r="D38" s="6"/>
      <c r="E38" s="6"/>
      <c r="F38" s="6"/>
      <c r="G38" s="6"/>
      <c r="H38" s="6"/>
      <c r="I38" s="6"/>
    </row>
    <row r="39" customFormat="false" ht="34" hidden="false" customHeight="true" outlineLevel="0" collapsed="false">
      <c r="B39" s="14" t="s">
        <v>34</v>
      </c>
      <c r="C39" s="6" t="s">
        <v>35</v>
      </c>
      <c r="D39" s="6"/>
      <c r="E39" s="6"/>
      <c r="F39" s="6"/>
      <c r="G39" s="6"/>
      <c r="H39" s="6"/>
      <c r="I39" s="6"/>
    </row>
    <row r="40" customFormat="false" ht="17.35" hidden="false" customHeight="false" outlineLevel="0" collapsed="false"/>
    <row r="41" customFormat="false" ht="17.35" hidden="false" customHeight="false" outlineLevel="0" collapsed="false">
      <c r="B41" s="13" t="s">
        <v>36</v>
      </c>
    </row>
    <row r="42" customFormat="false" ht="17.35" hidden="false" customHeight="true" outlineLevel="0" collapsed="false">
      <c r="B42" s="8" t="s">
        <v>37</v>
      </c>
      <c r="C42" s="6" t="s">
        <v>38</v>
      </c>
      <c r="D42" s="6"/>
      <c r="E42" s="6"/>
      <c r="F42" s="6"/>
      <c r="G42" s="6"/>
      <c r="H42" s="6"/>
      <c r="I42" s="6"/>
    </row>
    <row r="43" customFormat="false" ht="17.35" hidden="false" customHeight="true" outlineLevel="0" collapsed="false">
      <c r="B43" s="8" t="s">
        <v>39</v>
      </c>
      <c r="C43" s="6" t="s">
        <v>40</v>
      </c>
      <c r="D43" s="6"/>
      <c r="E43" s="6"/>
      <c r="F43" s="6"/>
      <c r="G43" s="6"/>
      <c r="H43" s="6"/>
      <c r="I43" s="6"/>
    </row>
    <row r="44" customFormat="false" ht="17.35" hidden="false" customHeight="true" outlineLevel="0" collapsed="false">
      <c r="B44" s="8" t="s">
        <v>41</v>
      </c>
      <c r="C44" s="6" t="s">
        <v>42</v>
      </c>
      <c r="D44" s="6"/>
      <c r="E44" s="6"/>
      <c r="F44" s="6"/>
      <c r="G44" s="6"/>
      <c r="H44" s="6"/>
      <c r="I44" s="6"/>
    </row>
    <row r="45" customFormat="false" ht="17.35" hidden="false" customHeight="true" outlineLevel="0" collapsed="false">
      <c r="B45" s="8" t="s">
        <v>43</v>
      </c>
      <c r="C45" s="6" t="s">
        <v>44</v>
      </c>
      <c r="D45" s="6"/>
      <c r="E45" s="6"/>
      <c r="F45" s="6"/>
      <c r="G45" s="6"/>
      <c r="H45" s="6"/>
      <c r="I45" s="6"/>
    </row>
    <row r="46" customFormat="false" ht="17.35" hidden="false" customHeight="true" outlineLevel="0" collapsed="false">
      <c r="B46" s="8" t="s">
        <v>45</v>
      </c>
      <c r="C46" s="6" t="s">
        <v>46</v>
      </c>
      <c r="D46" s="6"/>
      <c r="E46" s="6"/>
      <c r="F46" s="6"/>
      <c r="G46" s="6"/>
      <c r="H46" s="6"/>
      <c r="I46" s="6"/>
    </row>
    <row r="47" customFormat="false" ht="17.35" hidden="false" customHeight="false" outlineLevel="0" collapsed="false"/>
    <row r="48" customFormat="false" ht="17.35" hidden="false" customHeight="false" outlineLevel="0" collapsed="false">
      <c r="B48" s="13" t="s">
        <v>47</v>
      </c>
    </row>
    <row r="49" customFormat="false" ht="48" hidden="false" customHeight="true" outlineLevel="0" collapsed="false">
      <c r="B49" s="15" t="s">
        <v>48</v>
      </c>
      <c r="C49" s="15"/>
      <c r="D49" s="15"/>
      <c r="E49" s="15"/>
      <c r="F49" s="15"/>
      <c r="G49" s="15"/>
      <c r="H49" s="15"/>
      <c r="I49" s="15"/>
    </row>
    <row r="50" customFormat="false" ht="17.35" hidden="false" customHeight="false" outlineLevel="0" collapsed="false"/>
    <row r="51" customFormat="false" ht="17.35" hidden="false" customHeight="false" outlineLevel="0" collapsed="false">
      <c r="B51" s="13" t="s">
        <v>49</v>
      </c>
    </row>
    <row r="52" customFormat="false" ht="17.35" hidden="false" customHeight="true" outlineLevel="0" collapsed="false">
      <c r="B52" s="15" t="s">
        <v>50</v>
      </c>
      <c r="C52" s="15"/>
      <c r="D52" s="15"/>
      <c r="E52" s="15"/>
      <c r="F52" s="15"/>
      <c r="G52" s="15"/>
      <c r="H52" s="15"/>
      <c r="I52" s="15"/>
    </row>
    <row r="53" customFormat="false" ht="17.35" hidden="false" customHeight="true" outlineLevel="0" collapsed="false">
      <c r="B53" s="15" t="s">
        <v>51</v>
      </c>
      <c r="C53" s="15"/>
      <c r="D53" s="15"/>
      <c r="E53" s="15"/>
      <c r="F53" s="15"/>
      <c r="G53" s="15"/>
      <c r="H53" s="15"/>
      <c r="I53" s="15"/>
    </row>
    <row r="54" customFormat="false" ht="17.35" hidden="false" customHeight="true" outlineLevel="0" collapsed="false">
      <c r="B54" s="15" t="s">
        <v>52</v>
      </c>
      <c r="C54" s="15"/>
      <c r="D54" s="15"/>
      <c r="E54" s="15"/>
      <c r="F54" s="15"/>
      <c r="G54" s="15"/>
      <c r="H54" s="15"/>
      <c r="I54" s="15"/>
    </row>
    <row r="55" customFormat="false" ht="17.35" hidden="false" customHeight="true" outlineLevel="0" collapsed="false">
      <c r="B55" s="15" t="s">
        <v>53</v>
      </c>
      <c r="C55" s="15"/>
      <c r="D55" s="15"/>
      <c r="E55" s="15"/>
      <c r="F55" s="15"/>
      <c r="G55" s="15"/>
      <c r="H55" s="15"/>
      <c r="I55" s="15"/>
    </row>
    <row r="56" customFormat="false" ht="17.35" hidden="false" customHeight="true" outlineLevel="0" collapsed="false">
      <c r="B56" s="15" t="s">
        <v>54</v>
      </c>
      <c r="C56" s="15"/>
      <c r="D56" s="15"/>
      <c r="E56" s="15"/>
      <c r="F56" s="15"/>
      <c r="G56" s="15"/>
      <c r="H56" s="15"/>
      <c r="I56" s="15"/>
    </row>
    <row r="57" customFormat="false" ht="17.35" hidden="false" customHeight="true" outlineLevel="0" collapsed="false">
      <c r="B57" s="15" t="s">
        <v>55</v>
      </c>
      <c r="C57" s="15"/>
      <c r="D57" s="15"/>
      <c r="E57" s="15"/>
      <c r="F57" s="15"/>
      <c r="G57" s="15"/>
      <c r="H57" s="15"/>
      <c r="I57" s="15"/>
    </row>
  </sheetData>
  <mergeCells count="49">
    <mergeCell ref="B15:C15"/>
    <mergeCell ref="F15:G15"/>
    <mergeCell ref="B16:C16"/>
    <mergeCell ref="F16:G16"/>
    <mergeCell ref="B17:C17"/>
    <mergeCell ref="F17:G17"/>
    <mergeCell ref="B18:C18"/>
    <mergeCell ref="F18:G18"/>
    <mergeCell ref="B19:C19"/>
    <mergeCell ref="F19:G19"/>
    <mergeCell ref="B20:C20"/>
    <mergeCell ref="F20:G20"/>
    <mergeCell ref="B21:C21"/>
    <mergeCell ref="F21:G21"/>
    <mergeCell ref="B22:C22"/>
    <mergeCell ref="F22:G22"/>
    <mergeCell ref="B23:C23"/>
    <mergeCell ref="F23:G23"/>
    <mergeCell ref="B24:C24"/>
    <mergeCell ref="F24:G24"/>
    <mergeCell ref="B25:C25"/>
    <mergeCell ref="F25:G25"/>
    <mergeCell ref="B26:C26"/>
    <mergeCell ref="F26:G26"/>
    <mergeCell ref="B27:C27"/>
    <mergeCell ref="F27:G27"/>
    <mergeCell ref="B28:C28"/>
    <mergeCell ref="F28:G28"/>
    <mergeCell ref="B29:C29"/>
    <mergeCell ref="F29:G29"/>
    <mergeCell ref="B30:C30"/>
    <mergeCell ref="F30:G30"/>
    <mergeCell ref="C35:I35"/>
    <mergeCell ref="C36:I36"/>
    <mergeCell ref="C37:I37"/>
    <mergeCell ref="C38:I38"/>
    <mergeCell ref="C39:I39"/>
    <mergeCell ref="C42:I42"/>
    <mergeCell ref="C43:I43"/>
    <mergeCell ref="C44:I44"/>
    <mergeCell ref="C45:I45"/>
    <mergeCell ref="C46:I46"/>
    <mergeCell ref="B49:I49"/>
    <mergeCell ref="B52:I52"/>
    <mergeCell ref="B53:I53"/>
    <mergeCell ref="B54:I54"/>
    <mergeCell ref="B55:I55"/>
    <mergeCell ref="B56:I56"/>
    <mergeCell ref="B57:I57"/>
  </mergeCells>
  <conditionalFormatting sqref="C7">
    <cfRule type="expression" priority="2" aboveAverage="0" equalAverage="0" bottom="0" percent="0" rank="0" text="" dxfId="0">
      <formula>C7&gt;0</formula>
    </cfRule>
  </conditionalFormatting>
  <conditionalFormatting sqref="G7">
    <cfRule type="expression" priority="3" aboveAverage="0" equalAverage="0" bottom="0" percent="0" rank="0" text="" dxfId="1">
      <formula>G7&gt;0</formula>
    </cfRule>
  </conditionalFormatting>
  <conditionalFormatting sqref="G10">
    <cfRule type="expression" priority="4" aboveAverage="0" equalAverage="0" bottom="0" percent="0" rank="0" text="" dxfId="1">
      <formula>G10&gt;0</formula>
    </cfRule>
  </conditionalFormatting>
  <conditionalFormatting sqref="G12">
    <cfRule type="expression" priority="5" aboveAverage="0" equalAverage="0" bottom="0" percent="0" rank="0" text="" dxfId="1">
      <formula>G12="差異あり"</formula>
    </cfRule>
    <cfRule type="expression" priority="6" aboveAverage="0" equalAverage="0" bottom="0" percent="0" rank="0" text="" dxfId="2">
      <formula>G12="一致"</formula>
    </cfRule>
  </conditionalFormatting>
  <dataValidations count="1">
    <dataValidation allowBlank="false" errorStyle="stop" operator="between" showDropDown="false" showErrorMessage="false" showInputMessage="false" sqref="C4" type="list">
      <formula1>設定!$A$20:$A$34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C00000"/>
    <pageSetUpPr fitToPage="false"/>
  </sheetPr>
  <dimension ref="A1:CO69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13"/>
    <col collapsed="false" customWidth="true" hidden="false" outlineLevel="0" max="2" min="2" style="0" width="26"/>
    <col collapsed="false" customWidth="true" hidden="false" outlineLevel="0" max="4" min="3" style="0" width="10"/>
    <col collapsed="false" customWidth="true" hidden="false" outlineLevel="0" max="5" min="5" style="0" width="11"/>
    <col collapsed="false" customWidth="true" hidden="false" outlineLevel="0" max="6" min="6" style="0" width="9"/>
    <col collapsed="false" customWidth="true" hidden="false" outlineLevel="0" max="7" min="7" style="0" width="12"/>
    <col collapsed="false" customWidth="true" hidden="false" outlineLevel="0" max="8" min="8" style="0" width="9"/>
    <col collapsed="false" customWidth="true" hidden="false" outlineLevel="0" max="11" min="9" style="0" width="13"/>
    <col collapsed="false" customWidth="true" hidden="false" outlineLevel="0" max="14" min="12" style="0" width="11"/>
    <col collapsed="false" customWidth="true" hidden="false" outlineLevel="0" max="26" min="15" style="0" width="13"/>
    <col collapsed="false" customWidth="true" hidden="false" outlineLevel="0" max="27" min="27" style="0" width="14"/>
    <col collapsed="false" customWidth="true" hidden="false" outlineLevel="0" max="28" min="28" style="0" width="11"/>
    <col collapsed="false" customWidth="true" hidden="false" outlineLevel="0" max="29" min="29" style="0" width="12"/>
    <col collapsed="false" customWidth="true" hidden="false" outlineLevel="0" max="30" min="30" style="0" width="13"/>
    <col collapsed="false" customWidth="true" hidden="false" outlineLevel="0" max="31" min="31" style="0" width="12"/>
    <col collapsed="false" customWidth="true" hidden="false" outlineLevel="0" max="32" min="32" style="0" width="13"/>
    <col collapsed="false" customWidth="true" hidden="false" outlineLevel="0" max="33" min="33" style="0" width="12"/>
    <col collapsed="false" customWidth="true" hidden="false" outlineLevel="0" max="34" min="34" style="0" width="13"/>
    <col collapsed="false" customWidth="true" hidden="false" outlineLevel="0" max="35" min="35" style="0" width="12"/>
    <col collapsed="false" customWidth="true" hidden="false" outlineLevel="0" max="36" min="36" style="0" width="13"/>
    <col collapsed="false" customWidth="true" hidden="false" outlineLevel="0" max="37" min="37" style="0" width="10"/>
    <col collapsed="false" customWidth="true" hidden="false" outlineLevel="0" max="38" min="38" style="0" width="9"/>
    <col collapsed="false" customWidth="true" hidden="false" outlineLevel="0" max="39" min="39" style="0" width="24"/>
    <col collapsed="false" customWidth="true" hidden="true" outlineLevel="1" max="93" min="40" style="0" width="11"/>
  </cols>
  <sheetData>
    <row r="1" customFormat="false" ht="19.4" hidden="false" customHeight="false" outlineLevel="0" collapsed="false">
      <c r="A1" s="16" t="s">
        <v>56</v>
      </c>
    </row>
    <row r="2" customFormat="false" ht="17.35" hidden="false" customHeight="false" outlineLevel="0" collapsed="false">
      <c r="A2" s="2" t="s">
        <v>57</v>
      </c>
    </row>
    <row r="3" customFormat="false" ht="17.35" hidden="false" customHeight="false" outlineLevel="0" collapsed="false">
      <c r="A3" s="2" t="s">
        <v>58</v>
      </c>
    </row>
    <row r="4" customFormat="false" ht="17.35" hidden="false" customHeight="false" outlineLevel="0" collapsed="false">
      <c r="A4" s="2" t="s">
        <v>59</v>
      </c>
    </row>
    <row r="5" customFormat="false" ht="22" hidden="false" customHeight="true" outlineLevel="0" collapsed="false">
      <c r="C5" s="17" t="s">
        <v>60</v>
      </c>
      <c r="D5" s="17"/>
      <c r="E5" s="17"/>
      <c r="F5" s="17"/>
      <c r="G5" s="18" t="s">
        <v>61</v>
      </c>
      <c r="H5" s="18"/>
      <c r="I5" s="18" t="s">
        <v>62</v>
      </c>
      <c r="J5" s="18"/>
      <c r="K5" s="18"/>
      <c r="L5" s="18"/>
      <c r="M5" s="18"/>
      <c r="N5" s="18"/>
      <c r="O5" s="18" t="s">
        <v>63</v>
      </c>
      <c r="P5" s="18"/>
      <c r="Q5" s="18"/>
      <c r="R5" s="18"/>
      <c r="S5" s="18"/>
      <c r="T5" s="18" t="s">
        <v>64</v>
      </c>
      <c r="U5" s="18"/>
      <c r="V5" s="18"/>
      <c r="W5" s="18"/>
      <c r="X5" s="18"/>
      <c r="Y5" s="18"/>
      <c r="Z5" s="19" t="s">
        <v>65</v>
      </c>
      <c r="AA5" s="18" t="s">
        <v>66</v>
      </c>
      <c r="AB5" s="18"/>
      <c r="AC5" s="18"/>
      <c r="AD5" s="18"/>
      <c r="AE5" s="18"/>
      <c r="AF5" s="18"/>
      <c r="AG5" s="18"/>
      <c r="AH5" s="18"/>
      <c r="AI5" s="18"/>
      <c r="AJ5" s="18"/>
      <c r="AK5" s="18" t="s">
        <v>67</v>
      </c>
      <c r="AL5" s="18"/>
      <c r="AN5" s="20" t="s">
        <v>68</v>
      </c>
      <c r="AO5" s="20"/>
      <c r="AP5" s="20"/>
      <c r="AQ5" s="20"/>
      <c r="AR5" s="20"/>
      <c r="AS5" s="20"/>
      <c r="AT5" s="20"/>
      <c r="AU5" s="20"/>
      <c r="AV5" s="20"/>
      <c r="AW5" s="20"/>
      <c r="AX5" s="20"/>
      <c r="AY5" s="20" t="s">
        <v>69</v>
      </c>
      <c r="AZ5" s="20"/>
      <c r="BA5" s="20"/>
      <c r="BB5" s="20"/>
      <c r="BC5" s="20"/>
      <c r="BD5" s="20"/>
      <c r="BE5" s="20"/>
      <c r="BF5" s="20"/>
      <c r="BG5" s="20"/>
      <c r="BH5" s="20"/>
      <c r="BI5" s="20"/>
      <c r="BJ5" s="20" t="s">
        <v>70</v>
      </c>
      <c r="BK5" s="20"/>
      <c r="BL5" s="20"/>
      <c r="BM5" s="20"/>
      <c r="BN5" s="20"/>
      <c r="BO5" s="20"/>
      <c r="BP5" s="20"/>
      <c r="BQ5" s="20"/>
      <c r="BR5" s="20" t="s">
        <v>71</v>
      </c>
      <c r="BS5" s="20"/>
      <c r="BT5" s="20"/>
      <c r="BU5" s="20"/>
      <c r="BV5" s="20"/>
      <c r="BW5" s="20"/>
      <c r="BX5" s="20"/>
      <c r="BY5" s="20"/>
      <c r="BZ5" s="20" t="s">
        <v>72</v>
      </c>
      <c r="CA5" s="20"/>
      <c r="CB5" s="20"/>
      <c r="CC5" s="20"/>
      <c r="CD5" s="20"/>
      <c r="CE5" s="20"/>
      <c r="CF5" s="20"/>
      <c r="CG5" s="20"/>
    </row>
    <row r="6" customFormat="false" ht="58" hidden="false" customHeight="true" outlineLevel="0" collapsed="false">
      <c r="A6" s="3" t="s">
        <v>73</v>
      </c>
      <c r="B6" s="3" t="s">
        <v>74</v>
      </c>
      <c r="C6" s="3" t="s">
        <v>41</v>
      </c>
      <c r="D6" s="3" t="s">
        <v>75</v>
      </c>
      <c r="E6" s="3" t="s">
        <v>76</v>
      </c>
      <c r="F6" s="3" t="s">
        <v>77</v>
      </c>
      <c r="G6" s="19" t="s">
        <v>78</v>
      </c>
      <c r="H6" s="19" t="s">
        <v>79</v>
      </c>
      <c r="I6" s="19" t="s">
        <v>80</v>
      </c>
      <c r="J6" s="19" t="s">
        <v>81</v>
      </c>
      <c r="K6" s="19" t="s">
        <v>82</v>
      </c>
      <c r="L6" s="19" t="s">
        <v>83</v>
      </c>
      <c r="M6" s="19" t="s">
        <v>84</v>
      </c>
      <c r="N6" s="19" t="s">
        <v>85</v>
      </c>
      <c r="O6" s="19" t="s">
        <v>86</v>
      </c>
      <c r="P6" s="19" t="s">
        <v>87</v>
      </c>
      <c r="Q6" s="19" t="s">
        <v>88</v>
      </c>
      <c r="R6" s="19" t="s">
        <v>89</v>
      </c>
      <c r="S6" s="19" t="s">
        <v>90</v>
      </c>
      <c r="T6" s="19" t="s">
        <v>91</v>
      </c>
      <c r="U6" s="19" t="s">
        <v>92</v>
      </c>
      <c r="V6" s="19" t="s">
        <v>93</v>
      </c>
      <c r="W6" s="19" t="s">
        <v>94</v>
      </c>
      <c r="X6" s="19" t="s">
        <v>95</v>
      </c>
      <c r="Y6" s="19" t="s">
        <v>96</v>
      </c>
      <c r="Z6" s="19" t="s">
        <v>97</v>
      </c>
      <c r="AA6" s="19" t="s">
        <v>98</v>
      </c>
      <c r="AB6" s="19" t="s">
        <v>99</v>
      </c>
      <c r="AC6" s="19" t="s">
        <v>100</v>
      </c>
      <c r="AD6" s="19" t="s">
        <v>101</v>
      </c>
      <c r="AE6" s="19" t="s">
        <v>102</v>
      </c>
      <c r="AF6" s="19" t="s">
        <v>103</v>
      </c>
      <c r="AG6" s="19" t="s">
        <v>104</v>
      </c>
      <c r="AH6" s="19" t="s">
        <v>105</v>
      </c>
      <c r="AI6" s="19" t="s">
        <v>106</v>
      </c>
      <c r="AJ6" s="19" t="s">
        <v>107</v>
      </c>
      <c r="AK6" s="19" t="s">
        <v>108</v>
      </c>
      <c r="AL6" s="19" t="s">
        <v>109</v>
      </c>
      <c r="AM6" s="3" t="s">
        <v>110</v>
      </c>
      <c r="AN6" s="21" t="s">
        <v>111</v>
      </c>
      <c r="AO6" s="21" t="s">
        <v>112</v>
      </c>
      <c r="AP6" s="21" t="s">
        <v>113</v>
      </c>
      <c r="AQ6" s="21" t="s">
        <v>114</v>
      </c>
      <c r="AR6" s="21" t="s">
        <v>115</v>
      </c>
      <c r="AS6" s="21" t="s">
        <v>116</v>
      </c>
      <c r="AT6" s="21" t="s">
        <v>117</v>
      </c>
      <c r="AU6" s="21" t="s">
        <v>118</v>
      </c>
      <c r="AV6" s="21" t="s">
        <v>119</v>
      </c>
      <c r="AW6" s="21" t="s">
        <v>120</v>
      </c>
      <c r="AX6" s="21" t="s">
        <v>121</v>
      </c>
      <c r="AY6" s="21" t="s">
        <v>122</v>
      </c>
      <c r="AZ6" s="21" t="s">
        <v>123</v>
      </c>
      <c r="BA6" s="21" t="s">
        <v>124</v>
      </c>
      <c r="BB6" s="21" t="s">
        <v>125</v>
      </c>
      <c r="BC6" s="21" t="s">
        <v>126</v>
      </c>
      <c r="BD6" s="21" t="s">
        <v>127</v>
      </c>
      <c r="BE6" s="21" t="s">
        <v>128</v>
      </c>
      <c r="BF6" s="21" t="s">
        <v>129</v>
      </c>
      <c r="BG6" s="21" t="s">
        <v>130</v>
      </c>
      <c r="BH6" s="21" t="s">
        <v>131</v>
      </c>
      <c r="BI6" s="21" t="s">
        <v>132</v>
      </c>
      <c r="BJ6" s="21" t="s">
        <v>133</v>
      </c>
      <c r="BK6" s="21" t="s">
        <v>134</v>
      </c>
      <c r="BL6" s="21" t="s">
        <v>135</v>
      </c>
      <c r="BM6" s="21" t="s">
        <v>136</v>
      </c>
      <c r="BN6" s="21" t="s">
        <v>137</v>
      </c>
      <c r="BO6" s="21" t="s">
        <v>138</v>
      </c>
      <c r="BP6" s="21" t="s">
        <v>139</v>
      </c>
      <c r="BQ6" s="21" t="s">
        <v>140</v>
      </c>
      <c r="BR6" s="21" t="s">
        <v>141</v>
      </c>
      <c r="BS6" s="21" t="s">
        <v>142</v>
      </c>
      <c r="BT6" s="21" t="s">
        <v>143</v>
      </c>
      <c r="BU6" s="21" t="s">
        <v>144</v>
      </c>
      <c r="BV6" s="21" t="s">
        <v>145</v>
      </c>
      <c r="BW6" s="21" t="s">
        <v>146</v>
      </c>
      <c r="BX6" s="21" t="s">
        <v>147</v>
      </c>
      <c r="BY6" s="21" t="s">
        <v>148</v>
      </c>
      <c r="BZ6" s="21" t="s">
        <v>149</v>
      </c>
      <c r="CA6" s="21" t="s">
        <v>150</v>
      </c>
      <c r="CB6" s="21" t="s">
        <v>151</v>
      </c>
      <c r="CC6" s="21" t="s">
        <v>152</v>
      </c>
      <c r="CD6" s="21" t="s">
        <v>153</v>
      </c>
      <c r="CE6" s="21" t="s">
        <v>154</v>
      </c>
      <c r="CF6" s="21" t="s">
        <v>155</v>
      </c>
      <c r="CG6" s="21" t="s">
        <v>156</v>
      </c>
      <c r="CH6" s="21" t="s">
        <v>157</v>
      </c>
      <c r="CI6" s="21" t="s">
        <v>158</v>
      </c>
      <c r="CJ6" s="21" t="s">
        <v>159</v>
      </c>
      <c r="CK6" s="21" t="s">
        <v>160</v>
      </c>
      <c r="CL6" s="21" t="s">
        <v>161</v>
      </c>
      <c r="CM6" s="21" t="s">
        <v>162</v>
      </c>
      <c r="CN6" s="21" t="s">
        <v>163</v>
      </c>
      <c r="CO6" s="21" t="s">
        <v>164</v>
      </c>
    </row>
    <row r="7" customFormat="false" ht="15" hidden="true" customHeight="false" outlineLevel="0" collapsed="false">
      <c r="A7" s="22" t="s">
        <v>165</v>
      </c>
      <c r="B7" s="23" t="s">
        <v>166</v>
      </c>
      <c r="C7" s="10" t="str">
        <f aca="false">IF(G7="","未受領",IF(G7="なし","報告なし",IF(AL7="○","起票済",IF(OR(AK7="○",F7="一致",F7="入金不要"),"入金確認済","受領済"))))</f>
        <v>入金確認済</v>
      </c>
      <c r="D7" s="10" t="str">
        <f aca="false">IF(OR(G7="",G7="なし"),"―",IF(CN7="N","対象外",IF(AND(I7="",J7="",K7=""),"標報未入力",IF(CH7&gt;=設定!$B$4,"要確認","問題なし"))))</f>
        <v>対象外</v>
      </c>
      <c r="E7" s="24" t="str">
        <f aca="false">IF(OR(G7="",G7="なし",CI7="",CJ7=0),"―",IF(CJ7=CI7,"前月同額",IF(CI7=0,"―",IF(ABS(CJ7/CI7-1)&gt;=設定!$B$5,"変動大 "&amp;TEXT(CJ7/CI7-1,"+0%;-0%"),"〇"))))</f>
        <v>―</v>
      </c>
      <c r="F7" s="10" t="str">
        <f aca="false">IF(OR(G7="",G7="なし"),"―",IF(CJ7=0,"入金不要",IF(COUNT(AD7,AF7,AH7,AJ7)=0,IF(AK7="○","手動確認","未入金"),IF(AND(N(AD7)=AC7,IF(AE7="",TRUE(),N(AF7)=AE7),IF(AG7="",TRUE(),N(AH7)=AG7),IF(AI7="",TRUE(),N(AJ7)=AI7)),"一致","不一致"))))</f>
        <v>手動確認</v>
      </c>
      <c r="G7" s="25" t="s">
        <v>167</v>
      </c>
      <c r="H7" s="26"/>
      <c r="I7" s="27"/>
      <c r="J7" s="27"/>
      <c r="K7" s="27"/>
      <c r="L7" s="27"/>
      <c r="M7" s="27"/>
      <c r="N7" s="27"/>
      <c r="O7" s="27" t="n">
        <v>237888288</v>
      </c>
      <c r="P7" s="27" t="n">
        <v>19545382</v>
      </c>
      <c r="Q7" s="27" t="n">
        <v>172293834</v>
      </c>
      <c r="R7" s="27" t="n">
        <v>15691597</v>
      </c>
      <c r="S7" s="27" t="n">
        <v>3806352</v>
      </c>
      <c r="T7" s="27" t="n">
        <v>340368825</v>
      </c>
      <c r="U7" s="27" t="n">
        <v>18931427</v>
      </c>
      <c r="V7" s="27" t="n">
        <v>229767</v>
      </c>
      <c r="W7" s="27" t="n">
        <v>170938710</v>
      </c>
      <c r="X7" s="27" t="n">
        <v>15239233</v>
      </c>
      <c r="Y7" s="27" t="n">
        <v>3733563</v>
      </c>
      <c r="Z7" s="27"/>
      <c r="AA7" s="10" t="str">
        <f aca="false">IFERROR(INDEX(設定!$E$61:$E$106,MATCH(B7,設定!$B$61:$B$106,0)),"合算")</f>
        <v>合算</v>
      </c>
      <c r="AB7" s="28"/>
      <c r="AC7" s="29" t="n">
        <f aca="false">IF(OR(G7="",G7="なし"),"",IF(AA7="合算",CJ7+N(Z7),IF(AA7="掛金・負担金別",(AY7+AZ7+BD7+BF7+BH7),SUM(AY7:BC7))))</f>
        <v>998666978</v>
      </c>
      <c r="AD7" s="27"/>
      <c r="AE7" s="29" t="str">
        <f aca="false">IF(OR(G7="",G7="なし"),"",IF(AA7="掛金・負担金別",(BA7+BB7+BC7+BE7+BG7+BI7+N(Z7)),IF(AA7="経理区分別",BD7+BE7,"")))</f>
        <v/>
      </c>
      <c r="AF7" s="27"/>
      <c r="AG7" s="29" t="str">
        <f aca="false">IF(OR(G7="",G7="なし"),"",IF(AA7="経理区分別",BF7+BG7,""))</f>
        <v/>
      </c>
      <c r="AH7" s="27"/>
      <c r="AI7" s="29" t="str">
        <f aca="false">IF(OR(G7="",G7="なし"),"",IF(AA7="経理区分別",BH7+BI7+N(Z7),""))</f>
        <v/>
      </c>
      <c r="AJ7" s="27"/>
      <c r="AK7" s="26" t="s">
        <v>168</v>
      </c>
      <c r="AL7" s="26"/>
      <c r="AM7" s="30"/>
      <c r="AN7" s="31"/>
      <c r="AO7" s="31"/>
      <c r="AP7" s="31"/>
      <c r="AQ7" s="31"/>
      <c r="AR7" s="31"/>
      <c r="AS7" s="31"/>
      <c r="AT7" s="31"/>
      <c r="AU7" s="31"/>
      <c r="AV7" s="31"/>
      <c r="AW7" s="31"/>
      <c r="AX7" s="31"/>
      <c r="AY7" s="31" t="n">
        <f aca="false">IF($G7="",AN7,O7)</f>
        <v>237888288</v>
      </c>
      <c r="AZ7" s="31" t="n">
        <f aca="false">IF($G7="",AO7,P7)</f>
        <v>19545382</v>
      </c>
      <c r="BA7" s="31" t="n">
        <f aca="false">IF($G7="",AP7,T7)</f>
        <v>340368825</v>
      </c>
      <c r="BB7" s="31" t="n">
        <f aca="false">IF($G7="",AQ7,U7)</f>
        <v>18931427</v>
      </c>
      <c r="BC7" s="31" t="n">
        <f aca="false">IF($G7="",AR7,V7)</f>
        <v>229767</v>
      </c>
      <c r="BD7" s="31" t="n">
        <f aca="false">IF($G7="",AS7,Q7)</f>
        <v>172293834</v>
      </c>
      <c r="BE7" s="31" t="n">
        <f aca="false">IF($G7="",AT7,W7)</f>
        <v>170938710</v>
      </c>
      <c r="BF7" s="31" t="n">
        <f aca="false">IF($G7="",AU7,R7)</f>
        <v>15691597</v>
      </c>
      <c r="BG7" s="31" t="n">
        <f aca="false">IF($G7="",AV7,X7)</f>
        <v>15239233</v>
      </c>
      <c r="BH7" s="31" t="n">
        <f aca="false">IF($G7="",AW7,S7)</f>
        <v>3806352</v>
      </c>
      <c r="BI7" s="31" t="n">
        <f aca="false">IF($G7="",AX7,Y7)</f>
        <v>3733563</v>
      </c>
      <c r="BJ7" s="31" t="n">
        <f aca="false">IF(CK7="N",BR7,ROUNDDOWN((I7-L7)*設定!$B$10/1000,0)+ROUNDDOWN((I7-L7)*設定!$B$11/1000,0))</f>
        <v>0</v>
      </c>
      <c r="BK7" s="31" t="n">
        <f aca="false">ROUNDDOWN((I7-L7)*設定!$C$10/1000,0)+ROUNDDOWN((I7-L7)*設定!$C$11/1000,0)+ROUNDDOWN(I7*設定!$C$12/1000,0)+IF(CL7="市局型",ROUNDDOWN(I7*設定!$C$16/1000,0),0)</f>
        <v>0</v>
      </c>
      <c r="BL7" s="31" t="n">
        <f aca="false">IF(CK7="N",BT7,ROUNDDOWN((J7-M7)*設定!$B$13/1000,0))</f>
        <v>0</v>
      </c>
      <c r="BM7" s="31" t="n">
        <f aca="false">ROUNDDOWN((J7-M7)*設定!$C$13/1000,0)+IF(CL7="市局型",ROUNDDOWN(J7*設定!$C$17/1000,0),0)</f>
        <v>0</v>
      </c>
      <c r="BN7" s="31" t="n">
        <f aca="false">IF(CK7="N",BV7,ROUNDDOWN((K7-N7)*設定!$B$14/1000,0))</f>
        <v>0</v>
      </c>
      <c r="BO7" s="31" t="n">
        <f aca="false">ROUNDDOWN((K7-N7)*設定!$C$14/1000,0)</f>
        <v>0</v>
      </c>
      <c r="BP7" s="31" t="n">
        <f aca="false">IF(CK7="N",BX7,ROUNDDOWN((J7-M7)*設定!$B$15/1000,0))</f>
        <v>0</v>
      </c>
      <c r="BQ7" s="31" t="n">
        <f aca="false">ROUNDDOWN((J7-M7)*設定!$C$15/1000,0)</f>
        <v>0</v>
      </c>
      <c r="BR7" s="31" t="n">
        <f aca="false">O7+P7</f>
        <v>257433670</v>
      </c>
      <c r="BS7" s="31" t="n">
        <f aca="false">T7+U7+V7</f>
        <v>359530019</v>
      </c>
      <c r="BT7" s="31" t="n">
        <f aca="false">Q7</f>
        <v>172293834</v>
      </c>
      <c r="BU7" s="31" t="n">
        <f aca="false">W7</f>
        <v>170938710</v>
      </c>
      <c r="BV7" s="31" t="n">
        <f aca="false">R7</f>
        <v>15691597</v>
      </c>
      <c r="BW7" s="31" t="n">
        <f aca="false">X7</f>
        <v>15239233</v>
      </c>
      <c r="BX7" s="31" t="n">
        <f aca="false">S7</f>
        <v>3806352</v>
      </c>
      <c r="BY7" s="31" t="n">
        <f aca="false">Y7</f>
        <v>3733563</v>
      </c>
      <c r="BZ7" s="32" t="n">
        <f aca="false">IF(BJ7=0,IF(BR7=0,0,1),(BR7-BJ7)/BJ7)</f>
        <v>1</v>
      </c>
      <c r="CA7" s="32" t="n">
        <f aca="false">IF(BK7=0,IF(BS7=0,0,1),(BS7-BK7)/BK7)</f>
        <v>1</v>
      </c>
      <c r="CB7" s="32" t="n">
        <f aca="false">IF(BL7=0,IF(BT7=0,0,1),(BT7-BL7)/BL7)</f>
        <v>1</v>
      </c>
      <c r="CC7" s="32" t="n">
        <f aca="false">IF(BM7=0,IF(BU7=0,0,1),(BU7-BM7)/BM7)</f>
        <v>1</v>
      </c>
      <c r="CD7" s="32" t="n">
        <f aca="false">IF(BN7=0,IF(BV7=0,0,1),(BV7-BN7)/BN7)</f>
        <v>1</v>
      </c>
      <c r="CE7" s="32" t="n">
        <f aca="false">IF(BO7=0,IF(BW7=0,0,1),(BW7-BO7)/BO7)</f>
        <v>1</v>
      </c>
      <c r="CF7" s="32" t="n">
        <f aca="false">IF(BP7=0,IF(BX7=0,0,1),(BX7-BP7)/BP7)</f>
        <v>1</v>
      </c>
      <c r="CG7" s="32" t="n">
        <f aca="false">IF(BQ7=0,IF(BY7=0,0,1),(BY7-BQ7)/BQ7)</f>
        <v>1</v>
      </c>
      <c r="CH7" s="32" t="n">
        <f aca="false">MAX(MAX(BZ7:CG7),-MIN(BZ7:CG7))</f>
        <v>1</v>
      </c>
      <c r="CI7" s="31" t="str">
        <f aca="false">IF(CO7="","",SUMIFS($CJ$7:$CJ$696,$A$7:$A$696,CO7,$B$7:$B$696,B7))</f>
        <v/>
      </c>
      <c r="CJ7" s="31" t="n">
        <f aca="false">SUM(AY7:BI7)</f>
        <v>998666978</v>
      </c>
      <c r="CK7" s="31" t="str">
        <f aca="false">IFERROR(INDEX(設定!$F$61:$F$106,MATCH(B7,設定!$B$61:$B$106,0)),"Y")</f>
        <v>Y</v>
      </c>
      <c r="CL7" s="31" t="str">
        <f aca="false">IFERROR(INDEX(設定!$G$61:$G$106,MATCH(B7,設定!$B$61:$B$106,0)),"外郭型")</f>
        <v>市局型</v>
      </c>
      <c r="CM7" s="33" t="str">
        <f aca="false">A7&amp;"|"&amp;B7</f>
        <v>2026-04 月例|市長部局</v>
      </c>
      <c r="CN7" s="34" t="str">
        <f aca="false">IFERROR(INDEX(設定!$D$61:$D$106,MATCH(B7,設定!$B$61:$B$106,0)),"Y")</f>
        <v>N</v>
      </c>
      <c r="CO7" s="34" t="str">
        <f aca="false">IFERROR(INDEX(設定!$D$20:$D$34,MATCH(A7,設定!$A$20:$A$34,0))&amp;"","")</f>
        <v/>
      </c>
    </row>
    <row r="8" customFormat="false" ht="15" hidden="true" customHeight="false" outlineLevel="0" collapsed="false">
      <c r="A8" s="22" t="s">
        <v>165</v>
      </c>
      <c r="B8" s="23" t="s">
        <v>169</v>
      </c>
      <c r="C8" s="10" t="str">
        <f aca="false">IF(G8="","未受領",IF(G8="なし","報告なし",IF(AL8="○","起票済",IF(OR(AK8="○",F8="一致",F8="入金不要"),"入金確認済","受領済"))))</f>
        <v>入金確認済</v>
      </c>
      <c r="D8" s="10" t="str">
        <f aca="false">IF(OR(G8="",G8="なし"),"―",IF(CN8="N","対象外",IF(AND(I8="",J8="",K8=""),"標報未入力",IF(CH8&gt;=設定!$B$4,"要確認","問題なし"))))</f>
        <v>標報未入力</v>
      </c>
      <c r="E8" s="24" t="str">
        <f aca="false">IF(OR(G8="",G8="なし",CI8="",CJ8=0),"―",IF(CJ8=CI8,"前月同額",IF(CI8=0,"―",IF(ABS(CJ8/CI8-1)&gt;=設定!$B$5,"変動大 "&amp;TEXT(CJ8/CI8-1,"+0%;-0%"),"〇"))))</f>
        <v>―</v>
      </c>
      <c r="F8" s="10" t="str">
        <f aca="false">IF(OR(G8="",G8="なし"),"―",IF(CJ8=0,"入金不要",IF(COUNT(AD8,AF8,AH8,AJ8)=0,IF(AK8="○","手動確認","未入金"),IF(AND(N(AD8)=AC8,IF(AE8="",TRUE(),N(AF8)=AE8),IF(AG8="",TRUE(),N(AH8)=AG8),IF(AI8="",TRUE(),N(AJ8)=AI8)),"一致","不一致"))))</f>
        <v>手動確認</v>
      </c>
      <c r="G8" s="25" t="s">
        <v>167</v>
      </c>
      <c r="H8" s="26"/>
      <c r="I8" s="27"/>
      <c r="J8" s="27"/>
      <c r="K8" s="27"/>
      <c r="L8" s="27"/>
      <c r="M8" s="27"/>
      <c r="N8" s="27"/>
      <c r="O8" s="27" t="n">
        <v>16501383</v>
      </c>
      <c r="P8" s="27" t="n">
        <v>1352571</v>
      </c>
      <c r="Q8" s="27" t="n">
        <v>9654896</v>
      </c>
      <c r="R8" s="27" t="n">
        <v>1025788</v>
      </c>
      <c r="S8" s="27" t="n">
        <v>214057</v>
      </c>
      <c r="T8" s="27" t="n">
        <v>23660244</v>
      </c>
      <c r="U8" s="27" t="n">
        <v>1344682</v>
      </c>
      <c r="V8" s="27" t="n">
        <v>15795</v>
      </c>
      <c r="W8" s="27" t="n">
        <v>9790061</v>
      </c>
      <c r="X8" s="27" t="n">
        <v>1025788</v>
      </c>
      <c r="Y8" s="27" t="n">
        <v>214129</v>
      </c>
      <c r="Z8" s="27"/>
      <c r="AA8" s="10" t="str">
        <f aca="false">IFERROR(INDEX(設定!$E$61:$E$106,MATCH(B8,設定!$B$61:$B$106,0)),"合算")</f>
        <v>合算</v>
      </c>
      <c r="AB8" s="28"/>
      <c r="AC8" s="29" t="n">
        <f aca="false">IF(OR(G8="",G8="なし"),"",IF(AA8="合算",CJ8+N(Z8),IF(AA8="掛金・負担金別",(AY8+AZ8+BD8+BF8+BH8),SUM(AY8:BC8))))</f>
        <v>64799394</v>
      </c>
      <c r="AD8" s="27"/>
      <c r="AE8" s="29" t="str">
        <f aca="false">IF(OR(G8="",G8="なし"),"",IF(AA8="掛金・負担金別",(BA8+BB8+BC8+BE8+BG8+BI8+N(Z8)),IF(AA8="経理区分別",BD8+BE8,"")))</f>
        <v/>
      </c>
      <c r="AF8" s="27"/>
      <c r="AG8" s="29" t="str">
        <f aca="false">IF(OR(G8="",G8="なし"),"",IF(AA8="経理区分別",BF8+BG8,""))</f>
        <v/>
      </c>
      <c r="AH8" s="27"/>
      <c r="AI8" s="29" t="str">
        <f aca="false">IF(OR(G8="",G8="なし"),"",IF(AA8="経理区分別",BH8+BI8+N(Z8),""))</f>
        <v/>
      </c>
      <c r="AJ8" s="27"/>
      <c r="AK8" s="26" t="s">
        <v>168</v>
      </c>
      <c r="AL8" s="26"/>
      <c r="AM8" s="30"/>
      <c r="AN8" s="31"/>
      <c r="AO8" s="31"/>
      <c r="AP8" s="31"/>
      <c r="AQ8" s="31"/>
      <c r="AR8" s="31"/>
      <c r="AS8" s="31"/>
      <c r="AT8" s="31"/>
      <c r="AU8" s="31"/>
      <c r="AV8" s="31"/>
      <c r="AW8" s="31"/>
      <c r="AX8" s="31"/>
      <c r="AY8" s="31" t="n">
        <f aca="false">IF($G8="",AN8,O8)</f>
        <v>16501383</v>
      </c>
      <c r="AZ8" s="31" t="n">
        <f aca="false">IF($G8="",AO8,P8)</f>
        <v>1352571</v>
      </c>
      <c r="BA8" s="31" t="n">
        <f aca="false">IF($G8="",AP8,T8)</f>
        <v>23660244</v>
      </c>
      <c r="BB8" s="31" t="n">
        <f aca="false">IF($G8="",AQ8,U8)</f>
        <v>1344682</v>
      </c>
      <c r="BC8" s="31" t="n">
        <f aca="false">IF($G8="",AR8,V8)</f>
        <v>15795</v>
      </c>
      <c r="BD8" s="31" t="n">
        <f aca="false">IF($G8="",AS8,Q8)</f>
        <v>9654896</v>
      </c>
      <c r="BE8" s="31" t="n">
        <f aca="false">IF($G8="",AT8,W8)</f>
        <v>9790061</v>
      </c>
      <c r="BF8" s="31" t="n">
        <f aca="false">IF($G8="",AU8,R8)</f>
        <v>1025788</v>
      </c>
      <c r="BG8" s="31" t="n">
        <f aca="false">IF($G8="",AV8,X8)</f>
        <v>1025788</v>
      </c>
      <c r="BH8" s="31" t="n">
        <f aca="false">IF($G8="",AW8,S8)</f>
        <v>214057</v>
      </c>
      <c r="BI8" s="31" t="n">
        <f aca="false">IF($G8="",AX8,Y8)</f>
        <v>214129</v>
      </c>
      <c r="BJ8" s="31" t="n">
        <f aca="false">IF(CK8="N",BR8,ROUNDDOWN((I8-L8)*設定!$B$10/1000,0)+ROUNDDOWN((I8-L8)*設定!$B$11/1000,0))</f>
        <v>0</v>
      </c>
      <c r="BK8" s="31" t="n">
        <f aca="false">ROUNDDOWN((I8-L8)*設定!$C$10/1000,0)+ROUNDDOWN((I8-L8)*設定!$C$11/1000,0)+ROUNDDOWN(I8*設定!$C$12/1000,0)+IF(CL8="市局型",ROUNDDOWN(I8*設定!$C$16/1000,0),0)</f>
        <v>0</v>
      </c>
      <c r="BL8" s="31" t="n">
        <f aca="false">IF(CK8="N",BT8,ROUNDDOWN((J8-M8)*設定!$B$13/1000,0))</f>
        <v>0</v>
      </c>
      <c r="BM8" s="31" t="n">
        <f aca="false">ROUNDDOWN((J8-M8)*設定!$C$13/1000,0)+IF(CL8="市局型",ROUNDDOWN(J8*設定!$C$17/1000,0),0)</f>
        <v>0</v>
      </c>
      <c r="BN8" s="31" t="n">
        <f aca="false">IF(CK8="N",BV8,ROUNDDOWN((K8-N8)*設定!$B$14/1000,0))</f>
        <v>0</v>
      </c>
      <c r="BO8" s="31" t="n">
        <f aca="false">ROUNDDOWN((K8-N8)*設定!$C$14/1000,0)</f>
        <v>0</v>
      </c>
      <c r="BP8" s="31" t="n">
        <f aca="false">IF(CK8="N",BX8,ROUNDDOWN((J8-M8)*設定!$B$15/1000,0))</f>
        <v>0</v>
      </c>
      <c r="BQ8" s="31" t="n">
        <f aca="false">ROUNDDOWN((J8-M8)*設定!$C$15/1000,0)</f>
        <v>0</v>
      </c>
      <c r="BR8" s="31" t="n">
        <f aca="false">O8+P8</f>
        <v>17853954</v>
      </c>
      <c r="BS8" s="31" t="n">
        <f aca="false">T8+U8+V8</f>
        <v>25020721</v>
      </c>
      <c r="BT8" s="31" t="n">
        <f aca="false">Q8</f>
        <v>9654896</v>
      </c>
      <c r="BU8" s="31" t="n">
        <f aca="false">W8</f>
        <v>9790061</v>
      </c>
      <c r="BV8" s="31" t="n">
        <f aca="false">R8</f>
        <v>1025788</v>
      </c>
      <c r="BW8" s="31" t="n">
        <f aca="false">X8</f>
        <v>1025788</v>
      </c>
      <c r="BX8" s="31" t="n">
        <f aca="false">S8</f>
        <v>214057</v>
      </c>
      <c r="BY8" s="31" t="n">
        <f aca="false">Y8</f>
        <v>214129</v>
      </c>
      <c r="BZ8" s="32" t="n">
        <f aca="false">IF(BJ8=0,IF(BR8=0,0,1),(BR8-BJ8)/BJ8)</f>
        <v>1</v>
      </c>
      <c r="CA8" s="32" t="n">
        <f aca="false">IF(BK8=0,IF(BS8=0,0,1),(BS8-BK8)/BK8)</f>
        <v>1</v>
      </c>
      <c r="CB8" s="32" t="n">
        <f aca="false">IF(BL8=0,IF(BT8=0,0,1),(BT8-BL8)/BL8)</f>
        <v>1</v>
      </c>
      <c r="CC8" s="32" t="n">
        <f aca="false">IF(BM8=0,IF(BU8=0,0,1),(BU8-BM8)/BM8)</f>
        <v>1</v>
      </c>
      <c r="CD8" s="32" t="n">
        <f aca="false">IF(BN8=0,IF(BV8=0,0,1),(BV8-BN8)/BN8)</f>
        <v>1</v>
      </c>
      <c r="CE8" s="32" t="n">
        <f aca="false">IF(BO8=0,IF(BW8=0,0,1),(BW8-BO8)/BO8)</f>
        <v>1</v>
      </c>
      <c r="CF8" s="32" t="n">
        <f aca="false">IF(BP8=0,IF(BX8=0,0,1),(BX8-BP8)/BP8)</f>
        <v>1</v>
      </c>
      <c r="CG8" s="32" t="n">
        <f aca="false">IF(BQ8=0,IF(BY8=0,0,1),(BY8-BQ8)/BQ8)</f>
        <v>1</v>
      </c>
      <c r="CH8" s="32" t="n">
        <f aca="false">MAX(MAX(BZ8:CG8),-MIN(BZ8:CG8))</f>
        <v>1</v>
      </c>
      <c r="CI8" s="31" t="str">
        <f aca="false">IF(CO8="","",SUMIFS($CJ$7:$CJ$696,$A$7:$A$696,CO8,$B$7:$B$696,B8))</f>
        <v/>
      </c>
      <c r="CJ8" s="31" t="n">
        <f aca="false">SUM(AY8:BI8)</f>
        <v>64799394</v>
      </c>
      <c r="CK8" s="31" t="str">
        <f aca="false">IFERROR(INDEX(設定!$F$61:$F$106,MATCH(B8,設定!$B$61:$B$106,0)),"Y")</f>
        <v>Y</v>
      </c>
      <c r="CL8" s="31" t="str">
        <f aca="false">IFERROR(INDEX(設定!$G$61:$G$106,MATCH(B8,設定!$B$61:$B$106,0)),"外郭型")</f>
        <v>市局型</v>
      </c>
      <c r="CM8" s="33" t="str">
        <f aca="false">A8&amp;"|"&amp;B8</f>
        <v>2026-04 月例|下水道局</v>
      </c>
      <c r="CN8" s="34" t="str">
        <f aca="false">IFERROR(INDEX(設定!$D$61:$D$106,MATCH(B8,設定!$B$61:$B$106,0)),"Y")</f>
        <v>Y</v>
      </c>
      <c r="CO8" s="34" t="str">
        <f aca="false">IFERROR(INDEX(設定!$D$20:$D$34,MATCH(A8,設定!$A$20:$A$34,0))&amp;"","")</f>
        <v/>
      </c>
    </row>
    <row r="9" customFormat="false" ht="15" hidden="true" customHeight="false" outlineLevel="0" collapsed="false">
      <c r="A9" s="22" t="s">
        <v>165</v>
      </c>
      <c r="B9" s="23" t="s">
        <v>170</v>
      </c>
      <c r="C9" s="10" t="str">
        <f aca="false">IF(G9="","未受領",IF(G9="なし","報告なし",IF(AL9="○","起票済",IF(OR(AK9="○",F9="一致",F9="入金不要"),"入金確認済","受領済"))))</f>
        <v>入金確認済</v>
      </c>
      <c r="D9" s="10" t="str">
        <f aca="false">IF(OR(G9="",G9="なし"),"―",IF(CN9="N","対象外",IF(AND(I9="",J9="",K9=""),"標報未入力",IF(CH9&gt;=設定!$B$4,"要確認","問題なし"))))</f>
        <v>対象外</v>
      </c>
      <c r="E9" s="24" t="str">
        <f aca="false">IF(OR(G9="",G9="なし",CI9="",CJ9=0),"―",IF(CJ9=CI9,"前月同額",IF(CI9=0,"―",IF(ABS(CJ9/CI9-1)&gt;=設定!$B$5,"変動大 "&amp;TEXT(CJ9/CI9-1,"+0%;-0%"),"〇"))))</f>
        <v>―</v>
      </c>
      <c r="F9" s="10" t="str">
        <f aca="false">IF(OR(G9="",G9="なし"),"―",IF(CJ9=0,"入金不要",IF(COUNT(AD9,AF9,AH9,AJ9)=0,IF(AK9="○","手動確認","未入金"),IF(AND(N(AD9)=AC9,IF(AE9="",TRUE(),N(AF9)=AE9),IF(AG9="",TRUE(),N(AH9)=AG9),IF(AI9="",TRUE(),N(AJ9)=AI9)),"一致","不一致"))))</f>
        <v>手動確認</v>
      </c>
      <c r="G9" s="25" t="s">
        <v>167</v>
      </c>
      <c r="H9" s="26"/>
      <c r="I9" s="27"/>
      <c r="J9" s="27"/>
      <c r="K9" s="27"/>
      <c r="L9" s="27"/>
      <c r="M9" s="27"/>
      <c r="N9" s="27"/>
      <c r="O9" s="27" t="n">
        <v>55191060</v>
      </c>
      <c r="P9" s="27" t="n">
        <v>4523856</v>
      </c>
      <c r="Q9" s="27" t="n">
        <v>31993182</v>
      </c>
      <c r="R9" s="27" t="n">
        <v>2034923</v>
      </c>
      <c r="S9" s="27" t="n">
        <v>709341</v>
      </c>
      <c r="T9" s="27" t="n">
        <v>79301786</v>
      </c>
      <c r="U9" s="27" t="n">
        <v>4501510</v>
      </c>
      <c r="V9" s="27" t="n">
        <v>52817</v>
      </c>
      <c r="W9" s="27" t="n">
        <v>32380013</v>
      </c>
      <c r="X9" s="27" t="n">
        <v>2021968</v>
      </c>
      <c r="Y9" s="27" t="n">
        <v>707179</v>
      </c>
      <c r="Z9" s="27"/>
      <c r="AA9" s="10" t="str">
        <f aca="false">IFERROR(INDEX(設定!$E$61:$E$106,MATCH(B9,設定!$B$61:$B$106,0)),"合算")</f>
        <v>合算</v>
      </c>
      <c r="AB9" s="28"/>
      <c r="AC9" s="29" t="n">
        <f aca="false">IF(OR(G9="",G9="なし"),"",IF(AA9="合算",CJ9+N(Z9),IF(AA9="掛金・負担金別",(AY9+AZ9+BD9+BF9+BH9),SUM(AY9:BC9))))</f>
        <v>213417635</v>
      </c>
      <c r="AD9" s="27"/>
      <c r="AE9" s="29" t="str">
        <f aca="false">IF(OR(G9="",G9="なし"),"",IF(AA9="掛金・負担金別",(BA9+BB9+BC9+BE9+BG9+BI9+N(Z9)),IF(AA9="経理区分別",BD9+BE9,"")))</f>
        <v/>
      </c>
      <c r="AF9" s="27"/>
      <c r="AG9" s="29" t="str">
        <f aca="false">IF(OR(G9="",G9="なし"),"",IF(AA9="経理区分別",BF9+BG9,""))</f>
        <v/>
      </c>
      <c r="AH9" s="27"/>
      <c r="AI9" s="29" t="str">
        <f aca="false">IF(OR(G9="",G9="なし"),"",IF(AA9="経理区分別",BH9+BI9+N(Z9),""))</f>
        <v/>
      </c>
      <c r="AJ9" s="27"/>
      <c r="AK9" s="26" t="s">
        <v>168</v>
      </c>
      <c r="AL9" s="26"/>
      <c r="AM9" s="30"/>
      <c r="AN9" s="31"/>
      <c r="AO9" s="31"/>
      <c r="AP9" s="31"/>
      <c r="AQ9" s="31"/>
      <c r="AR9" s="31"/>
      <c r="AS9" s="31"/>
      <c r="AT9" s="31"/>
      <c r="AU9" s="31"/>
      <c r="AV9" s="31"/>
      <c r="AW9" s="31"/>
      <c r="AX9" s="31"/>
      <c r="AY9" s="31" t="n">
        <f aca="false">IF($G9="",AN9,O9)</f>
        <v>55191060</v>
      </c>
      <c r="AZ9" s="31" t="n">
        <f aca="false">IF($G9="",AO9,P9)</f>
        <v>4523856</v>
      </c>
      <c r="BA9" s="31" t="n">
        <f aca="false">IF($G9="",AP9,T9)</f>
        <v>79301786</v>
      </c>
      <c r="BB9" s="31" t="n">
        <f aca="false">IF($G9="",AQ9,U9)</f>
        <v>4501510</v>
      </c>
      <c r="BC9" s="31" t="n">
        <f aca="false">IF($G9="",AR9,V9)</f>
        <v>52817</v>
      </c>
      <c r="BD9" s="31" t="n">
        <f aca="false">IF($G9="",AS9,Q9)</f>
        <v>31993182</v>
      </c>
      <c r="BE9" s="31" t="n">
        <f aca="false">IF($G9="",AT9,W9)</f>
        <v>32380013</v>
      </c>
      <c r="BF9" s="31" t="n">
        <f aca="false">IF($G9="",AU9,R9)</f>
        <v>2034923</v>
      </c>
      <c r="BG9" s="31" t="n">
        <f aca="false">IF($G9="",AV9,X9)</f>
        <v>2021968</v>
      </c>
      <c r="BH9" s="31" t="n">
        <f aca="false">IF($G9="",AW9,S9)</f>
        <v>709341</v>
      </c>
      <c r="BI9" s="31" t="n">
        <f aca="false">IF($G9="",AX9,Y9)</f>
        <v>707179</v>
      </c>
      <c r="BJ9" s="31" t="n">
        <f aca="false">IF(CK9="N",BR9,ROUNDDOWN((I9-L9)*設定!$B$10/1000,0)+ROUNDDOWN((I9-L9)*設定!$B$11/1000,0))</f>
        <v>0</v>
      </c>
      <c r="BK9" s="31" t="n">
        <f aca="false">ROUNDDOWN((I9-L9)*設定!$C$10/1000,0)+ROUNDDOWN((I9-L9)*設定!$C$11/1000,0)+ROUNDDOWN(I9*設定!$C$12/1000,0)+IF(CL9="市局型",ROUNDDOWN(I9*設定!$C$16/1000,0),0)</f>
        <v>0</v>
      </c>
      <c r="BL9" s="31" t="n">
        <f aca="false">IF(CK9="N",BT9,ROUNDDOWN((J9-M9)*設定!$B$13/1000,0))</f>
        <v>0</v>
      </c>
      <c r="BM9" s="31" t="n">
        <f aca="false">ROUNDDOWN((J9-M9)*設定!$C$13/1000,0)+IF(CL9="市局型",ROUNDDOWN(J9*設定!$C$17/1000,0),0)</f>
        <v>0</v>
      </c>
      <c r="BN9" s="31" t="n">
        <f aca="false">IF(CK9="N",BV9,ROUNDDOWN((K9-N9)*設定!$B$14/1000,0))</f>
        <v>0</v>
      </c>
      <c r="BO9" s="31" t="n">
        <f aca="false">ROUNDDOWN((K9-N9)*設定!$C$14/1000,0)</f>
        <v>0</v>
      </c>
      <c r="BP9" s="31" t="n">
        <f aca="false">IF(CK9="N",BX9,ROUNDDOWN((J9-M9)*設定!$B$15/1000,0))</f>
        <v>0</v>
      </c>
      <c r="BQ9" s="31" t="n">
        <f aca="false">ROUNDDOWN((J9-M9)*設定!$C$15/1000,0)</f>
        <v>0</v>
      </c>
      <c r="BR9" s="31" t="n">
        <f aca="false">O9+P9</f>
        <v>59714916</v>
      </c>
      <c r="BS9" s="31" t="n">
        <f aca="false">T9+U9+V9</f>
        <v>83856113</v>
      </c>
      <c r="BT9" s="31" t="n">
        <f aca="false">Q9</f>
        <v>31993182</v>
      </c>
      <c r="BU9" s="31" t="n">
        <f aca="false">W9</f>
        <v>32380013</v>
      </c>
      <c r="BV9" s="31" t="n">
        <f aca="false">R9</f>
        <v>2034923</v>
      </c>
      <c r="BW9" s="31" t="n">
        <f aca="false">X9</f>
        <v>2021968</v>
      </c>
      <c r="BX9" s="31" t="n">
        <f aca="false">S9</f>
        <v>709341</v>
      </c>
      <c r="BY9" s="31" t="n">
        <f aca="false">Y9</f>
        <v>707179</v>
      </c>
      <c r="BZ9" s="32" t="n">
        <f aca="false">IF(BJ9=0,IF(BR9=0,0,1),(BR9-BJ9)/BJ9)</f>
        <v>1</v>
      </c>
      <c r="CA9" s="32" t="n">
        <f aca="false">IF(BK9=0,IF(BS9=0,0,1),(BS9-BK9)/BK9)</f>
        <v>1</v>
      </c>
      <c r="CB9" s="32" t="n">
        <f aca="false">IF(BL9=0,IF(BT9=0,0,1),(BT9-BL9)/BL9)</f>
        <v>1</v>
      </c>
      <c r="CC9" s="32" t="n">
        <f aca="false">IF(BM9=0,IF(BU9=0,0,1),(BU9-BM9)/BM9)</f>
        <v>1</v>
      </c>
      <c r="CD9" s="32" t="n">
        <f aca="false">IF(BN9=0,IF(BV9=0,0,1),(BV9-BN9)/BN9)</f>
        <v>1</v>
      </c>
      <c r="CE9" s="32" t="n">
        <f aca="false">IF(BO9=0,IF(BW9=0,0,1),(BW9-BO9)/BO9)</f>
        <v>1</v>
      </c>
      <c r="CF9" s="32" t="n">
        <f aca="false">IF(BP9=0,IF(BX9=0,0,1),(BX9-BP9)/BP9)</f>
        <v>1</v>
      </c>
      <c r="CG9" s="32" t="n">
        <f aca="false">IF(BQ9=0,IF(BY9=0,0,1),(BY9-BQ9)/BQ9)</f>
        <v>1</v>
      </c>
      <c r="CH9" s="32" t="n">
        <f aca="false">MAX(MAX(BZ9:CG9),-MIN(BZ9:CG9))</f>
        <v>1</v>
      </c>
      <c r="CI9" s="31" t="str">
        <f aca="false">IF(CO9="","",SUMIFS($CJ$7:$CJ$696,$A$7:$A$696,CO9,$B$7:$B$696,B9))</f>
        <v/>
      </c>
      <c r="CJ9" s="31" t="n">
        <f aca="false">SUM(AY9:BI9)</f>
        <v>213417635</v>
      </c>
      <c r="CK9" s="31" t="str">
        <f aca="false">IFERROR(INDEX(設定!$F$61:$F$106,MATCH(B9,設定!$B$61:$B$106,0)),"Y")</f>
        <v>Y</v>
      </c>
      <c r="CL9" s="31" t="str">
        <f aca="false">IFERROR(INDEX(設定!$G$61:$G$106,MATCH(B9,設定!$B$61:$B$106,0)),"外郭型")</f>
        <v>市局型</v>
      </c>
      <c r="CM9" s="33" t="str">
        <f aca="false">A9&amp;"|"&amp;B9</f>
        <v>2026-04 月例|消防局</v>
      </c>
      <c r="CN9" s="34" t="str">
        <f aca="false">IFERROR(INDEX(設定!$D$61:$D$106,MATCH(B9,設定!$B$61:$B$106,0)),"Y")</f>
        <v>N</v>
      </c>
      <c r="CO9" s="34" t="str">
        <f aca="false">IFERROR(INDEX(設定!$D$20:$D$34,MATCH(A9,設定!$A$20:$A$34,0))&amp;"","")</f>
        <v/>
      </c>
    </row>
    <row r="10" customFormat="false" ht="15" hidden="true" customHeight="false" outlineLevel="0" collapsed="false">
      <c r="A10" s="22" t="s">
        <v>165</v>
      </c>
      <c r="B10" s="23" t="s">
        <v>171</v>
      </c>
      <c r="C10" s="10" t="str">
        <f aca="false">IF(G10="","未受領",IF(G10="なし","報告なし",IF(AL10="○","起票済",IF(OR(AK10="○",F10="一致",F10="入金不要"),"入金確認済","受領済"))))</f>
        <v>入金確認済</v>
      </c>
      <c r="D10" s="10" t="str">
        <f aca="false">IF(OR(G10="",G10="なし"),"―",IF(CN10="N","対象外",IF(AND(I10="",J10="",K10=""),"標報未入力",IF(CH10&gt;=設定!$B$4,"要確認","問題なし"))))</f>
        <v>標報未入力</v>
      </c>
      <c r="E10" s="24" t="str">
        <f aca="false">IF(OR(G10="",G10="なし",CI10="",CJ10=0),"―",IF(CJ10=CI10,"前月同額",IF(CI10=0,"―",IF(ABS(CJ10/CI10-1)&gt;=設定!$B$5,"変動大 "&amp;TEXT(CJ10/CI10-1,"+0%;-0%"),"〇"))))</f>
        <v>―</v>
      </c>
      <c r="F10" s="10" t="str">
        <f aca="false">IF(OR(G10="",G10="なし"),"―",IF(CJ10=0,"入金不要",IF(COUNT(AD10,AF10,AH10,AJ10)=0,IF(AK10="○","手動確認","未入金"),IF(AND(N(AD10)=AC10,IF(AE10="",TRUE(),N(AF10)=AE10),IF(AG10="",TRUE(),N(AH10)=AG10),IF(AI10="",TRUE(),N(AJ10)=AI10)),"一致","不一致"))))</f>
        <v>手動確認</v>
      </c>
      <c r="G10" s="25" t="s">
        <v>167</v>
      </c>
      <c r="H10" s="26"/>
      <c r="I10" s="27"/>
      <c r="J10" s="27"/>
      <c r="K10" s="27"/>
      <c r="L10" s="27"/>
      <c r="M10" s="27"/>
      <c r="N10" s="27"/>
      <c r="O10" s="27" t="n">
        <v>1810785</v>
      </c>
      <c r="P10" s="27" t="n">
        <v>148425</v>
      </c>
      <c r="Q10" s="27" t="n">
        <v>1059618</v>
      </c>
      <c r="R10" s="27" t="n">
        <v>103520</v>
      </c>
      <c r="S10" s="27" t="n">
        <v>23316</v>
      </c>
      <c r="T10" s="27" t="n">
        <v>2609982</v>
      </c>
      <c r="U10" s="27" t="n">
        <v>148425</v>
      </c>
      <c r="V10" s="27" t="n">
        <v>1740</v>
      </c>
      <c r="W10" s="27" t="n">
        <v>1069678</v>
      </c>
      <c r="X10" s="27" t="n">
        <v>102399</v>
      </c>
      <c r="Y10" s="27" t="n">
        <v>23324</v>
      </c>
      <c r="Z10" s="27"/>
      <c r="AA10" s="10" t="str">
        <f aca="false">IFERROR(INDEX(設定!$E$61:$E$106,MATCH(B10,設定!$B$61:$B$106,0)),"合算")</f>
        <v>合算</v>
      </c>
      <c r="AB10" s="28"/>
      <c r="AC10" s="29" t="n">
        <f aca="false">IF(OR(G10="",G10="なし"),"",IF(AA10="合算",CJ10+N(Z10),IF(AA10="掛金・負担金別",(AY10+AZ10+BD10+BF10+BH10),SUM(AY10:BC10))))</f>
        <v>7101212</v>
      </c>
      <c r="AD10" s="27"/>
      <c r="AE10" s="29" t="str">
        <f aca="false">IF(OR(G10="",G10="なし"),"",IF(AA10="掛金・負担金別",(BA10+BB10+BC10+BE10+BG10+BI10+N(Z10)),IF(AA10="経理区分別",BD10+BE10,"")))</f>
        <v/>
      </c>
      <c r="AF10" s="27"/>
      <c r="AG10" s="29" t="str">
        <f aca="false">IF(OR(G10="",G10="なし"),"",IF(AA10="経理区分別",BF10+BG10,""))</f>
        <v/>
      </c>
      <c r="AH10" s="27"/>
      <c r="AI10" s="29" t="str">
        <f aca="false">IF(OR(G10="",G10="なし"),"",IF(AA10="経理区分別",BH10+BI10+N(Z10),""))</f>
        <v/>
      </c>
      <c r="AJ10" s="27"/>
      <c r="AK10" s="26" t="s">
        <v>168</v>
      </c>
      <c r="AL10" s="26"/>
      <c r="AM10" s="30"/>
      <c r="AN10" s="31"/>
      <c r="AO10" s="31"/>
      <c r="AP10" s="31"/>
      <c r="AQ10" s="31"/>
      <c r="AR10" s="31"/>
      <c r="AS10" s="31"/>
      <c r="AT10" s="31"/>
      <c r="AU10" s="31"/>
      <c r="AV10" s="31"/>
      <c r="AW10" s="31"/>
      <c r="AX10" s="31"/>
      <c r="AY10" s="31" t="n">
        <f aca="false">IF($G10="",AN10,O10)</f>
        <v>1810785</v>
      </c>
      <c r="AZ10" s="31" t="n">
        <f aca="false">IF($G10="",AO10,P10)</f>
        <v>148425</v>
      </c>
      <c r="BA10" s="31" t="n">
        <f aca="false">IF($G10="",AP10,T10)</f>
        <v>2609982</v>
      </c>
      <c r="BB10" s="31" t="n">
        <f aca="false">IF($G10="",AQ10,U10)</f>
        <v>148425</v>
      </c>
      <c r="BC10" s="31" t="n">
        <f aca="false">IF($G10="",AR10,V10)</f>
        <v>1740</v>
      </c>
      <c r="BD10" s="31" t="n">
        <f aca="false">IF($G10="",AS10,Q10)</f>
        <v>1059618</v>
      </c>
      <c r="BE10" s="31" t="n">
        <f aca="false">IF($G10="",AT10,W10)</f>
        <v>1069678</v>
      </c>
      <c r="BF10" s="31" t="n">
        <f aca="false">IF($G10="",AU10,R10)</f>
        <v>103520</v>
      </c>
      <c r="BG10" s="31" t="n">
        <f aca="false">IF($G10="",AV10,X10)</f>
        <v>102399</v>
      </c>
      <c r="BH10" s="31" t="n">
        <f aca="false">IF($G10="",AW10,S10)</f>
        <v>23316</v>
      </c>
      <c r="BI10" s="31" t="n">
        <f aca="false">IF($G10="",AX10,Y10)</f>
        <v>23324</v>
      </c>
      <c r="BJ10" s="31" t="n">
        <f aca="false">IF(CK10="N",BR10,ROUNDDOWN((I10-L10)*設定!$B$10/1000,0)+ROUNDDOWN((I10-L10)*設定!$B$11/1000,0))</f>
        <v>0</v>
      </c>
      <c r="BK10" s="31" t="n">
        <f aca="false">ROUNDDOWN((I10-L10)*設定!$C$10/1000,0)+ROUNDDOWN((I10-L10)*設定!$C$11/1000,0)+ROUNDDOWN(I10*設定!$C$12/1000,0)+IF(CL10="市局型",ROUNDDOWN(I10*設定!$C$16/1000,0),0)</f>
        <v>0</v>
      </c>
      <c r="BL10" s="31" t="n">
        <f aca="false">IF(CK10="N",BT10,ROUNDDOWN((J10-M10)*設定!$B$13/1000,0))</f>
        <v>0</v>
      </c>
      <c r="BM10" s="31" t="n">
        <f aca="false">ROUNDDOWN((J10-M10)*設定!$C$13/1000,0)+IF(CL10="市局型",ROUNDDOWN(J10*設定!$C$17/1000,0),0)</f>
        <v>0</v>
      </c>
      <c r="BN10" s="31" t="n">
        <f aca="false">IF(CK10="N",BV10,ROUNDDOWN((K10-N10)*設定!$B$14/1000,0))</f>
        <v>0</v>
      </c>
      <c r="BO10" s="31" t="n">
        <f aca="false">ROUNDDOWN((K10-N10)*設定!$C$14/1000,0)</f>
        <v>0</v>
      </c>
      <c r="BP10" s="31" t="n">
        <f aca="false">IF(CK10="N",BX10,ROUNDDOWN((J10-M10)*設定!$B$15/1000,0))</f>
        <v>0</v>
      </c>
      <c r="BQ10" s="31" t="n">
        <f aca="false">ROUNDDOWN((J10-M10)*設定!$C$15/1000,0)</f>
        <v>0</v>
      </c>
      <c r="BR10" s="31" t="n">
        <f aca="false">O10+P10</f>
        <v>1959210</v>
      </c>
      <c r="BS10" s="31" t="n">
        <f aca="false">T10+U10+V10</f>
        <v>2760147</v>
      </c>
      <c r="BT10" s="31" t="n">
        <f aca="false">Q10</f>
        <v>1059618</v>
      </c>
      <c r="BU10" s="31" t="n">
        <f aca="false">W10</f>
        <v>1069678</v>
      </c>
      <c r="BV10" s="31" t="n">
        <f aca="false">R10</f>
        <v>103520</v>
      </c>
      <c r="BW10" s="31" t="n">
        <f aca="false">X10</f>
        <v>102399</v>
      </c>
      <c r="BX10" s="31" t="n">
        <f aca="false">S10</f>
        <v>23316</v>
      </c>
      <c r="BY10" s="31" t="n">
        <f aca="false">Y10</f>
        <v>23324</v>
      </c>
      <c r="BZ10" s="32" t="n">
        <f aca="false">IF(BJ10=0,IF(BR10=0,0,1),(BR10-BJ10)/BJ10)</f>
        <v>1</v>
      </c>
      <c r="CA10" s="32" t="n">
        <f aca="false">IF(BK10=0,IF(BS10=0,0,1),(BS10-BK10)/BK10)</f>
        <v>1</v>
      </c>
      <c r="CB10" s="32" t="n">
        <f aca="false">IF(BL10=0,IF(BT10=0,0,1),(BT10-BL10)/BL10)</f>
        <v>1</v>
      </c>
      <c r="CC10" s="32" t="n">
        <f aca="false">IF(BM10=0,IF(BU10=0,0,1),(BU10-BM10)/BM10)</f>
        <v>1</v>
      </c>
      <c r="CD10" s="32" t="n">
        <f aca="false">IF(BN10=0,IF(BV10=0,0,1),(BV10-BN10)/BN10)</f>
        <v>1</v>
      </c>
      <c r="CE10" s="32" t="n">
        <f aca="false">IF(BO10=0,IF(BW10=0,0,1),(BW10-BO10)/BO10)</f>
        <v>1</v>
      </c>
      <c r="CF10" s="32" t="n">
        <f aca="false">IF(BP10=0,IF(BX10=0,0,1),(BX10-BP10)/BP10)</f>
        <v>1</v>
      </c>
      <c r="CG10" s="32" t="n">
        <f aca="false">IF(BQ10=0,IF(BY10=0,0,1),(BY10-BQ10)/BQ10)</f>
        <v>1</v>
      </c>
      <c r="CH10" s="32" t="n">
        <f aca="false">MAX(MAX(BZ10:CG10),-MIN(BZ10:CG10))</f>
        <v>1</v>
      </c>
      <c r="CI10" s="31" t="str">
        <f aca="false">IF(CO10="","",SUMIFS($CJ$7:$CJ$696,$A$7:$A$696,CO10,$B$7:$B$696,B10))</f>
        <v/>
      </c>
      <c r="CJ10" s="31" t="n">
        <f aca="false">SUM(AY10:BI10)</f>
        <v>7101212</v>
      </c>
      <c r="CK10" s="31" t="str">
        <f aca="false">IFERROR(INDEX(設定!$F$61:$F$106,MATCH(B10,設定!$B$61:$B$106,0)),"Y")</f>
        <v>Y</v>
      </c>
      <c r="CL10" s="31" t="str">
        <f aca="false">IFERROR(INDEX(設定!$G$61:$G$106,MATCH(B10,設定!$B$61:$B$106,0)),"外郭型")</f>
        <v>市局型</v>
      </c>
      <c r="CM10" s="33" t="str">
        <f aca="false">A10&amp;"|"&amp;B10</f>
        <v>2026-04 月例|議会事務局</v>
      </c>
      <c r="CN10" s="34" t="str">
        <f aca="false">IFERROR(INDEX(設定!$D$61:$D$106,MATCH(B10,設定!$B$61:$B$106,0)),"Y")</f>
        <v>Y</v>
      </c>
      <c r="CO10" s="34" t="str">
        <f aca="false">IFERROR(INDEX(設定!$D$20:$D$34,MATCH(A10,設定!$A$20:$A$34,0))&amp;"","")</f>
        <v/>
      </c>
    </row>
    <row r="11" customFormat="false" ht="15" hidden="true" customHeight="false" outlineLevel="0" collapsed="false">
      <c r="A11" s="22" t="s">
        <v>165</v>
      </c>
      <c r="B11" s="23" t="s">
        <v>172</v>
      </c>
      <c r="C11" s="10" t="str">
        <f aca="false">IF(G11="","未受領",IF(G11="なし","報告なし",IF(AL11="○","起票済",IF(OR(AK11="○",F11="一致",F11="入金不要"),"入金確認済","受領済"))))</f>
        <v>入金確認済</v>
      </c>
      <c r="D11" s="10" t="str">
        <f aca="false">IF(OR(G11="",G11="なし"),"―",IF(CN11="N","対象外",IF(AND(I11="",J11="",K11=""),"標報未入力",IF(CH11&gt;=設定!$B$4,"要確認","問題なし"))))</f>
        <v>対象外</v>
      </c>
      <c r="E11" s="24" t="str">
        <f aca="false">IF(OR(G11="",G11="なし",CI11="",CJ11=0),"―",IF(CJ11=CI11,"前月同額",IF(CI11=0,"―",IF(ABS(CJ11/CI11-1)&gt;=設定!$B$5,"変動大 "&amp;TEXT(CJ11/CI11-1,"+0%;-0%"),"〇"))))</f>
        <v>―</v>
      </c>
      <c r="F11" s="10" t="str">
        <f aca="false">IF(OR(G11="",G11="なし"),"―",IF(CJ11=0,"入金不要",IF(COUNT(AD11,AF11,AH11,AJ11)=0,IF(AK11="○","手動確認","未入金"),IF(AND(N(AD11)=AC11,IF(AE11="",TRUE(),N(AF11)=AE11),IF(AG11="",TRUE(),N(AH11)=AG11),IF(AI11="",TRUE(),N(AJ11)=AI11)),"一致","不一致"))))</f>
        <v>手動確認</v>
      </c>
      <c r="G11" s="25" t="s">
        <v>167</v>
      </c>
      <c r="H11" s="26"/>
      <c r="I11" s="27"/>
      <c r="J11" s="27"/>
      <c r="K11" s="27"/>
      <c r="L11" s="27"/>
      <c r="M11" s="27"/>
      <c r="N11" s="27"/>
      <c r="O11" s="27" t="n">
        <v>23624294</v>
      </c>
      <c r="P11" s="27" t="n">
        <v>1936418</v>
      </c>
      <c r="Q11" s="27" t="n">
        <v>23056933</v>
      </c>
      <c r="R11" s="27" t="n">
        <v>2704450</v>
      </c>
      <c r="S11" s="27" t="n">
        <v>510014</v>
      </c>
      <c r="T11" s="27" t="n">
        <v>33978096</v>
      </c>
      <c r="U11" s="27" t="n">
        <v>1934423</v>
      </c>
      <c r="V11" s="27" t="n">
        <v>22597</v>
      </c>
      <c r="W11" s="27" t="n">
        <v>23380527</v>
      </c>
      <c r="X11" s="27" t="n">
        <v>2700114</v>
      </c>
      <c r="Y11" s="27" t="n">
        <v>511951</v>
      </c>
      <c r="Z11" s="27"/>
      <c r="AA11" s="10" t="str">
        <f aca="false">IFERROR(INDEX(設定!$E$61:$E$106,MATCH(B11,設定!$B$61:$B$106,0)),"合算")</f>
        <v>合算</v>
      </c>
      <c r="AB11" s="28"/>
      <c r="AC11" s="29" t="n">
        <f aca="false">IF(OR(G11="",G11="なし"),"",IF(AA11="合算",CJ11+N(Z11),IF(AA11="掛金・負担金別",(AY11+AZ11+BD11+BF11+BH11),SUM(AY11:BC11))))</f>
        <v>114359817</v>
      </c>
      <c r="AD11" s="27"/>
      <c r="AE11" s="29" t="str">
        <f aca="false">IF(OR(G11="",G11="なし"),"",IF(AA11="掛金・負担金別",(BA11+BB11+BC11+BE11+BG11+BI11+N(Z11)),IF(AA11="経理区分別",BD11+BE11,"")))</f>
        <v/>
      </c>
      <c r="AF11" s="27"/>
      <c r="AG11" s="29" t="str">
        <f aca="false">IF(OR(G11="",G11="なし"),"",IF(AA11="経理区分別",BF11+BG11,""))</f>
        <v/>
      </c>
      <c r="AH11" s="27"/>
      <c r="AI11" s="29" t="str">
        <f aca="false">IF(OR(G11="",G11="なし"),"",IF(AA11="経理区分別",BH11+BI11+N(Z11),""))</f>
        <v/>
      </c>
      <c r="AJ11" s="27"/>
      <c r="AK11" s="26" t="s">
        <v>168</v>
      </c>
      <c r="AL11" s="26"/>
      <c r="AM11" s="30"/>
      <c r="AN11" s="31"/>
      <c r="AO11" s="31"/>
      <c r="AP11" s="31"/>
      <c r="AQ11" s="31"/>
      <c r="AR11" s="31"/>
      <c r="AS11" s="31"/>
      <c r="AT11" s="31"/>
      <c r="AU11" s="31"/>
      <c r="AV11" s="31"/>
      <c r="AW11" s="31"/>
      <c r="AX11" s="31"/>
      <c r="AY11" s="31" t="n">
        <f aca="false">IF($G11="",AN11,O11)</f>
        <v>23624294</v>
      </c>
      <c r="AZ11" s="31" t="n">
        <f aca="false">IF($G11="",AO11,P11)</f>
        <v>1936418</v>
      </c>
      <c r="BA11" s="31" t="n">
        <f aca="false">IF($G11="",AP11,T11)</f>
        <v>33978096</v>
      </c>
      <c r="BB11" s="31" t="n">
        <f aca="false">IF($G11="",AQ11,U11)</f>
        <v>1934423</v>
      </c>
      <c r="BC11" s="31" t="n">
        <f aca="false">IF($G11="",AR11,V11)</f>
        <v>22597</v>
      </c>
      <c r="BD11" s="31" t="n">
        <f aca="false">IF($G11="",AS11,Q11)</f>
        <v>23056933</v>
      </c>
      <c r="BE11" s="31" t="n">
        <f aca="false">IF($G11="",AT11,W11)</f>
        <v>23380527</v>
      </c>
      <c r="BF11" s="31" t="n">
        <f aca="false">IF($G11="",AU11,R11)</f>
        <v>2704450</v>
      </c>
      <c r="BG11" s="31" t="n">
        <f aca="false">IF($G11="",AV11,X11)</f>
        <v>2700114</v>
      </c>
      <c r="BH11" s="31" t="n">
        <f aca="false">IF($G11="",AW11,S11)</f>
        <v>510014</v>
      </c>
      <c r="BI11" s="31" t="n">
        <f aca="false">IF($G11="",AX11,Y11)</f>
        <v>511951</v>
      </c>
      <c r="BJ11" s="31" t="n">
        <f aca="false">IF(CK11="N",BR11,ROUNDDOWN((I11-L11)*設定!$B$10/1000,0)+ROUNDDOWN((I11-L11)*設定!$B$11/1000,0))</f>
        <v>0</v>
      </c>
      <c r="BK11" s="31" t="n">
        <f aca="false">ROUNDDOWN((I11-L11)*設定!$C$10/1000,0)+ROUNDDOWN((I11-L11)*設定!$C$11/1000,0)+ROUNDDOWN(I11*設定!$C$12/1000,0)+IF(CL11="市局型",ROUNDDOWN(I11*設定!$C$16/1000,0),0)</f>
        <v>0</v>
      </c>
      <c r="BL11" s="31" t="n">
        <f aca="false">IF(CK11="N",BT11,ROUNDDOWN((J11-M11)*設定!$B$13/1000,0))</f>
        <v>0</v>
      </c>
      <c r="BM11" s="31" t="n">
        <f aca="false">ROUNDDOWN((J11-M11)*設定!$C$13/1000,0)+IF(CL11="市局型",ROUNDDOWN(J11*設定!$C$17/1000,0),0)</f>
        <v>0</v>
      </c>
      <c r="BN11" s="31" t="n">
        <f aca="false">IF(CK11="N",BV11,ROUNDDOWN((K11-N11)*設定!$B$14/1000,0))</f>
        <v>0</v>
      </c>
      <c r="BO11" s="31" t="n">
        <f aca="false">ROUNDDOWN((K11-N11)*設定!$C$14/1000,0)</f>
        <v>0</v>
      </c>
      <c r="BP11" s="31" t="n">
        <f aca="false">IF(CK11="N",BX11,ROUNDDOWN((J11-M11)*設定!$B$15/1000,0))</f>
        <v>0</v>
      </c>
      <c r="BQ11" s="31" t="n">
        <f aca="false">ROUNDDOWN((J11-M11)*設定!$C$15/1000,0)</f>
        <v>0</v>
      </c>
      <c r="BR11" s="31" t="n">
        <f aca="false">O11+P11</f>
        <v>25560712</v>
      </c>
      <c r="BS11" s="31" t="n">
        <f aca="false">T11+U11+V11</f>
        <v>35935116</v>
      </c>
      <c r="BT11" s="31" t="n">
        <f aca="false">Q11</f>
        <v>23056933</v>
      </c>
      <c r="BU11" s="31" t="n">
        <f aca="false">W11</f>
        <v>23380527</v>
      </c>
      <c r="BV11" s="31" t="n">
        <f aca="false">R11</f>
        <v>2704450</v>
      </c>
      <c r="BW11" s="31" t="n">
        <f aca="false">X11</f>
        <v>2700114</v>
      </c>
      <c r="BX11" s="31" t="n">
        <f aca="false">S11</f>
        <v>510014</v>
      </c>
      <c r="BY11" s="31" t="n">
        <f aca="false">Y11</f>
        <v>511951</v>
      </c>
      <c r="BZ11" s="32" t="n">
        <f aca="false">IF(BJ11=0,IF(BR11=0,0,1),(BR11-BJ11)/BJ11)</f>
        <v>1</v>
      </c>
      <c r="CA11" s="32" t="n">
        <f aca="false">IF(BK11=0,IF(BS11=0,0,1),(BS11-BK11)/BK11)</f>
        <v>1</v>
      </c>
      <c r="CB11" s="32" t="n">
        <f aca="false">IF(BL11=0,IF(BT11=0,0,1),(BT11-BL11)/BL11)</f>
        <v>1</v>
      </c>
      <c r="CC11" s="32" t="n">
        <f aca="false">IF(BM11=0,IF(BU11=0,0,1),(BU11-BM11)/BM11)</f>
        <v>1</v>
      </c>
      <c r="CD11" s="32" t="n">
        <f aca="false">IF(BN11=0,IF(BV11=0,0,1),(BV11-BN11)/BN11)</f>
        <v>1</v>
      </c>
      <c r="CE11" s="32" t="n">
        <f aca="false">IF(BO11=0,IF(BW11=0,0,1),(BW11-BO11)/BO11)</f>
        <v>1</v>
      </c>
      <c r="CF11" s="32" t="n">
        <f aca="false">IF(BP11=0,IF(BX11=0,0,1),(BX11-BP11)/BP11)</f>
        <v>1</v>
      </c>
      <c r="CG11" s="32" t="n">
        <f aca="false">IF(BQ11=0,IF(BY11=0,0,1),(BY11-BQ11)/BQ11)</f>
        <v>1</v>
      </c>
      <c r="CH11" s="32" t="n">
        <f aca="false">MAX(MAX(BZ11:CG11),-MIN(BZ11:CG11))</f>
        <v>1</v>
      </c>
      <c r="CI11" s="31" t="str">
        <f aca="false">IF(CO11="","",SUMIFS($CJ$7:$CJ$696,$A$7:$A$696,CO11,$B$7:$B$696,B11))</f>
        <v/>
      </c>
      <c r="CJ11" s="31" t="n">
        <f aca="false">SUM(AY11:BI11)</f>
        <v>114359817</v>
      </c>
      <c r="CK11" s="31" t="str">
        <f aca="false">IFERROR(INDEX(設定!$F$61:$F$106,MATCH(B11,設定!$B$61:$B$106,0)),"Y")</f>
        <v>Y</v>
      </c>
      <c r="CL11" s="31" t="str">
        <f aca="false">IFERROR(INDEX(設定!$G$61:$G$106,MATCH(B11,設定!$B$61:$B$106,0)),"外郭型")</f>
        <v>市局型</v>
      </c>
      <c r="CM11" s="33" t="str">
        <f aca="false">A11&amp;"|"&amp;B11</f>
        <v>2026-04 月例|教育委員会（総務課）</v>
      </c>
      <c r="CN11" s="34" t="str">
        <f aca="false">IFERROR(INDEX(設定!$D$61:$D$106,MATCH(B11,設定!$B$61:$B$106,0)),"Y")</f>
        <v>N</v>
      </c>
      <c r="CO11" s="34" t="str">
        <f aca="false">IFERROR(INDEX(設定!$D$20:$D$34,MATCH(A11,設定!$A$20:$A$34,0))&amp;"","")</f>
        <v/>
      </c>
    </row>
    <row r="12" customFormat="false" ht="15" hidden="true" customHeight="false" outlineLevel="0" collapsed="false">
      <c r="A12" s="22" t="s">
        <v>165</v>
      </c>
      <c r="B12" s="23" t="s">
        <v>173</v>
      </c>
      <c r="C12" s="10" t="str">
        <f aca="false">IF(G12="","未受領",IF(G12="なし","報告なし",IF(AL12="○","起票済",IF(OR(AK12="○",F12="一致",F12="入金不要"),"入金確認済","受領済"))))</f>
        <v>入金確認済</v>
      </c>
      <c r="D12" s="10" t="str">
        <f aca="false">IF(OR(G12="",G12="なし"),"―",IF(CN12="N","対象外",IF(AND(I12="",J12="",K12=""),"標報未入力",IF(CH12&gt;=設定!$B$4,"要確認","問題なし"))))</f>
        <v>標報未入力</v>
      </c>
      <c r="E12" s="24" t="str">
        <f aca="false">IF(OR(G12="",G12="なし",CI12="",CJ12=0),"―",IF(CJ12=CI12,"前月同額",IF(CI12=0,"―",IF(ABS(CJ12/CI12-1)&gt;=設定!$B$5,"変動大 "&amp;TEXT(CJ12/CI12-1,"+0%;-0%"),"〇"))))</f>
        <v>―</v>
      </c>
      <c r="F12" s="10" t="str">
        <f aca="false">IF(OR(G12="",G12="なし"),"―",IF(CJ12=0,"入金不要",IF(COUNT(AD12,AF12,AH12,AJ12)=0,IF(AK12="○","手動確認","未入金"),IF(AND(N(AD12)=AC12,IF(AE12="",TRUE(),N(AF12)=AE12),IF(AG12="",TRUE(),N(AH12)=AG12),IF(AI12="",TRUE(),N(AJ12)=AI12)),"一致","不一致"))))</f>
        <v>手動確認</v>
      </c>
      <c r="G12" s="25" t="s">
        <v>167</v>
      </c>
      <c r="H12" s="26"/>
      <c r="I12" s="27"/>
      <c r="J12" s="27"/>
      <c r="K12" s="27"/>
      <c r="L12" s="27"/>
      <c r="M12" s="27"/>
      <c r="N12" s="27"/>
      <c r="O12" s="27" t="n">
        <v>326655</v>
      </c>
      <c r="P12" s="27" t="n">
        <v>26775</v>
      </c>
      <c r="Q12" s="27" t="n">
        <v>205363</v>
      </c>
      <c r="R12" s="27" t="n">
        <v>15800</v>
      </c>
      <c r="S12" s="27" t="n">
        <v>4552</v>
      </c>
      <c r="T12" s="27" t="n">
        <v>469098</v>
      </c>
      <c r="U12" s="27" t="n">
        <v>26775</v>
      </c>
      <c r="V12" s="27" t="n">
        <v>310</v>
      </c>
      <c r="W12" s="27" t="n">
        <v>208810</v>
      </c>
      <c r="X12" s="27" t="n">
        <v>15800</v>
      </c>
      <c r="Y12" s="27" t="n">
        <v>4553</v>
      </c>
      <c r="Z12" s="27"/>
      <c r="AA12" s="10" t="str">
        <f aca="false">IFERROR(INDEX(設定!$E$61:$E$106,MATCH(B12,設定!$B$61:$B$106,0)),"合算")</f>
        <v>合算</v>
      </c>
      <c r="AB12" s="28"/>
      <c r="AC12" s="29" t="n">
        <f aca="false">IF(OR(G12="",G12="なし"),"",IF(AA12="合算",CJ12+N(Z12),IF(AA12="掛金・負担金別",(AY12+AZ12+BD12+BF12+BH12),SUM(AY12:BC12))))</f>
        <v>1304491</v>
      </c>
      <c r="AD12" s="27"/>
      <c r="AE12" s="29" t="str">
        <f aca="false">IF(OR(G12="",G12="なし"),"",IF(AA12="掛金・負担金別",(BA12+BB12+BC12+BE12+BG12+BI12+N(Z12)),IF(AA12="経理区分別",BD12+BE12,"")))</f>
        <v/>
      </c>
      <c r="AF12" s="27"/>
      <c r="AG12" s="29" t="str">
        <f aca="false">IF(OR(G12="",G12="なし"),"",IF(AA12="経理区分別",BF12+BG12,""))</f>
        <v/>
      </c>
      <c r="AH12" s="27"/>
      <c r="AI12" s="29" t="str">
        <f aca="false">IF(OR(G12="",G12="なし"),"",IF(AA12="経理区分別",BH12+BI12+N(Z12),""))</f>
        <v/>
      </c>
      <c r="AJ12" s="27"/>
      <c r="AK12" s="26" t="s">
        <v>168</v>
      </c>
      <c r="AL12" s="26"/>
      <c r="AM12" s="30"/>
      <c r="AN12" s="31"/>
      <c r="AO12" s="31"/>
      <c r="AP12" s="31"/>
      <c r="AQ12" s="31"/>
      <c r="AR12" s="31"/>
      <c r="AS12" s="31"/>
      <c r="AT12" s="31"/>
      <c r="AU12" s="31"/>
      <c r="AV12" s="31"/>
      <c r="AW12" s="31"/>
      <c r="AX12" s="31"/>
      <c r="AY12" s="31" t="n">
        <f aca="false">IF($G12="",AN12,O12)</f>
        <v>326655</v>
      </c>
      <c r="AZ12" s="31" t="n">
        <f aca="false">IF($G12="",AO12,P12)</f>
        <v>26775</v>
      </c>
      <c r="BA12" s="31" t="n">
        <f aca="false">IF($G12="",AP12,T12)</f>
        <v>469098</v>
      </c>
      <c r="BB12" s="31" t="n">
        <f aca="false">IF($G12="",AQ12,U12)</f>
        <v>26775</v>
      </c>
      <c r="BC12" s="31" t="n">
        <f aca="false">IF($G12="",AR12,V12)</f>
        <v>310</v>
      </c>
      <c r="BD12" s="31" t="n">
        <f aca="false">IF($G12="",AS12,Q12)</f>
        <v>205363</v>
      </c>
      <c r="BE12" s="31" t="n">
        <f aca="false">IF($G12="",AT12,W12)</f>
        <v>208810</v>
      </c>
      <c r="BF12" s="31" t="n">
        <f aca="false">IF($G12="",AU12,R12)</f>
        <v>15800</v>
      </c>
      <c r="BG12" s="31" t="n">
        <f aca="false">IF($G12="",AV12,X12)</f>
        <v>15800</v>
      </c>
      <c r="BH12" s="31" t="n">
        <f aca="false">IF($G12="",AW12,S12)</f>
        <v>4552</v>
      </c>
      <c r="BI12" s="31" t="n">
        <f aca="false">IF($G12="",AX12,Y12)</f>
        <v>4553</v>
      </c>
      <c r="BJ12" s="31" t="n">
        <f aca="false">IF(CK12="N",BR12,ROUNDDOWN((I12-L12)*設定!$B$10/1000,0)+ROUNDDOWN((I12-L12)*設定!$B$11/1000,0))</f>
        <v>0</v>
      </c>
      <c r="BK12" s="31" t="n">
        <f aca="false">ROUNDDOWN((I12-L12)*設定!$C$10/1000,0)+ROUNDDOWN((I12-L12)*設定!$C$11/1000,0)+ROUNDDOWN(I12*設定!$C$12/1000,0)+IF(CL12="市局型",ROUNDDOWN(I12*設定!$C$16/1000,0),0)</f>
        <v>0</v>
      </c>
      <c r="BL12" s="31" t="n">
        <f aca="false">IF(CK12="N",BT12,ROUNDDOWN((J12-M12)*設定!$B$13/1000,0))</f>
        <v>0</v>
      </c>
      <c r="BM12" s="31" t="n">
        <f aca="false">ROUNDDOWN((J12-M12)*設定!$C$13/1000,0)+IF(CL12="市局型",ROUNDDOWN(J12*設定!$C$17/1000,0),0)</f>
        <v>0</v>
      </c>
      <c r="BN12" s="31" t="n">
        <f aca="false">IF(CK12="N",BV12,ROUNDDOWN((K12-N12)*設定!$B$14/1000,0))</f>
        <v>0</v>
      </c>
      <c r="BO12" s="31" t="n">
        <f aca="false">ROUNDDOWN((K12-N12)*設定!$C$14/1000,0)</f>
        <v>0</v>
      </c>
      <c r="BP12" s="31" t="n">
        <f aca="false">IF(CK12="N",BX12,ROUNDDOWN((J12-M12)*設定!$B$15/1000,0))</f>
        <v>0</v>
      </c>
      <c r="BQ12" s="31" t="n">
        <f aca="false">ROUNDDOWN((J12-M12)*設定!$C$15/1000,0)</f>
        <v>0</v>
      </c>
      <c r="BR12" s="31" t="n">
        <f aca="false">O12+P12</f>
        <v>353430</v>
      </c>
      <c r="BS12" s="31" t="n">
        <f aca="false">T12+U12+V12</f>
        <v>496183</v>
      </c>
      <c r="BT12" s="31" t="n">
        <f aca="false">Q12</f>
        <v>205363</v>
      </c>
      <c r="BU12" s="31" t="n">
        <f aca="false">W12</f>
        <v>208810</v>
      </c>
      <c r="BV12" s="31" t="n">
        <f aca="false">R12</f>
        <v>15800</v>
      </c>
      <c r="BW12" s="31" t="n">
        <f aca="false">X12</f>
        <v>15800</v>
      </c>
      <c r="BX12" s="31" t="n">
        <f aca="false">S12</f>
        <v>4552</v>
      </c>
      <c r="BY12" s="31" t="n">
        <f aca="false">Y12</f>
        <v>4553</v>
      </c>
      <c r="BZ12" s="32" t="n">
        <f aca="false">IF(BJ12=0,IF(BR12=0,0,1),(BR12-BJ12)/BJ12)</f>
        <v>1</v>
      </c>
      <c r="CA12" s="32" t="n">
        <f aca="false">IF(BK12=0,IF(BS12=0,0,1),(BS12-BK12)/BK12)</f>
        <v>1</v>
      </c>
      <c r="CB12" s="32" t="n">
        <f aca="false">IF(BL12=0,IF(BT12=0,0,1),(BT12-BL12)/BL12)</f>
        <v>1</v>
      </c>
      <c r="CC12" s="32" t="n">
        <f aca="false">IF(BM12=0,IF(BU12=0,0,1),(BU12-BM12)/BM12)</f>
        <v>1</v>
      </c>
      <c r="CD12" s="32" t="n">
        <f aca="false">IF(BN12=0,IF(BV12=0,0,1),(BV12-BN12)/BN12)</f>
        <v>1</v>
      </c>
      <c r="CE12" s="32" t="n">
        <f aca="false">IF(BO12=0,IF(BW12=0,0,1),(BW12-BO12)/BO12)</f>
        <v>1</v>
      </c>
      <c r="CF12" s="32" t="n">
        <f aca="false">IF(BP12=0,IF(BX12=0,0,1),(BX12-BP12)/BP12)</f>
        <v>1</v>
      </c>
      <c r="CG12" s="32" t="n">
        <f aca="false">IF(BQ12=0,IF(BY12=0,0,1),(BY12-BQ12)/BQ12)</f>
        <v>1</v>
      </c>
      <c r="CH12" s="32" t="n">
        <f aca="false">MAX(MAX(BZ12:CG12),-MIN(BZ12:CG12))</f>
        <v>1</v>
      </c>
      <c r="CI12" s="31" t="str">
        <f aca="false">IF(CO12="","",SUMIFS($CJ$7:$CJ$696,$A$7:$A$696,CO12,$B$7:$B$696,B12))</f>
        <v/>
      </c>
      <c r="CJ12" s="31" t="n">
        <f aca="false">SUM(AY12:BI12)</f>
        <v>1304491</v>
      </c>
      <c r="CK12" s="31" t="str">
        <f aca="false">IFERROR(INDEX(設定!$F$61:$F$106,MATCH(B12,設定!$B$61:$B$106,0)),"Y")</f>
        <v>Y</v>
      </c>
      <c r="CL12" s="31" t="str">
        <f aca="false">IFERROR(INDEX(設定!$G$61:$G$106,MATCH(B12,設定!$B$61:$B$106,0)),"外郭型")</f>
        <v>市局型</v>
      </c>
      <c r="CM12" s="33" t="str">
        <f aca="false">A12&amp;"|"&amp;B12</f>
        <v>2026-04 月例|選挙管理委員会</v>
      </c>
      <c r="CN12" s="34" t="str">
        <f aca="false">IFERROR(INDEX(設定!$D$61:$D$106,MATCH(B12,設定!$B$61:$B$106,0)),"Y")</f>
        <v>Y</v>
      </c>
      <c r="CO12" s="34" t="str">
        <f aca="false">IFERROR(INDEX(設定!$D$20:$D$34,MATCH(A12,設定!$A$20:$A$34,0))&amp;"","")</f>
        <v/>
      </c>
    </row>
    <row r="13" customFormat="false" ht="15" hidden="true" customHeight="false" outlineLevel="0" collapsed="false">
      <c r="A13" s="22" t="s">
        <v>165</v>
      </c>
      <c r="B13" s="23" t="s">
        <v>174</v>
      </c>
      <c r="C13" s="10" t="str">
        <f aca="false">IF(G13="","未受領",IF(G13="なし","報告なし",IF(AL13="○","起票済",IF(OR(AK13="○",F13="一致",F13="入金不要"),"入金確認済","受領済"))))</f>
        <v>入金確認済</v>
      </c>
      <c r="D13" s="10" t="str">
        <f aca="false">IF(OR(G13="",G13="なし"),"―",IF(CN13="N","対象外",IF(AND(I13="",J13="",K13=""),"標報未入力",IF(CH13&gt;=設定!$B$4,"要確認","問題なし"))))</f>
        <v>標報未入力</v>
      </c>
      <c r="E13" s="24" t="str">
        <f aca="false">IF(OR(G13="",G13="なし",CI13="",CJ13=0),"―",IF(CJ13=CI13,"前月同額",IF(CI13=0,"―",IF(ABS(CJ13/CI13-1)&gt;=設定!$B$5,"変動大 "&amp;TEXT(CJ13/CI13-1,"+0%;-0%"),"〇"))))</f>
        <v>―</v>
      </c>
      <c r="F13" s="10" t="str">
        <f aca="false">IF(OR(G13="",G13="なし"),"―",IF(CJ13=0,"入金不要",IF(COUNT(AD13,AF13,AH13,AJ13)=0,IF(AK13="○","手動確認","未入金"),IF(AND(N(AD13)=AC13,IF(AE13="",TRUE(),N(AF13)=AE13),IF(AG13="",TRUE(),N(AH13)=AG13),IF(AI13="",TRUE(),N(AJ13)=AI13)),"一致","不一致"))))</f>
        <v>手動確認</v>
      </c>
      <c r="G13" s="25" t="s">
        <v>167</v>
      </c>
      <c r="H13" s="26"/>
      <c r="I13" s="27"/>
      <c r="J13" s="27"/>
      <c r="K13" s="27"/>
      <c r="L13" s="27"/>
      <c r="M13" s="27"/>
      <c r="N13" s="27"/>
      <c r="O13" s="27" t="n">
        <v>597495</v>
      </c>
      <c r="P13" s="27" t="n">
        <v>48975</v>
      </c>
      <c r="Q13" s="27" t="n">
        <v>343825</v>
      </c>
      <c r="R13" s="27" t="n">
        <v>28282</v>
      </c>
      <c r="S13" s="27" t="n">
        <v>7621</v>
      </c>
      <c r="T13" s="27" t="n">
        <v>858042</v>
      </c>
      <c r="U13" s="27" t="n">
        <v>48975</v>
      </c>
      <c r="V13" s="27" t="n">
        <v>567</v>
      </c>
      <c r="W13" s="27" t="n">
        <v>349599</v>
      </c>
      <c r="X13" s="27" t="n">
        <v>28282</v>
      </c>
      <c r="Y13" s="27" t="n">
        <v>7624</v>
      </c>
      <c r="Z13" s="27"/>
      <c r="AA13" s="10" t="str">
        <f aca="false">IFERROR(INDEX(設定!$E$61:$E$106,MATCH(B13,設定!$B$61:$B$106,0)),"合算")</f>
        <v>合算</v>
      </c>
      <c r="AB13" s="28"/>
      <c r="AC13" s="29" t="n">
        <f aca="false">IF(OR(G13="",G13="なし"),"",IF(AA13="合算",CJ13+N(Z13),IF(AA13="掛金・負担金別",(AY13+AZ13+BD13+BF13+BH13),SUM(AY13:BC13))))</f>
        <v>2319287</v>
      </c>
      <c r="AD13" s="27"/>
      <c r="AE13" s="29" t="str">
        <f aca="false">IF(OR(G13="",G13="なし"),"",IF(AA13="掛金・負担金別",(BA13+BB13+BC13+BE13+BG13+BI13+N(Z13)),IF(AA13="経理区分別",BD13+BE13,"")))</f>
        <v/>
      </c>
      <c r="AF13" s="27"/>
      <c r="AG13" s="29" t="str">
        <f aca="false">IF(OR(G13="",G13="なし"),"",IF(AA13="経理区分別",BF13+BG13,""))</f>
        <v/>
      </c>
      <c r="AH13" s="27"/>
      <c r="AI13" s="29" t="str">
        <f aca="false">IF(OR(G13="",G13="なし"),"",IF(AA13="経理区分別",BH13+BI13+N(Z13),""))</f>
        <v/>
      </c>
      <c r="AJ13" s="27"/>
      <c r="AK13" s="26" t="s">
        <v>168</v>
      </c>
      <c r="AL13" s="26"/>
      <c r="AM13" s="30"/>
      <c r="AN13" s="31"/>
      <c r="AO13" s="31"/>
      <c r="AP13" s="31"/>
      <c r="AQ13" s="31"/>
      <c r="AR13" s="31"/>
      <c r="AS13" s="31"/>
      <c r="AT13" s="31"/>
      <c r="AU13" s="31"/>
      <c r="AV13" s="31"/>
      <c r="AW13" s="31"/>
      <c r="AX13" s="31"/>
      <c r="AY13" s="31" t="n">
        <f aca="false">IF($G13="",AN13,O13)</f>
        <v>597495</v>
      </c>
      <c r="AZ13" s="31" t="n">
        <f aca="false">IF($G13="",AO13,P13)</f>
        <v>48975</v>
      </c>
      <c r="BA13" s="31" t="n">
        <f aca="false">IF($G13="",AP13,T13)</f>
        <v>858042</v>
      </c>
      <c r="BB13" s="31" t="n">
        <f aca="false">IF($G13="",AQ13,U13)</f>
        <v>48975</v>
      </c>
      <c r="BC13" s="31" t="n">
        <f aca="false">IF($G13="",AR13,V13)</f>
        <v>567</v>
      </c>
      <c r="BD13" s="31" t="n">
        <f aca="false">IF($G13="",AS13,Q13)</f>
        <v>343825</v>
      </c>
      <c r="BE13" s="31" t="n">
        <f aca="false">IF($G13="",AT13,W13)</f>
        <v>349599</v>
      </c>
      <c r="BF13" s="31" t="n">
        <f aca="false">IF($G13="",AU13,R13)</f>
        <v>28282</v>
      </c>
      <c r="BG13" s="31" t="n">
        <f aca="false">IF($G13="",AV13,X13)</f>
        <v>28282</v>
      </c>
      <c r="BH13" s="31" t="n">
        <f aca="false">IF($G13="",AW13,S13)</f>
        <v>7621</v>
      </c>
      <c r="BI13" s="31" t="n">
        <f aca="false">IF($G13="",AX13,Y13)</f>
        <v>7624</v>
      </c>
      <c r="BJ13" s="31" t="n">
        <f aca="false">IF(CK13="N",BR13,ROUNDDOWN((I13-L13)*設定!$B$10/1000,0)+ROUNDDOWN((I13-L13)*設定!$B$11/1000,0))</f>
        <v>0</v>
      </c>
      <c r="BK13" s="31" t="n">
        <f aca="false">ROUNDDOWN((I13-L13)*設定!$C$10/1000,0)+ROUNDDOWN((I13-L13)*設定!$C$11/1000,0)+ROUNDDOWN(I13*設定!$C$12/1000,0)+IF(CL13="市局型",ROUNDDOWN(I13*設定!$C$16/1000,0),0)</f>
        <v>0</v>
      </c>
      <c r="BL13" s="31" t="n">
        <f aca="false">IF(CK13="N",BT13,ROUNDDOWN((J13-M13)*設定!$B$13/1000,0))</f>
        <v>0</v>
      </c>
      <c r="BM13" s="31" t="n">
        <f aca="false">ROUNDDOWN((J13-M13)*設定!$C$13/1000,0)+IF(CL13="市局型",ROUNDDOWN(J13*設定!$C$17/1000,0),0)</f>
        <v>0</v>
      </c>
      <c r="BN13" s="31" t="n">
        <f aca="false">IF(CK13="N",BV13,ROUNDDOWN((K13-N13)*設定!$B$14/1000,0))</f>
        <v>0</v>
      </c>
      <c r="BO13" s="31" t="n">
        <f aca="false">ROUNDDOWN((K13-N13)*設定!$C$14/1000,0)</f>
        <v>0</v>
      </c>
      <c r="BP13" s="31" t="n">
        <f aca="false">IF(CK13="N",BX13,ROUNDDOWN((J13-M13)*設定!$B$15/1000,0))</f>
        <v>0</v>
      </c>
      <c r="BQ13" s="31" t="n">
        <f aca="false">ROUNDDOWN((J13-M13)*設定!$C$15/1000,0)</f>
        <v>0</v>
      </c>
      <c r="BR13" s="31" t="n">
        <f aca="false">O13+P13</f>
        <v>646470</v>
      </c>
      <c r="BS13" s="31" t="n">
        <f aca="false">T13+U13+V13</f>
        <v>907584</v>
      </c>
      <c r="BT13" s="31" t="n">
        <f aca="false">Q13</f>
        <v>343825</v>
      </c>
      <c r="BU13" s="31" t="n">
        <f aca="false">W13</f>
        <v>349599</v>
      </c>
      <c r="BV13" s="31" t="n">
        <f aca="false">R13</f>
        <v>28282</v>
      </c>
      <c r="BW13" s="31" t="n">
        <f aca="false">X13</f>
        <v>28282</v>
      </c>
      <c r="BX13" s="31" t="n">
        <f aca="false">S13</f>
        <v>7621</v>
      </c>
      <c r="BY13" s="31" t="n">
        <f aca="false">Y13</f>
        <v>7624</v>
      </c>
      <c r="BZ13" s="32" t="n">
        <f aca="false">IF(BJ13=0,IF(BR13=0,0,1),(BR13-BJ13)/BJ13)</f>
        <v>1</v>
      </c>
      <c r="CA13" s="32" t="n">
        <f aca="false">IF(BK13=0,IF(BS13=0,0,1),(BS13-BK13)/BK13)</f>
        <v>1</v>
      </c>
      <c r="CB13" s="32" t="n">
        <f aca="false">IF(BL13=0,IF(BT13=0,0,1),(BT13-BL13)/BL13)</f>
        <v>1</v>
      </c>
      <c r="CC13" s="32" t="n">
        <f aca="false">IF(BM13=0,IF(BU13=0,0,1),(BU13-BM13)/BM13)</f>
        <v>1</v>
      </c>
      <c r="CD13" s="32" t="n">
        <f aca="false">IF(BN13=0,IF(BV13=0,0,1),(BV13-BN13)/BN13)</f>
        <v>1</v>
      </c>
      <c r="CE13" s="32" t="n">
        <f aca="false">IF(BO13=0,IF(BW13=0,0,1),(BW13-BO13)/BO13)</f>
        <v>1</v>
      </c>
      <c r="CF13" s="32" t="n">
        <f aca="false">IF(BP13=0,IF(BX13=0,0,1),(BX13-BP13)/BP13)</f>
        <v>1</v>
      </c>
      <c r="CG13" s="32" t="n">
        <f aca="false">IF(BQ13=0,IF(BY13=0,0,1),(BY13-BQ13)/BQ13)</f>
        <v>1</v>
      </c>
      <c r="CH13" s="32" t="n">
        <f aca="false">MAX(MAX(BZ13:CG13),-MIN(BZ13:CG13))</f>
        <v>1</v>
      </c>
      <c r="CI13" s="31" t="str">
        <f aca="false">IF(CO13="","",SUMIFS($CJ$7:$CJ$696,$A$7:$A$696,CO13,$B$7:$B$696,B13))</f>
        <v/>
      </c>
      <c r="CJ13" s="31" t="n">
        <f aca="false">SUM(AY13:BI13)</f>
        <v>2319287</v>
      </c>
      <c r="CK13" s="31" t="str">
        <f aca="false">IFERROR(INDEX(設定!$F$61:$F$106,MATCH(B13,設定!$B$61:$B$106,0)),"Y")</f>
        <v>Y</v>
      </c>
      <c r="CL13" s="31" t="str">
        <f aca="false">IFERROR(INDEX(設定!$G$61:$G$106,MATCH(B13,設定!$B$61:$B$106,0)),"外郭型")</f>
        <v>市局型</v>
      </c>
      <c r="CM13" s="33" t="str">
        <f aca="false">A13&amp;"|"&amp;B13</f>
        <v>2026-04 月例|人事委員会</v>
      </c>
      <c r="CN13" s="34" t="str">
        <f aca="false">IFERROR(INDEX(設定!$D$61:$D$106,MATCH(B13,設定!$B$61:$B$106,0)),"Y")</f>
        <v>Y</v>
      </c>
      <c r="CO13" s="34" t="str">
        <f aca="false">IFERROR(INDEX(設定!$D$20:$D$34,MATCH(A13,設定!$A$20:$A$34,0))&amp;"","")</f>
        <v/>
      </c>
    </row>
    <row r="14" customFormat="false" ht="15" hidden="true" customHeight="false" outlineLevel="0" collapsed="false">
      <c r="A14" s="22" t="s">
        <v>165</v>
      </c>
      <c r="B14" s="23" t="s">
        <v>175</v>
      </c>
      <c r="C14" s="10" t="str">
        <f aca="false">IF(G14="","未受領",IF(G14="なし","報告なし",IF(AL14="○","起票済",IF(OR(AK14="○",F14="一致",F14="入金不要"),"入金確認済","受領済"))))</f>
        <v>入金確認済</v>
      </c>
      <c r="D14" s="10" t="str">
        <f aca="false">IF(OR(G14="",G14="なし"),"―",IF(CN14="N","対象外",IF(AND(I14="",J14="",K14=""),"標報未入力",IF(CH14&gt;=設定!$B$4,"要確認","問題なし"))))</f>
        <v>標報未入力</v>
      </c>
      <c r="E14" s="24" t="str">
        <f aca="false">IF(OR(G14="",G14="なし",CI14="",CJ14=0),"―",IF(CJ14=CI14,"前月同額",IF(CI14=0,"―",IF(ABS(CJ14/CI14-1)&gt;=設定!$B$5,"変動大 "&amp;TEXT(CJ14/CI14-1,"+0%;-0%"),"〇"))))</f>
        <v>―</v>
      </c>
      <c r="F14" s="10" t="str">
        <f aca="false">IF(OR(G14="",G14="なし"),"―",IF(CJ14=0,"入金不要",IF(COUNT(AD14,AF14,AH14,AJ14)=0,IF(AK14="○","手動確認","未入金"),IF(AND(N(AD14)=AC14,IF(AE14="",TRUE(),N(AF14)=AE14),IF(AG14="",TRUE(),N(AH14)=AG14),IF(AI14="",TRUE(),N(AJ14)=AI14)),"一致","不一致"))))</f>
        <v>手動確認</v>
      </c>
      <c r="G14" s="25" t="s">
        <v>167</v>
      </c>
      <c r="H14" s="26"/>
      <c r="I14" s="27"/>
      <c r="J14" s="27"/>
      <c r="K14" s="27"/>
      <c r="L14" s="27"/>
      <c r="M14" s="27"/>
      <c r="N14" s="27"/>
      <c r="O14" s="27" t="n">
        <v>1324920</v>
      </c>
      <c r="P14" s="27" t="n">
        <v>108600</v>
      </c>
      <c r="Q14" s="27" t="n">
        <v>768034</v>
      </c>
      <c r="R14" s="27" t="n">
        <v>104201</v>
      </c>
      <c r="S14" s="27" t="n">
        <v>17023</v>
      </c>
      <c r="T14" s="27" t="n">
        <v>1913844</v>
      </c>
      <c r="U14" s="27" t="n">
        <v>108600</v>
      </c>
      <c r="V14" s="27" t="n">
        <v>1282</v>
      </c>
      <c r="W14" s="27" t="n">
        <v>781174</v>
      </c>
      <c r="X14" s="27" t="n">
        <v>104201</v>
      </c>
      <c r="Y14" s="27" t="n">
        <v>17030</v>
      </c>
      <c r="Z14" s="27"/>
      <c r="AA14" s="10" t="str">
        <f aca="false">IFERROR(INDEX(設定!$E$61:$E$106,MATCH(B14,設定!$B$61:$B$106,0)),"合算")</f>
        <v>合算</v>
      </c>
      <c r="AB14" s="28"/>
      <c r="AC14" s="29" t="n">
        <f aca="false">IF(OR(G14="",G14="なし"),"",IF(AA14="合算",CJ14+N(Z14),IF(AA14="掛金・負担金別",(AY14+AZ14+BD14+BF14+BH14),SUM(AY14:BC14))))</f>
        <v>5248909</v>
      </c>
      <c r="AD14" s="27"/>
      <c r="AE14" s="29" t="str">
        <f aca="false">IF(OR(G14="",G14="なし"),"",IF(AA14="掛金・負担金別",(BA14+BB14+BC14+BE14+BG14+BI14+N(Z14)),IF(AA14="経理区分別",BD14+BE14,"")))</f>
        <v/>
      </c>
      <c r="AF14" s="27"/>
      <c r="AG14" s="29" t="str">
        <f aca="false">IF(OR(G14="",G14="なし"),"",IF(AA14="経理区分別",BF14+BG14,""))</f>
        <v/>
      </c>
      <c r="AH14" s="27"/>
      <c r="AI14" s="29" t="str">
        <f aca="false">IF(OR(G14="",G14="なし"),"",IF(AA14="経理区分別",BH14+BI14+N(Z14),""))</f>
        <v/>
      </c>
      <c r="AJ14" s="27"/>
      <c r="AK14" s="26" t="s">
        <v>168</v>
      </c>
      <c r="AL14" s="26"/>
      <c r="AM14" s="30"/>
      <c r="AN14" s="31"/>
      <c r="AO14" s="31"/>
      <c r="AP14" s="31"/>
      <c r="AQ14" s="31"/>
      <c r="AR14" s="31"/>
      <c r="AS14" s="31"/>
      <c r="AT14" s="31"/>
      <c r="AU14" s="31"/>
      <c r="AV14" s="31"/>
      <c r="AW14" s="31"/>
      <c r="AX14" s="31"/>
      <c r="AY14" s="31" t="n">
        <f aca="false">IF($G14="",AN14,O14)</f>
        <v>1324920</v>
      </c>
      <c r="AZ14" s="31" t="n">
        <f aca="false">IF($G14="",AO14,P14)</f>
        <v>108600</v>
      </c>
      <c r="BA14" s="31" t="n">
        <f aca="false">IF($G14="",AP14,T14)</f>
        <v>1913844</v>
      </c>
      <c r="BB14" s="31" t="n">
        <f aca="false">IF($G14="",AQ14,U14)</f>
        <v>108600</v>
      </c>
      <c r="BC14" s="31" t="n">
        <f aca="false">IF($G14="",AR14,V14)</f>
        <v>1282</v>
      </c>
      <c r="BD14" s="31" t="n">
        <f aca="false">IF($G14="",AS14,Q14)</f>
        <v>768034</v>
      </c>
      <c r="BE14" s="31" t="n">
        <f aca="false">IF($G14="",AT14,W14)</f>
        <v>781174</v>
      </c>
      <c r="BF14" s="31" t="n">
        <f aca="false">IF($G14="",AU14,R14)</f>
        <v>104201</v>
      </c>
      <c r="BG14" s="31" t="n">
        <f aca="false">IF($G14="",AV14,X14)</f>
        <v>104201</v>
      </c>
      <c r="BH14" s="31" t="n">
        <f aca="false">IF($G14="",AW14,S14)</f>
        <v>17023</v>
      </c>
      <c r="BI14" s="31" t="n">
        <f aca="false">IF($G14="",AX14,Y14)</f>
        <v>17030</v>
      </c>
      <c r="BJ14" s="31" t="n">
        <f aca="false">IF(CK14="N",BR14,ROUNDDOWN((I14-L14)*設定!$B$10/1000,0)+ROUNDDOWN((I14-L14)*設定!$B$11/1000,0))</f>
        <v>0</v>
      </c>
      <c r="BK14" s="31" t="n">
        <f aca="false">ROUNDDOWN((I14-L14)*設定!$C$10/1000,0)+ROUNDDOWN((I14-L14)*設定!$C$11/1000,0)+ROUNDDOWN(I14*設定!$C$12/1000,0)+IF(CL14="市局型",ROUNDDOWN(I14*設定!$C$16/1000,0),0)</f>
        <v>0</v>
      </c>
      <c r="BL14" s="31" t="n">
        <f aca="false">IF(CK14="N",BT14,ROUNDDOWN((J14-M14)*設定!$B$13/1000,0))</f>
        <v>0</v>
      </c>
      <c r="BM14" s="31" t="n">
        <f aca="false">ROUNDDOWN((J14-M14)*設定!$C$13/1000,0)+IF(CL14="市局型",ROUNDDOWN(J14*設定!$C$17/1000,0),0)</f>
        <v>0</v>
      </c>
      <c r="BN14" s="31" t="n">
        <f aca="false">IF(CK14="N",BV14,ROUNDDOWN((K14-N14)*設定!$B$14/1000,0))</f>
        <v>0</v>
      </c>
      <c r="BO14" s="31" t="n">
        <f aca="false">ROUNDDOWN((K14-N14)*設定!$C$14/1000,0)</f>
        <v>0</v>
      </c>
      <c r="BP14" s="31" t="n">
        <f aca="false">IF(CK14="N",BX14,ROUNDDOWN((J14-M14)*設定!$B$15/1000,0))</f>
        <v>0</v>
      </c>
      <c r="BQ14" s="31" t="n">
        <f aca="false">ROUNDDOWN((J14-M14)*設定!$C$15/1000,0)</f>
        <v>0</v>
      </c>
      <c r="BR14" s="31" t="n">
        <f aca="false">O14+P14</f>
        <v>1433520</v>
      </c>
      <c r="BS14" s="31" t="n">
        <f aca="false">T14+U14+V14</f>
        <v>2023726</v>
      </c>
      <c r="BT14" s="31" t="n">
        <f aca="false">Q14</f>
        <v>768034</v>
      </c>
      <c r="BU14" s="31" t="n">
        <f aca="false">W14</f>
        <v>781174</v>
      </c>
      <c r="BV14" s="31" t="n">
        <f aca="false">R14</f>
        <v>104201</v>
      </c>
      <c r="BW14" s="31" t="n">
        <f aca="false">X14</f>
        <v>104201</v>
      </c>
      <c r="BX14" s="31" t="n">
        <f aca="false">S14</f>
        <v>17023</v>
      </c>
      <c r="BY14" s="31" t="n">
        <f aca="false">Y14</f>
        <v>17030</v>
      </c>
      <c r="BZ14" s="32" t="n">
        <f aca="false">IF(BJ14=0,IF(BR14=0,0,1),(BR14-BJ14)/BJ14)</f>
        <v>1</v>
      </c>
      <c r="CA14" s="32" t="n">
        <f aca="false">IF(BK14=0,IF(BS14=0,0,1),(BS14-BK14)/BK14)</f>
        <v>1</v>
      </c>
      <c r="CB14" s="32" t="n">
        <f aca="false">IF(BL14=0,IF(BT14=0,0,1),(BT14-BL14)/BL14)</f>
        <v>1</v>
      </c>
      <c r="CC14" s="32" t="n">
        <f aca="false">IF(BM14=0,IF(BU14=0,0,1),(BU14-BM14)/BM14)</f>
        <v>1</v>
      </c>
      <c r="CD14" s="32" t="n">
        <f aca="false">IF(BN14=0,IF(BV14=0,0,1),(BV14-BN14)/BN14)</f>
        <v>1</v>
      </c>
      <c r="CE14" s="32" t="n">
        <f aca="false">IF(BO14=0,IF(BW14=0,0,1),(BW14-BO14)/BO14)</f>
        <v>1</v>
      </c>
      <c r="CF14" s="32" t="n">
        <f aca="false">IF(BP14=0,IF(BX14=0,0,1),(BX14-BP14)/BP14)</f>
        <v>1</v>
      </c>
      <c r="CG14" s="32" t="n">
        <f aca="false">IF(BQ14=0,IF(BY14=0,0,1),(BY14-BQ14)/BQ14)</f>
        <v>1</v>
      </c>
      <c r="CH14" s="32" t="n">
        <f aca="false">MAX(MAX(BZ14:CG14),-MIN(BZ14:CG14))</f>
        <v>1</v>
      </c>
      <c r="CI14" s="31" t="str">
        <f aca="false">IF(CO14="","",SUMIFS($CJ$7:$CJ$696,$A$7:$A$696,CO14,$B$7:$B$696,B14))</f>
        <v/>
      </c>
      <c r="CJ14" s="31" t="n">
        <f aca="false">SUM(AY14:BI14)</f>
        <v>5248909</v>
      </c>
      <c r="CK14" s="31" t="str">
        <f aca="false">IFERROR(INDEX(設定!$F$61:$F$106,MATCH(B14,設定!$B$61:$B$106,0)),"Y")</f>
        <v>Y</v>
      </c>
      <c r="CL14" s="31" t="str">
        <f aca="false">IFERROR(INDEX(設定!$G$61:$G$106,MATCH(B14,設定!$B$61:$B$106,0)),"外郭型")</f>
        <v>市局型</v>
      </c>
      <c r="CM14" s="33" t="str">
        <f aca="false">A14&amp;"|"&amp;B14</f>
        <v>2026-04 月例|監査事務局</v>
      </c>
      <c r="CN14" s="34" t="str">
        <f aca="false">IFERROR(INDEX(設定!$D$61:$D$106,MATCH(B14,設定!$B$61:$B$106,0)),"Y")</f>
        <v>Y</v>
      </c>
      <c r="CO14" s="34" t="str">
        <f aca="false">IFERROR(INDEX(設定!$D$20:$D$34,MATCH(A14,設定!$A$20:$A$34,0))&amp;"","")</f>
        <v/>
      </c>
    </row>
    <row r="15" customFormat="false" ht="15" hidden="true" customHeight="false" outlineLevel="0" collapsed="false">
      <c r="A15" s="22" t="s">
        <v>165</v>
      </c>
      <c r="B15" s="23" t="s">
        <v>176</v>
      </c>
      <c r="C15" s="10" t="str">
        <f aca="false">IF(G15="","未受領",IF(G15="なし","報告なし",IF(AL15="○","起票済",IF(OR(AK15="○",F15="一致",F15="入金不要"),"入金確認済","受領済"))))</f>
        <v>入金確認済</v>
      </c>
      <c r="D15" s="10" t="str">
        <f aca="false">IF(OR(G15="",G15="なし"),"―",IF(CN15="N","対象外",IF(AND(I15="",J15="",K15=""),"標報未入力",IF(CH15&gt;=設定!$B$4,"要確認","問題なし"))))</f>
        <v>標報未入力</v>
      </c>
      <c r="E15" s="24" t="str">
        <f aca="false">IF(OR(G15="",G15="なし",CI15="",CJ15=0),"―",IF(CJ15=CI15,"前月同額",IF(CI15=0,"―",IF(ABS(CJ15/CI15-1)&gt;=設定!$B$5,"変動大 "&amp;TEXT(CJ15/CI15-1,"+0%;-0%"),"〇"))))</f>
        <v>―</v>
      </c>
      <c r="F15" s="10" t="str">
        <f aca="false">IF(OR(G15="",G15="なし"),"―",IF(CJ15=0,"入金不要",IF(COUNT(AD15,AF15,AH15,AJ15)=0,IF(AK15="○","手動確認","未入金"),IF(AND(N(AD15)=AC15,IF(AE15="",TRUE(),N(AF15)=AE15),IF(AG15="",TRUE(),N(AH15)=AG15),IF(AI15="",TRUE(),N(AJ15)=AI15)),"一致","不一致"))))</f>
        <v>手動確認</v>
      </c>
      <c r="G15" s="25" t="s">
        <v>167</v>
      </c>
      <c r="H15" s="26"/>
      <c r="I15" s="27"/>
      <c r="J15" s="27"/>
      <c r="K15" s="27"/>
      <c r="L15" s="27"/>
      <c r="M15" s="27"/>
      <c r="N15" s="27"/>
      <c r="O15" s="27" t="n">
        <v>409920</v>
      </c>
      <c r="P15" s="27" t="n">
        <v>33600</v>
      </c>
      <c r="Q15" s="27" t="n">
        <v>306800</v>
      </c>
      <c r="R15" s="27" t="n">
        <v>35042</v>
      </c>
      <c r="S15" s="27" t="n">
        <v>6800</v>
      </c>
      <c r="T15" s="27" t="n">
        <v>588672</v>
      </c>
      <c r="U15" s="27" t="n">
        <v>33600</v>
      </c>
      <c r="V15" s="27" t="n">
        <v>389</v>
      </c>
      <c r="W15" s="27" t="n">
        <v>311950</v>
      </c>
      <c r="X15" s="27" t="n">
        <v>35044</v>
      </c>
      <c r="Y15" s="27" t="n">
        <v>6803</v>
      </c>
      <c r="Z15" s="27"/>
      <c r="AA15" s="10" t="str">
        <f aca="false">IFERROR(INDEX(設定!$E$61:$E$106,MATCH(B15,設定!$B$61:$B$106,0)),"合算")</f>
        <v>合算</v>
      </c>
      <c r="AB15" s="28"/>
      <c r="AC15" s="29" t="n">
        <f aca="false">IF(OR(G15="",G15="なし"),"",IF(AA15="合算",CJ15+N(Z15),IF(AA15="掛金・負担金別",(AY15+AZ15+BD15+BF15+BH15),SUM(AY15:BC15))))</f>
        <v>1768620</v>
      </c>
      <c r="AD15" s="27"/>
      <c r="AE15" s="29" t="str">
        <f aca="false">IF(OR(G15="",G15="なし"),"",IF(AA15="掛金・負担金別",(BA15+BB15+BC15+BE15+BG15+BI15+N(Z15)),IF(AA15="経理区分別",BD15+BE15,"")))</f>
        <v/>
      </c>
      <c r="AF15" s="27"/>
      <c r="AG15" s="29" t="str">
        <f aca="false">IF(OR(G15="",G15="なし"),"",IF(AA15="経理区分別",BF15+BG15,""))</f>
        <v/>
      </c>
      <c r="AH15" s="27"/>
      <c r="AI15" s="29" t="str">
        <f aca="false">IF(OR(G15="",G15="なし"),"",IF(AA15="経理区分別",BH15+BI15+N(Z15),""))</f>
        <v/>
      </c>
      <c r="AJ15" s="27"/>
      <c r="AK15" s="26" t="s">
        <v>168</v>
      </c>
      <c r="AL15" s="26"/>
      <c r="AM15" s="30"/>
      <c r="AN15" s="31"/>
      <c r="AO15" s="31"/>
      <c r="AP15" s="31"/>
      <c r="AQ15" s="31"/>
      <c r="AR15" s="31"/>
      <c r="AS15" s="31"/>
      <c r="AT15" s="31"/>
      <c r="AU15" s="31"/>
      <c r="AV15" s="31"/>
      <c r="AW15" s="31"/>
      <c r="AX15" s="31"/>
      <c r="AY15" s="31" t="n">
        <f aca="false">IF($G15="",AN15,O15)</f>
        <v>409920</v>
      </c>
      <c r="AZ15" s="31" t="n">
        <f aca="false">IF($G15="",AO15,P15)</f>
        <v>33600</v>
      </c>
      <c r="BA15" s="31" t="n">
        <f aca="false">IF($G15="",AP15,T15)</f>
        <v>588672</v>
      </c>
      <c r="BB15" s="31" t="n">
        <f aca="false">IF($G15="",AQ15,U15)</f>
        <v>33600</v>
      </c>
      <c r="BC15" s="31" t="n">
        <f aca="false">IF($G15="",AR15,V15)</f>
        <v>389</v>
      </c>
      <c r="BD15" s="31" t="n">
        <f aca="false">IF($G15="",AS15,Q15)</f>
        <v>306800</v>
      </c>
      <c r="BE15" s="31" t="n">
        <f aca="false">IF($G15="",AT15,W15)</f>
        <v>311950</v>
      </c>
      <c r="BF15" s="31" t="n">
        <f aca="false">IF($G15="",AU15,R15)</f>
        <v>35042</v>
      </c>
      <c r="BG15" s="31" t="n">
        <f aca="false">IF($G15="",AV15,X15)</f>
        <v>35044</v>
      </c>
      <c r="BH15" s="31" t="n">
        <f aca="false">IF($G15="",AW15,S15)</f>
        <v>6800</v>
      </c>
      <c r="BI15" s="31" t="n">
        <f aca="false">IF($G15="",AX15,Y15)</f>
        <v>6803</v>
      </c>
      <c r="BJ15" s="31" t="n">
        <f aca="false">IF(CK15="N",BR15,ROUNDDOWN((I15-L15)*設定!$B$10/1000,0)+ROUNDDOWN((I15-L15)*設定!$B$11/1000,0))</f>
        <v>0</v>
      </c>
      <c r="BK15" s="31" t="n">
        <f aca="false">ROUNDDOWN((I15-L15)*設定!$C$10/1000,0)+ROUNDDOWN((I15-L15)*設定!$C$11/1000,0)+ROUNDDOWN(I15*設定!$C$12/1000,0)+IF(CL15="市局型",ROUNDDOWN(I15*設定!$C$16/1000,0),0)</f>
        <v>0</v>
      </c>
      <c r="BL15" s="31" t="n">
        <f aca="false">IF(CK15="N",BT15,ROUNDDOWN((J15-M15)*設定!$B$13/1000,0))</f>
        <v>0</v>
      </c>
      <c r="BM15" s="31" t="n">
        <f aca="false">ROUNDDOWN((J15-M15)*設定!$C$13/1000,0)+IF(CL15="市局型",ROUNDDOWN(J15*設定!$C$17/1000,0),0)</f>
        <v>0</v>
      </c>
      <c r="BN15" s="31" t="n">
        <f aca="false">IF(CK15="N",BV15,ROUNDDOWN((K15-N15)*設定!$B$14/1000,0))</f>
        <v>0</v>
      </c>
      <c r="BO15" s="31" t="n">
        <f aca="false">ROUNDDOWN((K15-N15)*設定!$C$14/1000,0)</f>
        <v>0</v>
      </c>
      <c r="BP15" s="31" t="n">
        <f aca="false">IF(CK15="N",BX15,ROUNDDOWN((J15-M15)*設定!$B$15/1000,0))</f>
        <v>0</v>
      </c>
      <c r="BQ15" s="31" t="n">
        <f aca="false">ROUNDDOWN((J15-M15)*設定!$C$15/1000,0)</f>
        <v>0</v>
      </c>
      <c r="BR15" s="31" t="n">
        <f aca="false">O15+P15</f>
        <v>443520</v>
      </c>
      <c r="BS15" s="31" t="n">
        <f aca="false">T15+U15+V15</f>
        <v>622661</v>
      </c>
      <c r="BT15" s="31" t="n">
        <f aca="false">Q15</f>
        <v>306800</v>
      </c>
      <c r="BU15" s="31" t="n">
        <f aca="false">W15</f>
        <v>311950</v>
      </c>
      <c r="BV15" s="31" t="n">
        <f aca="false">R15</f>
        <v>35042</v>
      </c>
      <c r="BW15" s="31" t="n">
        <f aca="false">X15</f>
        <v>35044</v>
      </c>
      <c r="BX15" s="31" t="n">
        <f aca="false">S15</f>
        <v>6800</v>
      </c>
      <c r="BY15" s="31" t="n">
        <f aca="false">Y15</f>
        <v>6803</v>
      </c>
      <c r="BZ15" s="32" t="n">
        <f aca="false">IF(BJ15=0,IF(BR15=0,0,1),(BR15-BJ15)/BJ15)</f>
        <v>1</v>
      </c>
      <c r="CA15" s="32" t="n">
        <f aca="false">IF(BK15=0,IF(BS15=0,0,1),(BS15-BK15)/BK15)</f>
        <v>1</v>
      </c>
      <c r="CB15" s="32" t="n">
        <f aca="false">IF(BL15=0,IF(BT15=0,0,1),(BT15-BL15)/BL15)</f>
        <v>1</v>
      </c>
      <c r="CC15" s="32" t="n">
        <f aca="false">IF(BM15=0,IF(BU15=0,0,1),(BU15-BM15)/BM15)</f>
        <v>1</v>
      </c>
      <c r="CD15" s="32" t="n">
        <f aca="false">IF(BN15=0,IF(BV15=0,0,1),(BV15-BN15)/BN15)</f>
        <v>1</v>
      </c>
      <c r="CE15" s="32" t="n">
        <f aca="false">IF(BO15=0,IF(BW15=0,0,1),(BW15-BO15)/BO15)</f>
        <v>1</v>
      </c>
      <c r="CF15" s="32" t="n">
        <f aca="false">IF(BP15=0,IF(BX15=0,0,1),(BX15-BP15)/BP15)</f>
        <v>1</v>
      </c>
      <c r="CG15" s="32" t="n">
        <f aca="false">IF(BQ15=0,IF(BY15=0,0,1),(BY15-BQ15)/BQ15)</f>
        <v>1</v>
      </c>
      <c r="CH15" s="32" t="n">
        <f aca="false">MAX(MAX(BZ15:CG15),-MIN(BZ15:CG15))</f>
        <v>1</v>
      </c>
      <c r="CI15" s="31" t="str">
        <f aca="false">IF(CO15="","",SUMIFS($CJ$7:$CJ$696,$A$7:$A$696,CO15,$B$7:$B$696,B15))</f>
        <v/>
      </c>
      <c r="CJ15" s="31" t="n">
        <f aca="false">SUM(AY15:BI15)</f>
        <v>1768620</v>
      </c>
      <c r="CK15" s="31" t="str">
        <f aca="false">IFERROR(INDEX(設定!$F$61:$F$106,MATCH(B15,設定!$B$61:$B$106,0)),"Y")</f>
        <v>Y</v>
      </c>
      <c r="CL15" s="31" t="str">
        <f aca="false">IFERROR(INDEX(設定!$G$61:$G$106,MATCH(B15,設定!$B$61:$B$106,0)),"外郭型")</f>
        <v>市局型</v>
      </c>
      <c r="CM15" s="33" t="str">
        <f aca="false">A15&amp;"|"&amp;B15</f>
        <v>2026-04 月例|農業委員会</v>
      </c>
      <c r="CN15" s="34" t="str">
        <f aca="false">IFERROR(INDEX(設定!$D$61:$D$106,MATCH(B15,設定!$B$61:$B$106,0)),"Y")</f>
        <v>Y</v>
      </c>
      <c r="CO15" s="34" t="str">
        <f aca="false">IFERROR(INDEX(設定!$D$20:$D$34,MATCH(A15,設定!$A$20:$A$34,0))&amp;"","")</f>
        <v/>
      </c>
    </row>
    <row r="16" customFormat="false" ht="15" hidden="true" customHeight="false" outlineLevel="0" collapsed="false">
      <c r="A16" s="22" t="s">
        <v>165</v>
      </c>
      <c r="B16" s="23" t="s">
        <v>177</v>
      </c>
      <c r="C16" s="10" t="str">
        <f aca="false">IF(G16="","未受領",IF(G16="なし","報告なし",IF(AL16="○","起票済",IF(OR(AK16="○",F16="一致",F16="入金不要"),"入金確認済","受領済"))))</f>
        <v>入金確認済</v>
      </c>
      <c r="D16" s="10" t="str">
        <f aca="false">IF(OR(G16="",G16="なし"),"―",IF(CN16="N","対象外",IF(AND(I16="",J16="",K16=""),"標報未入力",IF(CH16&gt;=設定!$B$4,"要確認","問題なし"))))</f>
        <v>対象外</v>
      </c>
      <c r="E16" s="24" t="str">
        <f aca="false">IF(OR(G16="",G16="なし",CI16="",CJ16=0),"―",IF(CJ16=CI16,"前月同額",IF(CI16=0,"―",IF(ABS(CJ16/CI16-1)&gt;=設定!$B$5,"変動大 "&amp;TEXT(CJ16/CI16-1,"+0%;-0%"),"〇"))))</f>
        <v>―</v>
      </c>
      <c r="F16" s="10" t="str">
        <f aca="false">IF(OR(G16="",G16="なし"),"―",IF(CJ16=0,"入金不要",IF(COUNT(AD16,AF16,AH16,AJ16)=0,IF(AK16="○","手動確認","未入金"),IF(AND(N(AD16)=AC16,IF(AE16="",TRUE(),N(AF16)=AE16),IF(AG16="",TRUE(),N(AH16)=AG16),IF(AI16="",TRUE(),N(AJ16)=AI16)),"一致","不一致"))))</f>
        <v>手動確認</v>
      </c>
      <c r="G16" s="25" t="s">
        <v>167</v>
      </c>
      <c r="H16" s="26"/>
      <c r="I16" s="27"/>
      <c r="J16" s="27"/>
      <c r="K16" s="27"/>
      <c r="L16" s="27"/>
      <c r="M16" s="27"/>
      <c r="N16" s="27"/>
      <c r="O16" s="27" t="n">
        <v>22388403</v>
      </c>
      <c r="P16" s="27" t="n">
        <v>1835115</v>
      </c>
      <c r="Q16" s="27" t="n">
        <v>13373486</v>
      </c>
      <c r="R16" s="27" t="n">
        <v>1322950</v>
      </c>
      <c r="S16" s="27" t="n">
        <v>296479</v>
      </c>
      <c r="T16" s="27" t="n">
        <v>32251750</v>
      </c>
      <c r="U16" s="27" t="n">
        <v>1835115</v>
      </c>
      <c r="V16" s="27" t="n">
        <v>21475</v>
      </c>
      <c r="W16" s="27" t="n">
        <v>13600282</v>
      </c>
      <c r="X16" s="27" t="n">
        <v>1322950</v>
      </c>
      <c r="Y16" s="27" t="n">
        <v>296570</v>
      </c>
      <c r="Z16" s="27"/>
      <c r="AA16" s="10" t="str">
        <f aca="false">IFERROR(INDEX(設定!$E$61:$E$106,MATCH(B16,設定!$B$61:$B$106,0)),"合算")</f>
        <v>合算</v>
      </c>
      <c r="AB16" s="28"/>
      <c r="AC16" s="29" t="n">
        <f aca="false">IF(OR(G16="",G16="なし"),"",IF(AA16="合算",CJ16+N(Z16),IF(AA16="掛金・負担金別",(AY16+AZ16+BD16+BF16+BH16),SUM(AY16:BC16))))</f>
        <v>88544575</v>
      </c>
      <c r="AD16" s="27"/>
      <c r="AE16" s="29" t="str">
        <f aca="false">IF(OR(G16="",G16="なし"),"",IF(AA16="掛金・負担金別",(BA16+BB16+BC16+BE16+BG16+BI16+N(Z16)),IF(AA16="経理区分別",BD16+BE16,"")))</f>
        <v/>
      </c>
      <c r="AF16" s="27"/>
      <c r="AG16" s="29" t="str">
        <f aca="false">IF(OR(G16="",G16="なし"),"",IF(AA16="経理区分別",BF16+BG16,""))</f>
        <v/>
      </c>
      <c r="AH16" s="27"/>
      <c r="AI16" s="29" t="str">
        <f aca="false">IF(OR(G16="",G16="なし"),"",IF(AA16="経理区分別",BH16+BI16+N(Z16),""))</f>
        <v/>
      </c>
      <c r="AJ16" s="27"/>
      <c r="AK16" s="26" t="s">
        <v>168</v>
      </c>
      <c r="AL16" s="26"/>
      <c r="AM16" s="30"/>
      <c r="AN16" s="31"/>
      <c r="AO16" s="31"/>
      <c r="AP16" s="31"/>
      <c r="AQ16" s="31"/>
      <c r="AR16" s="31"/>
      <c r="AS16" s="31"/>
      <c r="AT16" s="31"/>
      <c r="AU16" s="31"/>
      <c r="AV16" s="31"/>
      <c r="AW16" s="31"/>
      <c r="AX16" s="31"/>
      <c r="AY16" s="31" t="n">
        <f aca="false">IF($G16="",AN16,O16)</f>
        <v>22388403</v>
      </c>
      <c r="AZ16" s="31" t="n">
        <f aca="false">IF($G16="",AO16,P16)</f>
        <v>1835115</v>
      </c>
      <c r="BA16" s="31" t="n">
        <f aca="false">IF($G16="",AP16,T16)</f>
        <v>32251750</v>
      </c>
      <c r="BB16" s="31" t="n">
        <f aca="false">IF($G16="",AQ16,U16)</f>
        <v>1835115</v>
      </c>
      <c r="BC16" s="31" t="n">
        <f aca="false">IF($G16="",AR16,V16)</f>
        <v>21475</v>
      </c>
      <c r="BD16" s="31" t="n">
        <f aca="false">IF($G16="",AS16,Q16)</f>
        <v>13373486</v>
      </c>
      <c r="BE16" s="31" t="n">
        <f aca="false">IF($G16="",AT16,W16)</f>
        <v>13600282</v>
      </c>
      <c r="BF16" s="31" t="n">
        <f aca="false">IF($G16="",AU16,R16)</f>
        <v>1322950</v>
      </c>
      <c r="BG16" s="31" t="n">
        <f aca="false">IF($G16="",AV16,X16)</f>
        <v>1322950</v>
      </c>
      <c r="BH16" s="31" t="n">
        <f aca="false">IF($G16="",AW16,S16)</f>
        <v>296479</v>
      </c>
      <c r="BI16" s="31" t="n">
        <f aca="false">IF($G16="",AX16,Y16)</f>
        <v>296570</v>
      </c>
      <c r="BJ16" s="31" t="n">
        <f aca="false">IF(CK16="N",BR16,ROUNDDOWN((I16-L16)*設定!$B$10/1000,0)+ROUNDDOWN((I16-L16)*設定!$B$11/1000,0))</f>
        <v>0</v>
      </c>
      <c r="BK16" s="31" t="n">
        <f aca="false">ROUNDDOWN((I16-L16)*設定!$C$10/1000,0)+ROUNDDOWN((I16-L16)*設定!$C$11/1000,0)+ROUNDDOWN(I16*設定!$C$12/1000,0)+IF(CL16="市局型",ROUNDDOWN(I16*設定!$C$16/1000,0),0)</f>
        <v>0</v>
      </c>
      <c r="BL16" s="31" t="n">
        <f aca="false">IF(CK16="N",BT16,ROUNDDOWN((J16-M16)*設定!$B$13/1000,0))</f>
        <v>0</v>
      </c>
      <c r="BM16" s="31" t="n">
        <f aca="false">ROUNDDOWN((J16-M16)*設定!$C$13/1000,0)+IF(CL16="市局型",ROUNDDOWN(J16*設定!$C$17/1000,0),0)</f>
        <v>0</v>
      </c>
      <c r="BN16" s="31" t="n">
        <f aca="false">IF(CK16="N",BV16,ROUNDDOWN((K16-N16)*設定!$B$14/1000,0))</f>
        <v>0</v>
      </c>
      <c r="BO16" s="31" t="n">
        <f aca="false">ROUNDDOWN((K16-N16)*設定!$C$14/1000,0)</f>
        <v>0</v>
      </c>
      <c r="BP16" s="31" t="n">
        <f aca="false">IF(CK16="N",BX16,ROUNDDOWN((J16-M16)*設定!$B$15/1000,0))</f>
        <v>0</v>
      </c>
      <c r="BQ16" s="31" t="n">
        <f aca="false">ROUNDDOWN((J16-M16)*設定!$C$15/1000,0)</f>
        <v>0</v>
      </c>
      <c r="BR16" s="31" t="n">
        <f aca="false">O16+P16</f>
        <v>24223518</v>
      </c>
      <c r="BS16" s="31" t="n">
        <f aca="false">T16+U16+V16</f>
        <v>34108340</v>
      </c>
      <c r="BT16" s="31" t="n">
        <f aca="false">Q16</f>
        <v>13373486</v>
      </c>
      <c r="BU16" s="31" t="n">
        <f aca="false">W16</f>
        <v>13600282</v>
      </c>
      <c r="BV16" s="31" t="n">
        <f aca="false">R16</f>
        <v>1322950</v>
      </c>
      <c r="BW16" s="31" t="n">
        <f aca="false">X16</f>
        <v>1322950</v>
      </c>
      <c r="BX16" s="31" t="n">
        <f aca="false">S16</f>
        <v>296479</v>
      </c>
      <c r="BY16" s="31" t="n">
        <f aca="false">Y16</f>
        <v>296570</v>
      </c>
      <c r="BZ16" s="32" t="n">
        <f aca="false">IF(BJ16=0,IF(BR16=0,0,1),(BR16-BJ16)/BJ16)</f>
        <v>1</v>
      </c>
      <c r="CA16" s="32" t="n">
        <f aca="false">IF(BK16=0,IF(BS16=0,0,1),(BS16-BK16)/BK16)</f>
        <v>1</v>
      </c>
      <c r="CB16" s="32" t="n">
        <f aca="false">IF(BL16=0,IF(BT16=0,0,1),(BT16-BL16)/BL16)</f>
        <v>1</v>
      </c>
      <c r="CC16" s="32" t="n">
        <f aca="false">IF(BM16=0,IF(BU16=0,0,1),(BU16-BM16)/BM16)</f>
        <v>1</v>
      </c>
      <c r="CD16" s="32" t="n">
        <f aca="false">IF(BN16=0,IF(BV16=0,0,1),(BV16-BN16)/BN16)</f>
        <v>1</v>
      </c>
      <c r="CE16" s="32" t="n">
        <f aca="false">IF(BO16=0,IF(BW16=0,0,1),(BW16-BO16)/BO16)</f>
        <v>1</v>
      </c>
      <c r="CF16" s="32" t="n">
        <f aca="false">IF(BP16=0,IF(BX16=0,0,1),(BX16-BP16)/BP16)</f>
        <v>1</v>
      </c>
      <c r="CG16" s="32" t="n">
        <f aca="false">IF(BQ16=0,IF(BY16=0,0,1),(BY16-BQ16)/BQ16)</f>
        <v>1</v>
      </c>
      <c r="CH16" s="32" t="n">
        <f aca="false">MAX(MAX(BZ16:CG16),-MIN(BZ16:CG16))</f>
        <v>1</v>
      </c>
      <c r="CI16" s="31" t="str">
        <f aca="false">IF(CO16="","",SUMIFS($CJ$7:$CJ$696,$A$7:$A$696,CO16,$B$7:$B$696,B16))</f>
        <v/>
      </c>
      <c r="CJ16" s="31" t="n">
        <f aca="false">SUM(AY16:BI16)</f>
        <v>88544575</v>
      </c>
      <c r="CK16" s="31" t="str">
        <f aca="false">IFERROR(INDEX(設定!$F$61:$F$106,MATCH(B16,設定!$B$61:$B$106,0)),"Y")</f>
        <v>Y</v>
      </c>
      <c r="CL16" s="31" t="str">
        <f aca="false">IFERROR(INDEX(設定!$G$61:$G$106,MATCH(B16,設定!$B$61:$B$106,0)),"外郭型")</f>
        <v>市局型</v>
      </c>
      <c r="CM16" s="33" t="str">
        <f aca="false">A16&amp;"|"&amp;B16</f>
        <v>2026-04 月例|水道局</v>
      </c>
      <c r="CN16" s="34" t="str">
        <f aca="false">IFERROR(INDEX(設定!$D$61:$D$106,MATCH(B16,設定!$B$61:$B$106,0)),"Y")</f>
        <v>N</v>
      </c>
      <c r="CO16" s="34" t="str">
        <f aca="false">IFERROR(INDEX(設定!$D$20:$D$34,MATCH(A16,設定!$A$20:$A$34,0))&amp;"","")</f>
        <v/>
      </c>
    </row>
    <row r="17" customFormat="false" ht="15" hidden="true" customHeight="false" outlineLevel="0" collapsed="false">
      <c r="A17" s="22" t="s">
        <v>165</v>
      </c>
      <c r="B17" s="23" t="s">
        <v>178</v>
      </c>
      <c r="C17" s="10" t="str">
        <f aca="false">IF(G17="","未受領",IF(G17="なし","報告なし",IF(AL17="○","起票済",IF(OR(AK17="○",F17="一致",F17="入金不要"),"入金確認済","受領済"))))</f>
        <v>入金確認済</v>
      </c>
      <c r="D17" s="10" t="str">
        <f aca="false">IF(OR(G17="",G17="なし"),"―",IF(CN17="N","対象外",IF(AND(I17="",J17="",K17=""),"標報未入力",IF(CH17&gt;=設定!$B$4,"要確認","問題なし"))))</f>
        <v>標報未入力</v>
      </c>
      <c r="E17" s="24" t="str">
        <f aca="false">IF(OR(G17="",G17="なし",CI17="",CJ17=0),"―",IF(CJ17=CI17,"前月同額",IF(CI17=0,"―",IF(ABS(CJ17/CI17-1)&gt;=設定!$B$5,"変動大 "&amp;TEXT(CJ17/CI17-1,"+0%;-0%"),"〇"))))</f>
        <v>―</v>
      </c>
      <c r="F17" s="10" t="str">
        <f aca="false">IF(OR(G17="",G17="なし"),"―",IF(CJ17=0,"入金不要",IF(COUNT(AD17,AF17,AH17,AJ17)=0,IF(AK17="○","手動確認","未入金"),IF(AND(N(AD17)=AC17,IF(AE17="",TRUE(),N(AF17)=AE17),IF(AG17="",TRUE(),N(AH17)=AG17),IF(AI17="",TRUE(),N(AJ17)=AI17)),"一致","不一致"))))</f>
        <v>手動確認</v>
      </c>
      <c r="G17" s="25" t="s">
        <v>167</v>
      </c>
      <c r="H17" s="26"/>
      <c r="I17" s="27"/>
      <c r="J17" s="27"/>
      <c r="K17" s="27"/>
      <c r="L17" s="27"/>
      <c r="M17" s="27"/>
      <c r="N17" s="27"/>
      <c r="O17" s="27" t="n">
        <v>48495</v>
      </c>
      <c r="P17" s="27" t="n">
        <v>3975</v>
      </c>
      <c r="Q17" s="27" t="n">
        <v>27485</v>
      </c>
      <c r="R17" s="27" t="n">
        <v>4187</v>
      </c>
      <c r="S17" s="27" t="n">
        <v>609</v>
      </c>
      <c r="T17" s="27" t="n">
        <v>69642</v>
      </c>
      <c r="U17" s="27" t="n">
        <v>3975</v>
      </c>
      <c r="V17" s="27" t="n">
        <v>46</v>
      </c>
      <c r="W17" s="27" t="n">
        <v>27946</v>
      </c>
      <c r="X17" s="27" t="n">
        <v>4187</v>
      </c>
      <c r="Y17" s="27" t="n">
        <v>609</v>
      </c>
      <c r="Z17" s="27"/>
      <c r="AA17" s="10" t="str">
        <f aca="false">IFERROR(INDEX(設定!$E$61:$E$106,MATCH(B17,設定!$B$61:$B$106,0)),"合算")</f>
        <v>合算</v>
      </c>
      <c r="AB17" s="28"/>
      <c r="AC17" s="29" t="n">
        <f aca="false">IF(OR(G17="",G17="なし"),"",IF(AA17="合算",CJ17+N(Z17),IF(AA17="掛金・負担金別",(AY17+AZ17+BD17+BF17+BH17),SUM(AY17:BC17))))</f>
        <v>191156</v>
      </c>
      <c r="AD17" s="27"/>
      <c r="AE17" s="29" t="str">
        <f aca="false">IF(OR(G17="",G17="なし"),"",IF(AA17="掛金・負担金別",(BA17+BB17+BC17+BE17+BG17+BI17+N(Z17)),IF(AA17="経理区分別",BD17+BE17,"")))</f>
        <v/>
      </c>
      <c r="AF17" s="27"/>
      <c r="AG17" s="29" t="str">
        <f aca="false">IF(OR(G17="",G17="なし"),"",IF(AA17="経理区分別",BF17+BG17,""))</f>
        <v/>
      </c>
      <c r="AH17" s="27"/>
      <c r="AI17" s="29" t="str">
        <f aca="false">IF(OR(G17="",G17="なし"),"",IF(AA17="経理区分別",BH17+BI17+N(Z17),""))</f>
        <v/>
      </c>
      <c r="AJ17" s="27"/>
      <c r="AK17" s="26" t="s">
        <v>168</v>
      </c>
      <c r="AL17" s="26"/>
      <c r="AM17" s="30"/>
      <c r="AN17" s="31"/>
      <c r="AO17" s="31"/>
      <c r="AP17" s="31"/>
      <c r="AQ17" s="31"/>
      <c r="AR17" s="31"/>
      <c r="AS17" s="31"/>
      <c r="AT17" s="31"/>
      <c r="AU17" s="31"/>
      <c r="AV17" s="31"/>
      <c r="AW17" s="31"/>
      <c r="AX17" s="31"/>
      <c r="AY17" s="31" t="n">
        <f aca="false">IF($G17="",AN17,O17)</f>
        <v>48495</v>
      </c>
      <c r="AZ17" s="31" t="n">
        <f aca="false">IF($G17="",AO17,P17)</f>
        <v>3975</v>
      </c>
      <c r="BA17" s="31" t="n">
        <f aca="false">IF($G17="",AP17,T17)</f>
        <v>69642</v>
      </c>
      <c r="BB17" s="31" t="n">
        <f aca="false">IF($G17="",AQ17,U17)</f>
        <v>3975</v>
      </c>
      <c r="BC17" s="31" t="n">
        <f aca="false">IF($G17="",AR17,V17)</f>
        <v>46</v>
      </c>
      <c r="BD17" s="31" t="n">
        <f aca="false">IF($G17="",AS17,Q17)</f>
        <v>27485</v>
      </c>
      <c r="BE17" s="31" t="n">
        <f aca="false">IF($G17="",AT17,W17)</f>
        <v>27946</v>
      </c>
      <c r="BF17" s="31" t="n">
        <f aca="false">IF($G17="",AU17,R17)</f>
        <v>4187</v>
      </c>
      <c r="BG17" s="31" t="n">
        <f aca="false">IF($G17="",AV17,X17)</f>
        <v>4187</v>
      </c>
      <c r="BH17" s="31" t="n">
        <f aca="false">IF($G17="",AW17,S17)</f>
        <v>609</v>
      </c>
      <c r="BI17" s="31" t="n">
        <f aca="false">IF($G17="",AX17,Y17)</f>
        <v>609</v>
      </c>
      <c r="BJ17" s="31" t="n">
        <f aca="false">IF(CK17="N",BR17,ROUNDDOWN((I17-L17)*設定!$B$10/1000,0)+ROUNDDOWN((I17-L17)*設定!$B$11/1000,0))</f>
        <v>0</v>
      </c>
      <c r="BK17" s="31" t="n">
        <f aca="false">ROUNDDOWN((I17-L17)*設定!$C$10/1000,0)+ROUNDDOWN((I17-L17)*設定!$C$11/1000,0)+ROUNDDOWN(I17*設定!$C$12/1000,0)+IF(CL17="市局型",ROUNDDOWN(I17*設定!$C$16/1000,0),0)</f>
        <v>0</v>
      </c>
      <c r="BL17" s="31" t="n">
        <f aca="false">IF(CK17="N",BT17,ROUNDDOWN((J17-M17)*設定!$B$13/1000,0))</f>
        <v>0</v>
      </c>
      <c r="BM17" s="31" t="n">
        <f aca="false">ROUNDDOWN((J17-M17)*設定!$C$13/1000,0)+IF(CL17="市局型",ROUNDDOWN(J17*設定!$C$17/1000,0),0)</f>
        <v>0</v>
      </c>
      <c r="BN17" s="31" t="n">
        <f aca="false">IF(CK17="N",BV17,ROUNDDOWN((K17-N17)*設定!$B$14/1000,0))</f>
        <v>0</v>
      </c>
      <c r="BO17" s="31" t="n">
        <f aca="false">ROUNDDOWN((K17-N17)*設定!$C$14/1000,0)</f>
        <v>0</v>
      </c>
      <c r="BP17" s="31" t="n">
        <f aca="false">IF(CK17="N",BX17,ROUNDDOWN((J17-M17)*設定!$B$15/1000,0))</f>
        <v>0</v>
      </c>
      <c r="BQ17" s="31" t="n">
        <f aca="false">ROUNDDOWN((J17-M17)*設定!$C$15/1000,0)</f>
        <v>0</v>
      </c>
      <c r="BR17" s="31" t="n">
        <f aca="false">O17+P17</f>
        <v>52470</v>
      </c>
      <c r="BS17" s="31" t="n">
        <f aca="false">T17+U17+V17</f>
        <v>73663</v>
      </c>
      <c r="BT17" s="31" t="n">
        <f aca="false">Q17</f>
        <v>27485</v>
      </c>
      <c r="BU17" s="31" t="n">
        <f aca="false">W17</f>
        <v>27946</v>
      </c>
      <c r="BV17" s="31" t="n">
        <f aca="false">R17</f>
        <v>4187</v>
      </c>
      <c r="BW17" s="31" t="n">
        <f aca="false">X17</f>
        <v>4187</v>
      </c>
      <c r="BX17" s="31" t="n">
        <f aca="false">S17</f>
        <v>609</v>
      </c>
      <c r="BY17" s="31" t="n">
        <f aca="false">Y17</f>
        <v>609</v>
      </c>
      <c r="BZ17" s="32" t="n">
        <f aca="false">IF(BJ17=0,IF(BR17=0,0,1),(BR17-BJ17)/BJ17)</f>
        <v>1</v>
      </c>
      <c r="CA17" s="32" t="n">
        <f aca="false">IF(BK17=0,IF(BS17=0,0,1),(BS17-BK17)/BK17)</f>
        <v>1</v>
      </c>
      <c r="CB17" s="32" t="n">
        <f aca="false">IF(BL17=0,IF(BT17=0,0,1),(BT17-BL17)/BL17)</f>
        <v>1</v>
      </c>
      <c r="CC17" s="32" t="n">
        <f aca="false">IF(BM17=0,IF(BU17=0,0,1),(BU17-BM17)/BM17)</f>
        <v>1</v>
      </c>
      <c r="CD17" s="32" t="n">
        <f aca="false">IF(BN17=0,IF(BV17=0,0,1),(BV17-BN17)/BN17)</f>
        <v>1</v>
      </c>
      <c r="CE17" s="32" t="n">
        <f aca="false">IF(BO17=0,IF(BW17=0,0,1),(BW17-BO17)/BO17)</f>
        <v>1</v>
      </c>
      <c r="CF17" s="32" t="n">
        <f aca="false">IF(BP17=0,IF(BX17=0,0,1),(BX17-BP17)/BP17)</f>
        <v>1</v>
      </c>
      <c r="CG17" s="32" t="n">
        <f aca="false">IF(BQ17=0,IF(BY17=0,0,1),(BY17-BQ17)/BQ17)</f>
        <v>1</v>
      </c>
      <c r="CH17" s="32" t="n">
        <f aca="false">MAX(MAX(BZ17:CG17),-MIN(BZ17:CG17))</f>
        <v>1</v>
      </c>
      <c r="CI17" s="31" t="str">
        <f aca="false">IF(CO17="","",SUMIFS($CJ$7:$CJ$696,$A$7:$A$696,CO17,$B$7:$B$696,B17))</f>
        <v/>
      </c>
      <c r="CJ17" s="31" t="n">
        <f aca="false">SUM(AY17:BI17)</f>
        <v>191156</v>
      </c>
      <c r="CK17" s="31" t="str">
        <f aca="false">IFERROR(INDEX(設定!$F$61:$F$106,MATCH(B17,設定!$B$61:$B$106,0)),"Y")</f>
        <v>Y</v>
      </c>
      <c r="CL17" s="31" t="str">
        <f aca="false">IFERROR(INDEX(設定!$G$61:$G$106,MATCH(B17,設定!$B$61:$B$106,0)),"外郭型")</f>
        <v>市局型</v>
      </c>
      <c r="CM17" s="33" t="str">
        <f aca="false">A17&amp;"|"&amp;B17</f>
        <v>2026-04 月例|医療政策課(安芸市民)</v>
      </c>
      <c r="CN17" s="34" t="str">
        <f aca="false">IFERROR(INDEX(設定!$D$61:$D$106,MATCH(B17,設定!$B$61:$B$106,0)),"Y")</f>
        <v>Y</v>
      </c>
      <c r="CO17" s="34" t="str">
        <f aca="false">IFERROR(INDEX(設定!$D$20:$D$34,MATCH(A17,設定!$A$20:$A$34,0))&amp;"","")</f>
        <v/>
      </c>
    </row>
    <row r="18" customFormat="false" ht="15" hidden="true" customHeight="false" outlineLevel="0" collapsed="false">
      <c r="A18" s="22" t="s">
        <v>165</v>
      </c>
      <c r="B18" s="23" t="s">
        <v>179</v>
      </c>
      <c r="C18" s="10" t="str">
        <f aca="false">IF(G18="","未受領",IF(G18="なし","報告なし",IF(AL18="○","起票済",IF(OR(AK18="○",F18="一致",F18="入金不要"),"入金確認済","受領済"))))</f>
        <v>入金確認済</v>
      </c>
      <c r="D18" s="10" t="str">
        <f aca="false">IF(OR(G18="",G18="なし"),"―",IF(CN18="N","対象外",IF(AND(I18="",J18="",K18=""),"標報未入力",IF(CH18&gt;=設定!$B$4,"要確認","問題なし"))))</f>
        <v>標報未入力</v>
      </c>
      <c r="E18" s="24" t="str">
        <f aca="false">IF(OR(G18="",G18="なし",CI18="",CJ18=0),"―",IF(CJ18=CI18,"前月同額",IF(CI18=0,"―",IF(ABS(CJ18/CI18-1)&gt;=設定!$B$5,"変動大 "&amp;TEXT(CJ18/CI18-1,"+0%;-0%"),"〇"))))</f>
        <v>―</v>
      </c>
      <c r="F18" s="10" t="str">
        <f aca="false">IF(OR(G18="",G18="なし"),"―",IF(CJ18=0,"入金不要",IF(COUNT(AD18,AF18,AH18,AJ18)=0,IF(AK18="○","手動確認","未入金"),IF(AND(N(AD18)=AC18,IF(AE18="",TRUE(),N(AF18)=AE18),IF(AG18="",TRUE(),N(AH18)=AG18),IF(AI18="",TRUE(),N(AJ18)=AI18)),"一致","不一致"))))</f>
        <v>入金不要</v>
      </c>
      <c r="G18" s="25" t="s">
        <v>167</v>
      </c>
      <c r="H18" s="26"/>
      <c r="I18" s="27"/>
      <c r="J18" s="27"/>
      <c r="K18" s="27"/>
      <c r="L18" s="27"/>
      <c r="M18" s="27"/>
      <c r="N18" s="27"/>
      <c r="O18" s="27" t="n">
        <v>0</v>
      </c>
      <c r="P18" s="27" t="n">
        <v>0</v>
      </c>
      <c r="Q18" s="27" t="n">
        <v>0</v>
      </c>
      <c r="R18" s="27" t="n">
        <v>0</v>
      </c>
      <c r="S18" s="27" t="n">
        <v>0</v>
      </c>
      <c r="T18" s="27"/>
      <c r="U18" s="27"/>
      <c r="V18" s="27" t="n">
        <v>0</v>
      </c>
      <c r="W18" s="27" t="n">
        <v>0</v>
      </c>
      <c r="X18" s="27" t="n">
        <v>0</v>
      </c>
      <c r="Y18" s="27" t="n">
        <v>0</v>
      </c>
      <c r="Z18" s="27"/>
      <c r="AA18" s="10" t="str">
        <f aca="false">IFERROR(INDEX(設定!$E$61:$E$106,MATCH(B18,設定!$B$61:$B$106,0)),"合算")</f>
        <v>合算</v>
      </c>
      <c r="AB18" s="28"/>
      <c r="AC18" s="29" t="n">
        <f aca="false">IF(OR(G18="",G18="なし"),"",IF(AA18="合算",CJ18+N(Z18),IF(AA18="掛金・負担金別",(AY18+AZ18+BD18+BF18+BH18),SUM(AY18:BC18))))</f>
        <v>0</v>
      </c>
      <c r="AD18" s="27"/>
      <c r="AE18" s="29" t="str">
        <f aca="false">IF(OR(G18="",G18="なし"),"",IF(AA18="掛金・負担金別",(BA18+BB18+BC18+BE18+BG18+BI18+N(Z18)),IF(AA18="経理区分別",BD18+BE18,"")))</f>
        <v/>
      </c>
      <c r="AF18" s="27"/>
      <c r="AG18" s="29" t="str">
        <f aca="false">IF(OR(G18="",G18="なし"),"",IF(AA18="経理区分別",BF18+BG18,""))</f>
        <v/>
      </c>
      <c r="AH18" s="27"/>
      <c r="AI18" s="29" t="str">
        <f aca="false">IF(OR(G18="",G18="なし"),"",IF(AA18="経理区分別",BH18+BI18+N(Z18),""))</f>
        <v/>
      </c>
      <c r="AJ18" s="27"/>
      <c r="AK18" s="26"/>
      <c r="AL18" s="26"/>
      <c r="AM18" s="30"/>
      <c r="AN18" s="31"/>
      <c r="AO18" s="31"/>
      <c r="AP18" s="31"/>
      <c r="AQ18" s="31"/>
      <c r="AR18" s="31"/>
      <c r="AS18" s="31"/>
      <c r="AT18" s="31"/>
      <c r="AU18" s="31"/>
      <c r="AV18" s="31"/>
      <c r="AW18" s="31"/>
      <c r="AX18" s="31"/>
      <c r="AY18" s="31" t="n">
        <f aca="false">IF($G18="",AN18,O18)</f>
        <v>0</v>
      </c>
      <c r="AZ18" s="31" t="n">
        <f aca="false">IF($G18="",AO18,P18)</f>
        <v>0</v>
      </c>
      <c r="BA18" s="31" t="n">
        <f aca="false">IF($G18="",AP18,T18)</f>
        <v>0</v>
      </c>
      <c r="BB18" s="31" t="n">
        <f aca="false">IF($G18="",AQ18,U18)</f>
        <v>0</v>
      </c>
      <c r="BC18" s="31" t="n">
        <f aca="false">IF($G18="",AR18,V18)</f>
        <v>0</v>
      </c>
      <c r="BD18" s="31" t="n">
        <f aca="false">IF($G18="",AS18,Q18)</f>
        <v>0</v>
      </c>
      <c r="BE18" s="31" t="n">
        <f aca="false">IF($G18="",AT18,W18)</f>
        <v>0</v>
      </c>
      <c r="BF18" s="31" t="n">
        <f aca="false">IF($G18="",AU18,R18)</f>
        <v>0</v>
      </c>
      <c r="BG18" s="31" t="n">
        <f aca="false">IF($G18="",AV18,X18)</f>
        <v>0</v>
      </c>
      <c r="BH18" s="31" t="n">
        <f aca="false">IF($G18="",AW18,S18)</f>
        <v>0</v>
      </c>
      <c r="BI18" s="31" t="n">
        <f aca="false">IF($G18="",AX18,Y18)</f>
        <v>0</v>
      </c>
      <c r="BJ18" s="31" t="n">
        <f aca="false">IF(CK18="N",BR18,ROUNDDOWN((I18-L18)*設定!$B$10/1000,0)+ROUNDDOWN((I18-L18)*設定!$B$11/1000,0))</f>
        <v>0</v>
      </c>
      <c r="BK18" s="31" t="n">
        <f aca="false">ROUNDDOWN((I18-L18)*設定!$C$10/1000,0)+ROUNDDOWN((I18-L18)*設定!$C$11/1000,0)+ROUNDDOWN(I18*設定!$C$12/1000,0)+IF(CL18="市局型",ROUNDDOWN(I18*設定!$C$16/1000,0),0)</f>
        <v>0</v>
      </c>
      <c r="BL18" s="31" t="n">
        <f aca="false">IF(CK18="N",BT18,ROUNDDOWN((J18-M18)*設定!$B$13/1000,0))</f>
        <v>0</v>
      </c>
      <c r="BM18" s="31" t="n">
        <f aca="false">ROUNDDOWN((J18-M18)*設定!$C$13/1000,0)+IF(CL18="市局型",ROUNDDOWN(J18*設定!$C$17/1000,0),0)</f>
        <v>0</v>
      </c>
      <c r="BN18" s="31" t="n">
        <f aca="false">IF(CK18="N",BV18,ROUNDDOWN((K18-N18)*設定!$B$14/1000,0))</f>
        <v>0</v>
      </c>
      <c r="BO18" s="31" t="n">
        <f aca="false">ROUNDDOWN((K18-N18)*設定!$C$14/1000,0)</f>
        <v>0</v>
      </c>
      <c r="BP18" s="31" t="n">
        <f aca="false">IF(CK18="N",BX18,ROUNDDOWN((J18-M18)*設定!$B$15/1000,0))</f>
        <v>0</v>
      </c>
      <c r="BQ18" s="31" t="n">
        <f aca="false">ROUNDDOWN((J18-M18)*設定!$C$15/1000,0)</f>
        <v>0</v>
      </c>
      <c r="BR18" s="31" t="n">
        <f aca="false">O18+P18</f>
        <v>0</v>
      </c>
      <c r="BS18" s="31" t="n">
        <f aca="false">T18+U18+V18</f>
        <v>0</v>
      </c>
      <c r="BT18" s="31" t="n">
        <f aca="false">Q18</f>
        <v>0</v>
      </c>
      <c r="BU18" s="31" t="n">
        <f aca="false">W18</f>
        <v>0</v>
      </c>
      <c r="BV18" s="31" t="n">
        <f aca="false">R18</f>
        <v>0</v>
      </c>
      <c r="BW18" s="31" t="n">
        <f aca="false">X18</f>
        <v>0</v>
      </c>
      <c r="BX18" s="31" t="n">
        <f aca="false">S18</f>
        <v>0</v>
      </c>
      <c r="BY18" s="31" t="n">
        <f aca="false">Y18</f>
        <v>0</v>
      </c>
      <c r="BZ18" s="32" t="n">
        <f aca="false">IF(BJ18=0,IF(BR18=0,0,1),(BR18-BJ18)/BJ18)</f>
        <v>0</v>
      </c>
      <c r="CA18" s="32" t="n">
        <f aca="false">IF(BK18=0,IF(BS18=0,0,1),(BS18-BK18)/BK18)</f>
        <v>0</v>
      </c>
      <c r="CB18" s="32" t="n">
        <f aca="false">IF(BL18=0,IF(BT18=0,0,1),(BT18-BL18)/BL18)</f>
        <v>0</v>
      </c>
      <c r="CC18" s="32" t="n">
        <f aca="false">IF(BM18=0,IF(BU18=0,0,1),(BU18-BM18)/BM18)</f>
        <v>0</v>
      </c>
      <c r="CD18" s="32" t="n">
        <f aca="false">IF(BN18=0,IF(BV18=0,0,1),(BV18-BN18)/BN18)</f>
        <v>0</v>
      </c>
      <c r="CE18" s="32" t="n">
        <f aca="false">IF(BO18=0,IF(BW18=0,0,1),(BW18-BO18)/BO18)</f>
        <v>0</v>
      </c>
      <c r="CF18" s="32" t="n">
        <f aca="false">IF(BP18=0,IF(BX18=0,0,1),(BX18-BP18)/BP18)</f>
        <v>0</v>
      </c>
      <c r="CG18" s="32" t="n">
        <f aca="false">IF(BQ18=0,IF(BY18=0,0,1),(BY18-BQ18)/BQ18)</f>
        <v>0</v>
      </c>
      <c r="CH18" s="32" t="n">
        <f aca="false">MAX(MAX(BZ18:CG18),-MIN(BZ18:CG18))</f>
        <v>-0</v>
      </c>
      <c r="CI18" s="31" t="str">
        <f aca="false">IF(CO18="","",SUMIFS($CJ$7:$CJ$696,$A$7:$A$696,CO18,$B$7:$B$696,B18))</f>
        <v/>
      </c>
      <c r="CJ18" s="31" t="n">
        <f aca="false">SUM(AY18:BI18)</f>
        <v>0</v>
      </c>
      <c r="CK18" s="31" t="str">
        <f aca="false">IFERROR(INDEX(設定!$F$61:$F$106,MATCH(B18,設定!$B$61:$B$106,0)),"Y")</f>
        <v>Y</v>
      </c>
      <c r="CL18" s="31" t="str">
        <f aca="false">IFERROR(INDEX(設定!$G$61:$G$106,MATCH(B18,設定!$B$61:$B$106,0)),"外郭型")</f>
        <v>市局型</v>
      </c>
      <c r="CM18" s="33" t="str">
        <f aca="false">A18&amp;"|"&amp;B18</f>
        <v>2026-04 月例|教育委員会（教育給与課）</v>
      </c>
      <c r="CN18" s="34" t="str">
        <f aca="false">IFERROR(INDEX(設定!$D$61:$D$106,MATCH(B18,設定!$B$61:$B$106,0)),"Y")</f>
        <v>Y</v>
      </c>
      <c r="CO18" s="34" t="str">
        <f aca="false">IFERROR(INDEX(設定!$D$20:$D$34,MATCH(A18,設定!$A$20:$A$34,0))&amp;"","")</f>
        <v/>
      </c>
    </row>
    <row r="19" customFormat="false" ht="15" hidden="true" customHeight="false" outlineLevel="0" collapsed="false">
      <c r="A19" s="22" t="s">
        <v>165</v>
      </c>
      <c r="B19" s="23" t="s">
        <v>180</v>
      </c>
      <c r="C19" s="10" t="str">
        <f aca="false">IF(G19="","未受領",IF(G19="なし","報告なし",IF(AL19="○","起票済",IF(OR(AK19="○",F19="一致",F19="入金不要"),"入金確認済","受領済"))))</f>
        <v>報告なし</v>
      </c>
      <c r="D19" s="10" t="str">
        <f aca="false">IF(OR(G19="",G19="なし"),"―",IF(CN19="N","対象外",IF(AND(I19="",J19="",K19=""),"標報未入力",IF(CH19&gt;=設定!$B$4,"要確認","問題なし"))))</f>
        <v>―</v>
      </c>
      <c r="E19" s="24" t="str">
        <f aca="false">IF(OR(G19="",G19="なし",CI19="",CJ19=0),"―",IF(CJ19=CI19,"前月同額",IF(CI19=0,"―",IF(ABS(CJ19/CI19-1)&gt;=設定!$B$5,"変動大 "&amp;TEXT(CJ19/CI19-1,"+0%;-0%"),"〇"))))</f>
        <v>―</v>
      </c>
      <c r="F19" s="10" t="str">
        <f aca="false">IF(OR(G19="",G19="なし"),"―",IF(CJ19=0,"入金不要",IF(COUNT(AD19,AF19,AH19,AJ19)=0,IF(AK19="○","手動確認","未入金"),IF(AND(N(AD19)=AC19,IF(AE19="",TRUE(),N(AF19)=AE19),IF(AG19="",TRUE(),N(AH19)=AG19),IF(AI19="",TRUE(),N(AJ19)=AI19)),"一致","不一致"))))</f>
        <v>―</v>
      </c>
      <c r="G19" s="25" t="s">
        <v>181</v>
      </c>
      <c r="H19" s="26"/>
      <c r="I19" s="27"/>
      <c r="J19" s="27"/>
      <c r="K19" s="27"/>
      <c r="L19" s="27"/>
      <c r="M19" s="27"/>
      <c r="N19" s="27"/>
      <c r="O19" s="27"/>
      <c r="P19" s="27"/>
      <c r="Q19" s="27"/>
      <c r="R19" s="27"/>
      <c r="S19" s="27"/>
      <c r="T19" s="27"/>
      <c r="U19" s="27"/>
      <c r="V19" s="27"/>
      <c r="W19" s="27"/>
      <c r="X19" s="27"/>
      <c r="Y19" s="27"/>
      <c r="Z19" s="27"/>
      <c r="AA19" s="10" t="str">
        <f aca="false">IFERROR(INDEX(設定!$E$61:$E$106,MATCH(B19,設定!$B$61:$B$106,0)),"合算")</f>
        <v>合算</v>
      </c>
      <c r="AB19" s="28"/>
      <c r="AC19" s="29" t="str">
        <f aca="false">IF(OR(G19="",G19="なし"),"",IF(AA19="合算",CJ19+N(Z19),IF(AA19="掛金・負担金別",(AY19+AZ19+BD19+BF19+BH19),SUM(AY19:BC19))))</f>
        <v/>
      </c>
      <c r="AD19" s="27"/>
      <c r="AE19" s="29" t="str">
        <f aca="false">IF(OR(G19="",G19="なし"),"",IF(AA19="掛金・負担金別",(BA19+BB19+BC19+BE19+BG19+BI19+N(Z19)),IF(AA19="経理区分別",BD19+BE19,"")))</f>
        <v/>
      </c>
      <c r="AF19" s="27"/>
      <c r="AG19" s="29" t="str">
        <f aca="false">IF(OR(G19="",G19="なし"),"",IF(AA19="経理区分別",BF19+BG19,""))</f>
        <v/>
      </c>
      <c r="AH19" s="27"/>
      <c r="AI19" s="29" t="str">
        <f aca="false">IF(OR(G19="",G19="なし"),"",IF(AA19="経理区分別",BH19+BI19+N(Z19),""))</f>
        <v/>
      </c>
      <c r="AJ19" s="27"/>
      <c r="AK19" s="26"/>
      <c r="AL19" s="26"/>
      <c r="AM19" s="30"/>
      <c r="AN19" s="31"/>
      <c r="AO19" s="31"/>
      <c r="AP19" s="31"/>
      <c r="AQ19" s="31"/>
      <c r="AR19" s="31"/>
      <c r="AS19" s="31"/>
      <c r="AT19" s="31"/>
      <c r="AU19" s="31"/>
      <c r="AV19" s="31"/>
      <c r="AW19" s="31"/>
      <c r="AX19" s="31"/>
      <c r="AY19" s="31" t="n">
        <f aca="false">IF($G19="",AN19,O19)</f>
        <v>0</v>
      </c>
      <c r="AZ19" s="31" t="n">
        <f aca="false">IF($G19="",AO19,P19)</f>
        <v>0</v>
      </c>
      <c r="BA19" s="31" t="n">
        <f aca="false">IF($G19="",AP19,T19)</f>
        <v>0</v>
      </c>
      <c r="BB19" s="31" t="n">
        <f aca="false">IF($G19="",AQ19,U19)</f>
        <v>0</v>
      </c>
      <c r="BC19" s="31" t="n">
        <f aca="false">IF($G19="",AR19,V19)</f>
        <v>0</v>
      </c>
      <c r="BD19" s="31" t="n">
        <f aca="false">IF($G19="",AS19,Q19)</f>
        <v>0</v>
      </c>
      <c r="BE19" s="31" t="n">
        <f aca="false">IF($G19="",AT19,W19)</f>
        <v>0</v>
      </c>
      <c r="BF19" s="31" t="n">
        <f aca="false">IF($G19="",AU19,R19)</f>
        <v>0</v>
      </c>
      <c r="BG19" s="31" t="n">
        <f aca="false">IF($G19="",AV19,X19)</f>
        <v>0</v>
      </c>
      <c r="BH19" s="31" t="n">
        <f aca="false">IF($G19="",AW19,S19)</f>
        <v>0</v>
      </c>
      <c r="BI19" s="31" t="n">
        <f aca="false">IF($G19="",AX19,Y19)</f>
        <v>0</v>
      </c>
      <c r="BJ19" s="31" t="n">
        <f aca="false">IF(CK19="N",BR19,ROUNDDOWN((I19-L19)*設定!$B$10/1000,0)+ROUNDDOWN((I19-L19)*設定!$B$11/1000,0))</f>
        <v>0</v>
      </c>
      <c r="BK19" s="31" t="n">
        <f aca="false">ROUNDDOWN((I19-L19)*設定!$C$10/1000,0)+ROUNDDOWN((I19-L19)*設定!$C$11/1000,0)+ROUNDDOWN(I19*設定!$C$12/1000,0)+IF(CL19="市局型",ROUNDDOWN(I19*設定!$C$16/1000,0),0)</f>
        <v>0</v>
      </c>
      <c r="BL19" s="31" t="n">
        <f aca="false">IF(CK19="N",BT19,ROUNDDOWN((J19-M19)*設定!$B$13/1000,0))</f>
        <v>0</v>
      </c>
      <c r="BM19" s="31" t="n">
        <f aca="false">ROUNDDOWN((J19-M19)*設定!$C$13/1000,0)+IF(CL19="市局型",ROUNDDOWN(J19*設定!$C$17/1000,0),0)</f>
        <v>0</v>
      </c>
      <c r="BN19" s="31" t="n">
        <f aca="false">IF(CK19="N",BV19,ROUNDDOWN((K19-N19)*設定!$B$14/1000,0))</f>
        <v>0</v>
      </c>
      <c r="BO19" s="31" t="n">
        <f aca="false">ROUNDDOWN((K19-N19)*設定!$C$14/1000,0)</f>
        <v>0</v>
      </c>
      <c r="BP19" s="31" t="n">
        <f aca="false">IF(CK19="N",BX19,ROUNDDOWN((J19-M19)*設定!$B$15/1000,0))</f>
        <v>0</v>
      </c>
      <c r="BQ19" s="31" t="n">
        <f aca="false">ROUNDDOWN((J19-M19)*設定!$C$15/1000,0)</f>
        <v>0</v>
      </c>
      <c r="BR19" s="31" t="n">
        <f aca="false">O19+P19</f>
        <v>0</v>
      </c>
      <c r="BS19" s="31" t="n">
        <f aca="false">T19+U19+V19</f>
        <v>0</v>
      </c>
      <c r="BT19" s="31" t="n">
        <f aca="false">Q19</f>
        <v>0</v>
      </c>
      <c r="BU19" s="31" t="n">
        <f aca="false">W19</f>
        <v>0</v>
      </c>
      <c r="BV19" s="31" t="n">
        <f aca="false">R19</f>
        <v>0</v>
      </c>
      <c r="BW19" s="31" t="n">
        <f aca="false">X19</f>
        <v>0</v>
      </c>
      <c r="BX19" s="31" t="n">
        <f aca="false">S19</f>
        <v>0</v>
      </c>
      <c r="BY19" s="31" t="n">
        <f aca="false">Y19</f>
        <v>0</v>
      </c>
      <c r="BZ19" s="32" t="n">
        <f aca="false">IF(BJ19=0,IF(BR19=0,0,1),(BR19-BJ19)/BJ19)</f>
        <v>0</v>
      </c>
      <c r="CA19" s="32" t="n">
        <f aca="false">IF(BK19=0,IF(BS19=0,0,1),(BS19-BK19)/BK19)</f>
        <v>0</v>
      </c>
      <c r="CB19" s="32" t="n">
        <f aca="false">IF(BL19=0,IF(BT19=0,0,1),(BT19-BL19)/BL19)</f>
        <v>0</v>
      </c>
      <c r="CC19" s="32" t="n">
        <f aca="false">IF(BM19=0,IF(BU19=0,0,1),(BU19-BM19)/BM19)</f>
        <v>0</v>
      </c>
      <c r="CD19" s="32" t="n">
        <f aca="false">IF(BN19=0,IF(BV19=0,0,1),(BV19-BN19)/BN19)</f>
        <v>0</v>
      </c>
      <c r="CE19" s="32" t="n">
        <f aca="false">IF(BO19=0,IF(BW19=0,0,1),(BW19-BO19)/BO19)</f>
        <v>0</v>
      </c>
      <c r="CF19" s="32" t="n">
        <f aca="false">IF(BP19=0,IF(BX19=0,0,1),(BX19-BP19)/BP19)</f>
        <v>0</v>
      </c>
      <c r="CG19" s="32" t="n">
        <f aca="false">IF(BQ19=0,IF(BY19=0,0,1),(BY19-BQ19)/BQ19)</f>
        <v>0</v>
      </c>
      <c r="CH19" s="32" t="n">
        <f aca="false">MAX(MAX(BZ19:CG19),-MIN(BZ19:CG19))</f>
        <v>-0</v>
      </c>
      <c r="CI19" s="31" t="str">
        <f aca="false">IF(CO19="","",SUMIFS($CJ$7:$CJ$696,$A$7:$A$696,CO19,$B$7:$B$696,B19))</f>
        <v/>
      </c>
      <c r="CJ19" s="31" t="n">
        <f aca="false">SUM(AY19:BI19)</f>
        <v>0</v>
      </c>
      <c r="CK19" s="31" t="str">
        <f aca="false">IFERROR(INDEX(設定!$F$61:$F$106,MATCH(B19,設定!$B$61:$B$106,0)),"Y")</f>
        <v>N</v>
      </c>
      <c r="CL19" s="31" t="str">
        <f aca="false">IFERROR(INDEX(設定!$G$61:$G$106,MATCH(B19,設定!$B$61:$B$106,0)),"外郭型")</f>
        <v>外郭型</v>
      </c>
      <c r="CM19" s="33" t="str">
        <f aca="false">A19&amp;"|"&amp;B19</f>
        <v>2026-04 月例|地方税共同機構</v>
      </c>
      <c r="CN19" s="34" t="str">
        <f aca="false">IFERROR(INDEX(設定!$D$61:$D$106,MATCH(B19,設定!$B$61:$B$106,0)),"Y")</f>
        <v>Y</v>
      </c>
      <c r="CO19" s="34" t="str">
        <f aca="false">IFERROR(INDEX(設定!$D$20:$D$34,MATCH(A19,設定!$A$20:$A$34,0))&amp;"","")</f>
        <v/>
      </c>
    </row>
    <row r="20" customFormat="false" ht="15" hidden="true" customHeight="false" outlineLevel="0" collapsed="false">
      <c r="A20" s="22" t="s">
        <v>165</v>
      </c>
      <c r="B20" s="23" t="s">
        <v>182</v>
      </c>
      <c r="C20" s="10" t="str">
        <f aca="false">IF(G20="","未受領",IF(G20="なし","報告なし",IF(AL20="○","起票済",IF(OR(AK20="○",F20="一致",F20="入金不要"),"入金確認済","受領済"))))</f>
        <v>入金確認済</v>
      </c>
      <c r="D20" s="10" t="str">
        <f aca="false">IF(OR(G20="",G20="なし"),"―",IF(CN20="N","対象外",IF(AND(I20="",J20="",K20=""),"標報未入力",IF(CH20&gt;=設定!$B$4,"要確認","問題なし"))))</f>
        <v>標報未入力</v>
      </c>
      <c r="E20" s="24" t="str">
        <f aca="false">IF(OR(G20="",G20="なし",CI20="",CJ20=0),"―",IF(CJ20=CI20,"前月同額",IF(CI20=0,"―",IF(ABS(CJ20/CI20-1)&gt;=設定!$B$5,"変動大 "&amp;TEXT(CJ20/CI20-1,"+0%;-0%"),"〇"))))</f>
        <v>―</v>
      </c>
      <c r="F20" s="10" t="str">
        <f aca="false">IF(OR(G20="",G20="なし"),"―",IF(CJ20=0,"入金不要",IF(COUNT(AD20,AF20,AH20,AJ20)=0,IF(AK20="○","手動確認","未入金"),IF(AND(N(AD20)=AC20,IF(AE20="",TRUE(),N(AF20)=AE20),IF(AG20="",TRUE(),N(AH20)=AG20),IF(AI20="",TRUE(),N(AJ20)=AI20)),"一致","不一致"))))</f>
        <v>手動確認</v>
      </c>
      <c r="G20" s="25" t="s">
        <v>167</v>
      </c>
      <c r="H20" s="26"/>
      <c r="I20" s="27"/>
      <c r="J20" s="27"/>
      <c r="K20" s="27"/>
      <c r="L20" s="27"/>
      <c r="M20" s="27"/>
      <c r="N20" s="27"/>
      <c r="O20" s="27" t="n">
        <v>0</v>
      </c>
      <c r="P20" s="27" t="n">
        <v>0</v>
      </c>
      <c r="Q20" s="27" t="n">
        <v>0</v>
      </c>
      <c r="R20" s="27" t="n">
        <v>0</v>
      </c>
      <c r="S20" s="27" t="n">
        <v>0</v>
      </c>
      <c r="T20" s="27" t="n">
        <v>765855</v>
      </c>
      <c r="U20" s="27" t="n">
        <v>62775</v>
      </c>
      <c r="V20" s="27" t="n">
        <v>789</v>
      </c>
      <c r="W20" s="27" t="n">
        <v>441236</v>
      </c>
      <c r="X20" s="27" t="n">
        <v>54826</v>
      </c>
      <c r="Y20" s="27" t="n">
        <v>9775</v>
      </c>
      <c r="Z20" s="27"/>
      <c r="AA20" s="10" t="str">
        <f aca="false">IFERROR(INDEX(設定!$E$61:$E$106,MATCH(B20,設定!$B$61:$B$106,0)),"合算")</f>
        <v>合算</v>
      </c>
      <c r="AB20" s="28"/>
      <c r="AC20" s="29" t="n">
        <f aca="false">IF(OR(G20="",G20="なし"),"",IF(AA20="合算",CJ20+N(Z20),IF(AA20="掛金・負担金別",(AY20+AZ20+BD20+BF20+BH20),SUM(AY20:BC20))))</f>
        <v>1335256</v>
      </c>
      <c r="AD20" s="27"/>
      <c r="AE20" s="29" t="str">
        <f aca="false">IF(OR(G20="",G20="なし"),"",IF(AA20="掛金・負担金別",(BA20+BB20+BC20+BE20+BG20+BI20+N(Z20)),IF(AA20="経理区分別",BD20+BE20,"")))</f>
        <v/>
      </c>
      <c r="AF20" s="27"/>
      <c r="AG20" s="29" t="str">
        <f aca="false">IF(OR(G20="",G20="なし"),"",IF(AA20="経理区分別",BF20+BG20,""))</f>
        <v/>
      </c>
      <c r="AH20" s="27"/>
      <c r="AI20" s="29" t="str">
        <f aca="false">IF(OR(G20="",G20="なし"),"",IF(AA20="経理区分別",BH20+BI20+N(Z20),""))</f>
        <v/>
      </c>
      <c r="AJ20" s="27"/>
      <c r="AK20" s="26" t="s">
        <v>168</v>
      </c>
      <c r="AL20" s="26"/>
      <c r="AM20" s="30"/>
      <c r="AN20" s="31"/>
      <c r="AO20" s="31"/>
      <c r="AP20" s="31"/>
      <c r="AQ20" s="31"/>
      <c r="AR20" s="31"/>
      <c r="AS20" s="31"/>
      <c r="AT20" s="31"/>
      <c r="AU20" s="31"/>
      <c r="AV20" s="31"/>
      <c r="AW20" s="31"/>
      <c r="AX20" s="31"/>
      <c r="AY20" s="31" t="n">
        <f aca="false">IF($G20="",AN20,O20)</f>
        <v>0</v>
      </c>
      <c r="AZ20" s="31" t="n">
        <f aca="false">IF($G20="",AO20,P20)</f>
        <v>0</v>
      </c>
      <c r="BA20" s="31" t="n">
        <f aca="false">IF($G20="",AP20,T20)</f>
        <v>765855</v>
      </c>
      <c r="BB20" s="31" t="n">
        <f aca="false">IF($G20="",AQ20,U20)</f>
        <v>62775</v>
      </c>
      <c r="BC20" s="31" t="n">
        <f aca="false">IF($G20="",AR20,V20)</f>
        <v>789</v>
      </c>
      <c r="BD20" s="31" t="n">
        <f aca="false">IF($G20="",AS20,Q20)</f>
        <v>0</v>
      </c>
      <c r="BE20" s="31" t="n">
        <f aca="false">IF($G20="",AT20,W20)</f>
        <v>441236</v>
      </c>
      <c r="BF20" s="31" t="n">
        <f aca="false">IF($G20="",AU20,R20)</f>
        <v>0</v>
      </c>
      <c r="BG20" s="31" t="n">
        <f aca="false">IF($G20="",AV20,X20)</f>
        <v>54826</v>
      </c>
      <c r="BH20" s="31" t="n">
        <f aca="false">IF($G20="",AW20,S20)</f>
        <v>0</v>
      </c>
      <c r="BI20" s="31" t="n">
        <f aca="false">IF($G20="",AX20,Y20)</f>
        <v>9775</v>
      </c>
      <c r="BJ20" s="31" t="n">
        <f aca="false">IF(CK20="N",BR20,ROUNDDOWN((I20-L20)*設定!$B$10/1000,0)+ROUNDDOWN((I20-L20)*設定!$B$11/1000,0))</f>
        <v>0</v>
      </c>
      <c r="BK20" s="31" t="n">
        <f aca="false">ROUNDDOWN((I20-L20)*設定!$C$10/1000,0)+ROUNDDOWN((I20-L20)*設定!$C$11/1000,0)+ROUNDDOWN(I20*設定!$C$12/1000,0)+IF(CL20="市局型",ROUNDDOWN(I20*設定!$C$16/1000,0),0)</f>
        <v>0</v>
      </c>
      <c r="BL20" s="31" t="n">
        <f aca="false">IF(CK20="N",BT20,ROUNDDOWN((J20-M20)*設定!$B$13/1000,0))</f>
        <v>0</v>
      </c>
      <c r="BM20" s="31" t="n">
        <f aca="false">ROUNDDOWN((J20-M20)*設定!$C$13/1000,0)+IF(CL20="市局型",ROUNDDOWN(J20*設定!$C$17/1000,0),0)</f>
        <v>0</v>
      </c>
      <c r="BN20" s="31" t="n">
        <f aca="false">IF(CK20="N",BV20,ROUNDDOWN((K20-N20)*設定!$B$14/1000,0))</f>
        <v>0</v>
      </c>
      <c r="BO20" s="31" t="n">
        <f aca="false">ROUNDDOWN((K20-N20)*設定!$C$14/1000,0)</f>
        <v>0</v>
      </c>
      <c r="BP20" s="31" t="n">
        <f aca="false">IF(CK20="N",BX20,ROUNDDOWN((J20-M20)*設定!$B$15/1000,0))</f>
        <v>0</v>
      </c>
      <c r="BQ20" s="31" t="n">
        <f aca="false">ROUNDDOWN((J20-M20)*設定!$C$15/1000,0)</f>
        <v>0</v>
      </c>
      <c r="BR20" s="31" t="n">
        <f aca="false">O20+P20</f>
        <v>0</v>
      </c>
      <c r="BS20" s="31" t="n">
        <f aca="false">T20+U20+V20</f>
        <v>829419</v>
      </c>
      <c r="BT20" s="31" t="n">
        <f aca="false">Q20</f>
        <v>0</v>
      </c>
      <c r="BU20" s="31" t="n">
        <f aca="false">W20</f>
        <v>441236</v>
      </c>
      <c r="BV20" s="31" t="n">
        <f aca="false">R20</f>
        <v>0</v>
      </c>
      <c r="BW20" s="31" t="n">
        <f aca="false">X20</f>
        <v>54826</v>
      </c>
      <c r="BX20" s="31" t="n">
        <f aca="false">S20</f>
        <v>0</v>
      </c>
      <c r="BY20" s="31" t="n">
        <f aca="false">Y20</f>
        <v>9775</v>
      </c>
      <c r="BZ20" s="32" t="n">
        <f aca="false">IF(BJ20=0,IF(BR20=0,0,1),(BR20-BJ20)/BJ20)</f>
        <v>0</v>
      </c>
      <c r="CA20" s="32" t="n">
        <f aca="false">IF(BK20=0,IF(BS20=0,0,1),(BS20-BK20)/BK20)</f>
        <v>1</v>
      </c>
      <c r="CB20" s="32" t="n">
        <f aca="false">IF(BL20=0,IF(BT20=0,0,1),(BT20-BL20)/BL20)</f>
        <v>0</v>
      </c>
      <c r="CC20" s="32" t="n">
        <f aca="false">IF(BM20=0,IF(BU20=0,0,1),(BU20-BM20)/BM20)</f>
        <v>1</v>
      </c>
      <c r="CD20" s="32" t="n">
        <f aca="false">IF(BN20=0,IF(BV20=0,0,1),(BV20-BN20)/BN20)</f>
        <v>0</v>
      </c>
      <c r="CE20" s="32" t="n">
        <f aca="false">IF(BO20=0,IF(BW20=0,0,1),(BW20-BO20)/BO20)</f>
        <v>1</v>
      </c>
      <c r="CF20" s="32" t="n">
        <f aca="false">IF(BP20=0,IF(BX20=0,0,1),(BX20-BP20)/BP20)</f>
        <v>0</v>
      </c>
      <c r="CG20" s="32" t="n">
        <f aca="false">IF(BQ20=0,IF(BY20=0,0,1),(BY20-BQ20)/BQ20)</f>
        <v>1</v>
      </c>
      <c r="CH20" s="32" t="n">
        <f aca="false">MAX(MAX(BZ20:CG20),-MIN(BZ20:CG20))</f>
        <v>1</v>
      </c>
      <c r="CI20" s="31" t="str">
        <f aca="false">IF(CO20="","",SUMIFS($CJ$7:$CJ$696,$A$7:$A$696,CO20,$B$7:$B$696,B20))</f>
        <v/>
      </c>
      <c r="CJ20" s="31" t="n">
        <f aca="false">SUM(AY20:BI20)</f>
        <v>1335256</v>
      </c>
      <c r="CK20" s="31" t="str">
        <f aca="false">IFERROR(INDEX(設定!$F$61:$F$106,MATCH(B20,設定!$B$61:$B$106,0)),"Y")</f>
        <v>Y</v>
      </c>
      <c r="CL20" s="31" t="str">
        <f aca="false">IFERROR(INDEX(設定!$G$61:$G$106,MATCH(B20,設定!$B$61:$B$106,0)),"外郭型")</f>
        <v>外郭型</v>
      </c>
      <c r="CM20" s="33" t="str">
        <f aca="false">A20&amp;"|"&amp;B20</f>
        <v>2026-04 月例|平和文化センター</v>
      </c>
      <c r="CN20" s="34" t="str">
        <f aca="false">IFERROR(INDEX(設定!$D$61:$D$106,MATCH(B20,設定!$B$61:$B$106,0)),"Y")</f>
        <v>Y</v>
      </c>
      <c r="CO20" s="34" t="str">
        <f aca="false">IFERROR(INDEX(設定!$D$20:$D$34,MATCH(A20,設定!$A$20:$A$34,0))&amp;"","")</f>
        <v/>
      </c>
    </row>
    <row r="21" customFormat="false" ht="15" hidden="true" customHeight="false" outlineLevel="0" collapsed="false">
      <c r="A21" s="22" t="s">
        <v>165</v>
      </c>
      <c r="B21" s="23" t="s">
        <v>183</v>
      </c>
      <c r="C21" s="10" t="str">
        <f aca="false">IF(G21="","未受領",IF(G21="なし","報告なし",IF(AL21="○","起票済",IF(OR(AK21="○",F21="一致",F21="入金不要"),"入金確認済","受領済"))))</f>
        <v>入金確認済</v>
      </c>
      <c r="D21" s="10" t="str">
        <f aca="false">IF(OR(G21="",G21="なし"),"―",IF(CN21="N","対象外",IF(AND(I21="",J21="",K21=""),"標報未入力",IF(CH21&gt;=設定!$B$4,"要確認","問題なし"))))</f>
        <v>標報未入力</v>
      </c>
      <c r="E21" s="24" t="str">
        <f aca="false">IF(OR(G21="",G21="なし",CI21="",CJ21=0),"―",IF(CJ21=CI21,"前月同額",IF(CI21=0,"―",IF(ABS(CJ21/CI21-1)&gt;=設定!$B$5,"変動大 "&amp;TEXT(CJ21/CI21-1,"+0%;-0%"),"〇"))))</f>
        <v>―</v>
      </c>
      <c r="F21" s="10" t="str">
        <f aca="false">IF(OR(G21="",G21="なし"),"―",IF(CJ21=0,"入金不要",IF(COUNT(AD21,AF21,AH21,AJ21)=0,IF(AK21="○","手動確認","未入金"),IF(AND(N(AD21)=AC21,IF(AE21="",TRUE(),N(AF21)=AE21),IF(AG21="",TRUE(),N(AH21)=AG21),IF(AI21="",TRUE(),N(AJ21)=AI21)),"一致","不一致"))))</f>
        <v>手動確認</v>
      </c>
      <c r="G21" s="25" t="s">
        <v>167</v>
      </c>
      <c r="H21" s="26"/>
      <c r="I21" s="27"/>
      <c r="J21" s="27"/>
      <c r="K21" s="27"/>
      <c r="L21" s="27"/>
      <c r="M21" s="27"/>
      <c r="N21" s="27"/>
      <c r="O21" s="27"/>
      <c r="P21" s="27"/>
      <c r="Q21" s="27"/>
      <c r="R21" s="27"/>
      <c r="S21" s="27"/>
      <c r="T21" s="27" t="n">
        <v>2045940</v>
      </c>
      <c r="U21" s="27" t="n">
        <v>167700</v>
      </c>
      <c r="V21" s="27" t="n">
        <v>1993</v>
      </c>
      <c r="W21" s="27" t="n">
        <v>1308159</v>
      </c>
      <c r="X21" s="27" t="n">
        <v>141726</v>
      </c>
      <c r="Y21" s="27" t="n">
        <v>28976</v>
      </c>
      <c r="Z21" s="27"/>
      <c r="AA21" s="10" t="str">
        <f aca="false">IFERROR(INDEX(設定!$E$61:$E$106,MATCH(B21,設定!$B$61:$B$106,0)),"合算")</f>
        <v>合算</v>
      </c>
      <c r="AB21" s="28"/>
      <c r="AC21" s="29" t="n">
        <f aca="false">IF(OR(G21="",G21="なし"),"",IF(AA21="合算",CJ21+N(Z21),IF(AA21="掛金・負担金別",(AY21+AZ21+BD21+BF21+BH21),SUM(AY21:BC21))))</f>
        <v>3694494</v>
      </c>
      <c r="AD21" s="27"/>
      <c r="AE21" s="29" t="str">
        <f aca="false">IF(OR(G21="",G21="なし"),"",IF(AA21="掛金・負担金別",(BA21+BB21+BC21+BE21+BG21+BI21+N(Z21)),IF(AA21="経理区分別",BD21+BE21,"")))</f>
        <v/>
      </c>
      <c r="AF21" s="27"/>
      <c r="AG21" s="29" t="str">
        <f aca="false">IF(OR(G21="",G21="なし"),"",IF(AA21="経理区分別",BF21+BG21,""))</f>
        <v/>
      </c>
      <c r="AH21" s="27"/>
      <c r="AI21" s="29" t="str">
        <f aca="false">IF(OR(G21="",G21="なし"),"",IF(AA21="経理区分別",BH21+BI21+N(Z21),""))</f>
        <v/>
      </c>
      <c r="AJ21" s="27"/>
      <c r="AK21" s="26" t="s">
        <v>168</v>
      </c>
      <c r="AL21" s="26"/>
      <c r="AM21" s="30"/>
      <c r="AN21" s="31"/>
      <c r="AO21" s="31"/>
      <c r="AP21" s="31"/>
      <c r="AQ21" s="31"/>
      <c r="AR21" s="31"/>
      <c r="AS21" s="31"/>
      <c r="AT21" s="31"/>
      <c r="AU21" s="31"/>
      <c r="AV21" s="31"/>
      <c r="AW21" s="31"/>
      <c r="AX21" s="31"/>
      <c r="AY21" s="31" t="n">
        <f aca="false">IF($G21="",AN21,O21)</f>
        <v>0</v>
      </c>
      <c r="AZ21" s="31" t="n">
        <f aca="false">IF($G21="",AO21,P21)</f>
        <v>0</v>
      </c>
      <c r="BA21" s="31" t="n">
        <f aca="false">IF($G21="",AP21,T21)</f>
        <v>2045940</v>
      </c>
      <c r="BB21" s="31" t="n">
        <f aca="false">IF($G21="",AQ21,U21)</f>
        <v>167700</v>
      </c>
      <c r="BC21" s="31" t="n">
        <f aca="false">IF($G21="",AR21,V21)</f>
        <v>1993</v>
      </c>
      <c r="BD21" s="31" t="n">
        <f aca="false">IF($G21="",AS21,Q21)</f>
        <v>0</v>
      </c>
      <c r="BE21" s="31" t="n">
        <f aca="false">IF($G21="",AT21,W21)</f>
        <v>1308159</v>
      </c>
      <c r="BF21" s="31" t="n">
        <f aca="false">IF($G21="",AU21,R21)</f>
        <v>0</v>
      </c>
      <c r="BG21" s="31" t="n">
        <f aca="false">IF($G21="",AV21,X21)</f>
        <v>141726</v>
      </c>
      <c r="BH21" s="31" t="n">
        <f aca="false">IF($G21="",AW21,S21)</f>
        <v>0</v>
      </c>
      <c r="BI21" s="31" t="n">
        <f aca="false">IF($G21="",AX21,Y21)</f>
        <v>28976</v>
      </c>
      <c r="BJ21" s="31" t="n">
        <f aca="false">IF(CK21="N",BR21,ROUNDDOWN((I21-L21)*設定!$B$10/1000,0)+ROUNDDOWN((I21-L21)*設定!$B$11/1000,0))</f>
        <v>0</v>
      </c>
      <c r="BK21" s="31" t="n">
        <f aca="false">ROUNDDOWN((I21-L21)*設定!$C$10/1000,0)+ROUNDDOWN((I21-L21)*設定!$C$11/1000,0)+ROUNDDOWN(I21*設定!$C$12/1000,0)+IF(CL21="市局型",ROUNDDOWN(I21*設定!$C$16/1000,0),0)</f>
        <v>0</v>
      </c>
      <c r="BL21" s="31" t="n">
        <f aca="false">IF(CK21="N",BT21,ROUNDDOWN((J21-M21)*設定!$B$13/1000,0))</f>
        <v>0</v>
      </c>
      <c r="BM21" s="31" t="n">
        <f aca="false">ROUNDDOWN((J21-M21)*設定!$C$13/1000,0)+IF(CL21="市局型",ROUNDDOWN(J21*設定!$C$17/1000,0),0)</f>
        <v>0</v>
      </c>
      <c r="BN21" s="31" t="n">
        <f aca="false">IF(CK21="N",BV21,ROUNDDOWN((K21-N21)*設定!$B$14/1000,0))</f>
        <v>0</v>
      </c>
      <c r="BO21" s="31" t="n">
        <f aca="false">ROUNDDOWN((K21-N21)*設定!$C$14/1000,0)</f>
        <v>0</v>
      </c>
      <c r="BP21" s="31" t="n">
        <f aca="false">IF(CK21="N",BX21,ROUNDDOWN((J21-M21)*設定!$B$15/1000,0))</f>
        <v>0</v>
      </c>
      <c r="BQ21" s="31" t="n">
        <f aca="false">ROUNDDOWN((J21-M21)*設定!$C$15/1000,0)</f>
        <v>0</v>
      </c>
      <c r="BR21" s="31" t="n">
        <f aca="false">O21+P21</f>
        <v>0</v>
      </c>
      <c r="BS21" s="31" t="n">
        <f aca="false">T21+U21+V21</f>
        <v>2215633</v>
      </c>
      <c r="BT21" s="31" t="n">
        <f aca="false">Q21</f>
        <v>0</v>
      </c>
      <c r="BU21" s="31" t="n">
        <f aca="false">W21</f>
        <v>1308159</v>
      </c>
      <c r="BV21" s="31" t="n">
        <f aca="false">R21</f>
        <v>0</v>
      </c>
      <c r="BW21" s="31" t="n">
        <f aca="false">X21</f>
        <v>141726</v>
      </c>
      <c r="BX21" s="31" t="n">
        <f aca="false">S21</f>
        <v>0</v>
      </c>
      <c r="BY21" s="31" t="n">
        <f aca="false">Y21</f>
        <v>28976</v>
      </c>
      <c r="BZ21" s="32" t="n">
        <f aca="false">IF(BJ21=0,IF(BR21=0,0,1),(BR21-BJ21)/BJ21)</f>
        <v>0</v>
      </c>
      <c r="CA21" s="32" t="n">
        <f aca="false">IF(BK21=0,IF(BS21=0,0,1),(BS21-BK21)/BK21)</f>
        <v>1</v>
      </c>
      <c r="CB21" s="32" t="n">
        <f aca="false">IF(BL21=0,IF(BT21=0,0,1),(BT21-BL21)/BL21)</f>
        <v>0</v>
      </c>
      <c r="CC21" s="32" t="n">
        <f aca="false">IF(BM21=0,IF(BU21=0,0,1),(BU21-BM21)/BM21)</f>
        <v>1</v>
      </c>
      <c r="CD21" s="32" t="n">
        <f aca="false">IF(BN21=0,IF(BV21=0,0,1),(BV21-BN21)/BN21)</f>
        <v>0</v>
      </c>
      <c r="CE21" s="32" t="n">
        <f aca="false">IF(BO21=0,IF(BW21=0,0,1),(BW21-BO21)/BO21)</f>
        <v>1</v>
      </c>
      <c r="CF21" s="32" t="n">
        <f aca="false">IF(BP21=0,IF(BX21=0,0,1),(BX21-BP21)/BP21)</f>
        <v>0</v>
      </c>
      <c r="CG21" s="32" t="n">
        <f aca="false">IF(BQ21=0,IF(BY21=0,0,1),(BY21-BQ21)/BQ21)</f>
        <v>1</v>
      </c>
      <c r="CH21" s="32" t="n">
        <f aca="false">MAX(MAX(BZ21:CG21),-MIN(BZ21:CG21))</f>
        <v>1</v>
      </c>
      <c r="CI21" s="31" t="str">
        <f aca="false">IF(CO21="","",SUMIFS($CJ$7:$CJ$696,$A$7:$A$696,CO21,$B$7:$B$696,B21))</f>
        <v/>
      </c>
      <c r="CJ21" s="31" t="n">
        <f aca="false">SUM(AY21:BI21)</f>
        <v>3694494</v>
      </c>
      <c r="CK21" s="31" t="str">
        <f aca="false">IFERROR(INDEX(設定!$F$61:$F$106,MATCH(B21,設定!$B$61:$B$106,0)),"Y")</f>
        <v>N</v>
      </c>
      <c r="CL21" s="31" t="str">
        <f aca="false">IFERROR(INDEX(設定!$G$61:$G$106,MATCH(B21,設定!$B$61:$B$106,0)),"外郭型")</f>
        <v>外郭型</v>
      </c>
      <c r="CM21" s="33" t="str">
        <f aca="false">A21&amp;"|"&amp;B21</f>
        <v>2026-04 月例|社会福祉事業団</v>
      </c>
      <c r="CN21" s="34" t="str">
        <f aca="false">IFERROR(INDEX(設定!$D$61:$D$106,MATCH(B21,設定!$B$61:$B$106,0)),"Y")</f>
        <v>Y</v>
      </c>
      <c r="CO21" s="34" t="str">
        <f aca="false">IFERROR(INDEX(設定!$D$20:$D$34,MATCH(A21,設定!$A$20:$A$34,0))&amp;"","")</f>
        <v/>
      </c>
    </row>
    <row r="22" customFormat="false" ht="15" hidden="true" customHeight="false" outlineLevel="0" collapsed="false">
      <c r="A22" s="22" t="s">
        <v>165</v>
      </c>
      <c r="B22" s="23" t="s">
        <v>184</v>
      </c>
      <c r="C22" s="10" t="str">
        <f aca="false">IF(G22="","未受領",IF(G22="なし","報告なし",IF(AL22="○","起票済",IF(OR(AK22="○",F22="一致",F22="入金不要"),"入金確認済","受領済"))))</f>
        <v>入金確認済</v>
      </c>
      <c r="D22" s="10" t="str">
        <f aca="false">IF(OR(G22="",G22="なし"),"―",IF(CN22="N","対象外",IF(AND(I22="",J22="",K22=""),"標報未入力",IF(CH22&gt;=設定!$B$4,"要確認","問題なし"))))</f>
        <v>標報未入力</v>
      </c>
      <c r="E22" s="24" t="str">
        <f aca="false">IF(OR(G22="",G22="なし",CI22="",CJ22=0),"―",IF(CJ22=CI22,"前月同額",IF(CI22=0,"―",IF(ABS(CJ22/CI22-1)&gt;=設定!$B$5,"変動大 "&amp;TEXT(CJ22/CI22-1,"+0%;-0%"),"〇"))))</f>
        <v>―</v>
      </c>
      <c r="F22" s="10" t="str">
        <f aca="false">IF(OR(G22="",G22="なし"),"―",IF(CJ22=0,"入金不要",IF(COUNT(AD22,AF22,AH22,AJ22)=0,IF(AK22="○","手動確認","未入金"),IF(AND(N(AD22)=AC22,IF(AE22="",TRUE(),N(AF22)=AE22),IF(AG22="",TRUE(),N(AH22)=AG22),IF(AI22="",TRUE(),N(AJ22)=AI22)),"一致","不一致"))))</f>
        <v>手動確認</v>
      </c>
      <c r="G22" s="25" t="s">
        <v>167</v>
      </c>
      <c r="H22" s="26"/>
      <c r="I22" s="27"/>
      <c r="J22" s="27"/>
      <c r="K22" s="27"/>
      <c r="L22" s="27"/>
      <c r="M22" s="27"/>
      <c r="N22" s="27"/>
      <c r="O22" s="27"/>
      <c r="P22" s="27"/>
      <c r="Q22" s="27"/>
      <c r="R22" s="27"/>
      <c r="S22" s="27"/>
      <c r="T22" s="27" t="n">
        <v>59475</v>
      </c>
      <c r="U22" s="27" t="n">
        <v>4875</v>
      </c>
      <c r="V22" s="27" t="n">
        <v>56</v>
      </c>
      <c r="W22" s="27" t="n">
        <v>36856</v>
      </c>
      <c r="X22" s="27" t="n">
        <v>5609</v>
      </c>
      <c r="Y22" s="27" t="n">
        <v>816</v>
      </c>
      <c r="Z22" s="27"/>
      <c r="AA22" s="10" t="str">
        <f aca="false">IFERROR(INDEX(設定!$E$61:$E$106,MATCH(B22,設定!$B$61:$B$106,0)),"合算")</f>
        <v>合算</v>
      </c>
      <c r="AB22" s="28"/>
      <c r="AC22" s="29" t="n">
        <f aca="false">IF(OR(G22="",G22="なし"),"",IF(AA22="合算",CJ22+N(Z22),IF(AA22="掛金・負担金別",(AY22+AZ22+BD22+BF22+BH22),SUM(AY22:BC22))))</f>
        <v>107687</v>
      </c>
      <c r="AD22" s="27"/>
      <c r="AE22" s="29" t="str">
        <f aca="false">IF(OR(G22="",G22="なし"),"",IF(AA22="掛金・負担金別",(BA22+BB22+BC22+BE22+BG22+BI22+N(Z22)),IF(AA22="経理区分別",BD22+BE22,"")))</f>
        <v/>
      </c>
      <c r="AF22" s="27"/>
      <c r="AG22" s="29" t="str">
        <f aca="false">IF(OR(G22="",G22="なし"),"",IF(AA22="経理区分別",BF22+BG22,""))</f>
        <v/>
      </c>
      <c r="AH22" s="27"/>
      <c r="AI22" s="29" t="str">
        <f aca="false">IF(OR(G22="",G22="なし"),"",IF(AA22="経理区分別",BH22+BI22+N(Z22),""))</f>
        <v/>
      </c>
      <c r="AJ22" s="27"/>
      <c r="AK22" s="26" t="s">
        <v>168</v>
      </c>
      <c r="AL22" s="26"/>
      <c r="AM22" s="30"/>
      <c r="AN22" s="31"/>
      <c r="AO22" s="31"/>
      <c r="AP22" s="31"/>
      <c r="AQ22" s="31"/>
      <c r="AR22" s="31"/>
      <c r="AS22" s="31"/>
      <c r="AT22" s="31"/>
      <c r="AU22" s="31"/>
      <c r="AV22" s="31"/>
      <c r="AW22" s="31"/>
      <c r="AX22" s="31"/>
      <c r="AY22" s="31" t="n">
        <f aca="false">IF($G22="",AN22,O22)</f>
        <v>0</v>
      </c>
      <c r="AZ22" s="31" t="n">
        <f aca="false">IF($G22="",AO22,P22)</f>
        <v>0</v>
      </c>
      <c r="BA22" s="31" t="n">
        <f aca="false">IF($G22="",AP22,T22)</f>
        <v>59475</v>
      </c>
      <c r="BB22" s="31" t="n">
        <f aca="false">IF($G22="",AQ22,U22)</f>
        <v>4875</v>
      </c>
      <c r="BC22" s="31" t="n">
        <f aca="false">IF($G22="",AR22,V22)</f>
        <v>56</v>
      </c>
      <c r="BD22" s="31" t="n">
        <f aca="false">IF($G22="",AS22,Q22)</f>
        <v>0</v>
      </c>
      <c r="BE22" s="31" t="n">
        <f aca="false">IF($G22="",AT22,W22)</f>
        <v>36856</v>
      </c>
      <c r="BF22" s="31" t="n">
        <f aca="false">IF($G22="",AU22,R22)</f>
        <v>0</v>
      </c>
      <c r="BG22" s="31" t="n">
        <f aca="false">IF($G22="",AV22,X22)</f>
        <v>5609</v>
      </c>
      <c r="BH22" s="31" t="n">
        <f aca="false">IF($G22="",AW22,S22)</f>
        <v>0</v>
      </c>
      <c r="BI22" s="31" t="n">
        <f aca="false">IF($G22="",AX22,Y22)</f>
        <v>816</v>
      </c>
      <c r="BJ22" s="31" t="n">
        <f aca="false">IF(CK22="N",BR22,ROUNDDOWN((I22-L22)*設定!$B$10/1000,0)+ROUNDDOWN((I22-L22)*設定!$B$11/1000,0))</f>
        <v>0</v>
      </c>
      <c r="BK22" s="31" t="n">
        <f aca="false">ROUNDDOWN((I22-L22)*設定!$C$10/1000,0)+ROUNDDOWN((I22-L22)*設定!$C$11/1000,0)+ROUNDDOWN(I22*設定!$C$12/1000,0)+IF(CL22="市局型",ROUNDDOWN(I22*設定!$C$16/1000,0),0)</f>
        <v>0</v>
      </c>
      <c r="BL22" s="31" t="n">
        <f aca="false">IF(CK22="N",BT22,ROUNDDOWN((J22-M22)*設定!$B$13/1000,0))</f>
        <v>0</v>
      </c>
      <c r="BM22" s="31" t="n">
        <f aca="false">ROUNDDOWN((J22-M22)*設定!$C$13/1000,0)+IF(CL22="市局型",ROUNDDOWN(J22*設定!$C$17/1000,0),0)</f>
        <v>0</v>
      </c>
      <c r="BN22" s="31" t="n">
        <f aca="false">IF(CK22="N",BV22,ROUNDDOWN((K22-N22)*設定!$B$14/1000,0))</f>
        <v>0</v>
      </c>
      <c r="BO22" s="31" t="n">
        <f aca="false">ROUNDDOWN((K22-N22)*設定!$C$14/1000,0)</f>
        <v>0</v>
      </c>
      <c r="BP22" s="31" t="n">
        <f aca="false">IF(CK22="N",BX22,ROUNDDOWN((J22-M22)*設定!$B$15/1000,0))</f>
        <v>0</v>
      </c>
      <c r="BQ22" s="31" t="n">
        <f aca="false">ROUNDDOWN((J22-M22)*設定!$C$15/1000,0)</f>
        <v>0</v>
      </c>
      <c r="BR22" s="31" t="n">
        <f aca="false">O22+P22</f>
        <v>0</v>
      </c>
      <c r="BS22" s="31" t="n">
        <f aca="false">T22+U22+V22</f>
        <v>64406</v>
      </c>
      <c r="BT22" s="31" t="n">
        <f aca="false">Q22</f>
        <v>0</v>
      </c>
      <c r="BU22" s="31" t="n">
        <f aca="false">W22</f>
        <v>36856</v>
      </c>
      <c r="BV22" s="31" t="n">
        <f aca="false">R22</f>
        <v>0</v>
      </c>
      <c r="BW22" s="31" t="n">
        <f aca="false">X22</f>
        <v>5609</v>
      </c>
      <c r="BX22" s="31" t="n">
        <f aca="false">S22</f>
        <v>0</v>
      </c>
      <c r="BY22" s="31" t="n">
        <f aca="false">Y22</f>
        <v>816</v>
      </c>
      <c r="BZ22" s="32" t="n">
        <f aca="false">IF(BJ22=0,IF(BR22=0,0,1),(BR22-BJ22)/BJ22)</f>
        <v>0</v>
      </c>
      <c r="CA22" s="32" t="n">
        <f aca="false">IF(BK22=0,IF(BS22=0,0,1),(BS22-BK22)/BK22)</f>
        <v>1</v>
      </c>
      <c r="CB22" s="32" t="n">
        <f aca="false">IF(BL22=0,IF(BT22=0,0,1),(BT22-BL22)/BL22)</f>
        <v>0</v>
      </c>
      <c r="CC22" s="32" t="n">
        <f aca="false">IF(BM22=0,IF(BU22=0,0,1),(BU22-BM22)/BM22)</f>
        <v>1</v>
      </c>
      <c r="CD22" s="32" t="n">
        <f aca="false">IF(BN22=0,IF(BV22=0,0,1),(BV22-BN22)/BN22)</f>
        <v>0</v>
      </c>
      <c r="CE22" s="32" t="n">
        <f aca="false">IF(BO22=0,IF(BW22=0,0,1),(BW22-BO22)/BO22)</f>
        <v>1</v>
      </c>
      <c r="CF22" s="32" t="n">
        <f aca="false">IF(BP22=0,IF(BX22=0,0,1),(BX22-BP22)/BP22)</f>
        <v>0</v>
      </c>
      <c r="CG22" s="32" t="n">
        <f aca="false">IF(BQ22=0,IF(BY22=0,0,1),(BY22-BQ22)/BQ22)</f>
        <v>1</v>
      </c>
      <c r="CH22" s="32" t="n">
        <f aca="false">MAX(MAX(BZ22:CG22),-MIN(BZ22:CG22))</f>
        <v>1</v>
      </c>
      <c r="CI22" s="31" t="str">
        <f aca="false">IF(CO22="","",SUMIFS($CJ$7:$CJ$696,$A$7:$A$696,CO22,$B$7:$B$696,B22))</f>
        <v/>
      </c>
      <c r="CJ22" s="31" t="n">
        <f aca="false">SUM(AY22:BI22)</f>
        <v>107687</v>
      </c>
      <c r="CK22" s="31" t="str">
        <f aca="false">IFERROR(INDEX(設定!$F$61:$F$106,MATCH(B22,設定!$B$61:$B$106,0)),"Y")</f>
        <v>N</v>
      </c>
      <c r="CL22" s="31" t="str">
        <f aca="false">IFERROR(INDEX(設定!$G$61:$G$106,MATCH(B22,設定!$B$61:$B$106,0)),"外郭型")</f>
        <v>外郭型</v>
      </c>
      <c r="CM22" s="33" t="str">
        <f aca="false">A22&amp;"|"&amp;B22</f>
        <v>2026-04 月例|原爆障害対策協議会</v>
      </c>
      <c r="CN22" s="34" t="str">
        <f aca="false">IFERROR(INDEX(設定!$D$61:$D$106,MATCH(B22,設定!$B$61:$B$106,0)),"Y")</f>
        <v>Y</v>
      </c>
      <c r="CO22" s="34" t="str">
        <f aca="false">IFERROR(INDEX(設定!$D$20:$D$34,MATCH(A22,設定!$A$20:$A$34,0))&amp;"","")</f>
        <v/>
      </c>
    </row>
    <row r="23" customFormat="false" ht="15" hidden="true" customHeight="false" outlineLevel="0" collapsed="false">
      <c r="A23" s="22" t="s">
        <v>165</v>
      </c>
      <c r="B23" s="23" t="s">
        <v>185</v>
      </c>
      <c r="C23" s="10" t="str">
        <f aca="false">IF(G23="","未受領",IF(G23="なし","報告なし",IF(AL23="○","起票済",IF(OR(AK23="○",F23="一致",F23="入金不要"),"入金確認済","受領済"))))</f>
        <v>入金確認済</v>
      </c>
      <c r="D23" s="10" t="str">
        <f aca="false">IF(OR(G23="",G23="なし"),"―",IF(CN23="N","対象外",IF(AND(I23="",J23="",K23=""),"標報未入力",IF(CH23&gt;=設定!$B$4,"要確認","問題なし"))))</f>
        <v>標報未入力</v>
      </c>
      <c r="E23" s="24" t="str">
        <f aca="false">IF(OR(G23="",G23="なし",CI23="",CJ23=0),"―",IF(CJ23=CI23,"前月同額",IF(CI23=0,"―",IF(ABS(CJ23/CI23-1)&gt;=設定!$B$5,"変動大 "&amp;TEXT(CJ23/CI23-1,"+0%;-0%"),"〇"))))</f>
        <v>―</v>
      </c>
      <c r="F23" s="10" t="str">
        <f aca="false">IF(OR(G23="",G23="なし"),"―",IF(CJ23=0,"入金不要",IF(COUNT(AD23,AF23,AH23,AJ23)=0,IF(AK23="○","手動確認","未入金"),IF(AND(N(AD23)=AC23,IF(AE23="",TRUE(),N(AF23)=AE23),IF(AG23="",TRUE(),N(AH23)=AG23),IF(AI23="",TRUE(),N(AJ23)=AI23)),"一致","不一致"))))</f>
        <v>手動確認</v>
      </c>
      <c r="G23" s="25" t="s">
        <v>167</v>
      </c>
      <c r="H23" s="26"/>
      <c r="I23" s="27"/>
      <c r="J23" s="27"/>
      <c r="K23" s="27"/>
      <c r="L23" s="27"/>
      <c r="M23" s="27"/>
      <c r="N23" s="27"/>
      <c r="O23" s="27"/>
      <c r="P23" s="27"/>
      <c r="Q23" s="27"/>
      <c r="R23" s="27"/>
      <c r="S23" s="27"/>
      <c r="T23" s="27" t="n">
        <v>417240</v>
      </c>
      <c r="U23" s="27" t="n">
        <v>34200</v>
      </c>
      <c r="V23" s="27" t="n">
        <v>395</v>
      </c>
      <c r="W23" s="27" t="n">
        <v>236708</v>
      </c>
      <c r="X23" s="27" t="n">
        <v>30968</v>
      </c>
      <c r="Y23" s="27" t="n">
        <v>5243</v>
      </c>
      <c r="Z23" s="27"/>
      <c r="AA23" s="10" t="str">
        <f aca="false">IFERROR(INDEX(設定!$E$61:$E$106,MATCH(B23,設定!$B$61:$B$106,0)),"合算")</f>
        <v>合算</v>
      </c>
      <c r="AB23" s="28"/>
      <c r="AC23" s="29" t="n">
        <f aca="false">IF(OR(G23="",G23="なし"),"",IF(AA23="合算",CJ23+N(Z23),IF(AA23="掛金・負担金別",(AY23+AZ23+BD23+BF23+BH23),SUM(AY23:BC23))))</f>
        <v>724754</v>
      </c>
      <c r="AD23" s="27"/>
      <c r="AE23" s="29" t="str">
        <f aca="false">IF(OR(G23="",G23="なし"),"",IF(AA23="掛金・負担金別",(BA23+BB23+BC23+BE23+BG23+BI23+N(Z23)),IF(AA23="経理区分別",BD23+BE23,"")))</f>
        <v/>
      </c>
      <c r="AF23" s="27"/>
      <c r="AG23" s="29" t="str">
        <f aca="false">IF(OR(G23="",G23="なし"),"",IF(AA23="経理区分別",BF23+BG23,""))</f>
        <v/>
      </c>
      <c r="AH23" s="27"/>
      <c r="AI23" s="29" t="str">
        <f aca="false">IF(OR(G23="",G23="なし"),"",IF(AA23="経理区分別",BH23+BI23+N(Z23),""))</f>
        <v/>
      </c>
      <c r="AJ23" s="27"/>
      <c r="AK23" s="26" t="s">
        <v>168</v>
      </c>
      <c r="AL23" s="26"/>
      <c r="AM23" s="30"/>
      <c r="AN23" s="31"/>
      <c r="AO23" s="31"/>
      <c r="AP23" s="31"/>
      <c r="AQ23" s="31"/>
      <c r="AR23" s="31"/>
      <c r="AS23" s="31"/>
      <c r="AT23" s="31"/>
      <c r="AU23" s="31"/>
      <c r="AV23" s="31"/>
      <c r="AW23" s="31"/>
      <c r="AX23" s="31"/>
      <c r="AY23" s="31" t="n">
        <f aca="false">IF($G23="",AN23,O23)</f>
        <v>0</v>
      </c>
      <c r="AZ23" s="31" t="n">
        <f aca="false">IF($G23="",AO23,P23)</f>
        <v>0</v>
      </c>
      <c r="BA23" s="31" t="n">
        <f aca="false">IF($G23="",AP23,T23)</f>
        <v>417240</v>
      </c>
      <c r="BB23" s="31" t="n">
        <f aca="false">IF($G23="",AQ23,U23)</f>
        <v>34200</v>
      </c>
      <c r="BC23" s="31" t="n">
        <f aca="false">IF($G23="",AR23,V23)</f>
        <v>395</v>
      </c>
      <c r="BD23" s="31" t="n">
        <f aca="false">IF($G23="",AS23,Q23)</f>
        <v>0</v>
      </c>
      <c r="BE23" s="31" t="n">
        <f aca="false">IF($G23="",AT23,W23)</f>
        <v>236708</v>
      </c>
      <c r="BF23" s="31" t="n">
        <f aca="false">IF($G23="",AU23,R23)</f>
        <v>0</v>
      </c>
      <c r="BG23" s="31" t="n">
        <f aca="false">IF($G23="",AV23,X23)</f>
        <v>30968</v>
      </c>
      <c r="BH23" s="31" t="n">
        <f aca="false">IF($G23="",AW23,S23)</f>
        <v>0</v>
      </c>
      <c r="BI23" s="31" t="n">
        <f aca="false">IF($G23="",AX23,Y23)</f>
        <v>5243</v>
      </c>
      <c r="BJ23" s="31" t="n">
        <f aca="false">IF(CK23="N",BR23,ROUNDDOWN((I23-L23)*設定!$B$10/1000,0)+ROUNDDOWN((I23-L23)*設定!$B$11/1000,0))</f>
        <v>0</v>
      </c>
      <c r="BK23" s="31" t="n">
        <f aca="false">ROUNDDOWN((I23-L23)*設定!$C$10/1000,0)+ROUNDDOWN((I23-L23)*設定!$C$11/1000,0)+ROUNDDOWN(I23*設定!$C$12/1000,0)+IF(CL23="市局型",ROUNDDOWN(I23*設定!$C$16/1000,0),0)</f>
        <v>0</v>
      </c>
      <c r="BL23" s="31" t="n">
        <f aca="false">IF(CK23="N",BT23,ROUNDDOWN((J23-M23)*設定!$B$13/1000,0))</f>
        <v>0</v>
      </c>
      <c r="BM23" s="31" t="n">
        <f aca="false">ROUNDDOWN((J23-M23)*設定!$C$13/1000,0)+IF(CL23="市局型",ROUNDDOWN(J23*設定!$C$17/1000,0),0)</f>
        <v>0</v>
      </c>
      <c r="BN23" s="31" t="n">
        <f aca="false">IF(CK23="N",BV23,ROUNDDOWN((K23-N23)*設定!$B$14/1000,0))</f>
        <v>0</v>
      </c>
      <c r="BO23" s="31" t="n">
        <f aca="false">ROUNDDOWN((K23-N23)*設定!$C$14/1000,0)</f>
        <v>0</v>
      </c>
      <c r="BP23" s="31" t="n">
        <f aca="false">IF(CK23="N",BX23,ROUNDDOWN((J23-M23)*設定!$B$15/1000,0))</f>
        <v>0</v>
      </c>
      <c r="BQ23" s="31" t="n">
        <f aca="false">ROUNDDOWN((J23-M23)*設定!$C$15/1000,0)</f>
        <v>0</v>
      </c>
      <c r="BR23" s="31" t="n">
        <f aca="false">O23+P23</f>
        <v>0</v>
      </c>
      <c r="BS23" s="31" t="n">
        <f aca="false">T23+U23+V23</f>
        <v>451835</v>
      </c>
      <c r="BT23" s="31" t="n">
        <f aca="false">Q23</f>
        <v>0</v>
      </c>
      <c r="BU23" s="31" t="n">
        <f aca="false">W23</f>
        <v>236708</v>
      </c>
      <c r="BV23" s="31" t="n">
        <f aca="false">R23</f>
        <v>0</v>
      </c>
      <c r="BW23" s="31" t="n">
        <f aca="false">X23</f>
        <v>30968</v>
      </c>
      <c r="BX23" s="31" t="n">
        <f aca="false">S23</f>
        <v>0</v>
      </c>
      <c r="BY23" s="31" t="n">
        <f aca="false">Y23</f>
        <v>5243</v>
      </c>
      <c r="BZ23" s="32" t="n">
        <f aca="false">IF(BJ23=0,IF(BR23=0,0,1),(BR23-BJ23)/BJ23)</f>
        <v>0</v>
      </c>
      <c r="CA23" s="32" t="n">
        <f aca="false">IF(BK23=0,IF(BS23=0,0,1),(BS23-BK23)/BK23)</f>
        <v>1</v>
      </c>
      <c r="CB23" s="32" t="n">
        <f aca="false">IF(BL23=0,IF(BT23=0,0,1),(BT23-BL23)/BL23)</f>
        <v>0</v>
      </c>
      <c r="CC23" s="32" t="n">
        <f aca="false">IF(BM23=0,IF(BU23=0,0,1),(BU23-BM23)/BM23)</f>
        <v>1</v>
      </c>
      <c r="CD23" s="32" t="n">
        <f aca="false">IF(BN23=0,IF(BV23=0,0,1),(BV23-BN23)/BN23)</f>
        <v>0</v>
      </c>
      <c r="CE23" s="32" t="n">
        <f aca="false">IF(BO23=0,IF(BW23=0,0,1),(BW23-BO23)/BO23)</f>
        <v>1</v>
      </c>
      <c r="CF23" s="32" t="n">
        <f aca="false">IF(BP23=0,IF(BX23=0,0,1),(BX23-BP23)/BP23)</f>
        <v>0</v>
      </c>
      <c r="CG23" s="32" t="n">
        <f aca="false">IF(BQ23=0,IF(BY23=0,0,1),(BY23-BQ23)/BQ23)</f>
        <v>1</v>
      </c>
      <c r="CH23" s="32" t="n">
        <f aca="false">MAX(MAX(BZ23:CG23),-MIN(BZ23:CG23))</f>
        <v>1</v>
      </c>
      <c r="CI23" s="31" t="str">
        <f aca="false">IF(CO23="","",SUMIFS($CJ$7:$CJ$696,$A$7:$A$696,CO23,$B$7:$B$696,B23))</f>
        <v/>
      </c>
      <c r="CJ23" s="31" t="n">
        <f aca="false">SUM(AY23:BI23)</f>
        <v>724754</v>
      </c>
      <c r="CK23" s="31" t="str">
        <f aca="false">IFERROR(INDEX(設定!$F$61:$F$106,MATCH(B23,設定!$B$61:$B$106,0)),"Y")</f>
        <v>N</v>
      </c>
      <c r="CL23" s="31" t="str">
        <f aca="false">IFERROR(INDEX(設定!$G$61:$G$106,MATCH(B23,設定!$B$61:$B$106,0)),"外郭型")</f>
        <v>外郭型</v>
      </c>
      <c r="CM23" s="33" t="str">
        <f aca="false">A23&amp;"|"&amp;B23</f>
        <v>2026-04 月例|産業振興センター</v>
      </c>
      <c r="CN23" s="34" t="str">
        <f aca="false">IFERROR(INDEX(設定!$D$61:$D$106,MATCH(B23,設定!$B$61:$B$106,0)),"Y")</f>
        <v>Y</v>
      </c>
      <c r="CO23" s="34" t="str">
        <f aca="false">IFERROR(INDEX(設定!$D$20:$D$34,MATCH(A23,設定!$A$20:$A$34,0))&amp;"","")</f>
        <v/>
      </c>
    </row>
    <row r="24" customFormat="false" ht="15" hidden="true" customHeight="false" outlineLevel="0" collapsed="false">
      <c r="A24" s="22" t="s">
        <v>165</v>
      </c>
      <c r="B24" s="23" t="s">
        <v>186</v>
      </c>
      <c r="C24" s="10" t="str">
        <f aca="false">IF(G24="","未受領",IF(G24="なし","報告なし",IF(AL24="○","起票済",IF(OR(AK24="○",F24="一致",F24="入金不要"),"入金確認済","受領済"))))</f>
        <v>入金確認済</v>
      </c>
      <c r="D24" s="10" t="str">
        <f aca="false">IF(OR(G24="",G24="なし"),"―",IF(CN24="N","対象外",IF(AND(I24="",J24="",K24=""),"標報未入力",IF(CH24&gt;=設定!$B$4,"要確認","問題なし"))))</f>
        <v>標報未入力</v>
      </c>
      <c r="E24" s="24" t="str">
        <f aca="false">IF(OR(G24="",G24="なし",CI24="",CJ24=0),"―",IF(CJ24=CI24,"前月同額",IF(CI24=0,"―",IF(ABS(CJ24/CI24-1)&gt;=設定!$B$5,"変動大 "&amp;TEXT(CJ24/CI24-1,"+0%;-0%"),"〇"))))</f>
        <v>―</v>
      </c>
      <c r="F24" s="10" t="str">
        <f aca="false">IF(OR(G24="",G24="なし"),"―",IF(CJ24=0,"入金不要",IF(COUNT(AD24,AF24,AH24,AJ24)=0,IF(AK24="○","手動確認","未入金"),IF(AND(N(AD24)=AC24,IF(AE24="",TRUE(),N(AF24)=AE24),IF(AG24="",TRUE(),N(AH24)=AG24),IF(AI24="",TRUE(),N(AJ24)=AI24)),"一致","不一致"))))</f>
        <v>手動確認</v>
      </c>
      <c r="G24" s="25" t="s">
        <v>167</v>
      </c>
      <c r="H24" s="26"/>
      <c r="I24" s="27"/>
      <c r="J24" s="27"/>
      <c r="K24" s="27"/>
      <c r="L24" s="27"/>
      <c r="M24" s="27"/>
      <c r="N24" s="27"/>
      <c r="O24" s="27"/>
      <c r="P24" s="27"/>
      <c r="Q24" s="27"/>
      <c r="R24" s="27"/>
      <c r="S24" s="27"/>
      <c r="T24" s="27" t="n">
        <v>40260</v>
      </c>
      <c r="U24" s="27" t="n">
        <v>3300</v>
      </c>
      <c r="V24" s="27" t="n">
        <v>38</v>
      </c>
      <c r="W24" s="27" t="n">
        <v>22840</v>
      </c>
      <c r="X24" s="27" t="n">
        <v>3476</v>
      </c>
      <c r="Y24" s="27" t="n">
        <v>506</v>
      </c>
      <c r="Z24" s="27"/>
      <c r="AA24" s="10" t="str">
        <f aca="false">IFERROR(INDEX(設定!$E$61:$E$106,MATCH(B24,設定!$B$61:$B$106,0)),"合算")</f>
        <v>合算</v>
      </c>
      <c r="AB24" s="28"/>
      <c r="AC24" s="29" t="n">
        <f aca="false">IF(OR(G24="",G24="なし"),"",IF(AA24="合算",CJ24+N(Z24),IF(AA24="掛金・負担金別",(AY24+AZ24+BD24+BF24+BH24),SUM(AY24:BC24))))</f>
        <v>70420</v>
      </c>
      <c r="AD24" s="27"/>
      <c r="AE24" s="29" t="str">
        <f aca="false">IF(OR(G24="",G24="なし"),"",IF(AA24="掛金・負担金別",(BA24+BB24+BC24+BE24+BG24+BI24+N(Z24)),IF(AA24="経理区分別",BD24+BE24,"")))</f>
        <v/>
      </c>
      <c r="AF24" s="27"/>
      <c r="AG24" s="29" t="str">
        <f aca="false">IF(OR(G24="",G24="なし"),"",IF(AA24="経理区分別",BF24+BG24,""))</f>
        <v/>
      </c>
      <c r="AH24" s="27"/>
      <c r="AI24" s="29" t="str">
        <f aca="false">IF(OR(G24="",G24="なし"),"",IF(AA24="経理区分別",BH24+BI24+N(Z24),""))</f>
        <v/>
      </c>
      <c r="AJ24" s="27"/>
      <c r="AK24" s="26" t="s">
        <v>168</v>
      </c>
      <c r="AL24" s="26"/>
      <c r="AM24" s="30"/>
      <c r="AN24" s="31"/>
      <c r="AO24" s="31"/>
      <c r="AP24" s="31"/>
      <c r="AQ24" s="31"/>
      <c r="AR24" s="31"/>
      <c r="AS24" s="31"/>
      <c r="AT24" s="31"/>
      <c r="AU24" s="31"/>
      <c r="AV24" s="31"/>
      <c r="AW24" s="31"/>
      <c r="AX24" s="31"/>
      <c r="AY24" s="31" t="n">
        <f aca="false">IF($G24="",AN24,O24)</f>
        <v>0</v>
      </c>
      <c r="AZ24" s="31" t="n">
        <f aca="false">IF($G24="",AO24,P24)</f>
        <v>0</v>
      </c>
      <c r="BA24" s="31" t="n">
        <f aca="false">IF($G24="",AP24,T24)</f>
        <v>40260</v>
      </c>
      <c r="BB24" s="31" t="n">
        <f aca="false">IF($G24="",AQ24,U24)</f>
        <v>3300</v>
      </c>
      <c r="BC24" s="31" t="n">
        <f aca="false">IF($G24="",AR24,V24)</f>
        <v>38</v>
      </c>
      <c r="BD24" s="31" t="n">
        <f aca="false">IF($G24="",AS24,Q24)</f>
        <v>0</v>
      </c>
      <c r="BE24" s="31" t="n">
        <f aca="false">IF($G24="",AT24,W24)</f>
        <v>22840</v>
      </c>
      <c r="BF24" s="31" t="n">
        <f aca="false">IF($G24="",AU24,R24)</f>
        <v>0</v>
      </c>
      <c r="BG24" s="31" t="n">
        <f aca="false">IF($G24="",AV24,X24)</f>
        <v>3476</v>
      </c>
      <c r="BH24" s="31" t="n">
        <f aca="false">IF($G24="",AW24,S24)</f>
        <v>0</v>
      </c>
      <c r="BI24" s="31" t="n">
        <f aca="false">IF($G24="",AX24,Y24)</f>
        <v>506</v>
      </c>
      <c r="BJ24" s="31" t="n">
        <f aca="false">IF(CK24="N",BR24,ROUNDDOWN((I24-L24)*設定!$B$10/1000,0)+ROUNDDOWN((I24-L24)*設定!$B$11/1000,0))</f>
        <v>0</v>
      </c>
      <c r="BK24" s="31" t="n">
        <f aca="false">ROUNDDOWN((I24-L24)*設定!$C$10/1000,0)+ROUNDDOWN((I24-L24)*設定!$C$11/1000,0)+ROUNDDOWN(I24*設定!$C$12/1000,0)+IF(CL24="市局型",ROUNDDOWN(I24*設定!$C$16/1000,0),0)</f>
        <v>0</v>
      </c>
      <c r="BL24" s="31" t="n">
        <f aca="false">IF(CK24="N",BT24,ROUNDDOWN((J24-M24)*設定!$B$13/1000,0))</f>
        <v>0</v>
      </c>
      <c r="BM24" s="31" t="n">
        <f aca="false">ROUNDDOWN((J24-M24)*設定!$C$13/1000,0)+IF(CL24="市局型",ROUNDDOWN(J24*設定!$C$17/1000,0),0)</f>
        <v>0</v>
      </c>
      <c r="BN24" s="31" t="n">
        <f aca="false">IF(CK24="N",BV24,ROUNDDOWN((K24-N24)*設定!$B$14/1000,0))</f>
        <v>0</v>
      </c>
      <c r="BO24" s="31" t="n">
        <f aca="false">ROUNDDOWN((K24-N24)*設定!$C$14/1000,0)</f>
        <v>0</v>
      </c>
      <c r="BP24" s="31" t="n">
        <f aca="false">IF(CK24="N",BX24,ROUNDDOWN((J24-M24)*設定!$B$15/1000,0))</f>
        <v>0</v>
      </c>
      <c r="BQ24" s="31" t="n">
        <f aca="false">ROUNDDOWN((J24-M24)*設定!$C$15/1000,0)</f>
        <v>0</v>
      </c>
      <c r="BR24" s="31" t="n">
        <f aca="false">O24+P24</f>
        <v>0</v>
      </c>
      <c r="BS24" s="31" t="n">
        <f aca="false">T24+U24+V24</f>
        <v>43598</v>
      </c>
      <c r="BT24" s="31" t="n">
        <f aca="false">Q24</f>
        <v>0</v>
      </c>
      <c r="BU24" s="31" t="n">
        <f aca="false">W24</f>
        <v>22840</v>
      </c>
      <c r="BV24" s="31" t="n">
        <f aca="false">R24</f>
        <v>0</v>
      </c>
      <c r="BW24" s="31" t="n">
        <f aca="false">X24</f>
        <v>3476</v>
      </c>
      <c r="BX24" s="31" t="n">
        <f aca="false">S24</f>
        <v>0</v>
      </c>
      <c r="BY24" s="31" t="n">
        <f aca="false">Y24</f>
        <v>506</v>
      </c>
      <c r="BZ24" s="32" t="n">
        <f aca="false">IF(BJ24=0,IF(BR24=0,0,1),(BR24-BJ24)/BJ24)</f>
        <v>0</v>
      </c>
      <c r="CA24" s="32" t="n">
        <f aca="false">IF(BK24=0,IF(BS24=0,0,1),(BS24-BK24)/BK24)</f>
        <v>1</v>
      </c>
      <c r="CB24" s="32" t="n">
        <f aca="false">IF(BL24=0,IF(BT24=0,0,1),(BT24-BL24)/BL24)</f>
        <v>0</v>
      </c>
      <c r="CC24" s="32" t="n">
        <f aca="false">IF(BM24=0,IF(BU24=0,0,1),(BU24-BM24)/BM24)</f>
        <v>1</v>
      </c>
      <c r="CD24" s="32" t="n">
        <f aca="false">IF(BN24=0,IF(BV24=0,0,1),(BV24-BN24)/BN24)</f>
        <v>0</v>
      </c>
      <c r="CE24" s="32" t="n">
        <f aca="false">IF(BO24=0,IF(BW24=0,0,1),(BW24-BO24)/BO24)</f>
        <v>1</v>
      </c>
      <c r="CF24" s="32" t="n">
        <f aca="false">IF(BP24=0,IF(BX24=0,0,1),(BX24-BP24)/BP24)</f>
        <v>0</v>
      </c>
      <c r="CG24" s="32" t="n">
        <f aca="false">IF(BQ24=0,IF(BY24=0,0,1),(BY24-BQ24)/BQ24)</f>
        <v>1</v>
      </c>
      <c r="CH24" s="32" t="n">
        <f aca="false">MAX(MAX(BZ24:CG24),-MIN(BZ24:CG24))</f>
        <v>1</v>
      </c>
      <c r="CI24" s="31" t="str">
        <f aca="false">IF(CO24="","",SUMIFS($CJ$7:$CJ$696,$A$7:$A$696,CO24,$B$7:$B$696,B24))</f>
        <v/>
      </c>
      <c r="CJ24" s="31" t="n">
        <f aca="false">SUM(AY24:BI24)</f>
        <v>70420</v>
      </c>
      <c r="CK24" s="31" t="str">
        <f aca="false">IFERROR(INDEX(設定!$F$61:$F$106,MATCH(B24,設定!$B$61:$B$106,0)),"Y")</f>
        <v>N</v>
      </c>
      <c r="CL24" s="31" t="str">
        <f aca="false">IFERROR(INDEX(設定!$G$61:$G$106,MATCH(B24,設定!$B$61:$B$106,0)),"外郭型")</f>
        <v>外郭型</v>
      </c>
      <c r="CM24" s="33" t="str">
        <f aca="false">A24&amp;"|"&amp;B24</f>
        <v>2026-04 月例|ひろしま産業振興</v>
      </c>
      <c r="CN24" s="34" t="str">
        <f aca="false">IFERROR(INDEX(設定!$D$61:$D$106,MATCH(B24,設定!$B$61:$B$106,0)),"Y")</f>
        <v>Y</v>
      </c>
      <c r="CO24" s="34" t="str">
        <f aca="false">IFERROR(INDEX(設定!$D$20:$D$34,MATCH(A24,設定!$A$20:$A$34,0))&amp;"","")</f>
        <v/>
      </c>
    </row>
    <row r="25" customFormat="false" ht="15" hidden="true" customHeight="false" outlineLevel="0" collapsed="false">
      <c r="A25" s="22" t="s">
        <v>165</v>
      </c>
      <c r="B25" s="23" t="s">
        <v>187</v>
      </c>
      <c r="C25" s="10" t="str">
        <f aca="false">IF(G25="","未受領",IF(G25="なし","報告なし",IF(AL25="○","起票済",IF(OR(AK25="○",F25="一致",F25="入金不要"),"入金確認済","受領済"))))</f>
        <v>入金確認済</v>
      </c>
      <c r="D25" s="10" t="str">
        <f aca="false">IF(OR(G25="",G25="なし"),"―",IF(CN25="N","対象外",IF(AND(I25="",J25="",K25=""),"標報未入力",IF(CH25&gt;=設定!$B$4,"要確認","問題なし"))))</f>
        <v>標報未入力</v>
      </c>
      <c r="E25" s="24" t="str">
        <f aca="false">IF(OR(G25="",G25="なし",CI25="",CJ25=0),"―",IF(CJ25=CI25,"前月同額",IF(CI25=0,"―",IF(ABS(CJ25/CI25-1)&gt;=設定!$B$5,"変動大 "&amp;TEXT(CJ25/CI25-1,"+0%;-0%"),"〇"))))</f>
        <v>―</v>
      </c>
      <c r="F25" s="10" t="str">
        <f aca="false">IF(OR(G25="",G25="なし"),"―",IF(CJ25=0,"入金不要",IF(COUNT(AD25,AF25,AH25,AJ25)=0,IF(AK25="○","手動確認","未入金"),IF(AND(N(AD25)=AC25,IF(AE25="",TRUE(),N(AF25)=AE25),IF(AG25="",TRUE(),N(AH25)=AG25),IF(AI25="",TRUE(),N(AJ25)=AI25)),"一致","不一致"))))</f>
        <v>入金不要</v>
      </c>
      <c r="G25" s="25" t="s">
        <v>167</v>
      </c>
      <c r="H25" s="26"/>
      <c r="I25" s="27"/>
      <c r="J25" s="27"/>
      <c r="K25" s="27"/>
      <c r="L25" s="27"/>
      <c r="M25" s="27"/>
      <c r="N25" s="27"/>
      <c r="O25" s="27"/>
      <c r="P25" s="27"/>
      <c r="Q25" s="27"/>
      <c r="R25" s="27"/>
      <c r="S25" s="27"/>
      <c r="T25" s="27" t="n">
        <v>0</v>
      </c>
      <c r="U25" s="27" t="n">
        <v>0</v>
      </c>
      <c r="V25" s="27" t="n">
        <v>0</v>
      </c>
      <c r="W25" s="27" t="n">
        <v>0</v>
      </c>
      <c r="X25" s="27" t="n">
        <v>0</v>
      </c>
      <c r="Y25" s="27" t="n">
        <v>0</v>
      </c>
      <c r="Z25" s="27"/>
      <c r="AA25" s="10" t="str">
        <f aca="false">IFERROR(INDEX(設定!$E$61:$E$106,MATCH(B25,設定!$B$61:$B$106,0)),"合算")</f>
        <v>合算</v>
      </c>
      <c r="AB25" s="28"/>
      <c r="AC25" s="29" t="n">
        <f aca="false">IF(OR(G25="",G25="なし"),"",IF(AA25="合算",CJ25+N(Z25),IF(AA25="掛金・負担金別",(AY25+AZ25+BD25+BF25+BH25),SUM(AY25:BC25))))</f>
        <v>0</v>
      </c>
      <c r="AD25" s="27"/>
      <c r="AE25" s="29" t="str">
        <f aca="false">IF(OR(G25="",G25="なし"),"",IF(AA25="掛金・負担金別",(BA25+BB25+BC25+BE25+BG25+BI25+N(Z25)),IF(AA25="経理区分別",BD25+BE25,"")))</f>
        <v/>
      </c>
      <c r="AF25" s="27"/>
      <c r="AG25" s="29" t="str">
        <f aca="false">IF(OR(G25="",G25="なし"),"",IF(AA25="経理区分別",BF25+BG25,""))</f>
        <v/>
      </c>
      <c r="AH25" s="27"/>
      <c r="AI25" s="29" t="str">
        <f aca="false">IF(OR(G25="",G25="なし"),"",IF(AA25="経理区分別",BH25+BI25+N(Z25),""))</f>
        <v/>
      </c>
      <c r="AJ25" s="27"/>
      <c r="AK25" s="26" t="s">
        <v>168</v>
      </c>
      <c r="AL25" s="26"/>
      <c r="AM25" s="30"/>
      <c r="AN25" s="31"/>
      <c r="AO25" s="31"/>
      <c r="AP25" s="31"/>
      <c r="AQ25" s="31"/>
      <c r="AR25" s="31"/>
      <c r="AS25" s="31"/>
      <c r="AT25" s="31"/>
      <c r="AU25" s="31"/>
      <c r="AV25" s="31"/>
      <c r="AW25" s="31"/>
      <c r="AX25" s="31"/>
      <c r="AY25" s="31" t="n">
        <f aca="false">IF($G25="",AN25,O25)</f>
        <v>0</v>
      </c>
      <c r="AZ25" s="31" t="n">
        <f aca="false">IF($G25="",AO25,P25)</f>
        <v>0</v>
      </c>
      <c r="BA25" s="31" t="n">
        <f aca="false">IF($G25="",AP25,T25)</f>
        <v>0</v>
      </c>
      <c r="BB25" s="31" t="n">
        <f aca="false">IF($G25="",AQ25,U25)</f>
        <v>0</v>
      </c>
      <c r="BC25" s="31" t="n">
        <f aca="false">IF($G25="",AR25,V25)</f>
        <v>0</v>
      </c>
      <c r="BD25" s="31" t="n">
        <f aca="false">IF($G25="",AS25,Q25)</f>
        <v>0</v>
      </c>
      <c r="BE25" s="31" t="n">
        <f aca="false">IF($G25="",AT25,W25)</f>
        <v>0</v>
      </c>
      <c r="BF25" s="31" t="n">
        <f aca="false">IF($G25="",AU25,R25)</f>
        <v>0</v>
      </c>
      <c r="BG25" s="31" t="n">
        <f aca="false">IF($G25="",AV25,X25)</f>
        <v>0</v>
      </c>
      <c r="BH25" s="31" t="n">
        <f aca="false">IF($G25="",AW25,S25)</f>
        <v>0</v>
      </c>
      <c r="BI25" s="31" t="n">
        <f aca="false">IF($G25="",AX25,Y25)</f>
        <v>0</v>
      </c>
      <c r="BJ25" s="31" t="n">
        <f aca="false">IF(CK25="N",BR25,ROUNDDOWN((I25-L25)*設定!$B$10/1000,0)+ROUNDDOWN((I25-L25)*設定!$B$11/1000,0))</f>
        <v>0</v>
      </c>
      <c r="BK25" s="31" t="n">
        <f aca="false">ROUNDDOWN((I25-L25)*設定!$C$10/1000,0)+ROUNDDOWN((I25-L25)*設定!$C$11/1000,0)+ROUNDDOWN(I25*設定!$C$12/1000,0)+IF(CL25="市局型",ROUNDDOWN(I25*設定!$C$16/1000,0),0)</f>
        <v>0</v>
      </c>
      <c r="BL25" s="31" t="n">
        <f aca="false">IF(CK25="N",BT25,ROUNDDOWN((J25-M25)*設定!$B$13/1000,0))</f>
        <v>0</v>
      </c>
      <c r="BM25" s="31" t="n">
        <f aca="false">ROUNDDOWN((J25-M25)*設定!$C$13/1000,0)+IF(CL25="市局型",ROUNDDOWN(J25*設定!$C$17/1000,0),0)</f>
        <v>0</v>
      </c>
      <c r="BN25" s="31" t="n">
        <f aca="false">IF(CK25="N",BV25,ROUNDDOWN((K25-N25)*設定!$B$14/1000,0))</f>
        <v>0</v>
      </c>
      <c r="BO25" s="31" t="n">
        <f aca="false">ROUNDDOWN((K25-N25)*設定!$C$14/1000,0)</f>
        <v>0</v>
      </c>
      <c r="BP25" s="31" t="n">
        <f aca="false">IF(CK25="N",BX25,ROUNDDOWN((J25-M25)*設定!$B$15/1000,0))</f>
        <v>0</v>
      </c>
      <c r="BQ25" s="31" t="n">
        <f aca="false">ROUNDDOWN((J25-M25)*設定!$C$15/1000,0)</f>
        <v>0</v>
      </c>
      <c r="BR25" s="31" t="n">
        <f aca="false">O25+P25</f>
        <v>0</v>
      </c>
      <c r="BS25" s="31" t="n">
        <f aca="false">T25+U25+V25</f>
        <v>0</v>
      </c>
      <c r="BT25" s="31" t="n">
        <f aca="false">Q25</f>
        <v>0</v>
      </c>
      <c r="BU25" s="31" t="n">
        <f aca="false">W25</f>
        <v>0</v>
      </c>
      <c r="BV25" s="31" t="n">
        <f aca="false">R25</f>
        <v>0</v>
      </c>
      <c r="BW25" s="31" t="n">
        <f aca="false">X25</f>
        <v>0</v>
      </c>
      <c r="BX25" s="31" t="n">
        <f aca="false">S25</f>
        <v>0</v>
      </c>
      <c r="BY25" s="31" t="n">
        <f aca="false">Y25</f>
        <v>0</v>
      </c>
      <c r="BZ25" s="32" t="n">
        <f aca="false">IF(BJ25=0,IF(BR25=0,0,1),(BR25-BJ25)/BJ25)</f>
        <v>0</v>
      </c>
      <c r="CA25" s="32" t="n">
        <f aca="false">IF(BK25=0,IF(BS25=0,0,1),(BS25-BK25)/BK25)</f>
        <v>0</v>
      </c>
      <c r="CB25" s="32" t="n">
        <f aca="false">IF(BL25=0,IF(BT25=0,0,1),(BT25-BL25)/BL25)</f>
        <v>0</v>
      </c>
      <c r="CC25" s="32" t="n">
        <f aca="false">IF(BM25=0,IF(BU25=0,0,1),(BU25-BM25)/BM25)</f>
        <v>0</v>
      </c>
      <c r="CD25" s="32" t="n">
        <f aca="false">IF(BN25=0,IF(BV25=0,0,1),(BV25-BN25)/BN25)</f>
        <v>0</v>
      </c>
      <c r="CE25" s="32" t="n">
        <f aca="false">IF(BO25=0,IF(BW25=0,0,1),(BW25-BO25)/BO25)</f>
        <v>0</v>
      </c>
      <c r="CF25" s="32" t="n">
        <f aca="false">IF(BP25=0,IF(BX25=0,0,1),(BX25-BP25)/BP25)</f>
        <v>0</v>
      </c>
      <c r="CG25" s="32" t="n">
        <f aca="false">IF(BQ25=0,IF(BY25=0,0,1),(BY25-BQ25)/BQ25)</f>
        <v>0</v>
      </c>
      <c r="CH25" s="32" t="n">
        <f aca="false">MAX(MAX(BZ25:CG25),-MIN(BZ25:CG25))</f>
        <v>-0</v>
      </c>
      <c r="CI25" s="31" t="str">
        <f aca="false">IF(CO25="","",SUMIFS($CJ$7:$CJ$696,$A$7:$A$696,CO25,$B$7:$B$696,B25))</f>
        <v/>
      </c>
      <c r="CJ25" s="31" t="n">
        <f aca="false">SUM(AY25:BI25)</f>
        <v>0</v>
      </c>
      <c r="CK25" s="31" t="str">
        <f aca="false">IFERROR(INDEX(設定!$F$61:$F$106,MATCH(B25,設定!$B$61:$B$106,0)),"Y")</f>
        <v>N</v>
      </c>
      <c r="CL25" s="31" t="str">
        <f aca="false">IFERROR(INDEX(設定!$G$61:$G$106,MATCH(B25,設定!$B$61:$B$106,0)),"外郭型")</f>
        <v>外郭型</v>
      </c>
      <c r="CM25" s="33" t="str">
        <f aca="false">A25&amp;"|"&amp;B25</f>
        <v>2026-04 月例|都市整備公社　市</v>
      </c>
      <c r="CN25" s="34" t="str">
        <f aca="false">IFERROR(INDEX(設定!$D$61:$D$106,MATCH(B25,設定!$B$61:$B$106,0)),"Y")</f>
        <v>Y</v>
      </c>
      <c r="CO25" s="34" t="str">
        <f aca="false">IFERROR(INDEX(設定!$D$20:$D$34,MATCH(A25,設定!$A$20:$A$34,0))&amp;"","")</f>
        <v/>
      </c>
    </row>
    <row r="26" customFormat="false" ht="15" hidden="true" customHeight="false" outlineLevel="0" collapsed="false">
      <c r="A26" s="22" t="s">
        <v>165</v>
      </c>
      <c r="B26" s="23" t="s">
        <v>188</v>
      </c>
      <c r="C26" s="10" t="str">
        <f aca="false">IF(G26="","未受領",IF(G26="なし","報告なし",IF(AL26="○","起票済",IF(OR(AK26="○",F26="一致",F26="入金不要"),"入金確認済","受領済"))))</f>
        <v>入金確認済</v>
      </c>
      <c r="D26" s="10" t="str">
        <f aca="false">IF(OR(G26="",G26="なし"),"―",IF(CN26="N","対象外",IF(AND(I26="",J26="",K26=""),"標報未入力",IF(CH26&gt;=設定!$B$4,"要確認","問題なし"))))</f>
        <v>標報未入力</v>
      </c>
      <c r="E26" s="24" t="str">
        <f aca="false">IF(OR(G26="",G26="なし",CI26="",CJ26=0),"―",IF(CJ26=CI26,"前月同額",IF(CI26=0,"―",IF(ABS(CJ26/CI26-1)&gt;=設定!$B$5,"変動大 "&amp;TEXT(CJ26/CI26-1,"+0%;-0%"),"〇"))))</f>
        <v>―</v>
      </c>
      <c r="F26" s="10" t="str">
        <f aca="false">IF(OR(G26="",G26="なし"),"―",IF(CJ26=0,"入金不要",IF(COUNT(AD26,AF26,AH26,AJ26)=0,IF(AK26="○","手動確認","未入金"),IF(AND(N(AD26)=AC26,IF(AE26="",TRUE(),N(AF26)=AE26),IF(AG26="",TRUE(),N(AH26)=AG26),IF(AI26="",TRUE(),N(AJ26)=AI26)),"一致","不一致"))))</f>
        <v>手動確認</v>
      </c>
      <c r="G26" s="25" t="s">
        <v>167</v>
      </c>
      <c r="H26" s="26"/>
      <c r="I26" s="27"/>
      <c r="J26" s="27"/>
      <c r="K26" s="27"/>
      <c r="L26" s="27"/>
      <c r="M26" s="27"/>
      <c r="N26" s="27"/>
      <c r="O26" s="27"/>
      <c r="P26" s="27"/>
      <c r="Q26" s="27"/>
      <c r="R26" s="27"/>
      <c r="S26" s="27"/>
      <c r="T26" s="27" t="n">
        <v>193065</v>
      </c>
      <c r="U26" s="27" t="n">
        <v>15825</v>
      </c>
      <c r="V26" s="27" t="n">
        <v>183</v>
      </c>
      <c r="W26" s="27" t="n">
        <v>109530</v>
      </c>
      <c r="X26" s="27" t="n">
        <v>12956</v>
      </c>
      <c r="Y26" s="27" t="n">
        <v>2426</v>
      </c>
      <c r="Z26" s="27"/>
      <c r="AA26" s="10" t="str">
        <f aca="false">IFERROR(INDEX(設定!$E$61:$E$106,MATCH(B26,設定!$B$61:$B$106,0)),"合算")</f>
        <v>合算</v>
      </c>
      <c r="AB26" s="28"/>
      <c r="AC26" s="29" t="n">
        <f aca="false">IF(OR(G26="",G26="なし"),"",IF(AA26="合算",CJ26+N(Z26),IF(AA26="掛金・負担金別",(AY26+AZ26+BD26+BF26+BH26),SUM(AY26:BC26))))</f>
        <v>333985</v>
      </c>
      <c r="AD26" s="27"/>
      <c r="AE26" s="29" t="str">
        <f aca="false">IF(OR(G26="",G26="なし"),"",IF(AA26="掛金・負担金別",(BA26+BB26+BC26+BE26+BG26+BI26+N(Z26)),IF(AA26="経理区分別",BD26+BE26,"")))</f>
        <v/>
      </c>
      <c r="AF26" s="27"/>
      <c r="AG26" s="29" t="str">
        <f aca="false">IF(OR(G26="",G26="なし"),"",IF(AA26="経理区分別",BF26+BG26,""))</f>
        <v/>
      </c>
      <c r="AH26" s="27"/>
      <c r="AI26" s="29" t="str">
        <f aca="false">IF(OR(G26="",G26="なし"),"",IF(AA26="経理区分別",BH26+BI26+N(Z26),""))</f>
        <v/>
      </c>
      <c r="AJ26" s="27"/>
      <c r="AK26" s="26" t="s">
        <v>168</v>
      </c>
      <c r="AL26" s="26"/>
      <c r="AM26" s="30"/>
      <c r="AN26" s="31"/>
      <c r="AO26" s="31"/>
      <c r="AP26" s="31"/>
      <c r="AQ26" s="31"/>
      <c r="AR26" s="31"/>
      <c r="AS26" s="31"/>
      <c r="AT26" s="31"/>
      <c r="AU26" s="31"/>
      <c r="AV26" s="31"/>
      <c r="AW26" s="31"/>
      <c r="AX26" s="31"/>
      <c r="AY26" s="31" t="n">
        <f aca="false">IF($G26="",AN26,O26)</f>
        <v>0</v>
      </c>
      <c r="AZ26" s="31" t="n">
        <f aca="false">IF($G26="",AO26,P26)</f>
        <v>0</v>
      </c>
      <c r="BA26" s="31" t="n">
        <f aca="false">IF($G26="",AP26,T26)</f>
        <v>193065</v>
      </c>
      <c r="BB26" s="31" t="n">
        <f aca="false">IF($G26="",AQ26,U26)</f>
        <v>15825</v>
      </c>
      <c r="BC26" s="31" t="n">
        <f aca="false">IF($G26="",AR26,V26)</f>
        <v>183</v>
      </c>
      <c r="BD26" s="31" t="n">
        <f aca="false">IF($G26="",AS26,Q26)</f>
        <v>0</v>
      </c>
      <c r="BE26" s="31" t="n">
        <f aca="false">IF($G26="",AT26,W26)</f>
        <v>109530</v>
      </c>
      <c r="BF26" s="31" t="n">
        <f aca="false">IF($G26="",AU26,R26)</f>
        <v>0</v>
      </c>
      <c r="BG26" s="31" t="n">
        <f aca="false">IF($G26="",AV26,X26)</f>
        <v>12956</v>
      </c>
      <c r="BH26" s="31" t="n">
        <f aca="false">IF($G26="",AW26,S26)</f>
        <v>0</v>
      </c>
      <c r="BI26" s="31" t="n">
        <f aca="false">IF($G26="",AX26,Y26)</f>
        <v>2426</v>
      </c>
      <c r="BJ26" s="31" t="n">
        <f aca="false">IF(CK26="N",BR26,ROUNDDOWN((I26-L26)*設定!$B$10/1000,0)+ROUNDDOWN((I26-L26)*設定!$B$11/1000,0))</f>
        <v>0</v>
      </c>
      <c r="BK26" s="31" t="n">
        <f aca="false">ROUNDDOWN((I26-L26)*設定!$C$10/1000,0)+ROUNDDOWN((I26-L26)*設定!$C$11/1000,0)+ROUNDDOWN(I26*設定!$C$12/1000,0)+IF(CL26="市局型",ROUNDDOWN(I26*設定!$C$16/1000,0),0)</f>
        <v>0</v>
      </c>
      <c r="BL26" s="31" t="n">
        <f aca="false">IF(CK26="N",BT26,ROUNDDOWN((J26-M26)*設定!$B$13/1000,0))</f>
        <v>0</v>
      </c>
      <c r="BM26" s="31" t="n">
        <f aca="false">ROUNDDOWN((J26-M26)*設定!$C$13/1000,0)+IF(CL26="市局型",ROUNDDOWN(J26*設定!$C$17/1000,0),0)</f>
        <v>0</v>
      </c>
      <c r="BN26" s="31" t="n">
        <f aca="false">IF(CK26="N",BV26,ROUNDDOWN((K26-N26)*設定!$B$14/1000,0))</f>
        <v>0</v>
      </c>
      <c r="BO26" s="31" t="n">
        <f aca="false">ROUNDDOWN((K26-N26)*設定!$C$14/1000,0)</f>
        <v>0</v>
      </c>
      <c r="BP26" s="31" t="n">
        <f aca="false">IF(CK26="N",BX26,ROUNDDOWN((J26-M26)*設定!$B$15/1000,0))</f>
        <v>0</v>
      </c>
      <c r="BQ26" s="31" t="n">
        <f aca="false">ROUNDDOWN((J26-M26)*設定!$C$15/1000,0)</f>
        <v>0</v>
      </c>
      <c r="BR26" s="31" t="n">
        <f aca="false">O26+P26</f>
        <v>0</v>
      </c>
      <c r="BS26" s="31" t="n">
        <f aca="false">T26+U26+V26</f>
        <v>209073</v>
      </c>
      <c r="BT26" s="31" t="n">
        <f aca="false">Q26</f>
        <v>0</v>
      </c>
      <c r="BU26" s="31" t="n">
        <f aca="false">W26</f>
        <v>109530</v>
      </c>
      <c r="BV26" s="31" t="n">
        <f aca="false">R26</f>
        <v>0</v>
      </c>
      <c r="BW26" s="31" t="n">
        <f aca="false">X26</f>
        <v>12956</v>
      </c>
      <c r="BX26" s="31" t="n">
        <f aca="false">S26</f>
        <v>0</v>
      </c>
      <c r="BY26" s="31" t="n">
        <f aca="false">Y26</f>
        <v>2426</v>
      </c>
      <c r="BZ26" s="32" t="n">
        <f aca="false">IF(BJ26=0,IF(BR26=0,0,1),(BR26-BJ26)/BJ26)</f>
        <v>0</v>
      </c>
      <c r="CA26" s="32" t="n">
        <f aca="false">IF(BK26=0,IF(BS26=0,0,1),(BS26-BK26)/BK26)</f>
        <v>1</v>
      </c>
      <c r="CB26" s="32" t="n">
        <f aca="false">IF(BL26=0,IF(BT26=0,0,1),(BT26-BL26)/BL26)</f>
        <v>0</v>
      </c>
      <c r="CC26" s="32" t="n">
        <f aca="false">IF(BM26=0,IF(BU26=0,0,1),(BU26-BM26)/BM26)</f>
        <v>1</v>
      </c>
      <c r="CD26" s="32" t="n">
        <f aca="false">IF(BN26=0,IF(BV26=0,0,1),(BV26-BN26)/BN26)</f>
        <v>0</v>
      </c>
      <c r="CE26" s="32" t="n">
        <f aca="false">IF(BO26=0,IF(BW26=0,0,1),(BW26-BO26)/BO26)</f>
        <v>1</v>
      </c>
      <c r="CF26" s="32" t="n">
        <f aca="false">IF(BP26=0,IF(BX26=0,0,1),(BX26-BP26)/BP26)</f>
        <v>0</v>
      </c>
      <c r="CG26" s="32" t="n">
        <f aca="false">IF(BQ26=0,IF(BY26=0,0,1),(BY26-BQ26)/BQ26)</f>
        <v>1</v>
      </c>
      <c r="CH26" s="32" t="n">
        <f aca="false">MAX(MAX(BZ26:CG26),-MIN(BZ26:CG26))</f>
        <v>1</v>
      </c>
      <c r="CI26" s="31" t="str">
        <f aca="false">IF(CO26="","",SUMIFS($CJ$7:$CJ$696,$A$7:$A$696,CO26,$B$7:$B$696,B26))</f>
        <v/>
      </c>
      <c r="CJ26" s="31" t="n">
        <f aca="false">SUM(AY26:BI26)</f>
        <v>333985</v>
      </c>
      <c r="CK26" s="31" t="str">
        <f aca="false">IFERROR(INDEX(設定!$F$61:$F$106,MATCH(B26,設定!$B$61:$B$106,0)),"Y")</f>
        <v>N</v>
      </c>
      <c r="CL26" s="31" t="str">
        <f aca="false">IFERROR(INDEX(設定!$G$61:$G$106,MATCH(B26,設定!$B$61:$B$106,0)),"外郭型")</f>
        <v>外郭型</v>
      </c>
      <c r="CM26" s="33" t="str">
        <f aca="false">A26&amp;"|"&amp;B26</f>
        <v>2026-04 月例|都市整備公社　消防</v>
      </c>
      <c r="CN26" s="34" t="str">
        <f aca="false">IFERROR(INDEX(設定!$D$61:$D$106,MATCH(B26,設定!$B$61:$B$106,0)),"Y")</f>
        <v>Y</v>
      </c>
      <c r="CO26" s="34" t="str">
        <f aca="false">IFERROR(INDEX(設定!$D$20:$D$34,MATCH(A26,設定!$A$20:$A$34,0))&amp;"","")</f>
        <v/>
      </c>
    </row>
    <row r="27" customFormat="false" ht="15" hidden="true" customHeight="false" outlineLevel="0" collapsed="false">
      <c r="A27" s="22" t="s">
        <v>165</v>
      </c>
      <c r="B27" s="23" t="s">
        <v>189</v>
      </c>
      <c r="C27" s="10" t="str">
        <f aca="false">IF(G27="","未受領",IF(G27="なし","報告なし",IF(AL27="○","起票済",IF(OR(AK27="○",F27="一致",F27="入金不要"),"入金確認済","受領済"))))</f>
        <v>入金確認済</v>
      </c>
      <c r="D27" s="10" t="str">
        <f aca="false">IF(OR(G27="",G27="なし"),"―",IF(CN27="N","対象外",IF(AND(I27="",J27="",K27=""),"標報未入力",IF(CH27&gt;=設定!$B$4,"要確認","問題なし"))))</f>
        <v>標報未入力</v>
      </c>
      <c r="E27" s="24" t="str">
        <f aca="false">IF(OR(G27="",G27="なし",CI27="",CJ27=0),"―",IF(CJ27=CI27,"前月同額",IF(CI27=0,"―",IF(ABS(CJ27/CI27-1)&gt;=設定!$B$5,"変動大 "&amp;TEXT(CJ27/CI27-1,"+0%;-0%"),"〇"))))</f>
        <v>―</v>
      </c>
      <c r="F27" s="10" t="str">
        <f aca="false">IF(OR(G27="",G27="なし"),"―",IF(CJ27=0,"入金不要",IF(COUNT(AD27,AF27,AH27,AJ27)=0,IF(AK27="○","手動確認","未入金"),IF(AND(N(AD27)=AC27,IF(AE27="",TRUE(),N(AF27)=AE27),IF(AG27="",TRUE(),N(AH27)=AG27),IF(AI27="",TRUE(),N(AJ27)=AI27)),"一致","不一致"))))</f>
        <v>手動確認</v>
      </c>
      <c r="G27" s="25" t="s">
        <v>167</v>
      </c>
      <c r="H27" s="26"/>
      <c r="I27" s="27"/>
      <c r="J27" s="27"/>
      <c r="K27" s="27"/>
      <c r="L27" s="27"/>
      <c r="M27" s="27"/>
      <c r="N27" s="27"/>
      <c r="O27" s="27" t="n">
        <v>235155</v>
      </c>
      <c r="P27" s="27" t="n">
        <v>19275</v>
      </c>
      <c r="Q27" s="27" t="n">
        <v>134834</v>
      </c>
      <c r="R27" s="27" t="n">
        <v>10270</v>
      </c>
      <c r="S27" s="27" t="n">
        <v>2989</v>
      </c>
      <c r="T27" s="27" t="n">
        <v>235155</v>
      </c>
      <c r="U27" s="27" t="n">
        <v>19275</v>
      </c>
      <c r="V27" s="27" t="n">
        <v>223</v>
      </c>
      <c r="W27" s="27" t="n">
        <v>134966</v>
      </c>
      <c r="X27" s="27" t="n">
        <v>10270</v>
      </c>
      <c r="Y27" s="27" t="n">
        <v>2990</v>
      </c>
      <c r="Z27" s="27"/>
      <c r="AA27" s="10" t="str">
        <f aca="false">IFERROR(INDEX(設定!$E$61:$E$106,MATCH(B27,設定!$B$61:$B$106,0)),"合算")</f>
        <v>合算</v>
      </c>
      <c r="AB27" s="28"/>
      <c r="AC27" s="29" t="n">
        <f aca="false">IF(OR(G27="",G27="なし"),"",IF(AA27="合算",CJ27+N(Z27),IF(AA27="掛金・負担金別",(AY27+AZ27+BD27+BF27+BH27),SUM(AY27:BC27))))</f>
        <v>805402</v>
      </c>
      <c r="AD27" s="27"/>
      <c r="AE27" s="29" t="str">
        <f aca="false">IF(OR(G27="",G27="なし"),"",IF(AA27="掛金・負担金別",(BA27+BB27+BC27+BE27+BG27+BI27+N(Z27)),IF(AA27="経理区分別",BD27+BE27,"")))</f>
        <v/>
      </c>
      <c r="AF27" s="27"/>
      <c r="AG27" s="29" t="str">
        <f aca="false">IF(OR(G27="",G27="なし"),"",IF(AA27="経理区分別",BF27+BG27,""))</f>
        <v/>
      </c>
      <c r="AH27" s="27"/>
      <c r="AI27" s="29" t="str">
        <f aca="false">IF(OR(G27="",G27="なし"),"",IF(AA27="経理区分別",BH27+BI27+N(Z27),""))</f>
        <v/>
      </c>
      <c r="AJ27" s="27"/>
      <c r="AK27" s="26" t="s">
        <v>168</v>
      </c>
      <c r="AL27" s="26"/>
      <c r="AM27" s="30"/>
      <c r="AN27" s="31"/>
      <c r="AO27" s="31"/>
      <c r="AP27" s="31"/>
      <c r="AQ27" s="31"/>
      <c r="AR27" s="31"/>
      <c r="AS27" s="31"/>
      <c r="AT27" s="31"/>
      <c r="AU27" s="31"/>
      <c r="AV27" s="31"/>
      <c r="AW27" s="31"/>
      <c r="AX27" s="31"/>
      <c r="AY27" s="31" t="n">
        <f aca="false">IF($G27="",AN27,O27)</f>
        <v>235155</v>
      </c>
      <c r="AZ27" s="31" t="n">
        <f aca="false">IF($G27="",AO27,P27)</f>
        <v>19275</v>
      </c>
      <c r="BA27" s="31" t="n">
        <f aca="false">IF($G27="",AP27,T27)</f>
        <v>235155</v>
      </c>
      <c r="BB27" s="31" t="n">
        <f aca="false">IF($G27="",AQ27,U27)</f>
        <v>19275</v>
      </c>
      <c r="BC27" s="31" t="n">
        <f aca="false">IF($G27="",AR27,V27)</f>
        <v>223</v>
      </c>
      <c r="BD27" s="31" t="n">
        <f aca="false">IF($G27="",AS27,Q27)</f>
        <v>134834</v>
      </c>
      <c r="BE27" s="31" t="n">
        <f aca="false">IF($G27="",AT27,W27)</f>
        <v>134966</v>
      </c>
      <c r="BF27" s="31" t="n">
        <f aca="false">IF($G27="",AU27,R27)</f>
        <v>10270</v>
      </c>
      <c r="BG27" s="31" t="n">
        <f aca="false">IF($G27="",AV27,X27)</f>
        <v>10270</v>
      </c>
      <c r="BH27" s="31" t="n">
        <f aca="false">IF($G27="",AW27,S27)</f>
        <v>2989</v>
      </c>
      <c r="BI27" s="31" t="n">
        <f aca="false">IF($G27="",AX27,Y27)</f>
        <v>2990</v>
      </c>
      <c r="BJ27" s="31" t="n">
        <f aca="false">IF(CK27="N",BR27,ROUNDDOWN((I27-L27)*設定!$B$10/1000,0)+ROUNDDOWN((I27-L27)*設定!$B$11/1000,0))</f>
        <v>0</v>
      </c>
      <c r="BK27" s="31" t="n">
        <f aca="false">ROUNDDOWN((I27-L27)*設定!$C$10/1000,0)+ROUNDDOWN((I27-L27)*設定!$C$11/1000,0)+ROUNDDOWN(I27*設定!$C$12/1000,0)+IF(CL27="市局型",ROUNDDOWN(I27*設定!$C$16/1000,0),0)</f>
        <v>0</v>
      </c>
      <c r="BL27" s="31" t="n">
        <f aca="false">IF(CK27="N",BT27,ROUNDDOWN((J27-M27)*設定!$B$13/1000,0))</f>
        <v>0</v>
      </c>
      <c r="BM27" s="31" t="n">
        <f aca="false">ROUNDDOWN((J27-M27)*設定!$C$13/1000,0)+IF(CL27="市局型",ROUNDDOWN(J27*設定!$C$17/1000,0),0)</f>
        <v>0</v>
      </c>
      <c r="BN27" s="31" t="n">
        <f aca="false">IF(CK27="N",BV27,ROUNDDOWN((K27-N27)*設定!$B$14/1000,0))</f>
        <v>0</v>
      </c>
      <c r="BO27" s="31" t="n">
        <f aca="false">ROUNDDOWN((K27-N27)*設定!$C$14/1000,0)</f>
        <v>0</v>
      </c>
      <c r="BP27" s="31" t="n">
        <f aca="false">IF(CK27="N",BX27,ROUNDDOWN((J27-M27)*設定!$B$15/1000,0))</f>
        <v>0</v>
      </c>
      <c r="BQ27" s="31" t="n">
        <f aca="false">ROUNDDOWN((J27-M27)*設定!$C$15/1000,0)</f>
        <v>0</v>
      </c>
      <c r="BR27" s="31" t="n">
        <f aca="false">O27+P27</f>
        <v>254430</v>
      </c>
      <c r="BS27" s="31" t="n">
        <f aca="false">T27+U27+V27</f>
        <v>254653</v>
      </c>
      <c r="BT27" s="31" t="n">
        <f aca="false">Q27</f>
        <v>134834</v>
      </c>
      <c r="BU27" s="31" t="n">
        <f aca="false">W27</f>
        <v>134966</v>
      </c>
      <c r="BV27" s="31" t="n">
        <f aca="false">R27</f>
        <v>10270</v>
      </c>
      <c r="BW27" s="31" t="n">
        <f aca="false">X27</f>
        <v>10270</v>
      </c>
      <c r="BX27" s="31" t="n">
        <f aca="false">S27</f>
        <v>2989</v>
      </c>
      <c r="BY27" s="31" t="n">
        <f aca="false">Y27</f>
        <v>2990</v>
      </c>
      <c r="BZ27" s="32" t="n">
        <f aca="false">IF(BJ27=0,IF(BR27=0,0,1),(BR27-BJ27)/BJ27)</f>
        <v>1</v>
      </c>
      <c r="CA27" s="32" t="n">
        <f aca="false">IF(BK27=0,IF(BS27=0,0,1),(BS27-BK27)/BK27)</f>
        <v>1</v>
      </c>
      <c r="CB27" s="32" t="n">
        <f aca="false">IF(BL27=0,IF(BT27=0,0,1),(BT27-BL27)/BL27)</f>
        <v>1</v>
      </c>
      <c r="CC27" s="32" t="n">
        <f aca="false">IF(BM27=0,IF(BU27=0,0,1),(BU27-BM27)/BM27)</f>
        <v>1</v>
      </c>
      <c r="CD27" s="32" t="n">
        <f aca="false">IF(BN27=0,IF(BV27=0,0,1),(BV27-BN27)/BN27)</f>
        <v>1</v>
      </c>
      <c r="CE27" s="32" t="n">
        <f aca="false">IF(BO27=0,IF(BW27=0,0,1),(BW27-BO27)/BO27)</f>
        <v>1</v>
      </c>
      <c r="CF27" s="32" t="n">
        <f aca="false">IF(BP27=0,IF(BX27=0,0,1),(BX27-BP27)/BP27)</f>
        <v>1</v>
      </c>
      <c r="CG27" s="32" t="n">
        <f aca="false">IF(BQ27=0,IF(BY27=0,0,1),(BY27-BQ27)/BQ27)</f>
        <v>1</v>
      </c>
      <c r="CH27" s="32" t="n">
        <f aca="false">MAX(MAX(BZ27:CG27),-MIN(BZ27:CG27))</f>
        <v>1</v>
      </c>
      <c r="CI27" s="31" t="str">
        <f aca="false">IF(CO27="","",SUMIFS($CJ$7:$CJ$696,$A$7:$A$696,CO27,$B$7:$B$696,B27))</f>
        <v/>
      </c>
      <c r="CJ27" s="31" t="n">
        <f aca="false">SUM(AY27:BI27)</f>
        <v>805402</v>
      </c>
      <c r="CK27" s="31" t="str">
        <f aca="false">IFERROR(INDEX(設定!$F$61:$F$106,MATCH(B27,設定!$B$61:$B$106,0)),"Y")</f>
        <v>Y</v>
      </c>
      <c r="CL27" s="31" t="str">
        <f aca="false">IFERROR(INDEX(設定!$G$61:$G$106,MATCH(B27,設定!$B$61:$B$106,0)),"外郭型")</f>
        <v>外郭型</v>
      </c>
      <c r="CM27" s="33" t="str">
        <f aca="false">A27&amp;"|"&amp;B27</f>
        <v>2026-04 月例|日本下水道事業団</v>
      </c>
      <c r="CN27" s="34" t="str">
        <f aca="false">IFERROR(INDEX(設定!$D$61:$D$106,MATCH(B27,設定!$B$61:$B$106,0)),"Y")</f>
        <v>Y</v>
      </c>
      <c r="CO27" s="34" t="str">
        <f aca="false">IFERROR(INDEX(設定!$D$20:$D$34,MATCH(A27,設定!$A$20:$A$34,0))&amp;"","")</f>
        <v/>
      </c>
    </row>
    <row r="28" customFormat="false" ht="15" hidden="true" customHeight="false" outlineLevel="0" collapsed="false">
      <c r="A28" s="22" t="s">
        <v>165</v>
      </c>
      <c r="B28" s="23" t="s">
        <v>190</v>
      </c>
      <c r="C28" s="10" t="str">
        <f aca="false">IF(G28="","未受領",IF(G28="なし","報告なし",IF(AL28="○","起票済",IF(OR(AK28="○",F28="一致",F28="入金不要"),"入金確認済","受領済"))))</f>
        <v>入金確認済</v>
      </c>
      <c r="D28" s="10" t="str">
        <f aca="false">IF(OR(G28="",G28="なし"),"―",IF(CN28="N","対象外",IF(AND(I28="",J28="",K28=""),"標報未入力",IF(CH28&gt;=設定!$B$4,"要確認","問題なし"))))</f>
        <v>標報未入力</v>
      </c>
      <c r="E28" s="24" t="str">
        <f aca="false">IF(OR(G28="",G28="なし",CI28="",CJ28=0),"―",IF(CJ28=CI28,"前月同額",IF(CI28=0,"―",IF(ABS(CJ28/CI28-1)&gt;=設定!$B$5,"変動大 "&amp;TEXT(CJ28/CI28-1,"+0%;-0%"),"〇"))))</f>
        <v>―</v>
      </c>
      <c r="F28" s="10" t="str">
        <f aca="false">IF(OR(G28="",G28="なし"),"―",IF(CJ28=0,"入金不要",IF(COUNT(AD28,AF28,AH28,AJ28)=0,IF(AK28="○","手動確認","未入金"),IF(AND(N(AD28)=AC28,IF(AE28="",TRUE(),N(AF28)=AE28),IF(AG28="",TRUE(),N(AH28)=AG28),IF(AI28="",TRUE(),N(AJ28)=AI28)),"一致","不一致"))))</f>
        <v>手動確認</v>
      </c>
      <c r="G28" s="25" t="s">
        <v>167</v>
      </c>
      <c r="H28" s="26"/>
      <c r="I28" s="27"/>
      <c r="J28" s="27"/>
      <c r="K28" s="27"/>
      <c r="L28" s="27"/>
      <c r="M28" s="27"/>
      <c r="N28" s="27"/>
      <c r="O28" s="27" t="n">
        <v>40260</v>
      </c>
      <c r="P28" s="27" t="n">
        <v>3300</v>
      </c>
      <c r="Q28" s="27" t="n">
        <v>22818</v>
      </c>
      <c r="R28" s="27" t="n">
        <v>0</v>
      </c>
      <c r="S28" s="27" t="n">
        <v>506</v>
      </c>
      <c r="T28" s="27" t="n">
        <v>40260</v>
      </c>
      <c r="U28" s="27" t="n">
        <v>3300</v>
      </c>
      <c r="V28" s="27" t="n">
        <v>38</v>
      </c>
      <c r="W28" s="27" t="n">
        <v>22840</v>
      </c>
      <c r="X28" s="27" t="n">
        <v>0</v>
      </c>
      <c r="Y28" s="27" t="n">
        <v>506</v>
      </c>
      <c r="Z28" s="27"/>
      <c r="AA28" s="10" t="str">
        <f aca="false">IFERROR(INDEX(設定!$E$61:$E$106,MATCH(B28,設定!$B$61:$B$106,0)),"合算")</f>
        <v>合算</v>
      </c>
      <c r="AB28" s="28"/>
      <c r="AC28" s="29" t="n">
        <f aca="false">IF(OR(G28="",G28="なし"),"",IF(AA28="合算",CJ28+N(Z28),IF(AA28="掛金・負担金別",(AY28+AZ28+BD28+BF28+BH28),SUM(AY28:BC28))))</f>
        <v>133828</v>
      </c>
      <c r="AD28" s="27"/>
      <c r="AE28" s="29" t="str">
        <f aca="false">IF(OR(G28="",G28="なし"),"",IF(AA28="掛金・負担金別",(BA28+BB28+BC28+BE28+BG28+BI28+N(Z28)),IF(AA28="経理区分別",BD28+BE28,"")))</f>
        <v/>
      </c>
      <c r="AF28" s="27"/>
      <c r="AG28" s="29" t="str">
        <f aca="false">IF(OR(G28="",G28="なし"),"",IF(AA28="経理区分別",BF28+BG28,""))</f>
        <v/>
      </c>
      <c r="AH28" s="27"/>
      <c r="AI28" s="29" t="str">
        <f aca="false">IF(OR(G28="",G28="なし"),"",IF(AA28="経理区分別",BH28+BI28+N(Z28),""))</f>
        <v/>
      </c>
      <c r="AJ28" s="27"/>
      <c r="AK28" s="26" t="s">
        <v>168</v>
      </c>
      <c r="AL28" s="26"/>
      <c r="AM28" s="30"/>
      <c r="AN28" s="31"/>
      <c r="AO28" s="31"/>
      <c r="AP28" s="31"/>
      <c r="AQ28" s="31"/>
      <c r="AR28" s="31"/>
      <c r="AS28" s="31"/>
      <c r="AT28" s="31"/>
      <c r="AU28" s="31"/>
      <c r="AV28" s="31"/>
      <c r="AW28" s="31"/>
      <c r="AX28" s="31"/>
      <c r="AY28" s="31" t="n">
        <f aca="false">IF($G28="",AN28,O28)</f>
        <v>40260</v>
      </c>
      <c r="AZ28" s="31" t="n">
        <f aca="false">IF($G28="",AO28,P28)</f>
        <v>3300</v>
      </c>
      <c r="BA28" s="31" t="n">
        <f aca="false">IF($G28="",AP28,T28)</f>
        <v>40260</v>
      </c>
      <c r="BB28" s="31" t="n">
        <f aca="false">IF($G28="",AQ28,U28)</f>
        <v>3300</v>
      </c>
      <c r="BC28" s="31" t="n">
        <f aca="false">IF($G28="",AR28,V28)</f>
        <v>38</v>
      </c>
      <c r="BD28" s="31" t="n">
        <f aca="false">IF($G28="",AS28,Q28)</f>
        <v>22818</v>
      </c>
      <c r="BE28" s="31" t="n">
        <f aca="false">IF($G28="",AT28,W28)</f>
        <v>22840</v>
      </c>
      <c r="BF28" s="31" t="n">
        <f aca="false">IF($G28="",AU28,R28)</f>
        <v>0</v>
      </c>
      <c r="BG28" s="31" t="n">
        <f aca="false">IF($G28="",AV28,X28)</f>
        <v>0</v>
      </c>
      <c r="BH28" s="31" t="n">
        <f aca="false">IF($G28="",AW28,S28)</f>
        <v>506</v>
      </c>
      <c r="BI28" s="31" t="n">
        <f aca="false">IF($G28="",AX28,Y28)</f>
        <v>506</v>
      </c>
      <c r="BJ28" s="31" t="n">
        <f aca="false">IF(CK28="N",BR28,ROUNDDOWN((I28-L28)*設定!$B$10/1000,0)+ROUNDDOWN((I28-L28)*設定!$B$11/1000,0))</f>
        <v>0</v>
      </c>
      <c r="BK28" s="31" t="n">
        <f aca="false">ROUNDDOWN((I28-L28)*設定!$C$10/1000,0)+ROUNDDOWN((I28-L28)*設定!$C$11/1000,0)+ROUNDDOWN(I28*設定!$C$12/1000,0)+IF(CL28="市局型",ROUNDDOWN(I28*設定!$C$16/1000,0),0)</f>
        <v>0</v>
      </c>
      <c r="BL28" s="31" t="n">
        <f aca="false">IF(CK28="N",BT28,ROUNDDOWN((J28-M28)*設定!$B$13/1000,0))</f>
        <v>0</v>
      </c>
      <c r="BM28" s="31" t="n">
        <f aca="false">ROUNDDOWN((J28-M28)*設定!$C$13/1000,0)+IF(CL28="市局型",ROUNDDOWN(J28*設定!$C$17/1000,0),0)</f>
        <v>0</v>
      </c>
      <c r="BN28" s="31" t="n">
        <f aca="false">IF(CK28="N",BV28,ROUNDDOWN((K28-N28)*設定!$B$14/1000,0))</f>
        <v>0</v>
      </c>
      <c r="BO28" s="31" t="n">
        <f aca="false">ROUNDDOWN((K28-N28)*設定!$C$14/1000,0)</f>
        <v>0</v>
      </c>
      <c r="BP28" s="31" t="n">
        <f aca="false">IF(CK28="N",BX28,ROUNDDOWN((J28-M28)*設定!$B$15/1000,0))</f>
        <v>0</v>
      </c>
      <c r="BQ28" s="31" t="n">
        <f aca="false">ROUNDDOWN((J28-M28)*設定!$C$15/1000,0)</f>
        <v>0</v>
      </c>
      <c r="BR28" s="31" t="n">
        <f aca="false">O28+P28</f>
        <v>43560</v>
      </c>
      <c r="BS28" s="31" t="n">
        <f aca="false">T28+U28+V28</f>
        <v>43598</v>
      </c>
      <c r="BT28" s="31" t="n">
        <f aca="false">Q28</f>
        <v>22818</v>
      </c>
      <c r="BU28" s="31" t="n">
        <f aca="false">W28</f>
        <v>22840</v>
      </c>
      <c r="BV28" s="31" t="n">
        <f aca="false">R28</f>
        <v>0</v>
      </c>
      <c r="BW28" s="31" t="n">
        <f aca="false">X28</f>
        <v>0</v>
      </c>
      <c r="BX28" s="31" t="n">
        <f aca="false">S28</f>
        <v>506</v>
      </c>
      <c r="BY28" s="31" t="n">
        <f aca="false">Y28</f>
        <v>506</v>
      </c>
      <c r="BZ28" s="32" t="n">
        <f aca="false">IF(BJ28=0,IF(BR28=0,0,1),(BR28-BJ28)/BJ28)</f>
        <v>1</v>
      </c>
      <c r="CA28" s="32" t="n">
        <f aca="false">IF(BK28=0,IF(BS28=0,0,1),(BS28-BK28)/BK28)</f>
        <v>1</v>
      </c>
      <c r="CB28" s="32" t="n">
        <f aca="false">IF(BL28=0,IF(BT28=0,0,1),(BT28-BL28)/BL28)</f>
        <v>1</v>
      </c>
      <c r="CC28" s="32" t="n">
        <f aca="false">IF(BM28=0,IF(BU28=0,0,1),(BU28-BM28)/BM28)</f>
        <v>1</v>
      </c>
      <c r="CD28" s="32" t="n">
        <f aca="false">IF(BN28=0,IF(BV28=0,0,1),(BV28-BN28)/BN28)</f>
        <v>0</v>
      </c>
      <c r="CE28" s="32" t="n">
        <f aca="false">IF(BO28=0,IF(BW28=0,0,1),(BW28-BO28)/BO28)</f>
        <v>0</v>
      </c>
      <c r="CF28" s="32" t="n">
        <f aca="false">IF(BP28=0,IF(BX28=0,0,1),(BX28-BP28)/BP28)</f>
        <v>1</v>
      </c>
      <c r="CG28" s="32" t="n">
        <f aca="false">IF(BQ28=0,IF(BY28=0,0,1),(BY28-BQ28)/BQ28)</f>
        <v>1</v>
      </c>
      <c r="CH28" s="32" t="n">
        <f aca="false">MAX(MAX(BZ28:CG28),-MIN(BZ28:CG28))</f>
        <v>1</v>
      </c>
      <c r="CI28" s="31" t="str">
        <f aca="false">IF(CO28="","",SUMIFS($CJ$7:$CJ$696,$A$7:$A$696,CO28,$B$7:$B$696,B28))</f>
        <v/>
      </c>
      <c r="CJ28" s="31" t="n">
        <f aca="false">SUM(AY28:BI28)</f>
        <v>133828</v>
      </c>
      <c r="CK28" s="31" t="str">
        <f aca="false">IFERROR(INDEX(設定!$F$61:$F$106,MATCH(B28,設定!$B$61:$B$106,0)),"Y")</f>
        <v>Y</v>
      </c>
      <c r="CL28" s="31" t="str">
        <f aca="false">IFERROR(INDEX(設定!$G$61:$G$106,MATCH(B28,設定!$B$61:$B$106,0)),"外郭型")</f>
        <v>外郭型</v>
      </c>
      <c r="CM28" s="33" t="str">
        <f aca="false">A28&amp;"|"&amp;B28</f>
        <v>2026-04 月例|地方公務員災害補償基金本部</v>
      </c>
      <c r="CN28" s="34" t="str">
        <f aca="false">IFERROR(INDEX(設定!$D$61:$D$106,MATCH(B28,設定!$B$61:$B$106,0)),"Y")</f>
        <v>Y</v>
      </c>
      <c r="CO28" s="34" t="str">
        <f aca="false">IFERROR(INDEX(設定!$D$20:$D$34,MATCH(A28,設定!$A$20:$A$34,0))&amp;"","")</f>
        <v/>
      </c>
    </row>
    <row r="29" customFormat="false" ht="15" hidden="true" customHeight="false" outlineLevel="0" collapsed="false">
      <c r="A29" s="22" t="s">
        <v>165</v>
      </c>
      <c r="B29" s="23" t="s">
        <v>191</v>
      </c>
      <c r="C29" s="10" t="str">
        <f aca="false">IF(G29="","未受領",IF(G29="なし","報告なし",IF(AL29="○","起票済",IF(OR(AK29="○",F29="一致",F29="入金不要"),"入金確認済","受領済"))))</f>
        <v>入金確認済</v>
      </c>
      <c r="D29" s="10" t="str">
        <f aca="false">IF(OR(G29="",G29="なし"),"―",IF(CN29="N","対象外",IF(AND(I29="",J29="",K29=""),"標報未入力",IF(CH29&gt;=設定!$B$4,"要確認","問題なし"))))</f>
        <v>標報未入力</v>
      </c>
      <c r="E29" s="24" t="str">
        <f aca="false">IF(OR(G29="",G29="なし",CI29="",CJ29=0),"―",IF(CJ29=CI29,"前月同額",IF(CI29=0,"―",IF(ABS(CJ29/CI29-1)&gt;=設定!$B$5,"変動大 "&amp;TEXT(CJ29/CI29-1,"+0%;-0%"),"〇"))))</f>
        <v>―</v>
      </c>
      <c r="F29" s="10" t="str">
        <f aca="false">IF(OR(G29="",G29="なし"),"―",IF(CJ29=0,"入金不要",IF(COUNT(AD29,AF29,AH29,AJ29)=0,IF(AK29="○","手動確認","未入金"),IF(AND(N(AD29)=AC29,IF(AE29="",TRUE(),N(AF29)=AE29),IF(AG29="",TRUE(),N(AH29)=AG29),IF(AI29="",TRUE(),N(AJ29)=AI29)),"一致","不一致"))))</f>
        <v>手動確認</v>
      </c>
      <c r="G29" s="25" t="s">
        <v>167</v>
      </c>
      <c r="H29" s="26"/>
      <c r="I29" s="27"/>
      <c r="J29" s="27"/>
      <c r="K29" s="27"/>
      <c r="L29" s="27"/>
      <c r="M29" s="27"/>
      <c r="N29" s="27"/>
      <c r="O29" s="27" t="n">
        <v>107970</v>
      </c>
      <c r="P29" s="27" t="n">
        <v>8850</v>
      </c>
      <c r="Q29" s="27" t="n">
        <v>61194</v>
      </c>
      <c r="R29" s="27" t="n">
        <v>9322</v>
      </c>
      <c r="S29" s="27" t="n">
        <v>1356</v>
      </c>
      <c r="T29" s="27" t="n">
        <v>107970</v>
      </c>
      <c r="U29" s="27" t="n">
        <v>8850</v>
      </c>
      <c r="V29" s="27" t="n">
        <v>102</v>
      </c>
      <c r="W29" s="27" t="n">
        <v>61253</v>
      </c>
      <c r="X29" s="27" t="n">
        <v>9322</v>
      </c>
      <c r="Y29" s="27" t="n">
        <v>1357</v>
      </c>
      <c r="Z29" s="27"/>
      <c r="AA29" s="10" t="str">
        <f aca="false">IFERROR(INDEX(設定!$E$61:$E$106,MATCH(B29,設定!$B$61:$B$106,0)),"合算")</f>
        <v>合算</v>
      </c>
      <c r="AB29" s="28"/>
      <c r="AC29" s="29" t="n">
        <f aca="false">IF(OR(G29="",G29="なし"),"",IF(AA29="合算",CJ29+N(Z29),IF(AA29="掛金・負担金別",(AY29+AZ29+BD29+BF29+BH29),SUM(AY29:BC29))))</f>
        <v>377546</v>
      </c>
      <c r="AD29" s="27"/>
      <c r="AE29" s="29" t="str">
        <f aca="false">IF(OR(G29="",G29="なし"),"",IF(AA29="掛金・負担金別",(BA29+BB29+BC29+BE29+BG29+BI29+N(Z29)),IF(AA29="経理区分別",BD29+BE29,"")))</f>
        <v/>
      </c>
      <c r="AF29" s="27"/>
      <c r="AG29" s="29" t="str">
        <f aca="false">IF(OR(G29="",G29="なし"),"",IF(AA29="経理区分別",BF29+BG29,""))</f>
        <v/>
      </c>
      <c r="AH29" s="27"/>
      <c r="AI29" s="29" t="str">
        <f aca="false">IF(OR(G29="",G29="なし"),"",IF(AA29="経理区分別",BH29+BI29+N(Z29),""))</f>
        <v/>
      </c>
      <c r="AJ29" s="27"/>
      <c r="AK29" s="26" t="s">
        <v>168</v>
      </c>
      <c r="AL29" s="26"/>
      <c r="AM29" s="30"/>
      <c r="AN29" s="31"/>
      <c r="AO29" s="31"/>
      <c r="AP29" s="31"/>
      <c r="AQ29" s="31"/>
      <c r="AR29" s="31"/>
      <c r="AS29" s="31"/>
      <c r="AT29" s="31"/>
      <c r="AU29" s="31"/>
      <c r="AV29" s="31"/>
      <c r="AW29" s="31"/>
      <c r="AX29" s="31"/>
      <c r="AY29" s="31" t="n">
        <f aca="false">IF($G29="",AN29,O29)</f>
        <v>107970</v>
      </c>
      <c r="AZ29" s="31" t="n">
        <f aca="false">IF($G29="",AO29,P29)</f>
        <v>8850</v>
      </c>
      <c r="BA29" s="31" t="n">
        <f aca="false">IF($G29="",AP29,T29)</f>
        <v>107970</v>
      </c>
      <c r="BB29" s="31" t="n">
        <f aca="false">IF($G29="",AQ29,U29)</f>
        <v>8850</v>
      </c>
      <c r="BC29" s="31" t="n">
        <f aca="false">IF($G29="",AR29,V29)</f>
        <v>102</v>
      </c>
      <c r="BD29" s="31" t="n">
        <f aca="false">IF($G29="",AS29,Q29)</f>
        <v>61194</v>
      </c>
      <c r="BE29" s="31" t="n">
        <f aca="false">IF($G29="",AT29,W29)</f>
        <v>61253</v>
      </c>
      <c r="BF29" s="31" t="n">
        <f aca="false">IF($G29="",AU29,R29)</f>
        <v>9322</v>
      </c>
      <c r="BG29" s="31" t="n">
        <f aca="false">IF($G29="",AV29,X29)</f>
        <v>9322</v>
      </c>
      <c r="BH29" s="31" t="n">
        <f aca="false">IF($G29="",AW29,S29)</f>
        <v>1356</v>
      </c>
      <c r="BI29" s="31" t="n">
        <f aca="false">IF($G29="",AX29,Y29)</f>
        <v>1357</v>
      </c>
      <c r="BJ29" s="31" t="n">
        <f aca="false">IF(CK29="N",BR29,ROUNDDOWN((I29-L29)*設定!$B$10/1000,0)+ROUNDDOWN((I29-L29)*設定!$B$11/1000,0))</f>
        <v>0</v>
      </c>
      <c r="BK29" s="31" t="n">
        <f aca="false">ROUNDDOWN((I29-L29)*設定!$C$10/1000,0)+ROUNDDOWN((I29-L29)*設定!$C$11/1000,0)+ROUNDDOWN(I29*設定!$C$12/1000,0)+IF(CL29="市局型",ROUNDDOWN(I29*設定!$C$16/1000,0),0)</f>
        <v>0</v>
      </c>
      <c r="BL29" s="31" t="n">
        <f aca="false">IF(CK29="N",BT29,ROUNDDOWN((J29-M29)*設定!$B$13/1000,0))</f>
        <v>0</v>
      </c>
      <c r="BM29" s="31" t="n">
        <f aca="false">ROUNDDOWN((J29-M29)*設定!$C$13/1000,0)+IF(CL29="市局型",ROUNDDOWN(J29*設定!$C$17/1000,0),0)</f>
        <v>0</v>
      </c>
      <c r="BN29" s="31" t="n">
        <f aca="false">IF(CK29="N",BV29,ROUNDDOWN((K29-N29)*設定!$B$14/1000,0))</f>
        <v>0</v>
      </c>
      <c r="BO29" s="31" t="n">
        <f aca="false">ROUNDDOWN((K29-N29)*設定!$C$14/1000,0)</f>
        <v>0</v>
      </c>
      <c r="BP29" s="31" t="n">
        <f aca="false">IF(CK29="N",BX29,ROUNDDOWN((J29-M29)*設定!$B$15/1000,0))</f>
        <v>0</v>
      </c>
      <c r="BQ29" s="31" t="n">
        <f aca="false">ROUNDDOWN((J29-M29)*設定!$C$15/1000,0)</f>
        <v>0</v>
      </c>
      <c r="BR29" s="31" t="n">
        <f aca="false">O29+P29</f>
        <v>116820</v>
      </c>
      <c r="BS29" s="31" t="n">
        <f aca="false">T29+U29+V29</f>
        <v>116922</v>
      </c>
      <c r="BT29" s="31" t="n">
        <f aca="false">Q29</f>
        <v>61194</v>
      </c>
      <c r="BU29" s="31" t="n">
        <f aca="false">W29</f>
        <v>61253</v>
      </c>
      <c r="BV29" s="31" t="n">
        <f aca="false">R29</f>
        <v>9322</v>
      </c>
      <c r="BW29" s="31" t="n">
        <f aca="false">X29</f>
        <v>9322</v>
      </c>
      <c r="BX29" s="31" t="n">
        <f aca="false">S29</f>
        <v>1356</v>
      </c>
      <c r="BY29" s="31" t="n">
        <f aca="false">Y29</f>
        <v>1357</v>
      </c>
      <c r="BZ29" s="32" t="n">
        <f aca="false">IF(BJ29=0,IF(BR29=0,0,1),(BR29-BJ29)/BJ29)</f>
        <v>1</v>
      </c>
      <c r="CA29" s="32" t="n">
        <f aca="false">IF(BK29=0,IF(BS29=0,0,1),(BS29-BK29)/BK29)</f>
        <v>1</v>
      </c>
      <c r="CB29" s="32" t="n">
        <f aca="false">IF(BL29=0,IF(BT29=0,0,1),(BT29-BL29)/BL29)</f>
        <v>1</v>
      </c>
      <c r="CC29" s="32" t="n">
        <f aca="false">IF(BM29=0,IF(BU29=0,0,1),(BU29-BM29)/BM29)</f>
        <v>1</v>
      </c>
      <c r="CD29" s="32" t="n">
        <f aca="false">IF(BN29=0,IF(BV29=0,0,1),(BV29-BN29)/BN29)</f>
        <v>1</v>
      </c>
      <c r="CE29" s="32" t="n">
        <f aca="false">IF(BO29=0,IF(BW29=0,0,1),(BW29-BO29)/BO29)</f>
        <v>1</v>
      </c>
      <c r="CF29" s="32" t="n">
        <f aca="false">IF(BP29=0,IF(BX29=0,0,1),(BX29-BP29)/BP29)</f>
        <v>1</v>
      </c>
      <c r="CG29" s="32" t="n">
        <f aca="false">IF(BQ29=0,IF(BY29=0,0,1),(BY29-BQ29)/BQ29)</f>
        <v>1</v>
      </c>
      <c r="CH29" s="32" t="n">
        <f aca="false">MAX(MAX(BZ29:CG29),-MIN(BZ29:CG29))</f>
        <v>1</v>
      </c>
      <c r="CI29" s="31" t="str">
        <f aca="false">IF(CO29="","",SUMIFS($CJ$7:$CJ$696,$A$7:$A$696,CO29,$B$7:$B$696,B29))</f>
        <v/>
      </c>
      <c r="CJ29" s="31" t="n">
        <f aca="false">SUM(AY29:BI29)</f>
        <v>377546</v>
      </c>
      <c r="CK29" s="31" t="str">
        <f aca="false">IFERROR(INDEX(設定!$F$61:$F$106,MATCH(B29,設定!$B$61:$B$106,0)),"Y")</f>
        <v>Y</v>
      </c>
      <c r="CL29" s="31" t="str">
        <f aca="false">IFERROR(INDEX(設定!$G$61:$G$106,MATCH(B29,設定!$B$61:$B$106,0)),"外郭型")</f>
        <v>外郭型</v>
      </c>
      <c r="CM29" s="33" t="str">
        <f aca="false">A29&amp;"|"&amp;B29</f>
        <v>2026-04 月例|救急振興財団</v>
      </c>
      <c r="CN29" s="34" t="str">
        <f aca="false">IFERROR(INDEX(設定!$D$61:$D$106,MATCH(B29,設定!$B$61:$B$106,0)),"Y")</f>
        <v>Y</v>
      </c>
      <c r="CO29" s="34" t="str">
        <f aca="false">IFERROR(INDEX(設定!$D$20:$D$34,MATCH(A29,設定!$A$20:$A$34,0))&amp;"","")</f>
        <v/>
      </c>
    </row>
    <row r="30" customFormat="false" ht="15" hidden="true" customHeight="false" outlineLevel="0" collapsed="false">
      <c r="A30" s="22" t="s">
        <v>165</v>
      </c>
      <c r="B30" s="23" t="s">
        <v>192</v>
      </c>
      <c r="C30" s="10" t="str">
        <f aca="false">IF(G30="","未受領",IF(G30="なし","報告なし",IF(AL30="○","起票済",IF(OR(AK30="○",F30="一致",F30="入金不要"),"入金確認済","受領済"))))</f>
        <v>入金確認済</v>
      </c>
      <c r="D30" s="10" t="str">
        <f aca="false">IF(OR(G30="",G30="なし"),"―",IF(CN30="N","対象外",IF(AND(I30="",J30="",K30=""),"標報未入力",IF(CH30&gt;=設定!$B$4,"要確認","問題なし"))))</f>
        <v>標報未入力</v>
      </c>
      <c r="E30" s="24" t="str">
        <f aca="false">IF(OR(G30="",G30="なし",CI30="",CJ30=0),"―",IF(CJ30=CI30,"前月同額",IF(CI30=0,"―",IF(ABS(CJ30/CI30-1)&gt;=設定!$B$5,"変動大 "&amp;TEXT(CJ30/CI30-1,"+0%;-0%"),"〇"))))</f>
        <v>―</v>
      </c>
      <c r="F30" s="10" t="str">
        <f aca="false">IF(OR(G30="",G30="なし"),"―",IF(CJ30=0,"入金不要",IF(COUNT(AD30,AF30,AH30,AJ30)=0,IF(AK30="○","手動確認","未入金"),IF(AND(N(AD30)=AC30,IF(AE30="",TRUE(),N(AF30)=AE30),IF(AG30="",TRUE(),N(AH30)=AG30),IF(AI30="",TRUE(),N(AJ30)=AI30)),"一致","不一致"))))</f>
        <v>手動確認</v>
      </c>
      <c r="G30" s="25" t="s">
        <v>167</v>
      </c>
      <c r="H30" s="26"/>
      <c r="I30" s="27"/>
      <c r="J30" s="27"/>
      <c r="K30" s="27"/>
      <c r="L30" s="27"/>
      <c r="M30" s="27"/>
      <c r="N30" s="27"/>
      <c r="O30" s="27" t="n">
        <v>784155</v>
      </c>
      <c r="P30" s="27" t="n">
        <v>64275</v>
      </c>
      <c r="Q30" s="27" t="n">
        <v>444434</v>
      </c>
      <c r="R30" s="27" t="n">
        <v>39342</v>
      </c>
      <c r="S30" s="27" t="n">
        <v>9851</v>
      </c>
      <c r="T30" s="27" t="n">
        <v>784155</v>
      </c>
      <c r="U30" s="27" t="n">
        <v>64275</v>
      </c>
      <c r="V30" s="27" t="n">
        <v>804</v>
      </c>
      <c r="W30" s="27" t="n">
        <v>444868</v>
      </c>
      <c r="X30" s="27" t="n">
        <v>39342</v>
      </c>
      <c r="Y30" s="27" t="n">
        <v>9855</v>
      </c>
      <c r="Z30" s="27"/>
      <c r="AA30" s="10" t="str">
        <f aca="false">IFERROR(INDEX(設定!$E$61:$E$106,MATCH(B30,設定!$B$61:$B$106,0)),"合算")</f>
        <v>合算</v>
      </c>
      <c r="AB30" s="28"/>
      <c r="AC30" s="29" t="n">
        <f aca="false">IF(OR(G30="",G30="なし"),"",IF(AA30="合算",CJ30+N(Z30),IF(AA30="掛金・負担金別",(AY30+AZ30+BD30+BF30+BH30),SUM(AY30:BC30))))</f>
        <v>2685356</v>
      </c>
      <c r="AD30" s="27"/>
      <c r="AE30" s="29" t="str">
        <f aca="false">IF(OR(G30="",G30="なし"),"",IF(AA30="掛金・負担金別",(BA30+BB30+BC30+BE30+BG30+BI30+N(Z30)),IF(AA30="経理区分別",BD30+BE30,"")))</f>
        <v/>
      </c>
      <c r="AF30" s="27"/>
      <c r="AG30" s="29" t="str">
        <f aca="false">IF(OR(G30="",G30="なし"),"",IF(AA30="経理区分別",BF30+BG30,""))</f>
        <v/>
      </c>
      <c r="AH30" s="27"/>
      <c r="AI30" s="29" t="str">
        <f aca="false">IF(OR(G30="",G30="なし"),"",IF(AA30="経理区分別",BH30+BI30+N(Z30),""))</f>
        <v/>
      </c>
      <c r="AJ30" s="27"/>
      <c r="AK30" s="26" t="s">
        <v>168</v>
      </c>
      <c r="AL30" s="26"/>
      <c r="AM30" s="30"/>
      <c r="AN30" s="31"/>
      <c r="AO30" s="31"/>
      <c r="AP30" s="31"/>
      <c r="AQ30" s="31"/>
      <c r="AR30" s="31"/>
      <c r="AS30" s="31"/>
      <c r="AT30" s="31"/>
      <c r="AU30" s="31"/>
      <c r="AV30" s="31"/>
      <c r="AW30" s="31"/>
      <c r="AX30" s="31"/>
      <c r="AY30" s="31" t="n">
        <f aca="false">IF($G30="",AN30,O30)</f>
        <v>784155</v>
      </c>
      <c r="AZ30" s="31" t="n">
        <f aca="false">IF($G30="",AO30,P30)</f>
        <v>64275</v>
      </c>
      <c r="BA30" s="31" t="n">
        <f aca="false">IF($G30="",AP30,T30)</f>
        <v>784155</v>
      </c>
      <c r="BB30" s="31" t="n">
        <f aca="false">IF($G30="",AQ30,U30)</f>
        <v>64275</v>
      </c>
      <c r="BC30" s="31" t="n">
        <f aca="false">IF($G30="",AR30,V30)</f>
        <v>804</v>
      </c>
      <c r="BD30" s="31" t="n">
        <f aca="false">IF($G30="",AS30,Q30)</f>
        <v>444434</v>
      </c>
      <c r="BE30" s="31" t="n">
        <f aca="false">IF($G30="",AT30,W30)</f>
        <v>444868</v>
      </c>
      <c r="BF30" s="31" t="n">
        <f aca="false">IF($G30="",AU30,R30)</f>
        <v>39342</v>
      </c>
      <c r="BG30" s="31" t="n">
        <f aca="false">IF($G30="",AV30,X30)</f>
        <v>39342</v>
      </c>
      <c r="BH30" s="31" t="n">
        <f aca="false">IF($G30="",AW30,S30)</f>
        <v>9851</v>
      </c>
      <c r="BI30" s="31" t="n">
        <f aca="false">IF($G30="",AX30,Y30)</f>
        <v>9855</v>
      </c>
      <c r="BJ30" s="31" t="n">
        <f aca="false">IF(CK30="N",BR30,ROUNDDOWN((I30-L30)*設定!$B$10/1000,0)+ROUNDDOWN((I30-L30)*設定!$B$11/1000,0))</f>
        <v>0</v>
      </c>
      <c r="BK30" s="31" t="n">
        <f aca="false">ROUNDDOWN((I30-L30)*設定!$C$10/1000,0)+ROUNDDOWN((I30-L30)*設定!$C$11/1000,0)+ROUNDDOWN(I30*設定!$C$12/1000,0)+IF(CL30="市局型",ROUNDDOWN(I30*設定!$C$16/1000,0),0)</f>
        <v>0</v>
      </c>
      <c r="BL30" s="31" t="n">
        <f aca="false">IF(CK30="N",BT30,ROUNDDOWN((J30-M30)*設定!$B$13/1000,0))</f>
        <v>0</v>
      </c>
      <c r="BM30" s="31" t="n">
        <f aca="false">ROUNDDOWN((J30-M30)*設定!$C$13/1000,0)+IF(CL30="市局型",ROUNDDOWN(J30*設定!$C$17/1000,0),0)</f>
        <v>0</v>
      </c>
      <c r="BN30" s="31" t="n">
        <f aca="false">IF(CK30="N",BV30,ROUNDDOWN((K30-N30)*設定!$B$14/1000,0))</f>
        <v>0</v>
      </c>
      <c r="BO30" s="31" t="n">
        <f aca="false">ROUNDDOWN((K30-N30)*設定!$C$14/1000,0)</f>
        <v>0</v>
      </c>
      <c r="BP30" s="31" t="n">
        <f aca="false">IF(CK30="N",BX30,ROUNDDOWN((J30-M30)*設定!$B$15/1000,0))</f>
        <v>0</v>
      </c>
      <c r="BQ30" s="31" t="n">
        <f aca="false">ROUNDDOWN((J30-M30)*設定!$C$15/1000,0)</f>
        <v>0</v>
      </c>
      <c r="BR30" s="31" t="n">
        <f aca="false">O30+P30</f>
        <v>848430</v>
      </c>
      <c r="BS30" s="31" t="n">
        <f aca="false">T30+U30+V30</f>
        <v>849234</v>
      </c>
      <c r="BT30" s="31" t="n">
        <f aca="false">Q30</f>
        <v>444434</v>
      </c>
      <c r="BU30" s="31" t="n">
        <f aca="false">W30</f>
        <v>444868</v>
      </c>
      <c r="BV30" s="31" t="n">
        <f aca="false">R30</f>
        <v>39342</v>
      </c>
      <c r="BW30" s="31" t="n">
        <f aca="false">X30</f>
        <v>39342</v>
      </c>
      <c r="BX30" s="31" t="n">
        <f aca="false">S30</f>
        <v>9851</v>
      </c>
      <c r="BY30" s="31" t="n">
        <f aca="false">Y30</f>
        <v>9855</v>
      </c>
      <c r="BZ30" s="32" t="n">
        <f aca="false">IF(BJ30=0,IF(BR30=0,0,1),(BR30-BJ30)/BJ30)</f>
        <v>1</v>
      </c>
      <c r="CA30" s="32" t="n">
        <f aca="false">IF(BK30=0,IF(BS30=0,0,1),(BS30-BK30)/BK30)</f>
        <v>1</v>
      </c>
      <c r="CB30" s="32" t="n">
        <f aca="false">IF(BL30=0,IF(BT30=0,0,1),(BT30-BL30)/BL30)</f>
        <v>1</v>
      </c>
      <c r="CC30" s="32" t="n">
        <f aca="false">IF(BM30=0,IF(BU30=0,0,1),(BU30-BM30)/BM30)</f>
        <v>1</v>
      </c>
      <c r="CD30" s="32" t="n">
        <f aca="false">IF(BN30=0,IF(BV30=0,0,1),(BV30-BN30)/BN30)</f>
        <v>1</v>
      </c>
      <c r="CE30" s="32" t="n">
        <f aca="false">IF(BO30=0,IF(BW30=0,0,1),(BW30-BO30)/BO30)</f>
        <v>1</v>
      </c>
      <c r="CF30" s="32" t="n">
        <f aca="false">IF(BP30=0,IF(BX30=0,0,1),(BX30-BP30)/BP30)</f>
        <v>1</v>
      </c>
      <c r="CG30" s="32" t="n">
        <f aca="false">IF(BQ30=0,IF(BY30=0,0,1),(BY30-BQ30)/BQ30)</f>
        <v>1</v>
      </c>
      <c r="CH30" s="32" t="n">
        <f aca="false">MAX(MAX(BZ30:CG30),-MIN(BZ30:CG30))</f>
        <v>1</v>
      </c>
      <c r="CI30" s="31" t="str">
        <f aca="false">IF(CO30="","",SUMIFS($CJ$7:$CJ$696,$A$7:$A$696,CO30,$B$7:$B$696,B30))</f>
        <v/>
      </c>
      <c r="CJ30" s="31" t="n">
        <f aca="false">SUM(AY30:BI30)</f>
        <v>2685356</v>
      </c>
      <c r="CK30" s="31" t="str">
        <f aca="false">IFERROR(INDEX(設定!$F$61:$F$106,MATCH(B30,設定!$B$61:$B$106,0)),"Y")</f>
        <v>Y</v>
      </c>
      <c r="CL30" s="31" t="str">
        <f aca="false">IFERROR(INDEX(設定!$G$61:$G$106,MATCH(B30,設定!$B$61:$B$106,0)),"外郭型")</f>
        <v>外郭型</v>
      </c>
      <c r="CM30" s="33" t="str">
        <f aca="false">A30&amp;"|"&amp;B30</f>
        <v>2026-04 月例|高速道路公社</v>
      </c>
      <c r="CN30" s="34" t="str">
        <f aca="false">IFERROR(INDEX(設定!$D$61:$D$106,MATCH(B30,設定!$B$61:$B$106,0)),"Y")</f>
        <v>Y</v>
      </c>
      <c r="CO30" s="34" t="str">
        <f aca="false">IFERROR(INDEX(設定!$D$20:$D$34,MATCH(A30,設定!$A$20:$A$34,0))&amp;"","")</f>
        <v/>
      </c>
    </row>
    <row r="31" customFormat="false" ht="15" hidden="true" customHeight="false" outlineLevel="0" collapsed="false">
      <c r="A31" s="22" t="s">
        <v>165</v>
      </c>
      <c r="B31" s="23" t="s">
        <v>193</v>
      </c>
      <c r="C31" s="10" t="str">
        <f aca="false">IF(G31="","未受領",IF(G31="なし","報告なし",IF(AL31="○","起票済",IF(OR(AK31="○",F31="一致",F31="入金不要"),"入金確認済","受領済"))))</f>
        <v>入金確認済</v>
      </c>
      <c r="D31" s="10" t="str">
        <f aca="false">IF(OR(G31="",G31="なし"),"―",IF(CN31="N","対象外",IF(AND(I31="",J31="",K31=""),"標報未入力",IF(CH31&gt;=設定!$B$4,"要確認","問題なし"))))</f>
        <v>標報未入力</v>
      </c>
      <c r="E31" s="24" t="str">
        <f aca="false">IF(OR(G31="",G31="なし",CI31="",CJ31=0),"―",IF(CJ31=CI31,"前月同額",IF(CI31=0,"―",IF(ABS(CJ31/CI31-1)&gt;=設定!$B$5,"変動大 "&amp;TEXT(CJ31/CI31-1,"+0%;-0%"),"〇"))))</f>
        <v>―</v>
      </c>
      <c r="F31" s="10" t="str">
        <f aca="false">IF(OR(G31="",G31="なし"),"―",IF(CJ31=0,"入金不要",IF(COUNT(AD31,AF31,AH31,AJ31)=0,IF(AK31="○","手動確認","未入金"),IF(AND(N(AD31)=AC31,IF(AE31="",TRUE(),N(AF31)=AE31),IF(AG31="",TRUE(),N(AH31)=AG31),IF(AI31="",TRUE(),N(AJ31)=AI31)),"一致","不一致"))))</f>
        <v>手動確認</v>
      </c>
      <c r="G31" s="25" t="s">
        <v>167</v>
      </c>
      <c r="H31" s="26"/>
      <c r="I31" s="27"/>
      <c r="J31" s="27"/>
      <c r="K31" s="27"/>
      <c r="L31" s="27"/>
      <c r="M31" s="27"/>
      <c r="N31" s="27"/>
      <c r="O31" s="27"/>
      <c r="P31" s="27"/>
      <c r="Q31" s="27"/>
      <c r="R31" s="27"/>
      <c r="S31" s="27"/>
      <c r="T31" s="27" t="n">
        <v>602070</v>
      </c>
      <c r="U31" s="27" t="n">
        <v>49350</v>
      </c>
      <c r="V31" s="27" t="n">
        <v>598</v>
      </c>
      <c r="W31" s="27" t="n">
        <v>341582</v>
      </c>
      <c r="X31" s="27" t="n">
        <v>28203</v>
      </c>
      <c r="Y31" s="27" t="n">
        <v>7565</v>
      </c>
      <c r="Z31" s="27"/>
      <c r="AA31" s="10" t="str">
        <f aca="false">IFERROR(INDEX(設定!$E$61:$E$106,MATCH(B31,設定!$B$61:$B$106,0)),"合算")</f>
        <v>合算</v>
      </c>
      <c r="AB31" s="28"/>
      <c r="AC31" s="29" t="n">
        <f aca="false">IF(OR(G31="",G31="なし"),"",IF(AA31="合算",CJ31+N(Z31),IF(AA31="掛金・負担金別",(AY31+AZ31+BD31+BF31+BH31),SUM(AY31:BC31))))</f>
        <v>1029368</v>
      </c>
      <c r="AD31" s="27"/>
      <c r="AE31" s="29" t="str">
        <f aca="false">IF(OR(G31="",G31="なし"),"",IF(AA31="掛金・負担金別",(BA31+BB31+BC31+BE31+BG31+BI31+N(Z31)),IF(AA31="経理区分別",BD31+BE31,"")))</f>
        <v/>
      </c>
      <c r="AF31" s="27"/>
      <c r="AG31" s="29" t="str">
        <f aca="false">IF(OR(G31="",G31="なし"),"",IF(AA31="経理区分別",BF31+BG31,""))</f>
        <v/>
      </c>
      <c r="AH31" s="27"/>
      <c r="AI31" s="29" t="str">
        <f aca="false">IF(OR(G31="",G31="なし"),"",IF(AA31="経理区分別",BH31+BI31+N(Z31),""))</f>
        <v/>
      </c>
      <c r="AJ31" s="27"/>
      <c r="AK31" s="26" t="s">
        <v>168</v>
      </c>
      <c r="AL31" s="26"/>
      <c r="AM31" s="30"/>
      <c r="AN31" s="31"/>
      <c r="AO31" s="31"/>
      <c r="AP31" s="31"/>
      <c r="AQ31" s="31"/>
      <c r="AR31" s="31"/>
      <c r="AS31" s="31"/>
      <c r="AT31" s="31"/>
      <c r="AU31" s="31"/>
      <c r="AV31" s="31"/>
      <c r="AW31" s="31"/>
      <c r="AX31" s="31"/>
      <c r="AY31" s="31" t="n">
        <f aca="false">IF($G31="",AN31,O31)</f>
        <v>0</v>
      </c>
      <c r="AZ31" s="31" t="n">
        <f aca="false">IF($G31="",AO31,P31)</f>
        <v>0</v>
      </c>
      <c r="BA31" s="31" t="n">
        <f aca="false">IF($G31="",AP31,T31)</f>
        <v>602070</v>
      </c>
      <c r="BB31" s="31" t="n">
        <f aca="false">IF($G31="",AQ31,U31)</f>
        <v>49350</v>
      </c>
      <c r="BC31" s="31" t="n">
        <f aca="false">IF($G31="",AR31,V31)</f>
        <v>598</v>
      </c>
      <c r="BD31" s="31" t="n">
        <f aca="false">IF($G31="",AS31,Q31)</f>
        <v>0</v>
      </c>
      <c r="BE31" s="31" t="n">
        <f aca="false">IF($G31="",AT31,W31)</f>
        <v>341582</v>
      </c>
      <c r="BF31" s="31" t="n">
        <f aca="false">IF($G31="",AU31,R31)</f>
        <v>0</v>
      </c>
      <c r="BG31" s="31" t="n">
        <f aca="false">IF($G31="",AV31,X31)</f>
        <v>28203</v>
      </c>
      <c r="BH31" s="31" t="n">
        <f aca="false">IF($G31="",AW31,S31)</f>
        <v>0</v>
      </c>
      <c r="BI31" s="31" t="n">
        <f aca="false">IF($G31="",AX31,Y31)</f>
        <v>7565</v>
      </c>
      <c r="BJ31" s="31" t="n">
        <f aca="false">IF(CK31="N",BR31,ROUNDDOWN((I31-L31)*設定!$B$10/1000,0)+ROUNDDOWN((I31-L31)*設定!$B$11/1000,0))</f>
        <v>0</v>
      </c>
      <c r="BK31" s="31" t="n">
        <f aca="false">ROUNDDOWN((I31-L31)*設定!$C$10/1000,0)+ROUNDDOWN((I31-L31)*設定!$C$11/1000,0)+ROUNDDOWN(I31*設定!$C$12/1000,0)+IF(CL31="市局型",ROUNDDOWN(I31*設定!$C$16/1000,0),0)</f>
        <v>0</v>
      </c>
      <c r="BL31" s="31" t="n">
        <f aca="false">IF(CK31="N",BT31,ROUNDDOWN((J31-M31)*設定!$B$13/1000,0))</f>
        <v>0</v>
      </c>
      <c r="BM31" s="31" t="n">
        <f aca="false">ROUNDDOWN((J31-M31)*設定!$C$13/1000,0)+IF(CL31="市局型",ROUNDDOWN(J31*設定!$C$17/1000,0),0)</f>
        <v>0</v>
      </c>
      <c r="BN31" s="31" t="n">
        <f aca="false">IF(CK31="N",BV31,ROUNDDOWN((K31-N31)*設定!$B$14/1000,0))</f>
        <v>0</v>
      </c>
      <c r="BO31" s="31" t="n">
        <f aca="false">ROUNDDOWN((K31-N31)*設定!$C$14/1000,0)</f>
        <v>0</v>
      </c>
      <c r="BP31" s="31" t="n">
        <f aca="false">IF(CK31="N",BX31,ROUNDDOWN((J31-M31)*設定!$B$15/1000,0))</f>
        <v>0</v>
      </c>
      <c r="BQ31" s="31" t="n">
        <f aca="false">ROUNDDOWN((J31-M31)*設定!$C$15/1000,0)</f>
        <v>0</v>
      </c>
      <c r="BR31" s="31" t="n">
        <f aca="false">O31+P31</f>
        <v>0</v>
      </c>
      <c r="BS31" s="31" t="n">
        <f aca="false">T31+U31+V31</f>
        <v>652018</v>
      </c>
      <c r="BT31" s="31" t="n">
        <f aca="false">Q31</f>
        <v>0</v>
      </c>
      <c r="BU31" s="31" t="n">
        <f aca="false">W31</f>
        <v>341582</v>
      </c>
      <c r="BV31" s="31" t="n">
        <f aca="false">R31</f>
        <v>0</v>
      </c>
      <c r="BW31" s="31" t="n">
        <f aca="false">X31</f>
        <v>28203</v>
      </c>
      <c r="BX31" s="31" t="n">
        <f aca="false">S31</f>
        <v>0</v>
      </c>
      <c r="BY31" s="31" t="n">
        <f aca="false">Y31</f>
        <v>7565</v>
      </c>
      <c r="BZ31" s="32" t="n">
        <f aca="false">IF(BJ31=0,IF(BR31=0,0,1),(BR31-BJ31)/BJ31)</f>
        <v>0</v>
      </c>
      <c r="CA31" s="32" t="n">
        <f aca="false">IF(BK31=0,IF(BS31=0,0,1),(BS31-BK31)/BK31)</f>
        <v>1</v>
      </c>
      <c r="CB31" s="32" t="n">
        <f aca="false">IF(BL31=0,IF(BT31=0,0,1),(BT31-BL31)/BL31)</f>
        <v>0</v>
      </c>
      <c r="CC31" s="32" t="n">
        <f aca="false">IF(BM31=0,IF(BU31=0,0,1),(BU31-BM31)/BM31)</f>
        <v>1</v>
      </c>
      <c r="CD31" s="32" t="n">
        <f aca="false">IF(BN31=0,IF(BV31=0,0,1),(BV31-BN31)/BN31)</f>
        <v>0</v>
      </c>
      <c r="CE31" s="32" t="n">
        <f aca="false">IF(BO31=0,IF(BW31=0,0,1),(BW31-BO31)/BO31)</f>
        <v>1</v>
      </c>
      <c r="CF31" s="32" t="n">
        <f aca="false">IF(BP31=0,IF(BX31=0,0,1),(BX31-BP31)/BP31)</f>
        <v>0</v>
      </c>
      <c r="CG31" s="32" t="n">
        <f aca="false">IF(BQ31=0,IF(BY31=0,0,1),(BY31-BQ31)/BQ31)</f>
        <v>1</v>
      </c>
      <c r="CH31" s="32" t="n">
        <f aca="false">MAX(MAX(BZ31:CG31),-MIN(BZ31:CG31))</f>
        <v>1</v>
      </c>
      <c r="CI31" s="31" t="str">
        <f aca="false">IF(CO31="","",SUMIFS($CJ$7:$CJ$696,$A$7:$A$696,CO31,$B$7:$B$696,B31))</f>
        <v/>
      </c>
      <c r="CJ31" s="31" t="n">
        <f aca="false">SUM(AY31:BI31)</f>
        <v>1029368</v>
      </c>
      <c r="CK31" s="31" t="str">
        <f aca="false">IFERROR(INDEX(設定!$F$61:$F$106,MATCH(B31,設定!$B$61:$B$106,0)),"Y")</f>
        <v>N</v>
      </c>
      <c r="CL31" s="31" t="str">
        <f aca="false">IFERROR(INDEX(設定!$G$61:$G$106,MATCH(B31,設定!$B$61:$B$106,0)),"外郭型")</f>
        <v>外郭型</v>
      </c>
      <c r="CM31" s="33" t="str">
        <f aca="false">A31&amp;"|"&amp;B31</f>
        <v>2026-04 月例|農林水産振興センタ</v>
      </c>
      <c r="CN31" s="34" t="str">
        <f aca="false">IFERROR(INDEX(設定!$D$61:$D$106,MATCH(B31,設定!$B$61:$B$106,0)),"Y")</f>
        <v>Y</v>
      </c>
      <c r="CO31" s="34" t="str">
        <f aca="false">IFERROR(INDEX(設定!$D$20:$D$34,MATCH(A31,設定!$A$20:$A$34,0))&amp;"","")</f>
        <v/>
      </c>
    </row>
    <row r="32" customFormat="false" ht="15" hidden="true" customHeight="false" outlineLevel="0" collapsed="false">
      <c r="A32" s="22" t="s">
        <v>165</v>
      </c>
      <c r="B32" s="23" t="s">
        <v>194</v>
      </c>
      <c r="C32" s="10" t="str">
        <f aca="false">IF(G32="","未受領",IF(G32="なし","報告なし",IF(AL32="○","起票済",IF(OR(AK32="○",F32="一致",F32="入金不要"),"入金確認済","受領済"))))</f>
        <v>入金確認済</v>
      </c>
      <c r="D32" s="10" t="str">
        <f aca="false">IF(OR(G32="",G32="なし"),"―",IF(CN32="N","対象外",IF(AND(I32="",J32="",K32=""),"標報未入力",IF(CH32&gt;=設定!$B$4,"要確認","問題なし"))))</f>
        <v>標報未入力</v>
      </c>
      <c r="E32" s="24" t="str">
        <f aca="false">IF(OR(G32="",G32="なし",CI32="",CJ32=0),"―",IF(CJ32=CI32,"前月同額",IF(CI32=0,"―",IF(ABS(CJ32/CI32-1)&gt;=設定!$B$5,"変動大 "&amp;TEXT(CJ32/CI32-1,"+0%;-0%"),"〇"))))</f>
        <v>―</v>
      </c>
      <c r="F32" s="10" t="str">
        <f aca="false">IF(OR(G32="",G32="なし"),"―",IF(CJ32=0,"入金不要",IF(COUNT(AD32,AF32,AH32,AJ32)=0,IF(AK32="○","手動確認","未入金"),IF(AND(N(AD32)=AC32,IF(AE32="",TRUE(),N(AF32)=AE32),IF(AG32="",TRUE(),N(AH32)=AG32),IF(AI32="",TRUE(),N(AJ32)=AI32)),"一致","不一致"))))</f>
        <v>手動確認</v>
      </c>
      <c r="G32" s="25" t="s">
        <v>167</v>
      </c>
      <c r="H32" s="26"/>
      <c r="I32" s="27"/>
      <c r="J32" s="27"/>
      <c r="K32" s="27"/>
      <c r="L32" s="27"/>
      <c r="M32" s="27"/>
      <c r="N32" s="27"/>
      <c r="O32" s="27"/>
      <c r="P32" s="27"/>
      <c r="Q32" s="27"/>
      <c r="R32" s="27"/>
      <c r="S32" s="27"/>
      <c r="T32" s="27" t="n">
        <v>1056825</v>
      </c>
      <c r="U32" s="27" t="n">
        <v>86625</v>
      </c>
      <c r="V32" s="27" t="n">
        <v>1000</v>
      </c>
      <c r="W32" s="27" t="n">
        <v>602672</v>
      </c>
      <c r="X32" s="27" t="n">
        <v>86347</v>
      </c>
      <c r="Y32" s="27" t="n">
        <v>13350</v>
      </c>
      <c r="Z32" s="27"/>
      <c r="AA32" s="10" t="str">
        <f aca="false">IFERROR(INDEX(設定!$E$61:$E$106,MATCH(B32,設定!$B$61:$B$106,0)),"合算")</f>
        <v>合算</v>
      </c>
      <c r="AB32" s="28"/>
      <c r="AC32" s="29" t="n">
        <f aca="false">IF(OR(G32="",G32="なし"),"",IF(AA32="合算",CJ32+N(Z32),IF(AA32="掛金・負担金別",(AY32+AZ32+BD32+BF32+BH32),SUM(AY32:BC32))))</f>
        <v>1846819</v>
      </c>
      <c r="AD32" s="27"/>
      <c r="AE32" s="29" t="str">
        <f aca="false">IF(OR(G32="",G32="なし"),"",IF(AA32="掛金・負担金別",(BA32+BB32+BC32+BE32+BG32+BI32+N(Z32)),IF(AA32="経理区分別",BD32+BE32,"")))</f>
        <v/>
      </c>
      <c r="AF32" s="27"/>
      <c r="AG32" s="29" t="str">
        <f aca="false">IF(OR(G32="",G32="なし"),"",IF(AA32="経理区分別",BF32+BG32,""))</f>
        <v/>
      </c>
      <c r="AH32" s="27"/>
      <c r="AI32" s="29" t="str">
        <f aca="false">IF(OR(G32="",G32="なし"),"",IF(AA32="経理区分別",BH32+BI32+N(Z32),""))</f>
        <v/>
      </c>
      <c r="AJ32" s="27"/>
      <c r="AK32" s="26" t="s">
        <v>168</v>
      </c>
      <c r="AL32" s="26"/>
      <c r="AM32" s="30"/>
      <c r="AN32" s="31"/>
      <c r="AO32" s="31"/>
      <c r="AP32" s="31"/>
      <c r="AQ32" s="31"/>
      <c r="AR32" s="31"/>
      <c r="AS32" s="31"/>
      <c r="AT32" s="31"/>
      <c r="AU32" s="31"/>
      <c r="AV32" s="31"/>
      <c r="AW32" s="31"/>
      <c r="AX32" s="31"/>
      <c r="AY32" s="31" t="n">
        <f aca="false">IF($G32="",AN32,O32)</f>
        <v>0</v>
      </c>
      <c r="AZ32" s="31" t="n">
        <f aca="false">IF($G32="",AO32,P32)</f>
        <v>0</v>
      </c>
      <c r="BA32" s="31" t="n">
        <f aca="false">IF($G32="",AP32,T32)</f>
        <v>1056825</v>
      </c>
      <c r="BB32" s="31" t="n">
        <f aca="false">IF($G32="",AQ32,U32)</f>
        <v>86625</v>
      </c>
      <c r="BC32" s="31" t="n">
        <f aca="false">IF($G32="",AR32,V32)</f>
        <v>1000</v>
      </c>
      <c r="BD32" s="31" t="n">
        <f aca="false">IF($G32="",AS32,Q32)</f>
        <v>0</v>
      </c>
      <c r="BE32" s="31" t="n">
        <f aca="false">IF($G32="",AT32,W32)</f>
        <v>602672</v>
      </c>
      <c r="BF32" s="31" t="n">
        <f aca="false">IF($G32="",AU32,R32)</f>
        <v>0</v>
      </c>
      <c r="BG32" s="31" t="n">
        <f aca="false">IF($G32="",AV32,X32)</f>
        <v>86347</v>
      </c>
      <c r="BH32" s="31" t="n">
        <f aca="false">IF($G32="",AW32,S32)</f>
        <v>0</v>
      </c>
      <c r="BI32" s="31" t="n">
        <f aca="false">IF($G32="",AX32,Y32)</f>
        <v>13350</v>
      </c>
      <c r="BJ32" s="31" t="n">
        <f aca="false">IF(CK32="N",BR32,ROUNDDOWN((I32-L32)*設定!$B$10/1000,0)+ROUNDDOWN((I32-L32)*設定!$B$11/1000,0))</f>
        <v>0</v>
      </c>
      <c r="BK32" s="31" t="n">
        <f aca="false">ROUNDDOWN((I32-L32)*設定!$C$10/1000,0)+ROUNDDOWN((I32-L32)*設定!$C$11/1000,0)+ROUNDDOWN(I32*設定!$C$12/1000,0)+IF(CL32="市局型",ROUNDDOWN(I32*設定!$C$16/1000,0),0)</f>
        <v>0</v>
      </c>
      <c r="BL32" s="31" t="n">
        <f aca="false">IF(CK32="N",BT32,ROUNDDOWN((J32-M32)*設定!$B$13/1000,0))</f>
        <v>0</v>
      </c>
      <c r="BM32" s="31" t="n">
        <f aca="false">ROUNDDOWN((J32-M32)*設定!$C$13/1000,0)+IF(CL32="市局型",ROUNDDOWN(J32*設定!$C$17/1000,0),0)</f>
        <v>0</v>
      </c>
      <c r="BN32" s="31" t="n">
        <f aca="false">IF(CK32="N",BV32,ROUNDDOWN((K32-N32)*設定!$B$14/1000,0))</f>
        <v>0</v>
      </c>
      <c r="BO32" s="31" t="n">
        <f aca="false">ROUNDDOWN((K32-N32)*設定!$C$14/1000,0)</f>
        <v>0</v>
      </c>
      <c r="BP32" s="31" t="n">
        <f aca="false">IF(CK32="N",BX32,ROUNDDOWN((J32-M32)*設定!$B$15/1000,0))</f>
        <v>0</v>
      </c>
      <c r="BQ32" s="31" t="n">
        <f aca="false">ROUNDDOWN((J32-M32)*設定!$C$15/1000,0)</f>
        <v>0</v>
      </c>
      <c r="BR32" s="31" t="n">
        <f aca="false">O32+P32</f>
        <v>0</v>
      </c>
      <c r="BS32" s="31" t="n">
        <f aca="false">T32+U32+V32</f>
        <v>1144450</v>
      </c>
      <c r="BT32" s="31" t="n">
        <f aca="false">Q32</f>
        <v>0</v>
      </c>
      <c r="BU32" s="31" t="n">
        <f aca="false">W32</f>
        <v>602672</v>
      </c>
      <c r="BV32" s="31" t="n">
        <f aca="false">R32</f>
        <v>0</v>
      </c>
      <c r="BW32" s="31" t="n">
        <f aca="false">X32</f>
        <v>86347</v>
      </c>
      <c r="BX32" s="31" t="n">
        <f aca="false">S32</f>
        <v>0</v>
      </c>
      <c r="BY32" s="31" t="n">
        <f aca="false">Y32</f>
        <v>13350</v>
      </c>
      <c r="BZ32" s="32" t="n">
        <f aca="false">IF(BJ32=0,IF(BR32=0,0,1),(BR32-BJ32)/BJ32)</f>
        <v>0</v>
      </c>
      <c r="CA32" s="32" t="n">
        <f aca="false">IF(BK32=0,IF(BS32=0,0,1),(BS32-BK32)/BK32)</f>
        <v>1</v>
      </c>
      <c r="CB32" s="32" t="n">
        <f aca="false">IF(BL32=0,IF(BT32=0,0,1),(BT32-BL32)/BL32)</f>
        <v>0</v>
      </c>
      <c r="CC32" s="32" t="n">
        <f aca="false">IF(BM32=0,IF(BU32=0,0,1),(BU32-BM32)/BM32)</f>
        <v>1</v>
      </c>
      <c r="CD32" s="32" t="n">
        <f aca="false">IF(BN32=0,IF(BV32=0,0,1),(BV32-BN32)/BN32)</f>
        <v>0</v>
      </c>
      <c r="CE32" s="32" t="n">
        <f aca="false">IF(BO32=0,IF(BW32=0,0,1),(BW32-BO32)/BO32)</f>
        <v>1</v>
      </c>
      <c r="CF32" s="32" t="n">
        <f aca="false">IF(BP32=0,IF(BX32=0,0,1),(BX32-BP32)/BP32)</f>
        <v>0</v>
      </c>
      <c r="CG32" s="32" t="n">
        <f aca="false">IF(BQ32=0,IF(BY32=0,0,1),(BY32-BQ32)/BQ32)</f>
        <v>1</v>
      </c>
      <c r="CH32" s="32" t="n">
        <f aca="false">MAX(MAX(BZ32:CG32),-MIN(BZ32:CG32))</f>
        <v>1</v>
      </c>
      <c r="CI32" s="31" t="str">
        <f aca="false">IF(CO32="","",SUMIFS($CJ$7:$CJ$696,$A$7:$A$696,CO32,$B$7:$B$696,B32))</f>
        <v/>
      </c>
      <c r="CJ32" s="31" t="n">
        <f aca="false">SUM(AY32:BI32)</f>
        <v>1846819</v>
      </c>
      <c r="CK32" s="31" t="str">
        <f aca="false">IFERROR(INDEX(設定!$F$61:$F$106,MATCH(B32,設定!$B$61:$B$106,0)),"Y")</f>
        <v>N</v>
      </c>
      <c r="CL32" s="31" t="str">
        <f aca="false">IFERROR(INDEX(設定!$G$61:$G$106,MATCH(B32,設定!$B$61:$B$106,0)),"外郭型")</f>
        <v>外郭型</v>
      </c>
      <c r="CM32" s="33" t="str">
        <f aca="false">A32&amp;"|"&amp;B32</f>
        <v>2026-04 月例|文化財団　市長部局</v>
      </c>
      <c r="CN32" s="34" t="str">
        <f aca="false">IFERROR(INDEX(設定!$D$61:$D$106,MATCH(B32,設定!$B$61:$B$106,0)),"Y")</f>
        <v>Y</v>
      </c>
      <c r="CO32" s="34" t="str">
        <f aca="false">IFERROR(INDEX(設定!$D$20:$D$34,MATCH(A32,設定!$A$20:$A$34,0))&amp;"","")</f>
        <v/>
      </c>
    </row>
    <row r="33" customFormat="false" ht="15" hidden="true" customHeight="false" outlineLevel="0" collapsed="false">
      <c r="A33" s="22" t="s">
        <v>165</v>
      </c>
      <c r="B33" s="23" t="s">
        <v>195</v>
      </c>
      <c r="C33" s="10" t="str">
        <f aca="false">IF(G33="","未受領",IF(G33="なし","報告なし",IF(AL33="○","起票済",IF(OR(AK33="○",F33="一致",F33="入金不要"),"入金確認済","受領済"))))</f>
        <v>入金確認済</v>
      </c>
      <c r="D33" s="10" t="str">
        <f aca="false">IF(OR(G33="",G33="なし"),"―",IF(CN33="N","対象外",IF(AND(I33="",J33="",K33=""),"標報未入力",IF(CH33&gt;=設定!$B$4,"要確認","問題なし"))))</f>
        <v>標報未入力</v>
      </c>
      <c r="E33" s="24" t="str">
        <f aca="false">IF(OR(G33="",G33="なし",CI33="",CJ33=0),"―",IF(CJ33=CI33,"前月同額",IF(CI33=0,"―",IF(ABS(CJ33/CI33-1)&gt;=設定!$B$5,"変動大 "&amp;TEXT(CJ33/CI33-1,"+0%;-0%"),"〇"))))</f>
        <v>―</v>
      </c>
      <c r="F33" s="10" t="str">
        <f aca="false">IF(OR(G33="",G33="なし"),"―",IF(CJ33=0,"入金不要",IF(COUNT(AD33,AF33,AH33,AJ33)=0,IF(AK33="○","手動確認","未入金"),IF(AND(N(AD33)=AC33,IF(AE33="",TRUE(),N(AF33)=AE33),IF(AG33="",TRUE(),N(AH33)=AG33),IF(AI33="",TRUE(),N(AJ33)=AI33)),"一致","不一致"))))</f>
        <v>入金不要</v>
      </c>
      <c r="G33" s="25" t="s">
        <v>167</v>
      </c>
      <c r="H33" s="26"/>
      <c r="I33" s="27"/>
      <c r="J33" s="27"/>
      <c r="K33" s="27"/>
      <c r="L33" s="27"/>
      <c r="M33" s="27"/>
      <c r="N33" s="27"/>
      <c r="O33" s="27"/>
      <c r="P33" s="27"/>
      <c r="Q33" s="27"/>
      <c r="R33" s="27"/>
      <c r="S33" s="27"/>
      <c r="T33" s="27" t="n">
        <v>0</v>
      </c>
      <c r="U33" s="27" t="n">
        <v>0</v>
      </c>
      <c r="V33" s="27" t="n">
        <v>0</v>
      </c>
      <c r="W33" s="27" t="n">
        <v>0</v>
      </c>
      <c r="X33" s="27" t="n">
        <v>0</v>
      </c>
      <c r="Y33" s="27" t="n">
        <v>0</v>
      </c>
      <c r="Z33" s="27"/>
      <c r="AA33" s="10" t="str">
        <f aca="false">IFERROR(INDEX(設定!$E$61:$E$106,MATCH(B33,設定!$B$61:$B$106,0)),"合算")</f>
        <v>合算</v>
      </c>
      <c r="AB33" s="28"/>
      <c r="AC33" s="29" t="n">
        <f aca="false">IF(OR(G33="",G33="なし"),"",IF(AA33="合算",CJ33+N(Z33),IF(AA33="掛金・負担金別",(AY33+AZ33+BD33+BF33+BH33),SUM(AY33:BC33))))</f>
        <v>0</v>
      </c>
      <c r="AD33" s="27"/>
      <c r="AE33" s="29" t="str">
        <f aca="false">IF(OR(G33="",G33="なし"),"",IF(AA33="掛金・負担金別",(BA33+BB33+BC33+BE33+BG33+BI33+N(Z33)),IF(AA33="経理区分別",BD33+BE33,"")))</f>
        <v/>
      </c>
      <c r="AF33" s="27"/>
      <c r="AG33" s="29" t="str">
        <f aca="false">IF(OR(G33="",G33="なし"),"",IF(AA33="経理区分別",BF33+BG33,""))</f>
        <v/>
      </c>
      <c r="AH33" s="27"/>
      <c r="AI33" s="29" t="str">
        <f aca="false">IF(OR(G33="",G33="なし"),"",IF(AA33="経理区分別",BH33+BI33+N(Z33),""))</f>
        <v/>
      </c>
      <c r="AJ33" s="27"/>
      <c r="AK33" s="26" t="s">
        <v>168</v>
      </c>
      <c r="AL33" s="26"/>
      <c r="AM33" s="30"/>
      <c r="AN33" s="31"/>
      <c r="AO33" s="31"/>
      <c r="AP33" s="31"/>
      <c r="AQ33" s="31"/>
      <c r="AR33" s="31"/>
      <c r="AS33" s="31"/>
      <c r="AT33" s="31"/>
      <c r="AU33" s="31"/>
      <c r="AV33" s="31"/>
      <c r="AW33" s="31"/>
      <c r="AX33" s="31"/>
      <c r="AY33" s="31" t="n">
        <f aca="false">IF($G33="",AN33,O33)</f>
        <v>0</v>
      </c>
      <c r="AZ33" s="31" t="n">
        <f aca="false">IF($G33="",AO33,P33)</f>
        <v>0</v>
      </c>
      <c r="BA33" s="31" t="n">
        <f aca="false">IF($G33="",AP33,T33)</f>
        <v>0</v>
      </c>
      <c r="BB33" s="31" t="n">
        <f aca="false">IF($G33="",AQ33,U33)</f>
        <v>0</v>
      </c>
      <c r="BC33" s="31" t="n">
        <f aca="false">IF($G33="",AR33,V33)</f>
        <v>0</v>
      </c>
      <c r="BD33" s="31" t="n">
        <f aca="false">IF($G33="",AS33,Q33)</f>
        <v>0</v>
      </c>
      <c r="BE33" s="31" t="n">
        <f aca="false">IF($G33="",AT33,W33)</f>
        <v>0</v>
      </c>
      <c r="BF33" s="31" t="n">
        <f aca="false">IF($G33="",AU33,R33)</f>
        <v>0</v>
      </c>
      <c r="BG33" s="31" t="n">
        <f aca="false">IF($G33="",AV33,X33)</f>
        <v>0</v>
      </c>
      <c r="BH33" s="31" t="n">
        <f aca="false">IF($G33="",AW33,S33)</f>
        <v>0</v>
      </c>
      <c r="BI33" s="31" t="n">
        <f aca="false">IF($G33="",AX33,Y33)</f>
        <v>0</v>
      </c>
      <c r="BJ33" s="31" t="n">
        <f aca="false">IF(CK33="N",BR33,ROUNDDOWN((I33-L33)*設定!$B$10/1000,0)+ROUNDDOWN((I33-L33)*設定!$B$11/1000,0))</f>
        <v>0</v>
      </c>
      <c r="BK33" s="31" t="n">
        <f aca="false">ROUNDDOWN((I33-L33)*設定!$C$10/1000,0)+ROUNDDOWN((I33-L33)*設定!$C$11/1000,0)+ROUNDDOWN(I33*設定!$C$12/1000,0)+IF(CL33="市局型",ROUNDDOWN(I33*設定!$C$16/1000,0),0)</f>
        <v>0</v>
      </c>
      <c r="BL33" s="31" t="n">
        <f aca="false">IF(CK33="N",BT33,ROUNDDOWN((J33-M33)*設定!$B$13/1000,0))</f>
        <v>0</v>
      </c>
      <c r="BM33" s="31" t="n">
        <f aca="false">ROUNDDOWN((J33-M33)*設定!$C$13/1000,0)+IF(CL33="市局型",ROUNDDOWN(J33*設定!$C$17/1000,0),0)</f>
        <v>0</v>
      </c>
      <c r="BN33" s="31" t="n">
        <f aca="false">IF(CK33="N",BV33,ROUNDDOWN((K33-N33)*設定!$B$14/1000,0))</f>
        <v>0</v>
      </c>
      <c r="BO33" s="31" t="n">
        <f aca="false">ROUNDDOWN((K33-N33)*設定!$C$14/1000,0)</f>
        <v>0</v>
      </c>
      <c r="BP33" s="31" t="n">
        <f aca="false">IF(CK33="N",BX33,ROUNDDOWN((J33-M33)*設定!$B$15/1000,0))</f>
        <v>0</v>
      </c>
      <c r="BQ33" s="31" t="n">
        <f aca="false">ROUNDDOWN((J33-M33)*設定!$C$15/1000,0)</f>
        <v>0</v>
      </c>
      <c r="BR33" s="31" t="n">
        <f aca="false">O33+P33</f>
        <v>0</v>
      </c>
      <c r="BS33" s="31" t="n">
        <f aca="false">T33+U33+V33</f>
        <v>0</v>
      </c>
      <c r="BT33" s="31" t="n">
        <f aca="false">Q33</f>
        <v>0</v>
      </c>
      <c r="BU33" s="31" t="n">
        <f aca="false">W33</f>
        <v>0</v>
      </c>
      <c r="BV33" s="31" t="n">
        <f aca="false">R33</f>
        <v>0</v>
      </c>
      <c r="BW33" s="31" t="n">
        <f aca="false">X33</f>
        <v>0</v>
      </c>
      <c r="BX33" s="31" t="n">
        <f aca="false">S33</f>
        <v>0</v>
      </c>
      <c r="BY33" s="31" t="n">
        <f aca="false">Y33</f>
        <v>0</v>
      </c>
      <c r="BZ33" s="32" t="n">
        <f aca="false">IF(BJ33=0,IF(BR33=0,0,1),(BR33-BJ33)/BJ33)</f>
        <v>0</v>
      </c>
      <c r="CA33" s="32" t="n">
        <f aca="false">IF(BK33=0,IF(BS33=0,0,1),(BS33-BK33)/BK33)</f>
        <v>0</v>
      </c>
      <c r="CB33" s="32" t="n">
        <f aca="false">IF(BL33=0,IF(BT33=0,0,1),(BT33-BL33)/BL33)</f>
        <v>0</v>
      </c>
      <c r="CC33" s="32" t="n">
        <f aca="false">IF(BM33=0,IF(BU33=0,0,1),(BU33-BM33)/BM33)</f>
        <v>0</v>
      </c>
      <c r="CD33" s="32" t="n">
        <f aca="false">IF(BN33=0,IF(BV33=0,0,1),(BV33-BN33)/BN33)</f>
        <v>0</v>
      </c>
      <c r="CE33" s="32" t="n">
        <f aca="false">IF(BO33=0,IF(BW33=0,0,1),(BW33-BO33)/BO33)</f>
        <v>0</v>
      </c>
      <c r="CF33" s="32" t="n">
        <f aca="false">IF(BP33=0,IF(BX33=0,0,1),(BX33-BP33)/BP33)</f>
        <v>0</v>
      </c>
      <c r="CG33" s="32" t="n">
        <f aca="false">IF(BQ33=0,IF(BY33=0,0,1),(BY33-BQ33)/BQ33)</f>
        <v>0</v>
      </c>
      <c r="CH33" s="32" t="n">
        <f aca="false">MAX(MAX(BZ33:CG33),-MIN(BZ33:CG33))</f>
        <v>-0</v>
      </c>
      <c r="CI33" s="31" t="str">
        <f aca="false">IF(CO33="","",SUMIFS($CJ$7:$CJ$696,$A$7:$A$696,CO33,$B$7:$B$696,B33))</f>
        <v/>
      </c>
      <c r="CJ33" s="31" t="n">
        <f aca="false">SUM(AY33:BI33)</f>
        <v>0</v>
      </c>
      <c r="CK33" s="31" t="str">
        <f aca="false">IFERROR(INDEX(設定!$F$61:$F$106,MATCH(B33,設定!$B$61:$B$106,0)),"Y")</f>
        <v>N</v>
      </c>
      <c r="CL33" s="31" t="str">
        <f aca="false">IFERROR(INDEX(設定!$G$61:$G$106,MATCH(B33,設定!$B$61:$B$106,0)),"外郭型")</f>
        <v>外郭型</v>
      </c>
      <c r="CM33" s="33" t="str">
        <f aca="false">A33&amp;"|"&amp;B33</f>
        <v>2026-04 月例|文化財団　教育委員会</v>
      </c>
      <c r="CN33" s="34" t="str">
        <f aca="false">IFERROR(INDEX(設定!$D$61:$D$106,MATCH(B33,設定!$B$61:$B$106,0)),"Y")</f>
        <v>Y</v>
      </c>
      <c r="CO33" s="34" t="str">
        <f aca="false">IFERROR(INDEX(設定!$D$20:$D$34,MATCH(A33,設定!$A$20:$A$34,0))&amp;"","")</f>
        <v/>
      </c>
    </row>
    <row r="34" customFormat="false" ht="15" hidden="true" customHeight="false" outlineLevel="0" collapsed="false">
      <c r="A34" s="22" t="s">
        <v>165</v>
      </c>
      <c r="B34" s="23" t="s">
        <v>196</v>
      </c>
      <c r="C34" s="10" t="str">
        <f aca="false">IF(G34="","未受領",IF(G34="なし","報告なし",IF(AL34="○","起票済",IF(OR(AK34="○",F34="一致",F34="入金不要"),"入金確認済","受領済"))))</f>
        <v>入金確認済</v>
      </c>
      <c r="D34" s="10" t="str">
        <f aca="false">IF(OR(G34="",G34="なし"),"―",IF(CN34="N","対象外",IF(AND(I34="",J34="",K34=""),"標報未入力",IF(CH34&gt;=設定!$B$4,"要確認","問題なし"))))</f>
        <v>標報未入力</v>
      </c>
      <c r="E34" s="24" t="str">
        <f aca="false">IF(OR(G34="",G34="なし",CI34="",CJ34=0),"―",IF(CJ34=CI34,"前月同額",IF(CI34=0,"―",IF(ABS(CJ34/CI34-1)&gt;=設定!$B$5,"変動大 "&amp;TEXT(CJ34/CI34-1,"+0%;-0%"),"〇"))))</f>
        <v>―</v>
      </c>
      <c r="F34" s="10" t="str">
        <f aca="false">IF(OR(G34="",G34="なし"),"―",IF(CJ34=0,"入金不要",IF(COUNT(AD34,AF34,AH34,AJ34)=0,IF(AK34="○","手動確認","未入金"),IF(AND(N(AD34)=AC34,IF(AE34="",TRUE(),N(AF34)=AE34),IF(AG34="",TRUE(),N(AH34)=AG34),IF(AI34="",TRUE(),N(AJ34)=AI34)),"一致","不一致"))))</f>
        <v>手動確認</v>
      </c>
      <c r="G34" s="25" t="s">
        <v>167</v>
      </c>
      <c r="H34" s="26"/>
      <c r="I34" s="27"/>
      <c r="J34" s="27"/>
      <c r="K34" s="27"/>
      <c r="L34" s="27"/>
      <c r="M34" s="27"/>
      <c r="N34" s="27"/>
      <c r="O34" s="27"/>
      <c r="P34" s="27"/>
      <c r="Q34" s="27"/>
      <c r="R34" s="27"/>
      <c r="S34" s="27"/>
      <c r="T34" s="27" t="n">
        <v>405345</v>
      </c>
      <c r="U34" s="27" t="n">
        <v>33225</v>
      </c>
      <c r="V34" s="27" t="n">
        <v>383</v>
      </c>
      <c r="W34" s="27" t="n">
        <v>229959</v>
      </c>
      <c r="X34" s="27" t="n">
        <v>34997</v>
      </c>
      <c r="Y34" s="27" t="n">
        <v>5093</v>
      </c>
      <c r="Z34" s="27"/>
      <c r="AA34" s="10" t="str">
        <f aca="false">IFERROR(INDEX(設定!$E$61:$E$106,MATCH(B34,設定!$B$61:$B$106,0)),"合算")</f>
        <v>合算</v>
      </c>
      <c r="AB34" s="28"/>
      <c r="AC34" s="29" t="n">
        <f aca="false">IF(OR(G34="",G34="なし"),"",IF(AA34="合算",CJ34+N(Z34),IF(AA34="掛金・負担金別",(AY34+AZ34+BD34+BF34+BH34),SUM(AY34:BC34))))</f>
        <v>709002</v>
      </c>
      <c r="AD34" s="27"/>
      <c r="AE34" s="29" t="str">
        <f aca="false">IF(OR(G34="",G34="なし"),"",IF(AA34="掛金・負担金別",(BA34+BB34+BC34+BE34+BG34+BI34+N(Z34)),IF(AA34="経理区分別",BD34+BE34,"")))</f>
        <v/>
      </c>
      <c r="AF34" s="27"/>
      <c r="AG34" s="29" t="str">
        <f aca="false">IF(OR(G34="",G34="なし"),"",IF(AA34="経理区分別",BF34+BG34,""))</f>
        <v/>
      </c>
      <c r="AH34" s="27"/>
      <c r="AI34" s="29" t="str">
        <f aca="false">IF(OR(G34="",G34="なし"),"",IF(AA34="経理区分別",BH34+BI34+N(Z34),""))</f>
        <v/>
      </c>
      <c r="AJ34" s="27"/>
      <c r="AK34" s="26" t="s">
        <v>168</v>
      </c>
      <c r="AL34" s="26"/>
      <c r="AM34" s="30"/>
      <c r="AN34" s="31"/>
      <c r="AO34" s="31"/>
      <c r="AP34" s="31"/>
      <c r="AQ34" s="31"/>
      <c r="AR34" s="31"/>
      <c r="AS34" s="31"/>
      <c r="AT34" s="31"/>
      <c r="AU34" s="31"/>
      <c r="AV34" s="31"/>
      <c r="AW34" s="31"/>
      <c r="AX34" s="31"/>
      <c r="AY34" s="31" t="n">
        <f aca="false">IF($G34="",AN34,O34)</f>
        <v>0</v>
      </c>
      <c r="AZ34" s="31" t="n">
        <f aca="false">IF($G34="",AO34,P34)</f>
        <v>0</v>
      </c>
      <c r="BA34" s="31" t="n">
        <f aca="false">IF($G34="",AP34,T34)</f>
        <v>405345</v>
      </c>
      <c r="BB34" s="31" t="n">
        <f aca="false">IF($G34="",AQ34,U34)</f>
        <v>33225</v>
      </c>
      <c r="BC34" s="31" t="n">
        <f aca="false">IF($G34="",AR34,V34)</f>
        <v>383</v>
      </c>
      <c r="BD34" s="31" t="n">
        <f aca="false">IF($G34="",AS34,Q34)</f>
        <v>0</v>
      </c>
      <c r="BE34" s="31" t="n">
        <f aca="false">IF($G34="",AT34,W34)</f>
        <v>229959</v>
      </c>
      <c r="BF34" s="31" t="n">
        <f aca="false">IF($G34="",AU34,R34)</f>
        <v>0</v>
      </c>
      <c r="BG34" s="31" t="n">
        <f aca="false">IF($G34="",AV34,X34)</f>
        <v>34997</v>
      </c>
      <c r="BH34" s="31" t="n">
        <f aca="false">IF($G34="",AW34,S34)</f>
        <v>0</v>
      </c>
      <c r="BI34" s="31" t="n">
        <f aca="false">IF($G34="",AX34,Y34)</f>
        <v>5093</v>
      </c>
      <c r="BJ34" s="31" t="n">
        <f aca="false">IF(CK34="N",BR34,ROUNDDOWN((I34-L34)*設定!$B$10/1000,0)+ROUNDDOWN((I34-L34)*設定!$B$11/1000,0))</f>
        <v>0</v>
      </c>
      <c r="BK34" s="31" t="n">
        <f aca="false">ROUNDDOWN((I34-L34)*設定!$C$10/1000,0)+ROUNDDOWN((I34-L34)*設定!$C$11/1000,0)+ROUNDDOWN(I34*設定!$C$12/1000,0)+IF(CL34="市局型",ROUNDDOWN(I34*設定!$C$16/1000,0),0)</f>
        <v>0</v>
      </c>
      <c r="BL34" s="31" t="n">
        <f aca="false">IF(CK34="N",BT34,ROUNDDOWN((J34-M34)*設定!$B$13/1000,0))</f>
        <v>0</v>
      </c>
      <c r="BM34" s="31" t="n">
        <f aca="false">ROUNDDOWN((J34-M34)*設定!$C$13/1000,0)+IF(CL34="市局型",ROUNDDOWN(J34*設定!$C$17/1000,0),0)</f>
        <v>0</v>
      </c>
      <c r="BN34" s="31" t="n">
        <f aca="false">IF(CK34="N",BV34,ROUNDDOWN((K34-N34)*設定!$B$14/1000,0))</f>
        <v>0</v>
      </c>
      <c r="BO34" s="31" t="n">
        <f aca="false">ROUNDDOWN((K34-N34)*設定!$C$14/1000,0)</f>
        <v>0</v>
      </c>
      <c r="BP34" s="31" t="n">
        <f aca="false">IF(CK34="N",BX34,ROUNDDOWN((J34-M34)*設定!$B$15/1000,0))</f>
        <v>0</v>
      </c>
      <c r="BQ34" s="31" t="n">
        <f aca="false">ROUNDDOWN((J34-M34)*設定!$C$15/1000,0)</f>
        <v>0</v>
      </c>
      <c r="BR34" s="31" t="n">
        <f aca="false">O34+P34</f>
        <v>0</v>
      </c>
      <c r="BS34" s="31" t="n">
        <f aca="false">T34+U34+V34</f>
        <v>438953</v>
      </c>
      <c r="BT34" s="31" t="n">
        <f aca="false">Q34</f>
        <v>0</v>
      </c>
      <c r="BU34" s="31" t="n">
        <f aca="false">W34</f>
        <v>229959</v>
      </c>
      <c r="BV34" s="31" t="n">
        <f aca="false">R34</f>
        <v>0</v>
      </c>
      <c r="BW34" s="31" t="n">
        <f aca="false">X34</f>
        <v>34997</v>
      </c>
      <c r="BX34" s="31" t="n">
        <f aca="false">S34</f>
        <v>0</v>
      </c>
      <c r="BY34" s="31" t="n">
        <f aca="false">Y34</f>
        <v>5093</v>
      </c>
      <c r="BZ34" s="32" t="n">
        <f aca="false">IF(BJ34=0,IF(BR34=0,0,1),(BR34-BJ34)/BJ34)</f>
        <v>0</v>
      </c>
      <c r="CA34" s="32" t="n">
        <f aca="false">IF(BK34=0,IF(BS34=0,0,1),(BS34-BK34)/BK34)</f>
        <v>1</v>
      </c>
      <c r="CB34" s="32" t="n">
        <f aca="false">IF(BL34=0,IF(BT34=0,0,1),(BT34-BL34)/BL34)</f>
        <v>0</v>
      </c>
      <c r="CC34" s="32" t="n">
        <f aca="false">IF(BM34=0,IF(BU34=0,0,1),(BU34-BM34)/BM34)</f>
        <v>1</v>
      </c>
      <c r="CD34" s="32" t="n">
        <f aca="false">IF(BN34=0,IF(BV34=0,0,1),(BV34-BN34)/BN34)</f>
        <v>0</v>
      </c>
      <c r="CE34" s="32" t="n">
        <f aca="false">IF(BO34=0,IF(BW34=0,0,1),(BW34-BO34)/BO34)</f>
        <v>1</v>
      </c>
      <c r="CF34" s="32" t="n">
        <f aca="false">IF(BP34=0,IF(BX34=0,0,1),(BX34-BP34)/BP34)</f>
        <v>0</v>
      </c>
      <c r="CG34" s="32" t="n">
        <f aca="false">IF(BQ34=0,IF(BY34=0,0,1),(BY34-BQ34)/BQ34)</f>
        <v>1</v>
      </c>
      <c r="CH34" s="32" t="n">
        <f aca="false">MAX(MAX(BZ34:CG34),-MIN(BZ34:CG34))</f>
        <v>1</v>
      </c>
      <c r="CI34" s="31" t="str">
        <f aca="false">IF(CO34="","",SUMIFS($CJ$7:$CJ$696,$A$7:$A$696,CO34,$B$7:$B$696,B34))</f>
        <v/>
      </c>
      <c r="CJ34" s="31" t="n">
        <f aca="false">SUM(AY34:BI34)</f>
        <v>709002</v>
      </c>
      <c r="CK34" s="31" t="str">
        <f aca="false">IFERROR(INDEX(設定!$F$61:$F$106,MATCH(B34,設定!$B$61:$B$106,0)),"Y")</f>
        <v>N</v>
      </c>
      <c r="CL34" s="31" t="str">
        <f aca="false">IFERROR(INDEX(設定!$G$61:$G$106,MATCH(B34,設定!$B$61:$B$106,0)),"外郭型")</f>
        <v>外郭型</v>
      </c>
      <c r="CM34" s="33" t="str">
        <f aca="false">A34&amp;"|"&amp;B34</f>
        <v>2026-04 月例|みどり生きもの協会</v>
      </c>
      <c r="CN34" s="34" t="str">
        <f aca="false">IFERROR(INDEX(設定!$D$61:$D$106,MATCH(B34,設定!$B$61:$B$106,0)),"Y")</f>
        <v>Y</v>
      </c>
      <c r="CO34" s="34" t="str">
        <f aca="false">IFERROR(INDEX(設定!$D$20:$D$34,MATCH(A34,設定!$A$20:$A$34,0))&amp;"","")</f>
        <v/>
      </c>
    </row>
    <row r="35" customFormat="false" ht="15" hidden="true" customHeight="false" outlineLevel="0" collapsed="false">
      <c r="A35" s="22" t="s">
        <v>165</v>
      </c>
      <c r="B35" s="23" t="s">
        <v>197</v>
      </c>
      <c r="C35" s="10" t="str">
        <f aca="false">IF(G35="","未受領",IF(G35="なし","報告なし",IF(AL35="○","起票済",IF(OR(AK35="○",F35="一致",F35="入金不要"),"入金確認済","受領済"))))</f>
        <v>入金確認済</v>
      </c>
      <c r="D35" s="10" t="str">
        <f aca="false">IF(OR(G35="",G35="なし"),"―",IF(CN35="N","対象外",IF(AND(I35="",J35="",K35=""),"標報未入力",IF(CH35&gt;=設定!$B$4,"要確認","問題なし"))))</f>
        <v>標報未入力</v>
      </c>
      <c r="E35" s="24" t="str">
        <f aca="false">IF(OR(G35="",G35="なし",CI35="",CJ35=0),"―",IF(CJ35=CI35,"前月同額",IF(CI35=0,"―",IF(ABS(CJ35/CI35-1)&gt;=設定!$B$5,"変動大 "&amp;TEXT(CJ35/CI35-1,"+0%;-0%"),"〇"))))</f>
        <v>―</v>
      </c>
      <c r="F35" s="10" t="str">
        <f aca="false">IF(OR(G35="",G35="なし"),"―",IF(CJ35=0,"入金不要",IF(COUNT(AD35,AF35,AH35,AJ35)=0,IF(AK35="○","手動確認","未入金"),IF(AND(N(AD35)=AC35,IF(AE35="",TRUE(),N(AF35)=AE35),IF(AG35="",TRUE(),N(AH35)=AG35),IF(AI35="",TRUE(),N(AJ35)=AI35)),"一致","不一致"))))</f>
        <v>手動確認</v>
      </c>
      <c r="G35" s="25" t="s">
        <v>167</v>
      </c>
      <c r="H35" s="26"/>
      <c r="I35" s="27"/>
      <c r="J35" s="27"/>
      <c r="K35" s="27"/>
      <c r="L35" s="27"/>
      <c r="M35" s="27"/>
      <c r="N35" s="27"/>
      <c r="O35" s="27" t="n">
        <v>148230</v>
      </c>
      <c r="P35" s="27" t="n">
        <v>12150</v>
      </c>
      <c r="Q35" s="27" t="n">
        <v>87123</v>
      </c>
      <c r="R35" s="27" t="n">
        <v>10033</v>
      </c>
      <c r="S35" s="27" t="n">
        <v>1931</v>
      </c>
      <c r="T35" s="27" t="n">
        <v>148230</v>
      </c>
      <c r="U35" s="27" t="n">
        <v>12150</v>
      </c>
      <c r="V35" s="27" t="n">
        <v>140</v>
      </c>
      <c r="W35" s="27" t="n">
        <v>87208</v>
      </c>
      <c r="X35" s="27" t="n">
        <v>10033</v>
      </c>
      <c r="Y35" s="27" t="n">
        <v>1932</v>
      </c>
      <c r="Z35" s="27"/>
      <c r="AA35" s="10" t="str">
        <f aca="false">IFERROR(INDEX(設定!$E$61:$E$106,MATCH(B35,設定!$B$61:$B$106,0)),"合算")</f>
        <v>合算</v>
      </c>
      <c r="AB35" s="28"/>
      <c r="AC35" s="29" t="n">
        <f aca="false">IF(OR(G35="",G35="なし"),"",IF(AA35="合算",CJ35+N(Z35),IF(AA35="掛金・負担金別",(AY35+AZ35+BD35+BF35+BH35),SUM(AY35:BC35))))</f>
        <v>519160</v>
      </c>
      <c r="AD35" s="27"/>
      <c r="AE35" s="29" t="str">
        <f aca="false">IF(OR(G35="",G35="なし"),"",IF(AA35="掛金・負担金別",(BA35+BB35+BC35+BE35+BG35+BI35+N(Z35)),IF(AA35="経理区分別",BD35+BE35,"")))</f>
        <v/>
      </c>
      <c r="AF35" s="27"/>
      <c r="AG35" s="29" t="str">
        <f aca="false">IF(OR(G35="",G35="なし"),"",IF(AA35="経理区分別",BF35+BG35,""))</f>
        <v/>
      </c>
      <c r="AH35" s="27"/>
      <c r="AI35" s="29" t="str">
        <f aca="false">IF(OR(G35="",G35="なし"),"",IF(AA35="経理区分別",BH35+BI35+N(Z35),""))</f>
        <v/>
      </c>
      <c r="AJ35" s="27"/>
      <c r="AK35" s="26" t="s">
        <v>168</v>
      </c>
      <c r="AL35" s="26"/>
      <c r="AM35" s="30"/>
      <c r="AN35" s="31"/>
      <c r="AO35" s="31"/>
      <c r="AP35" s="31"/>
      <c r="AQ35" s="31"/>
      <c r="AR35" s="31"/>
      <c r="AS35" s="31"/>
      <c r="AT35" s="31"/>
      <c r="AU35" s="31"/>
      <c r="AV35" s="31"/>
      <c r="AW35" s="31"/>
      <c r="AX35" s="31"/>
      <c r="AY35" s="31" t="n">
        <f aca="false">IF($G35="",AN35,O35)</f>
        <v>148230</v>
      </c>
      <c r="AZ35" s="31" t="n">
        <f aca="false">IF($G35="",AO35,P35)</f>
        <v>12150</v>
      </c>
      <c r="BA35" s="31" t="n">
        <f aca="false">IF($G35="",AP35,T35)</f>
        <v>148230</v>
      </c>
      <c r="BB35" s="31" t="n">
        <f aca="false">IF($G35="",AQ35,U35)</f>
        <v>12150</v>
      </c>
      <c r="BC35" s="31" t="n">
        <f aca="false">IF($G35="",AR35,V35)</f>
        <v>140</v>
      </c>
      <c r="BD35" s="31" t="n">
        <f aca="false">IF($G35="",AS35,Q35)</f>
        <v>87123</v>
      </c>
      <c r="BE35" s="31" t="n">
        <f aca="false">IF($G35="",AT35,W35)</f>
        <v>87208</v>
      </c>
      <c r="BF35" s="31" t="n">
        <f aca="false">IF($G35="",AU35,R35)</f>
        <v>10033</v>
      </c>
      <c r="BG35" s="31" t="n">
        <f aca="false">IF($G35="",AV35,X35)</f>
        <v>10033</v>
      </c>
      <c r="BH35" s="31" t="n">
        <f aca="false">IF($G35="",AW35,S35)</f>
        <v>1931</v>
      </c>
      <c r="BI35" s="31" t="n">
        <f aca="false">IF($G35="",AX35,Y35)</f>
        <v>1932</v>
      </c>
      <c r="BJ35" s="31" t="n">
        <f aca="false">IF(CK35="N",BR35,ROUNDDOWN((I35-L35)*設定!$B$10/1000,0)+ROUNDDOWN((I35-L35)*設定!$B$11/1000,0))</f>
        <v>0</v>
      </c>
      <c r="BK35" s="31" t="n">
        <f aca="false">ROUNDDOWN((I35-L35)*設定!$C$10/1000,0)+ROUNDDOWN((I35-L35)*設定!$C$11/1000,0)+ROUNDDOWN(I35*設定!$C$12/1000,0)+IF(CL35="市局型",ROUNDDOWN(I35*設定!$C$16/1000,0),0)</f>
        <v>0</v>
      </c>
      <c r="BL35" s="31" t="n">
        <f aca="false">IF(CK35="N",BT35,ROUNDDOWN((J35-M35)*設定!$B$13/1000,0))</f>
        <v>0</v>
      </c>
      <c r="BM35" s="31" t="n">
        <f aca="false">ROUNDDOWN((J35-M35)*設定!$C$13/1000,0)+IF(CL35="市局型",ROUNDDOWN(J35*設定!$C$17/1000,0),0)</f>
        <v>0</v>
      </c>
      <c r="BN35" s="31" t="n">
        <f aca="false">IF(CK35="N",BV35,ROUNDDOWN((K35-N35)*設定!$B$14/1000,0))</f>
        <v>0</v>
      </c>
      <c r="BO35" s="31" t="n">
        <f aca="false">ROUNDDOWN((K35-N35)*設定!$C$14/1000,0)</f>
        <v>0</v>
      </c>
      <c r="BP35" s="31" t="n">
        <f aca="false">IF(CK35="N",BX35,ROUNDDOWN((J35-M35)*設定!$B$15/1000,0))</f>
        <v>0</v>
      </c>
      <c r="BQ35" s="31" t="n">
        <f aca="false">ROUNDDOWN((J35-M35)*設定!$C$15/1000,0)</f>
        <v>0</v>
      </c>
      <c r="BR35" s="31" t="n">
        <f aca="false">O35+P35</f>
        <v>160380</v>
      </c>
      <c r="BS35" s="31" t="n">
        <f aca="false">T35+U35+V35</f>
        <v>160520</v>
      </c>
      <c r="BT35" s="31" t="n">
        <f aca="false">Q35</f>
        <v>87123</v>
      </c>
      <c r="BU35" s="31" t="n">
        <f aca="false">W35</f>
        <v>87208</v>
      </c>
      <c r="BV35" s="31" t="n">
        <f aca="false">R35</f>
        <v>10033</v>
      </c>
      <c r="BW35" s="31" t="n">
        <f aca="false">X35</f>
        <v>10033</v>
      </c>
      <c r="BX35" s="31" t="n">
        <f aca="false">S35</f>
        <v>1931</v>
      </c>
      <c r="BY35" s="31" t="n">
        <f aca="false">Y35</f>
        <v>1932</v>
      </c>
      <c r="BZ35" s="32" t="n">
        <f aca="false">IF(BJ35=0,IF(BR35=0,0,1),(BR35-BJ35)/BJ35)</f>
        <v>1</v>
      </c>
      <c r="CA35" s="32" t="n">
        <f aca="false">IF(BK35=0,IF(BS35=0,0,1),(BS35-BK35)/BK35)</f>
        <v>1</v>
      </c>
      <c r="CB35" s="32" t="n">
        <f aca="false">IF(BL35=0,IF(BT35=0,0,1),(BT35-BL35)/BL35)</f>
        <v>1</v>
      </c>
      <c r="CC35" s="32" t="n">
        <f aca="false">IF(BM35=0,IF(BU35=0,0,1),(BU35-BM35)/BM35)</f>
        <v>1</v>
      </c>
      <c r="CD35" s="32" t="n">
        <f aca="false">IF(BN35=0,IF(BV35=0,0,1),(BV35-BN35)/BN35)</f>
        <v>1</v>
      </c>
      <c r="CE35" s="32" t="n">
        <f aca="false">IF(BO35=0,IF(BW35=0,0,1),(BW35-BO35)/BO35)</f>
        <v>1</v>
      </c>
      <c r="CF35" s="32" t="n">
        <f aca="false">IF(BP35=0,IF(BX35=0,0,1),(BX35-BP35)/BP35)</f>
        <v>1</v>
      </c>
      <c r="CG35" s="32" t="n">
        <f aca="false">IF(BQ35=0,IF(BY35=0,0,1),(BY35-BQ35)/BQ35)</f>
        <v>1</v>
      </c>
      <c r="CH35" s="32" t="n">
        <f aca="false">MAX(MAX(BZ35:CG35),-MIN(BZ35:CG35))</f>
        <v>1</v>
      </c>
      <c r="CI35" s="31" t="str">
        <f aca="false">IF(CO35="","",SUMIFS($CJ$7:$CJ$696,$A$7:$A$696,CO35,$B$7:$B$696,B35))</f>
        <v/>
      </c>
      <c r="CJ35" s="31" t="n">
        <f aca="false">SUM(AY35:BI35)</f>
        <v>519160</v>
      </c>
      <c r="CK35" s="31" t="str">
        <f aca="false">IFERROR(INDEX(設定!$F$61:$F$106,MATCH(B35,設定!$B$61:$B$106,0)),"Y")</f>
        <v>Y</v>
      </c>
      <c r="CL35" s="31" t="str">
        <f aca="false">IFERROR(INDEX(設定!$G$61:$G$106,MATCH(B35,設定!$B$61:$B$106,0)),"外郭型")</f>
        <v>外郭型</v>
      </c>
      <c r="CM35" s="33" t="str">
        <f aca="false">A35&amp;"|"&amp;B35</f>
        <v>2026-04 月例|県下水道公社</v>
      </c>
      <c r="CN35" s="34" t="str">
        <f aca="false">IFERROR(INDEX(設定!$D$61:$D$106,MATCH(B35,設定!$B$61:$B$106,0)),"Y")</f>
        <v>Y</v>
      </c>
      <c r="CO35" s="34" t="str">
        <f aca="false">IFERROR(INDEX(設定!$D$20:$D$34,MATCH(A35,設定!$A$20:$A$34,0))&amp;"","")</f>
        <v/>
      </c>
    </row>
    <row r="36" customFormat="false" ht="26.85" hidden="true" customHeight="false" outlineLevel="0" collapsed="false">
      <c r="A36" s="22" t="s">
        <v>165</v>
      </c>
      <c r="B36" s="35" t="s">
        <v>198</v>
      </c>
      <c r="C36" s="10" t="str">
        <f aca="false">IF(G36="","未受領",IF(G36="なし","報告なし",IF(AL36="○","起票済",IF(OR(AK36="○",F36="一致",F36="入金不要"),"入金確認済","受領済"))))</f>
        <v>入金確認済</v>
      </c>
      <c r="D36" s="10" t="str">
        <f aca="false">IF(OR(G36="",G36="なし"),"―",IF(CN36="N","対象外",IF(AND(I36="",J36="",K36=""),"標報未入力",IF(CH36&gt;=設定!$B$4,"要確認","問題なし"))))</f>
        <v>標報未入力</v>
      </c>
      <c r="E36" s="24" t="str">
        <f aca="false">IF(OR(G36="",G36="なし",CI36="",CJ36=0),"―",IF(CJ36=CI36,"前月同額",IF(CI36=0,"―",IF(ABS(CJ36/CI36-1)&gt;=設定!$B$5,"変動大 "&amp;TEXT(CJ36/CI36-1,"+0%;-0%"),"〇"))))</f>
        <v>―</v>
      </c>
      <c r="F36" s="10" t="str">
        <f aca="false">IF(OR(G36="",G36="なし"),"―",IF(CJ36=0,"入金不要",IF(COUNT(AD36,AF36,AH36,AJ36)=0,IF(AK36="○","手動確認","未入金"),IF(AND(N(AD36)=AC36,IF(AE36="",TRUE(),N(AF36)=AE36),IF(AG36="",TRUE(),N(AH36)=AG36),IF(AI36="",TRUE(),N(AJ36)=AI36)),"一致","不一致"))))</f>
        <v>手動確認</v>
      </c>
      <c r="G36" s="25" t="s">
        <v>167</v>
      </c>
      <c r="H36" s="26"/>
      <c r="I36" s="27"/>
      <c r="J36" s="27"/>
      <c r="K36" s="27"/>
      <c r="L36" s="27"/>
      <c r="M36" s="27"/>
      <c r="N36" s="27"/>
      <c r="O36" s="27"/>
      <c r="P36" s="27"/>
      <c r="Q36" s="27"/>
      <c r="R36" s="27"/>
      <c r="S36" s="27"/>
      <c r="T36" s="27" t="n">
        <v>455670</v>
      </c>
      <c r="U36" s="27" t="n">
        <v>37350</v>
      </c>
      <c r="V36" s="27" t="n">
        <v>432</v>
      </c>
      <c r="W36" s="27" t="n">
        <v>263702</v>
      </c>
      <c r="X36" s="27" t="n">
        <v>21093</v>
      </c>
      <c r="Y36" s="27" t="n">
        <v>5842</v>
      </c>
      <c r="Z36" s="27"/>
      <c r="AA36" s="10" t="str">
        <f aca="false">IFERROR(INDEX(設定!$E$61:$E$106,MATCH(B36,設定!$B$61:$B$106,0)),"合算")</f>
        <v>合算</v>
      </c>
      <c r="AB36" s="28"/>
      <c r="AC36" s="29" t="n">
        <f aca="false">IF(OR(G36="",G36="なし"),"",IF(AA36="合算",CJ36+N(Z36),IF(AA36="掛金・負担金別",(AY36+AZ36+BD36+BF36+BH36),SUM(AY36:BC36))))</f>
        <v>784089</v>
      </c>
      <c r="AD36" s="27"/>
      <c r="AE36" s="29" t="str">
        <f aca="false">IF(OR(G36="",G36="なし"),"",IF(AA36="掛金・負担金別",(BA36+BB36+BC36+BE36+BG36+BI36+N(Z36)),IF(AA36="経理区分別",BD36+BE36,"")))</f>
        <v/>
      </c>
      <c r="AF36" s="27"/>
      <c r="AG36" s="29" t="str">
        <f aca="false">IF(OR(G36="",G36="なし"),"",IF(AA36="経理区分別",BF36+BG36,""))</f>
        <v/>
      </c>
      <c r="AH36" s="27"/>
      <c r="AI36" s="29" t="str">
        <f aca="false">IF(OR(G36="",G36="なし"),"",IF(AA36="経理区分別",BH36+BI36+N(Z36),""))</f>
        <v/>
      </c>
      <c r="AJ36" s="27"/>
      <c r="AK36" s="26" t="s">
        <v>168</v>
      </c>
      <c r="AL36" s="26"/>
      <c r="AM36" s="30"/>
      <c r="AN36" s="31"/>
      <c r="AO36" s="31"/>
      <c r="AP36" s="31"/>
      <c r="AQ36" s="31"/>
      <c r="AR36" s="31"/>
      <c r="AS36" s="31"/>
      <c r="AT36" s="31"/>
      <c r="AU36" s="31"/>
      <c r="AV36" s="31"/>
      <c r="AW36" s="31"/>
      <c r="AX36" s="31"/>
      <c r="AY36" s="31" t="n">
        <f aca="false">IF($G36="",AN36,O36)</f>
        <v>0</v>
      </c>
      <c r="AZ36" s="31" t="n">
        <f aca="false">IF($G36="",AO36,P36)</f>
        <v>0</v>
      </c>
      <c r="BA36" s="31" t="n">
        <f aca="false">IF($G36="",AP36,T36)</f>
        <v>455670</v>
      </c>
      <c r="BB36" s="31" t="n">
        <f aca="false">IF($G36="",AQ36,U36)</f>
        <v>37350</v>
      </c>
      <c r="BC36" s="31" t="n">
        <f aca="false">IF($G36="",AR36,V36)</f>
        <v>432</v>
      </c>
      <c r="BD36" s="31" t="n">
        <f aca="false">IF($G36="",AS36,Q36)</f>
        <v>0</v>
      </c>
      <c r="BE36" s="31" t="n">
        <f aca="false">IF($G36="",AT36,W36)</f>
        <v>263702</v>
      </c>
      <c r="BF36" s="31" t="n">
        <f aca="false">IF($G36="",AU36,R36)</f>
        <v>0</v>
      </c>
      <c r="BG36" s="31" t="n">
        <f aca="false">IF($G36="",AV36,X36)</f>
        <v>21093</v>
      </c>
      <c r="BH36" s="31" t="n">
        <f aca="false">IF($G36="",AW36,S36)</f>
        <v>0</v>
      </c>
      <c r="BI36" s="31" t="n">
        <f aca="false">IF($G36="",AX36,Y36)</f>
        <v>5842</v>
      </c>
      <c r="BJ36" s="31" t="n">
        <f aca="false">IF(CK36="N",BR36,ROUNDDOWN((I36-L36)*設定!$B$10/1000,0)+ROUNDDOWN((I36-L36)*設定!$B$11/1000,0))</f>
        <v>0</v>
      </c>
      <c r="BK36" s="31" t="n">
        <f aca="false">ROUNDDOWN((I36-L36)*設定!$C$10/1000,0)+ROUNDDOWN((I36-L36)*設定!$C$11/1000,0)+ROUNDDOWN(I36*設定!$C$12/1000,0)+IF(CL36="市局型",ROUNDDOWN(I36*設定!$C$16/1000,0),0)</f>
        <v>0</v>
      </c>
      <c r="BL36" s="31" t="n">
        <f aca="false">IF(CK36="N",BT36,ROUNDDOWN((J36-M36)*設定!$B$13/1000,0))</f>
        <v>0</v>
      </c>
      <c r="BM36" s="31" t="n">
        <f aca="false">ROUNDDOWN((J36-M36)*設定!$C$13/1000,0)+IF(CL36="市局型",ROUNDDOWN(J36*設定!$C$17/1000,0),0)</f>
        <v>0</v>
      </c>
      <c r="BN36" s="31" t="n">
        <f aca="false">IF(CK36="N",BV36,ROUNDDOWN((K36-N36)*設定!$B$14/1000,0))</f>
        <v>0</v>
      </c>
      <c r="BO36" s="31" t="n">
        <f aca="false">ROUNDDOWN((K36-N36)*設定!$C$14/1000,0)</f>
        <v>0</v>
      </c>
      <c r="BP36" s="31" t="n">
        <f aca="false">IF(CK36="N",BX36,ROUNDDOWN((J36-M36)*設定!$B$15/1000,0))</f>
        <v>0</v>
      </c>
      <c r="BQ36" s="31" t="n">
        <f aca="false">ROUNDDOWN((J36-M36)*設定!$C$15/1000,0)</f>
        <v>0</v>
      </c>
      <c r="BR36" s="31" t="n">
        <f aca="false">O36+P36</f>
        <v>0</v>
      </c>
      <c r="BS36" s="31" t="n">
        <f aca="false">T36+U36+V36</f>
        <v>493452</v>
      </c>
      <c r="BT36" s="31" t="n">
        <f aca="false">Q36</f>
        <v>0</v>
      </c>
      <c r="BU36" s="31" t="n">
        <f aca="false">W36</f>
        <v>263702</v>
      </c>
      <c r="BV36" s="31" t="n">
        <f aca="false">R36</f>
        <v>0</v>
      </c>
      <c r="BW36" s="31" t="n">
        <f aca="false">X36</f>
        <v>21093</v>
      </c>
      <c r="BX36" s="31" t="n">
        <f aca="false">S36</f>
        <v>0</v>
      </c>
      <c r="BY36" s="31" t="n">
        <f aca="false">Y36</f>
        <v>5842</v>
      </c>
      <c r="BZ36" s="32" t="n">
        <f aca="false">IF(BJ36=0,IF(BR36=0,0,1),(BR36-BJ36)/BJ36)</f>
        <v>0</v>
      </c>
      <c r="CA36" s="32" t="n">
        <f aca="false">IF(BK36=0,IF(BS36=0,0,1),(BS36-BK36)/BK36)</f>
        <v>1</v>
      </c>
      <c r="CB36" s="32" t="n">
        <f aca="false">IF(BL36=0,IF(BT36=0,0,1),(BT36-BL36)/BL36)</f>
        <v>0</v>
      </c>
      <c r="CC36" s="32" t="n">
        <f aca="false">IF(BM36=0,IF(BU36=0,0,1),(BU36-BM36)/BM36)</f>
        <v>1</v>
      </c>
      <c r="CD36" s="32" t="n">
        <f aca="false">IF(BN36=0,IF(BV36=0,0,1),(BV36-BN36)/BN36)</f>
        <v>0</v>
      </c>
      <c r="CE36" s="32" t="n">
        <f aca="false">IF(BO36=0,IF(BW36=0,0,1),(BW36-BO36)/BO36)</f>
        <v>1</v>
      </c>
      <c r="CF36" s="32" t="n">
        <f aca="false">IF(BP36=0,IF(BX36=0,0,1),(BX36-BP36)/BP36)</f>
        <v>0</v>
      </c>
      <c r="CG36" s="32" t="n">
        <f aca="false">IF(BQ36=0,IF(BY36=0,0,1),(BY36-BQ36)/BQ36)</f>
        <v>1</v>
      </c>
      <c r="CH36" s="32" t="n">
        <f aca="false">MAX(MAX(BZ36:CG36),-MIN(BZ36:CG36))</f>
        <v>1</v>
      </c>
      <c r="CI36" s="31" t="str">
        <f aca="false">IF(CO36="","",SUMIFS($CJ$7:$CJ$696,$A$7:$A$696,CO36,$B$7:$B$696,B36))</f>
        <v/>
      </c>
      <c r="CJ36" s="31" t="n">
        <f aca="false">SUM(AY36:BI36)</f>
        <v>784089</v>
      </c>
      <c r="CK36" s="31" t="str">
        <f aca="false">IFERROR(INDEX(設定!$F$61:$F$106,MATCH(B36,設定!$B$61:$B$106,0)),"Y")</f>
        <v>N</v>
      </c>
      <c r="CL36" s="31" t="str">
        <f aca="false">IFERROR(INDEX(設定!$G$61:$G$106,MATCH(B36,設定!$B$61:$B$106,0)),"外郭型")</f>
        <v>外郭型</v>
      </c>
      <c r="CM36" s="36" t="str">
        <f aca="false">A36&amp;"|"&amp;B36</f>
        <v>2026-04 月例|バス協調・共創
プラットフォーム</v>
      </c>
      <c r="CN36" s="34" t="str">
        <f aca="false">IFERROR(INDEX(設定!$D$61:$D$106,MATCH(B36,設定!$B$61:$B$106,0)),"Y")</f>
        <v>Y</v>
      </c>
      <c r="CO36" s="34" t="str">
        <f aca="false">IFERROR(INDEX(設定!$D$20:$D$34,MATCH(A36,設定!$A$20:$A$34,0))&amp;"","")</f>
        <v/>
      </c>
    </row>
    <row r="37" customFormat="false" ht="15" hidden="true" customHeight="false" outlineLevel="0" collapsed="false">
      <c r="A37" s="22" t="s">
        <v>165</v>
      </c>
      <c r="B37" s="23" t="s">
        <v>199</v>
      </c>
      <c r="C37" s="10" t="str">
        <f aca="false">IF(G37="","未受領",IF(G37="なし","報告なし",IF(AL37="○","起票済",IF(OR(AK37="○",F37="一致",F37="入金不要"),"入金確認済","受領済"))))</f>
        <v>入金確認済</v>
      </c>
      <c r="D37" s="10" t="str">
        <f aca="false">IF(OR(G37="",G37="なし"),"―",IF(CN37="N","対象外",IF(AND(I37="",J37="",K37=""),"標報未入力",IF(CH37&gt;=設定!$B$4,"要確認","問題なし"))))</f>
        <v>標報未入力</v>
      </c>
      <c r="E37" s="24" t="str">
        <f aca="false">IF(OR(G37="",G37="なし",CI37="",CJ37=0),"―",IF(CJ37=CI37,"前月同額",IF(CI37=0,"―",IF(ABS(CJ37/CI37-1)&gt;=設定!$B$5,"変動大 "&amp;TEXT(CJ37/CI37-1,"+0%;-0%"),"〇"))))</f>
        <v>―</v>
      </c>
      <c r="F37" s="10" t="str">
        <f aca="false">IF(OR(G37="",G37="なし"),"―",IF(CJ37=0,"入金不要",IF(COUNT(AD37,AF37,AH37,AJ37)=0,IF(AK37="○","手動確認","未入金"),IF(AND(N(AD37)=AC37,IF(AE37="",TRUE(),N(AF37)=AE37),IF(AG37="",TRUE(),N(AH37)=AG37),IF(AI37="",TRUE(),N(AJ37)=AI37)),"一致","不一致"))))</f>
        <v>手動確認</v>
      </c>
      <c r="G37" s="25" t="s">
        <v>167</v>
      </c>
      <c r="H37" s="26"/>
      <c r="I37" s="27"/>
      <c r="J37" s="27"/>
      <c r="K37" s="27"/>
      <c r="L37" s="27"/>
      <c r="M37" s="27"/>
      <c r="N37" s="27"/>
      <c r="O37" s="27" t="n">
        <v>56730</v>
      </c>
      <c r="P37" s="27" t="n">
        <v>4650</v>
      </c>
      <c r="Q37" s="27" t="n">
        <v>32153</v>
      </c>
      <c r="R37" s="27" t="n">
        <v>4898</v>
      </c>
      <c r="S37" s="27" t="n">
        <v>713</v>
      </c>
      <c r="T37" s="27" t="n">
        <v>56730</v>
      </c>
      <c r="U37" s="27" t="n">
        <v>4650</v>
      </c>
      <c r="V37" s="27" t="n">
        <v>53</v>
      </c>
      <c r="W37" s="27" t="n">
        <v>32184</v>
      </c>
      <c r="X37" s="27" t="n">
        <v>4898</v>
      </c>
      <c r="Y37" s="27" t="n">
        <v>713</v>
      </c>
      <c r="Z37" s="27"/>
      <c r="AA37" s="10" t="str">
        <f aca="false">IFERROR(INDEX(設定!$E$61:$E$106,MATCH(B37,設定!$B$61:$B$106,0)),"合算")</f>
        <v>合算</v>
      </c>
      <c r="AB37" s="28"/>
      <c r="AC37" s="29" t="n">
        <f aca="false">IF(OR(G37="",G37="なし"),"",IF(AA37="合算",CJ37+N(Z37),IF(AA37="掛金・負担金別",(AY37+AZ37+BD37+BF37+BH37),SUM(AY37:BC37))))</f>
        <v>198372</v>
      </c>
      <c r="AD37" s="27"/>
      <c r="AE37" s="29" t="str">
        <f aca="false">IF(OR(G37="",G37="なし"),"",IF(AA37="掛金・負担金別",(BA37+BB37+BC37+BE37+BG37+BI37+N(Z37)),IF(AA37="経理区分別",BD37+BE37,"")))</f>
        <v/>
      </c>
      <c r="AF37" s="27"/>
      <c r="AG37" s="29" t="str">
        <f aca="false">IF(OR(G37="",G37="なし"),"",IF(AA37="経理区分別",BF37+BG37,""))</f>
        <v/>
      </c>
      <c r="AH37" s="27"/>
      <c r="AI37" s="29" t="str">
        <f aca="false">IF(OR(G37="",G37="なし"),"",IF(AA37="経理区分別",BH37+BI37+N(Z37),""))</f>
        <v/>
      </c>
      <c r="AJ37" s="27"/>
      <c r="AK37" s="26" t="s">
        <v>168</v>
      </c>
      <c r="AL37" s="26"/>
      <c r="AM37" s="30"/>
      <c r="AN37" s="31"/>
      <c r="AO37" s="31"/>
      <c r="AP37" s="31"/>
      <c r="AQ37" s="31"/>
      <c r="AR37" s="31"/>
      <c r="AS37" s="31"/>
      <c r="AT37" s="31"/>
      <c r="AU37" s="31"/>
      <c r="AV37" s="31"/>
      <c r="AW37" s="31"/>
      <c r="AX37" s="31"/>
      <c r="AY37" s="31" t="n">
        <f aca="false">IF($G37="",AN37,O37)</f>
        <v>56730</v>
      </c>
      <c r="AZ37" s="31" t="n">
        <f aca="false">IF($G37="",AO37,P37)</f>
        <v>4650</v>
      </c>
      <c r="BA37" s="31" t="n">
        <f aca="false">IF($G37="",AP37,T37)</f>
        <v>56730</v>
      </c>
      <c r="BB37" s="31" t="n">
        <f aca="false">IF($G37="",AQ37,U37)</f>
        <v>4650</v>
      </c>
      <c r="BC37" s="31" t="n">
        <f aca="false">IF($G37="",AR37,V37)</f>
        <v>53</v>
      </c>
      <c r="BD37" s="31" t="n">
        <f aca="false">IF($G37="",AS37,Q37)</f>
        <v>32153</v>
      </c>
      <c r="BE37" s="31" t="n">
        <f aca="false">IF($G37="",AT37,W37)</f>
        <v>32184</v>
      </c>
      <c r="BF37" s="31" t="n">
        <f aca="false">IF($G37="",AU37,R37)</f>
        <v>4898</v>
      </c>
      <c r="BG37" s="31" t="n">
        <f aca="false">IF($G37="",AV37,X37)</f>
        <v>4898</v>
      </c>
      <c r="BH37" s="31" t="n">
        <f aca="false">IF($G37="",AW37,S37)</f>
        <v>713</v>
      </c>
      <c r="BI37" s="31" t="n">
        <f aca="false">IF($G37="",AX37,Y37)</f>
        <v>713</v>
      </c>
      <c r="BJ37" s="31" t="n">
        <f aca="false">IF(CK37="N",BR37,ROUNDDOWN((I37-L37)*設定!$B$10/1000,0)+ROUNDDOWN((I37-L37)*設定!$B$11/1000,0))</f>
        <v>0</v>
      </c>
      <c r="BK37" s="31" t="n">
        <f aca="false">ROUNDDOWN((I37-L37)*設定!$C$10/1000,0)+ROUNDDOWN((I37-L37)*設定!$C$11/1000,0)+ROUNDDOWN(I37*設定!$C$12/1000,0)+IF(CL37="市局型",ROUNDDOWN(I37*設定!$C$16/1000,0),0)</f>
        <v>0</v>
      </c>
      <c r="BL37" s="31" t="n">
        <f aca="false">IF(CK37="N",BT37,ROUNDDOWN((J37-M37)*設定!$B$13/1000,0))</f>
        <v>0</v>
      </c>
      <c r="BM37" s="31" t="n">
        <f aca="false">ROUNDDOWN((J37-M37)*設定!$C$13/1000,0)+IF(CL37="市局型",ROUNDDOWN(J37*設定!$C$17/1000,0),0)</f>
        <v>0</v>
      </c>
      <c r="BN37" s="31" t="n">
        <f aca="false">IF(CK37="N",BV37,ROUNDDOWN((K37-N37)*設定!$B$14/1000,0))</f>
        <v>0</v>
      </c>
      <c r="BO37" s="31" t="n">
        <f aca="false">ROUNDDOWN((K37-N37)*設定!$C$14/1000,0)</f>
        <v>0</v>
      </c>
      <c r="BP37" s="31" t="n">
        <f aca="false">IF(CK37="N",BX37,ROUNDDOWN((J37-M37)*設定!$B$15/1000,0))</f>
        <v>0</v>
      </c>
      <c r="BQ37" s="31" t="n">
        <f aca="false">ROUNDDOWN((J37-M37)*設定!$C$15/1000,0)</f>
        <v>0</v>
      </c>
      <c r="BR37" s="31" t="n">
        <f aca="false">O37+P37</f>
        <v>61380</v>
      </c>
      <c r="BS37" s="31" t="n">
        <f aca="false">T37+U37+V37</f>
        <v>61433</v>
      </c>
      <c r="BT37" s="31" t="n">
        <f aca="false">Q37</f>
        <v>32153</v>
      </c>
      <c r="BU37" s="31" t="n">
        <f aca="false">W37</f>
        <v>32184</v>
      </c>
      <c r="BV37" s="31" t="n">
        <f aca="false">R37</f>
        <v>4898</v>
      </c>
      <c r="BW37" s="31" t="n">
        <f aca="false">X37</f>
        <v>4898</v>
      </c>
      <c r="BX37" s="31" t="n">
        <f aca="false">S37</f>
        <v>713</v>
      </c>
      <c r="BY37" s="31" t="n">
        <f aca="false">Y37</f>
        <v>713</v>
      </c>
      <c r="BZ37" s="32" t="n">
        <f aca="false">IF(BJ37=0,IF(BR37=0,0,1),(BR37-BJ37)/BJ37)</f>
        <v>1</v>
      </c>
      <c r="CA37" s="32" t="n">
        <f aca="false">IF(BK37=0,IF(BS37=0,0,1),(BS37-BK37)/BK37)</f>
        <v>1</v>
      </c>
      <c r="CB37" s="32" t="n">
        <f aca="false">IF(BL37=0,IF(BT37=0,0,1),(BT37-BL37)/BL37)</f>
        <v>1</v>
      </c>
      <c r="CC37" s="32" t="n">
        <f aca="false">IF(BM37=0,IF(BU37=0,0,1),(BU37-BM37)/BM37)</f>
        <v>1</v>
      </c>
      <c r="CD37" s="32" t="n">
        <f aca="false">IF(BN37=0,IF(BV37=0,0,1),(BV37-BN37)/BN37)</f>
        <v>1</v>
      </c>
      <c r="CE37" s="32" t="n">
        <f aca="false">IF(BO37=0,IF(BW37=0,0,1),(BW37-BO37)/BO37)</f>
        <v>1</v>
      </c>
      <c r="CF37" s="32" t="n">
        <f aca="false">IF(BP37=0,IF(BX37=0,0,1),(BX37-BP37)/BP37)</f>
        <v>1</v>
      </c>
      <c r="CG37" s="32" t="n">
        <f aca="false">IF(BQ37=0,IF(BY37=0,0,1),(BY37-BQ37)/BQ37)</f>
        <v>1</v>
      </c>
      <c r="CH37" s="32" t="n">
        <f aca="false">MAX(MAX(BZ37:CG37),-MIN(BZ37:CG37))</f>
        <v>1</v>
      </c>
      <c r="CI37" s="31" t="str">
        <f aca="false">IF(CO37="","",SUMIFS($CJ$7:$CJ$696,$A$7:$A$696,CO37,$B$7:$B$696,B37))</f>
        <v/>
      </c>
      <c r="CJ37" s="31" t="n">
        <f aca="false">SUM(AY37:BI37)</f>
        <v>198372</v>
      </c>
      <c r="CK37" s="31" t="str">
        <f aca="false">IFERROR(INDEX(設定!$F$61:$F$106,MATCH(B37,設定!$B$61:$B$106,0)),"Y")</f>
        <v>Y</v>
      </c>
      <c r="CL37" s="31" t="str">
        <f aca="false">IFERROR(INDEX(設定!$G$61:$G$106,MATCH(B37,設定!$B$61:$B$106,0)),"外郭型")</f>
        <v>外郭型</v>
      </c>
      <c r="CM37" s="33" t="str">
        <f aca="false">A37&amp;"|"&amp;B37</f>
        <v>2026-04 月例|広島県市長会</v>
      </c>
      <c r="CN37" s="34" t="str">
        <f aca="false">IFERROR(INDEX(設定!$D$61:$D$106,MATCH(B37,設定!$B$61:$B$106,0)),"Y")</f>
        <v>Y</v>
      </c>
      <c r="CO37" s="34" t="str">
        <f aca="false">IFERROR(INDEX(設定!$D$20:$D$34,MATCH(A37,設定!$A$20:$A$34,0))&amp;"","")</f>
        <v/>
      </c>
    </row>
    <row r="38" customFormat="false" ht="15" hidden="true" customHeight="false" outlineLevel="0" collapsed="false">
      <c r="A38" s="22" t="s">
        <v>165</v>
      </c>
      <c r="B38" s="23" t="s">
        <v>200</v>
      </c>
      <c r="C38" s="10" t="str">
        <f aca="false">IF(G38="","未受領",IF(G38="なし","報告なし",IF(AL38="○","起票済",IF(OR(AK38="○",F38="一致",F38="入金不要"),"入金確認済","受領済"))))</f>
        <v>入金確認済</v>
      </c>
      <c r="D38" s="10" t="str">
        <f aca="false">IF(OR(G38="",G38="なし"),"―",IF(CN38="N","対象外",IF(AND(I38="",J38="",K38=""),"標報未入力",IF(CH38&gt;=設定!$B$4,"要確認","問題なし"))))</f>
        <v>標報未入力</v>
      </c>
      <c r="E38" s="24" t="str">
        <f aca="false">IF(OR(G38="",G38="なし",CI38="",CJ38=0),"―",IF(CJ38=CI38,"前月同額",IF(CI38=0,"―",IF(ABS(CJ38/CI38-1)&gt;=設定!$B$5,"変動大 "&amp;TEXT(CJ38/CI38-1,"+0%;-0%"),"〇"))))</f>
        <v>―</v>
      </c>
      <c r="F38" s="10" t="str">
        <f aca="false">IF(OR(G38="",G38="なし"),"―",IF(CJ38=0,"入金不要",IF(COUNT(AD38,AF38,AH38,AJ38)=0,IF(AK38="○","手動確認","未入金"),IF(AND(N(AD38)=AC38,IF(AE38="",TRUE(),N(AF38)=AE38),IF(AG38="",TRUE(),N(AH38)=AG38),IF(AI38="",TRUE(),N(AJ38)=AI38)),"一致","不一致"))))</f>
        <v>手動確認</v>
      </c>
      <c r="G38" s="25" t="s">
        <v>167</v>
      </c>
      <c r="H38" s="26"/>
      <c r="I38" s="27"/>
      <c r="J38" s="27"/>
      <c r="K38" s="27"/>
      <c r="L38" s="27"/>
      <c r="M38" s="27"/>
      <c r="N38" s="27"/>
      <c r="O38" s="27" t="n">
        <v>59475</v>
      </c>
      <c r="P38" s="27" t="n">
        <v>4875</v>
      </c>
      <c r="Q38" s="27" t="n">
        <v>38895</v>
      </c>
      <c r="R38" s="27" t="n">
        <v>5925</v>
      </c>
      <c r="S38" s="27" t="n">
        <v>862</v>
      </c>
      <c r="T38" s="27" t="n">
        <v>59475</v>
      </c>
      <c r="U38" s="27" t="n">
        <v>4875</v>
      </c>
      <c r="V38" s="27" t="n">
        <v>56</v>
      </c>
      <c r="W38" s="27" t="n">
        <v>38932</v>
      </c>
      <c r="X38" s="27" t="n">
        <v>5925</v>
      </c>
      <c r="Y38" s="27" t="n">
        <v>862</v>
      </c>
      <c r="Z38" s="27"/>
      <c r="AA38" s="10" t="str">
        <f aca="false">IFERROR(INDEX(設定!$E$61:$E$106,MATCH(B38,設定!$B$61:$B$106,0)),"合算")</f>
        <v>合算</v>
      </c>
      <c r="AB38" s="28"/>
      <c r="AC38" s="29" t="n">
        <f aca="false">IF(OR(G38="",G38="なし"),"",IF(AA38="合算",CJ38+N(Z38),IF(AA38="掛金・負担金別",(AY38+AZ38+BD38+BF38+BH38),SUM(AY38:BC38))))</f>
        <v>220157</v>
      </c>
      <c r="AD38" s="27"/>
      <c r="AE38" s="29" t="str">
        <f aca="false">IF(OR(G38="",G38="なし"),"",IF(AA38="掛金・負担金別",(BA38+BB38+BC38+BE38+BG38+BI38+N(Z38)),IF(AA38="経理区分別",BD38+BE38,"")))</f>
        <v/>
      </c>
      <c r="AF38" s="27"/>
      <c r="AG38" s="29" t="str">
        <f aca="false">IF(OR(G38="",G38="なし"),"",IF(AA38="経理区分別",BF38+BG38,""))</f>
        <v/>
      </c>
      <c r="AH38" s="27"/>
      <c r="AI38" s="29" t="str">
        <f aca="false">IF(OR(G38="",G38="なし"),"",IF(AA38="経理区分別",BH38+BI38+N(Z38),""))</f>
        <v/>
      </c>
      <c r="AJ38" s="27"/>
      <c r="AK38" s="26" t="s">
        <v>168</v>
      </c>
      <c r="AL38" s="26"/>
      <c r="AM38" s="30"/>
      <c r="AN38" s="31"/>
      <c r="AO38" s="31"/>
      <c r="AP38" s="31"/>
      <c r="AQ38" s="31"/>
      <c r="AR38" s="31"/>
      <c r="AS38" s="31"/>
      <c r="AT38" s="31"/>
      <c r="AU38" s="31"/>
      <c r="AV38" s="31"/>
      <c r="AW38" s="31"/>
      <c r="AX38" s="31"/>
      <c r="AY38" s="31" t="n">
        <f aca="false">IF($G38="",AN38,O38)</f>
        <v>59475</v>
      </c>
      <c r="AZ38" s="31" t="n">
        <f aca="false">IF($G38="",AO38,P38)</f>
        <v>4875</v>
      </c>
      <c r="BA38" s="31" t="n">
        <f aca="false">IF($G38="",AP38,T38)</f>
        <v>59475</v>
      </c>
      <c r="BB38" s="31" t="n">
        <f aca="false">IF($G38="",AQ38,U38)</f>
        <v>4875</v>
      </c>
      <c r="BC38" s="31" t="n">
        <f aca="false">IF($G38="",AR38,V38)</f>
        <v>56</v>
      </c>
      <c r="BD38" s="31" t="n">
        <f aca="false">IF($G38="",AS38,Q38)</f>
        <v>38895</v>
      </c>
      <c r="BE38" s="31" t="n">
        <f aca="false">IF($G38="",AT38,W38)</f>
        <v>38932</v>
      </c>
      <c r="BF38" s="31" t="n">
        <f aca="false">IF($G38="",AU38,R38)</f>
        <v>5925</v>
      </c>
      <c r="BG38" s="31" t="n">
        <f aca="false">IF($G38="",AV38,X38)</f>
        <v>5925</v>
      </c>
      <c r="BH38" s="31" t="n">
        <f aca="false">IF($G38="",AW38,S38)</f>
        <v>862</v>
      </c>
      <c r="BI38" s="31" t="n">
        <f aca="false">IF($G38="",AX38,Y38)</f>
        <v>862</v>
      </c>
      <c r="BJ38" s="31" t="n">
        <f aca="false">IF(CK38="N",BR38,ROUNDDOWN((I38-L38)*設定!$B$10/1000,0)+ROUNDDOWN((I38-L38)*設定!$B$11/1000,0))</f>
        <v>0</v>
      </c>
      <c r="BK38" s="31" t="n">
        <f aca="false">ROUNDDOWN((I38-L38)*設定!$C$10/1000,0)+ROUNDDOWN((I38-L38)*設定!$C$11/1000,0)+ROUNDDOWN(I38*設定!$C$12/1000,0)+IF(CL38="市局型",ROUNDDOWN(I38*設定!$C$16/1000,0),0)</f>
        <v>0</v>
      </c>
      <c r="BL38" s="31" t="n">
        <f aca="false">IF(CK38="N",BT38,ROUNDDOWN((J38-M38)*設定!$B$13/1000,0))</f>
        <v>0</v>
      </c>
      <c r="BM38" s="31" t="n">
        <f aca="false">ROUNDDOWN((J38-M38)*設定!$C$13/1000,0)+IF(CL38="市局型",ROUNDDOWN(J38*設定!$C$17/1000,0),0)</f>
        <v>0</v>
      </c>
      <c r="BN38" s="31" t="n">
        <f aca="false">IF(CK38="N",BV38,ROUNDDOWN((K38-N38)*設定!$B$14/1000,0))</f>
        <v>0</v>
      </c>
      <c r="BO38" s="31" t="n">
        <f aca="false">ROUNDDOWN((K38-N38)*設定!$C$14/1000,0)</f>
        <v>0</v>
      </c>
      <c r="BP38" s="31" t="n">
        <f aca="false">IF(CK38="N",BX38,ROUNDDOWN((J38-M38)*設定!$B$15/1000,0))</f>
        <v>0</v>
      </c>
      <c r="BQ38" s="31" t="n">
        <f aca="false">ROUNDDOWN((J38-M38)*設定!$C$15/1000,0)</f>
        <v>0</v>
      </c>
      <c r="BR38" s="31" t="n">
        <f aca="false">O38+P38</f>
        <v>64350</v>
      </c>
      <c r="BS38" s="31" t="n">
        <f aca="false">T38+U38+V38</f>
        <v>64406</v>
      </c>
      <c r="BT38" s="31" t="n">
        <f aca="false">Q38</f>
        <v>38895</v>
      </c>
      <c r="BU38" s="31" t="n">
        <f aca="false">W38</f>
        <v>38932</v>
      </c>
      <c r="BV38" s="31" t="n">
        <f aca="false">R38</f>
        <v>5925</v>
      </c>
      <c r="BW38" s="31" t="n">
        <f aca="false">X38</f>
        <v>5925</v>
      </c>
      <c r="BX38" s="31" t="n">
        <f aca="false">S38</f>
        <v>862</v>
      </c>
      <c r="BY38" s="31" t="n">
        <f aca="false">Y38</f>
        <v>862</v>
      </c>
      <c r="BZ38" s="32" t="n">
        <f aca="false">IF(BJ38=0,IF(BR38=0,0,1),(BR38-BJ38)/BJ38)</f>
        <v>1</v>
      </c>
      <c r="CA38" s="32" t="n">
        <f aca="false">IF(BK38=0,IF(BS38=0,0,1),(BS38-BK38)/BK38)</f>
        <v>1</v>
      </c>
      <c r="CB38" s="32" t="n">
        <f aca="false">IF(BL38=0,IF(BT38=0,0,1),(BT38-BL38)/BL38)</f>
        <v>1</v>
      </c>
      <c r="CC38" s="32" t="n">
        <f aca="false">IF(BM38=0,IF(BU38=0,0,1),(BU38-BM38)/BM38)</f>
        <v>1</v>
      </c>
      <c r="CD38" s="32" t="n">
        <f aca="false">IF(BN38=0,IF(BV38=0,0,1),(BV38-BN38)/BN38)</f>
        <v>1</v>
      </c>
      <c r="CE38" s="32" t="n">
        <f aca="false">IF(BO38=0,IF(BW38=0,0,1),(BW38-BO38)/BO38)</f>
        <v>1</v>
      </c>
      <c r="CF38" s="32" t="n">
        <f aca="false">IF(BP38=0,IF(BX38=0,0,1),(BX38-BP38)/BP38)</f>
        <v>1</v>
      </c>
      <c r="CG38" s="32" t="n">
        <f aca="false">IF(BQ38=0,IF(BY38=0,0,1),(BY38-BQ38)/BQ38)</f>
        <v>1</v>
      </c>
      <c r="CH38" s="32" t="n">
        <f aca="false">MAX(MAX(BZ38:CG38),-MIN(BZ38:CG38))</f>
        <v>1</v>
      </c>
      <c r="CI38" s="31" t="str">
        <f aca="false">IF(CO38="","",SUMIFS($CJ$7:$CJ$696,$A$7:$A$696,CO38,$B$7:$B$696,B38))</f>
        <v/>
      </c>
      <c r="CJ38" s="31" t="n">
        <f aca="false">SUM(AY38:BI38)</f>
        <v>220157</v>
      </c>
      <c r="CK38" s="31" t="str">
        <f aca="false">IFERROR(INDEX(設定!$F$61:$F$106,MATCH(B38,設定!$B$61:$B$106,0)),"Y")</f>
        <v>Y</v>
      </c>
      <c r="CL38" s="31" t="str">
        <f aca="false">IFERROR(INDEX(設定!$G$61:$G$106,MATCH(B38,設定!$B$61:$B$106,0)),"外郭型")</f>
        <v>外郭型</v>
      </c>
      <c r="CM38" s="33" t="str">
        <f aca="false">A38&amp;"|"&amp;B38</f>
        <v>2026-04 月例|全国市町村研修財団</v>
      </c>
      <c r="CN38" s="34" t="str">
        <f aca="false">IFERROR(INDEX(設定!$D$61:$D$106,MATCH(B38,設定!$B$61:$B$106,0)),"Y")</f>
        <v>Y</v>
      </c>
      <c r="CO38" s="34" t="str">
        <f aca="false">IFERROR(INDEX(設定!$D$20:$D$34,MATCH(A38,設定!$A$20:$A$34,0))&amp;"","")</f>
        <v/>
      </c>
    </row>
    <row r="39" customFormat="false" ht="15" hidden="true" customHeight="false" outlineLevel="0" collapsed="false">
      <c r="A39" s="22" t="s">
        <v>165</v>
      </c>
      <c r="B39" s="23" t="s">
        <v>201</v>
      </c>
      <c r="C39" s="10" t="str">
        <f aca="false">IF(G39="","未受領",IF(G39="なし","報告なし",IF(AL39="○","起票済",IF(OR(AK39="○",F39="一致",F39="入金不要"),"入金確認済","受領済"))))</f>
        <v>入金確認済</v>
      </c>
      <c r="D39" s="10" t="str">
        <f aca="false">IF(OR(G39="",G39="なし"),"―",IF(CN39="N","対象外",IF(AND(I39="",J39="",K39=""),"標報未入力",IF(CH39&gt;=設定!$B$4,"要確認","問題なし"))))</f>
        <v>標報未入力</v>
      </c>
      <c r="E39" s="24" t="str">
        <f aca="false">IF(OR(G39="",G39="なし",CI39="",CJ39=0),"―",IF(CJ39=CI39,"前月同額",IF(CI39=0,"―",IF(ABS(CJ39/CI39-1)&gt;=設定!$B$5,"変動大 "&amp;TEXT(CJ39/CI39-1,"+0%;-0%"),"〇"))))</f>
        <v>―</v>
      </c>
      <c r="F39" s="10" t="str">
        <f aca="false">IF(OR(G39="",G39="なし"),"―",IF(CJ39=0,"入金不要",IF(COUNT(AD39,AF39,AH39,AJ39)=0,IF(AK39="○","手動確認","未入金"),IF(AND(N(AD39)=AC39,IF(AE39="",TRUE(),N(AF39)=AE39),IF(AG39="",TRUE(),N(AH39)=AG39),IF(AI39="",TRUE(),N(AJ39)=AI39)),"一致","不一致"))))</f>
        <v>手動確認</v>
      </c>
      <c r="G39" s="25" t="s">
        <v>167</v>
      </c>
      <c r="H39" s="26"/>
      <c r="I39" s="27"/>
      <c r="J39" s="27"/>
      <c r="K39" s="27"/>
      <c r="L39" s="27"/>
      <c r="M39" s="27"/>
      <c r="N39" s="27"/>
      <c r="O39" s="27" t="n">
        <v>37515</v>
      </c>
      <c r="P39" s="27" t="n">
        <v>3075</v>
      </c>
      <c r="Q39" s="27" t="n">
        <v>21262</v>
      </c>
      <c r="R39" s="27" t="n">
        <v>0</v>
      </c>
      <c r="S39" s="27" t="n">
        <v>471</v>
      </c>
      <c r="T39" s="27" t="n">
        <v>37515</v>
      </c>
      <c r="U39" s="27" t="n">
        <v>3075</v>
      </c>
      <c r="V39" s="27" t="n">
        <v>35</v>
      </c>
      <c r="W39" s="27" t="n">
        <v>21283</v>
      </c>
      <c r="X39" s="27" t="n">
        <v>0</v>
      </c>
      <c r="Y39" s="27" t="n">
        <v>471</v>
      </c>
      <c r="Z39" s="27"/>
      <c r="AA39" s="10" t="str">
        <f aca="false">IFERROR(INDEX(設定!$E$61:$E$106,MATCH(B39,設定!$B$61:$B$106,0)),"合算")</f>
        <v>合算</v>
      </c>
      <c r="AB39" s="28"/>
      <c r="AC39" s="29" t="n">
        <f aca="false">IF(OR(G39="",G39="なし"),"",IF(AA39="合算",CJ39+N(Z39),IF(AA39="掛金・負担金別",(AY39+AZ39+BD39+BF39+BH39),SUM(AY39:BC39))))</f>
        <v>124702</v>
      </c>
      <c r="AD39" s="27"/>
      <c r="AE39" s="29" t="str">
        <f aca="false">IF(OR(G39="",G39="なし"),"",IF(AA39="掛金・負担金別",(BA39+BB39+BC39+BE39+BG39+BI39+N(Z39)),IF(AA39="経理区分別",BD39+BE39,"")))</f>
        <v/>
      </c>
      <c r="AF39" s="27"/>
      <c r="AG39" s="29" t="str">
        <f aca="false">IF(OR(G39="",G39="なし"),"",IF(AA39="経理区分別",BF39+BG39,""))</f>
        <v/>
      </c>
      <c r="AH39" s="27"/>
      <c r="AI39" s="29" t="str">
        <f aca="false">IF(OR(G39="",G39="なし"),"",IF(AA39="経理区分別",BH39+BI39+N(Z39),""))</f>
        <v/>
      </c>
      <c r="AJ39" s="27"/>
      <c r="AK39" s="26" t="s">
        <v>168</v>
      </c>
      <c r="AL39" s="26"/>
      <c r="AM39" s="30"/>
      <c r="AN39" s="31"/>
      <c r="AO39" s="31"/>
      <c r="AP39" s="31"/>
      <c r="AQ39" s="31"/>
      <c r="AR39" s="31"/>
      <c r="AS39" s="31"/>
      <c r="AT39" s="31"/>
      <c r="AU39" s="31"/>
      <c r="AV39" s="31"/>
      <c r="AW39" s="31"/>
      <c r="AX39" s="31"/>
      <c r="AY39" s="31" t="n">
        <f aca="false">IF($G39="",AN39,O39)</f>
        <v>37515</v>
      </c>
      <c r="AZ39" s="31" t="n">
        <f aca="false">IF($G39="",AO39,P39)</f>
        <v>3075</v>
      </c>
      <c r="BA39" s="31" t="n">
        <f aca="false">IF($G39="",AP39,T39)</f>
        <v>37515</v>
      </c>
      <c r="BB39" s="31" t="n">
        <f aca="false">IF($G39="",AQ39,U39)</f>
        <v>3075</v>
      </c>
      <c r="BC39" s="31" t="n">
        <f aca="false">IF($G39="",AR39,V39)</f>
        <v>35</v>
      </c>
      <c r="BD39" s="31" t="n">
        <f aca="false">IF($G39="",AS39,Q39)</f>
        <v>21262</v>
      </c>
      <c r="BE39" s="31" t="n">
        <f aca="false">IF($G39="",AT39,W39)</f>
        <v>21283</v>
      </c>
      <c r="BF39" s="31" t="n">
        <f aca="false">IF($G39="",AU39,R39)</f>
        <v>0</v>
      </c>
      <c r="BG39" s="31" t="n">
        <f aca="false">IF($G39="",AV39,X39)</f>
        <v>0</v>
      </c>
      <c r="BH39" s="31" t="n">
        <f aca="false">IF($G39="",AW39,S39)</f>
        <v>471</v>
      </c>
      <c r="BI39" s="31" t="n">
        <f aca="false">IF($G39="",AX39,Y39)</f>
        <v>471</v>
      </c>
      <c r="BJ39" s="31" t="n">
        <f aca="false">IF(CK39="N",BR39,ROUNDDOWN((I39-L39)*設定!$B$10/1000,0)+ROUNDDOWN((I39-L39)*設定!$B$11/1000,0))</f>
        <v>0</v>
      </c>
      <c r="BK39" s="31" t="n">
        <f aca="false">ROUNDDOWN((I39-L39)*設定!$C$10/1000,0)+ROUNDDOWN((I39-L39)*設定!$C$11/1000,0)+ROUNDDOWN(I39*設定!$C$12/1000,0)+IF(CL39="市局型",ROUNDDOWN(I39*設定!$C$16/1000,0),0)</f>
        <v>0</v>
      </c>
      <c r="BL39" s="31" t="n">
        <f aca="false">IF(CK39="N",BT39,ROUNDDOWN((J39-M39)*設定!$B$13/1000,0))</f>
        <v>0</v>
      </c>
      <c r="BM39" s="31" t="n">
        <f aca="false">ROUNDDOWN((J39-M39)*設定!$C$13/1000,0)+IF(CL39="市局型",ROUNDDOWN(J39*設定!$C$17/1000,0),0)</f>
        <v>0</v>
      </c>
      <c r="BN39" s="31" t="n">
        <f aca="false">IF(CK39="N",BV39,ROUNDDOWN((K39-N39)*設定!$B$14/1000,0))</f>
        <v>0</v>
      </c>
      <c r="BO39" s="31" t="n">
        <f aca="false">ROUNDDOWN((K39-N39)*設定!$C$14/1000,0)</f>
        <v>0</v>
      </c>
      <c r="BP39" s="31" t="n">
        <f aca="false">IF(CK39="N",BX39,ROUNDDOWN((J39-M39)*設定!$B$15/1000,0))</f>
        <v>0</v>
      </c>
      <c r="BQ39" s="31" t="n">
        <f aca="false">ROUNDDOWN((J39-M39)*設定!$C$15/1000,0)</f>
        <v>0</v>
      </c>
      <c r="BR39" s="31" t="n">
        <f aca="false">O39+P39</f>
        <v>40590</v>
      </c>
      <c r="BS39" s="31" t="n">
        <f aca="false">T39+U39+V39</f>
        <v>40625</v>
      </c>
      <c r="BT39" s="31" t="n">
        <f aca="false">Q39</f>
        <v>21262</v>
      </c>
      <c r="BU39" s="31" t="n">
        <f aca="false">W39</f>
        <v>21283</v>
      </c>
      <c r="BV39" s="31" t="n">
        <f aca="false">R39</f>
        <v>0</v>
      </c>
      <c r="BW39" s="31" t="n">
        <f aca="false">X39</f>
        <v>0</v>
      </c>
      <c r="BX39" s="31" t="n">
        <f aca="false">S39</f>
        <v>471</v>
      </c>
      <c r="BY39" s="31" t="n">
        <f aca="false">Y39</f>
        <v>471</v>
      </c>
      <c r="BZ39" s="32" t="n">
        <f aca="false">IF(BJ39=0,IF(BR39=0,0,1),(BR39-BJ39)/BJ39)</f>
        <v>1</v>
      </c>
      <c r="CA39" s="32" t="n">
        <f aca="false">IF(BK39=0,IF(BS39=0,0,1),(BS39-BK39)/BK39)</f>
        <v>1</v>
      </c>
      <c r="CB39" s="32" t="n">
        <f aca="false">IF(BL39=0,IF(BT39=0,0,1),(BT39-BL39)/BL39)</f>
        <v>1</v>
      </c>
      <c r="CC39" s="32" t="n">
        <f aca="false">IF(BM39=0,IF(BU39=0,0,1),(BU39-BM39)/BM39)</f>
        <v>1</v>
      </c>
      <c r="CD39" s="32" t="n">
        <f aca="false">IF(BN39=0,IF(BV39=0,0,1),(BV39-BN39)/BN39)</f>
        <v>0</v>
      </c>
      <c r="CE39" s="32" t="n">
        <f aca="false">IF(BO39=0,IF(BW39=0,0,1),(BW39-BO39)/BO39)</f>
        <v>0</v>
      </c>
      <c r="CF39" s="32" t="n">
        <f aca="false">IF(BP39=0,IF(BX39=0,0,1),(BX39-BP39)/BP39)</f>
        <v>1</v>
      </c>
      <c r="CG39" s="32" t="n">
        <f aca="false">IF(BQ39=0,IF(BY39=0,0,1),(BY39-BQ39)/BQ39)</f>
        <v>1</v>
      </c>
      <c r="CH39" s="32" t="n">
        <f aca="false">MAX(MAX(BZ39:CG39),-MIN(BZ39:CG39))</f>
        <v>1</v>
      </c>
      <c r="CI39" s="31" t="str">
        <f aca="false">IF(CO39="","",SUMIFS($CJ$7:$CJ$696,$A$7:$A$696,CO39,$B$7:$B$696,B39))</f>
        <v/>
      </c>
      <c r="CJ39" s="31" t="n">
        <f aca="false">SUM(AY39:BI39)</f>
        <v>124702</v>
      </c>
      <c r="CK39" s="31" t="str">
        <f aca="false">IFERROR(INDEX(設定!$F$61:$F$106,MATCH(B39,設定!$B$61:$B$106,0)),"Y")</f>
        <v>Y</v>
      </c>
      <c r="CL39" s="31" t="str">
        <f aca="false">IFERROR(INDEX(設定!$G$61:$G$106,MATCH(B39,設定!$B$61:$B$106,0)),"外郭型")</f>
        <v>外郭型</v>
      </c>
      <c r="CM39" s="33" t="str">
        <f aca="false">A39&amp;"|"&amp;B39</f>
        <v>2026-04 月例|都市再生機構</v>
      </c>
      <c r="CN39" s="34" t="str">
        <f aca="false">IFERROR(INDEX(設定!$D$61:$D$106,MATCH(B39,設定!$B$61:$B$106,0)),"Y")</f>
        <v>Y</v>
      </c>
      <c r="CO39" s="34" t="str">
        <f aca="false">IFERROR(INDEX(設定!$D$20:$D$34,MATCH(A39,設定!$A$20:$A$34,0))&amp;"","")</f>
        <v/>
      </c>
    </row>
    <row r="40" customFormat="false" ht="15" hidden="true" customHeight="false" outlineLevel="0" collapsed="false">
      <c r="A40" s="22" t="s">
        <v>165</v>
      </c>
      <c r="B40" s="23" t="s">
        <v>202</v>
      </c>
      <c r="C40" s="10" t="str">
        <f aca="false">IF(G40="","未受領",IF(G40="なし","報告なし",IF(AL40="○","起票済",IF(OR(AK40="○",F40="一致",F40="入金不要"),"入金確認済","受領済"))))</f>
        <v>入金確認済</v>
      </c>
      <c r="D40" s="10" t="str">
        <f aca="false">IF(OR(G40="",G40="なし"),"―",IF(CN40="N","対象外",IF(AND(I40="",J40="",K40=""),"標報未入力",IF(CH40&gt;=設定!$B$4,"要確認","問題なし"))))</f>
        <v>標報未入力</v>
      </c>
      <c r="E40" s="24" t="str">
        <f aca="false">IF(OR(G40="",G40="なし",CI40="",CJ40=0),"―",IF(CJ40=CI40,"前月同額",IF(CI40=0,"―",IF(ABS(CJ40/CI40-1)&gt;=設定!$B$5,"変動大 "&amp;TEXT(CJ40/CI40-1,"+0%;-0%"),"〇"))))</f>
        <v>―</v>
      </c>
      <c r="F40" s="10" t="str">
        <f aca="false">IF(OR(G40="",G40="なし"),"―",IF(CJ40=0,"入金不要",IF(COUNT(AD40,AF40,AH40,AJ40)=0,IF(AK40="○","手動確認","未入金"),IF(AND(N(AD40)=AC40,IF(AE40="",TRUE(),N(AF40)=AE40),IF(AG40="",TRUE(),N(AH40)=AG40),IF(AI40="",TRUE(),N(AJ40)=AI40)),"一致","不一致"))))</f>
        <v>手動確認</v>
      </c>
      <c r="G40" s="25" t="s">
        <v>167</v>
      </c>
      <c r="H40" s="26"/>
      <c r="I40" s="27"/>
      <c r="J40" s="27"/>
      <c r="K40" s="27"/>
      <c r="L40" s="27"/>
      <c r="M40" s="27"/>
      <c r="N40" s="27"/>
      <c r="O40" s="27" t="n">
        <v>1201395</v>
      </c>
      <c r="P40" s="27" t="n">
        <v>98475</v>
      </c>
      <c r="Q40" s="27" t="n">
        <v>690245</v>
      </c>
      <c r="R40" s="27" t="n">
        <v>79632</v>
      </c>
      <c r="S40" s="27" t="n">
        <v>15300</v>
      </c>
      <c r="T40" s="27" t="n">
        <v>1201395</v>
      </c>
      <c r="U40" s="27" t="n">
        <v>98475</v>
      </c>
      <c r="V40" s="27" t="n">
        <v>1208</v>
      </c>
      <c r="W40" s="27" t="n">
        <v>690961</v>
      </c>
      <c r="X40" s="27" t="n">
        <v>79632</v>
      </c>
      <c r="Y40" s="27" t="n">
        <v>15306</v>
      </c>
      <c r="Z40" s="27"/>
      <c r="AA40" s="10" t="str">
        <f aca="false">IFERROR(INDEX(設定!$E$61:$E$106,MATCH(B40,設定!$B$61:$B$106,0)),"合算")</f>
        <v>合算</v>
      </c>
      <c r="AB40" s="28"/>
      <c r="AC40" s="29" t="n">
        <f aca="false">IF(OR(G40="",G40="なし"),"",IF(AA40="合算",CJ40+N(Z40),IF(AA40="掛金・負担金別",(AY40+AZ40+BD40+BF40+BH40),SUM(AY40:BC40))))</f>
        <v>4172024</v>
      </c>
      <c r="AD40" s="27"/>
      <c r="AE40" s="29" t="str">
        <f aca="false">IF(OR(G40="",G40="なし"),"",IF(AA40="掛金・負担金別",(BA40+BB40+BC40+BE40+BG40+BI40+N(Z40)),IF(AA40="経理区分別",BD40+BE40,"")))</f>
        <v/>
      </c>
      <c r="AF40" s="27"/>
      <c r="AG40" s="29" t="str">
        <f aca="false">IF(OR(G40="",G40="なし"),"",IF(AA40="経理区分別",BF40+BG40,""))</f>
        <v/>
      </c>
      <c r="AH40" s="27"/>
      <c r="AI40" s="29" t="str">
        <f aca="false">IF(OR(G40="",G40="なし"),"",IF(AA40="経理区分別",BH40+BI40+N(Z40),""))</f>
        <v/>
      </c>
      <c r="AJ40" s="27"/>
      <c r="AK40" s="26" t="s">
        <v>168</v>
      </c>
      <c r="AL40" s="26"/>
      <c r="AM40" s="30"/>
      <c r="AN40" s="31"/>
      <c r="AO40" s="31"/>
      <c r="AP40" s="31"/>
      <c r="AQ40" s="31"/>
      <c r="AR40" s="31"/>
      <c r="AS40" s="31"/>
      <c r="AT40" s="31"/>
      <c r="AU40" s="31"/>
      <c r="AV40" s="31"/>
      <c r="AW40" s="31"/>
      <c r="AX40" s="31"/>
      <c r="AY40" s="31" t="n">
        <f aca="false">IF($G40="",AN40,O40)</f>
        <v>1201395</v>
      </c>
      <c r="AZ40" s="31" t="n">
        <f aca="false">IF($G40="",AO40,P40)</f>
        <v>98475</v>
      </c>
      <c r="BA40" s="31" t="n">
        <f aca="false">IF($G40="",AP40,T40)</f>
        <v>1201395</v>
      </c>
      <c r="BB40" s="31" t="n">
        <f aca="false">IF($G40="",AQ40,U40)</f>
        <v>98475</v>
      </c>
      <c r="BC40" s="31" t="n">
        <f aca="false">IF($G40="",AR40,V40)</f>
        <v>1208</v>
      </c>
      <c r="BD40" s="31" t="n">
        <f aca="false">IF($G40="",AS40,Q40)</f>
        <v>690245</v>
      </c>
      <c r="BE40" s="31" t="n">
        <f aca="false">IF($G40="",AT40,W40)</f>
        <v>690961</v>
      </c>
      <c r="BF40" s="31" t="n">
        <f aca="false">IF($G40="",AU40,R40)</f>
        <v>79632</v>
      </c>
      <c r="BG40" s="31" t="n">
        <f aca="false">IF($G40="",AV40,X40)</f>
        <v>79632</v>
      </c>
      <c r="BH40" s="31" t="n">
        <f aca="false">IF($G40="",AW40,S40)</f>
        <v>15300</v>
      </c>
      <c r="BI40" s="31" t="n">
        <f aca="false">IF($G40="",AX40,Y40)</f>
        <v>15306</v>
      </c>
      <c r="BJ40" s="31" t="n">
        <f aca="false">IF(CK40="N",BR40,ROUNDDOWN((I40-L40)*設定!$B$10/1000,0)+ROUNDDOWN((I40-L40)*設定!$B$11/1000,0))</f>
        <v>0</v>
      </c>
      <c r="BK40" s="31" t="n">
        <f aca="false">ROUNDDOWN((I40-L40)*設定!$C$10/1000,0)+ROUNDDOWN((I40-L40)*設定!$C$11/1000,0)+ROUNDDOWN(I40*設定!$C$12/1000,0)+IF(CL40="市局型",ROUNDDOWN(I40*設定!$C$16/1000,0),0)</f>
        <v>0</v>
      </c>
      <c r="BL40" s="31" t="n">
        <f aca="false">IF(CK40="N",BT40,ROUNDDOWN((J40-M40)*設定!$B$13/1000,0))</f>
        <v>0</v>
      </c>
      <c r="BM40" s="31" t="n">
        <f aca="false">ROUNDDOWN((J40-M40)*設定!$C$13/1000,0)+IF(CL40="市局型",ROUNDDOWN(J40*設定!$C$17/1000,0),0)</f>
        <v>0</v>
      </c>
      <c r="BN40" s="31" t="n">
        <f aca="false">IF(CK40="N",BV40,ROUNDDOWN((K40-N40)*設定!$B$14/1000,0))</f>
        <v>0</v>
      </c>
      <c r="BO40" s="31" t="n">
        <f aca="false">ROUNDDOWN((K40-N40)*設定!$C$14/1000,0)</f>
        <v>0</v>
      </c>
      <c r="BP40" s="31" t="n">
        <f aca="false">IF(CK40="N",BX40,ROUNDDOWN((J40-M40)*設定!$B$15/1000,0))</f>
        <v>0</v>
      </c>
      <c r="BQ40" s="31" t="n">
        <f aca="false">ROUNDDOWN((J40-M40)*設定!$C$15/1000,0)</f>
        <v>0</v>
      </c>
      <c r="BR40" s="31" t="n">
        <f aca="false">O40+P40</f>
        <v>1299870</v>
      </c>
      <c r="BS40" s="31" t="n">
        <f aca="false">T40+U40+V40</f>
        <v>1301078</v>
      </c>
      <c r="BT40" s="31" t="n">
        <f aca="false">Q40</f>
        <v>690245</v>
      </c>
      <c r="BU40" s="31" t="n">
        <f aca="false">W40</f>
        <v>690961</v>
      </c>
      <c r="BV40" s="31" t="n">
        <f aca="false">R40</f>
        <v>79632</v>
      </c>
      <c r="BW40" s="31" t="n">
        <f aca="false">X40</f>
        <v>79632</v>
      </c>
      <c r="BX40" s="31" t="n">
        <f aca="false">S40</f>
        <v>15300</v>
      </c>
      <c r="BY40" s="31" t="n">
        <f aca="false">Y40</f>
        <v>15306</v>
      </c>
      <c r="BZ40" s="32" t="n">
        <f aca="false">IF(BJ40=0,IF(BR40=0,0,1),(BR40-BJ40)/BJ40)</f>
        <v>1</v>
      </c>
      <c r="CA40" s="32" t="n">
        <f aca="false">IF(BK40=0,IF(BS40=0,0,1),(BS40-BK40)/BK40)</f>
        <v>1</v>
      </c>
      <c r="CB40" s="32" t="n">
        <f aca="false">IF(BL40=0,IF(BT40=0,0,1),(BT40-BL40)/BL40)</f>
        <v>1</v>
      </c>
      <c r="CC40" s="32" t="n">
        <f aca="false">IF(BM40=0,IF(BU40=0,0,1),(BU40-BM40)/BM40)</f>
        <v>1</v>
      </c>
      <c r="CD40" s="32" t="n">
        <f aca="false">IF(BN40=0,IF(BV40=0,0,1),(BV40-BN40)/BN40)</f>
        <v>1</v>
      </c>
      <c r="CE40" s="32" t="n">
        <f aca="false">IF(BO40=0,IF(BW40=0,0,1),(BW40-BO40)/BO40)</f>
        <v>1</v>
      </c>
      <c r="CF40" s="32" t="n">
        <f aca="false">IF(BP40=0,IF(BX40=0,0,1),(BX40-BP40)/BP40)</f>
        <v>1</v>
      </c>
      <c r="CG40" s="32" t="n">
        <f aca="false">IF(BQ40=0,IF(BY40=0,0,1),(BY40-BQ40)/BQ40)</f>
        <v>1</v>
      </c>
      <c r="CH40" s="32" t="n">
        <f aca="false">MAX(MAX(BZ40:CG40),-MIN(BZ40:CG40))</f>
        <v>1</v>
      </c>
      <c r="CI40" s="31" t="str">
        <f aca="false">IF(CO40="","",SUMIFS($CJ$7:$CJ$696,$A$7:$A$696,CO40,$B$7:$B$696,B40))</f>
        <v/>
      </c>
      <c r="CJ40" s="31" t="n">
        <f aca="false">SUM(AY40:BI40)</f>
        <v>4172024</v>
      </c>
      <c r="CK40" s="31" t="str">
        <f aca="false">IFERROR(INDEX(設定!$F$61:$F$106,MATCH(B40,設定!$B$61:$B$106,0)),"Y")</f>
        <v>Y</v>
      </c>
      <c r="CL40" s="31" t="str">
        <f aca="false">IFERROR(INDEX(設定!$G$61:$G$106,MATCH(B40,設定!$B$61:$B$106,0)),"外郭型")</f>
        <v>外郭型</v>
      </c>
      <c r="CM40" s="33" t="str">
        <f aca="false">A40&amp;"|"&amp;B40</f>
        <v>2026-04 月例|広島市立大学</v>
      </c>
      <c r="CN40" s="34" t="str">
        <f aca="false">IFERROR(INDEX(設定!$D$61:$D$106,MATCH(B40,設定!$B$61:$B$106,0)),"Y")</f>
        <v>Y</v>
      </c>
      <c r="CO40" s="34" t="str">
        <f aca="false">IFERROR(INDEX(設定!$D$20:$D$34,MATCH(A40,設定!$A$20:$A$34,0))&amp;"","")</f>
        <v/>
      </c>
    </row>
    <row r="41" customFormat="false" ht="15" hidden="true" customHeight="false" outlineLevel="0" collapsed="false">
      <c r="A41" s="22" t="s">
        <v>165</v>
      </c>
      <c r="B41" s="23" t="s">
        <v>203</v>
      </c>
      <c r="C41" s="10" t="str">
        <f aca="false">IF(G41="","未受領",IF(G41="なし","報告なし",IF(AL41="○","起票済",IF(OR(AK41="○",F41="一致",F41="入金不要"),"入金確認済","受領済"))))</f>
        <v>入金確認済</v>
      </c>
      <c r="D41" s="10" t="str">
        <f aca="false">IF(OR(G41="",G41="なし"),"―",IF(CN41="N","対象外",IF(AND(I41="",J41="",K41=""),"標報未入力",IF(CH41&gt;=設定!$B$4,"要確認","問題なし"))))</f>
        <v>標報未入力</v>
      </c>
      <c r="E41" s="24" t="str">
        <f aca="false">IF(OR(G41="",G41="なし",CI41="",CJ41=0),"―",IF(CJ41=CI41,"前月同額",IF(CI41=0,"―",IF(ABS(CJ41/CI41-1)&gt;=設定!$B$5,"変動大 "&amp;TEXT(CJ41/CI41-1,"+0%;-0%"),"〇"))))</f>
        <v>―</v>
      </c>
      <c r="F41" s="10" t="str">
        <f aca="false">IF(OR(G41="",G41="なし"),"―",IF(CJ41=0,"入金不要",IF(COUNT(AD41,AF41,AH41,AJ41)=0,IF(AK41="○","手動確認","未入金"),IF(AND(N(AD41)=AC41,IF(AE41="",TRUE(),N(AF41)=AE41),IF(AG41="",TRUE(),N(AH41)=AG41),IF(AI41="",TRUE(),N(AJ41)=AI41)),"一致","不一致"))))</f>
        <v>手動確認</v>
      </c>
      <c r="G41" s="25" t="s">
        <v>167</v>
      </c>
      <c r="H41" s="26"/>
      <c r="I41" s="27"/>
      <c r="J41" s="27"/>
      <c r="K41" s="27"/>
      <c r="L41" s="27"/>
      <c r="M41" s="27"/>
      <c r="N41" s="27"/>
      <c r="O41" s="27"/>
      <c r="P41" s="27"/>
      <c r="Q41" s="27"/>
      <c r="R41" s="27"/>
      <c r="S41" s="27"/>
      <c r="T41" s="27" t="n">
        <v>242475</v>
      </c>
      <c r="U41" s="27" t="n">
        <v>19875</v>
      </c>
      <c r="V41" s="27" t="n">
        <v>230</v>
      </c>
      <c r="W41" s="27" t="n">
        <v>140676</v>
      </c>
      <c r="X41" s="27" t="n">
        <v>10507</v>
      </c>
      <c r="Y41" s="27" t="n">
        <v>3116</v>
      </c>
      <c r="Z41" s="27"/>
      <c r="AA41" s="10" t="str">
        <f aca="false">IFERROR(INDEX(設定!$E$61:$E$106,MATCH(B41,設定!$B$61:$B$106,0)),"合算")</f>
        <v>合算</v>
      </c>
      <c r="AB41" s="28"/>
      <c r="AC41" s="29" t="n">
        <f aca="false">IF(OR(G41="",G41="なし"),"",IF(AA41="合算",CJ41+N(Z41),IF(AA41="掛金・負担金別",(AY41+AZ41+BD41+BF41+BH41),SUM(AY41:BC41))))</f>
        <v>416879</v>
      </c>
      <c r="AD41" s="27"/>
      <c r="AE41" s="29" t="str">
        <f aca="false">IF(OR(G41="",G41="なし"),"",IF(AA41="掛金・負担金別",(BA41+BB41+BC41+BE41+BG41+BI41+N(Z41)),IF(AA41="経理区分別",BD41+BE41,"")))</f>
        <v/>
      </c>
      <c r="AF41" s="27"/>
      <c r="AG41" s="29" t="str">
        <f aca="false">IF(OR(G41="",G41="なし"),"",IF(AA41="経理区分別",BF41+BG41,""))</f>
        <v/>
      </c>
      <c r="AH41" s="27"/>
      <c r="AI41" s="29" t="str">
        <f aca="false">IF(OR(G41="",G41="なし"),"",IF(AA41="経理区分別",BH41+BI41+N(Z41),""))</f>
        <v/>
      </c>
      <c r="AJ41" s="27"/>
      <c r="AK41" s="26" t="s">
        <v>168</v>
      </c>
      <c r="AL41" s="26"/>
      <c r="AM41" s="30"/>
      <c r="AN41" s="31"/>
      <c r="AO41" s="31"/>
      <c r="AP41" s="31"/>
      <c r="AQ41" s="31"/>
      <c r="AR41" s="31"/>
      <c r="AS41" s="31"/>
      <c r="AT41" s="31"/>
      <c r="AU41" s="31"/>
      <c r="AV41" s="31"/>
      <c r="AW41" s="31"/>
      <c r="AX41" s="31"/>
      <c r="AY41" s="31" t="n">
        <f aca="false">IF($G41="",AN41,O41)</f>
        <v>0</v>
      </c>
      <c r="AZ41" s="31" t="n">
        <f aca="false">IF($G41="",AO41,P41)</f>
        <v>0</v>
      </c>
      <c r="BA41" s="31" t="n">
        <f aca="false">IF($G41="",AP41,T41)</f>
        <v>242475</v>
      </c>
      <c r="BB41" s="31" t="n">
        <f aca="false">IF($G41="",AQ41,U41)</f>
        <v>19875</v>
      </c>
      <c r="BC41" s="31" t="n">
        <f aca="false">IF($G41="",AR41,V41)</f>
        <v>230</v>
      </c>
      <c r="BD41" s="31" t="n">
        <f aca="false">IF($G41="",AS41,Q41)</f>
        <v>0</v>
      </c>
      <c r="BE41" s="31" t="n">
        <f aca="false">IF($G41="",AT41,W41)</f>
        <v>140676</v>
      </c>
      <c r="BF41" s="31" t="n">
        <f aca="false">IF($G41="",AU41,R41)</f>
        <v>0</v>
      </c>
      <c r="BG41" s="31" t="n">
        <f aca="false">IF($G41="",AV41,X41)</f>
        <v>10507</v>
      </c>
      <c r="BH41" s="31" t="n">
        <f aca="false">IF($G41="",AW41,S41)</f>
        <v>0</v>
      </c>
      <c r="BI41" s="31" t="n">
        <f aca="false">IF($G41="",AX41,Y41)</f>
        <v>3116</v>
      </c>
      <c r="BJ41" s="31" t="n">
        <f aca="false">IF(CK41="N",BR41,ROUNDDOWN((I41-L41)*設定!$B$10/1000,0)+ROUNDDOWN((I41-L41)*設定!$B$11/1000,0))</f>
        <v>0</v>
      </c>
      <c r="BK41" s="31" t="n">
        <f aca="false">ROUNDDOWN((I41-L41)*設定!$C$10/1000,0)+ROUNDDOWN((I41-L41)*設定!$C$11/1000,0)+ROUNDDOWN(I41*設定!$C$12/1000,0)+IF(CL41="市局型",ROUNDDOWN(I41*設定!$C$16/1000,0),0)</f>
        <v>0</v>
      </c>
      <c r="BL41" s="31" t="n">
        <f aca="false">IF(CK41="N",BT41,ROUNDDOWN((J41-M41)*設定!$B$13/1000,0))</f>
        <v>0</v>
      </c>
      <c r="BM41" s="31" t="n">
        <f aca="false">ROUNDDOWN((J41-M41)*設定!$C$13/1000,0)+IF(CL41="市局型",ROUNDDOWN(J41*設定!$C$17/1000,0),0)</f>
        <v>0</v>
      </c>
      <c r="BN41" s="31" t="n">
        <f aca="false">IF(CK41="N",BV41,ROUNDDOWN((K41-N41)*設定!$B$14/1000,0))</f>
        <v>0</v>
      </c>
      <c r="BO41" s="31" t="n">
        <f aca="false">ROUNDDOWN((K41-N41)*設定!$C$14/1000,0)</f>
        <v>0</v>
      </c>
      <c r="BP41" s="31" t="n">
        <f aca="false">IF(CK41="N",BX41,ROUNDDOWN((J41-M41)*設定!$B$15/1000,0))</f>
        <v>0</v>
      </c>
      <c r="BQ41" s="31" t="n">
        <f aca="false">ROUNDDOWN((J41-M41)*設定!$C$15/1000,0)</f>
        <v>0</v>
      </c>
      <c r="BR41" s="31" t="n">
        <f aca="false">O41+P41</f>
        <v>0</v>
      </c>
      <c r="BS41" s="31" t="n">
        <f aca="false">T41+U41+V41</f>
        <v>262580</v>
      </c>
      <c r="BT41" s="31" t="n">
        <f aca="false">Q41</f>
        <v>0</v>
      </c>
      <c r="BU41" s="31" t="n">
        <f aca="false">W41</f>
        <v>140676</v>
      </c>
      <c r="BV41" s="31" t="n">
        <f aca="false">R41</f>
        <v>0</v>
      </c>
      <c r="BW41" s="31" t="n">
        <f aca="false">X41</f>
        <v>10507</v>
      </c>
      <c r="BX41" s="31" t="n">
        <f aca="false">S41</f>
        <v>0</v>
      </c>
      <c r="BY41" s="31" t="n">
        <f aca="false">Y41</f>
        <v>3116</v>
      </c>
      <c r="BZ41" s="32" t="n">
        <f aca="false">IF(BJ41=0,IF(BR41=0,0,1),(BR41-BJ41)/BJ41)</f>
        <v>0</v>
      </c>
      <c r="CA41" s="32" t="n">
        <f aca="false">IF(BK41=0,IF(BS41=0,0,1),(BS41-BK41)/BK41)</f>
        <v>1</v>
      </c>
      <c r="CB41" s="32" t="n">
        <f aca="false">IF(BL41=0,IF(BT41=0,0,1),(BT41-BL41)/BL41)</f>
        <v>0</v>
      </c>
      <c r="CC41" s="32" t="n">
        <f aca="false">IF(BM41=0,IF(BU41=0,0,1),(BU41-BM41)/BM41)</f>
        <v>1</v>
      </c>
      <c r="CD41" s="32" t="n">
        <f aca="false">IF(BN41=0,IF(BV41=0,0,1),(BV41-BN41)/BN41)</f>
        <v>0</v>
      </c>
      <c r="CE41" s="32" t="n">
        <f aca="false">IF(BO41=0,IF(BW41=0,0,1),(BW41-BO41)/BO41)</f>
        <v>1</v>
      </c>
      <c r="CF41" s="32" t="n">
        <f aca="false">IF(BP41=0,IF(BX41=0,0,1),(BX41-BP41)/BP41)</f>
        <v>0</v>
      </c>
      <c r="CG41" s="32" t="n">
        <f aca="false">IF(BQ41=0,IF(BY41=0,0,1),(BY41-BQ41)/BQ41)</f>
        <v>1</v>
      </c>
      <c r="CH41" s="32" t="n">
        <f aca="false">MAX(MAX(BZ41:CG41),-MIN(BZ41:CG41))</f>
        <v>1</v>
      </c>
      <c r="CI41" s="31" t="str">
        <f aca="false">IF(CO41="","",SUMIFS($CJ$7:$CJ$696,$A$7:$A$696,CO41,$B$7:$B$696,B41))</f>
        <v/>
      </c>
      <c r="CJ41" s="31" t="n">
        <f aca="false">SUM(AY41:BI41)</f>
        <v>416879</v>
      </c>
      <c r="CK41" s="31" t="str">
        <f aca="false">IFERROR(INDEX(設定!$F$61:$F$106,MATCH(B41,設定!$B$61:$B$106,0)),"Y")</f>
        <v>N</v>
      </c>
      <c r="CL41" s="31" t="str">
        <f aca="false">IFERROR(INDEX(設定!$G$61:$G$106,MATCH(B41,設定!$B$61:$B$106,0)),"外郭型")</f>
        <v>外郭型</v>
      </c>
      <c r="CM41" s="33" t="str">
        <f aca="false">A41&amp;"|"&amp;B41</f>
        <v>2026-04 月例|社会福祉協議会</v>
      </c>
      <c r="CN41" s="34" t="str">
        <f aca="false">IFERROR(INDEX(設定!$D$61:$D$106,MATCH(B41,設定!$B$61:$B$106,0)),"Y")</f>
        <v>Y</v>
      </c>
      <c r="CO41" s="34" t="str">
        <f aca="false">IFERROR(INDEX(設定!$D$20:$D$34,MATCH(A41,設定!$A$20:$A$34,0))&amp;"","")</f>
        <v/>
      </c>
    </row>
    <row r="42" customFormat="false" ht="15" hidden="true" customHeight="false" outlineLevel="0" collapsed="false">
      <c r="A42" s="22" t="s">
        <v>165</v>
      </c>
      <c r="B42" s="23" t="s">
        <v>204</v>
      </c>
      <c r="C42" s="10" t="str">
        <f aca="false">IF(G42="","未受領",IF(G42="なし","報告なし",IF(AL42="○","起票済",IF(OR(AK42="○",F42="一致",F42="入金不要"),"入金確認済","受領済"))))</f>
        <v>入金確認済</v>
      </c>
      <c r="D42" s="10" t="str">
        <f aca="false">IF(OR(G42="",G42="なし"),"―",IF(CN42="N","対象外",IF(AND(I42="",J42="",K42=""),"標報未入力",IF(CH42&gt;=設定!$B$4,"要確認","問題なし"))))</f>
        <v>対象外</v>
      </c>
      <c r="E42" s="24" t="str">
        <f aca="false">IF(OR(G42="",G42="なし",CI42="",CJ42=0),"―",IF(CJ42=CI42,"前月同額",IF(CI42=0,"―",IF(ABS(CJ42/CI42-1)&gt;=設定!$B$5,"変動大 "&amp;TEXT(CJ42/CI42-1,"+0%;-0%"),"〇"))))</f>
        <v>―</v>
      </c>
      <c r="F42" s="10" t="str">
        <f aca="false">IF(OR(G42="",G42="なし"),"―",IF(CJ42=0,"入金不要",IF(COUNT(AD42,AF42,AH42,AJ42)=0,IF(AK42="○","手動確認","未入金"),IF(AND(N(AD42)=AC42,IF(AE42="",TRUE(),N(AF42)=AE42),IF(AG42="",TRUE(),N(AH42)=AG42),IF(AI42="",TRUE(),N(AJ42)=AI42)),"一致","不一致"))))</f>
        <v>手動確認</v>
      </c>
      <c r="G42" s="25" t="s">
        <v>167</v>
      </c>
      <c r="H42" s="26"/>
      <c r="I42" s="27"/>
      <c r="J42" s="27"/>
      <c r="K42" s="27"/>
      <c r="L42" s="27"/>
      <c r="M42" s="27"/>
      <c r="N42" s="27"/>
      <c r="O42" s="27" t="n">
        <v>126776728</v>
      </c>
      <c r="P42" s="27" t="n">
        <v>10388836</v>
      </c>
      <c r="Q42" s="27" t="n">
        <v>93143364</v>
      </c>
      <c r="R42" s="27" t="n">
        <v>7885464</v>
      </c>
      <c r="S42" s="27" t="n">
        <v>2063539</v>
      </c>
      <c r="T42" s="27" t="n">
        <v>185329749</v>
      </c>
      <c r="U42" s="27" t="n">
        <v>10386886</v>
      </c>
      <c r="V42" s="27" t="n">
        <v>127334</v>
      </c>
      <c r="W42" s="27" t="n">
        <v>93250038</v>
      </c>
      <c r="X42" s="27" t="n">
        <v>7882532</v>
      </c>
      <c r="Y42" s="27" t="n">
        <v>2063238</v>
      </c>
      <c r="Z42" s="27"/>
      <c r="AA42" s="10" t="str">
        <f aca="false">IFERROR(INDEX(設定!$E$61:$E$106,MATCH(B42,設定!$B$61:$B$106,0)),"合算")</f>
        <v>合算</v>
      </c>
      <c r="AB42" s="28"/>
      <c r="AC42" s="29" t="n">
        <f aca="false">IF(OR(G42="",G42="なし"),"",IF(AA42="合算",CJ42+N(Z42),IF(AA42="掛金・負担金別",(AY42+AZ42+BD42+BF42+BH42),SUM(AY42:BC42))))</f>
        <v>539297708</v>
      </c>
      <c r="AD42" s="27"/>
      <c r="AE42" s="29" t="str">
        <f aca="false">IF(OR(G42="",G42="なし"),"",IF(AA42="掛金・負担金別",(BA42+BB42+BC42+BE42+BG42+BI42+N(Z42)),IF(AA42="経理区分別",BD42+BE42,"")))</f>
        <v/>
      </c>
      <c r="AF42" s="27"/>
      <c r="AG42" s="29" t="str">
        <f aca="false">IF(OR(G42="",G42="なし"),"",IF(AA42="経理区分別",BF42+BG42,""))</f>
        <v/>
      </c>
      <c r="AH42" s="27"/>
      <c r="AI42" s="29" t="str">
        <f aca="false">IF(OR(G42="",G42="なし"),"",IF(AA42="経理区分別",BH42+BI42+N(Z42),""))</f>
        <v/>
      </c>
      <c r="AJ42" s="27"/>
      <c r="AK42" s="26" t="s">
        <v>168</v>
      </c>
      <c r="AL42" s="26"/>
      <c r="AM42" s="30"/>
      <c r="AN42" s="31"/>
      <c r="AO42" s="31"/>
      <c r="AP42" s="31"/>
      <c r="AQ42" s="31"/>
      <c r="AR42" s="31"/>
      <c r="AS42" s="31"/>
      <c r="AT42" s="31"/>
      <c r="AU42" s="31"/>
      <c r="AV42" s="31"/>
      <c r="AW42" s="31"/>
      <c r="AX42" s="31"/>
      <c r="AY42" s="31" t="n">
        <f aca="false">IF($G42="",AN42,O42)</f>
        <v>126776728</v>
      </c>
      <c r="AZ42" s="31" t="n">
        <f aca="false">IF($G42="",AO42,P42)</f>
        <v>10388836</v>
      </c>
      <c r="BA42" s="31" t="n">
        <f aca="false">IF($G42="",AP42,T42)</f>
        <v>185329749</v>
      </c>
      <c r="BB42" s="31" t="n">
        <f aca="false">IF($G42="",AQ42,U42)</f>
        <v>10386886</v>
      </c>
      <c r="BC42" s="31" t="n">
        <f aca="false">IF($G42="",AR42,V42)</f>
        <v>127334</v>
      </c>
      <c r="BD42" s="31" t="n">
        <f aca="false">IF($G42="",AS42,Q42)</f>
        <v>93143364</v>
      </c>
      <c r="BE42" s="31" t="n">
        <f aca="false">IF($G42="",AT42,W42)</f>
        <v>93250038</v>
      </c>
      <c r="BF42" s="31" t="n">
        <f aca="false">IF($G42="",AU42,R42)</f>
        <v>7885464</v>
      </c>
      <c r="BG42" s="31" t="n">
        <f aca="false">IF($G42="",AV42,X42)</f>
        <v>7882532</v>
      </c>
      <c r="BH42" s="31" t="n">
        <f aca="false">IF($G42="",AW42,S42)</f>
        <v>2063539</v>
      </c>
      <c r="BI42" s="31" t="n">
        <f aca="false">IF($G42="",AX42,Y42)</f>
        <v>2063238</v>
      </c>
      <c r="BJ42" s="31" t="n">
        <f aca="false">IF(CK42="N",BR42,ROUNDDOWN((I42-L42)*設定!$B$10/1000,0)+ROUNDDOWN((I42-L42)*設定!$B$11/1000,0))</f>
        <v>0</v>
      </c>
      <c r="BK42" s="31" t="n">
        <f aca="false">ROUNDDOWN((I42-L42)*設定!$C$10/1000,0)+ROUNDDOWN((I42-L42)*設定!$C$11/1000,0)+ROUNDDOWN(I42*設定!$C$12/1000,0)+IF(CL42="市局型",ROUNDDOWN(I42*設定!$C$16/1000,0),0)</f>
        <v>0</v>
      </c>
      <c r="BL42" s="31" t="n">
        <f aca="false">IF(CK42="N",BT42,ROUNDDOWN((J42-M42)*設定!$B$13/1000,0))</f>
        <v>0</v>
      </c>
      <c r="BM42" s="31" t="n">
        <f aca="false">ROUNDDOWN((J42-M42)*設定!$C$13/1000,0)+IF(CL42="市局型",ROUNDDOWN(J42*設定!$C$17/1000,0),0)</f>
        <v>0</v>
      </c>
      <c r="BN42" s="31" t="n">
        <f aca="false">IF(CK42="N",BV42,ROUNDDOWN((K42-N42)*設定!$B$14/1000,0))</f>
        <v>0</v>
      </c>
      <c r="BO42" s="31" t="n">
        <f aca="false">ROUNDDOWN((K42-N42)*設定!$C$14/1000,0)</f>
        <v>0</v>
      </c>
      <c r="BP42" s="31" t="n">
        <f aca="false">IF(CK42="N",BX42,ROUNDDOWN((J42-M42)*設定!$B$15/1000,0))</f>
        <v>0</v>
      </c>
      <c r="BQ42" s="31" t="n">
        <f aca="false">ROUNDDOWN((J42-M42)*設定!$C$15/1000,0)</f>
        <v>0</v>
      </c>
      <c r="BR42" s="31" t="n">
        <f aca="false">O42+P42</f>
        <v>137165564</v>
      </c>
      <c r="BS42" s="31" t="n">
        <f aca="false">T42+U42+V42</f>
        <v>195843969</v>
      </c>
      <c r="BT42" s="31" t="n">
        <f aca="false">Q42</f>
        <v>93143364</v>
      </c>
      <c r="BU42" s="31" t="n">
        <f aca="false">W42</f>
        <v>93250038</v>
      </c>
      <c r="BV42" s="31" t="n">
        <f aca="false">R42</f>
        <v>7885464</v>
      </c>
      <c r="BW42" s="31" t="n">
        <f aca="false">X42</f>
        <v>7882532</v>
      </c>
      <c r="BX42" s="31" t="n">
        <f aca="false">S42</f>
        <v>2063539</v>
      </c>
      <c r="BY42" s="31" t="n">
        <f aca="false">Y42</f>
        <v>2063238</v>
      </c>
      <c r="BZ42" s="32" t="n">
        <f aca="false">IF(BJ42=0,IF(BR42=0,0,1),(BR42-BJ42)/BJ42)</f>
        <v>1</v>
      </c>
      <c r="CA42" s="32" t="n">
        <f aca="false">IF(BK42=0,IF(BS42=0,0,1),(BS42-BK42)/BK42)</f>
        <v>1</v>
      </c>
      <c r="CB42" s="32" t="n">
        <f aca="false">IF(BL42=0,IF(BT42=0,0,1),(BT42-BL42)/BL42)</f>
        <v>1</v>
      </c>
      <c r="CC42" s="32" t="n">
        <f aca="false">IF(BM42=0,IF(BU42=0,0,1),(BU42-BM42)/BM42)</f>
        <v>1</v>
      </c>
      <c r="CD42" s="32" t="n">
        <f aca="false">IF(BN42=0,IF(BV42=0,0,1),(BV42-BN42)/BN42)</f>
        <v>1</v>
      </c>
      <c r="CE42" s="32" t="n">
        <f aca="false">IF(BO42=0,IF(BW42=0,0,1),(BW42-BO42)/BO42)</f>
        <v>1</v>
      </c>
      <c r="CF42" s="32" t="n">
        <f aca="false">IF(BP42=0,IF(BX42=0,0,1),(BX42-BP42)/BP42)</f>
        <v>1</v>
      </c>
      <c r="CG42" s="32" t="n">
        <f aca="false">IF(BQ42=0,IF(BY42=0,0,1),(BY42-BQ42)/BQ42)</f>
        <v>1</v>
      </c>
      <c r="CH42" s="32" t="n">
        <f aca="false">MAX(MAX(BZ42:CG42),-MIN(BZ42:CG42))</f>
        <v>1</v>
      </c>
      <c r="CI42" s="31" t="str">
        <f aca="false">IF(CO42="","",SUMIFS($CJ$7:$CJ$696,$A$7:$A$696,CO42,$B$7:$B$696,B42))</f>
        <v/>
      </c>
      <c r="CJ42" s="31" t="n">
        <f aca="false">SUM(AY42:BI42)</f>
        <v>539297708</v>
      </c>
      <c r="CK42" s="31" t="str">
        <f aca="false">IFERROR(INDEX(設定!$F$61:$F$106,MATCH(B42,設定!$B$61:$B$106,0)),"Y")</f>
        <v>Y</v>
      </c>
      <c r="CL42" s="31" t="str">
        <f aca="false">IFERROR(INDEX(設定!$G$61:$G$106,MATCH(B42,設定!$B$61:$B$106,0)),"外郭型")</f>
        <v>外郭型</v>
      </c>
      <c r="CM42" s="33" t="str">
        <f aca="false">A42&amp;"|"&amp;B42</f>
        <v>2026-04 月例|市立病院機構</v>
      </c>
      <c r="CN42" s="34" t="str">
        <f aca="false">IFERROR(INDEX(設定!$D$61:$D$106,MATCH(B42,設定!$B$61:$B$106,0)),"Y")</f>
        <v>N</v>
      </c>
      <c r="CO42" s="34" t="str">
        <f aca="false">IFERROR(INDEX(設定!$D$20:$D$34,MATCH(A42,設定!$A$20:$A$34,0))&amp;"","")</f>
        <v/>
      </c>
    </row>
    <row r="43" customFormat="false" ht="15" hidden="true" customHeight="false" outlineLevel="0" collapsed="false">
      <c r="A43" s="22" t="s">
        <v>165</v>
      </c>
      <c r="B43" s="23" t="s">
        <v>205</v>
      </c>
      <c r="C43" s="10" t="str">
        <f aca="false">IF(G43="","未受領",IF(G43="なし","報告なし",IF(AL43="○","起票済",IF(OR(AK43="○",F43="一致",F43="入金不要"),"入金確認済","受領済"))))</f>
        <v>入金確認済</v>
      </c>
      <c r="D43" s="10" t="str">
        <f aca="false">IF(OR(G43="",G43="なし"),"―",IF(CN43="N","対象外",IF(AND(I43="",J43="",K43=""),"標報未入力",IF(CH43&gt;=設定!$B$4,"要確認","問題なし"))))</f>
        <v>対象外</v>
      </c>
      <c r="E43" s="24" t="str">
        <f aca="false">IF(OR(G43="",G43="なし",CI43="",CJ43=0),"―",IF(CJ43=CI43,"前月同額",IF(CI43=0,"―",IF(ABS(CJ43/CI43-1)&gt;=設定!$B$5,"変動大 "&amp;TEXT(CJ43/CI43-1,"+0%;-0%"),"〇"))))</f>
        <v>―</v>
      </c>
      <c r="F43" s="10" t="str">
        <f aca="false">IF(OR(G43="",G43="なし"),"―",IF(CJ43=0,"入金不要",IF(COUNT(AD43,AF43,AH43,AJ43)=0,IF(AK43="○","手動確認","未入金"),IF(AND(N(AD43)=AC43,IF(AE43="",TRUE(),N(AF43)=AE43),IF(AG43="",TRUE(),N(AH43)=AG43),IF(AI43="",TRUE(),N(AJ43)=AI43)),"一致","不一致"))))</f>
        <v>手動確認</v>
      </c>
      <c r="G43" s="25" t="s">
        <v>167</v>
      </c>
      <c r="H43" s="26"/>
      <c r="I43" s="27"/>
      <c r="J43" s="27"/>
      <c r="K43" s="27"/>
      <c r="L43" s="27"/>
      <c r="M43" s="27"/>
      <c r="N43" s="27"/>
      <c r="O43" s="27"/>
      <c r="P43" s="27"/>
      <c r="Q43" s="27" t="n">
        <v>84011</v>
      </c>
      <c r="R43" s="27" t="n">
        <v>11060</v>
      </c>
      <c r="S43" s="27" t="n">
        <v>1861</v>
      </c>
      <c r="T43" s="27"/>
      <c r="U43" s="27"/>
      <c r="V43" s="27"/>
      <c r="W43" s="27" t="n">
        <v>104857</v>
      </c>
      <c r="X43" s="27" t="n">
        <v>11060</v>
      </c>
      <c r="Y43" s="27" t="n">
        <v>2322</v>
      </c>
      <c r="Z43" s="27"/>
      <c r="AA43" s="10" t="str">
        <f aca="false">IFERROR(INDEX(設定!$E$61:$E$106,MATCH(B43,設定!$B$61:$B$106,0)),"合算")</f>
        <v>合算</v>
      </c>
      <c r="AB43" s="28"/>
      <c r="AC43" s="29" t="n">
        <f aca="false">IF(OR(G43="",G43="なし"),"",IF(AA43="合算",CJ43+N(Z43),IF(AA43="掛金・負担金別",(AY43+AZ43+BD43+BF43+BH43),SUM(AY43:BC43))))</f>
        <v>215171</v>
      </c>
      <c r="AD43" s="27"/>
      <c r="AE43" s="29" t="str">
        <f aca="false">IF(OR(G43="",G43="なし"),"",IF(AA43="掛金・負担金別",(BA43+BB43+BC43+BE43+BG43+BI43+N(Z43)),IF(AA43="経理区分別",BD43+BE43,"")))</f>
        <v/>
      </c>
      <c r="AF43" s="27"/>
      <c r="AG43" s="29" t="str">
        <f aca="false">IF(OR(G43="",G43="なし"),"",IF(AA43="経理区分別",BF43+BG43,""))</f>
        <v/>
      </c>
      <c r="AH43" s="27"/>
      <c r="AI43" s="29" t="str">
        <f aca="false">IF(OR(G43="",G43="なし"),"",IF(AA43="経理区分別",BH43+BI43+N(Z43),""))</f>
        <v/>
      </c>
      <c r="AJ43" s="27"/>
      <c r="AK43" s="26" t="s">
        <v>168</v>
      </c>
      <c r="AL43" s="26"/>
      <c r="AM43" s="30"/>
      <c r="AN43" s="31"/>
      <c r="AO43" s="31"/>
      <c r="AP43" s="31"/>
      <c r="AQ43" s="31"/>
      <c r="AR43" s="31"/>
      <c r="AS43" s="31"/>
      <c r="AT43" s="31"/>
      <c r="AU43" s="31"/>
      <c r="AV43" s="31"/>
      <c r="AW43" s="31"/>
      <c r="AX43" s="31"/>
      <c r="AY43" s="31" t="n">
        <f aca="false">IF($G43="",AN43,O43)</f>
        <v>0</v>
      </c>
      <c r="AZ43" s="31" t="n">
        <f aca="false">IF($G43="",AO43,P43)</f>
        <v>0</v>
      </c>
      <c r="BA43" s="31" t="n">
        <f aca="false">IF($G43="",AP43,T43)</f>
        <v>0</v>
      </c>
      <c r="BB43" s="31" t="n">
        <f aca="false">IF($G43="",AQ43,U43)</f>
        <v>0</v>
      </c>
      <c r="BC43" s="31" t="n">
        <f aca="false">IF($G43="",AR43,V43)</f>
        <v>0</v>
      </c>
      <c r="BD43" s="31" t="n">
        <f aca="false">IF($G43="",AS43,Q43)</f>
        <v>84011</v>
      </c>
      <c r="BE43" s="31" t="n">
        <f aca="false">IF($G43="",AT43,W43)</f>
        <v>104857</v>
      </c>
      <c r="BF43" s="31" t="n">
        <f aca="false">IF($G43="",AU43,R43)</f>
        <v>11060</v>
      </c>
      <c r="BG43" s="31" t="n">
        <f aca="false">IF($G43="",AV43,X43)</f>
        <v>11060</v>
      </c>
      <c r="BH43" s="31" t="n">
        <f aca="false">IF($G43="",AW43,S43)</f>
        <v>1861</v>
      </c>
      <c r="BI43" s="31" t="n">
        <f aca="false">IF($G43="",AX43,Y43)</f>
        <v>2322</v>
      </c>
      <c r="BJ43" s="31" t="n">
        <f aca="false">IF(CK43="N",BR43,ROUNDDOWN((I43-L43)*設定!$B$10/1000,0)+ROUNDDOWN((I43-L43)*設定!$B$11/1000,0))</f>
        <v>0</v>
      </c>
      <c r="BK43" s="31" t="n">
        <f aca="false">ROUNDDOWN((I43-L43)*設定!$C$10/1000,0)+ROUNDDOWN((I43-L43)*設定!$C$11/1000,0)+ROUNDDOWN(I43*設定!$C$12/1000,0)+IF(CL43="市局型",ROUNDDOWN(I43*設定!$C$16/1000,0),0)</f>
        <v>0</v>
      </c>
      <c r="BL43" s="31" t="n">
        <f aca="false">IF(CK43="N",BT43,ROUNDDOWN((J43-M43)*設定!$B$13/1000,0))</f>
        <v>0</v>
      </c>
      <c r="BM43" s="31" t="n">
        <f aca="false">ROUNDDOWN((J43-M43)*設定!$C$13/1000,0)+IF(CL43="市局型",ROUNDDOWN(J43*設定!$C$17/1000,0),0)</f>
        <v>0</v>
      </c>
      <c r="BN43" s="31" t="n">
        <f aca="false">IF(CK43="N",BV43,ROUNDDOWN((K43-N43)*設定!$B$14/1000,0))</f>
        <v>0</v>
      </c>
      <c r="BO43" s="31" t="n">
        <f aca="false">ROUNDDOWN((K43-N43)*設定!$C$14/1000,0)</f>
        <v>0</v>
      </c>
      <c r="BP43" s="31" t="n">
        <f aca="false">IF(CK43="N",BX43,ROUNDDOWN((J43-M43)*設定!$B$15/1000,0))</f>
        <v>0</v>
      </c>
      <c r="BQ43" s="31" t="n">
        <f aca="false">ROUNDDOWN((J43-M43)*設定!$C$15/1000,0)</f>
        <v>0</v>
      </c>
      <c r="BR43" s="31" t="n">
        <f aca="false">O43+P43</f>
        <v>0</v>
      </c>
      <c r="BS43" s="31" t="n">
        <f aca="false">T43+U43+V43</f>
        <v>0</v>
      </c>
      <c r="BT43" s="31" t="n">
        <f aca="false">Q43</f>
        <v>84011</v>
      </c>
      <c r="BU43" s="31" t="n">
        <f aca="false">W43</f>
        <v>104857</v>
      </c>
      <c r="BV43" s="31" t="n">
        <f aca="false">R43</f>
        <v>11060</v>
      </c>
      <c r="BW43" s="31" t="n">
        <f aca="false">X43</f>
        <v>11060</v>
      </c>
      <c r="BX43" s="31" t="n">
        <f aca="false">S43</f>
        <v>1861</v>
      </c>
      <c r="BY43" s="31" t="n">
        <f aca="false">Y43</f>
        <v>2322</v>
      </c>
      <c r="BZ43" s="32" t="n">
        <f aca="false">IF(BJ43=0,IF(BR43=0,0,1),(BR43-BJ43)/BJ43)</f>
        <v>0</v>
      </c>
      <c r="CA43" s="32" t="n">
        <f aca="false">IF(BK43=0,IF(BS43=0,0,1),(BS43-BK43)/BK43)</f>
        <v>0</v>
      </c>
      <c r="CB43" s="32" t="n">
        <f aca="false">IF(BL43=0,IF(BT43=0,0,1),(BT43-BL43)/BL43)</f>
        <v>1</v>
      </c>
      <c r="CC43" s="32" t="n">
        <f aca="false">IF(BM43=0,IF(BU43=0,0,1),(BU43-BM43)/BM43)</f>
        <v>1</v>
      </c>
      <c r="CD43" s="32" t="n">
        <f aca="false">IF(BN43=0,IF(BV43=0,0,1),(BV43-BN43)/BN43)</f>
        <v>1</v>
      </c>
      <c r="CE43" s="32" t="n">
        <f aca="false">IF(BO43=0,IF(BW43=0,0,1),(BW43-BO43)/BO43)</f>
        <v>1</v>
      </c>
      <c r="CF43" s="32" t="n">
        <f aca="false">IF(BP43=0,IF(BX43=0,0,1),(BX43-BP43)/BP43)</f>
        <v>1</v>
      </c>
      <c r="CG43" s="32" t="n">
        <f aca="false">IF(BQ43=0,IF(BY43=0,0,1),(BY43-BQ43)/BQ43)</f>
        <v>1</v>
      </c>
      <c r="CH43" s="32" t="n">
        <f aca="false">MAX(MAX(BZ43:CG43),-MIN(BZ43:CG43))</f>
        <v>1</v>
      </c>
      <c r="CI43" s="31" t="str">
        <f aca="false">IF(CO43="","",SUMIFS($CJ$7:$CJ$696,$A$7:$A$696,CO43,$B$7:$B$696,B43))</f>
        <v/>
      </c>
      <c r="CJ43" s="31" t="n">
        <f aca="false">SUM(AY43:BI43)</f>
        <v>215171</v>
      </c>
      <c r="CK43" s="31" t="str">
        <f aca="false">IFERROR(INDEX(設定!$F$61:$F$106,MATCH(B43,設定!$B$61:$B$106,0)),"Y")</f>
        <v>Y</v>
      </c>
      <c r="CL43" s="31" t="str">
        <f aca="false">IFERROR(INDEX(設定!$G$61:$G$106,MATCH(B43,設定!$B$61:$B$106,0)),"外郭型")</f>
        <v>外郭型</v>
      </c>
      <c r="CM43" s="33" t="str">
        <f aca="false">A43&amp;"|"&amp;B43</f>
        <v>2026-04 月例|職員共済組合</v>
      </c>
      <c r="CN43" s="34" t="str">
        <f aca="false">IFERROR(INDEX(設定!$D$61:$D$106,MATCH(B43,設定!$B$61:$B$106,0)),"Y")</f>
        <v>N</v>
      </c>
      <c r="CO43" s="34" t="str">
        <f aca="false">IFERROR(INDEX(設定!$D$20:$D$34,MATCH(A43,設定!$A$20:$A$34,0))&amp;"","")</f>
        <v/>
      </c>
    </row>
    <row r="44" customFormat="false" ht="26.85" hidden="true" customHeight="false" outlineLevel="0" collapsed="false">
      <c r="A44" s="22" t="s">
        <v>165</v>
      </c>
      <c r="B44" s="35" t="s">
        <v>206</v>
      </c>
      <c r="C44" s="10" t="str">
        <f aca="false">IF(G44="","未受領",IF(G44="なし","報告なし",IF(AL44="○","起票済",IF(OR(AK44="○",F44="一致",F44="入金不要"),"入金確認済","受領済"))))</f>
        <v>未受領</v>
      </c>
      <c r="D44" s="10" t="str">
        <f aca="false">IF(OR(G44="",G44="なし"),"―",IF(CN44="N","対象外",IF(AND(I44="",J44="",K44=""),"標報未入力",IF(CH44&gt;=設定!$B$4,"要確認","問題なし"))))</f>
        <v>―</v>
      </c>
      <c r="E44" s="24" t="str">
        <f aca="false">IF(OR(G44="",G44="なし",CI44="",CJ44=0),"―",IF(CJ44=CI44,"前月同額",IF(CI44=0,"―",IF(ABS(CJ44/CI44-1)&gt;=設定!$B$5,"変動大 "&amp;TEXT(CJ44/CI44-1,"+0%;-0%"),"〇"))))</f>
        <v>―</v>
      </c>
      <c r="F44" s="10" t="str">
        <f aca="false">IF(OR(G44="",G44="なし"),"―",IF(CJ44=0,"入金不要",IF(COUNT(AD44,AF44,AH44,AJ44)=0,IF(AK44="○","手動確認","未入金"),IF(AND(N(AD44)=AC44,IF(AE44="",TRUE(),N(AF44)=AE44),IF(AG44="",TRUE(),N(AH44)=AG44),IF(AI44="",TRUE(),N(AJ44)=AI44)),"一致","不一致"))))</f>
        <v>―</v>
      </c>
      <c r="G44" s="25"/>
      <c r="H44" s="26"/>
      <c r="I44" s="27"/>
      <c r="J44" s="27"/>
      <c r="K44" s="27"/>
      <c r="L44" s="27"/>
      <c r="M44" s="27"/>
      <c r="N44" s="27"/>
      <c r="O44" s="27"/>
      <c r="P44" s="27"/>
      <c r="Q44" s="27"/>
      <c r="R44" s="27"/>
      <c r="S44" s="27"/>
      <c r="T44" s="27"/>
      <c r="U44" s="27"/>
      <c r="V44" s="27"/>
      <c r="W44" s="27"/>
      <c r="X44" s="27"/>
      <c r="Y44" s="27"/>
      <c r="Z44" s="27"/>
      <c r="AA44" s="10" t="str">
        <f aca="false">IFERROR(INDEX(設定!$E$61:$E$106,MATCH(B44,設定!$B$61:$B$106,0)),"合算")</f>
        <v>合算</v>
      </c>
      <c r="AB44" s="28"/>
      <c r="AC44" s="29" t="str">
        <f aca="false">IF(OR(G44="",G44="なし"),"",IF(AA44="合算",CJ44+N(Z44),IF(AA44="掛金・負担金別",(AY44+AZ44+BD44+BF44+BH44),SUM(AY44:BC44))))</f>
        <v/>
      </c>
      <c r="AD44" s="27"/>
      <c r="AE44" s="29" t="str">
        <f aca="false">IF(OR(G44="",G44="なし"),"",IF(AA44="掛金・負担金別",(BA44+BB44+BC44+BE44+BG44+BI44+N(Z44)),IF(AA44="経理区分別",BD44+BE44,"")))</f>
        <v/>
      </c>
      <c r="AF44" s="27"/>
      <c r="AG44" s="29" t="str">
        <f aca="false">IF(OR(G44="",G44="なし"),"",IF(AA44="経理区分別",BF44+BG44,""))</f>
        <v/>
      </c>
      <c r="AH44" s="27"/>
      <c r="AI44" s="29" t="str">
        <f aca="false">IF(OR(G44="",G44="なし"),"",IF(AA44="経理区分別",BH44+BI44+N(Z44),""))</f>
        <v/>
      </c>
      <c r="AJ44" s="27"/>
      <c r="AK44" s="26"/>
      <c r="AL44" s="26"/>
      <c r="AM44" s="30"/>
      <c r="AN44" s="31"/>
      <c r="AO44" s="31"/>
      <c r="AP44" s="31"/>
      <c r="AQ44" s="31"/>
      <c r="AR44" s="31"/>
      <c r="AS44" s="31"/>
      <c r="AT44" s="31"/>
      <c r="AU44" s="31" t="n">
        <v>0</v>
      </c>
      <c r="AV44" s="31" t="n">
        <v>0</v>
      </c>
      <c r="AW44" s="31"/>
      <c r="AX44" s="31"/>
      <c r="AY44" s="31" t="n">
        <f aca="false">IF($G44="",AN44,O44)</f>
        <v>0</v>
      </c>
      <c r="AZ44" s="31" t="n">
        <f aca="false">IF($G44="",AO44,P44)</f>
        <v>0</v>
      </c>
      <c r="BA44" s="31" t="n">
        <f aca="false">IF($G44="",AP44,T44)</f>
        <v>0</v>
      </c>
      <c r="BB44" s="31" t="n">
        <f aca="false">IF($G44="",AQ44,U44)</f>
        <v>0</v>
      </c>
      <c r="BC44" s="31" t="n">
        <f aca="false">IF($G44="",AR44,V44)</f>
        <v>0</v>
      </c>
      <c r="BD44" s="31" t="n">
        <f aca="false">IF($G44="",AS44,Q44)</f>
        <v>0</v>
      </c>
      <c r="BE44" s="31" t="n">
        <f aca="false">IF($G44="",AT44,W44)</f>
        <v>0</v>
      </c>
      <c r="BF44" s="31" t="n">
        <f aca="false">IF($G44="",AU44,R44)</f>
        <v>0</v>
      </c>
      <c r="BG44" s="31" t="n">
        <f aca="false">IF($G44="",AV44,X44)</f>
        <v>0</v>
      </c>
      <c r="BH44" s="31" t="n">
        <f aca="false">IF($G44="",AW44,S44)</f>
        <v>0</v>
      </c>
      <c r="BI44" s="31" t="n">
        <f aca="false">IF($G44="",AX44,Y44)</f>
        <v>0</v>
      </c>
      <c r="BJ44" s="31" t="n">
        <f aca="false">IF(CK44="N",BR44,ROUNDDOWN((I44-L44)*設定!$B$10/1000,0)+ROUNDDOWN((I44-L44)*設定!$B$11/1000,0))</f>
        <v>0</v>
      </c>
      <c r="BK44" s="31" t="n">
        <f aca="false">ROUNDDOWN((I44-L44)*設定!$C$10/1000,0)+ROUNDDOWN((I44-L44)*設定!$C$11/1000,0)+ROUNDDOWN(I44*設定!$C$12/1000,0)+IF(CL44="市局型",ROUNDDOWN(I44*設定!$C$16/1000,0),0)</f>
        <v>0</v>
      </c>
      <c r="BL44" s="31" t="n">
        <f aca="false">IF(CK44="N",BT44,ROUNDDOWN((J44-M44)*設定!$B$13/1000,0))</f>
        <v>0</v>
      </c>
      <c r="BM44" s="31" t="n">
        <f aca="false">ROUNDDOWN((J44-M44)*設定!$C$13/1000,0)+IF(CL44="市局型",ROUNDDOWN(J44*設定!$C$17/1000,0),0)</f>
        <v>0</v>
      </c>
      <c r="BN44" s="31" t="n">
        <f aca="false">IF(CK44="N",BV44,ROUNDDOWN((K44-N44)*設定!$B$14/1000,0))</f>
        <v>0</v>
      </c>
      <c r="BO44" s="31" t="n">
        <f aca="false">ROUNDDOWN((K44-N44)*設定!$C$14/1000,0)</f>
        <v>0</v>
      </c>
      <c r="BP44" s="31" t="n">
        <f aca="false">IF(CK44="N",BX44,ROUNDDOWN((J44-M44)*設定!$B$15/1000,0))</f>
        <v>0</v>
      </c>
      <c r="BQ44" s="31" t="n">
        <f aca="false">ROUNDDOWN((J44-M44)*設定!$C$15/1000,0)</f>
        <v>0</v>
      </c>
      <c r="BR44" s="31" t="n">
        <f aca="false">O44+P44</f>
        <v>0</v>
      </c>
      <c r="BS44" s="31" t="n">
        <f aca="false">T44+U44+V44</f>
        <v>0</v>
      </c>
      <c r="BT44" s="31" t="n">
        <f aca="false">Q44</f>
        <v>0</v>
      </c>
      <c r="BU44" s="31" t="n">
        <f aca="false">W44</f>
        <v>0</v>
      </c>
      <c r="BV44" s="31" t="n">
        <f aca="false">R44</f>
        <v>0</v>
      </c>
      <c r="BW44" s="31" t="n">
        <f aca="false">X44</f>
        <v>0</v>
      </c>
      <c r="BX44" s="31" t="n">
        <f aca="false">S44</f>
        <v>0</v>
      </c>
      <c r="BY44" s="31" t="n">
        <f aca="false">Y44</f>
        <v>0</v>
      </c>
      <c r="BZ44" s="32" t="n">
        <f aca="false">IF(BJ44=0,IF(BR44=0,0,1),(BR44-BJ44)/BJ44)</f>
        <v>0</v>
      </c>
      <c r="CA44" s="32" t="n">
        <f aca="false">IF(BK44=0,IF(BS44=0,0,1),(BS44-BK44)/BK44)</f>
        <v>0</v>
      </c>
      <c r="CB44" s="32" t="n">
        <f aca="false">IF(BL44=0,IF(BT44=0,0,1),(BT44-BL44)/BL44)</f>
        <v>0</v>
      </c>
      <c r="CC44" s="32" t="n">
        <f aca="false">IF(BM44=0,IF(BU44=0,0,1),(BU44-BM44)/BM44)</f>
        <v>0</v>
      </c>
      <c r="CD44" s="32" t="n">
        <f aca="false">IF(BN44=0,IF(BV44=0,0,1),(BV44-BN44)/BN44)</f>
        <v>0</v>
      </c>
      <c r="CE44" s="32" t="n">
        <f aca="false">IF(BO44=0,IF(BW44=0,0,1),(BW44-BO44)/BO44)</f>
        <v>0</v>
      </c>
      <c r="CF44" s="32" t="n">
        <f aca="false">IF(BP44=0,IF(BX44=0,0,1),(BX44-BP44)/BP44)</f>
        <v>0</v>
      </c>
      <c r="CG44" s="32" t="n">
        <f aca="false">IF(BQ44=0,IF(BY44=0,0,1),(BY44-BQ44)/BQ44)</f>
        <v>0</v>
      </c>
      <c r="CH44" s="32" t="n">
        <f aca="false">MAX(MAX(BZ44:CG44),-MIN(BZ44:CG44))</f>
        <v>-0</v>
      </c>
      <c r="CI44" s="31" t="str">
        <f aca="false">IF(CO44="","",SUMIFS($CJ$7:$CJ$696,$A$7:$A$696,CO44,$B$7:$B$696,B44))</f>
        <v/>
      </c>
      <c r="CJ44" s="31" t="n">
        <f aca="false">SUM(AY44:BI44)</f>
        <v>0</v>
      </c>
      <c r="CK44" s="31" t="str">
        <f aca="false">IFERROR(INDEX(設定!$F$61:$F$106,MATCH(B44,設定!$B$61:$B$106,0)),"Y")</f>
        <v>N</v>
      </c>
      <c r="CL44" s="31" t="str">
        <f aca="false">IFERROR(INDEX(設定!$G$61:$G$106,MATCH(B44,設定!$B$61:$B$106,0)),"外郭型")</f>
        <v>外郭型</v>
      </c>
      <c r="CM44" s="36" t="str">
        <f aca="false">A44&amp;"|"&amp;B44</f>
        <v>2026-04 月例|地方公共団体
情報システム機構</v>
      </c>
      <c r="CN44" s="34" t="str">
        <f aca="false">IFERROR(INDEX(設定!$D$61:$D$106,MATCH(B44,設定!$B$61:$B$106,0)),"Y")</f>
        <v>Y</v>
      </c>
      <c r="CO44" s="34" t="str">
        <f aca="false">IFERROR(INDEX(設定!$D$20:$D$34,MATCH(A44,設定!$A$20:$A$34,0))&amp;"","")</f>
        <v/>
      </c>
    </row>
    <row r="45" customFormat="false" ht="15" hidden="true" customHeight="false" outlineLevel="0" collapsed="false">
      <c r="A45" s="22" t="s">
        <v>165</v>
      </c>
      <c r="B45" s="23" t="s">
        <v>207</v>
      </c>
      <c r="C45" s="10" t="str">
        <f aca="false">IF(G45="","未受領",IF(G45="なし","報告なし",IF(AL45="○","起票済",IF(OR(AK45="○",F45="一致",F45="入金不要"),"入金確認済","受領済"))))</f>
        <v>入金確認済</v>
      </c>
      <c r="D45" s="10" t="str">
        <f aca="false">IF(OR(G45="",G45="なし"),"―",IF(CN45="N","対象外",IF(AND(I45="",J45="",K45=""),"標報未入力",IF(CH45&gt;=設定!$B$4,"要確認","問題なし"))))</f>
        <v>標報未入力</v>
      </c>
      <c r="E45" s="24" t="str">
        <f aca="false">IF(OR(G45="",G45="なし",CI45="",CJ45=0),"―",IF(CJ45=CI45,"前月同額",IF(CI45=0,"―",IF(ABS(CJ45/CI45-1)&gt;=設定!$B$5,"変動大 "&amp;TEXT(CJ45/CI45-1,"+0%;-0%"),"〇"))))</f>
        <v>―</v>
      </c>
      <c r="F45" s="10" t="str">
        <f aca="false">IF(OR(G45="",G45="なし"),"―",IF(CJ45=0,"入金不要",IF(COUNT(AD45,AF45,AH45,AJ45)=0,IF(AK45="○","手動確認","未入金"),IF(AND(N(AD45)=AC45,IF(AE45="",TRUE(),N(AF45)=AE45),IF(AG45="",TRUE(),N(AH45)=AG45),IF(AI45="",TRUE(),N(AJ45)=AI45)),"一致","不一致"))))</f>
        <v>手動確認</v>
      </c>
      <c r="G45" s="25" t="s">
        <v>167</v>
      </c>
      <c r="H45" s="26"/>
      <c r="I45" s="27"/>
      <c r="J45" s="27"/>
      <c r="K45" s="27"/>
      <c r="L45" s="27"/>
      <c r="M45" s="27"/>
      <c r="N45" s="27"/>
      <c r="O45" s="27" t="n">
        <v>118950</v>
      </c>
      <c r="P45" s="27" t="n">
        <v>9750</v>
      </c>
      <c r="Q45" s="27" t="n">
        <v>81938</v>
      </c>
      <c r="R45" s="27" t="n">
        <v>12482</v>
      </c>
      <c r="S45" s="27" t="n">
        <v>1816</v>
      </c>
      <c r="T45" s="27" t="n">
        <v>118950</v>
      </c>
      <c r="U45" s="27" t="n">
        <v>9750</v>
      </c>
      <c r="V45" s="27" t="n">
        <v>112</v>
      </c>
      <c r="W45" s="27" t="n">
        <v>82017</v>
      </c>
      <c r="X45" s="27" t="n">
        <v>12482</v>
      </c>
      <c r="Y45" s="27" t="n">
        <v>1817</v>
      </c>
      <c r="Z45" s="27"/>
      <c r="AA45" s="10" t="str">
        <f aca="false">IFERROR(INDEX(設定!$E$61:$E$106,MATCH(B45,設定!$B$61:$B$106,0)),"合算")</f>
        <v>合算</v>
      </c>
      <c r="AB45" s="28"/>
      <c r="AC45" s="29" t="n">
        <f aca="false">IF(OR(G45="",G45="なし"),"",IF(AA45="合算",CJ45+N(Z45),IF(AA45="掛金・負担金別",(AY45+AZ45+BD45+BF45+BH45),SUM(AY45:BC45))))</f>
        <v>450064</v>
      </c>
      <c r="AD45" s="27"/>
      <c r="AE45" s="29" t="str">
        <f aca="false">IF(OR(G45="",G45="なし"),"",IF(AA45="掛金・負担金別",(BA45+BB45+BC45+BE45+BG45+BI45+N(Z45)),IF(AA45="経理区分別",BD45+BE45,"")))</f>
        <v/>
      </c>
      <c r="AF45" s="27"/>
      <c r="AG45" s="29" t="str">
        <f aca="false">IF(OR(G45="",G45="なし"),"",IF(AA45="経理区分別",BF45+BG45,""))</f>
        <v/>
      </c>
      <c r="AH45" s="27"/>
      <c r="AI45" s="29" t="str">
        <f aca="false">IF(OR(G45="",G45="なし"),"",IF(AA45="経理区分別",BH45+BI45+N(Z45),""))</f>
        <v/>
      </c>
      <c r="AJ45" s="27"/>
      <c r="AK45" s="26" t="s">
        <v>168</v>
      </c>
      <c r="AL45" s="26"/>
      <c r="AM45" s="30"/>
      <c r="AN45" s="31"/>
      <c r="AO45" s="31"/>
      <c r="AP45" s="31"/>
      <c r="AQ45" s="31"/>
      <c r="AR45" s="31"/>
      <c r="AS45" s="31"/>
      <c r="AT45" s="31"/>
      <c r="AU45" s="31"/>
      <c r="AV45" s="31"/>
      <c r="AW45" s="31"/>
      <c r="AX45" s="31"/>
      <c r="AY45" s="31" t="n">
        <f aca="false">IF($G45="",AN45,O45)</f>
        <v>118950</v>
      </c>
      <c r="AZ45" s="31" t="n">
        <f aca="false">IF($G45="",AO45,P45)</f>
        <v>9750</v>
      </c>
      <c r="BA45" s="31" t="n">
        <f aca="false">IF($G45="",AP45,T45)</f>
        <v>118950</v>
      </c>
      <c r="BB45" s="31" t="n">
        <f aca="false">IF($G45="",AQ45,U45)</f>
        <v>9750</v>
      </c>
      <c r="BC45" s="31" t="n">
        <f aca="false">IF($G45="",AR45,V45)</f>
        <v>112</v>
      </c>
      <c r="BD45" s="31" t="n">
        <f aca="false">IF($G45="",AS45,Q45)</f>
        <v>81938</v>
      </c>
      <c r="BE45" s="31" t="n">
        <f aca="false">IF($G45="",AT45,W45)</f>
        <v>82017</v>
      </c>
      <c r="BF45" s="31" t="n">
        <f aca="false">IF($G45="",AU45,R45)</f>
        <v>12482</v>
      </c>
      <c r="BG45" s="31" t="n">
        <f aca="false">IF($G45="",AV45,X45)</f>
        <v>12482</v>
      </c>
      <c r="BH45" s="31" t="n">
        <f aca="false">IF($G45="",AW45,S45)</f>
        <v>1816</v>
      </c>
      <c r="BI45" s="31" t="n">
        <f aca="false">IF($G45="",AX45,Y45)</f>
        <v>1817</v>
      </c>
      <c r="BJ45" s="31" t="n">
        <f aca="false">IF(CK45="N",BR45,ROUNDDOWN((I45-L45)*設定!$B$10/1000,0)+ROUNDDOWN((I45-L45)*設定!$B$11/1000,0))</f>
        <v>0</v>
      </c>
      <c r="BK45" s="31" t="n">
        <f aca="false">ROUNDDOWN((I45-L45)*設定!$C$10/1000,0)+ROUNDDOWN((I45-L45)*設定!$C$11/1000,0)+ROUNDDOWN(I45*設定!$C$12/1000,0)+IF(CL45="市局型",ROUNDDOWN(I45*設定!$C$16/1000,0),0)</f>
        <v>0</v>
      </c>
      <c r="BL45" s="31" t="n">
        <f aca="false">IF(CK45="N",BT45,ROUNDDOWN((J45-M45)*設定!$B$13/1000,0))</f>
        <v>0</v>
      </c>
      <c r="BM45" s="31" t="n">
        <f aca="false">ROUNDDOWN((J45-M45)*設定!$C$13/1000,0)+IF(CL45="市局型",ROUNDDOWN(J45*設定!$C$17/1000,0),0)</f>
        <v>0</v>
      </c>
      <c r="BN45" s="31" t="n">
        <f aca="false">IF(CK45="N",BV45,ROUNDDOWN((K45-N45)*設定!$B$14/1000,0))</f>
        <v>0</v>
      </c>
      <c r="BO45" s="31" t="n">
        <f aca="false">ROUNDDOWN((K45-N45)*設定!$C$14/1000,0)</f>
        <v>0</v>
      </c>
      <c r="BP45" s="31" t="n">
        <f aca="false">IF(CK45="N",BX45,ROUNDDOWN((J45-M45)*設定!$B$15/1000,0))</f>
        <v>0</v>
      </c>
      <c r="BQ45" s="31" t="n">
        <f aca="false">ROUNDDOWN((J45-M45)*設定!$C$15/1000,0)</f>
        <v>0</v>
      </c>
      <c r="BR45" s="31" t="n">
        <f aca="false">O45+P45</f>
        <v>128700</v>
      </c>
      <c r="BS45" s="31" t="n">
        <f aca="false">T45+U45+V45</f>
        <v>128812</v>
      </c>
      <c r="BT45" s="31" t="n">
        <f aca="false">Q45</f>
        <v>81938</v>
      </c>
      <c r="BU45" s="31" t="n">
        <f aca="false">W45</f>
        <v>82017</v>
      </c>
      <c r="BV45" s="31" t="n">
        <f aca="false">R45</f>
        <v>12482</v>
      </c>
      <c r="BW45" s="31" t="n">
        <f aca="false">X45</f>
        <v>12482</v>
      </c>
      <c r="BX45" s="31" t="n">
        <f aca="false">S45</f>
        <v>1816</v>
      </c>
      <c r="BY45" s="31" t="n">
        <f aca="false">Y45</f>
        <v>1817</v>
      </c>
      <c r="BZ45" s="32" t="n">
        <f aca="false">IF(BJ45=0,IF(BR45=0,0,1),(BR45-BJ45)/BJ45)</f>
        <v>1</v>
      </c>
      <c r="CA45" s="32" t="n">
        <f aca="false">IF(BK45=0,IF(BS45=0,0,1),(BS45-BK45)/BK45)</f>
        <v>1</v>
      </c>
      <c r="CB45" s="32" t="n">
        <f aca="false">IF(BL45=0,IF(BT45=0,0,1),(BT45-BL45)/BL45)</f>
        <v>1</v>
      </c>
      <c r="CC45" s="32" t="n">
        <f aca="false">IF(BM45=0,IF(BU45=0,0,1),(BU45-BM45)/BM45)</f>
        <v>1</v>
      </c>
      <c r="CD45" s="32" t="n">
        <f aca="false">IF(BN45=0,IF(BV45=0,0,1),(BV45-BN45)/BN45)</f>
        <v>1</v>
      </c>
      <c r="CE45" s="32" t="n">
        <f aca="false">IF(BO45=0,IF(BW45=0,0,1),(BW45-BO45)/BO45)</f>
        <v>1</v>
      </c>
      <c r="CF45" s="32" t="n">
        <f aca="false">IF(BP45=0,IF(BX45=0,0,1),(BX45-BP45)/BP45)</f>
        <v>1</v>
      </c>
      <c r="CG45" s="32" t="n">
        <f aca="false">IF(BQ45=0,IF(BY45=0,0,1),(BY45-BQ45)/BQ45)</f>
        <v>1</v>
      </c>
      <c r="CH45" s="32" t="n">
        <f aca="false">MAX(MAX(BZ45:CG45),-MIN(BZ45:CG45))</f>
        <v>1</v>
      </c>
      <c r="CI45" s="31" t="str">
        <f aca="false">IF(CO45="","",SUMIFS($CJ$7:$CJ$696,$A$7:$A$696,CO45,$B$7:$B$696,B45))</f>
        <v/>
      </c>
      <c r="CJ45" s="31" t="n">
        <f aca="false">SUM(AY45:BI45)</f>
        <v>450064</v>
      </c>
      <c r="CK45" s="31" t="str">
        <f aca="false">IFERROR(INDEX(設定!$F$61:$F$106,MATCH(B45,設定!$B$61:$B$106,0)),"Y")</f>
        <v>Y</v>
      </c>
      <c r="CL45" s="31" t="str">
        <f aca="false">IFERROR(INDEX(設定!$G$61:$G$106,MATCH(B45,設定!$B$61:$B$106,0)),"外郭型")</f>
        <v>外郭型</v>
      </c>
      <c r="CM45" s="33" t="str">
        <f aca="false">A45&amp;"|"&amp;B45</f>
        <v>2026-04 月例|全国市長会</v>
      </c>
      <c r="CN45" s="34" t="str">
        <f aca="false">IFERROR(INDEX(設定!$D$61:$D$106,MATCH(B45,設定!$B$61:$B$106,0)),"Y")</f>
        <v>Y</v>
      </c>
      <c r="CO45" s="34" t="str">
        <f aca="false">IFERROR(INDEX(設定!$D$20:$D$34,MATCH(A45,設定!$A$20:$A$34,0))&amp;"","")</f>
        <v/>
      </c>
    </row>
    <row r="46" customFormat="false" ht="15" hidden="true" customHeight="false" outlineLevel="0" collapsed="false">
      <c r="A46" s="22" t="s">
        <v>165</v>
      </c>
      <c r="B46" s="23" t="s">
        <v>208</v>
      </c>
      <c r="C46" s="10" t="str">
        <f aca="false">IF(G46="","未受領",IF(G46="なし","報告なし",IF(AL46="○","起票済",IF(OR(AK46="○",F46="一致",F46="入金不要"),"入金確認済","受領済"))))</f>
        <v>入金確認済</v>
      </c>
      <c r="D46" s="10" t="str">
        <f aca="false">IF(OR(G46="",G46="なし"),"―",IF(CN46="N","対象外",IF(AND(I46="",J46="",K46=""),"標報未入力",IF(CH46&gt;=設定!$B$4,"要確認","問題なし"))))</f>
        <v>標報未入力</v>
      </c>
      <c r="E46" s="24" t="str">
        <f aca="false">IF(OR(G46="",G46="なし",CI46="",CJ46=0),"―",IF(CJ46=CI46,"前月同額",IF(CI46=0,"―",IF(ABS(CJ46/CI46-1)&gt;=設定!$B$5,"変動大 "&amp;TEXT(CJ46/CI46-1,"+0%;-0%"),"〇"))))</f>
        <v>―</v>
      </c>
      <c r="F46" s="10" t="str">
        <f aca="false">IF(OR(G46="",G46="なし"),"―",IF(CJ46=0,"入金不要",IF(COUNT(AD46,AF46,AH46,AJ46)=0,IF(AK46="○","手動確認","未入金"),IF(AND(N(AD46)=AC46,IF(AE46="",TRUE(),N(AF46)=AE46),IF(AG46="",TRUE(),N(AH46)=AG46),IF(AI46="",TRUE(),N(AJ46)=AI46)),"一致","不一致"))))</f>
        <v>手動確認</v>
      </c>
      <c r="G46" s="25" t="s">
        <v>167</v>
      </c>
      <c r="H46" s="26"/>
      <c r="I46" s="27"/>
      <c r="J46" s="27"/>
      <c r="K46" s="27"/>
      <c r="L46" s="27"/>
      <c r="M46" s="27"/>
      <c r="N46" s="27"/>
      <c r="O46" s="27" t="n">
        <v>145485</v>
      </c>
      <c r="P46" s="27" t="n">
        <v>11925</v>
      </c>
      <c r="Q46" s="27"/>
      <c r="R46" s="27"/>
      <c r="S46" s="27"/>
      <c r="T46" s="27" t="n">
        <v>145485</v>
      </c>
      <c r="U46" s="27" t="n">
        <v>11925</v>
      </c>
      <c r="V46" s="27" t="n">
        <v>138</v>
      </c>
      <c r="W46" s="27"/>
      <c r="X46" s="27"/>
      <c r="Y46" s="27"/>
      <c r="Z46" s="27"/>
      <c r="AA46" s="10" t="str">
        <f aca="false">IFERROR(INDEX(設定!$E$61:$E$106,MATCH(B46,設定!$B$61:$B$106,0)),"合算")</f>
        <v>合算</v>
      </c>
      <c r="AB46" s="28"/>
      <c r="AC46" s="29" t="n">
        <f aca="false">IF(OR(G46="",G46="なし"),"",IF(AA46="合算",CJ46+N(Z46),IF(AA46="掛金・負担金別",(AY46+AZ46+BD46+BF46+BH46),SUM(AY46:BC46))))</f>
        <v>314958</v>
      </c>
      <c r="AD46" s="27"/>
      <c r="AE46" s="29" t="str">
        <f aca="false">IF(OR(G46="",G46="なし"),"",IF(AA46="掛金・負担金別",(BA46+BB46+BC46+BE46+BG46+BI46+N(Z46)),IF(AA46="経理区分別",BD46+BE46,"")))</f>
        <v/>
      </c>
      <c r="AF46" s="27"/>
      <c r="AG46" s="29" t="str">
        <f aca="false">IF(OR(G46="",G46="なし"),"",IF(AA46="経理区分別",BF46+BG46,""))</f>
        <v/>
      </c>
      <c r="AH46" s="27"/>
      <c r="AI46" s="29" t="str">
        <f aca="false">IF(OR(G46="",G46="なし"),"",IF(AA46="経理区分別",BH46+BI46+N(Z46),""))</f>
        <v/>
      </c>
      <c r="AJ46" s="27"/>
      <c r="AK46" s="26" t="s">
        <v>168</v>
      </c>
      <c r="AL46" s="26"/>
      <c r="AM46" s="30"/>
      <c r="AN46" s="31"/>
      <c r="AO46" s="31"/>
      <c r="AP46" s="31"/>
      <c r="AQ46" s="31"/>
      <c r="AR46" s="31"/>
      <c r="AS46" s="31"/>
      <c r="AT46" s="31"/>
      <c r="AU46" s="31"/>
      <c r="AV46" s="31"/>
      <c r="AW46" s="31"/>
      <c r="AX46" s="31"/>
      <c r="AY46" s="31" t="n">
        <f aca="false">IF($G46="",AN46,O46)</f>
        <v>145485</v>
      </c>
      <c r="AZ46" s="31" t="n">
        <f aca="false">IF($G46="",AO46,P46)</f>
        <v>11925</v>
      </c>
      <c r="BA46" s="31" t="n">
        <f aca="false">IF($G46="",AP46,T46)</f>
        <v>145485</v>
      </c>
      <c r="BB46" s="31" t="n">
        <f aca="false">IF($G46="",AQ46,U46)</f>
        <v>11925</v>
      </c>
      <c r="BC46" s="31" t="n">
        <f aca="false">IF($G46="",AR46,V46)</f>
        <v>138</v>
      </c>
      <c r="BD46" s="31" t="n">
        <f aca="false">IF($G46="",AS46,Q46)</f>
        <v>0</v>
      </c>
      <c r="BE46" s="31" t="n">
        <f aca="false">IF($G46="",AT46,W46)</f>
        <v>0</v>
      </c>
      <c r="BF46" s="31" t="n">
        <f aca="false">IF($G46="",AU46,R46)</f>
        <v>0</v>
      </c>
      <c r="BG46" s="31" t="n">
        <f aca="false">IF($G46="",AV46,X46)</f>
        <v>0</v>
      </c>
      <c r="BH46" s="31" t="n">
        <f aca="false">IF($G46="",AW46,S46)</f>
        <v>0</v>
      </c>
      <c r="BI46" s="31" t="n">
        <f aca="false">IF($G46="",AX46,Y46)</f>
        <v>0</v>
      </c>
      <c r="BJ46" s="31" t="n">
        <f aca="false">IF(CK46="N",BR46,ROUNDDOWN((I46-L46)*設定!$B$10/1000,0)+ROUNDDOWN((I46-L46)*設定!$B$11/1000,0))</f>
        <v>0</v>
      </c>
      <c r="BK46" s="31" t="n">
        <f aca="false">ROUNDDOWN((I46-L46)*設定!$C$10/1000,0)+ROUNDDOWN((I46-L46)*設定!$C$11/1000,0)+ROUNDDOWN(I46*設定!$C$12/1000,0)+IF(CL46="市局型",ROUNDDOWN(I46*設定!$C$16/1000,0),0)</f>
        <v>0</v>
      </c>
      <c r="BL46" s="31" t="n">
        <f aca="false">IF(CK46="N",BT46,ROUNDDOWN((J46-M46)*設定!$B$13/1000,0))</f>
        <v>0</v>
      </c>
      <c r="BM46" s="31" t="n">
        <f aca="false">ROUNDDOWN((J46-M46)*設定!$C$13/1000,0)+IF(CL46="市局型",ROUNDDOWN(J46*設定!$C$17/1000,0),0)</f>
        <v>0</v>
      </c>
      <c r="BN46" s="31" t="n">
        <f aca="false">IF(CK46="N",BV46,ROUNDDOWN((K46-N46)*設定!$B$14/1000,0))</f>
        <v>0</v>
      </c>
      <c r="BO46" s="31" t="n">
        <f aca="false">ROUNDDOWN((K46-N46)*設定!$C$14/1000,0)</f>
        <v>0</v>
      </c>
      <c r="BP46" s="31" t="n">
        <f aca="false">IF(CK46="N",BX46,ROUNDDOWN((J46-M46)*設定!$B$15/1000,0))</f>
        <v>0</v>
      </c>
      <c r="BQ46" s="31" t="n">
        <f aca="false">ROUNDDOWN((J46-M46)*設定!$C$15/1000,0)</f>
        <v>0</v>
      </c>
      <c r="BR46" s="31" t="n">
        <f aca="false">O46+P46</f>
        <v>157410</v>
      </c>
      <c r="BS46" s="31" t="n">
        <f aca="false">T46+U46+V46</f>
        <v>157548</v>
      </c>
      <c r="BT46" s="31" t="n">
        <f aca="false">Q46</f>
        <v>0</v>
      </c>
      <c r="BU46" s="31" t="n">
        <f aca="false">W46</f>
        <v>0</v>
      </c>
      <c r="BV46" s="31" t="n">
        <f aca="false">R46</f>
        <v>0</v>
      </c>
      <c r="BW46" s="31" t="n">
        <f aca="false">X46</f>
        <v>0</v>
      </c>
      <c r="BX46" s="31" t="n">
        <f aca="false">S46</f>
        <v>0</v>
      </c>
      <c r="BY46" s="31" t="n">
        <f aca="false">Y46</f>
        <v>0</v>
      </c>
      <c r="BZ46" s="32" t="n">
        <f aca="false">IF(BJ46=0,IF(BR46=0,0,1),(BR46-BJ46)/BJ46)</f>
        <v>1</v>
      </c>
      <c r="CA46" s="32" t="n">
        <f aca="false">IF(BK46=0,IF(BS46=0,0,1),(BS46-BK46)/BK46)</f>
        <v>1</v>
      </c>
      <c r="CB46" s="32" t="n">
        <f aca="false">IF(BL46=0,IF(BT46=0,0,1),(BT46-BL46)/BL46)</f>
        <v>0</v>
      </c>
      <c r="CC46" s="32" t="n">
        <f aca="false">IF(BM46=0,IF(BU46=0,0,1),(BU46-BM46)/BM46)</f>
        <v>0</v>
      </c>
      <c r="CD46" s="32" t="n">
        <f aca="false">IF(BN46=0,IF(BV46=0,0,1),(BV46-BN46)/BN46)</f>
        <v>0</v>
      </c>
      <c r="CE46" s="32" t="n">
        <f aca="false">IF(BO46=0,IF(BW46=0,0,1),(BW46-BO46)/BO46)</f>
        <v>0</v>
      </c>
      <c r="CF46" s="32" t="n">
        <f aca="false">IF(BP46=0,IF(BX46=0,0,1),(BX46-BP46)/BP46)</f>
        <v>0</v>
      </c>
      <c r="CG46" s="32" t="n">
        <f aca="false">IF(BQ46=0,IF(BY46=0,0,1),(BY46-BQ46)/BQ46)</f>
        <v>0</v>
      </c>
      <c r="CH46" s="32" t="n">
        <f aca="false">MAX(MAX(BZ46:CG46),-MIN(BZ46:CG46))</f>
        <v>1</v>
      </c>
      <c r="CI46" s="31" t="str">
        <f aca="false">IF(CO46="","",SUMIFS($CJ$7:$CJ$696,$A$7:$A$696,CO46,$B$7:$B$696,B46))</f>
        <v/>
      </c>
      <c r="CJ46" s="31" t="n">
        <f aca="false">SUM(AY46:BI46)</f>
        <v>314958</v>
      </c>
      <c r="CK46" s="31" t="str">
        <f aca="false">IFERROR(INDEX(設定!$F$61:$F$106,MATCH(B46,設定!$B$61:$B$106,0)),"Y")</f>
        <v>Y</v>
      </c>
      <c r="CL46" s="31" t="str">
        <f aca="false">IFERROR(INDEX(設定!$G$61:$G$106,MATCH(B46,設定!$B$61:$B$106,0)),"外郭型")</f>
        <v>外郭型</v>
      </c>
      <c r="CM46" s="33" t="str">
        <f aca="false">A46&amp;"|"&amp;B46</f>
        <v>2026-04 月例|高速交通（株）</v>
      </c>
      <c r="CN46" s="34" t="str">
        <f aca="false">IFERROR(INDEX(設定!$D$61:$D$106,MATCH(B46,設定!$B$61:$B$106,0)),"Y")</f>
        <v>Y</v>
      </c>
      <c r="CO46" s="34" t="str">
        <f aca="false">IFERROR(INDEX(設定!$D$20:$D$34,MATCH(A46,設定!$A$20:$A$34,0))&amp;"","")</f>
        <v/>
      </c>
    </row>
    <row r="47" customFormat="false" ht="15" hidden="true" customHeight="false" outlineLevel="0" collapsed="false">
      <c r="A47" s="22" t="s">
        <v>165</v>
      </c>
      <c r="B47" s="23" t="s">
        <v>209</v>
      </c>
      <c r="C47" s="10" t="str">
        <f aca="false">IF(G47="","未受領",IF(G47="なし","報告なし",IF(AL47="○","起票済",IF(OR(AK47="○",F47="一致",F47="入金不要"),"入金確認済","受領済"))))</f>
        <v>入金確認済</v>
      </c>
      <c r="D47" s="10" t="str">
        <f aca="false">IF(OR(G47="",G47="なし"),"―",IF(CN47="N","対象外",IF(AND(I47="",J47="",K47=""),"標報未入力",IF(CH47&gt;=設定!$B$4,"要確認","問題なし"))))</f>
        <v>標報未入力</v>
      </c>
      <c r="E47" s="24" t="str">
        <f aca="false">IF(OR(G47="",G47="なし",CI47="",CJ47=0),"―",IF(CJ47=CI47,"前月同額",IF(CI47=0,"―",IF(ABS(CJ47/CI47-1)&gt;=設定!$B$5,"変動大 "&amp;TEXT(CJ47/CI47-1,"+0%;-0%"),"〇"))))</f>
        <v>―</v>
      </c>
      <c r="F47" s="10" t="str">
        <f aca="false">IF(OR(G47="",G47="なし"),"―",IF(CJ47=0,"入金不要",IF(COUNT(AD47,AF47,AH47,AJ47)=0,IF(AK47="○","手動確認","未入金"),IF(AND(N(AD47)=AC47,IF(AE47="",TRUE(),N(AF47)=AE47),IF(AG47="",TRUE(),N(AH47)=AG47),IF(AI47="",TRUE(),N(AJ47)=AI47)),"一致","不一致"))))</f>
        <v>手動確認</v>
      </c>
      <c r="G47" s="25" t="s">
        <v>167</v>
      </c>
      <c r="H47" s="26"/>
      <c r="I47" s="27"/>
      <c r="J47" s="27"/>
      <c r="K47" s="27"/>
      <c r="L47" s="27"/>
      <c r="M47" s="27"/>
      <c r="N47" s="27"/>
      <c r="O47" s="27" t="n">
        <v>45750</v>
      </c>
      <c r="P47" s="27" t="n">
        <v>3750</v>
      </c>
      <c r="Q47" s="27"/>
      <c r="R47" s="27"/>
      <c r="S47" s="27"/>
      <c r="T47" s="27" t="n">
        <v>45750</v>
      </c>
      <c r="U47" s="27" t="n">
        <v>3750</v>
      </c>
      <c r="V47" s="27" t="n">
        <v>43</v>
      </c>
      <c r="W47" s="27"/>
      <c r="X47" s="27"/>
      <c r="Y47" s="27"/>
      <c r="Z47" s="27"/>
      <c r="AA47" s="10" t="str">
        <f aca="false">IFERROR(INDEX(設定!$E$61:$E$106,MATCH(B47,設定!$B$61:$B$106,0)),"合算")</f>
        <v>合算</v>
      </c>
      <c r="AB47" s="28"/>
      <c r="AC47" s="29" t="n">
        <f aca="false">IF(OR(G47="",G47="なし"),"",IF(AA47="合算",CJ47+N(Z47),IF(AA47="掛金・負担金別",(AY47+AZ47+BD47+BF47+BH47),SUM(AY47:BC47))))</f>
        <v>99043</v>
      </c>
      <c r="AD47" s="27"/>
      <c r="AE47" s="29" t="str">
        <f aca="false">IF(OR(G47="",G47="なし"),"",IF(AA47="掛金・負担金別",(BA47+BB47+BC47+BE47+BG47+BI47+N(Z47)),IF(AA47="経理区分別",BD47+BE47,"")))</f>
        <v/>
      </c>
      <c r="AF47" s="27"/>
      <c r="AG47" s="29" t="str">
        <f aca="false">IF(OR(G47="",G47="なし"),"",IF(AA47="経理区分別",BF47+BG47,""))</f>
        <v/>
      </c>
      <c r="AH47" s="27"/>
      <c r="AI47" s="29" t="str">
        <f aca="false">IF(OR(G47="",G47="なし"),"",IF(AA47="経理区分別",BH47+BI47+N(Z47),""))</f>
        <v/>
      </c>
      <c r="AJ47" s="27"/>
      <c r="AK47" s="26" t="s">
        <v>168</v>
      </c>
      <c r="AL47" s="26"/>
      <c r="AM47" s="30"/>
      <c r="AN47" s="31"/>
      <c r="AO47" s="31"/>
      <c r="AP47" s="31"/>
      <c r="AQ47" s="31"/>
      <c r="AR47" s="31"/>
      <c r="AS47" s="31"/>
      <c r="AT47" s="31"/>
      <c r="AU47" s="31"/>
      <c r="AV47" s="31"/>
      <c r="AW47" s="31"/>
      <c r="AX47" s="31"/>
      <c r="AY47" s="31" t="n">
        <f aca="false">IF($G47="",AN47,O47)</f>
        <v>45750</v>
      </c>
      <c r="AZ47" s="31" t="n">
        <f aca="false">IF($G47="",AO47,P47)</f>
        <v>3750</v>
      </c>
      <c r="BA47" s="31" t="n">
        <f aca="false">IF($G47="",AP47,T47)</f>
        <v>45750</v>
      </c>
      <c r="BB47" s="31" t="n">
        <f aca="false">IF($G47="",AQ47,U47)</f>
        <v>3750</v>
      </c>
      <c r="BC47" s="31" t="n">
        <f aca="false">IF($G47="",AR47,V47)</f>
        <v>43</v>
      </c>
      <c r="BD47" s="31" t="n">
        <f aca="false">IF($G47="",AS47,Q47)</f>
        <v>0</v>
      </c>
      <c r="BE47" s="31" t="n">
        <f aca="false">IF($G47="",AT47,W47)</f>
        <v>0</v>
      </c>
      <c r="BF47" s="31" t="n">
        <f aca="false">IF($G47="",AU47,R47)</f>
        <v>0</v>
      </c>
      <c r="BG47" s="31" t="n">
        <f aca="false">IF($G47="",AV47,X47)</f>
        <v>0</v>
      </c>
      <c r="BH47" s="31" t="n">
        <f aca="false">IF($G47="",AW47,S47)</f>
        <v>0</v>
      </c>
      <c r="BI47" s="31" t="n">
        <f aca="false">IF($G47="",AX47,Y47)</f>
        <v>0</v>
      </c>
      <c r="BJ47" s="31" t="n">
        <f aca="false">IF(CK47="N",BR47,ROUNDDOWN((I47-L47)*設定!$B$10/1000,0)+ROUNDDOWN((I47-L47)*設定!$B$11/1000,0))</f>
        <v>0</v>
      </c>
      <c r="BK47" s="31" t="n">
        <f aca="false">ROUNDDOWN((I47-L47)*設定!$C$10/1000,0)+ROUNDDOWN((I47-L47)*設定!$C$11/1000,0)+ROUNDDOWN(I47*設定!$C$12/1000,0)+IF(CL47="市局型",ROUNDDOWN(I47*設定!$C$16/1000,0),0)</f>
        <v>0</v>
      </c>
      <c r="BL47" s="31" t="n">
        <f aca="false">IF(CK47="N",BT47,ROUNDDOWN((J47-M47)*設定!$B$13/1000,0))</f>
        <v>0</v>
      </c>
      <c r="BM47" s="31" t="n">
        <f aca="false">ROUNDDOWN((J47-M47)*設定!$C$13/1000,0)+IF(CL47="市局型",ROUNDDOWN(J47*設定!$C$17/1000,0),0)</f>
        <v>0</v>
      </c>
      <c r="BN47" s="31" t="n">
        <f aca="false">IF(CK47="N",BV47,ROUNDDOWN((K47-N47)*設定!$B$14/1000,0))</f>
        <v>0</v>
      </c>
      <c r="BO47" s="31" t="n">
        <f aca="false">ROUNDDOWN((K47-N47)*設定!$C$14/1000,0)</f>
        <v>0</v>
      </c>
      <c r="BP47" s="31" t="n">
        <f aca="false">IF(CK47="N",BX47,ROUNDDOWN((J47-M47)*設定!$B$15/1000,0))</f>
        <v>0</v>
      </c>
      <c r="BQ47" s="31" t="n">
        <f aca="false">ROUNDDOWN((J47-M47)*設定!$C$15/1000,0)</f>
        <v>0</v>
      </c>
      <c r="BR47" s="31" t="n">
        <f aca="false">O47+P47</f>
        <v>49500</v>
      </c>
      <c r="BS47" s="31" t="n">
        <f aca="false">T47+U47+V47</f>
        <v>49543</v>
      </c>
      <c r="BT47" s="31" t="n">
        <f aca="false">Q47</f>
        <v>0</v>
      </c>
      <c r="BU47" s="31" t="n">
        <f aca="false">W47</f>
        <v>0</v>
      </c>
      <c r="BV47" s="31" t="n">
        <f aca="false">R47</f>
        <v>0</v>
      </c>
      <c r="BW47" s="31" t="n">
        <f aca="false">X47</f>
        <v>0</v>
      </c>
      <c r="BX47" s="31" t="n">
        <f aca="false">S47</f>
        <v>0</v>
      </c>
      <c r="BY47" s="31" t="n">
        <f aca="false">Y47</f>
        <v>0</v>
      </c>
      <c r="BZ47" s="32" t="n">
        <f aca="false">IF(BJ47=0,IF(BR47=0,0,1),(BR47-BJ47)/BJ47)</f>
        <v>1</v>
      </c>
      <c r="CA47" s="32" t="n">
        <f aca="false">IF(BK47=0,IF(BS47=0,0,1),(BS47-BK47)/BK47)</f>
        <v>1</v>
      </c>
      <c r="CB47" s="32" t="n">
        <f aca="false">IF(BL47=0,IF(BT47=0,0,1),(BT47-BL47)/BL47)</f>
        <v>0</v>
      </c>
      <c r="CC47" s="32" t="n">
        <f aca="false">IF(BM47=0,IF(BU47=0,0,1),(BU47-BM47)/BM47)</f>
        <v>0</v>
      </c>
      <c r="CD47" s="32" t="n">
        <f aca="false">IF(BN47=0,IF(BV47=0,0,1),(BV47-BN47)/BN47)</f>
        <v>0</v>
      </c>
      <c r="CE47" s="32" t="n">
        <f aca="false">IF(BO47=0,IF(BW47=0,0,1),(BW47-BO47)/BO47)</f>
        <v>0</v>
      </c>
      <c r="CF47" s="32" t="n">
        <f aca="false">IF(BP47=0,IF(BX47=0,0,1),(BX47-BP47)/BP47)</f>
        <v>0</v>
      </c>
      <c r="CG47" s="32" t="n">
        <f aca="false">IF(BQ47=0,IF(BY47=0,0,1),(BY47-BQ47)/BQ47)</f>
        <v>0</v>
      </c>
      <c r="CH47" s="32" t="n">
        <f aca="false">MAX(MAX(BZ47:CG47),-MIN(BZ47:CG47))</f>
        <v>1</v>
      </c>
      <c r="CI47" s="31" t="str">
        <f aca="false">IF(CO47="","",SUMIFS($CJ$7:$CJ$696,$A$7:$A$696,CO47,$B$7:$B$696,B47))</f>
        <v/>
      </c>
      <c r="CJ47" s="31" t="n">
        <f aca="false">SUM(AY47:BI47)</f>
        <v>99043</v>
      </c>
      <c r="CK47" s="31" t="str">
        <f aca="false">IFERROR(INDEX(設定!$F$61:$F$106,MATCH(B47,設定!$B$61:$B$106,0)),"Y")</f>
        <v>Y</v>
      </c>
      <c r="CL47" s="31" t="str">
        <f aca="false">IFERROR(INDEX(設定!$G$61:$G$106,MATCH(B47,設定!$B$61:$B$106,0)),"外郭型")</f>
        <v>外郭型</v>
      </c>
      <c r="CM47" s="33" t="str">
        <f aca="false">A47&amp;"|"&amp;B47</f>
        <v>2026-04 月例|広島駅南口開発（株）</v>
      </c>
      <c r="CN47" s="34" t="str">
        <f aca="false">IFERROR(INDEX(設定!$D$61:$D$106,MATCH(B47,設定!$B$61:$B$106,0)),"Y")</f>
        <v>Y</v>
      </c>
      <c r="CO47" s="34" t="str">
        <f aca="false">IFERROR(INDEX(設定!$D$20:$D$34,MATCH(A47,設定!$A$20:$A$34,0))&amp;"","")</f>
        <v/>
      </c>
    </row>
    <row r="48" customFormat="false" ht="15" hidden="true" customHeight="false" outlineLevel="0" collapsed="false">
      <c r="A48" s="22" t="s">
        <v>165</v>
      </c>
      <c r="B48" s="23" t="s">
        <v>210</v>
      </c>
      <c r="C48" s="10" t="str">
        <f aca="false">IF(G48="","未受領",IF(G48="なし","報告なし",IF(AL48="○","起票済",IF(OR(AK48="○",F48="一致",F48="入金不要"),"入金確認済","受領済"))))</f>
        <v>入金確認済</v>
      </c>
      <c r="D48" s="10" t="str">
        <f aca="false">IF(OR(G48="",G48="なし"),"―",IF(CN48="N","対象外",IF(AND(I48="",J48="",K48=""),"標報未入力",IF(CH48&gt;=設定!$B$4,"要確認","問題なし"))))</f>
        <v>標報未入力</v>
      </c>
      <c r="E48" s="24" t="str">
        <f aca="false">IF(OR(G48="",G48="なし",CI48="",CJ48=0),"―",IF(CJ48=CI48,"前月同額",IF(CI48=0,"―",IF(ABS(CJ48/CI48-1)&gt;=設定!$B$5,"変動大 "&amp;TEXT(CJ48/CI48-1,"+0%;-0%"),"〇"))))</f>
        <v>―</v>
      </c>
      <c r="F48" s="10" t="str">
        <f aca="false">IF(OR(G48="",G48="なし"),"―",IF(CJ48=0,"入金不要",IF(COUNT(AD48,AF48,AH48,AJ48)=0,IF(AK48="○","手動確認","未入金"),IF(AND(N(AD48)=AC48,IF(AE48="",TRUE(),N(AF48)=AE48),IF(AG48="",TRUE(),N(AH48)=AG48),IF(AI48="",TRUE(),N(AJ48)=AI48)),"一致","不一致"))))</f>
        <v>手動確認</v>
      </c>
      <c r="G48" s="25" t="s">
        <v>167</v>
      </c>
      <c r="H48" s="26"/>
      <c r="I48" s="27"/>
      <c r="J48" s="27"/>
      <c r="K48" s="27"/>
      <c r="L48" s="27"/>
      <c r="M48" s="27"/>
      <c r="N48" s="27"/>
      <c r="O48" s="27" t="n">
        <v>29280</v>
      </c>
      <c r="P48" s="27" t="n">
        <v>2400</v>
      </c>
      <c r="Q48" s="27" t="n">
        <v>16595</v>
      </c>
      <c r="R48" s="27" t="n">
        <v>2528</v>
      </c>
      <c r="S48" s="27" t="n">
        <v>368</v>
      </c>
      <c r="T48" s="27" t="n">
        <v>29280</v>
      </c>
      <c r="U48" s="27" t="n">
        <v>2400</v>
      </c>
      <c r="V48" s="27"/>
      <c r="W48" s="27" t="n">
        <v>16611</v>
      </c>
      <c r="X48" s="27" t="n">
        <v>2528</v>
      </c>
      <c r="Y48" s="27" t="n">
        <v>368</v>
      </c>
      <c r="Z48" s="27"/>
      <c r="AA48" s="10" t="str">
        <f aca="false">IFERROR(INDEX(設定!$E$61:$E$106,MATCH(B48,設定!$B$61:$B$106,0)),"合算")</f>
        <v>合算</v>
      </c>
      <c r="AB48" s="28"/>
      <c r="AC48" s="29" t="n">
        <f aca="false">IF(OR(G48="",G48="なし"),"",IF(AA48="合算",CJ48+N(Z48),IF(AA48="掛金・負担金別",(AY48+AZ48+BD48+BF48+BH48),SUM(AY48:BC48))))</f>
        <v>102358</v>
      </c>
      <c r="AD48" s="27"/>
      <c r="AE48" s="29" t="str">
        <f aca="false">IF(OR(G48="",G48="なし"),"",IF(AA48="掛金・負担金別",(BA48+BB48+BC48+BE48+BG48+BI48+N(Z48)),IF(AA48="経理区分別",BD48+BE48,"")))</f>
        <v/>
      </c>
      <c r="AF48" s="27"/>
      <c r="AG48" s="29" t="str">
        <f aca="false">IF(OR(G48="",G48="なし"),"",IF(AA48="経理区分別",BF48+BG48,""))</f>
        <v/>
      </c>
      <c r="AH48" s="27"/>
      <c r="AI48" s="29" t="str">
        <f aca="false">IF(OR(G48="",G48="なし"),"",IF(AA48="経理区分別",BH48+BI48+N(Z48),""))</f>
        <v/>
      </c>
      <c r="AJ48" s="27"/>
      <c r="AK48" s="26" t="s">
        <v>168</v>
      </c>
      <c r="AL48" s="26"/>
      <c r="AM48" s="30"/>
      <c r="AN48" s="31"/>
      <c r="AO48" s="31"/>
      <c r="AP48" s="31"/>
      <c r="AQ48" s="31"/>
      <c r="AR48" s="31"/>
      <c r="AS48" s="31"/>
      <c r="AT48" s="31"/>
      <c r="AU48" s="31"/>
      <c r="AV48" s="31"/>
      <c r="AW48" s="31"/>
      <c r="AX48" s="31"/>
      <c r="AY48" s="31" t="n">
        <f aca="false">IF($G48="",AN48,O48)</f>
        <v>29280</v>
      </c>
      <c r="AZ48" s="31" t="n">
        <f aca="false">IF($G48="",AO48,P48)</f>
        <v>2400</v>
      </c>
      <c r="BA48" s="31" t="n">
        <f aca="false">IF($G48="",AP48,T48)</f>
        <v>29280</v>
      </c>
      <c r="BB48" s="31" t="n">
        <f aca="false">IF($G48="",AQ48,U48)</f>
        <v>2400</v>
      </c>
      <c r="BC48" s="31" t="n">
        <f aca="false">IF($G48="",AR48,V48)</f>
        <v>0</v>
      </c>
      <c r="BD48" s="31" t="n">
        <f aca="false">IF($G48="",AS48,Q48)</f>
        <v>16595</v>
      </c>
      <c r="BE48" s="31" t="n">
        <f aca="false">IF($G48="",AT48,W48)</f>
        <v>16611</v>
      </c>
      <c r="BF48" s="31" t="n">
        <f aca="false">IF($G48="",AU48,R48)</f>
        <v>2528</v>
      </c>
      <c r="BG48" s="31" t="n">
        <f aca="false">IF($G48="",AV48,X48)</f>
        <v>2528</v>
      </c>
      <c r="BH48" s="31" t="n">
        <f aca="false">IF($G48="",AW48,S48)</f>
        <v>368</v>
      </c>
      <c r="BI48" s="31" t="n">
        <f aca="false">IF($G48="",AX48,Y48)</f>
        <v>368</v>
      </c>
      <c r="BJ48" s="31" t="n">
        <f aca="false">IF(CK48="N",BR48,ROUNDDOWN((I48-L48)*設定!$B$10/1000,0)+ROUNDDOWN((I48-L48)*設定!$B$11/1000,0))</f>
        <v>0</v>
      </c>
      <c r="BK48" s="31" t="n">
        <f aca="false">ROUNDDOWN((I48-L48)*設定!$C$10/1000,0)+ROUNDDOWN((I48-L48)*設定!$C$11/1000,0)+ROUNDDOWN(I48*設定!$C$12/1000,0)+IF(CL48="市局型",ROUNDDOWN(I48*設定!$C$16/1000,0),0)</f>
        <v>0</v>
      </c>
      <c r="BL48" s="31" t="n">
        <f aca="false">IF(CK48="N",BT48,ROUNDDOWN((J48-M48)*設定!$B$13/1000,0))</f>
        <v>0</v>
      </c>
      <c r="BM48" s="31" t="n">
        <f aca="false">ROUNDDOWN((J48-M48)*設定!$C$13/1000,0)+IF(CL48="市局型",ROUNDDOWN(J48*設定!$C$17/1000,0),0)</f>
        <v>0</v>
      </c>
      <c r="BN48" s="31" t="n">
        <f aca="false">IF(CK48="N",BV48,ROUNDDOWN((K48-N48)*設定!$B$14/1000,0))</f>
        <v>0</v>
      </c>
      <c r="BO48" s="31" t="n">
        <f aca="false">ROUNDDOWN((K48-N48)*設定!$C$14/1000,0)</f>
        <v>0</v>
      </c>
      <c r="BP48" s="31" t="n">
        <f aca="false">IF(CK48="N",BX48,ROUNDDOWN((J48-M48)*設定!$B$15/1000,0))</f>
        <v>0</v>
      </c>
      <c r="BQ48" s="31" t="n">
        <f aca="false">ROUNDDOWN((J48-M48)*設定!$C$15/1000,0)</f>
        <v>0</v>
      </c>
      <c r="BR48" s="31" t="n">
        <f aca="false">O48+P48</f>
        <v>31680</v>
      </c>
      <c r="BS48" s="31" t="n">
        <f aca="false">T48+U48+V48</f>
        <v>31680</v>
      </c>
      <c r="BT48" s="31" t="n">
        <f aca="false">Q48</f>
        <v>16595</v>
      </c>
      <c r="BU48" s="31" t="n">
        <f aca="false">W48</f>
        <v>16611</v>
      </c>
      <c r="BV48" s="31" t="n">
        <f aca="false">R48</f>
        <v>2528</v>
      </c>
      <c r="BW48" s="31" t="n">
        <f aca="false">X48</f>
        <v>2528</v>
      </c>
      <c r="BX48" s="31" t="n">
        <f aca="false">S48</f>
        <v>368</v>
      </c>
      <c r="BY48" s="31" t="n">
        <f aca="false">Y48</f>
        <v>368</v>
      </c>
      <c r="BZ48" s="32" t="n">
        <f aca="false">IF(BJ48=0,IF(BR48=0,0,1),(BR48-BJ48)/BJ48)</f>
        <v>1</v>
      </c>
      <c r="CA48" s="32" t="n">
        <f aca="false">IF(BK48=0,IF(BS48=0,0,1),(BS48-BK48)/BK48)</f>
        <v>1</v>
      </c>
      <c r="CB48" s="32" t="n">
        <f aca="false">IF(BL48=0,IF(BT48=0,0,1),(BT48-BL48)/BL48)</f>
        <v>1</v>
      </c>
      <c r="CC48" s="32" t="n">
        <f aca="false">IF(BM48=0,IF(BU48=0,0,1),(BU48-BM48)/BM48)</f>
        <v>1</v>
      </c>
      <c r="CD48" s="32" t="n">
        <f aca="false">IF(BN48=0,IF(BV48=0,0,1),(BV48-BN48)/BN48)</f>
        <v>1</v>
      </c>
      <c r="CE48" s="32" t="n">
        <f aca="false">IF(BO48=0,IF(BW48=0,0,1),(BW48-BO48)/BO48)</f>
        <v>1</v>
      </c>
      <c r="CF48" s="32" t="n">
        <f aca="false">IF(BP48=0,IF(BX48=0,0,1),(BX48-BP48)/BP48)</f>
        <v>1</v>
      </c>
      <c r="CG48" s="32" t="n">
        <f aca="false">IF(BQ48=0,IF(BY48=0,0,1),(BY48-BQ48)/BQ48)</f>
        <v>1</v>
      </c>
      <c r="CH48" s="32" t="n">
        <f aca="false">MAX(MAX(BZ48:CG48),-MIN(BZ48:CG48))</f>
        <v>1</v>
      </c>
      <c r="CI48" s="31" t="str">
        <f aca="false">IF(CO48="","",SUMIFS($CJ$7:$CJ$696,$A$7:$A$696,CO48,$B$7:$B$696,B48))</f>
        <v/>
      </c>
      <c r="CJ48" s="31" t="n">
        <f aca="false">SUM(AY48:BI48)</f>
        <v>102358</v>
      </c>
      <c r="CK48" s="31" t="str">
        <f aca="false">IFERROR(INDEX(設定!$F$61:$F$106,MATCH(B48,設定!$B$61:$B$106,0)),"Y")</f>
        <v>Y</v>
      </c>
      <c r="CL48" s="31" t="str">
        <f aca="false">IFERROR(INDEX(設定!$G$61:$G$106,MATCH(B48,設定!$B$61:$B$106,0)),"外郭型")</f>
        <v>外郭型</v>
      </c>
      <c r="CM48" s="33" t="str">
        <f aca="false">A48&amp;"|"&amp;B48</f>
        <v>2026-04 月例|市職員労働組合</v>
      </c>
      <c r="CN48" s="34" t="str">
        <f aca="false">IFERROR(INDEX(設定!$D$61:$D$106,MATCH(B48,設定!$B$61:$B$106,0)),"Y")</f>
        <v>Y</v>
      </c>
      <c r="CO48" s="34" t="str">
        <f aca="false">IFERROR(INDEX(設定!$D$20:$D$34,MATCH(A48,設定!$A$20:$A$34,0))&amp;"","")</f>
        <v/>
      </c>
    </row>
    <row r="49" customFormat="false" ht="15" hidden="true" customHeight="false" outlineLevel="0" collapsed="false">
      <c r="A49" s="22" t="s">
        <v>165</v>
      </c>
      <c r="B49" s="23" t="s">
        <v>211</v>
      </c>
      <c r="C49" s="10" t="str">
        <f aca="false">IF(G49="","未受領",IF(G49="なし","報告なし",IF(AL49="○","起票済",IF(OR(AK49="○",F49="一致",F49="入金不要"),"入金確認済","受領済"))))</f>
        <v>報告なし</v>
      </c>
      <c r="D49" s="10" t="str">
        <f aca="false">IF(OR(G49="",G49="なし"),"―",IF(CN49="N","対象外",IF(AND(I49="",J49="",K49=""),"標報未入力",IF(CH49&gt;=設定!$B$4,"要確認","問題なし"))))</f>
        <v>―</v>
      </c>
      <c r="E49" s="24" t="str">
        <f aca="false">IF(OR(G49="",G49="なし",CI49="",CJ49=0),"―",IF(CJ49=CI49,"前月同額",IF(CI49=0,"―",IF(ABS(CJ49/CI49-1)&gt;=設定!$B$5,"変動大 "&amp;TEXT(CJ49/CI49-1,"+0%;-0%"),"〇"))))</f>
        <v>―</v>
      </c>
      <c r="F49" s="10" t="str">
        <f aca="false">IF(OR(G49="",G49="なし"),"―",IF(CJ49=0,"入金不要",IF(COUNT(AD49,AF49,AH49,AJ49)=0,IF(AK49="○","手動確認","未入金"),IF(AND(N(AD49)=AC49,IF(AE49="",TRUE(),N(AF49)=AE49),IF(AG49="",TRUE(),N(AH49)=AG49),IF(AI49="",TRUE(),N(AJ49)=AI49)),"一致","不一致"))))</f>
        <v>―</v>
      </c>
      <c r="G49" s="25" t="s">
        <v>181</v>
      </c>
      <c r="H49" s="26"/>
      <c r="I49" s="27"/>
      <c r="J49" s="27"/>
      <c r="K49" s="27"/>
      <c r="L49" s="27"/>
      <c r="M49" s="27"/>
      <c r="N49" s="27"/>
      <c r="O49" s="27"/>
      <c r="P49" s="27"/>
      <c r="Q49" s="27"/>
      <c r="R49" s="27"/>
      <c r="S49" s="27"/>
      <c r="T49" s="27"/>
      <c r="U49" s="27"/>
      <c r="V49" s="27"/>
      <c r="W49" s="27"/>
      <c r="X49" s="27"/>
      <c r="Y49" s="27"/>
      <c r="Z49" s="27"/>
      <c r="AA49" s="10" t="str">
        <f aca="false">IFERROR(INDEX(設定!$E$61:$E$106,MATCH(B49,設定!$B$61:$B$106,0)),"合算")</f>
        <v>合算</v>
      </c>
      <c r="AB49" s="28"/>
      <c r="AC49" s="29" t="str">
        <f aca="false">IF(OR(G49="",G49="なし"),"",IF(AA49="合算",CJ49+N(Z49),IF(AA49="掛金・負担金別",(AY49+AZ49+BD49+BF49+BH49),SUM(AY49:BC49))))</f>
        <v/>
      </c>
      <c r="AD49" s="27"/>
      <c r="AE49" s="29" t="str">
        <f aca="false">IF(OR(G49="",G49="なし"),"",IF(AA49="掛金・負担金別",(BA49+BB49+BC49+BE49+BG49+BI49+N(Z49)),IF(AA49="経理区分別",BD49+BE49,"")))</f>
        <v/>
      </c>
      <c r="AF49" s="27"/>
      <c r="AG49" s="29" t="str">
        <f aca="false">IF(OR(G49="",G49="なし"),"",IF(AA49="経理区分別",BF49+BG49,""))</f>
        <v/>
      </c>
      <c r="AH49" s="27"/>
      <c r="AI49" s="29" t="str">
        <f aca="false">IF(OR(G49="",G49="なし"),"",IF(AA49="経理区分別",BH49+BI49+N(Z49),""))</f>
        <v/>
      </c>
      <c r="AJ49" s="27"/>
      <c r="AK49" s="26"/>
      <c r="AL49" s="26"/>
      <c r="AM49" s="30"/>
      <c r="AN49" s="31"/>
      <c r="AO49" s="31"/>
      <c r="AP49" s="31"/>
      <c r="AQ49" s="31"/>
      <c r="AR49" s="31"/>
      <c r="AS49" s="31"/>
      <c r="AT49" s="31"/>
      <c r="AU49" s="31"/>
      <c r="AV49" s="31"/>
      <c r="AW49" s="31"/>
      <c r="AX49" s="31"/>
      <c r="AY49" s="31" t="n">
        <f aca="false">IF($G49="",AN49,O49)</f>
        <v>0</v>
      </c>
      <c r="AZ49" s="31" t="n">
        <f aca="false">IF($G49="",AO49,P49)</f>
        <v>0</v>
      </c>
      <c r="BA49" s="31" t="n">
        <f aca="false">IF($G49="",AP49,T49)</f>
        <v>0</v>
      </c>
      <c r="BB49" s="31" t="n">
        <f aca="false">IF($G49="",AQ49,U49)</f>
        <v>0</v>
      </c>
      <c r="BC49" s="31" t="n">
        <f aca="false">IF($G49="",AR49,V49)</f>
        <v>0</v>
      </c>
      <c r="BD49" s="31" t="n">
        <f aca="false">IF($G49="",AS49,Q49)</f>
        <v>0</v>
      </c>
      <c r="BE49" s="31" t="n">
        <f aca="false">IF($G49="",AT49,W49)</f>
        <v>0</v>
      </c>
      <c r="BF49" s="31" t="n">
        <f aca="false">IF($G49="",AU49,R49)</f>
        <v>0</v>
      </c>
      <c r="BG49" s="31" t="n">
        <f aca="false">IF($G49="",AV49,X49)</f>
        <v>0</v>
      </c>
      <c r="BH49" s="31" t="n">
        <f aca="false">IF($G49="",AW49,S49)</f>
        <v>0</v>
      </c>
      <c r="BI49" s="31" t="n">
        <f aca="false">IF($G49="",AX49,Y49)</f>
        <v>0</v>
      </c>
      <c r="BJ49" s="31" t="n">
        <f aca="false">IF(CK49="N",BR49,ROUNDDOWN((I49-L49)*設定!$B$10/1000,0)+ROUNDDOWN((I49-L49)*設定!$B$11/1000,0))</f>
        <v>0</v>
      </c>
      <c r="BK49" s="31" t="n">
        <f aca="false">ROUNDDOWN((I49-L49)*設定!$C$10/1000,0)+ROUNDDOWN((I49-L49)*設定!$C$11/1000,0)+ROUNDDOWN(I49*設定!$C$12/1000,0)+IF(CL49="市局型",ROUNDDOWN(I49*設定!$C$16/1000,0),0)</f>
        <v>0</v>
      </c>
      <c r="BL49" s="31" t="n">
        <f aca="false">IF(CK49="N",BT49,ROUNDDOWN((J49-M49)*設定!$B$13/1000,0))</f>
        <v>0</v>
      </c>
      <c r="BM49" s="31" t="n">
        <f aca="false">ROUNDDOWN((J49-M49)*設定!$C$13/1000,0)+IF(CL49="市局型",ROUNDDOWN(J49*設定!$C$17/1000,0),0)</f>
        <v>0</v>
      </c>
      <c r="BN49" s="31" t="n">
        <f aca="false">IF(CK49="N",BV49,ROUNDDOWN((K49-N49)*設定!$B$14/1000,0))</f>
        <v>0</v>
      </c>
      <c r="BO49" s="31" t="n">
        <f aca="false">ROUNDDOWN((K49-N49)*設定!$C$14/1000,0)</f>
        <v>0</v>
      </c>
      <c r="BP49" s="31" t="n">
        <f aca="false">IF(CK49="N",BX49,ROUNDDOWN((J49-M49)*設定!$B$15/1000,0))</f>
        <v>0</v>
      </c>
      <c r="BQ49" s="31" t="n">
        <f aca="false">ROUNDDOWN((J49-M49)*設定!$C$15/1000,0)</f>
        <v>0</v>
      </c>
      <c r="BR49" s="31" t="n">
        <f aca="false">O49+P49</f>
        <v>0</v>
      </c>
      <c r="BS49" s="31" t="n">
        <f aca="false">T49+U49+V49</f>
        <v>0</v>
      </c>
      <c r="BT49" s="31" t="n">
        <f aca="false">Q49</f>
        <v>0</v>
      </c>
      <c r="BU49" s="31" t="n">
        <f aca="false">W49</f>
        <v>0</v>
      </c>
      <c r="BV49" s="31" t="n">
        <f aca="false">R49</f>
        <v>0</v>
      </c>
      <c r="BW49" s="31" t="n">
        <f aca="false">X49</f>
        <v>0</v>
      </c>
      <c r="BX49" s="31" t="n">
        <f aca="false">S49</f>
        <v>0</v>
      </c>
      <c r="BY49" s="31" t="n">
        <f aca="false">Y49</f>
        <v>0</v>
      </c>
      <c r="BZ49" s="32" t="n">
        <f aca="false">IF(BJ49=0,IF(BR49=0,0,1),(BR49-BJ49)/BJ49)</f>
        <v>0</v>
      </c>
      <c r="CA49" s="32" t="n">
        <f aca="false">IF(BK49=0,IF(BS49=0,0,1),(BS49-BK49)/BK49)</f>
        <v>0</v>
      </c>
      <c r="CB49" s="32" t="n">
        <f aca="false">IF(BL49=0,IF(BT49=0,0,1),(BT49-BL49)/BL49)</f>
        <v>0</v>
      </c>
      <c r="CC49" s="32" t="n">
        <f aca="false">IF(BM49=0,IF(BU49=0,0,1),(BU49-BM49)/BM49)</f>
        <v>0</v>
      </c>
      <c r="CD49" s="32" t="n">
        <f aca="false">IF(BN49=0,IF(BV49=0,0,1),(BV49-BN49)/BN49)</f>
        <v>0</v>
      </c>
      <c r="CE49" s="32" t="n">
        <f aca="false">IF(BO49=0,IF(BW49=0,0,1),(BW49-BO49)/BO49)</f>
        <v>0</v>
      </c>
      <c r="CF49" s="32" t="n">
        <f aca="false">IF(BP49=0,IF(BX49=0,0,1),(BX49-BP49)/BP49)</f>
        <v>0</v>
      </c>
      <c r="CG49" s="32" t="n">
        <f aca="false">IF(BQ49=0,IF(BY49=0,0,1),(BY49-BQ49)/BQ49)</f>
        <v>0</v>
      </c>
      <c r="CH49" s="32" t="n">
        <f aca="false">MAX(MAX(BZ49:CG49),-MIN(BZ49:CG49))</f>
        <v>-0</v>
      </c>
      <c r="CI49" s="31" t="str">
        <f aca="false">IF(CO49="","",SUMIFS($CJ$7:$CJ$696,$A$7:$A$696,CO49,$B$7:$B$696,B49))</f>
        <v/>
      </c>
      <c r="CJ49" s="31" t="n">
        <f aca="false">SUM(AY49:BI49)</f>
        <v>0</v>
      </c>
      <c r="CK49" s="31" t="str">
        <f aca="false">IFERROR(INDEX(設定!$F$61:$F$106,MATCH(B49,設定!$B$61:$B$106,0)),"Y")</f>
        <v>N</v>
      </c>
      <c r="CL49" s="31" t="str">
        <f aca="false">IFERROR(INDEX(設定!$G$61:$G$106,MATCH(B49,設定!$B$61:$B$106,0)),"外郭型")</f>
        <v>外郭型</v>
      </c>
      <c r="CM49" s="33" t="str">
        <f aca="false">A49&amp;"|"&amp;B49</f>
        <v>2026-04 月例|自治労労働組合</v>
      </c>
      <c r="CN49" s="34" t="str">
        <f aca="false">IFERROR(INDEX(設定!$D$61:$D$106,MATCH(B49,設定!$B$61:$B$106,0)),"Y")</f>
        <v>Y</v>
      </c>
      <c r="CO49" s="34" t="str">
        <f aca="false">IFERROR(INDEX(設定!$D$20:$D$34,MATCH(A49,設定!$A$20:$A$34,0))&amp;"","")</f>
        <v/>
      </c>
    </row>
    <row r="50" customFormat="false" ht="15" hidden="true" customHeight="false" outlineLevel="0" collapsed="false">
      <c r="A50" s="22" t="s">
        <v>165</v>
      </c>
      <c r="B50" s="23" t="s">
        <v>212</v>
      </c>
      <c r="C50" s="10" t="str">
        <f aca="false">IF(G50="","未受領",IF(G50="なし","報告なし",IF(AL50="○","起票済",IF(OR(AK50="○",F50="一致",F50="入金不要"),"入金確認済","受領済"))))</f>
        <v>入金確認済</v>
      </c>
      <c r="D50" s="10" t="str">
        <f aca="false">IF(OR(G50="",G50="なし"),"―",IF(CN50="N","対象外",IF(AND(I50="",J50="",K50=""),"標報未入力",IF(CH50&gt;=設定!$B$4,"要確認","問題なし"))))</f>
        <v>標報未入力</v>
      </c>
      <c r="E50" s="24" t="str">
        <f aca="false">IF(OR(G50="",G50="なし",CI50="",CJ50=0),"―",IF(CJ50=CI50,"前月同額",IF(CI50=0,"―",IF(ABS(CJ50/CI50-1)&gt;=設定!$B$5,"変動大 "&amp;TEXT(CJ50/CI50-1,"+0%;-0%"),"〇"))))</f>
        <v>―</v>
      </c>
      <c r="F50" s="10" t="str">
        <f aca="false">IF(OR(G50="",G50="なし"),"―",IF(CJ50=0,"入金不要",IF(COUNT(AD50,AF50,AH50,AJ50)=0,IF(AK50="○","手動確認","未入金"),IF(AND(N(AD50)=AC50,IF(AE50="",TRUE(),N(AF50)=AE50),IF(AG50="",TRUE(),N(AH50)=AG50),IF(AI50="",TRUE(),N(AJ50)=AI50)),"一致","不一致"))))</f>
        <v>手動確認</v>
      </c>
      <c r="G50" s="25" t="s">
        <v>167</v>
      </c>
      <c r="H50" s="26"/>
      <c r="I50" s="27"/>
      <c r="J50" s="27"/>
      <c r="K50" s="27"/>
      <c r="L50" s="27"/>
      <c r="M50" s="27"/>
      <c r="N50" s="27"/>
      <c r="O50" s="27" t="n">
        <v>27450</v>
      </c>
      <c r="P50" s="27" t="n">
        <v>2250</v>
      </c>
      <c r="Q50" s="27" t="n">
        <v>31116</v>
      </c>
      <c r="R50" s="27" t="n">
        <v>2370</v>
      </c>
      <c r="S50" s="27" t="n">
        <v>690</v>
      </c>
      <c r="T50" s="27" t="n">
        <v>27450</v>
      </c>
      <c r="U50" s="27" t="n">
        <v>2250</v>
      </c>
      <c r="V50" s="27"/>
      <c r="W50" s="27" t="n">
        <v>31146</v>
      </c>
      <c r="X50" s="27" t="n">
        <v>2370</v>
      </c>
      <c r="Y50" s="27" t="n">
        <v>690</v>
      </c>
      <c r="Z50" s="27"/>
      <c r="AA50" s="10" t="str">
        <f aca="false">IFERROR(INDEX(設定!$E$61:$E$106,MATCH(B50,設定!$B$61:$B$106,0)),"合算")</f>
        <v>合算</v>
      </c>
      <c r="AB50" s="28"/>
      <c r="AC50" s="29" t="n">
        <f aca="false">IF(OR(G50="",G50="なし"),"",IF(AA50="合算",CJ50+N(Z50),IF(AA50="掛金・負担金別",(AY50+AZ50+BD50+BF50+BH50),SUM(AY50:BC50))))</f>
        <v>127782</v>
      </c>
      <c r="AD50" s="27"/>
      <c r="AE50" s="29" t="str">
        <f aca="false">IF(OR(G50="",G50="なし"),"",IF(AA50="掛金・負担金別",(BA50+BB50+BC50+BE50+BG50+BI50+N(Z50)),IF(AA50="経理区分別",BD50+BE50,"")))</f>
        <v/>
      </c>
      <c r="AF50" s="27"/>
      <c r="AG50" s="29" t="str">
        <f aca="false">IF(OR(G50="",G50="なし"),"",IF(AA50="経理区分別",BF50+BG50,""))</f>
        <v/>
      </c>
      <c r="AH50" s="27"/>
      <c r="AI50" s="29" t="str">
        <f aca="false">IF(OR(G50="",G50="なし"),"",IF(AA50="経理区分別",BH50+BI50+N(Z50),""))</f>
        <v/>
      </c>
      <c r="AJ50" s="27"/>
      <c r="AK50" s="26" t="s">
        <v>168</v>
      </c>
      <c r="AL50" s="26"/>
      <c r="AM50" s="30"/>
      <c r="AN50" s="31"/>
      <c r="AO50" s="31"/>
      <c r="AP50" s="31"/>
      <c r="AQ50" s="31"/>
      <c r="AR50" s="31"/>
      <c r="AS50" s="31"/>
      <c r="AT50" s="31"/>
      <c r="AU50" s="31"/>
      <c r="AV50" s="31"/>
      <c r="AW50" s="31"/>
      <c r="AX50" s="31"/>
      <c r="AY50" s="31" t="n">
        <f aca="false">IF($G50="",AN50,O50)</f>
        <v>27450</v>
      </c>
      <c r="AZ50" s="31" t="n">
        <f aca="false">IF($G50="",AO50,P50)</f>
        <v>2250</v>
      </c>
      <c r="BA50" s="31" t="n">
        <f aca="false">IF($G50="",AP50,T50)</f>
        <v>27450</v>
      </c>
      <c r="BB50" s="31" t="n">
        <f aca="false">IF($G50="",AQ50,U50)</f>
        <v>2250</v>
      </c>
      <c r="BC50" s="31" t="n">
        <f aca="false">IF($G50="",AR50,V50)</f>
        <v>0</v>
      </c>
      <c r="BD50" s="31" t="n">
        <f aca="false">IF($G50="",AS50,Q50)</f>
        <v>31116</v>
      </c>
      <c r="BE50" s="31" t="n">
        <f aca="false">IF($G50="",AT50,W50)</f>
        <v>31146</v>
      </c>
      <c r="BF50" s="31" t="n">
        <f aca="false">IF($G50="",AU50,R50)</f>
        <v>2370</v>
      </c>
      <c r="BG50" s="31" t="n">
        <f aca="false">IF($G50="",AV50,X50)</f>
        <v>2370</v>
      </c>
      <c r="BH50" s="31" t="n">
        <f aca="false">IF($G50="",AW50,S50)</f>
        <v>690</v>
      </c>
      <c r="BI50" s="31" t="n">
        <f aca="false">IF($G50="",AX50,Y50)</f>
        <v>690</v>
      </c>
      <c r="BJ50" s="31" t="n">
        <f aca="false">IF(CK50="N",BR50,ROUNDDOWN((I50-L50)*設定!$B$10/1000,0)+ROUNDDOWN((I50-L50)*設定!$B$11/1000,0))</f>
        <v>0</v>
      </c>
      <c r="BK50" s="31" t="n">
        <f aca="false">ROUNDDOWN((I50-L50)*設定!$C$10/1000,0)+ROUNDDOWN((I50-L50)*設定!$C$11/1000,0)+ROUNDDOWN(I50*設定!$C$12/1000,0)+IF(CL50="市局型",ROUNDDOWN(I50*設定!$C$16/1000,0),0)</f>
        <v>0</v>
      </c>
      <c r="BL50" s="31" t="n">
        <f aca="false">IF(CK50="N",BT50,ROUNDDOWN((J50-M50)*設定!$B$13/1000,0))</f>
        <v>0</v>
      </c>
      <c r="BM50" s="31" t="n">
        <f aca="false">ROUNDDOWN((J50-M50)*設定!$C$13/1000,0)+IF(CL50="市局型",ROUNDDOWN(J50*設定!$C$17/1000,0),0)</f>
        <v>0</v>
      </c>
      <c r="BN50" s="31" t="n">
        <f aca="false">IF(CK50="N",BV50,ROUNDDOWN((K50-N50)*設定!$B$14/1000,0))</f>
        <v>0</v>
      </c>
      <c r="BO50" s="31" t="n">
        <f aca="false">ROUNDDOWN((K50-N50)*設定!$C$14/1000,0)</f>
        <v>0</v>
      </c>
      <c r="BP50" s="31" t="n">
        <f aca="false">IF(CK50="N",BX50,ROUNDDOWN((J50-M50)*設定!$B$15/1000,0))</f>
        <v>0</v>
      </c>
      <c r="BQ50" s="31" t="n">
        <f aca="false">ROUNDDOWN((J50-M50)*設定!$C$15/1000,0)</f>
        <v>0</v>
      </c>
      <c r="BR50" s="31" t="n">
        <f aca="false">O50+P50</f>
        <v>29700</v>
      </c>
      <c r="BS50" s="31" t="n">
        <f aca="false">T50+U50+V50</f>
        <v>29700</v>
      </c>
      <c r="BT50" s="31" t="n">
        <f aca="false">Q50</f>
        <v>31116</v>
      </c>
      <c r="BU50" s="31" t="n">
        <f aca="false">W50</f>
        <v>31146</v>
      </c>
      <c r="BV50" s="31" t="n">
        <f aca="false">R50</f>
        <v>2370</v>
      </c>
      <c r="BW50" s="31" t="n">
        <f aca="false">X50</f>
        <v>2370</v>
      </c>
      <c r="BX50" s="31" t="n">
        <f aca="false">S50</f>
        <v>690</v>
      </c>
      <c r="BY50" s="31" t="n">
        <f aca="false">Y50</f>
        <v>690</v>
      </c>
      <c r="BZ50" s="32" t="n">
        <f aca="false">IF(BJ50=0,IF(BR50=0,0,1),(BR50-BJ50)/BJ50)</f>
        <v>1</v>
      </c>
      <c r="CA50" s="32" t="n">
        <f aca="false">IF(BK50=0,IF(BS50=0,0,1),(BS50-BK50)/BK50)</f>
        <v>1</v>
      </c>
      <c r="CB50" s="32" t="n">
        <f aca="false">IF(BL50=0,IF(BT50=0,0,1),(BT50-BL50)/BL50)</f>
        <v>1</v>
      </c>
      <c r="CC50" s="32" t="n">
        <f aca="false">IF(BM50=0,IF(BU50=0,0,1),(BU50-BM50)/BM50)</f>
        <v>1</v>
      </c>
      <c r="CD50" s="32" t="n">
        <f aca="false">IF(BN50=0,IF(BV50=0,0,1),(BV50-BN50)/BN50)</f>
        <v>1</v>
      </c>
      <c r="CE50" s="32" t="n">
        <f aca="false">IF(BO50=0,IF(BW50=0,0,1),(BW50-BO50)/BO50)</f>
        <v>1</v>
      </c>
      <c r="CF50" s="32" t="n">
        <f aca="false">IF(BP50=0,IF(BX50=0,0,1),(BX50-BP50)/BP50)</f>
        <v>1</v>
      </c>
      <c r="CG50" s="32" t="n">
        <f aca="false">IF(BQ50=0,IF(BY50=0,0,1),(BY50-BQ50)/BQ50)</f>
        <v>1</v>
      </c>
      <c r="CH50" s="32" t="n">
        <f aca="false">MAX(MAX(BZ50:CG50),-MIN(BZ50:CG50))</f>
        <v>1</v>
      </c>
      <c r="CI50" s="31" t="str">
        <f aca="false">IF(CO50="","",SUMIFS($CJ$7:$CJ$696,$A$7:$A$696,CO50,$B$7:$B$696,B50))</f>
        <v/>
      </c>
      <c r="CJ50" s="31" t="n">
        <f aca="false">SUM(AY50:BI50)</f>
        <v>127782</v>
      </c>
      <c r="CK50" s="31" t="str">
        <f aca="false">IFERROR(INDEX(設定!$F$61:$F$106,MATCH(B50,設定!$B$61:$B$106,0)),"Y")</f>
        <v>Y</v>
      </c>
      <c r="CL50" s="31" t="str">
        <f aca="false">IFERROR(INDEX(設定!$G$61:$G$106,MATCH(B50,設定!$B$61:$B$106,0)),"外郭型")</f>
        <v>外郭型</v>
      </c>
      <c r="CM50" s="33" t="str">
        <f aca="false">A50&amp;"|"&amp;B50</f>
        <v>2026-04 月例|病院労働組合</v>
      </c>
      <c r="CN50" s="34" t="str">
        <f aca="false">IFERROR(INDEX(設定!$D$61:$D$106,MATCH(B50,設定!$B$61:$B$106,0)),"Y")</f>
        <v>Y</v>
      </c>
      <c r="CO50" s="34" t="str">
        <f aca="false">IFERROR(INDEX(設定!$D$20:$D$34,MATCH(A50,設定!$A$20:$A$34,0))&amp;"","")</f>
        <v/>
      </c>
    </row>
    <row r="51" customFormat="false" ht="15" hidden="true" customHeight="false" outlineLevel="0" collapsed="false">
      <c r="A51" s="22" t="s">
        <v>165</v>
      </c>
      <c r="B51" s="23" t="s">
        <v>213</v>
      </c>
      <c r="C51" s="10" t="str">
        <f aca="false">IF(G51="","未受領",IF(G51="なし","報告なし",IF(AL51="○","起票済",IF(OR(AK51="○",F51="一致",F51="入金不要"),"入金確認済","受領済"))))</f>
        <v>報告なし</v>
      </c>
      <c r="D51" s="10" t="str">
        <f aca="false">IF(OR(G51="",G51="なし"),"―",IF(CN51="N","対象外",IF(AND(I51="",J51="",K51=""),"標報未入力",IF(CH51&gt;=設定!$B$4,"要確認","問題なし"))))</f>
        <v>―</v>
      </c>
      <c r="E51" s="24" t="str">
        <f aca="false">IF(OR(G51="",G51="なし",CI51="",CJ51=0),"―",IF(CJ51=CI51,"前月同額",IF(CI51=0,"―",IF(ABS(CJ51/CI51-1)&gt;=設定!$B$5,"変動大 "&amp;TEXT(CJ51/CI51-1,"+0%;-0%"),"〇"))))</f>
        <v>―</v>
      </c>
      <c r="F51" s="10" t="str">
        <f aca="false">IF(OR(G51="",G51="なし"),"―",IF(CJ51=0,"入金不要",IF(COUNT(AD51,AF51,AH51,AJ51)=0,IF(AK51="○","手動確認","未入金"),IF(AND(N(AD51)=AC51,IF(AE51="",TRUE(),N(AF51)=AE51),IF(AG51="",TRUE(),N(AH51)=AG51),IF(AI51="",TRUE(),N(AJ51)=AI51)),"一致","不一致"))))</f>
        <v>―</v>
      </c>
      <c r="G51" s="25" t="s">
        <v>181</v>
      </c>
      <c r="H51" s="26"/>
      <c r="I51" s="27"/>
      <c r="J51" s="27"/>
      <c r="K51" s="27"/>
      <c r="L51" s="27"/>
      <c r="M51" s="27"/>
      <c r="N51" s="27"/>
      <c r="O51" s="27"/>
      <c r="P51" s="27"/>
      <c r="Q51" s="27"/>
      <c r="R51" s="27"/>
      <c r="S51" s="27"/>
      <c r="T51" s="27"/>
      <c r="U51" s="27"/>
      <c r="V51" s="27"/>
      <c r="W51" s="27"/>
      <c r="X51" s="27"/>
      <c r="Y51" s="27"/>
      <c r="Z51" s="27"/>
      <c r="AA51" s="10" t="str">
        <f aca="false">IFERROR(INDEX(設定!$E$61:$E$106,MATCH(B51,設定!$B$61:$B$106,0)),"合算")</f>
        <v>合算</v>
      </c>
      <c r="AB51" s="28"/>
      <c r="AC51" s="29" t="str">
        <f aca="false">IF(OR(G51="",G51="なし"),"",IF(AA51="合算",CJ51+N(Z51),IF(AA51="掛金・負担金別",(AY51+AZ51+BD51+BF51+BH51),SUM(AY51:BC51))))</f>
        <v/>
      </c>
      <c r="AD51" s="27"/>
      <c r="AE51" s="29" t="str">
        <f aca="false">IF(OR(G51="",G51="なし"),"",IF(AA51="掛金・負担金別",(BA51+BB51+BC51+BE51+BG51+BI51+N(Z51)),IF(AA51="経理区分別",BD51+BE51,"")))</f>
        <v/>
      </c>
      <c r="AF51" s="27"/>
      <c r="AG51" s="29" t="str">
        <f aca="false">IF(OR(G51="",G51="なし"),"",IF(AA51="経理区分別",BF51+BG51,""))</f>
        <v/>
      </c>
      <c r="AH51" s="27"/>
      <c r="AI51" s="29" t="str">
        <f aca="false">IF(OR(G51="",G51="なし"),"",IF(AA51="経理区分別",BH51+BI51+N(Z51),""))</f>
        <v/>
      </c>
      <c r="AJ51" s="27"/>
      <c r="AK51" s="26"/>
      <c r="AL51" s="26"/>
      <c r="AM51" s="30"/>
      <c r="AN51" s="31"/>
      <c r="AO51" s="31"/>
      <c r="AP51" s="31"/>
      <c r="AQ51" s="31"/>
      <c r="AR51" s="31"/>
      <c r="AS51" s="31"/>
      <c r="AT51" s="31"/>
      <c r="AU51" s="31"/>
      <c r="AV51" s="31"/>
      <c r="AW51" s="31"/>
      <c r="AX51" s="31"/>
      <c r="AY51" s="31" t="n">
        <f aca="false">IF($G51="",AN51,O51)</f>
        <v>0</v>
      </c>
      <c r="AZ51" s="31" t="n">
        <f aca="false">IF($G51="",AO51,P51)</f>
        <v>0</v>
      </c>
      <c r="BA51" s="31" t="n">
        <f aca="false">IF($G51="",AP51,T51)</f>
        <v>0</v>
      </c>
      <c r="BB51" s="31" t="n">
        <f aca="false">IF($G51="",AQ51,U51)</f>
        <v>0</v>
      </c>
      <c r="BC51" s="31" t="n">
        <f aca="false">IF($G51="",AR51,V51)</f>
        <v>0</v>
      </c>
      <c r="BD51" s="31" t="n">
        <f aca="false">IF($G51="",AS51,Q51)</f>
        <v>0</v>
      </c>
      <c r="BE51" s="31" t="n">
        <f aca="false">IF($G51="",AT51,W51)</f>
        <v>0</v>
      </c>
      <c r="BF51" s="31" t="n">
        <f aca="false">IF($G51="",AU51,R51)</f>
        <v>0</v>
      </c>
      <c r="BG51" s="31" t="n">
        <f aca="false">IF($G51="",AV51,X51)</f>
        <v>0</v>
      </c>
      <c r="BH51" s="31" t="n">
        <f aca="false">IF($G51="",AW51,S51)</f>
        <v>0</v>
      </c>
      <c r="BI51" s="31" t="n">
        <f aca="false">IF($G51="",AX51,Y51)</f>
        <v>0</v>
      </c>
      <c r="BJ51" s="31" t="n">
        <f aca="false">IF(CK51="N",BR51,ROUNDDOWN((I51-L51)*設定!$B$10/1000,0)+ROUNDDOWN((I51-L51)*設定!$B$11/1000,0))</f>
        <v>0</v>
      </c>
      <c r="BK51" s="31" t="n">
        <f aca="false">ROUNDDOWN((I51-L51)*設定!$C$10/1000,0)+ROUNDDOWN((I51-L51)*設定!$C$11/1000,0)+ROUNDDOWN(I51*設定!$C$12/1000,0)+IF(CL51="市局型",ROUNDDOWN(I51*設定!$C$16/1000,0),0)</f>
        <v>0</v>
      </c>
      <c r="BL51" s="31" t="n">
        <f aca="false">IF(CK51="N",BT51,ROUNDDOWN((J51-M51)*設定!$B$13/1000,0))</f>
        <v>0</v>
      </c>
      <c r="BM51" s="31" t="n">
        <f aca="false">ROUNDDOWN((J51-M51)*設定!$C$13/1000,0)+IF(CL51="市局型",ROUNDDOWN(J51*設定!$C$17/1000,0),0)</f>
        <v>0</v>
      </c>
      <c r="BN51" s="31" t="n">
        <f aca="false">IF(CK51="N",BV51,ROUNDDOWN((K51-N51)*設定!$B$14/1000,0))</f>
        <v>0</v>
      </c>
      <c r="BO51" s="31" t="n">
        <f aca="false">ROUNDDOWN((K51-N51)*設定!$C$14/1000,0)</f>
        <v>0</v>
      </c>
      <c r="BP51" s="31" t="n">
        <f aca="false">IF(CK51="N",BX51,ROUNDDOWN((J51-M51)*設定!$B$15/1000,0))</f>
        <v>0</v>
      </c>
      <c r="BQ51" s="31" t="n">
        <f aca="false">ROUNDDOWN((J51-M51)*設定!$C$15/1000,0)</f>
        <v>0</v>
      </c>
      <c r="BR51" s="31" t="n">
        <f aca="false">O51+P51</f>
        <v>0</v>
      </c>
      <c r="BS51" s="31" t="n">
        <f aca="false">T51+U51+V51</f>
        <v>0</v>
      </c>
      <c r="BT51" s="31" t="n">
        <f aca="false">Q51</f>
        <v>0</v>
      </c>
      <c r="BU51" s="31" t="n">
        <f aca="false">W51</f>
        <v>0</v>
      </c>
      <c r="BV51" s="31" t="n">
        <f aca="false">R51</f>
        <v>0</v>
      </c>
      <c r="BW51" s="31" t="n">
        <f aca="false">X51</f>
        <v>0</v>
      </c>
      <c r="BX51" s="31" t="n">
        <f aca="false">S51</f>
        <v>0</v>
      </c>
      <c r="BY51" s="31" t="n">
        <f aca="false">Y51</f>
        <v>0</v>
      </c>
      <c r="BZ51" s="32" t="n">
        <f aca="false">IF(BJ51=0,IF(BR51=0,0,1),(BR51-BJ51)/BJ51)</f>
        <v>0</v>
      </c>
      <c r="CA51" s="32" t="n">
        <f aca="false">IF(BK51=0,IF(BS51=0,0,1),(BS51-BK51)/BK51)</f>
        <v>0</v>
      </c>
      <c r="CB51" s="32" t="n">
        <f aca="false">IF(BL51=0,IF(BT51=0,0,1),(BT51-BL51)/BL51)</f>
        <v>0</v>
      </c>
      <c r="CC51" s="32" t="n">
        <f aca="false">IF(BM51=0,IF(BU51=0,0,1),(BU51-BM51)/BM51)</f>
        <v>0</v>
      </c>
      <c r="CD51" s="32" t="n">
        <f aca="false">IF(BN51=0,IF(BV51=0,0,1),(BV51-BN51)/BN51)</f>
        <v>0</v>
      </c>
      <c r="CE51" s="32" t="n">
        <f aca="false">IF(BO51=0,IF(BW51=0,0,1),(BW51-BO51)/BO51)</f>
        <v>0</v>
      </c>
      <c r="CF51" s="32" t="n">
        <f aca="false">IF(BP51=0,IF(BX51=0,0,1),(BX51-BP51)/BP51)</f>
        <v>0</v>
      </c>
      <c r="CG51" s="32" t="n">
        <f aca="false">IF(BQ51=0,IF(BY51=0,0,1),(BY51-BQ51)/BQ51)</f>
        <v>0</v>
      </c>
      <c r="CH51" s="32" t="n">
        <f aca="false">MAX(MAX(BZ51:CG51),-MIN(BZ51:CG51))</f>
        <v>-0</v>
      </c>
      <c r="CI51" s="31" t="str">
        <f aca="false">IF(CO51="","",SUMIFS($CJ$7:$CJ$696,$A$7:$A$696,CO51,$B$7:$B$696,B51))</f>
        <v/>
      </c>
      <c r="CJ51" s="31" t="n">
        <f aca="false">SUM(AY51:BI51)</f>
        <v>0</v>
      </c>
      <c r="CK51" s="31" t="str">
        <f aca="false">IFERROR(INDEX(設定!$F$61:$F$106,MATCH(B51,設定!$B$61:$B$106,0)),"Y")</f>
        <v>N</v>
      </c>
      <c r="CL51" s="31" t="str">
        <f aca="false">IFERROR(INDEX(設定!$G$61:$G$106,MATCH(B51,設定!$B$61:$B$106,0)),"外郭型")</f>
        <v>外郭型</v>
      </c>
      <c r="CM51" s="33" t="str">
        <f aca="false">A51&amp;"|"&amp;B51</f>
        <v>2026-04 月例|水道労働組合</v>
      </c>
      <c r="CN51" s="34" t="str">
        <f aca="false">IFERROR(INDEX(設定!$D$61:$D$106,MATCH(B51,設定!$B$61:$B$106,0)),"Y")</f>
        <v>Y</v>
      </c>
      <c r="CO51" s="34" t="str">
        <f aca="false">IFERROR(INDEX(設定!$D$20:$D$34,MATCH(A51,設定!$A$20:$A$34,0))&amp;"","")</f>
        <v/>
      </c>
    </row>
    <row r="52" customFormat="false" ht="15" hidden="true" customHeight="false" outlineLevel="0" collapsed="false">
      <c r="A52" s="22" t="s">
        <v>165</v>
      </c>
      <c r="B52" s="23" t="s">
        <v>214</v>
      </c>
      <c r="C52" s="10" t="str">
        <f aca="false">IF(G52="","未受領",IF(G52="なし","報告なし",IF(AL52="○","起票済",IF(OR(AK52="○",F52="一致",F52="入金不要"),"入金確認済","受領済"))))</f>
        <v>受領済</v>
      </c>
      <c r="D52" s="10" t="str">
        <f aca="false">IF(OR(G52="",G52="なし"),"―",IF(CN52="N","対象外",IF(AND(I52="",J52="",K52=""),"標報未入力",IF(CH52&gt;=設定!$B$4,"要確認","問題なし"))))</f>
        <v>対象外</v>
      </c>
      <c r="E52" s="24" t="str">
        <f aca="false">IF(OR(G52="",G52="なし",CI52="",CJ52=0),"―",IF(CJ52=CI52,"前月同額",IF(CI52=0,"―",IF(ABS(CJ52/CI52-1)&gt;=設定!$B$5,"変動大 "&amp;TEXT(CJ52/CI52-1,"+0%;-0%"),"〇"))))</f>
        <v>―</v>
      </c>
      <c r="F52" s="10" t="str">
        <f aca="false">IF(OR(G52="",G52="なし"),"―",IF(CJ52=0,"入金不要",IF(COUNT(AD52,AF52,AH52,AJ52)=0,IF(AK52="○","手動確認","未入金"),IF(AND(N(AD52)=AC52,IF(AE52="",TRUE(),N(AF52)=AE52),IF(AG52="",TRUE(),N(AH52)=AG52),IF(AI52="",TRUE(),N(AJ52)=AI52)),"一致","不一致"))))</f>
        <v>未入金</v>
      </c>
      <c r="G52" s="25" t="s">
        <v>167</v>
      </c>
      <c r="H52" s="26"/>
      <c r="I52" s="27"/>
      <c r="J52" s="27"/>
      <c r="K52" s="27"/>
      <c r="L52" s="27"/>
      <c r="M52" s="27"/>
      <c r="N52" s="27"/>
      <c r="O52" s="27"/>
      <c r="P52" s="27"/>
      <c r="Q52" s="27" t="n">
        <v>98124999</v>
      </c>
      <c r="R52" s="27" t="n">
        <v>5128891</v>
      </c>
      <c r="S52" s="27" t="n">
        <v>2174616</v>
      </c>
      <c r="T52" s="27"/>
      <c r="U52" s="27"/>
      <c r="V52" s="27"/>
      <c r="W52" s="27"/>
      <c r="X52" s="27"/>
      <c r="Y52" s="27"/>
      <c r="Z52" s="27"/>
      <c r="AA52" s="10" t="str">
        <f aca="false">IFERROR(INDEX(設定!$E$61:$E$106,MATCH(B52,設定!$B$61:$B$106,0)),"合算")</f>
        <v>合算</v>
      </c>
      <c r="AB52" s="28"/>
      <c r="AC52" s="29" t="n">
        <f aca="false">IF(OR(G52="",G52="なし"),"",IF(AA52="合算",CJ52+N(Z52),IF(AA52="掛金・負担金別",(AY52+AZ52+BD52+BF52+BH52),SUM(AY52:BC52))))</f>
        <v>105428506</v>
      </c>
      <c r="AD52" s="27"/>
      <c r="AE52" s="29" t="str">
        <f aca="false">IF(OR(G52="",G52="なし"),"",IF(AA52="掛金・負担金別",(BA52+BB52+BC52+BE52+BG52+BI52+N(Z52)),IF(AA52="経理区分別",BD52+BE52,"")))</f>
        <v/>
      </c>
      <c r="AF52" s="27"/>
      <c r="AG52" s="29" t="str">
        <f aca="false">IF(OR(G52="",G52="なし"),"",IF(AA52="経理区分別",BF52+BG52,""))</f>
        <v/>
      </c>
      <c r="AH52" s="27"/>
      <c r="AI52" s="29" t="str">
        <f aca="false">IF(OR(G52="",G52="なし"),"",IF(AA52="経理区分別",BH52+BI52+N(Z52),""))</f>
        <v/>
      </c>
      <c r="AJ52" s="27"/>
      <c r="AK52" s="26"/>
      <c r="AL52" s="26"/>
      <c r="AM52" s="30"/>
      <c r="AN52" s="31"/>
      <c r="AO52" s="31"/>
      <c r="AP52" s="31"/>
      <c r="AQ52" s="31"/>
      <c r="AR52" s="31"/>
      <c r="AS52" s="31"/>
      <c r="AT52" s="31"/>
      <c r="AU52" s="31"/>
      <c r="AV52" s="31"/>
      <c r="AW52" s="31"/>
      <c r="AX52" s="31"/>
      <c r="AY52" s="31" t="n">
        <f aca="false">IF($G52="",AN52,O52)</f>
        <v>0</v>
      </c>
      <c r="AZ52" s="31" t="n">
        <f aca="false">IF($G52="",AO52,P52)</f>
        <v>0</v>
      </c>
      <c r="BA52" s="31" t="n">
        <f aca="false">IF($G52="",AP52,T52)</f>
        <v>0</v>
      </c>
      <c r="BB52" s="31" t="n">
        <f aca="false">IF($G52="",AQ52,U52)</f>
        <v>0</v>
      </c>
      <c r="BC52" s="31" t="n">
        <f aca="false">IF($G52="",AR52,V52)</f>
        <v>0</v>
      </c>
      <c r="BD52" s="31" t="n">
        <f aca="false">IF($G52="",AS52,Q52)</f>
        <v>98124999</v>
      </c>
      <c r="BE52" s="31" t="n">
        <f aca="false">IF($G52="",AT52,W52)</f>
        <v>0</v>
      </c>
      <c r="BF52" s="31" t="n">
        <f aca="false">IF($G52="",AU52,R52)</f>
        <v>5128891</v>
      </c>
      <c r="BG52" s="31" t="n">
        <f aca="false">IF($G52="",AV52,X52)</f>
        <v>0</v>
      </c>
      <c r="BH52" s="31" t="n">
        <f aca="false">IF($G52="",AW52,S52)</f>
        <v>2174616</v>
      </c>
      <c r="BI52" s="31" t="n">
        <f aca="false">IF($G52="",AX52,Y52)</f>
        <v>0</v>
      </c>
      <c r="BJ52" s="31" t="n">
        <f aca="false">IF(CK52="N",BR52,ROUNDDOWN((I52-L52)*設定!$B$10/1000,0)+ROUNDDOWN((I52-L52)*設定!$B$11/1000,0))</f>
        <v>0</v>
      </c>
      <c r="BK52" s="31" t="n">
        <f aca="false">ROUNDDOWN((I52-L52)*設定!$C$10/1000,0)+ROUNDDOWN((I52-L52)*設定!$C$11/1000,0)+ROUNDDOWN(I52*設定!$C$12/1000,0)+IF(CL52="市局型",ROUNDDOWN(I52*設定!$C$16/1000,0),0)</f>
        <v>0</v>
      </c>
      <c r="BL52" s="31" t="n">
        <f aca="false">IF(CK52="N",BT52,ROUNDDOWN((J52-M52)*設定!$B$13/1000,0))</f>
        <v>0</v>
      </c>
      <c r="BM52" s="31" t="n">
        <f aca="false">ROUNDDOWN((J52-M52)*設定!$C$13/1000,0)+IF(CL52="市局型",ROUNDDOWN(J52*設定!$C$17/1000,0),0)</f>
        <v>0</v>
      </c>
      <c r="BN52" s="31" t="n">
        <f aca="false">IF(CK52="N",BV52,ROUNDDOWN((K52-N52)*設定!$B$14/1000,0))</f>
        <v>0</v>
      </c>
      <c r="BO52" s="31" t="n">
        <f aca="false">ROUNDDOWN((K52-N52)*設定!$C$14/1000,0)</f>
        <v>0</v>
      </c>
      <c r="BP52" s="31" t="n">
        <f aca="false">IF(CK52="N",BX52,ROUNDDOWN((J52-M52)*設定!$B$15/1000,0))</f>
        <v>0</v>
      </c>
      <c r="BQ52" s="31" t="n">
        <f aca="false">ROUNDDOWN((J52-M52)*設定!$C$15/1000,0)</f>
        <v>0</v>
      </c>
      <c r="BR52" s="31" t="n">
        <f aca="false">O52+P52</f>
        <v>0</v>
      </c>
      <c r="BS52" s="31" t="n">
        <f aca="false">T52+U52+V52</f>
        <v>0</v>
      </c>
      <c r="BT52" s="31" t="n">
        <f aca="false">Q52</f>
        <v>98124999</v>
      </c>
      <c r="BU52" s="31" t="n">
        <f aca="false">W52</f>
        <v>0</v>
      </c>
      <c r="BV52" s="31" t="n">
        <f aca="false">R52</f>
        <v>5128891</v>
      </c>
      <c r="BW52" s="31" t="n">
        <f aca="false">X52</f>
        <v>0</v>
      </c>
      <c r="BX52" s="31" t="n">
        <f aca="false">S52</f>
        <v>2174616</v>
      </c>
      <c r="BY52" s="31" t="n">
        <f aca="false">Y52</f>
        <v>0</v>
      </c>
      <c r="BZ52" s="32" t="n">
        <f aca="false">IF(BJ52=0,IF(BR52=0,0,1),(BR52-BJ52)/BJ52)</f>
        <v>0</v>
      </c>
      <c r="CA52" s="32" t="n">
        <f aca="false">IF(BK52=0,IF(BS52=0,0,1),(BS52-BK52)/BK52)</f>
        <v>0</v>
      </c>
      <c r="CB52" s="32" t="n">
        <f aca="false">IF(BL52=0,IF(BT52=0,0,1),(BT52-BL52)/BL52)</f>
        <v>1</v>
      </c>
      <c r="CC52" s="32" t="n">
        <f aca="false">IF(BM52=0,IF(BU52=0,0,1),(BU52-BM52)/BM52)</f>
        <v>0</v>
      </c>
      <c r="CD52" s="32" t="n">
        <f aca="false">IF(BN52=0,IF(BV52=0,0,1),(BV52-BN52)/BN52)</f>
        <v>1</v>
      </c>
      <c r="CE52" s="32" t="n">
        <f aca="false">IF(BO52=0,IF(BW52=0,0,1),(BW52-BO52)/BO52)</f>
        <v>0</v>
      </c>
      <c r="CF52" s="32" t="n">
        <f aca="false">IF(BP52=0,IF(BX52=0,0,1),(BX52-BP52)/BP52)</f>
        <v>1</v>
      </c>
      <c r="CG52" s="32" t="n">
        <f aca="false">IF(BQ52=0,IF(BY52=0,0,1),(BY52-BQ52)/BQ52)</f>
        <v>0</v>
      </c>
      <c r="CH52" s="32" t="n">
        <f aca="false">MAX(MAX(BZ52:CG52),-MIN(BZ52:CG52))</f>
        <v>1</v>
      </c>
      <c r="CI52" s="31" t="str">
        <f aca="false">IF(CO52="","",SUMIFS($CJ$7:$CJ$696,$A$7:$A$696,CO52,$B$7:$B$696,B52))</f>
        <v/>
      </c>
      <c r="CJ52" s="31" t="n">
        <f aca="false">SUM(AY52:BI52)</f>
        <v>105428506</v>
      </c>
      <c r="CK52" s="31" t="str">
        <f aca="false">IFERROR(INDEX(設定!$F$61:$F$106,MATCH(B52,設定!$B$61:$B$106,0)),"Y")</f>
        <v>Y</v>
      </c>
      <c r="CL52" s="31" t="str">
        <f aca="false">IFERROR(INDEX(設定!$G$61:$G$106,MATCH(B52,設定!$B$61:$B$106,0)),"外郭型")</f>
        <v>外郭型</v>
      </c>
      <c r="CM52" s="33" t="str">
        <f aca="false">A52&amp;"|"&amp;B52</f>
        <v>2026-04 月例|任意継続組合員</v>
      </c>
      <c r="CN52" s="34" t="str">
        <f aca="false">IFERROR(INDEX(設定!$D$61:$D$106,MATCH(B52,設定!$B$61:$B$106,0)),"Y")</f>
        <v>N</v>
      </c>
      <c r="CO52" s="34" t="str">
        <f aca="false">IFERROR(INDEX(設定!$D$20:$D$34,MATCH(A52,設定!$A$20:$A$34,0))&amp;"","")</f>
        <v/>
      </c>
    </row>
    <row r="53" customFormat="false" ht="15" hidden="true" customHeight="false" outlineLevel="0" collapsed="false">
      <c r="A53" s="22" t="s">
        <v>215</v>
      </c>
      <c r="B53" s="23" t="s">
        <v>166</v>
      </c>
      <c r="C53" s="10" t="str">
        <f aca="false">IF(G53="","未受領",IF(G53="なし","報告なし",IF(AL53="○","起票済",IF(OR(AK53="○",F53="一致",F53="入金不要"),"入金確認済","受領済"))))</f>
        <v>入金確認済</v>
      </c>
      <c r="D53" s="10" t="str">
        <f aca="false">IF(OR(G53="",G53="なし"),"―",IF(CN53="N","対象外",IF(AND(I53="",J53="",K53=""),"標報未入力",IF(CH53&gt;=設定!$B$4,"要確認","問題なし"))))</f>
        <v>対象外</v>
      </c>
      <c r="E53" s="24" t="str">
        <f aca="false">IF(OR(G53="",G53="なし",CI53="",CJ53=0),"―",IF(CJ53=CI53,"前月同額",IF(CI53=0,"―",IF(ABS(CJ53/CI53-1)&gt;=設定!$B$5,"変動大 "&amp;TEXT(CJ53/CI53-1,"+0%;-0%"),"〇"))))</f>
        <v>〇</v>
      </c>
      <c r="F53" s="10" t="str">
        <f aca="false">IF(OR(G53="",G53="なし"),"―",IF(CJ53=0,"入金不要",IF(COUNT(AD53,AF53,AH53,AJ53)=0,IF(AK53="○","手動確認","未入金"),IF(AND(N(AD53)=AC53,IF(AE53="",TRUE(),N(AF53)=AE53),IF(AG53="",TRUE(),N(AH53)=AG53),IF(AI53="",TRUE(),N(AJ53)=AI53)),"一致","不一致"))))</f>
        <v>手動確認</v>
      </c>
      <c r="G53" s="25" t="s">
        <v>167</v>
      </c>
      <c r="H53" s="26"/>
      <c r="I53" s="27"/>
      <c r="J53" s="27"/>
      <c r="K53" s="27"/>
      <c r="L53" s="27"/>
      <c r="M53" s="27"/>
      <c r="N53" s="27"/>
      <c r="O53" s="27" t="n">
        <v>238475809</v>
      </c>
      <c r="P53" s="27" t="n">
        <v>19550325</v>
      </c>
      <c r="Q53" s="27" t="n">
        <v>172680807</v>
      </c>
      <c r="R53" s="27" t="n">
        <v>15732881</v>
      </c>
      <c r="S53" s="27" t="n">
        <v>3826633</v>
      </c>
      <c r="T53" s="27" t="n">
        <v>341906412</v>
      </c>
      <c r="U53" s="27" t="n">
        <v>19051575</v>
      </c>
      <c r="V53" s="27" t="n">
        <v>229826</v>
      </c>
      <c r="W53" s="27" t="n">
        <v>172045423</v>
      </c>
      <c r="X53" s="27" t="n">
        <v>15312274</v>
      </c>
      <c r="Y53" s="27" t="n">
        <v>3748524</v>
      </c>
      <c r="Z53" s="27"/>
      <c r="AA53" s="10" t="str">
        <f aca="false">IFERROR(INDEX(設定!$E$61:$E$106,MATCH(B53,設定!$B$61:$B$106,0)),"合算")</f>
        <v>合算</v>
      </c>
      <c r="AB53" s="28"/>
      <c r="AC53" s="29" t="n">
        <f aca="false">IF(OR(G53="",G53="なし"),"",IF(AA53="合算",CJ53+N(Z53),IF(AA53="掛金・負担金別",(AY53+AZ53+BD53+BF53+BH53),SUM(AY53:BC53))))</f>
        <v>1002560489</v>
      </c>
      <c r="AD53" s="27"/>
      <c r="AE53" s="29" t="str">
        <f aca="false">IF(OR(G53="",G53="なし"),"",IF(AA53="掛金・負担金別",(BA53+BB53+BC53+BE53+BG53+BI53+N(Z53)),IF(AA53="経理区分別",BD53+BE53,"")))</f>
        <v/>
      </c>
      <c r="AF53" s="27"/>
      <c r="AG53" s="29" t="str">
        <f aca="false">IF(OR(G53="",G53="なし"),"",IF(AA53="経理区分別",BF53+BG53,""))</f>
        <v/>
      </c>
      <c r="AH53" s="27"/>
      <c r="AI53" s="29" t="str">
        <f aca="false">IF(OR(G53="",G53="なし"),"",IF(AA53="経理区分別",BH53+BI53+N(Z53),""))</f>
        <v/>
      </c>
      <c r="AJ53" s="27"/>
      <c r="AK53" s="26" t="s">
        <v>168</v>
      </c>
      <c r="AL53" s="26"/>
      <c r="AM53" s="30"/>
      <c r="AN53" s="31"/>
      <c r="AO53" s="31"/>
      <c r="AP53" s="31"/>
      <c r="AQ53" s="31"/>
      <c r="AR53" s="31"/>
      <c r="AS53" s="31"/>
      <c r="AT53" s="31"/>
      <c r="AU53" s="31"/>
      <c r="AV53" s="31"/>
      <c r="AW53" s="31"/>
      <c r="AX53" s="31"/>
      <c r="AY53" s="31" t="n">
        <f aca="false">IF($G53="",AN53,O53)</f>
        <v>238475809</v>
      </c>
      <c r="AZ53" s="31" t="n">
        <f aca="false">IF($G53="",AO53,P53)</f>
        <v>19550325</v>
      </c>
      <c r="BA53" s="31" t="n">
        <f aca="false">IF($G53="",AP53,T53)</f>
        <v>341906412</v>
      </c>
      <c r="BB53" s="31" t="n">
        <f aca="false">IF($G53="",AQ53,U53)</f>
        <v>19051575</v>
      </c>
      <c r="BC53" s="31" t="n">
        <f aca="false">IF($G53="",AR53,V53)</f>
        <v>229826</v>
      </c>
      <c r="BD53" s="31" t="n">
        <f aca="false">IF($G53="",AS53,Q53)</f>
        <v>172680807</v>
      </c>
      <c r="BE53" s="31" t="n">
        <f aca="false">IF($G53="",AT53,W53)</f>
        <v>172045423</v>
      </c>
      <c r="BF53" s="31" t="n">
        <f aca="false">IF($G53="",AU53,R53)</f>
        <v>15732881</v>
      </c>
      <c r="BG53" s="31" t="n">
        <f aca="false">IF($G53="",AV53,X53)</f>
        <v>15312274</v>
      </c>
      <c r="BH53" s="31" t="n">
        <f aca="false">IF($G53="",AW53,S53)</f>
        <v>3826633</v>
      </c>
      <c r="BI53" s="31" t="n">
        <f aca="false">IF($G53="",AX53,Y53)</f>
        <v>3748524</v>
      </c>
      <c r="BJ53" s="31" t="n">
        <f aca="false">IF(CK53="N",BR53,ROUNDDOWN((I53-L53)*設定!$B$10/1000,0)+ROUNDDOWN((I53-L53)*設定!$B$11/1000,0))</f>
        <v>0</v>
      </c>
      <c r="BK53" s="31" t="n">
        <f aca="false">ROUNDDOWN((I53-L53)*設定!$C$10/1000,0)+ROUNDDOWN((I53-L53)*設定!$C$11/1000,0)+ROUNDDOWN(I53*設定!$C$12/1000,0)+IF(CL53="市局型",ROUNDDOWN(I53*設定!$C$16/1000,0),0)</f>
        <v>0</v>
      </c>
      <c r="BL53" s="31" t="n">
        <f aca="false">IF(CK53="N",BT53,ROUNDDOWN((J53-M53)*設定!$B$13/1000,0))</f>
        <v>0</v>
      </c>
      <c r="BM53" s="31" t="n">
        <f aca="false">ROUNDDOWN((J53-M53)*設定!$C$13/1000,0)+IF(CL53="市局型",ROUNDDOWN(J53*設定!$C$17/1000,0),0)</f>
        <v>0</v>
      </c>
      <c r="BN53" s="31" t="n">
        <f aca="false">IF(CK53="N",BV53,ROUNDDOWN((K53-N53)*設定!$B$14/1000,0))</f>
        <v>0</v>
      </c>
      <c r="BO53" s="31" t="n">
        <f aca="false">ROUNDDOWN((K53-N53)*設定!$C$14/1000,0)</f>
        <v>0</v>
      </c>
      <c r="BP53" s="31" t="n">
        <f aca="false">IF(CK53="N",BX53,ROUNDDOWN((J53-M53)*設定!$B$15/1000,0))</f>
        <v>0</v>
      </c>
      <c r="BQ53" s="31" t="n">
        <f aca="false">ROUNDDOWN((J53-M53)*設定!$C$15/1000,0)</f>
        <v>0</v>
      </c>
      <c r="BR53" s="31" t="n">
        <f aca="false">O53+P53</f>
        <v>258026134</v>
      </c>
      <c r="BS53" s="31" t="n">
        <f aca="false">T53+U53+V53</f>
        <v>361187813</v>
      </c>
      <c r="BT53" s="31" t="n">
        <f aca="false">Q53</f>
        <v>172680807</v>
      </c>
      <c r="BU53" s="31" t="n">
        <f aca="false">W53</f>
        <v>172045423</v>
      </c>
      <c r="BV53" s="31" t="n">
        <f aca="false">R53</f>
        <v>15732881</v>
      </c>
      <c r="BW53" s="31" t="n">
        <f aca="false">X53</f>
        <v>15312274</v>
      </c>
      <c r="BX53" s="31" t="n">
        <f aca="false">S53</f>
        <v>3826633</v>
      </c>
      <c r="BY53" s="31" t="n">
        <f aca="false">Y53</f>
        <v>3748524</v>
      </c>
      <c r="BZ53" s="32" t="n">
        <f aca="false">IF(BJ53=0,IF(BR53=0,0,1),(BR53-BJ53)/BJ53)</f>
        <v>1</v>
      </c>
      <c r="CA53" s="32" t="n">
        <f aca="false">IF(BK53=0,IF(BS53=0,0,1),(BS53-BK53)/BK53)</f>
        <v>1</v>
      </c>
      <c r="CB53" s="32" t="n">
        <f aca="false">IF(BL53=0,IF(BT53=0,0,1),(BT53-BL53)/BL53)</f>
        <v>1</v>
      </c>
      <c r="CC53" s="32" t="n">
        <f aca="false">IF(BM53=0,IF(BU53=0,0,1),(BU53-BM53)/BM53)</f>
        <v>1</v>
      </c>
      <c r="CD53" s="32" t="n">
        <f aca="false">IF(BN53=0,IF(BV53=0,0,1),(BV53-BN53)/BN53)</f>
        <v>1</v>
      </c>
      <c r="CE53" s="32" t="n">
        <f aca="false">IF(BO53=0,IF(BW53=0,0,1),(BW53-BO53)/BO53)</f>
        <v>1</v>
      </c>
      <c r="CF53" s="32" t="n">
        <f aca="false">IF(BP53=0,IF(BX53=0,0,1),(BX53-BP53)/BP53)</f>
        <v>1</v>
      </c>
      <c r="CG53" s="32" t="n">
        <f aca="false">IF(BQ53=0,IF(BY53=0,0,1),(BY53-BQ53)/BQ53)</f>
        <v>1</v>
      </c>
      <c r="CH53" s="32" t="n">
        <f aca="false">MAX(MAX(BZ53:CG53),-MIN(BZ53:CG53))</f>
        <v>1</v>
      </c>
      <c r="CI53" s="31" t="n">
        <f aca="false">IF(CO53="","",SUMIFS($CJ$7:$CJ$696,$A$7:$A$696,CO53,$B$7:$B$696,B53))</f>
        <v>998666978</v>
      </c>
      <c r="CJ53" s="31" t="n">
        <f aca="false">SUM(AY53:BI53)</f>
        <v>1002560489</v>
      </c>
      <c r="CK53" s="31" t="str">
        <f aca="false">IFERROR(INDEX(設定!$F$61:$F$106,MATCH(B53,設定!$B$61:$B$106,0)),"Y")</f>
        <v>Y</v>
      </c>
      <c r="CL53" s="31" t="str">
        <f aca="false">IFERROR(INDEX(設定!$G$61:$G$106,MATCH(B53,設定!$B$61:$B$106,0)),"外郭型")</f>
        <v>市局型</v>
      </c>
      <c r="CM53" s="33" t="str">
        <f aca="false">A53&amp;"|"&amp;B53</f>
        <v>2026-05 月例|市長部局</v>
      </c>
      <c r="CN53" s="34" t="str">
        <f aca="false">IFERROR(INDEX(設定!$D$61:$D$106,MATCH(B53,設定!$B$61:$B$106,0)),"Y")</f>
        <v>N</v>
      </c>
      <c r="CO53" s="34" t="str">
        <f aca="false">IFERROR(INDEX(設定!$D$20:$D$34,MATCH(A53,設定!$A$20:$A$34,0))&amp;"","")</f>
        <v>2026-04 月例</v>
      </c>
    </row>
    <row r="54" customFormat="false" ht="15" hidden="true" customHeight="false" outlineLevel="0" collapsed="false">
      <c r="A54" s="22" t="s">
        <v>215</v>
      </c>
      <c r="B54" s="23" t="s">
        <v>169</v>
      </c>
      <c r="C54" s="10" t="str">
        <f aca="false">IF(G54="","未受領",IF(G54="なし","報告なし",IF(AL54="○","起票済",IF(OR(AK54="○",F54="一致",F54="入金不要"),"入金確認済","受領済"))))</f>
        <v>入金確認済</v>
      </c>
      <c r="D54" s="10" t="str">
        <f aca="false">IF(OR(G54="",G54="なし"),"―",IF(CN54="N","対象外",IF(AND(I54="",J54="",K54=""),"標報未入力",IF(CH54&gt;=設定!$B$4,"要確認","問題なし"))))</f>
        <v>標報未入力</v>
      </c>
      <c r="E54" s="24" t="str">
        <f aca="false">IF(OR(G54="",G54="なし",CI54="",CJ54=0),"―",IF(CJ54=CI54,"前月同額",IF(CI54=0,"―",IF(ABS(CJ54/CI54-1)&gt;=設定!$B$5,"変動大 "&amp;TEXT(CJ54/CI54-1,"+0%;-0%"),"〇"))))</f>
        <v>〇</v>
      </c>
      <c r="F54" s="10" t="str">
        <f aca="false">IF(OR(G54="",G54="なし"),"―",IF(CJ54=0,"入金不要",IF(COUNT(AD54,AF54,AH54,AJ54)=0,IF(AK54="○","手動確認","未入金"),IF(AND(N(AD54)=AC54,IF(AE54="",TRUE(),N(AF54)=AE54),IF(AG54="",TRUE(),N(AH54)=AG54),IF(AI54="",TRUE(),N(AJ54)=AI54)),"一致","不一致"))))</f>
        <v>手動確認</v>
      </c>
      <c r="G54" s="25" t="s">
        <v>167</v>
      </c>
      <c r="H54" s="26"/>
      <c r="I54" s="27"/>
      <c r="J54" s="27"/>
      <c r="K54" s="27"/>
      <c r="L54" s="27"/>
      <c r="M54" s="27"/>
      <c r="N54" s="27"/>
      <c r="O54" s="27" t="n">
        <v>16359285</v>
      </c>
      <c r="P54" s="27" t="n">
        <v>1340925</v>
      </c>
      <c r="Q54" s="27" t="n">
        <v>9601929</v>
      </c>
      <c r="R54" s="27" t="n">
        <v>1024897</v>
      </c>
      <c r="S54" s="27" t="n">
        <v>212850</v>
      </c>
      <c r="T54" s="27" t="n">
        <v>23561370</v>
      </c>
      <c r="U54" s="27" t="n">
        <v>1337175</v>
      </c>
      <c r="V54" s="27" t="n">
        <v>15777</v>
      </c>
      <c r="W54" s="27" t="n">
        <v>9739721</v>
      </c>
      <c r="X54" s="27" t="n">
        <v>1020947</v>
      </c>
      <c r="Y54" s="27" t="n">
        <v>212346</v>
      </c>
      <c r="Z54" s="27"/>
      <c r="AA54" s="10" t="str">
        <f aca="false">IFERROR(INDEX(設定!$E$61:$E$106,MATCH(B54,設定!$B$61:$B$106,0)),"合算")</f>
        <v>合算</v>
      </c>
      <c r="AB54" s="28"/>
      <c r="AC54" s="29" t="n">
        <f aca="false">IF(OR(G54="",G54="なし"),"",IF(AA54="合算",CJ54+N(Z54),IF(AA54="掛金・負担金別",(AY54+AZ54+BD54+BF54+BH54),SUM(AY54:BC54))))</f>
        <v>64427222</v>
      </c>
      <c r="AD54" s="27"/>
      <c r="AE54" s="29" t="str">
        <f aca="false">IF(OR(G54="",G54="なし"),"",IF(AA54="掛金・負担金別",(BA54+BB54+BC54+BE54+BG54+BI54+N(Z54)),IF(AA54="経理区分別",BD54+BE54,"")))</f>
        <v/>
      </c>
      <c r="AF54" s="27"/>
      <c r="AG54" s="29" t="str">
        <f aca="false">IF(OR(G54="",G54="なし"),"",IF(AA54="経理区分別",BF54+BG54,""))</f>
        <v/>
      </c>
      <c r="AH54" s="27"/>
      <c r="AI54" s="29" t="str">
        <f aca="false">IF(OR(G54="",G54="なし"),"",IF(AA54="経理区分別",BH54+BI54+N(Z54),""))</f>
        <v/>
      </c>
      <c r="AJ54" s="27"/>
      <c r="AK54" s="26" t="s">
        <v>168</v>
      </c>
      <c r="AL54" s="26"/>
      <c r="AM54" s="30"/>
      <c r="AN54" s="31"/>
      <c r="AO54" s="31"/>
      <c r="AP54" s="31"/>
      <c r="AQ54" s="31"/>
      <c r="AR54" s="31"/>
      <c r="AS54" s="31"/>
      <c r="AT54" s="31"/>
      <c r="AU54" s="31"/>
      <c r="AV54" s="31"/>
      <c r="AW54" s="31"/>
      <c r="AX54" s="31"/>
      <c r="AY54" s="31" t="n">
        <f aca="false">IF($G54="",AN54,O54)</f>
        <v>16359285</v>
      </c>
      <c r="AZ54" s="31" t="n">
        <f aca="false">IF($G54="",AO54,P54)</f>
        <v>1340925</v>
      </c>
      <c r="BA54" s="31" t="n">
        <f aca="false">IF($G54="",AP54,T54)</f>
        <v>23561370</v>
      </c>
      <c r="BB54" s="31" t="n">
        <f aca="false">IF($G54="",AQ54,U54)</f>
        <v>1337175</v>
      </c>
      <c r="BC54" s="31" t="n">
        <f aca="false">IF($G54="",AR54,V54)</f>
        <v>15777</v>
      </c>
      <c r="BD54" s="31" t="n">
        <f aca="false">IF($G54="",AS54,Q54)</f>
        <v>9601929</v>
      </c>
      <c r="BE54" s="31" t="n">
        <f aca="false">IF($G54="",AT54,W54)</f>
        <v>9739721</v>
      </c>
      <c r="BF54" s="31" t="n">
        <f aca="false">IF($G54="",AU54,R54)</f>
        <v>1024897</v>
      </c>
      <c r="BG54" s="31" t="n">
        <f aca="false">IF($G54="",AV54,X54)</f>
        <v>1020947</v>
      </c>
      <c r="BH54" s="31" t="n">
        <f aca="false">IF($G54="",AW54,S54)</f>
        <v>212850</v>
      </c>
      <c r="BI54" s="31" t="n">
        <f aca="false">IF($G54="",AX54,Y54)</f>
        <v>212346</v>
      </c>
      <c r="BJ54" s="31" t="n">
        <f aca="false">IF(CK54="N",BR54,ROUNDDOWN((I54-L54)*設定!$B$10/1000,0)+ROUNDDOWN((I54-L54)*設定!$B$11/1000,0))</f>
        <v>0</v>
      </c>
      <c r="BK54" s="31" t="n">
        <f aca="false">ROUNDDOWN((I54-L54)*設定!$C$10/1000,0)+ROUNDDOWN((I54-L54)*設定!$C$11/1000,0)+ROUNDDOWN(I54*設定!$C$12/1000,0)+IF(CL54="市局型",ROUNDDOWN(I54*設定!$C$16/1000,0),0)</f>
        <v>0</v>
      </c>
      <c r="BL54" s="31" t="n">
        <f aca="false">IF(CK54="N",BT54,ROUNDDOWN((J54-M54)*設定!$B$13/1000,0))</f>
        <v>0</v>
      </c>
      <c r="BM54" s="31" t="n">
        <f aca="false">ROUNDDOWN((J54-M54)*設定!$C$13/1000,0)+IF(CL54="市局型",ROUNDDOWN(J54*設定!$C$17/1000,0),0)</f>
        <v>0</v>
      </c>
      <c r="BN54" s="31" t="n">
        <f aca="false">IF(CK54="N",BV54,ROUNDDOWN((K54-N54)*設定!$B$14/1000,0))</f>
        <v>0</v>
      </c>
      <c r="BO54" s="31" t="n">
        <f aca="false">ROUNDDOWN((K54-N54)*設定!$C$14/1000,0)</f>
        <v>0</v>
      </c>
      <c r="BP54" s="31" t="n">
        <f aca="false">IF(CK54="N",BX54,ROUNDDOWN((J54-M54)*設定!$B$15/1000,0))</f>
        <v>0</v>
      </c>
      <c r="BQ54" s="31" t="n">
        <f aca="false">ROUNDDOWN((J54-M54)*設定!$C$15/1000,0)</f>
        <v>0</v>
      </c>
      <c r="BR54" s="31" t="n">
        <f aca="false">O54+P54</f>
        <v>17700210</v>
      </c>
      <c r="BS54" s="31" t="n">
        <f aca="false">T54+U54+V54</f>
        <v>24914322</v>
      </c>
      <c r="BT54" s="31" t="n">
        <f aca="false">Q54</f>
        <v>9601929</v>
      </c>
      <c r="BU54" s="31" t="n">
        <f aca="false">W54</f>
        <v>9739721</v>
      </c>
      <c r="BV54" s="31" t="n">
        <f aca="false">R54</f>
        <v>1024897</v>
      </c>
      <c r="BW54" s="31" t="n">
        <f aca="false">X54</f>
        <v>1020947</v>
      </c>
      <c r="BX54" s="31" t="n">
        <f aca="false">S54</f>
        <v>212850</v>
      </c>
      <c r="BY54" s="31" t="n">
        <f aca="false">Y54</f>
        <v>212346</v>
      </c>
      <c r="BZ54" s="32" t="n">
        <f aca="false">IF(BJ54=0,IF(BR54=0,0,1),(BR54-BJ54)/BJ54)</f>
        <v>1</v>
      </c>
      <c r="CA54" s="32" t="n">
        <f aca="false">IF(BK54=0,IF(BS54=0,0,1),(BS54-BK54)/BK54)</f>
        <v>1</v>
      </c>
      <c r="CB54" s="32" t="n">
        <f aca="false">IF(BL54=0,IF(BT54=0,0,1),(BT54-BL54)/BL54)</f>
        <v>1</v>
      </c>
      <c r="CC54" s="32" t="n">
        <f aca="false">IF(BM54=0,IF(BU54=0,0,1),(BU54-BM54)/BM54)</f>
        <v>1</v>
      </c>
      <c r="CD54" s="32" t="n">
        <f aca="false">IF(BN54=0,IF(BV54=0,0,1),(BV54-BN54)/BN54)</f>
        <v>1</v>
      </c>
      <c r="CE54" s="32" t="n">
        <f aca="false">IF(BO54=0,IF(BW54=0,0,1),(BW54-BO54)/BO54)</f>
        <v>1</v>
      </c>
      <c r="CF54" s="32" t="n">
        <f aca="false">IF(BP54=0,IF(BX54=0,0,1),(BX54-BP54)/BP54)</f>
        <v>1</v>
      </c>
      <c r="CG54" s="32" t="n">
        <f aca="false">IF(BQ54=0,IF(BY54=0,0,1),(BY54-BQ54)/BQ54)</f>
        <v>1</v>
      </c>
      <c r="CH54" s="32" t="n">
        <f aca="false">MAX(MAX(BZ54:CG54),-MIN(BZ54:CG54))</f>
        <v>1</v>
      </c>
      <c r="CI54" s="31" t="n">
        <f aca="false">IF(CO54="","",SUMIFS($CJ$7:$CJ$696,$A$7:$A$696,CO54,$B$7:$B$696,B54))</f>
        <v>64799394</v>
      </c>
      <c r="CJ54" s="31" t="n">
        <f aca="false">SUM(AY54:BI54)</f>
        <v>64427222</v>
      </c>
      <c r="CK54" s="31" t="str">
        <f aca="false">IFERROR(INDEX(設定!$F$61:$F$106,MATCH(B54,設定!$B$61:$B$106,0)),"Y")</f>
        <v>Y</v>
      </c>
      <c r="CL54" s="31" t="str">
        <f aca="false">IFERROR(INDEX(設定!$G$61:$G$106,MATCH(B54,設定!$B$61:$B$106,0)),"外郭型")</f>
        <v>市局型</v>
      </c>
      <c r="CM54" s="33" t="str">
        <f aca="false">A54&amp;"|"&amp;B54</f>
        <v>2026-05 月例|下水道局</v>
      </c>
      <c r="CN54" s="34" t="str">
        <f aca="false">IFERROR(INDEX(設定!$D$61:$D$106,MATCH(B54,設定!$B$61:$B$106,0)),"Y")</f>
        <v>Y</v>
      </c>
      <c r="CO54" s="34" t="str">
        <f aca="false">IFERROR(INDEX(設定!$D$20:$D$34,MATCH(A54,設定!$A$20:$A$34,0))&amp;"","")</f>
        <v>2026-04 月例</v>
      </c>
    </row>
    <row r="55" customFormat="false" ht="15" hidden="true" customHeight="false" outlineLevel="0" collapsed="false">
      <c r="A55" s="22" t="s">
        <v>215</v>
      </c>
      <c r="B55" s="23" t="s">
        <v>170</v>
      </c>
      <c r="C55" s="10" t="str">
        <f aca="false">IF(G55="","未受領",IF(G55="なし","報告なし",IF(AL55="○","起票済",IF(OR(AK55="○",F55="一致",F55="入金不要"),"入金確認済","受領済"))))</f>
        <v>入金確認済</v>
      </c>
      <c r="D55" s="10" t="str">
        <f aca="false">IF(OR(G55="",G55="なし"),"―",IF(CN55="N","対象外",IF(AND(I55="",J55="",K55=""),"標報未入力",IF(CH55&gt;=設定!$B$4,"要確認","問題なし"))))</f>
        <v>対象外</v>
      </c>
      <c r="E55" s="24" t="str">
        <f aca="false">IF(OR(G55="",G55="なし",CI55="",CJ55=0),"―",IF(CJ55=CI55,"前月同額",IF(CI55=0,"―",IF(ABS(CJ55/CI55-1)&gt;=設定!$B$5,"変動大 "&amp;TEXT(CJ55/CI55-1,"+0%;-0%"),"〇"))))</f>
        <v>〇</v>
      </c>
      <c r="F55" s="10" t="str">
        <f aca="false">IF(OR(G55="",G55="なし"),"―",IF(CJ55=0,"入金不要",IF(COUNT(AD55,AF55,AH55,AJ55)=0,IF(AK55="○","手動確認","未入金"),IF(AND(N(AD55)=AC55,IF(AE55="",TRUE(),N(AF55)=AE55),IF(AG55="",TRUE(),N(AH55)=AG55),IF(AI55="",TRUE(),N(AJ55)=AI55)),"一致","不一致"))))</f>
        <v>手動確認</v>
      </c>
      <c r="G55" s="25" t="s">
        <v>167</v>
      </c>
      <c r="H55" s="26"/>
      <c r="I55" s="27"/>
      <c r="J55" s="27"/>
      <c r="K55" s="27"/>
      <c r="L55" s="27"/>
      <c r="M55" s="27"/>
      <c r="N55" s="27"/>
      <c r="O55" s="27" t="n">
        <v>55313397</v>
      </c>
      <c r="P55" s="27" t="n">
        <v>4533885</v>
      </c>
      <c r="Q55" s="27" t="n">
        <v>32062535</v>
      </c>
      <c r="R55" s="27" t="n">
        <v>2046682</v>
      </c>
      <c r="S55" s="27" t="n">
        <v>710742</v>
      </c>
      <c r="T55" s="27" t="n">
        <v>79511518</v>
      </c>
      <c r="U55" s="27" t="n">
        <v>4518060</v>
      </c>
      <c r="V55" s="27" t="n">
        <v>52836</v>
      </c>
      <c r="W55" s="27" t="n">
        <v>32497376</v>
      </c>
      <c r="X55" s="27" t="n">
        <v>2033728</v>
      </c>
      <c r="Y55" s="27" t="n">
        <v>708581</v>
      </c>
      <c r="Z55" s="27"/>
      <c r="AA55" s="10" t="str">
        <f aca="false">IFERROR(INDEX(設定!$E$61:$E$106,MATCH(B55,設定!$B$61:$B$106,0)),"合算")</f>
        <v>合算</v>
      </c>
      <c r="AB55" s="28"/>
      <c r="AC55" s="29" t="n">
        <f aca="false">IF(OR(G55="",G55="なし"),"",IF(AA55="合算",CJ55+N(Z55),IF(AA55="掛金・負担金別",(AY55+AZ55+BD55+BF55+BH55),SUM(AY55:BC55))))</f>
        <v>213989340</v>
      </c>
      <c r="AD55" s="27"/>
      <c r="AE55" s="29" t="str">
        <f aca="false">IF(OR(G55="",G55="なし"),"",IF(AA55="掛金・負担金別",(BA55+BB55+BC55+BE55+BG55+BI55+N(Z55)),IF(AA55="経理区分別",BD55+BE55,"")))</f>
        <v/>
      </c>
      <c r="AF55" s="27"/>
      <c r="AG55" s="29" t="str">
        <f aca="false">IF(OR(G55="",G55="なし"),"",IF(AA55="経理区分別",BF55+BG55,""))</f>
        <v/>
      </c>
      <c r="AH55" s="27"/>
      <c r="AI55" s="29" t="str">
        <f aca="false">IF(OR(G55="",G55="なし"),"",IF(AA55="経理区分別",BH55+BI55+N(Z55),""))</f>
        <v/>
      </c>
      <c r="AJ55" s="27"/>
      <c r="AK55" s="26" t="s">
        <v>168</v>
      </c>
      <c r="AL55" s="26"/>
      <c r="AM55" s="30"/>
      <c r="AN55" s="31"/>
      <c r="AO55" s="31"/>
      <c r="AP55" s="31"/>
      <c r="AQ55" s="31"/>
      <c r="AR55" s="31"/>
      <c r="AS55" s="31"/>
      <c r="AT55" s="31"/>
      <c r="AU55" s="31"/>
      <c r="AV55" s="31"/>
      <c r="AW55" s="31"/>
      <c r="AX55" s="31"/>
      <c r="AY55" s="31" t="n">
        <f aca="false">IF($G55="",AN55,O55)</f>
        <v>55313397</v>
      </c>
      <c r="AZ55" s="31" t="n">
        <f aca="false">IF($G55="",AO55,P55)</f>
        <v>4533885</v>
      </c>
      <c r="BA55" s="31" t="n">
        <f aca="false">IF($G55="",AP55,T55)</f>
        <v>79511518</v>
      </c>
      <c r="BB55" s="31" t="n">
        <f aca="false">IF($G55="",AQ55,U55)</f>
        <v>4518060</v>
      </c>
      <c r="BC55" s="31" t="n">
        <f aca="false">IF($G55="",AR55,V55)</f>
        <v>52836</v>
      </c>
      <c r="BD55" s="31" t="n">
        <f aca="false">IF($G55="",AS55,Q55)</f>
        <v>32062535</v>
      </c>
      <c r="BE55" s="31" t="n">
        <f aca="false">IF($G55="",AT55,W55)</f>
        <v>32497376</v>
      </c>
      <c r="BF55" s="31" t="n">
        <f aca="false">IF($G55="",AU55,R55)</f>
        <v>2046682</v>
      </c>
      <c r="BG55" s="31" t="n">
        <f aca="false">IF($G55="",AV55,X55)</f>
        <v>2033728</v>
      </c>
      <c r="BH55" s="31" t="n">
        <f aca="false">IF($G55="",AW55,S55)</f>
        <v>710742</v>
      </c>
      <c r="BI55" s="31" t="n">
        <f aca="false">IF($G55="",AX55,Y55)</f>
        <v>708581</v>
      </c>
      <c r="BJ55" s="31" t="n">
        <f aca="false">IF(CK55="N",BR55,ROUNDDOWN((I55-L55)*設定!$B$10/1000,0)+ROUNDDOWN((I55-L55)*設定!$B$11/1000,0))</f>
        <v>0</v>
      </c>
      <c r="BK55" s="31" t="n">
        <f aca="false">ROUNDDOWN((I55-L55)*設定!$C$10/1000,0)+ROUNDDOWN((I55-L55)*設定!$C$11/1000,0)+ROUNDDOWN(I55*設定!$C$12/1000,0)+IF(CL55="市局型",ROUNDDOWN(I55*設定!$C$16/1000,0),0)</f>
        <v>0</v>
      </c>
      <c r="BL55" s="31" t="n">
        <f aca="false">IF(CK55="N",BT55,ROUNDDOWN((J55-M55)*設定!$B$13/1000,0))</f>
        <v>0</v>
      </c>
      <c r="BM55" s="31" t="n">
        <f aca="false">ROUNDDOWN((J55-M55)*設定!$C$13/1000,0)+IF(CL55="市局型",ROUNDDOWN(J55*設定!$C$17/1000,0),0)</f>
        <v>0</v>
      </c>
      <c r="BN55" s="31" t="n">
        <f aca="false">IF(CK55="N",BV55,ROUNDDOWN((K55-N55)*設定!$B$14/1000,0))</f>
        <v>0</v>
      </c>
      <c r="BO55" s="31" t="n">
        <f aca="false">ROUNDDOWN((K55-N55)*設定!$C$14/1000,0)</f>
        <v>0</v>
      </c>
      <c r="BP55" s="31" t="n">
        <f aca="false">IF(CK55="N",BX55,ROUNDDOWN((J55-M55)*設定!$B$15/1000,0))</f>
        <v>0</v>
      </c>
      <c r="BQ55" s="31" t="n">
        <f aca="false">ROUNDDOWN((J55-M55)*設定!$C$15/1000,0)</f>
        <v>0</v>
      </c>
      <c r="BR55" s="31" t="n">
        <f aca="false">O55+P55</f>
        <v>59847282</v>
      </c>
      <c r="BS55" s="31" t="n">
        <f aca="false">T55+U55+V55</f>
        <v>84082414</v>
      </c>
      <c r="BT55" s="31" t="n">
        <f aca="false">Q55</f>
        <v>32062535</v>
      </c>
      <c r="BU55" s="31" t="n">
        <f aca="false">W55</f>
        <v>32497376</v>
      </c>
      <c r="BV55" s="31" t="n">
        <f aca="false">R55</f>
        <v>2046682</v>
      </c>
      <c r="BW55" s="31" t="n">
        <f aca="false">X55</f>
        <v>2033728</v>
      </c>
      <c r="BX55" s="31" t="n">
        <f aca="false">S55</f>
        <v>710742</v>
      </c>
      <c r="BY55" s="31" t="n">
        <f aca="false">Y55</f>
        <v>708581</v>
      </c>
      <c r="BZ55" s="32" t="n">
        <f aca="false">IF(BJ55=0,IF(BR55=0,0,1),(BR55-BJ55)/BJ55)</f>
        <v>1</v>
      </c>
      <c r="CA55" s="32" t="n">
        <f aca="false">IF(BK55=0,IF(BS55=0,0,1),(BS55-BK55)/BK55)</f>
        <v>1</v>
      </c>
      <c r="CB55" s="32" t="n">
        <f aca="false">IF(BL55=0,IF(BT55=0,0,1),(BT55-BL55)/BL55)</f>
        <v>1</v>
      </c>
      <c r="CC55" s="32" t="n">
        <f aca="false">IF(BM55=0,IF(BU55=0,0,1),(BU55-BM55)/BM55)</f>
        <v>1</v>
      </c>
      <c r="CD55" s="32" t="n">
        <f aca="false">IF(BN55=0,IF(BV55=0,0,1),(BV55-BN55)/BN55)</f>
        <v>1</v>
      </c>
      <c r="CE55" s="32" t="n">
        <f aca="false">IF(BO55=0,IF(BW55=0,0,1),(BW55-BO55)/BO55)</f>
        <v>1</v>
      </c>
      <c r="CF55" s="32" t="n">
        <f aca="false">IF(BP55=0,IF(BX55=0,0,1),(BX55-BP55)/BP55)</f>
        <v>1</v>
      </c>
      <c r="CG55" s="32" t="n">
        <f aca="false">IF(BQ55=0,IF(BY55=0,0,1),(BY55-BQ55)/BQ55)</f>
        <v>1</v>
      </c>
      <c r="CH55" s="32" t="n">
        <f aca="false">MAX(MAX(BZ55:CG55),-MIN(BZ55:CG55))</f>
        <v>1</v>
      </c>
      <c r="CI55" s="31" t="n">
        <f aca="false">IF(CO55="","",SUMIFS($CJ$7:$CJ$696,$A$7:$A$696,CO55,$B$7:$B$696,B55))</f>
        <v>213417635</v>
      </c>
      <c r="CJ55" s="31" t="n">
        <f aca="false">SUM(AY55:BI55)</f>
        <v>213989340</v>
      </c>
      <c r="CK55" s="31" t="str">
        <f aca="false">IFERROR(INDEX(設定!$F$61:$F$106,MATCH(B55,設定!$B$61:$B$106,0)),"Y")</f>
        <v>Y</v>
      </c>
      <c r="CL55" s="31" t="str">
        <f aca="false">IFERROR(INDEX(設定!$G$61:$G$106,MATCH(B55,設定!$B$61:$B$106,0)),"外郭型")</f>
        <v>市局型</v>
      </c>
      <c r="CM55" s="33" t="str">
        <f aca="false">A55&amp;"|"&amp;B55</f>
        <v>2026-05 月例|消防局</v>
      </c>
      <c r="CN55" s="34" t="str">
        <f aca="false">IFERROR(INDEX(設定!$D$61:$D$106,MATCH(B55,設定!$B$61:$B$106,0)),"Y")</f>
        <v>N</v>
      </c>
      <c r="CO55" s="34" t="str">
        <f aca="false">IFERROR(INDEX(設定!$D$20:$D$34,MATCH(A55,設定!$A$20:$A$34,0))&amp;"","")</f>
        <v>2026-04 月例</v>
      </c>
    </row>
    <row r="56" customFormat="false" ht="15" hidden="true" customHeight="false" outlineLevel="0" collapsed="false">
      <c r="A56" s="22" t="s">
        <v>215</v>
      </c>
      <c r="B56" s="23" t="s">
        <v>171</v>
      </c>
      <c r="C56" s="10" t="str">
        <f aca="false">IF(G56="","未受領",IF(G56="なし","報告なし",IF(AL56="○","起票済",IF(OR(AK56="○",F56="一致",F56="入金不要"),"入金確認済","受領済"))))</f>
        <v>入金確認済</v>
      </c>
      <c r="D56" s="10" t="str">
        <f aca="false">IF(OR(G56="",G56="なし"),"―",IF(CN56="N","対象外",IF(AND(I56="",J56="",K56=""),"標報未入力",IF(CH56&gt;=設定!$B$4,"要確認","問題なし"))))</f>
        <v>標報未入力</v>
      </c>
      <c r="E56" s="24" t="str">
        <f aca="false">IF(OR(G56="",G56="なし",CI56="",CJ56=0),"―",IF(CJ56=CI56,"前月同額",IF(CI56=0,"―",IF(ABS(CJ56/CI56-1)&gt;=設定!$B$5,"変動大 "&amp;TEXT(CJ56/CI56-1,"+0%;-0%"),"〇"))))</f>
        <v>〇</v>
      </c>
      <c r="F56" s="10" t="str">
        <f aca="false">IF(OR(G56="",G56="なし"),"―",IF(CJ56=0,"入金不要",IF(COUNT(AD56,AF56,AH56,AJ56)=0,IF(AK56="○","手動確認","未入金"),IF(AND(N(AD56)=AC56,IF(AE56="",TRUE(),N(AF56)=AE56),IF(AG56="",TRUE(),N(AH56)=AG56),IF(AI56="",TRUE(),N(AJ56)=AI56)),"一致","不一致"))))</f>
        <v>手動確認</v>
      </c>
      <c r="G56" s="25" t="s">
        <v>167</v>
      </c>
      <c r="H56" s="26"/>
      <c r="I56" s="27"/>
      <c r="J56" s="27"/>
      <c r="K56" s="27"/>
      <c r="L56" s="27"/>
      <c r="M56" s="27"/>
      <c r="N56" s="27"/>
      <c r="O56" s="27" t="n">
        <v>1810785</v>
      </c>
      <c r="P56" s="27" t="n">
        <v>148425</v>
      </c>
      <c r="Q56" s="27" t="n">
        <v>1048696</v>
      </c>
      <c r="R56" s="27" t="n">
        <v>101925</v>
      </c>
      <c r="S56" s="27" t="n">
        <v>23247</v>
      </c>
      <c r="T56" s="27" t="n">
        <v>2609982</v>
      </c>
      <c r="U56" s="27" t="n">
        <v>148425</v>
      </c>
      <c r="V56" s="27" t="n">
        <v>1740</v>
      </c>
      <c r="W56" s="27" t="n">
        <v>1066514</v>
      </c>
      <c r="X56" s="27" t="n">
        <v>101925</v>
      </c>
      <c r="Y56" s="27" t="n">
        <v>23255</v>
      </c>
      <c r="Z56" s="27"/>
      <c r="AA56" s="10" t="str">
        <f aca="false">IFERROR(INDEX(設定!$E$61:$E$106,MATCH(B56,設定!$B$61:$B$106,0)),"合算")</f>
        <v>合算</v>
      </c>
      <c r="AB56" s="28"/>
      <c r="AC56" s="29" t="n">
        <f aca="false">IF(OR(G56="",G56="なし"),"",IF(AA56="合算",CJ56+N(Z56),IF(AA56="掛金・負担金別",(AY56+AZ56+BD56+BF56+BH56),SUM(AY56:BC56))))</f>
        <v>7084919</v>
      </c>
      <c r="AD56" s="27"/>
      <c r="AE56" s="29" t="str">
        <f aca="false">IF(OR(G56="",G56="なし"),"",IF(AA56="掛金・負担金別",(BA56+BB56+BC56+BE56+BG56+BI56+N(Z56)),IF(AA56="経理区分別",BD56+BE56,"")))</f>
        <v/>
      </c>
      <c r="AF56" s="27"/>
      <c r="AG56" s="29" t="str">
        <f aca="false">IF(OR(G56="",G56="なし"),"",IF(AA56="経理区分別",BF56+BG56,""))</f>
        <v/>
      </c>
      <c r="AH56" s="27"/>
      <c r="AI56" s="29" t="str">
        <f aca="false">IF(OR(G56="",G56="なし"),"",IF(AA56="経理区分別",BH56+BI56+N(Z56),""))</f>
        <v/>
      </c>
      <c r="AJ56" s="27"/>
      <c r="AK56" s="26" t="s">
        <v>168</v>
      </c>
      <c r="AL56" s="26"/>
      <c r="AM56" s="30"/>
      <c r="AN56" s="31"/>
      <c r="AO56" s="31"/>
      <c r="AP56" s="31"/>
      <c r="AQ56" s="31"/>
      <c r="AR56" s="31"/>
      <c r="AS56" s="31"/>
      <c r="AT56" s="31"/>
      <c r="AU56" s="31"/>
      <c r="AV56" s="31"/>
      <c r="AW56" s="31"/>
      <c r="AX56" s="31"/>
      <c r="AY56" s="31" t="n">
        <f aca="false">IF($G56="",AN56,O56)</f>
        <v>1810785</v>
      </c>
      <c r="AZ56" s="31" t="n">
        <f aca="false">IF($G56="",AO56,P56)</f>
        <v>148425</v>
      </c>
      <c r="BA56" s="31" t="n">
        <f aca="false">IF($G56="",AP56,T56)</f>
        <v>2609982</v>
      </c>
      <c r="BB56" s="31" t="n">
        <f aca="false">IF($G56="",AQ56,U56)</f>
        <v>148425</v>
      </c>
      <c r="BC56" s="31" t="n">
        <f aca="false">IF($G56="",AR56,V56)</f>
        <v>1740</v>
      </c>
      <c r="BD56" s="31" t="n">
        <f aca="false">IF($G56="",AS56,Q56)</f>
        <v>1048696</v>
      </c>
      <c r="BE56" s="31" t="n">
        <f aca="false">IF($G56="",AT56,W56)</f>
        <v>1066514</v>
      </c>
      <c r="BF56" s="31" t="n">
        <f aca="false">IF($G56="",AU56,R56)</f>
        <v>101925</v>
      </c>
      <c r="BG56" s="31" t="n">
        <f aca="false">IF($G56="",AV56,X56)</f>
        <v>101925</v>
      </c>
      <c r="BH56" s="31" t="n">
        <f aca="false">IF($G56="",AW56,S56)</f>
        <v>23247</v>
      </c>
      <c r="BI56" s="31" t="n">
        <f aca="false">IF($G56="",AX56,Y56)</f>
        <v>23255</v>
      </c>
      <c r="BJ56" s="31" t="n">
        <f aca="false">IF(CK56="N",BR56,ROUNDDOWN((I56-L56)*設定!$B$10/1000,0)+ROUNDDOWN((I56-L56)*設定!$B$11/1000,0))</f>
        <v>0</v>
      </c>
      <c r="BK56" s="31" t="n">
        <f aca="false">ROUNDDOWN((I56-L56)*設定!$C$10/1000,0)+ROUNDDOWN((I56-L56)*設定!$C$11/1000,0)+ROUNDDOWN(I56*設定!$C$12/1000,0)+IF(CL56="市局型",ROUNDDOWN(I56*設定!$C$16/1000,0),0)</f>
        <v>0</v>
      </c>
      <c r="BL56" s="31" t="n">
        <f aca="false">IF(CK56="N",BT56,ROUNDDOWN((J56-M56)*設定!$B$13/1000,0))</f>
        <v>0</v>
      </c>
      <c r="BM56" s="31" t="n">
        <f aca="false">ROUNDDOWN((J56-M56)*設定!$C$13/1000,0)+IF(CL56="市局型",ROUNDDOWN(J56*設定!$C$17/1000,0),0)</f>
        <v>0</v>
      </c>
      <c r="BN56" s="31" t="n">
        <f aca="false">IF(CK56="N",BV56,ROUNDDOWN((K56-N56)*設定!$B$14/1000,0))</f>
        <v>0</v>
      </c>
      <c r="BO56" s="31" t="n">
        <f aca="false">ROUNDDOWN((K56-N56)*設定!$C$14/1000,0)</f>
        <v>0</v>
      </c>
      <c r="BP56" s="31" t="n">
        <f aca="false">IF(CK56="N",BX56,ROUNDDOWN((J56-M56)*設定!$B$15/1000,0))</f>
        <v>0</v>
      </c>
      <c r="BQ56" s="31" t="n">
        <f aca="false">ROUNDDOWN((J56-M56)*設定!$C$15/1000,0)</f>
        <v>0</v>
      </c>
      <c r="BR56" s="31" t="n">
        <f aca="false">O56+P56</f>
        <v>1959210</v>
      </c>
      <c r="BS56" s="31" t="n">
        <f aca="false">T56+U56+V56</f>
        <v>2760147</v>
      </c>
      <c r="BT56" s="31" t="n">
        <f aca="false">Q56</f>
        <v>1048696</v>
      </c>
      <c r="BU56" s="31" t="n">
        <f aca="false">W56</f>
        <v>1066514</v>
      </c>
      <c r="BV56" s="31" t="n">
        <f aca="false">R56</f>
        <v>101925</v>
      </c>
      <c r="BW56" s="31" t="n">
        <f aca="false">X56</f>
        <v>101925</v>
      </c>
      <c r="BX56" s="31" t="n">
        <f aca="false">S56</f>
        <v>23247</v>
      </c>
      <c r="BY56" s="31" t="n">
        <f aca="false">Y56</f>
        <v>23255</v>
      </c>
      <c r="BZ56" s="32" t="n">
        <f aca="false">IF(BJ56=0,IF(BR56=0,0,1),(BR56-BJ56)/BJ56)</f>
        <v>1</v>
      </c>
      <c r="CA56" s="32" t="n">
        <f aca="false">IF(BK56=0,IF(BS56=0,0,1),(BS56-BK56)/BK56)</f>
        <v>1</v>
      </c>
      <c r="CB56" s="32" t="n">
        <f aca="false">IF(BL56=0,IF(BT56=0,0,1),(BT56-BL56)/BL56)</f>
        <v>1</v>
      </c>
      <c r="CC56" s="32" t="n">
        <f aca="false">IF(BM56=0,IF(BU56=0,0,1),(BU56-BM56)/BM56)</f>
        <v>1</v>
      </c>
      <c r="CD56" s="32" t="n">
        <f aca="false">IF(BN56=0,IF(BV56=0,0,1),(BV56-BN56)/BN56)</f>
        <v>1</v>
      </c>
      <c r="CE56" s="32" t="n">
        <f aca="false">IF(BO56=0,IF(BW56=0,0,1),(BW56-BO56)/BO56)</f>
        <v>1</v>
      </c>
      <c r="CF56" s="32" t="n">
        <f aca="false">IF(BP56=0,IF(BX56=0,0,1),(BX56-BP56)/BP56)</f>
        <v>1</v>
      </c>
      <c r="CG56" s="32" t="n">
        <f aca="false">IF(BQ56=0,IF(BY56=0,0,1),(BY56-BQ56)/BQ56)</f>
        <v>1</v>
      </c>
      <c r="CH56" s="32" t="n">
        <f aca="false">MAX(MAX(BZ56:CG56),-MIN(BZ56:CG56))</f>
        <v>1</v>
      </c>
      <c r="CI56" s="31" t="n">
        <f aca="false">IF(CO56="","",SUMIFS($CJ$7:$CJ$696,$A$7:$A$696,CO56,$B$7:$B$696,B56))</f>
        <v>7101212</v>
      </c>
      <c r="CJ56" s="31" t="n">
        <f aca="false">SUM(AY56:BI56)</f>
        <v>7084919</v>
      </c>
      <c r="CK56" s="31" t="str">
        <f aca="false">IFERROR(INDEX(設定!$F$61:$F$106,MATCH(B56,設定!$B$61:$B$106,0)),"Y")</f>
        <v>Y</v>
      </c>
      <c r="CL56" s="31" t="str">
        <f aca="false">IFERROR(INDEX(設定!$G$61:$G$106,MATCH(B56,設定!$B$61:$B$106,0)),"外郭型")</f>
        <v>市局型</v>
      </c>
      <c r="CM56" s="33" t="str">
        <f aca="false">A56&amp;"|"&amp;B56</f>
        <v>2026-05 月例|議会事務局</v>
      </c>
      <c r="CN56" s="34" t="str">
        <f aca="false">IFERROR(INDEX(設定!$D$61:$D$106,MATCH(B56,設定!$B$61:$B$106,0)),"Y")</f>
        <v>Y</v>
      </c>
      <c r="CO56" s="34" t="str">
        <f aca="false">IFERROR(INDEX(設定!$D$20:$D$34,MATCH(A56,設定!$A$20:$A$34,0))&amp;"","")</f>
        <v>2026-04 月例</v>
      </c>
    </row>
    <row r="57" customFormat="false" ht="15" hidden="true" customHeight="false" outlineLevel="0" collapsed="false">
      <c r="A57" s="22" t="s">
        <v>215</v>
      </c>
      <c r="B57" s="23" t="s">
        <v>172</v>
      </c>
      <c r="C57" s="10" t="str">
        <f aca="false">IF(G57="","未受領",IF(G57="なし","報告なし",IF(AL57="○","起票済",IF(OR(AK57="○",F57="一致",F57="入金不要"),"入金確認済","受領済"))))</f>
        <v>入金確認済</v>
      </c>
      <c r="D57" s="10" t="str">
        <f aca="false">IF(OR(G57="",G57="なし"),"―",IF(CN57="N","対象外",IF(AND(I57="",J57="",K57=""),"標報未入力",IF(CH57&gt;=設定!$B$4,"要確認","問題なし"))))</f>
        <v>対象外</v>
      </c>
      <c r="E57" s="24" t="str">
        <f aca="false">IF(OR(G57="",G57="なし",CI57="",CJ57=0),"―",IF(CJ57=CI57,"前月同額",IF(CI57=0,"―",IF(ABS(CJ57/CI57-1)&gt;=設定!$B$5,"変動大 "&amp;TEXT(CJ57/CI57-1,"+0%;-0%"),"〇"))))</f>
        <v>〇</v>
      </c>
      <c r="F57" s="10" t="str">
        <f aca="false">IF(OR(G57="",G57="なし"),"―",IF(CJ57=0,"入金不要",IF(COUNT(AD57,AF57,AH57,AJ57)=0,IF(AK57="○","手動確認","未入金"),IF(AND(N(AD57)=AC57,IF(AE57="",TRUE(),N(AF57)=AE57),IF(AG57="",TRUE(),N(AH57)=AG57),IF(AI57="",TRUE(),N(AJ57)=AI57)),"一致","不一致"))))</f>
        <v>手動確認</v>
      </c>
      <c r="G57" s="25" t="s">
        <v>167</v>
      </c>
      <c r="H57" s="26"/>
      <c r="I57" s="27"/>
      <c r="J57" s="27"/>
      <c r="K57" s="27"/>
      <c r="L57" s="27"/>
      <c r="M57" s="27"/>
      <c r="N57" s="27"/>
      <c r="O57" s="27" t="n">
        <v>23673063</v>
      </c>
      <c r="P57" s="27" t="n">
        <v>1940415</v>
      </c>
      <c r="Q57" s="27" t="n">
        <v>23500578</v>
      </c>
      <c r="R57" s="27" t="n">
        <v>2734336</v>
      </c>
      <c r="S57" s="27" t="n">
        <v>519699</v>
      </c>
      <c r="T57" s="27" t="n">
        <v>34108975</v>
      </c>
      <c r="U57" s="27" t="n">
        <v>1940415</v>
      </c>
      <c r="V57" s="27" t="n">
        <v>22724</v>
      </c>
      <c r="W57" s="27" t="n">
        <v>23962291</v>
      </c>
      <c r="X57" s="27" t="n">
        <v>2743806</v>
      </c>
      <c r="Y57" s="27" t="n">
        <v>521587</v>
      </c>
      <c r="Z57" s="27"/>
      <c r="AA57" s="10" t="str">
        <f aca="false">IFERROR(INDEX(設定!$E$61:$E$106,MATCH(B57,設定!$B$61:$B$106,0)),"合算")</f>
        <v>合算</v>
      </c>
      <c r="AB57" s="28"/>
      <c r="AC57" s="29" t="n">
        <f aca="false">IF(OR(G57="",G57="なし"),"",IF(AA57="合算",CJ57+N(Z57),IF(AA57="掛金・負担金別",(AY57+AZ57+BD57+BF57+BH57),SUM(AY57:BC57))))</f>
        <v>115667889</v>
      </c>
      <c r="AD57" s="27"/>
      <c r="AE57" s="29" t="str">
        <f aca="false">IF(OR(G57="",G57="なし"),"",IF(AA57="掛金・負担金別",(BA57+BB57+BC57+BE57+BG57+BI57+N(Z57)),IF(AA57="経理区分別",BD57+BE57,"")))</f>
        <v/>
      </c>
      <c r="AF57" s="27"/>
      <c r="AG57" s="29" t="str">
        <f aca="false">IF(OR(G57="",G57="なし"),"",IF(AA57="経理区分別",BF57+BG57,""))</f>
        <v/>
      </c>
      <c r="AH57" s="27"/>
      <c r="AI57" s="29" t="str">
        <f aca="false">IF(OR(G57="",G57="なし"),"",IF(AA57="経理区分別",BH57+BI57+N(Z57),""))</f>
        <v/>
      </c>
      <c r="AJ57" s="27"/>
      <c r="AK57" s="26" t="s">
        <v>168</v>
      </c>
      <c r="AL57" s="26"/>
      <c r="AM57" s="30"/>
      <c r="AN57" s="31"/>
      <c r="AO57" s="31"/>
      <c r="AP57" s="31"/>
      <c r="AQ57" s="31"/>
      <c r="AR57" s="31"/>
      <c r="AS57" s="31"/>
      <c r="AT57" s="31"/>
      <c r="AU57" s="31"/>
      <c r="AV57" s="31"/>
      <c r="AW57" s="31"/>
      <c r="AX57" s="31"/>
      <c r="AY57" s="31" t="n">
        <f aca="false">IF($G57="",AN57,O57)</f>
        <v>23673063</v>
      </c>
      <c r="AZ57" s="31" t="n">
        <f aca="false">IF($G57="",AO57,P57)</f>
        <v>1940415</v>
      </c>
      <c r="BA57" s="31" t="n">
        <f aca="false">IF($G57="",AP57,T57)</f>
        <v>34108975</v>
      </c>
      <c r="BB57" s="31" t="n">
        <f aca="false">IF($G57="",AQ57,U57)</f>
        <v>1940415</v>
      </c>
      <c r="BC57" s="31" t="n">
        <f aca="false">IF($G57="",AR57,V57)</f>
        <v>22724</v>
      </c>
      <c r="BD57" s="31" t="n">
        <f aca="false">IF($G57="",AS57,Q57)</f>
        <v>23500578</v>
      </c>
      <c r="BE57" s="31" t="n">
        <f aca="false">IF($G57="",AT57,W57)</f>
        <v>23962291</v>
      </c>
      <c r="BF57" s="31" t="n">
        <f aca="false">IF($G57="",AU57,R57)</f>
        <v>2734336</v>
      </c>
      <c r="BG57" s="31" t="n">
        <f aca="false">IF($G57="",AV57,X57)</f>
        <v>2743806</v>
      </c>
      <c r="BH57" s="31" t="n">
        <f aca="false">IF($G57="",AW57,S57)</f>
        <v>519699</v>
      </c>
      <c r="BI57" s="31" t="n">
        <f aca="false">IF($G57="",AX57,Y57)</f>
        <v>521587</v>
      </c>
      <c r="BJ57" s="31" t="n">
        <f aca="false">IF(CK57="N",BR57,ROUNDDOWN((I57-L57)*設定!$B$10/1000,0)+ROUNDDOWN((I57-L57)*設定!$B$11/1000,0))</f>
        <v>0</v>
      </c>
      <c r="BK57" s="31" t="n">
        <f aca="false">ROUNDDOWN((I57-L57)*設定!$C$10/1000,0)+ROUNDDOWN((I57-L57)*設定!$C$11/1000,0)+ROUNDDOWN(I57*設定!$C$12/1000,0)+IF(CL57="市局型",ROUNDDOWN(I57*設定!$C$16/1000,0),0)</f>
        <v>0</v>
      </c>
      <c r="BL57" s="31" t="n">
        <f aca="false">IF(CK57="N",BT57,ROUNDDOWN((J57-M57)*設定!$B$13/1000,0))</f>
        <v>0</v>
      </c>
      <c r="BM57" s="31" t="n">
        <f aca="false">ROUNDDOWN((J57-M57)*設定!$C$13/1000,0)+IF(CL57="市局型",ROUNDDOWN(J57*設定!$C$17/1000,0),0)</f>
        <v>0</v>
      </c>
      <c r="BN57" s="31" t="n">
        <f aca="false">IF(CK57="N",BV57,ROUNDDOWN((K57-N57)*設定!$B$14/1000,0))</f>
        <v>0</v>
      </c>
      <c r="BO57" s="31" t="n">
        <f aca="false">ROUNDDOWN((K57-N57)*設定!$C$14/1000,0)</f>
        <v>0</v>
      </c>
      <c r="BP57" s="31" t="n">
        <f aca="false">IF(CK57="N",BX57,ROUNDDOWN((J57-M57)*設定!$B$15/1000,0))</f>
        <v>0</v>
      </c>
      <c r="BQ57" s="31" t="n">
        <f aca="false">ROUNDDOWN((J57-M57)*設定!$C$15/1000,0)</f>
        <v>0</v>
      </c>
      <c r="BR57" s="31" t="n">
        <f aca="false">O57+P57</f>
        <v>25613478</v>
      </c>
      <c r="BS57" s="31" t="n">
        <f aca="false">T57+U57+V57</f>
        <v>36072114</v>
      </c>
      <c r="BT57" s="31" t="n">
        <f aca="false">Q57</f>
        <v>23500578</v>
      </c>
      <c r="BU57" s="31" t="n">
        <f aca="false">W57</f>
        <v>23962291</v>
      </c>
      <c r="BV57" s="31" t="n">
        <f aca="false">R57</f>
        <v>2734336</v>
      </c>
      <c r="BW57" s="31" t="n">
        <f aca="false">X57</f>
        <v>2743806</v>
      </c>
      <c r="BX57" s="31" t="n">
        <f aca="false">S57</f>
        <v>519699</v>
      </c>
      <c r="BY57" s="31" t="n">
        <f aca="false">Y57</f>
        <v>521587</v>
      </c>
      <c r="BZ57" s="32" t="n">
        <f aca="false">IF(BJ57=0,IF(BR57=0,0,1),(BR57-BJ57)/BJ57)</f>
        <v>1</v>
      </c>
      <c r="CA57" s="32" t="n">
        <f aca="false">IF(BK57=0,IF(BS57=0,0,1),(BS57-BK57)/BK57)</f>
        <v>1</v>
      </c>
      <c r="CB57" s="32" t="n">
        <f aca="false">IF(BL57=0,IF(BT57=0,0,1),(BT57-BL57)/BL57)</f>
        <v>1</v>
      </c>
      <c r="CC57" s="32" t="n">
        <f aca="false">IF(BM57=0,IF(BU57=0,0,1),(BU57-BM57)/BM57)</f>
        <v>1</v>
      </c>
      <c r="CD57" s="32" t="n">
        <f aca="false">IF(BN57=0,IF(BV57=0,0,1),(BV57-BN57)/BN57)</f>
        <v>1</v>
      </c>
      <c r="CE57" s="32" t="n">
        <f aca="false">IF(BO57=0,IF(BW57=0,0,1),(BW57-BO57)/BO57)</f>
        <v>1</v>
      </c>
      <c r="CF57" s="32" t="n">
        <f aca="false">IF(BP57=0,IF(BX57=0,0,1),(BX57-BP57)/BP57)</f>
        <v>1</v>
      </c>
      <c r="CG57" s="32" t="n">
        <f aca="false">IF(BQ57=0,IF(BY57=0,0,1),(BY57-BQ57)/BQ57)</f>
        <v>1</v>
      </c>
      <c r="CH57" s="32" t="n">
        <f aca="false">MAX(MAX(BZ57:CG57),-MIN(BZ57:CG57))</f>
        <v>1</v>
      </c>
      <c r="CI57" s="31" t="n">
        <f aca="false">IF(CO57="","",SUMIFS($CJ$7:$CJ$696,$A$7:$A$696,CO57,$B$7:$B$696,B57))</f>
        <v>114359817</v>
      </c>
      <c r="CJ57" s="31" t="n">
        <f aca="false">SUM(AY57:BI57)</f>
        <v>115667889</v>
      </c>
      <c r="CK57" s="31" t="str">
        <f aca="false">IFERROR(INDEX(設定!$F$61:$F$106,MATCH(B57,設定!$B$61:$B$106,0)),"Y")</f>
        <v>Y</v>
      </c>
      <c r="CL57" s="31" t="str">
        <f aca="false">IFERROR(INDEX(設定!$G$61:$G$106,MATCH(B57,設定!$B$61:$B$106,0)),"外郭型")</f>
        <v>市局型</v>
      </c>
      <c r="CM57" s="33" t="str">
        <f aca="false">A57&amp;"|"&amp;B57</f>
        <v>2026-05 月例|教育委員会（総務課）</v>
      </c>
      <c r="CN57" s="34" t="str">
        <f aca="false">IFERROR(INDEX(設定!$D$61:$D$106,MATCH(B57,設定!$B$61:$B$106,0)),"Y")</f>
        <v>N</v>
      </c>
      <c r="CO57" s="34" t="str">
        <f aca="false">IFERROR(INDEX(設定!$D$20:$D$34,MATCH(A57,設定!$A$20:$A$34,0))&amp;"","")</f>
        <v>2026-04 月例</v>
      </c>
    </row>
    <row r="58" customFormat="false" ht="15" hidden="true" customHeight="false" outlineLevel="0" collapsed="false">
      <c r="A58" s="22" t="s">
        <v>215</v>
      </c>
      <c r="B58" s="23" t="s">
        <v>173</v>
      </c>
      <c r="C58" s="10" t="str">
        <f aca="false">IF(G58="","未受領",IF(G58="なし","報告なし",IF(AL58="○","起票済",IF(OR(AK58="○",F58="一致",F58="入金不要"),"入金確認済","受領済"))))</f>
        <v>入金確認済</v>
      </c>
      <c r="D58" s="10" t="str">
        <f aca="false">IF(OR(G58="",G58="なし"),"―",IF(CN58="N","対象外",IF(AND(I58="",J58="",K58=""),"標報未入力",IF(CH58&gt;=設定!$B$4,"要確認","問題なし"))))</f>
        <v>標報未入力</v>
      </c>
      <c r="E58" s="24" t="str">
        <f aca="false">IF(OR(G58="",G58="なし",CI58="",CJ58=0),"―",IF(CJ58=CI58,"前月同額",IF(CI58=0,"―",IF(ABS(CJ58/CI58-1)&gt;=設定!$B$5,"変動大 "&amp;TEXT(CJ58/CI58-1,"+0%;-0%"),"〇"))))</f>
        <v>前月同額</v>
      </c>
      <c r="F58" s="10" t="str">
        <f aca="false">IF(OR(G58="",G58="なし"),"―",IF(CJ58=0,"入金不要",IF(COUNT(AD58,AF58,AH58,AJ58)=0,IF(AK58="○","手動確認","未入金"),IF(AND(N(AD58)=AC58,IF(AE58="",TRUE(),N(AF58)=AE58),IF(AG58="",TRUE(),N(AH58)=AG58),IF(AI58="",TRUE(),N(AJ58)=AI58)),"一致","不一致"))))</f>
        <v>手動確認</v>
      </c>
      <c r="G58" s="25" t="s">
        <v>167</v>
      </c>
      <c r="H58" s="26"/>
      <c r="I58" s="27"/>
      <c r="J58" s="27"/>
      <c r="K58" s="27"/>
      <c r="L58" s="27"/>
      <c r="M58" s="27"/>
      <c r="N58" s="27"/>
      <c r="O58" s="27" t="n">
        <v>326655</v>
      </c>
      <c r="P58" s="27" t="n">
        <v>26775</v>
      </c>
      <c r="Q58" s="27" t="n">
        <v>205363</v>
      </c>
      <c r="R58" s="27" t="n">
        <v>15800</v>
      </c>
      <c r="S58" s="27" t="n">
        <v>4552</v>
      </c>
      <c r="T58" s="27" t="n">
        <v>469098</v>
      </c>
      <c r="U58" s="27" t="n">
        <v>26775</v>
      </c>
      <c r="V58" s="27" t="n">
        <v>310</v>
      </c>
      <c r="W58" s="27" t="n">
        <v>208810</v>
      </c>
      <c r="X58" s="27" t="n">
        <v>15800</v>
      </c>
      <c r="Y58" s="27" t="n">
        <v>4553</v>
      </c>
      <c r="Z58" s="27"/>
      <c r="AA58" s="10" t="str">
        <f aca="false">IFERROR(INDEX(設定!$E$61:$E$106,MATCH(B58,設定!$B$61:$B$106,0)),"合算")</f>
        <v>合算</v>
      </c>
      <c r="AB58" s="28"/>
      <c r="AC58" s="29" t="n">
        <f aca="false">IF(OR(G58="",G58="なし"),"",IF(AA58="合算",CJ58+N(Z58),IF(AA58="掛金・負担金別",(AY58+AZ58+BD58+BF58+BH58),SUM(AY58:BC58))))</f>
        <v>1304491</v>
      </c>
      <c r="AD58" s="27"/>
      <c r="AE58" s="29" t="str">
        <f aca="false">IF(OR(G58="",G58="なし"),"",IF(AA58="掛金・負担金別",(BA58+BB58+BC58+BE58+BG58+BI58+N(Z58)),IF(AA58="経理区分別",BD58+BE58,"")))</f>
        <v/>
      </c>
      <c r="AF58" s="27"/>
      <c r="AG58" s="29" t="str">
        <f aca="false">IF(OR(G58="",G58="なし"),"",IF(AA58="経理区分別",BF58+BG58,""))</f>
        <v/>
      </c>
      <c r="AH58" s="27"/>
      <c r="AI58" s="29" t="str">
        <f aca="false">IF(OR(G58="",G58="なし"),"",IF(AA58="経理区分別",BH58+BI58+N(Z58),""))</f>
        <v/>
      </c>
      <c r="AJ58" s="27"/>
      <c r="AK58" s="26" t="s">
        <v>168</v>
      </c>
      <c r="AL58" s="26"/>
      <c r="AM58" s="30"/>
      <c r="AN58" s="31"/>
      <c r="AO58" s="31"/>
      <c r="AP58" s="31"/>
      <c r="AQ58" s="31"/>
      <c r="AR58" s="31"/>
      <c r="AS58" s="31"/>
      <c r="AT58" s="31"/>
      <c r="AU58" s="31"/>
      <c r="AV58" s="31"/>
      <c r="AW58" s="31"/>
      <c r="AX58" s="31"/>
      <c r="AY58" s="31" t="n">
        <f aca="false">IF($G58="",AN58,O58)</f>
        <v>326655</v>
      </c>
      <c r="AZ58" s="31" t="n">
        <f aca="false">IF($G58="",AO58,P58)</f>
        <v>26775</v>
      </c>
      <c r="BA58" s="31" t="n">
        <f aca="false">IF($G58="",AP58,T58)</f>
        <v>469098</v>
      </c>
      <c r="BB58" s="31" t="n">
        <f aca="false">IF($G58="",AQ58,U58)</f>
        <v>26775</v>
      </c>
      <c r="BC58" s="31" t="n">
        <f aca="false">IF($G58="",AR58,V58)</f>
        <v>310</v>
      </c>
      <c r="BD58" s="31" t="n">
        <f aca="false">IF($G58="",AS58,Q58)</f>
        <v>205363</v>
      </c>
      <c r="BE58" s="31" t="n">
        <f aca="false">IF($G58="",AT58,W58)</f>
        <v>208810</v>
      </c>
      <c r="BF58" s="31" t="n">
        <f aca="false">IF($G58="",AU58,R58)</f>
        <v>15800</v>
      </c>
      <c r="BG58" s="31" t="n">
        <f aca="false">IF($G58="",AV58,X58)</f>
        <v>15800</v>
      </c>
      <c r="BH58" s="31" t="n">
        <f aca="false">IF($G58="",AW58,S58)</f>
        <v>4552</v>
      </c>
      <c r="BI58" s="31" t="n">
        <f aca="false">IF($G58="",AX58,Y58)</f>
        <v>4553</v>
      </c>
      <c r="BJ58" s="31" t="n">
        <f aca="false">IF(CK58="N",BR58,ROUNDDOWN((I58-L58)*設定!$B$10/1000,0)+ROUNDDOWN((I58-L58)*設定!$B$11/1000,0))</f>
        <v>0</v>
      </c>
      <c r="BK58" s="31" t="n">
        <f aca="false">ROUNDDOWN((I58-L58)*設定!$C$10/1000,0)+ROUNDDOWN((I58-L58)*設定!$C$11/1000,0)+ROUNDDOWN(I58*設定!$C$12/1000,0)+IF(CL58="市局型",ROUNDDOWN(I58*設定!$C$16/1000,0),0)</f>
        <v>0</v>
      </c>
      <c r="BL58" s="31" t="n">
        <f aca="false">IF(CK58="N",BT58,ROUNDDOWN((J58-M58)*設定!$B$13/1000,0))</f>
        <v>0</v>
      </c>
      <c r="BM58" s="31" t="n">
        <f aca="false">ROUNDDOWN((J58-M58)*設定!$C$13/1000,0)+IF(CL58="市局型",ROUNDDOWN(J58*設定!$C$17/1000,0),0)</f>
        <v>0</v>
      </c>
      <c r="BN58" s="31" t="n">
        <f aca="false">IF(CK58="N",BV58,ROUNDDOWN((K58-N58)*設定!$B$14/1000,0))</f>
        <v>0</v>
      </c>
      <c r="BO58" s="31" t="n">
        <f aca="false">ROUNDDOWN((K58-N58)*設定!$C$14/1000,0)</f>
        <v>0</v>
      </c>
      <c r="BP58" s="31" t="n">
        <f aca="false">IF(CK58="N",BX58,ROUNDDOWN((J58-M58)*設定!$B$15/1000,0))</f>
        <v>0</v>
      </c>
      <c r="BQ58" s="31" t="n">
        <f aca="false">ROUNDDOWN((J58-M58)*設定!$C$15/1000,0)</f>
        <v>0</v>
      </c>
      <c r="BR58" s="31" t="n">
        <f aca="false">O58+P58</f>
        <v>353430</v>
      </c>
      <c r="BS58" s="31" t="n">
        <f aca="false">T58+U58+V58</f>
        <v>496183</v>
      </c>
      <c r="BT58" s="31" t="n">
        <f aca="false">Q58</f>
        <v>205363</v>
      </c>
      <c r="BU58" s="31" t="n">
        <f aca="false">W58</f>
        <v>208810</v>
      </c>
      <c r="BV58" s="31" t="n">
        <f aca="false">R58</f>
        <v>15800</v>
      </c>
      <c r="BW58" s="31" t="n">
        <f aca="false">X58</f>
        <v>15800</v>
      </c>
      <c r="BX58" s="31" t="n">
        <f aca="false">S58</f>
        <v>4552</v>
      </c>
      <c r="BY58" s="31" t="n">
        <f aca="false">Y58</f>
        <v>4553</v>
      </c>
      <c r="BZ58" s="32" t="n">
        <f aca="false">IF(BJ58=0,IF(BR58=0,0,1),(BR58-BJ58)/BJ58)</f>
        <v>1</v>
      </c>
      <c r="CA58" s="32" t="n">
        <f aca="false">IF(BK58=0,IF(BS58=0,0,1),(BS58-BK58)/BK58)</f>
        <v>1</v>
      </c>
      <c r="CB58" s="32" t="n">
        <f aca="false">IF(BL58=0,IF(BT58=0,0,1),(BT58-BL58)/BL58)</f>
        <v>1</v>
      </c>
      <c r="CC58" s="32" t="n">
        <f aca="false">IF(BM58=0,IF(BU58=0,0,1),(BU58-BM58)/BM58)</f>
        <v>1</v>
      </c>
      <c r="CD58" s="32" t="n">
        <f aca="false">IF(BN58=0,IF(BV58=0,0,1),(BV58-BN58)/BN58)</f>
        <v>1</v>
      </c>
      <c r="CE58" s="32" t="n">
        <f aca="false">IF(BO58=0,IF(BW58=0,0,1),(BW58-BO58)/BO58)</f>
        <v>1</v>
      </c>
      <c r="CF58" s="32" t="n">
        <f aca="false">IF(BP58=0,IF(BX58=0,0,1),(BX58-BP58)/BP58)</f>
        <v>1</v>
      </c>
      <c r="CG58" s="32" t="n">
        <f aca="false">IF(BQ58=0,IF(BY58=0,0,1),(BY58-BQ58)/BQ58)</f>
        <v>1</v>
      </c>
      <c r="CH58" s="32" t="n">
        <f aca="false">MAX(MAX(BZ58:CG58),-MIN(BZ58:CG58))</f>
        <v>1</v>
      </c>
      <c r="CI58" s="31" t="n">
        <f aca="false">IF(CO58="","",SUMIFS($CJ$7:$CJ$696,$A$7:$A$696,CO58,$B$7:$B$696,B58))</f>
        <v>1304491</v>
      </c>
      <c r="CJ58" s="31" t="n">
        <f aca="false">SUM(AY58:BI58)</f>
        <v>1304491</v>
      </c>
      <c r="CK58" s="31" t="str">
        <f aca="false">IFERROR(INDEX(設定!$F$61:$F$106,MATCH(B58,設定!$B$61:$B$106,0)),"Y")</f>
        <v>Y</v>
      </c>
      <c r="CL58" s="31" t="str">
        <f aca="false">IFERROR(INDEX(設定!$G$61:$G$106,MATCH(B58,設定!$B$61:$B$106,0)),"外郭型")</f>
        <v>市局型</v>
      </c>
      <c r="CM58" s="33" t="str">
        <f aca="false">A58&amp;"|"&amp;B58</f>
        <v>2026-05 月例|選挙管理委員会</v>
      </c>
      <c r="CN58" s="34" t="str">
        <f aca="false">IFERROR(INDEX(設定!$D$61:$D$106,MATCH(B58,設定!$B$61:$B$106,0)),"Y")</f>
        <v>Y</v>
      </c>
      <c r="CO58" s="34" t="str">
        <f aca="false">IFERROR(INDEX(設定!$D$20:$D$34,MATCH(A58,設定!$A$20:$A$34,0))&amp;"","")</f>
        <v>2026-04 月例</v>
      </c>
    </row>
    <row r="59" customFormat="false" ht="15" hidden="true" customHeight="false" outlineLevel="0" collapsed="false">
      <c r="A59" s="22" t="s">
        <v>215</v>
      </c>
      <c r="B59" s="23" t="s">
        <v>174</v>
      </c>
      <c r="C59" s="10" t="str">
        <f aca="false">IF(G59="","未受領",IF(G59="なし","報告なし",IF(AL59="○","起票済",IF(OR(AK59="○",F59="一致",F59="入金不要"),"入金確認済","受領済"))))</f>
        <v>入金確認済</v>
      </c>
      <c r="D59" s="10" t="str">
        <f aca="false">IF(OR(G59="",G59="なし"),"―",IF(CN59="N","対象外",IF(AND(I59="",J59="",K59=""),"標報未入力",IF(CH59&gt;=設定!$B$4,"要確認","問題なし"))))</f>
        <v>標報未入力</v>
      </c>
      <c r="E59" s="24" t="str">
        <f aca="false">IF(OR(G59="",G59="なし",CI59="",CJ59=0),"―",IF(CJ59=CI59,"前月同額",IF(CI59=0,"―",IF(ABS(CJ59/CI59-1)&gt;=設定!$B$5,"変動大 "&amp;TEXT(CJ59/CI59-1,"+0%;-0%"),"〇"))))</f>
        <v>前月同額</v>
      </c>
      <c r="F59" s="10" t="str">
        <f aca="false">IF(OR(G59="",G59="なし"),"―",IF(CJ59=0,"入金不要",IF(COUNT(AD59,AF59,AH59,AJ59)=0,IF(AK59="○","手動確認","未入金"),IF(AND(N(AD59)=AC59,IF(AE59="",TRUE(),N(AF59)=AE59),IF(AG59="",TRUE(),N(AH59)=AG59),IF(AI59="",TRUE(),N(AJ59)=AI59)),"一致","不一致"))))</f>
        <v>手動確認</v>
      </c>
      <c r="G59" s="25" t="s">
        <v>167</v>
      </c>
      <c r="H59" s="26"/>
      <c r="I59" s="27"/>
      <c r="J59" s="27"/>
      <c r="K59" s="27"/>
      <c r="L59" s="27"/>
      <c r="M59" s="27"/>
      <c r="N59" s="27"/>
      <c r="O59" s="27" t="n">
        <v>597495</v>
      </c>
      <c r="P59" s="27" t="n">
        <v>48975</v>
      </c>
      <c r="Q59" s="27" t="n">
        <v>343825</v>
      </c>
      <c r="R59" s="27" t="n">
        <v>28282</v>
      </c>
      <c r="S59" s="27" t="n">
        <v>7621</v>
      </c>
      <c r="T59" s="27" t="n">
        <v>858042</v>
      </c>
      <c r="U59" s="27" t="n">
        <v>48975</v>
      </c>
      <c r="V59" s="27" t="n">
        <v>567</v>
      </c>
      <c r="W59" s="27" t="n">
        <v>349599</v>
      </c>
      <c r="X59" s="27" t="n">
        <v>28282</v>
      </c>
      <c r="Y59" s="27" t="n">
        <v>7624</v>
      </c>
      <c r="Z59" s="27"/>
      <c r="AA59" s="10" t="str">
        <f aca="false">IFERROR(INDEX(設定!$E$61:$E$106,MATCH(B59,設定!$B$61:$B$106,0)),"合算")</f>
        <v>合算</v>
      </c>
      <c r="AB59" s="28"/>
      <c r="AC59" s="29" t="n">
        <f aca="false">IF(OR(G59="",G59="なし"),"",IF(AA59="合算",CJ59+N(Z59),IF(AA59="掛金・負担金別",(AY59+AZ59+BD59+BF59+BH59),SUM(AY59:BC59))))</f>
        <v>2319287</v>
      </c>
      <c r="AD59" s="27"/>
      <c r="AE59" s="29" t="str">
        <f aca="false">IF(OR(G59="",G59="なし"),"",IF(AA59="掛金・負担金別",(BA59+BB59+BC59+BE59+BG59+BI59+N(Z59)),IF(AA59="経理区分別",BD59+BE59,"")))</f>
        <v/>
      </c>
      <c r="AF59" s="27"/>
      <c r="AG59" s="29" t="str">
        <f aca="false">IF(OR(G59="",G59="なし"),"",IF(AA59="経理区分別",BF59+BG59,""))</f>
        <v/>
      </c>
      <c r="AH59" s="27"/>
      <c r="AI59" s="29" t="str">
        <f aca="false">IF(OR(G59="",G59="なし"),"",IF(AA59="経理区分別",BH59+BI59+N(Z59),""))</f>
        <v/>
      </c>
      <c r="AJ59" s="27"/>
      <c r="AK59" s="26" t="s">
        <v>168</v>
      </c>
      <c r="AL59" s="26"/>
      <c r="AM59" s="30"/>
      <c r="AN59" s="31"/>
      <c r="AO59" s="31"/>
      <c r="AP59" s="31"/>
      <c r="AQ59" s="31"/>
      <c r="AR59" s="31"/>
      <c r="AS59" s="31"/>
      <c r="AT59" s="31"/>
      <c r="AU59" s="31"/>
      <c r="AV59" s="31"/>
      <c r="AW59" s="31"/>
      <c r="AX59" s="31"/>
      <c r="AY59" s="31" t="n">
        <f aca="false">IF($G59="",AN59,O59)</f>
        <v>597495</v>
      </c>
      <c r="AZ59" s="31" t="n">
        <f aca="false">IF($G59="",AO59,P59)</f>
        <v>48975</v>
      </c>
      <c r="BA59" s="31" t="n">
        <f aca="false">IF($G59="",AP59,T59)</f>
        <v>858042</v>
      </c>
      <c r="BB59" s="31" t="n">
        <f aca="false">IF($G59="",AQ59,U59)</f>
        <v>48975</v>
      </c>
      <c r="BC59" s="31" t="n">
        <f aca="false">IF($G59="",AR59,V59)</f>
        <v>567</v>
      </c>
      <c r="BD59" s="31" t="n">
        <f aca="false">IF($G59="",AS59,Q59)</f>
        <v>343825</v>
      </c>
      <c r="BE59" s="31" t="n">
        <f aca="false">IF($G59="",AT59,W59)</f>
        <v>349599</v>
      </c>
      <c r="BF59" s="31" t="n">
        <f aca="false">IF($G59="",AU59,R59)</f>
        <v>28282</v>
      </c>
      <c r="BG59" s="31" t="n">
        <f aca="false">IF($G59="",AV59,X59)</f>
        <v>28282</v>
      </c>
      <c r="BH59" s="31" t="n">
        <f aca="false">IF($G59="",AW59,S59)</f>
        <v>7621</v>
      </c>
      <c r="BI59" s="31" t="n">
        <f aca="false">IF($G59="",AX59,Y59)</f>
        <v>7624</v>
      </c>
      <c r="BJ59" s="31" t="n">
        <f aca="false">IF(CK59="N",BR59,ROUNDDOWN((I59-L59)*設定!$B$10/1000,0)+ROUNDDOWN((I59-L59)*設定!$B$11/1000,0))</f>
        <v>0</v>
      </c>
      <c r="BK59" s="31" t="n">
        <f aca="false">ROUNDDOWN((I59-L59)*設定!$C$10/1000,0)+ROUNDDOWN((I59-L59)*設定!$C$11/1000,0)+ROUNDDOWN(I59*設定!$C$12/1000,0)+IF(CL59="市局型",ROUNDDOWN(I59*設定!$C$16/1000,0),0)</f>
        <v>0</v>
      </c>
      <c r="BL59" s="31" t="n">
        <f aca="false">IF(CK59="N",BT59,ROUNDDOWN((J59-M59)*設定!$B$13/1000,0))</f>
        <v>0</v>
      </c>
      <c r="BM59" s="31" t="n">
        <f aca="false">ROUNDDOWN((J59-M59)*設定!$C$13/1000,0)+IF(CL59="市局型",ROUNDDOWN(J59*設定!$C$17/1000,0),0)</f>
        <v>0</v>
      </c>
      <c r="BN59" s="31" t="n">
        <f aca="false">IF(CK59="N",BV59,ROUNDDOWN((K59-N59)*設定!$B$14/1000,0))</f>
        <v>0</v>
      </c>
      <c r="BO59" s="31" t="n">
        <f aca="false">ROUNDDOWN((K59-N59)*設定!$C$14/1000,0)</f>
        <v>0</v>
      </c>
      <c r="BP59" s="31" t="n">
        <f aca="false">IF(CK59="N",BX59,ROUNDDOWN((J59-M59)*設定!$B$15/1000,0))</f>
        <v>0</v>
      </c>
      <c r="BQ59" s="31" t="n">
        <f aca="false">ROUNDDOWN((J59-M59)*設定!$C$15/1000,0)</f>
        <v>0</v>
      </c>
      <c r="BR59" s="31" t="n">
        <f aca="false">O59+P59</f>
        <v>646470</v>
      </c>
      <c r="BS59" s="31" t="n">
        <f aca="false">T59+U59+V59</f>
        <v>907584</v>
      </c>
      <c r="BT59" s="31" t="n">
        <f aca="false">Q59</f>
        <v>343825</v>
      </c>
      <c r="BU59" s="31" t="n">
        <f aca="false">W59</f>
        <v>349599</v>
      </c>
      <c r="BV59" s="31" t="n">
        <f aca="false">R59</f>
        <v>28282</v>
      </c>
      <c r="BW59" s="31" t="n">
        <f aca="false">X59</f>
        <v>28282</v>
      </c>
      <c r="BX59" s="31" t="n">
        <f aca="false">S59</f>
        <v>7621</v>
      </c>
      <c r="BY59" s="31" t="n">
        <f aca="false">Y59</f>
        <v>7624</v>
      </c>
      <c r="BZ59" s="32" t="n">
        <f aca="false">IF(BJ59=0,IF(BR59=0,0,1),(BR59-BJ59)/BJ59)</f>
        <v>1</v>
      </c>
      <c r="CA59" s="32" t="n">
        <f aca="false">IF(BK59=0,IF(BS59=0,0,1),(BS59-BK59)/BK59)</f>
        <v>1</v>
      </c>
      <c r="CB59" s="32" t="n">
        <f aca="false">IF(BL59=0,IF(BT59=0,0,1),(BT59-BL59)/BL59)</f>
        <v>1</v>
      </c>
      <c r="CC59" s="32" t="n">
        <f aca="false">IF(BM59=0,IF(BU59=0,0,1),(BU59-BM59)/BM59)</f>
        <v>1</v>
      </c>
      <c r="CD59" s="32" t="n">
        <f aca="false">IF(BN59=0,IF(BV59=0,0,1),(BV59-BN59)/BN59)</f>
        <v>1</v>
      </c>
      <c r="CE59" s="32" t="n">
        <f aca="false">IF(BO59=0,IF(BW59=0,0,1),(BW59-BO59)/BO59)</f>
        <v>1</v>
      </c>
      <c r="CF59" s="32" t="n">
        <f aca="false">IF(BP59=0,IF(BX59=0,0,1),(BX59-BP59)/BP59)</f>
        <v>1</v>
      </c>
      <c r="CG59" s="32" t="n">
        <f aca="false">IF(BQ59=0,IF(BY59=0,0,1),(BY59-BQ59)/BQ59)</f>
        <v>1</v>
      </c>
      <c r="CH59" s="32" t="n">
        <f aca="false">MAX(MAX(BZ59:CG59),-MIN(BZ59:CG59))</f>
        <v>1</v>
      </c>
      <c r="CI59" s="31" t="n">
        <f aca="false">IF(CO59="","",SUMIFS($CJ$7:$CJ$696,$A$7:$A$696,CO59,$B$7:$B$696,B59))</f>
        <v>2319287</v>
      </c>
      <c r="CJ59" s="31" t="n">
        <f aca="false">SUM(AY59:BI59)</f>
        <v>2319287</v>
      </c>
      <c r="CK59" s="31" t="str">
        <f aca="false">IFERROR(INDEX(設定!$F$61:$F$106,MATCH(B59,設定!$B$61:$B$106,0)),"Y")</f>
        <v>Y</v>
      </c>
      <c r="CL59" s="31" t="str">
        <f aca="false">IFERROR(INDEX(設定!$G$61:$G$106,MATCH(B59,設定!$B$61:$B$106,0)),"外郭型")</f>
        <v>市局型</v>
      </c>
      <c r="CM59" s="33" t="str">
        <f aca="false">A59&amp;"|"&amp;B59</f>
        <v>2026-05 月例|人事委員会</v>
      </c>
      <c r="CN59" s="34" t="str">
        <f aca="false">IFERROR(INDEX(設定!$D$61:$D$106,MATCH(B59,設定!$B$61:$B$106,0)),"Y")</f>
        <v>Y</v>
      </c>
      <c r="CO59" s="34" t="str">
        <f aca="false">IFERROR(INDEX(設定!$D$20:$D$34,MATCH(A59,設定!$A$20:$A$34,0))&amp;"","")</f>
        <v>2026-04 月例</v>
      </c>
    </row>
    <row r="60" customFormat="false" ht="15" hidden="true" customHeight="false" outlineLevel="0" collapsed="false">
      <c r="A60" s="22" t="s">
        <v>215</v>
      </c>
      <c r="B60" s="23" t="s">
        <v>175</v>
      </c>
      <c r="C60" s="10" t="str">
        <f aca="false">IF(G60="","未受領",IF(G60="なし","報告なし",IF(AL60="○","起票済",IF(OR(AK60="○",F60="一致",F60="入金不要"),"入金確認済","受領済"))))</f>
        <v>入金確認済</v>
      </c>
      <c r="D60" s="10" t="str">
        <f aca="false">IF(OR(G60="",G60="なし"),"―",IF(CN60="N","対象外",IF(AND(I60="",J60="",K60=""),"標報未入力",IF(CH60&gt;=設定!$B$4,"要確認","問題なし"))))</f>
        <v>標報未入力</v>
      </c>
      <c r="E60" s="24" t="str">
        <f aca="false">IF(OR(G60="",G60="なし",CI60="",CJ60=0),"―",IF(CJ60=CI60,"前月同額",IF(CI60=0,"―",IF(ABS(CJ60/CI60-1)&gt;=設定!$B$5,"変動大 "&amp;TEXT(CJ60/CI60-1,"+0%;-0%"),"〇"))))</f>
        <v>前月同額</v>
      </c>
      <c r="F60" s="10" t="str">
        <f aca="false">IF(OR(G60="",G60="なし"),"―",IF(CJ60=0,"入金不要",IF(COUNT(AD60,AF60,AH60,AJ60)=0,IF(AK60="○","手動確認","未入金"),IF(AND(N(AD60)=AC60,IF(AE60="",TRUE(),N(AF60)=AE60),IF(AG60="",TRUE(),N(AH60)=AG60),IF(AI60="",TRUE(),N(AJ60)=AI60)),"一致","不一致"))))</f>
        <v>手動確認</v>
      </c>
      <c r="G60" s="25" t="s">
        <v>167</v>
      </c>
      <c r="H60" s="26"/>
      <c r="I60" s="27"/>
      <c r="J60" s="27"/>
      <c r="K60" s="27"/>
      <c r="L60" s="27"/>
      <c r="M60" s="27"/>
      <c r="N60" s="27"/>
      <c r="O60" s="27" t="n">
        <v>1324920</v>
      </c>
      <c r="P60" s="27" t="n">
        <v>108600</v>
      </c>
      <c r="Q60" s="27" t="n">
        <v>768034</v>
      </c>
      <c r="R60" s="27" t="n">
        <v>104201</v>
      </c>
      <c r="S60" s="27" t="n">
        <v>17023</v>
      </c>
      <c r="T60" s="27" t="n">
        <v>1913844</v>
      </c>
      <c r="U60" s="27" t="n">
        <v>108600</v>
      </c>
      <c r="V60" s="27" t="n">
        <v>1282</v>
      </c>
      <c r="W60" s="27" t="n">
        <v>781174</v>
      </c>
      <c r="X60" s="27" t="n">
        <v>104201</v>
      </c>
      <c r="Y60" s="27" t="n">
        <v>17030</v>
      </c>
      <c r="Z60" s="27"/>
      <c r="AA60" s="10" t="str">
        <f aca="false">IFERROR(INDEX(設定!$E$61:$E$106,MATCH(B60,設定!$B$61:$B$106,0)),"合算")</f>
        <v>合算</v>
      </c>
      <c r="AB60" s="28"/>
      <c r="AC60" s="29" t="n">
        <f aca="false">IF(OR(G60="",G60="なし"),"",IF(AA60="合算",CJ60+N(Z60),IF(AA60="掛金・負担金別",(AY60+AZ60+BD60+BF60+BH60),SUM(AY60:BC60))))</f>
        <v>5248909</v>
      </c>
      <c r="AD60" s="27"/>
      <c r="AE60" s="29" t="str">
        <f aca="false">IF(OR(G60="",G60="なし"),"",IF(AA60="掛金・負担金別",(BA60+BB60+BC60+BE60+BG60+BI60+N(Z60)),IF(AA60="経理区分別",BD60+BE60,"")))</f>
        <v/>
      </c>
      <c r="AF60" s="27"/>
      <c r="AG60" s="29" t="str">
        <f aca="false">IF(OR(G60="",G60="なし"),"",IF(AA60="経理区分別",BF60+BG60,""))</f>
        <v/>
      </c>
      <c r="AH60" s="27"/>
      <c r="AI60" s="29" t="str">
        <f aca="false">IF(OR(G60="",G60="なし"),"",IF(AA60="経理区分別",BH60+BI60+N(Z60),""))</f>
        <v/>
      </c>
      <c r="AJ60" s="27"/>
      <c r="AK60" s="26" t="s">
        <v>168</v>
      </c>
      <c r="AL60" s="26"/>
      <c r="AM60" s="30"/>
      <c r="AN60" s="31"/>
      <c r="AO60" s="31"/>
      <c r="AP60" s="31"/>
      <c r="AQ60" s="31"/>
      <c r="AR60" s="31"/>
      <c r="AS60" s="31"/>
      <c r="AT60" s="31"/>
      <c r="AU60" s="31"/>
      <c r="AV60" s="31"/>
      <c r="AW60" s="31"/>
      <c r="AX60" s="31"/>
      <c r="AY60" s="31" t="n">
        <f aca="false">IF($G60="",AN60,O60)</f>
        <v>1324920</v>
      </c>
      <c r="AZ60" s="31" t="n">
        <f aca="false">IF($G60="",AO60,P60)</f>
        <v>108600</v>
      </c>
      <c r="BA60" s="31" t="n">
        <f aca="false">IF($G60="",AP60,T60)</f>
        <v>1913844</v>
      </c>
      <c r="BB60" s="31" t="n">
        <f aca="false">IF($G60="",AQ60,U60)</f>
        <v>108600</v>
      </c>
      <c r="BC60" s="31" t="n">
        <f aca="false">IF($G60="",AR60,V60)</f>
        <v>1282</v>
      </c>
      <c r="BD60" s="31" t="n">
        <f aca="false">IF($G60="",AS60,Q60)</f>
        <v>768034</v>
      </c>
      <c r="BE60" s="31" t="n">
        <f aca="false">IF($G60="",AT60,W60)</f>
        <v>781174</v>
      </c>
      <c r="BF60" s="31" t="n">
        <f aca="false">IF($G60="",AU60,R60)</f>
        <v>104201</v>
      </c>
      <c r="BG60" s="31" t="n">
        <f aca="false">IF($G60="",AV60,X60)</f>
        <v>104201</v>
      </c>
      <c r="BH60" s="31" t="n">
        <f aca="false">IF($G60="",AW60,S60)</f>
        <v>17023</v>
      </c>
      <c r="BI60" s="31" t="n">
        <f aca="false">IF($G60="",AX60,Y60)</f>
        <v>17030</v>
      </c>
      <c r="BJ60" s="31" t="n">
        <f aca="false">IF(CK60="N",BR60,ROUNDDOWN((I60-L60)*設定!$B$10/1000,0)+ROUNDDOWN((I60-L60)*設定!$B$11/1000,0))</f>
        <v>0</v>
      </c>
      <c r="BK60" s="31" t="n">
        <f aca="false">ROUNDDOWN((I60-L60)*設定!$C$10/1000,0)+ROUNDDOWN((I60-L60)*設定!$C$11/1000,0)+ROUNDDOWN(I60*設定!$C$12/1000,0)+IF(CL60="市局型",ROUNDDOWN(I60*設定!$C$16/1000,0),0)</f>
        <v>0</v>
      </c>
      <c r="BL60" s="31" t="n">
        <f aca="false">IF(CK60="N",BT60,ROUNDDOWN((J60-M60)*設定!$B$13/1000,0))</f>
        <v>0</v>
      </c>
      <c r="BM60" s="31" t="n">
        <f aca="false">ROUNDDOWN((J60-M60)*設定!$C$13/1000,0)+IF(CL60="市局型",ROUNDDOWN(J60*設定!$C$17/1000,0),0)</f>
        <v>0</v>
      </c>
      <c r="BN60" s="31" t="n">
        <f aca="false">IF(CK60="N",BV60,ROUNDDOWN((K60-N60)*設定!$B$14/1000,0))</f>
        <v>0</v>
      </c>
      <c r="BO60" s="31" t="n">
        <f aca="false">ROUNDDOWN((K60-N60)*設定!$C$14/1000,0)</f>
        <v>0</v>
      </c>
      <c r="BP60" s="31" t="n">
        <f aca="false">IF(CK60="N",BX60,ROUNDDOWN((J60-M60)*設定!$B$15/1000,0))</f>
        <v>0</v>
      </c>
      <c r="BQ60" s="31" t="n">
        <f aca="false">ROUNDDOWN((J60-M60)*設定!$C$15/1000,0)</f>
        <v>0</v>
      </c>
      <c r="BR60" s="31" t="n">
        <f aca="false">O60+P60</f>
        <v>1433520</v>
      </c>
      <c r="BS60" s="31" t="n">
        <f aca="false">T60+U60+V60</f>
        <v>2023726</v>
      </c>
      <c r="BT60" s="31" t="n">
        <f aca="false">Q60</f>
        <v>768034</v>
      </c>
      <c r="BU60" s="31" t="n">
        <f aca="false">W60</f>
        <v>781174</v>
      </c>
      <c r="BV60" s="31" t="n">
        <f aca="false">R60</f>
        <v>104201</v>
      </c>
      <c r="BW60" s="31" t="n">
        <f aca="false">X60</f>
        <v>104201</v>
      </c>
      <c r="BX60" s="31" t="n">
        <f aca="false">S60</f>
        <v>17023</v>
      </c>
      <c r="BY60" s="31" t="n">
        <f aca="false">Y60</f>
        <v>17030</v>
      </c>
      <c r="BZ60" s="32" t="n">
        <f aca="false">IF(BJ60=0,IF(BR60=0,0,1),(BR60-BJ60)/BJ60)</f>
        <v>1</v>
      </c>
      <c r="CA60" s="32" t="n">
        <f aca="false">IF(BK60=0,IF(BS60=0,0,1),(BS60-BK60)/BK60)</f>
        <v>1</v>
      </c>
      <c r="CB60" s="32" t="n">
        <f aca="false">IF(BL60=0,IF(BT60=0,0,1),(BT60-BL60)/BL60)</f>
        <v>1</v>
      </c>
      <c r="CC60" s="32" t="n">
        <f aca="false">IF(BM60=0,IF(BU60=0,0,1),(BU60-BM60)/BM60)</f>
        <v>1</v>
      </c>
      <c r="CD60" s="32" t="n">
        <f aca="false">IF(BN60=0,IF(BV60=0,0,1),(BV60-BN60)/BN60)</f>
        <v>1</v>
      </c>
      <c r="CE60" s="32" t="n">
        <f aca="false">IF(BO60=0,IF(BW60=0,0,1),(BW60-BO60)/BO60)</f>
        <v>1</v>
      </c>
      <c r="CF60" s="32" t="n">
        <f aca="false">IF(BP60=0,IF(BX60=0,0,1),(BX60-BP60)/BP60)</f>
        <v>1</v>
      </c>
      <c r="CG60" s="32" t="n">
        <f aca="false">IF(BQ60=0,IF(BY60=0,0,1),(BY60-BQ60)/BQ60)</f>
        <v>1</v>
      </c>
      <c r="CH60" s="32" t="n">
        <f aca="false">MAX(MAX(BZ60:CG60),-MIN(BZ60:CG60))</f>
        <v>1</v>
      </c>
      <c r="CI60" s="31" t="n">
        <f aca="false">IF(CO60="","",SUMIFS($CJ$7:$CJ$696,$A$7:$A$696,CO60,$B$7:$B$696,B60))</f>
        <v>5248909</v>
      </c>
      <c r="CJ60" s="31" t="n">
        <f aca="false">SUM(AY60:BI60)</f>
        <v>5248909</v>
      </c>
      <c r="CK60" s="31" t="str">
        <f aca="false">IFERROR(INDEX(設定!$F$61:$F$106,MATCH(B60,設定!$B$61:$B$106,0)),"Y")</f>
        <v>Y</v>
      </c>
      <c r="CL60" s="31" t="str">
        <f aca="false">IFERROR(INDEX(設定!$G$61:$G$106,MATCH(B60,設定!$B$61:$B$106,0)),"外郭型")</f>
        <v>市局型</v>
      </c>
      <c r="CM60" s="33" t="str">
        <f aca="false">A60&amp;"|"&amp;B60</f>
        <v>2026-05 月例|監査事務局</v>
      </c>
      <c r="CN60" s="34" t="str">
        <f aca="false">IFERROR(INDEX(設定!$D$61:$D$106,MATCH(B60,設定!$B$61:$B$106,0)),"Y")</f>
        <v>Y</v>
      </c>
      <c r="CO60" s="34" t="str">
        <f aca="false">IFERROR(INDEX(設定!$D$20:$D$34,MATCH(A60,設定!$A$20:$A$34,0))&amp;"","")</f>
        <v>2026-04 月例</v>
      </c>
    </row>
    <row r="61" customFormat="false" ht="15" hidden="true" customHeight="false" outlineLevel="0" collapsed="false">
      <c r="A61" s="22" t="s">
        <v>215</v>
      </c>
      <c r="B61" s="23" t="s">
        <v>176</v>
      </c>
      <c r="C61" s="10" t="str">
        <f aca="false">IF(G61="","未受領",IF(G61="なし","報告なし",IF(AL61="○","起票済",IF(OR(AK61="○",F61="一致",F61="入金不要"),"入金確認済","受領済"))))</f>
        <v>入金確認済</v>
      </c>
      <c r="D61" s="10" t="str">
        <f aca="false">IF(OR(G61="",G61="なし"),"―",IF(CN61="N","対象外",IF(AND(I61="",J61="",K61=""),"標報未入力",IF(CH61&gt;=設定!$B$4,"要確認","問題なし"))))</f>
        <v>標報未入力</v>
      </c>
      <c r="E61" s="24" t="str">
        <f aca="false">IF(OR(G61="",G61="なし",CI61="",CJ61=0),"―",IF(CJ61=CI61,"前月同額",IF(CI61=0,"―",IF(ABS(CJ61/CI61-1)&gt;=設定!$B$5,"変動大 "&amp;TEXT(CJ61/CI61-1,"+0%;-0%"),"〇"))))</f>
        <v>前月同額</v>
      </c>
      <c r="F61" s="10" t="str">
        <f aca="false">IF(OR(G61="",G61="なし"),"―",IF(CJ61=0,"入金不要",IF(COUNT(AD61,AF61,AH61,AJ61)=0,IF(AK61="○","手動確認","未入金"),IF(AND(N(AD61)=AC61,IF(AE61="",TRUE(),N(AF61)=AE61),IF(AG61="",TRUE(),N(AH61)=AG61),IF(AI61="",TRUE(),N(AJ61)=AI61)),"一致","不一致"))))</f>
        <v>手動確認</v>
      </c>
      <c r="G61" s="25" t="s">
        <v>167</v>
      </c>
      <c r="H61" s="26"/>
      <c r="I61" s="27"/>
      <c r="J61" s="27"/>
      <c r="K61" s="27"/>
      <c r="L61" s="27"/>
      <c r="M61" s="27"/>
      <c r="N61" s="27"/>
      <c r="O61" s="27" t="n">
        <v>409920</v>
      </c>
      <c r="P61" s="27" t="n">
        <v>33600</v>
      </c>
      <c r="Q61" s="27" t="n">
        <v>306800</v>
      </c>
      <c r="R61" s="27" t="n">
        <v>35042</v>
      </c>
      <c r="S61" s="27" t="n">
        <v>6800</v>
      </c>
      <c r="T61" s="27" t="n">
        <v>588672</v>
      </c>
      <c r="U61" s="27" t="n">
        <v>33600</v>
      </c>
      <c r="V61" s="27" t="n">
        <v>389</v>
      </c>
      <c r="W61" s="27" t="n">
        <v>311950</v>
      </c>
      <c r="X61" s="27" t="n">
        <v>35044</v>
      </c>
      <c r="Y61" s="27" t="n">
        <v>6803</v>
      </c>
      <c r="Z61" s="27"/>
      <c r="AA61" s="10" t="str">
        <f aca="false">IFERROR(INDEX(設定!$E$61:$E$106,MATCH(B61,設定!$B$61:$B$106,0)),"合算")</f>
        <v>合算</v>
      </c>
      <c r="AB61" s="28"/>
      <c r="AC61" s="29" t="n">
        <f aca="false">IF(OR(G61="",G61="なし"),"",IF(AA61="合算",CJ61+N(Z61),IF(AA61="掛金・負担金別",(AY61+AZ61+BD61+BF61+BH61),SUM(AY61:BC61))))</f>
        <v>1768620</v>
      </c>
      <c r="AD61" s="27"/>
      <c r="AE61" s="29" t="str">
        <f aca="false">IF(OR(G61="",G61="なし"),"",IF(AA61="掛金・負担金別",(BA61+BB61+BC61+BE61+BG61+BI61+N(Z61)),IF(AA61="経理区分別",BD61+BE61,"")))</f>
        <v/>
      </c>
      <c r="AF61" s="27"/>
      <c r="AG61" s="29" t="str">
        <f aca="false">IF(OR(G61="",G61="なし"),"",IF(AA61="経理区分別",BF61+BG61,""))</f>
        <v/>
      </c>
      <c r="AH61" s="27"/>
      <c r="AI61" s="29" t="str">
        <f aca="false">IF(OR(G61="",G61="なし"),"",IF(AA61="経理区分別",BH61+BI61+N(Z61),""))</f>
        <v/>
      </c>
      <c r="AJ61" s="27"/>
      <c r="AK61" s="26" t="s">
        <v>168</v>
      </c>
      <c r="AL61" s="26"/>
      <c r="AM61" s="30"/>
      <c r="AN61" s="31"/>
      <c r="AO61" s="31"/>
      <c r="AP61" s="31"/>
      <c r="AQ61" s="31"/>
      <c r="AR61" s="31"/>
      <c r="AS61" s="31"/>
      <c r="AT61" s="31"/>
      <c r="AU61" s="31"/>
      <c r="AV61" s="31"/>
      <c r="AW61" s="31"/>
      <c r="AX61" s="31"/>
      <c r="AY61" s="31" t="n">
        <f aca="false">IF($G61="",AN61,O61)</f>
        <v>409920</v>
      </c>
      <c r="AZ61" s="31" t="n">
        <f aca="false">IF($G61="",AO61,P61)</f>
        <v>33600</v>
      </c>
      <c r="BA61" s="31" t="n">
        <f aca="false">IF($G61="",AP61,T61)</f>
        <v>588672</v>
      </c>
      <c r="BB61" s="31" t="n">
        <f aca="false">IF($G61="",AQ61,U61)</f>
        <v>33600</v>
      </c>
      <c r="BC61" s="31" t="n">
        <f aca="false">IF($G61="",AR61,V61)</f>
        <v>389</v>
      </c>
      <c r="BD61" s="31" t="n">
        <f aca="false">IF($G61="",AS61,Q61)</f>
        <v>306800</v>
      </c>
      <c r="BE61" s="31" t="n">
        <f aca="false">IF($G61="",AT61,W61)</f>
        <v>311950</v>
      </c>
      <c r="BF61" s="31" t="n">
        <f aca="false">IF($G61="",AU61,R61)</f>
        <v>35042</v>
      </c>
      <c r="BG61" s="31" t="n">
        <f aca="false">IF($G61="",AV61,X61)</f>
        <v>35044</v>
      </c>
      <c r="BH61" s="31" t="n">
        <f aca="false">IF($G61="",AW61,S61)</f>
        <v>6800</v>
      </c>
      <c r="BI61" s="31" t="n">
        <f aca="false">IF($G61="",AX61,Y61)</f>
        <v>6803</v>
      </c>
      <c r="BJ61" s="31" t="n">
        <f aca="false">IF(CK61="N",BR61,ROUNDDOWN((I61-L61)*設定!$B$10/1000,0)+ROUNDDOWN((I61-L61)*設定!$B$11/1000,0))</f>
        <v>0</v>
      </c>
      <c r="BK61" s="31" t="n">
        <f aca="false">ROUNDDOWN((I61-L61)*設定!$C$10/1000,0)+ROUNDDOWN((I61-L61)*設定!$C$11/1000,0)+ROUNDDOWN(I61*設定!$C$12/1000,0)+IF(CL61="市局型",ROUNDDOWN(I61*設定!$C$16/1000,0),0)</f>
        <v>0</v>
      </c>
      <c r="BL61" s="31" t="n">
        <f aca="false">IF(CK61="N",BT61,ROUNDDOWN((J61-M61)*設定!$B$13/1000,0))</f>
        <v>0</v>
      </c>
      <c r="BM61" s="31" t="n">
        <f aca="false">ROUNDDOWN((J61-M61)*設定!$C$13/1000,0)+IF(CL61="市局型",ROUNDDOWN(J61*設定!$C$17/1000,0),0)</f>
        <v>0</v>
      </c>
      <c r="BN61" s="31" t="n">
        <f aca="false">IF(CK61="N",BV61,ROUNDDOWN((K61-N61)*設定!$B$14/1000,0))</f>
        <v>0</v>
      </c>
      <c r="BO61" s="31" t="n">
        <f aca="false">ROUNDDOWN((K61-N61)*設定!$C$14/1000,0)</f>
        <v>0</v>
      </c>
      <c r="BP61" s="31" t="n">
        <f aca="false">IF(CK61="N",BX61,ROUNDDOWN((J61-M61)*設定!$B$15/1000,0))</f>
        <v>0</v>
      </c>
      <c r="BQ61" s="31" t="n">
        <f aca="false">ROUNDDOWN((J61-M61)*設定!$C$15/1000,0)</f>
        <v>0</v>
      </c>
      <c r="BR61" s="31" t="n">
        <f aca="false">O61+P61</f>
        <v>443520</v>
      </c>
      <c r="BS61" s="31" t="n">
        <f aca="false">T61+U61+V61</f>
        <v>622661</v>
      </c>
      <c r="BT61" s="31" t="n">
        <f aca="false">Q61</f>
        <v>306800</v>
      </c>
      <c r="BU61" s="31" t="n">
        <f aca="false">W61</f>
        <v>311950</v>
      </c>
      <c r="BV61" s="31" t="n">
        <f aca="false">R61</f>
        <v>35042</v>
      </c>
      <c r="BW61" s="31" t="n">
        <f aca="false">X61</f>
        <v>35044</v>
      </c>
      <c r="BX61" s="31" t="n">
        <f aca="false">S61</f>
        <v>6800</v>
      </c>
      <c r="BY61" s="31" t="n">
        <f aca="false">Y61</f>
        <v>6803</v>
      </c>
      <c r="BZ61" s="32" t="n">
        <f aca="false">IF(BJ61=0,IF(BR61=0,0,1),(BR61-BJ61)/BJ61)</f>
        <v>1</v>
      </c>
      <c r="CA61" s="32" t="n">
        <f aca="false">IF(BK61=0,IF(BS61=0,0,1),(BS61-BK61)/BK61)</f>
        <v>1</v>
      </c>
      <c r="CB61" s="32" t="n">
        <f aca="false">IF(BL61=0,IF(BT61=0,0,1),(BT61-BL61)/BL61)</f>
        <v>1</v>
      </c>
      <c r="CC61" s="32" t="n">
        <f aca="false">IF(BM61=0,IF(BU61=0,0,1),(BU61-BM61)/BM61)</f>
        <v>1</v>
      </c>
      <c r="CD61" s="32" t="n">
        <f aca="false">IF(BN61=0,IF(BV61=0,0,1),(BV61-BN61)/BN61)</f>
        <v>1</v>
      </c>
      <c r="CE61" s="32" t="n">
        <f aca="false">IF(BO61=0,IF(BW61=0,0,1),(BW61-BO61)/BO61)</f>
        <v>1</v>
      </c>
      <c r="CF61" s="32" t="n">
        <f aca="false">IF(BP61=0,IF(BX61=0,0,1),(BX61-BP61)/BP61)</f>
        <v>1</v>
      </c>
      <c r="CG61" s="32" t="n">
        <f aca="false">IF(BQ61=0,IF(BY61=0,0,1),(BY61-BQ61)/BQ61)</f>
        <v>1</v>
      </c>
      <c r="CH61" s="32" t="n">
        <f aca="false">MAX(MAX(BZ61:CG61),-MIN(BZ61:CG61))</f>
        <v>1</v>
      </c>
      <c r="CI61" s="31" t="n">
        <f aca="false">IF(CO61="","",SUMIFS($CJ$7:$CJ$696,$A$7:$A$696,CO61,$B$7:$B$696,B61))</f>
        <v>1768620</v>
      </c>
      <c r="CJ61" s="31" t="n">
        <f aca="false">SUM(AY61:BI61)</f>
        <v>1768620</v>
      </c>
      <c r="CK61" s="31" t="str">
        <f aca="false">IFERROR(INDEX(設定!$F$61:$F$106,MATCH(B61,設定!$B$61:$B$106,0)),"Y")</f>
        <v>Y</v>
      </c>
      <c r="CL61" s="31" t="str">
        <f aca="false">IFERROR(INDEX(設定!$G$61:$G$106,MATCH(B61,設定!$B$61:$B$106,0)),"外郭型")</f>
        <v>市局型</v>
      </c>
      <c r="CM61" s="33" t="str">
        <f aca="false">A61&amp;"|"&amp;B61</f>
        <v>2026-05 月例|農業委員会</v>
      </c>
      <c r="CN61" s="34" t="str">
        <f aca="false">IFERROR(INDEX(設定!$D$61:$D$106,MATCH(B61,設定!$B$61:$B$106,0)),"Y")</f>
        <v>Y</v>
      </c>
      <c r="CO61" s="34" t="str">
        <f aca="false">IFERROR(INDEX(設定!$D$20:$D$34,MATCH(A61,設定!$A$20:$A$34,0))&amp;"","")</f>
        <v>2026-04 月例</v>
      </c>
    </row>
    <row r="62" customFormat="false" ht="15" hidden="true" customHeight="false" outlineLevel="0" collapsed="false">
      <c r="A62" s="22" t="s">
        <v>215</v>
      </c>
      <c r="B62" s="23" t="s">
        <v>177</v>
      </c>
      <c r="C62" s="10" t="str">
        <f aca="false">IF(G62="","未受領",IF(G62="なし","報告なし",IF(AL62="○","起票済",IF(OR(AK62="○",F62="一致",F62="入金不要"),"入金確認済","受領済"))))</f>
        <v>入金確認済</v>
      </c>
      <c r="D62" s="10" t="str">
        <f aca="false">IF(OR(G62="",G62="なし"),"―",IF(CN62="N","対象外",IF(AND(I62="",J62="",K62=""),"標報未入力",IF(CH62&gt;=設定!$B$4,"要確認","問題なし"))))</f>
        <v>対象外</v>
      </c>
      <c r="E62" s="24" t="str">
        <f aca="false">IF(OR(G62="",G62="なし",CI62="",CJ62=0),"―",IF(CJ62=CI62,"前月同額",IF(CI62=0,"―",IF(ABS(CJ62/CI62-1)&gt;=設定!$B$5,"変動大 "&amp;TEXT(CJ62/CI62-1,"+0%;-0%"),"〇"))))</f>
        <v>〇</v>
      </c>
      <c r="F62" s="10" t="str">
        <f aca="false">IF(OR(G62="",G62="なし"),"―",IF(CJ62=0,"入金不要",IF(COUNT(AD62,AF62,AH62,AJ62)=0,IF(AK62="○","手動確認","未入金"),IF(AND(N(AD62)=AC62,IF(AE62="",TRUE(),N(AF62)=AE62),IF(AG62="",TRUE(),N(AH62)=AG62),IF(AI62="",TRUE(),N(AJ62)=AI62)),"一致","不一致"))))</f>
        <v>手動確認</v>
      </c>
      <c r="G62" s="25" t="s">
        <v>167</v>
      </c>
      <c r="H62" s="26"/>
      <c r="I62" s="27"/>
      <c r="J62" s="27"/>
      <c r="K62" s="27"/>
      <c r="L62" s="27"/>
      <c r="M62" s="27"/>
      <c r="N62" s="27"/>
      <c r="O62" s="27" t="n">
        <v>22394625</v>
      </c>
      <c r="P62" s="27" t="n">
        <v>1835625</v>
      </c>
      <c r="Q62" s="27" t="n">
        <v>13377037</v>
      </c>
      <c r="R62" s="27" t="n">
        <v>1337154</v>
      </c>
      <c r="S62" s="27" t="n">
        <v>296548</v>
      </c>
      <c r="T62" s="27" t="n">
        <v>32282244</v>
      </c>
      <c r="U62" s="27" t="n">
        <v>1835625</v>
      </c>
      <c r="V62" s="27" t="n">
        <v>21527</v>
      </c>
      <c r="W62" s="27" t="n">
        <v>13604624</v>
      </c>
      <c r="X62" s="27" t="n">
        <v>1337154</v>
      </c>
      <c r="Y62" s="27" t="n">
        <v>296639</v>
      </c>
      <c r="Z62" s="27"/>
      <c r="AA62" s="10" t="str">
        <f aca="false">IFERROR(INDEX(設定!$E$61:$E$106,MATCH(B62,設定!$B$61:$B$106,0)),"合算")</f>
        <v>合算</v>
      </c>
      <c r="AB62" s="28"/>
      <c r="AC62" s="29" t="n">
        <f aca="false">IF(OR(G62="",G62="なし"),"",IF(AA62="合算",CJ62+N(Z62),IF(AA62="掛金・負担金別",(AY62+AZ62+BD62+BF62+BH62),SUM(AY62:BC62))))</f>
        <v>88618802</v>
      </c>
      <c r="AD62" s="27"/>
      <c r="AE62" s="29" t="str">
        <f aca="false">IF(OR(G62="",G62="なし"),"",IF(AA62="掛金・負担金別",(BA62+BB62+BC62+BE62+BG62+BI62+N(Z62)),IF(AA62="経理区分別",BD62+BE62,"")))</f>
        <v/>
      </c>
      <c r="AF62" s="27"/>
      <c r="AG62" s="29" t="str">
        <f aca="false">IF(OR(G62="",G62="なし"),"",IF(AA62="経理区分別",BF62+BG62,""))</f>
        <v/>
      </c>
      <c r="AH62" s="27"/>
      <c r="AI62" s="29" t="str">
        <f aca="false">IF(OR(G62="",G62="なし"),"",IF(AA62="経理区分別",BH62+BI62+N(Z62),""))</f>
        <v/>
      </c>
      <c r="AJ62" s="27"/>
      <c r="AK62" s="26" t="s">
        <v>168</v>
      </c>
      <c r="AL62" s="26"/>
      <c r="AM62" s="30"/>
      <c r="AN62" s="31"/>
      <c r="AO62" s="31"/>
      <c r="AP62" s="31"/>
      <c r="AQ62" s="31"/>
      <c r="AR62" s="31"/>
      <c r="AS62" s="31"/>
      <c r="AT62" s="31"/>
      <c r="AU62" s="31"/>
      <c r="AV62" s="31"/>
      <c r="AW62" s="31"/>
      <c r="AX62" s="31"/>
      <c r="AY62" s="31" t="n">
        <f aca="false">IF($G62="",AN62,O62)</f>
        <v>22394625</v>
      </c>
      <c r="AZ62" s="31" t="n">
        <f aca="false">IF($G62="",AO62,P62)</f>
        <v>1835625</v>
      </c>
      <c r="BA62" s="31" t="n">
        <f aca="false">IF($G62="",AP62,T62)</f>
        <v>32282244</v>
      </c>
      <c r="BB62" s="31" t="n">
        <f aca="false">IF($G62="",AQ62,U62)</f>
        <v>1835625</v>
      </c>
      <c r="BC62" s="31" t="n">
        <f aca="false">IF($G62="",AR62,V62)</f>
        <v>21527</v>
      </c>
      <c r="BD62" s="31" t="n">
        <f aca="false">IF($G62="",AS62,Q62)</f>
        <v>13377037</v>
      </c>
      <c r="BE62" s="31" t="n">
        <f aca="false">IF($G62="",AT62,W62)</f>
        <v>13604624</v>
      </c>
      <c r="BF62" s="31" t="n">
        <f aca="false">IF($G62="",AU62,R62)</f>
        <v>1337154</v>
      </c>
      <c r="BG62" s="31" t="n">
        <f aca="false">IF($G62="",AV62,X62)</f>
        <v>1337154</v>
      </c>
      <c r="BH62" s="31" t="n">
        <f aca="false">IF($G62="",AW62,S62)</f>
        <v>296548</v>
      </c>
      <c r="BI62" s="31" t="n">
        <f aca="false">IF($G62="",AX62,Y62)</f>
        <v>296639</v>
      </c>
      <c r="BJ62" s="31" t="n">
        <f aca="false">IF(CK62="N",BR62,ROUNDDOWN((I62-L62)*設定!$B$10/1000,0)+ROUNDDOWN((I62-L62)*設定!$B$11/1000,0))</f>
        <v>0</v>
      </c>
      <c r="BK62" s="31" t="n">
        <f aca="false">ROUNDDOWN((I62-L62)*設定!$C$10/1000,0)+ROUNDDOWN((I62-L62)*設定!$C$11/1000,0)+ROUNDDOWN(I62*設定!$C$12/1000,0)+IF(CL62="市局型",ROUNDDOWN(I62*設定!$C$16/1000,0),0)</f>
        <v>0</v>
      </c>
      <c r="BL62" s="31" t="n">
        <f aca="false">IF(CK62="N",BT62,ROUNDDOWN((J62-M62)*設定!$B$13/1000,0))</f>
        <v>0</v>
      </c>
      <c r="BM62" s="31" t="n">
        <f aca="false">ROUNDDOWN((J62-M62)*設定!$C$13/1000,0)+IF(CL62="市局型",ROUNDDOWN(J62*設定!$C$17/1000,0),0)</f>
        <v>0</v>
      </c>
      <c r="BN62" s="31" t="n">
        <f aca="false">IF(CK62="N",BV62,ROUNDDOWN((K62-N62)*設定!$B$14/1000,0))</f>
        <v>0</v>
      </c>
      <c r="BO62" s="31" t="n">
        <f aca="false">ROUNDDOWN((K62-N62)*設定!$C$14/1000,0)</f>
        <v>0</v>
      </c>
      <c r="BP62" s="31" t="n">
        <f aca="false">IF(CK62="N",BX62,ROUNDDOWN((J62-M62)*設定!$B$15/1000,0))</f>
        <v>0</v>
      </c>
      <c r="BQ62" s="31" t="n">
        <f aca="false">ROUNDDOWN((J62-M62)*設定!$C$15/1000,0)</f>
        <v>0</v>
      </c>
      <c r="BR62" s="31" t="n">
        <f aca="false">O62+P62</f>
        <v>24230250</v>
      </c>
      <c r="BS62" s="31" t="n">
        <f aca="false">T62+U62+V62</f>
        <v>34139396</v>
      </c>
      <c r="BT62" s="31" t="n">
        <f aca="false">Q62</f>
        <v>13377037</v>
      </c>
      <c r="BU62" s="31" t="n">
        <f aca="false">W62</f>
        <v>13604624</v>
      </c>
      <c r="BV62" s="31" t="n">
        <f aca="false">R62</f>
        <v>1337154</v>
      </c>
      <c r="BW62" s="31" t="n">
        <f aca="false">X62</f>
        <v>1337154</v>
      </c>
      <c r="BX62" s="31" t="n">
        <f aca="false">S62</f>
        <v>296548</v>
      </c>
      <c r="BY62" s="31" t="n">
        <f aca="false">Y62</f>
        <v>296639</v>
      </c>
      <c r="BZ62" s="32" t="n">
        <f aca="false">IF(BJ62=0,IF(BR62=0,0,1),(BR62-BJ62)/BJ62)</f>
        <v>1</v>
      </c>
      <c r="CA62" s="32" t="n">
        <f aca="false">IF(BK62=0,IF(BS62=0,0,1),(BS62-BK62)/BK62)</f>
        <v>1</v>
      </c>
      <c r="CB62" s="32" t="n">
        <f aca="false">IF(BL62=0,IF(BT62=0,0,1),(BT62-BL62)/BL62)</f>
        <v>1</v>
      </c>
      <c r="CC62" s="32" t="n">
        <f aca="false">IF(BM62=0,IF(BU62=0,0,1),(BU62-BM62)/BM62)</f>
        <v>1</v>
      </c>
      <c r="CD62" s="32" t="n">
        <f aca="false">IF(BN62=0,IF(BV62=0,0,1),(BV62-BN62)/BN62)</f>
        <v>1</v>
      </c>
      <c r="CE62" s="32" t="n">
        <f aca="false">IF(BO62=0,IF(BW62=0,0,1),(BW62-BO62)/BO62)</f>
        <v>1</v>
      </c>
      <c r="CF62" s="32" t="n">
        <f aca="false">IF(BP62=0,IF(BX62=0,0,1),(BX62-BP62)/BP62)</f>
        <v>1</v>
      </c>
      <c r="CG62" s="32" t="n">
        <f aca="false">IF(BQ62=0,IF(BY62=0,0,1),(BY62-BQ62)/BQ62)</f>
        <v>1</v>
      </c>
      <c r="CH62" s="32" t="n">
        <f aca="false">MAX(MAX(BZ62:CG62),-MIN(BZ62:CG62))</f>
        <v>1</v>
      </c>
      <c r="CI62" s="31" t="n">
        <f aca="false">IF(CO62="","",SUMIFS($CJ$7:$CJ$696,$A$7:$A$696,CO62,$B$7:$B$696,B62))</f>
        <v>88544575</v>
      </c>
      <c r="CJ62" s="31" t="n">
        <f aca="false">SUM(AY62:BI62)</f>
        <v>88618802</v>
      </c>
      <c r="CK62" s="31" t="str">
        <f aca="false">IFERROR(INDEX(設定!$F$61:$F$106,MATCH(B62,設定!$B$61:$B$106,0)),"Y")</f>
        <v>Y</v>
      </c>
      <c r="CL62" s="31" t="str">
        <f aca="false">IFERROR(INDEX(設定!$G$61:$G$106,MATCH(B62,設定!$B$61:$B$106,0)),"外郭型")</f>
        <v>市局型</v>
      </c>
      <c r="CM62" s="33" t="str">
        <f aca="false">A62&amp;"|"&amp;B62</f>
        <v>2026-05 月例|水道局</v>
      </c>
      <c r="CN62" s="34" t="str">
        <f aca="false">IFERROR(INDEX(設定!$D$61:$D$106,MATCH(B62,設定!$B$61:$B$106,0)),"Y")</f>
        <v>N</v>
      </c>
      <c r="CO62" s="34" t="str">
        <f aca="false">IFERROR(INDEX(設定!$D$20:$D$34,MATCH(A62,設定!$A$20:$A$34,0))&amp;"","")</f>
        <v>2026-04 月例</v>
      </c>
    </row>
    <row r="63" customFormat="false" ht="15" hidden="true" customHeight="false" outlineLevel="0" collapsed="false">
      <c r="A63" s="22" t="s">
        <v>215</v>
      </c>
      <c r="B63" s="23" t="s">
        <v>178</v>
      </c>
      <c r="C63" s="10" t="str">
        <f aca="false">IF(G63="","未受領",IF(G63="なし","報告なし",IF(AL63="○","起票済",IF(OR(AK63="○",F63="一致",F63="入金不要"),"入金確認済","受領済"))))</f>
        <v>入金確認済</v>
      </c>
      <c r="D63" s="10" t="str">
        <f aca="false">IF(OR(G63="",G63="なし"),"―",IF(CN63="N","対象外",IF(AND(I63="",J63="",K63=""),"標報未入力",IF(CH63&gt;=設定!$B$4,"要確認","問題なし"))))</f>
        <v>標報未入力</v>
      </c>
      <c r="E63" s="24" t="str">
        <f aca="false">IF(OR(G63="",G63="なし",CI63="",CJ63=0),"―",IF(CJ63=CI63,"前月同額",IF(CI63=0,"―",IF(ABS(CJ63/CI63-1)&gt;=設定!$B$5,"変動大 "&amp;TEXT(CJ63/CI63-1,"+0%;-0%"),"〇"))))</f>
        <v>前月同額</v>
      </c>
      <c r="F63" s="10" t="str">
        <f aca="false">IF(OR(G63="",G63="なし"),"―",IF(CJ63=0,"入金不要",IF(COUNT(AD63,AF63,AH63,AJ63)=0,IF(AK63="○","手動確認","未入金"),IF(AND(N(AD63)=AC63,IF(AE63="",TRUE(),N(AF63)=AE63),IF(AG63="",TRUE(),N(AH63)=AG63),IF(AI63="",TRUE(),N(AJ63)=AI63)),"一致","不一致"))))</f>
        <v>手動確認</v>
      </c>
      <c r="G63" s="25" t="s">
        <v>167</v>
      </c>
      <c r="H63" s="26"/>
      <c r="I63" s="27"/>
      <c r="J63" s="27"/>
      <c r="K63" s="27"/>
      <c r="L63" s="27"/>
      <c r="M63" s="27"/>
      <c r="N63" s="27"/>
      <c r="O63" s="27" t="n">
        <v>48495</v>
      </c>
      <c r="P63" s="27" t="n">
        <v>3975</v>
      </c>
      <c r="Q63" s="27" t="n">
        <v>27485</v>
      </c>
      <c r="R63" s="27" t="n">
        <v>4187</v>
      </c>
      <c r="S63" s="27" t="n">
        <v>609</v>
      </c>
      <c r="T63" s="27" t="n">
        <v>69642</v>
      </c>
      <c r="U63" s="27" t="n">
        <v>3975</v>
      </c>
      <c r="V63" s="27" t="n">
        <v>46</v>
      </c>
      <c r="W63" s="27" t="n">
        <v>27946</v>
      </c>
      <c r="X63" s="27" t="n">
        <v>4187</v>
      </c>
      <c r="Y63" s="27" t="n">
        <v>609</v>
      </c>
      <c r="Z63" s="27"/>
      <c r="AA63" s="10" t="str">
        <f aca="false">IFERROR(INDEX(設定!$E$61:$E$106,MATCH(B63,設定!$B$61:$B$106,0)),"合算")</f>
        <v>合算</v>
      </c>
      <c r="AB63" s="28"/>
      <c r="AC63" s="29" t="n">
        <f aca="false">IF(OR(G63="",G63="なし"),"",IF(AA63="合算",CJ63+N(Z63),IF(AA63="掛金・負担金別",(AY63+AZ63+BD63+BF63+BH63),SUM(AY63:BC63))))</f>
        <v>191156</v>
      </c>
      <c r="AD63" s="27"/>
      <c r="AE63" s="29" t="str">
        <f aca="false">IF(OR(G63="",G63="なし"),"",IF(AA63="掛金・負担金別",(BA63+BB63+BC63+BE63+BG63+BI63+N(Z63)),IF(AA63="経理区分別",BD63+BE63,"")))</f>
        <v/>
      </c>
      <c r="AF63" s="27"/>
      <c r="AG63" s="29" t="str">
        <f aca="false">IF(OR(G63="",G63="なし"),"",IF(AA63="経理区分別",BF63+BG63,""))</f>
        <v/>
      </c>
      <c r="AH63" s="27"/>
      <c r="AI63" s="29" t="str">
        <f aca="false">IF(OR(G63="",G63="なし"),"",IF(AA63="経理区分別",BH63+BI63+N(Z63),""))</f>
        <v/>
      </c>
      <c r="AJ63" s="27"/>
      <c r="AK63" s="26" t="s">
        <v>168</v>
      </c>
      <c r="AL63" s="26"/>
      <c r="AM63" s="30"/>
      <c r="AN63" s="31"/>
      <c r="AO63" s="31"/>
      <c r="AP63" s="31"/>
      <c r="AQ63" s="31"/>
      <c r="AR63" s="31"/>
      <c r="AS63" s="31"/>
      <c r="AT63" s="31"/>
      <c r="AU63" s="31"/>
      <c r="AV63" s="31"/>
      <c r="AW63" s="31"/>
      <c r="AX63" s="31"/>
      <c r="AY63" s="31" t="n">
        <f aca="false">IF($G63="",AN63,O63)</f>
        <v>48495</v>
      </c>
      <c r="AZ63" s="31" t="n">
        <f aca="false">IF($G63="",AO63,P63)</f>
        <v>3975</v>
      </c>
      <c r="BA63" s="31" t="n">
        <f aca="false">IF($G63="",AP63,T63)</f>
        <v>69642</v>
      </c>
      <c r="BB63" s="31" t="n">
        <f aca="false">IF($G63="",AQ63,U63)</f>
        <v>3975</v>
      </c>
      <c r="BC63" s="31" t="n">
        <f aca="false">IF($G63="",AR63,V63)</f>
        <v>46</v>
      </c>
      <c r="BD63" s="31" t="n">
        <f aca="false">IF($G63="",AS63,Q63)</f>
        <v>27485</v>
      </c>
      <c r="BE63" s="31" t="n">
        <f aca="false">IF($G63="",AT63,W63)</f>
        <v>27946</v>
      </c>
      <c r="BF63" s="31" t="n">
        <f aca="false">IF($G63="",AU63,R63)</f>
        <v>4187</v>
      </c>
      <c r="BG63" s="31" t="n">
        <f aca="false">IF($G63="",AV63,X63)</f>
        <v>4187</v>
      </c>
      <c r="BH63" s="31" t="n">
        <f aca="false">IF($G63="",AW63,S63)</f>
        <v>609</v>
      </c>
      <c r="BI63" s="31" t="n">
        <f aca="false">IF($G63="",AX63,Y63)</f>
        <v>609</v>
      </c>
      <c r="BJ63" s="31" t="n">
        <f aca="false">IF(CK63="N",BR63,ROUNDDOWN((I63-L63)*設定!$B$10/1000,0)+ROUNDDOWN((I63-L63)*設定!$B$11/1000,0))</f>
        <v>0</v>
      </c>
      <c r="BK63" s="31" t="n">
        <f aca="false">ROUNDDOWN((I63-L63)*設定!$C$10/1000,0)+ROUNDDOWN((I63-L63)*設定!$C$11/1000,0)+ROUNDDOWN(I63*設定!$C$12/1000,0)+IF(CL63="市局型",ROUNDDOWN(I63*設定!$C$16/1000,0),0)</f>
        <v>0</v>
      </c>
      <c r="BL63" s="31" t="n">
        <f aca="false">IF(CK63="N",BT63,ROUNDDOWN((J63-M63)*設定!$B$13/1000,0))</f>
        <v>0</v>
      </c>
      <c r="BM63" s="31" t="n">
        <f aca="false">ROUNDDOWN((J63-M63)*設定!$C$13/1000,0)+IF(CL63="市局型",ROUNDDOWN(J63*設定!$C$17/1000,0),0)</f>
        <v>0</v>
      </c>
      <c r="BN63" s="31" t="n">
        <f aca="false">IF(CK63="N",BV63,ROUNDDOWN((K63-N63)*設定!$B$14/1000,0))</f>
        <v>0</v>
      </c>
      <c r="BO63" s="31" t="n">
        <f aca="false">ROUNDDOWN((K63-N63)*設定!$C$14/1000,0)</f>
        <v>0</v>
      </c>
      <c r="BP63" s="31" t="n">
        <f aca="false">IF(CK63="N",BX63,ROUNDDOWN((J63-M63)*設定!$B$15/1000,0))</f>
        <v>0</v>
      </c>
      <c r="BQ63" s="31" t="n">
        <f aca="false">ROUNDDOWN((J63-M63)*設定!$C$15/1000,0)</f>
        <v>0</v>
      </c>
      <c r="BR63" s="31" t="n">
        <f aca="false">O63+P63</f>
        <v>52470</v>
      </c>
      <c r="BS63" s="31" t="n">
        <f aca="false">T63+U63+V63</f>
        <v>73663</v>
      </c>
      <c r="BT63" s="31" t="n">
        <f aca="false">Q63</f>
        <v>27485</v>
      </c>
      <c r="BU63" s="31" t="n">
        <f aca="false">W63</f>
        <v>27946</v>
      </c>
      <c r="BV63" s="31" t="n">
        <f aca="false">R63</f>
        <v>4187</v>
      </c>
      <c r="BW63" s="31" t="n">
        <f aca="false">X63</f>
        <v>4187</v>
      </c>
      <c r="BX63" s="31" t="n">
        <f aca="false">S63</f>
        <v>609</v>
      </c>
      <c r="BY63" s="31" t="n">
        <f aca="false">Y63</f>
        <v>609</v>
      </c>
      <c r="BZ63" s="32" t="n">
        <f aca="false">IF(BJ63=0,IF(BR63=0,0,1),(BR63-BJ63)/BJ63)</f>
        <v>1</v>
      </c>
      <c r="CA63" s="32" t="n">
        <f aca="false">IF(BK63=0,IF(BS63=0,0,1),(BS63-BK63)/BK63)</f>
        <v>1</v>
      </c>
      <c r="CB63" s="32" t="n">
        <f aca="false">IF(BL63=0,IF(BT63=0,0,1),(BT63-BL63)/BL63)</f>
        <v>1</v>
      </c>
      <c r="CC63" s="32" t="n">
        <f aca="false">IF(BM63=0,IF(BU63=0,0,1),(BU63-BM63)/BM63)</f>
        <v>1</v>
      </c>
      <c r="CD63" s="32" t="n">
        <f aca="false">IF(BN63=0,IF(BV63=0,0,1),(BV63-BN63)/BN63)</f>
        <v>1</v>
      </c>
      <c r="CE63" s="32" t="n">
        <f aca="false">IF(BO63=0,IF(BW63=0,0,1),(BW63-BO63)/BO63)</f>
        <v>1</v>
      </c>
      <c r="CF63" s="32" t="n">
        <f aca="false">IF(BP63=0,IF(BX63=0,0,1),(BX63-BP63)/BP63)</f>
        <v>1</v>
      </c>
      <c r="CG63" s="32" t="n">
        <f aca="false">IF(BQ63=0,IF(BY63=0,0,1),(BY63-BQ63)/BQ63)</f>
        <v>1</v>
      </c>
      <c r="CH63" s="32" t="n">
        <f aca="false">MAX(MAX(BZ63:CG63),-MIN(BZ63:CG63))</f>
        <v>1</v>
      </c>
      <c r="CI63" s="31" t="n">
        <f aca="false">IF(CO63="","",SUMIFS($CJ$7:$CJ$696,$A$7:$A$696,CO63,$B$7:$B$696,B63))</f>
        <v>191156</v>
      </c>
      <c r="CJ63" s="31" t="n">
        <f aca="false">SUM(AY63:BI63)</f>
        <v>191156</v>
      </c>
      <c r="CK63" s="31" t="str">
        <f aca="false">IFERROR(INDEX(設定!$F$61:$F$106,MATCH(B63,設定!$B$61:$B$106,0)),"Y")</f>
        <v>Y</v>
      </c>
      <c r="CL63" s="31" t="str">
        <f aca="false">IFERROR(INDEX(設定!$G$61:$G$106,MATCH(B63,設定!$B$61:$B$106,0)),"外郭型")</f>
        <v>市局型</v>
      </c>
      <c r="CM63" s="33" t="str">
        <f aca="false">A63&amp;"|"&amp;B63</f>
        <v>2026-05 月例|医療政策課(安芸市民)</v>
      </c>
      <c r="CN63" s="34" t="str">
        <f aca="false">IFERROR(INDEX(設定!$D$61:$D$106,MATCH(B63,設定!$B$61:$B$106,0)),"Y")</f>
        <v>Y</v>
      </c>
      <c r="CO63" s="34" t="str">
        <f aca="false">IFERROR(INDEX(設定!$D$20:$D$34,MATCH(A63,設定!$A$20:$A$34,0))&amp;"","")</f>
        <v>2026-04 月例</v>
      </c>
    </row>
    <row r="64" customFormat="false" ht="15" hidden="true" customHeight="false" outlineLevel="0" collapsed="false">
      <c r="A64" s="22" t="s">
        <v>215</v>
      </c>
      <c r="B64" s="23" t="s">
        <v>179</v>
      </c>
      <c r="C64" s="10" t="str">
        <f aca="false">IF(G64="","未受領",IF(G64="なし","報告なし",IF(AL64="○","起票済",IF(OR(AK64="○",F64="一致",F64="入金不要"),"入金確認済","受領済"))))</f>
        <v>入金確認済</v>
      </c>
      <c r="D64" s="10" t="str">
        <f aca="false">IF(OR(G64="",G64="なし"),"―",IF(CN64="N","対象外",IF(AND(I64="",J64="",K64=""),"標報未入力",IF(CH64&gt;=設定!$B$4,"要確認","問題なし"))))</f>
        <v>標報未入力</v>
      </c>
      <c r="E64" s="24" t="str">
        <f aca="false">IF(OR(G64="",G64="なし",CI64="",CJ64=0),"―",IF(CJ64=CI64,"前月同額",IF(CI64=0,"―",IF(ABS(CJ64/CI64-1)&gt;=設定!$B$5,"変動大 "&amp;TEXT(CJ64/CI64-1,"+0%;-0%"),"〇"))))</f>
        <v>―</v>
      </c>
      <c r="F64" s="10" t="str">
        <f aca="false">IF(OR(G64="",G64="なし"),"―",IF(CJ64=0,"入金不要",IF(COUNT(AD64,AF64,AH64,AJ64)=0,IF(AK64="○","手動確認","未入金"),IF(AND(N(AD64)=AC64,IF(AE64="",TRUE(),N(AF64)=AE64),IF(AG64="",TRUE(),N(AH64)=AG64),IF(AI64="",TRUE(),N(AJ64)=AI64)),"一致","不一致"))))</f>
        <v>手動確認</v>
      </c>
      <c r="G64" s="25" t="s">
        <v>167</v>
      </c>
      <c r="H64" s="26"/>
      <c r="I64" s="27"/>
      <c r="J64" s="27"/>
      <c r="K64" s="27"/>
      <c r="L64" s="27"/>
      <c r="M64" s="27"/>
      <c r="N64" s="27"/>
      <c r="O64" s="27" t="n">
        <v>0</v>
      </c>
      <c r="P64" s="27" t="n">
        <v>0</v>
      </c>
      <c r="Q64" s="27" t="n">
        <v>319157</v>
      </c>
      <c r="R64" s="27" t="n">
        <v>9622</v>
      </c>
      <c r="S64" s="27" t="n">
        <v>6964</v>
      </c>
      <c r="T64" s="27"/>
      <c r="U64" s="27"/>
      <c r="V64" s="27" t="n">
        <v>0</v>
      </c>
      <c r="W64" s="27" t="n">
        <v>324524</v>
      </c>
      <c r="X64" s="27" t="n">
        <v>9622</v>
      </c>
      <c r="Y64" s="27" t="n">
        <v>6969</v>
      </c>
      <c r="Z64" s="27"/>
      <c r="AA64" s="10" t="str">
        <f aca="false">IFERROR(INDEX(設定!$E$61:$E$106,MATCH(B64,設定!$B$61:$B$106,0)),"合算")</f>
        <v>合算</v>
      </c>
      <c r="AB64" s="28"/>
      <c r="AC64" s="29" t="n">
        <f aca="false">IF(OR(G64="",G64="なし"),"",IF(AA64="合算",CJ64+N(Z64),IF(AA64="掛金・負担金別",(AY64+AZ64+BD64+BF64+BH64),SUM(AY64:BC64))))</f>
        <v>676858</v>
      </c>
      <c r="AD64" s="27"/>
      <c r="AE64" s="29" t="str">
        <f aca="false">IF(OR(G64="",G64="なし"),"",IF(AA64="掛金・負担金別",(BA64+BB64+BC64+BE64+BG64+BI64+N(Z64)),IF(AA64="経理区分別",BD64+BE64,"")))</f>
        <v/>
      </c>
      <c r="AF64" s="27"/>
      <c r="AG64" s="29" t="str">
        <f aca="false">IF(OR(G64="",G64="なし"),"",IF(AA64="経理区分別",BF64+BG64,""))</f>
        <v/>
      </c>
      <c r="AH64" s="27"/>
      <c r="AI64" s="29" t="str">
        <f aca="false">IF(OR(G64="",G64="なし"),"",IF(AA64="経理区分別",BH64+BI64+N(Z64),""))</f>
        <v/>
      </c>
      <c r="AJ64" s="27"/>
      <c r="AK64" s="26" t="s">
        <v>168</v>
      </c>
      <c r="AL64" s="26"/>
      <c r="AM64" s="30"/>
      <c r="AN64" s="31"/>
      <c r="AO64" s="31"/>
      <c r="AP64" s="31"/>
      <c r="AQ64" s="31"/>
      <c r="AR64" s="31"/>
      <c r="AS64" s="31"/>
      <c r="AT64" s="31"/>
      <c r="AU64" s="31"/>
      <c r="AV64" s="31"/>
      <c r="AW64" s="31"/>
      <c r="AX64" s="31"/>
      <c r="AY64" s="31" t="n">
        <f aca="false">IF($G64="",AN64,O64)</f>
        <v>0</v>
      </c>
      <c r="AZ64" s="31" t="n">
        <f aca="false">IF($G64="",AO64,P64)</f>
        <v>0</v>
      </c>
      <c r="BA64" s="31" t="n">
        <f aca="false">IF($G64="",AP64,T64)</f>
        <v>0</v>
      </c>
      <c r="BB64" s="31" t="n">
        <f aca="false">IF($G64="",AQ64,U64)</f>
        <v>0</v>
      </c>
      <c r="BC64" s="31" t="n">
        <f aca="false">IF($G64="",AR64,V64)</f>
        <v>0</v>
      </c>
      <c r="BD64" s="31" t="n">
        <f aca="false">IF($G64="",AS64,Q64)</f>
        <v>319157</v>
      </c>
      <c r="BE64" s="31" t="n">
        <f aca="false">IF($G64="",AT64,W64)</f>
        <v>324524</v>
      </c>
      <c r="BF64" s="31" t="n">
        <f aca="false">IF($G64="",AU64,R64)</f>
        <v>9622</v>
      </c>
      <c r="BG64" s="31" t="n">
        <f aca="false">IF($G64="",AV64,X64)</f>
        <v>9622</v>
      </c>
      <c r="BH64" s="31" t="n">
        <f aca="false">IF($G64="",AW64,S64)</f>
        <v>6964</v>
      </c>
      <c r="BI64" s="31" t="n">
        <f aca="false">IF($G64="",AX64,Y64)</f>
        <v>6969</v>
      </c>
      <c r="BJ64" s="31" t="n">
        <f aca="false">IF(CK64="N",BR64,ROUNDDOWN((I64-L64)*設定!$B$10/1000,0)+ROUNDDOWN((I64-L64)*設定!$B$11/1000,0))</f>
        <v>0</v>
      </c>
      <c r="BK64" s="31" t="n">
        <f aca="false">ROUNDDOWN((I64-L64)*設定!$C$10/1000,0)+ROUNDDOWN((I64-L64)*設定!$C$11/1000,0)+ROUNDDOWN(I64*設定!$C$12/1000,0)+IF(CL64="市局型",ROUNDDOWN(I64*設定!$C$16/1000,0),0)</f>
        <v>0</v>
      </c>
      <c r="BL64" s="31" t="n">
        <f aca="false">IF(CK64="N",BT64,ROUNDDOWN((J64-M64)*設定!$B$13/1000,0))</f>
        <v>0</v>
      </c>
      <c r="BM64" s="31" t="n">
        <f aca="false">ROUNDDOWN((J64-M64)*設定!$C$13/1000,0)+IF(CL64="市局型",ROUNDDOWN(J64*設定!$C$17/1000,0),0)</f>
        <v>0</v>
      </c>
      <c r="BN64" s="31" t="n">
        <f aca="false">IF(CK64="N",BV64,ROUNDDOWN((K64-N64)*設定!$B$14/1000,0))</f>
        <v>0</v>
      </c>
      <c r="BO64" s="31" t="n">
        <f aca="false">ROUNDDOWN((K64-N64)*設定!$C$14/1000,0)</f>
        <v>0</v>
      </c>
      <c r="BP64" s="31" t="n">
        <f aca="false">IF(CK64="N",BX64,ROUNDDOWN((J64-M64)*設定!$B$15/1000,0))</f>
        <v>0</v>
      </c>
      <c r="BQ64" s="31" t="n">
        <f aca="false">ROUNDDOWN((J64-M64)*設定!$C$15/1000,0)</f>
        <v>0</v>
      </c>
      <c r="BR64" s="31" t="n">
        <f aca="false">O64+P64</f>
        <v>0</v>
      </c>
      <c r="BS64" s="31" t="n">
        <f aca="false">T64+U64+V64</f>
        <v>0</v>
      </c>
      <c r="BT64" s="31" t="n">
        <f aca="false">Q64</f>
        <v>319157</v>
      </c>
      <c r="BU64" s="31" t="n">
        <f aca="false">W64</f>
        <v>324524</v>
      </c>
      <c r="BV64" s="31" t="n">
        <f aca="false">R64</f>
        <v>9622</v>
      </c>
      <c r="BW64" s="31" t="n">
        <f aca="false">X64</f>
        <v>9622</v>
      </c>
      <c r="BX64" s="31" t="n">
        <f aca="false">S64</f>
        <v>6964</v>
      </c>
      <c r="BY64" s="31" t="n">
        <f aca="false">Y64</f>
        <v>6969</v>
      </c>
      <c r="BZ64" s="32" t="n">
        <f aca="false">IF(BJ64=0,IF(BR64=0,0,1),(BR64-BJ64)/BJ64)</f>
        <v>0</v>
      </c>
      <c r="CA64" s="32" t="n">
        <f aca="false">IF(BK64=0,IF(BS64=0,0,1),(BS64-BK64)/BK64)</f>
        <v>0</v>
      </c>
      <c r="CB64" s="32" t="n">
        <f aca="false">IF(BL64=0,IF(BT64=0,0,1),(BT64-BL64)/BL64)</f>
        <v>1</v>
      </c>
      <c r="CC64" s="32" t="n">
        <f aca="false">IF(BM64=0,IF(BU64=0,0,1),(BU64-BM64)/BM64)</f>
        <v>1</v>
      </c>
      <c r="CD64" s="32" t="n">
        <f aca="false">IF(BN64=0,IF(BV64=0,0,1),(BV64-BN64)/BN64)</f>
        <v>1</v>
      </c>
      <c r="CE64" s="32" t="n">
        <f aca="false">IF(BO64=0,IF(BW64=0,0,1),(BW64-BO64)/BO64)</f>
        <v>1</v>
      </c>
      <c r="CF64" s="32" t="n">
        <f aca="false">IF(BP64=0,IF(BX64=0,0,1),(BX64-BP64)/BP64)</f>
        <v>1</v>
      </c>
      <c r="CG64" s="32" t="n">
        <f aca="false">IF(BQ64=0,IF(BY64=0,0,1),(BY64-BQ64)/BQ64)</f>
        <v>1</v>
      </c>
      <c r="CH64" s="32" t="n">
        <f aca="false">MAX(MAX(BZ64:CG64),-MIN(BZ64:CG64))</f>
        <v>1</v>
      </c>
      <c r="CI64" s="31" t="n">
        <f aca="false">IF(CO64="","",SUMIFS($CJ$7:$CJ$696,$A$7:$A$696,CO64,$B$7:$B$696,B64))</f>
        <v>0</v>
      </c>
      <c r="CJ64" s="31" t="n">
        <f aca="false">SUM(AY64:BI64)</f>
        <v>676858</v>
      </c>
      <c r="CK64" s="31" t="str">
        <f aca="false">IFERROR(INDEX(設定!$F$61:$F$106,MATCH(B64,設定!$B$61:$B$106,0)),"Y")</f>
        <v>Y</v>
      </c>
      <c r="CL64" s="31" t="str">
        <f aca="false">IFERROR(INDEX(設定!$G$61:$G$106,MATCH(B64,設定!$B$61:$B$106,0)),"外郭型")</f>
        <v>市局型</v>
      </c>
      <c r="CM64" s="33" t="str">
        <f aca="false">A64&amp;"|"&amp;B64</f>
        <v>2026-05 月例|教育委員会（教育給与課）</v>
      </c>
      <c r="CN64" s="34" t="str">
        <f aca="false">IFERROR(INDEX(設定!$D$61:$D$106,MATCH(B64,設定!$B$61:$B$106,0)),"Y")</f>
        <v>Y</v>
      </c>
      <c r="CO64" s="34" t="str">
        <f aca="false">IFERROR(INDEX(設定!$D$20:$D$34,MATCH(A64,設定!$A$20:$A$34,0))&amp;"","")</f>
        <v>2026-04 月例</v>
      </c>
    </row>
    <row r="65" customFormat="false" ht="15" hidden="true" customHeight="false" outlineLevel="0" collapsed="false">
      <c r="A65" s="22" t="s">
        <v>215</v>
      </c>
      <c r="B65" s="23" t="s">
        <v>180</v>
      </c>
      <c r="C65" s="10" t="str">
        <f aca="false">IF(G65="","未受領",IF(G65="なし","報告なし",IF(AL65="○","起票済",IF(OR(AK65="○",F65="一致",F65="入金不要"),"入金確認済","受領済"))))</f>
        <v>報告なし</v>
      </c>
      <c r="D65" s="10" t="str">
        <f aca="false">IF(OR(G65="",G65="なし"),"―",IF(CN65="N","対象外",IF(AND(I65="",J65="",K65=""),"標報未入力",IF(CH65&gt;=設定!$B$4,"要確認","問題なし"))))</f>
        <v>―</v>
      </c>
      <c r="E65" s="24" t="str">
        <f aca="false">IF(OR(G65="",G65="なし",CI65="",CJ65=0),"―",IF(CJ65=CI65,"前月同額",IF(CI65=0,"―",IF(ABS(CJ65/CI65-1)&gt;=設定!$B$5,"変動大 "&amp;TEXT(CJ65/CI65-1,"+0%;-0%"),"〇"))))</f>
        <v>―</v>
      </c>
      <c r="F65" s="10" t="str">
        <f aca="false">IF(OR(G65="",G65="なし"),"―",IF(CJ65=0,"入金不要",IF(COUNT(AD65,AF65,AH65,AJ65)=0,IF(AK65="○","手動確認","未入金"),IF(AND(N(AD65)=AC65,IF(AE65="",TRUE(),N(AF65)=AE65),IF(AG65="",TRUE(),N(AH65)=AG65),IF(AI65="",TRUE(),N(AJ65)=AI65)),"一致","不一致"))))</f>
        <v>―</v>
      </c>
      <c r="G65" s="25" t="s">
        <v>181</v>
      </c>
      <c r="H65" s="26"/>
      <c r="I65" s="27"/>
      <c r="J65" s="27"/>
      <c r="K65" s="27"/>
      <c r="L65" s="27"/>
      <c r="M65" s="27"/>
      <c r="N65" s="27"/>
      <c r="O65" s="27"/>
      <c r="P65" s="27"/>
      <c r="Q65" s="27"/>
      <c r="R65" s="27"/>
      <c r="S65" s="27"/>
      <c r="T65" s="27"/>
      <c r="U65" s="27"/>
      <c r="V65" s="27"/>
      <c r="W65" s="27"/>
      <c r="X65" s="27"/>
      <c r="Y65" s="27"/>
      <c r="Z65" s="27"/>
      <c r="AA65" s="10" t="str">
        <f aca="false">IFERROR(INDEX(設定!$E$61:$E$106,MATCH(B65,設定!$B$61:$B$106,0)),"合算")</f>
        <v>合算</v>
      </c>
      <c r="AB65" s="28"/>
      <c r="AC65" s="29" t="str">
        <f aca="false">IF(OR(G65="",G65="なし"),"",IF(AA65="合算",CJ65+N(Z65),IF(AA65="掛金・負担金別",(AY65+AZ65+BD65+BF65+BH65),SUM(AY65:BC65))))</f>
        <v/>
      </c>
      <c r="AD65" s="27"/>
      <c r="AE65" s="29" t="str">
        <f aca="false">IF(OR(G65="",G65="なし"),"",IF(AA65="掛金・負担金別",(BA65+BB65+BC65+BE65+BG65+BI65+N(Z65)),IF(AA65="経理区分別",BD65+BE65,"")))</f>
        <v/>
      </c>
      <c r="AF65" s="27"/>
      <c r="AG65" s="29" t="str">
        <f aca="false">IF(OR(G65="",G65="なし"),"",IF(AA65="経理区分別",BF65+BG65,""))</f>
        <v/>
      </c>
      <c r="AH65" s="27"/>
      <c r="AI65" s="29" t="str">
        <f aca="false">IF(OR(G65="",G65="なし"),"",IF(AA65="経理区分別",BH65+BI65+N(Z65),""))</f>
        <v/>
      </c>
      <c r="AJ65" s="27"/>
      <c r="AK65" s="26"/>
      <c r="AL65" s="26"/>
      <c r="AM65" s="30"/>
      <c r="AN65" s="31"/>
      <c r="AO65" s="31"/>
      <c r="AP65" s="31"/>
      <c r="AQ65" s="31"/>
      <c r="AR65" s="31"/>
      <c r="AS65" s="31"/>
      <c r="AT65" s="31"/>
      <c r="AU65" s="31"/>
      <c r="AV65" s="31"/>
      <c r="AW65" s="31"/>
      <c r="AX65" s="31"/>
      <c r="AY65" s="31" t="n">
        <f aca="false">IF($G65="",AN65,O65)</f>
        <v>0</v>
      </c>
      <c r="AZ65" s="31" t="n">
        <f aca="false">IF($G65="",AO65,P65)</f>
        <v>0</v>
      </c>
      <c r="BA65" s="31" t="n">
        <f aca="false">IF($G65="",AP65,T65)</f>
        <v>0</v>
      </c>
      <c r="BB65" s="31" t="n">
        <f aca="false">IF($G65="",AQ65,U65)</f>
        <v>0</v>
      </c>
      <c r="BC65" s="31" t="n">
        <f aca="false">IF($G65="",AR65,V65)</f>
        <v>0</v>
      </c>
      <c r="BD65" s="31" t="n">
        <f aca="false">IF($G65="",AS65,Q65)</f>
        <v>0</v>
      </c>
      <c r="BE65" s="31" t="n">
        <f aca="false">IF($G65="",AT65,W65)</f>
        <v>0</v>
      </c>
      <c r="BF65" s="31" t="n">
        <f aca="false">IF($G65="",AU65,R65)</f>
        <v>0</v>
      </c>
      <c r="BG65" s="31" t="n">
        <f aca="false">IF($G65="",AV65,X65)</f>
        <v>0</v>
      </c>
      <c r="BH65" s="31" t="n">
        <f aca="false">IF($G65="",AW65,S65)</f>
        <v>0</v>
      </c>
      <c r="BI65" s="31" t="n">
        <f aca="false">IF($G65="",AX65,Y65)</f>
        <v>0</v>
      </c>
      <c r="BJ65" s="31" t="n">
        <f aca="false">IF(CK65="N",BR65,ROUNDDOWN((I65-L65)*設定!$B$10/1000,0)+ROUNDDOWN((I65-L65)*設定!$B$11/1000,0))</f>
        <v>0</v>
      </c>
      <c r="BK65" s="31" t="n">
        <f aca="false">ROUNDDOWN((I65-L65)*設定!$C$10/1000,0)+ROUNDDOWN((I65-L65)*設定!$C$11/1000,0)+ROUNDDOWN(I65*設定!$C$12/1000,0)+IF(CL65="市局型",ROUNDDOWN(I65*設定!$C$16/1000,0),0)</f>
        <v>0</v>
      </c>
      <c r="BL65" s="31" t="n">
        <f aca="false">IF(CK65="N",BT65,ROUNDDOWN((J65-M65)*設定!$B$13/1000,0))</f>
        <v>0</v>
      </c>
      <c r="BM65" s="31" t="n">
        <f aca="false">ROUNDDOWN((J65-M65)*設定!$C$13/1000,0)+IF(CL65="市局型",ROUNDDOWN(J65*設定!$C$17/1000,0),0)</f>
        <v>0</v>
      </c>
      <c r="BN65" s="31" t="n">
        <f aca="false">IF(CK65="N",BV65,ROUNDDOWN((K65-N65)*設定!$B$14/1000,0))</f>
        <v>0</v>
      </c>
      <c r="BO65" s="31" t="n">
        <f aca="false">ROUNDDOWN((K65-N65)*設定!$C$14/1000,0)</f>
        <v>0</v>
      </c>
      <c r="BP65" s="31" t="n">
        <f aca="false">IF(CK65="N",BX65,ROUNDDOWN((J65-M65)*設定!$B$15/1000,0))</f>
        <v>0</v>
      </c>
      <c r="BQ65" s="31" t="n">
        <f aca="false">ROUNDDOWN((J65-M65)*設定!$C$15/1000,0)</f>
        <v>0</v>
      </c>
      <c r="BR65" s="31" t="n">
        <f aca="false">O65+P65</f>
        <v>0</v>
      </c>
      <c r="BS65" s="31" t="n">
        <f aca="false">T65+U65+V65</f>
        <v>0</v>
      </c>
      <c r="BT65" s="31" t="n">
        <f aca="false">Q65</f>
        <v>0</v>
      </c>
      <c r="BU65" s="31" t="n">
        <f aca="false">W65</f>
        <v>0</v>
      </c>
      <c r="BV65" s="31" t="n">
        <f aca="false">R65</f>
        <v>0</v>
      </c>
      <c r="BW65" s="31" t="n">
        <f aca="false">X65</f>
        <v>0</v>
      </c>
      <c r="BX65" s="31" t="n">
        <f aca="false">S65</f>
        <v>0</v>
      </c>
      <c r="BY65" s="31" t="n">
        <f aca="false">Y65</f>
        <v>0</v>
      </c>
      <c r="BZ65" s="32" t="n">
        <f aca="false">IF(BJ65=0,IF(BR65=0,0,1),(BR65-BJ65)/BJ65)</f>
        <v>0</v>
      </c>
      <c r="CA65" s="32" t="n">
        <f aca="false">IF(BK65=0,IF(BS65=0,0,1),(BS65-BK65)/BK65)</f>
        <v>0</v>
      </c>
      <c r="CB65" s="32" t="n">
        <f aca="false">IF(BL65=0,IF(BT65=0,0,1),(BT65-BL65)/BL65)</f>
        <v>0</v>
      </c>
      <c r="CC65" s="32" t="n">
        <f aca="false">IF(BM65=0,IF(BU65=0,0,1),(BU65-BM65)/BM65)</f>
        <v>0</v>
      </c>
      <c r="CD65" s="32" t="n">
        <f aca="false">IF(BN65=0,IF(BV65=0,0,1),(BV65-BN65)/BN65)</f>
        <v>0</v>
      </c>
      <c r="CE65" s="32" t="n">
        <f aca="false">IF(BO65=0,IF(BW65=0,0,1),(BW65-BO65)/BO65)</f>
        <v>0</v>
      </c>
      <c r="CF65" s="32" t="n">
        <f aca="false">IF(BP65=0,IF(BX65=0,0,1),(BX65-BP65)/BP65)</f>
        <v>0</v>
      </c>
      <c r="CG65" s="32" t="n">
        <f aca="false">IF(BQ65=0,IF(BY65=0,0,1),(BY65-BQ65)/BQ65)</f>
        <v>0</v>
      </c>
      <c r="CH65" s="32" t="n">
        <f aca="false">MAX(MAX(BZ65:CG65),-MIN(BZ65:CG65))</f>
        <v>-0</v>
      </c>
      <c r="CI65" s="31" t="n">
        <f aca="false">IF(CO65="","",SUMIFS($CJ$7:$CJ$696,$A$7:$A$696,CO65,$B$7:$B$696,B65))</f>
        <v>0</v>
      </c>
      <c r="CJ65" s="31" t="n">
        <f aca="false">SUM(AY65:BI65)</f>
        <v>0</v>
      </c>
      <c r="CK65" s="31" t="str">
        <f aca="false">IFERROR(INDEX(設定!$F$61:$F$106,MATCH(B65,設定!$B$61:$B$106,0)),"Y")</f>
        <v>N</v>
      </c>
      <c r="CL65" s="31" t="str">
        <f aca="false">IFERROR(INDEX(設定!$G$61:$G$106,MATCH(B65,設定!$B$61:$B$106,0)),"外郭型")</f>
        <v>外郭型</v>
      </c>
      <c r="CM65" s="33" t="str">
        <f aca="false">A65&amp;"|"&amp;B65</f>
        <v>2026-05 月例|地方税共同機構</v>
      </c>
      <c r="CN65" s="34" t="str">
        <f aca="false">IFERROR(INDEX(設定!$D$61:$D$106,MATCH(B65,設定!$B$61:$B$106,0)),"Y")</f>
        <v>Y</v>
      </c>
      <c r="CO65" s="34" t="str">
        <f aca="false">IFERROR(INDEX(設定!$D$20:$D$34,MATCH(A65,設定!$A$20:$A$34,0))&amp;"","")</f>
        <v>2026-04 月例</v>
      </c>
    </row>
    <row r="66" customFormat="false" ht="15" hidden="true" customHeight="false" outlineLevel="0" collapsed="false">
      <c r="A66" s="22" t="s">
        <v>215</v>
      </c>
      <c r="B66" s="23" t="s">
        <v>182</v>
      </c>
      <c r="C66" s="10" t="str">
        <f aca="false">IF(G66="","未受領",IF(G66="なし","報告なし",IF(AL66="○","起票済",IF(OR(AK66="○",F66="一致",F66="入金不要"),"入金確認済","受領済"))))</f>
        <v>入金確認済</v>
      </c>
      <c r="D66" s="10" t="str">
        <f aca="false">IF(OR(G66="",G66="なし"),"―",IF(CN66="N","対象外",IF(AND(I66="",J66="",K66=""),"標報未入力",IF(CH66&gt;=設定!$B$4,"要確認","問題なし"))))</f>
        <v>標報未入力</v>
      </c>
      <c r="E66" s="24" t="str">
        <f aca="false">IF(OR(G66="",G66="なし",CI66="",CJ66=0),"―",IF(CJ66=CI66,"前月同額",IF(CI66=0,"―",IF(ABS(CJ66/CI66-1)&gt;=設定!$B$5,"変動大 "&amp;TEXT(CJ66/CI66-1,"+0%;-0%"),"〇"))))</f>
        <v>前月同額</v>
      </c>
      <c r="F66" s="10" t="str">
        <f aca="false">IF(OR(G66="",G66="なし"),"―",IF(CJ66=0,"入金不要",IF(COUNT(AD66,AF66,AH66,AJ66)=0,IF(AK66="○","手動確認","未入金"),IF(AND(N(AD66)=AC66,IF(AE66="",TRUE(),N(AF66)=AE66),IF(AG66="",TRUE(),N(AH66)=AG66),IF(AI66="",TRUE(),N(AJ66)=AI66)),"一致","不一致"))))</f>
        <v>手動確認</v>
      </c>
      <c r="G66" s="25" t="s">
        <v>167</v>
      </c>
      <c r="H66" s="26"/>
      <c r="I66" s="27"/>
      <c r="J66" s="27"/>
      <c r="K66" s="27"/>
      <c r="L66" s="27"/>
      <c r="M66" s="27"/>
      <c r="N66" s="27"/>
      <c r="O66" s="27" t="n">
        <v>0</v>
      </c>
      <c r="P66" s="27" t="n">
        <v>0</v>
      </c>
      <c r="Q66" s="27" t="n">
        <v>0</v>
      </c>
      <c r="R66" s="27" t="n">
        <v>0</v>
      </c>
      <c r="S66" s="27" t="n">
        <v>0</v>
      </c>
      <c r="T66" s="27" t="n">
        <v>765855</v>
      </c>
      <c r="U66" s="27" t="n">
        <v>62775</v>
      </c>
      <c r="V66" s="27" t="n">
        <v>789</v>
      </c>
      <c r="W66" s="27" t="n">
        <v>441236</v>
      </c>
      <c r="X66" s="27" t="n">
        <v>54826</v>
      </c>
      <c r="Y66" s="27" t="n">
        <v>9775</v>
      </c>
      <c r="Z66" s="27"/>
      <c r="AA66" s="10" t="str">
        <f aca="false">IFERROR(INDEX(設定!$E$61:$E$106,MATCH(B66,設定!$B$61:$B$106,0)),"合算")</f>
        <v>合算</v>
      </c>
      <c r="AB66" s="28"/>
      <c r="AC66" s="29" t="n">
        <f aca="false">IF(OR(G66="",G66="なし"),"",IF(AA66="合算",CJ66+N(Z66),IF(AA66="掛金・負担金別",(AY66+AZ66+BD66+BF66+BH66),SUM(AY66:BC66))))</f>
        <v>1335256</v>
      </c>
      <c r="AD66" s="27"/>
      <c r="AE66" s="29" t="str">
        <f aca="false">IF(OR(G66="",G66="なし"),"",IF(AA66="掛金・負担金別",(BA66+BB66+BC66+BE66+BG66+BI66+N(Z66)),IF(AA66="経理区分別",BD66+BE66,"")))</f>
        <v/>
      </c>
      <c r="AF66" s="27"/>
      <c r="AG66" s="29" t="str">
        <f aca="false">IF(OR(G66="",G66="なし"),"",IF(AA66="経理区分別",BF66+BG66,""))</f>
        <v/>
      </c>
      <c r="AH66" s="27"/>
      <c r="AI66" s="29" t="str">
        <f aca="false">IF(OR(G66="",G66="なし"),"",IF(AA66="経理区分別",BH66+BI66+N(Z66),""))</f>
        <v/>
      </c>
      <c r="AJ66" s="27"/>
      <c r="AK66" s="26" t="s">
        <v>168</v>
      </c>
      <c r="AL66" s="26"/>
      <c r="AM66" s="30"/>
      <c r="AN66" s="31"/>
      <c r="AO66" s="31"/>
      <c r="AP66" s="31"/>
      <c r="AQ66" s="31"/>
      <c r="AR66" s="31"/>
      <c r="AS66" s="31"/>
      <c r="AT66" s="31"/>
      <c r="AU66" s="31"/>
      <c r="AV66" s="31"/>
      <c r="AW66" s="31"/>
      <c r="AX66" s="31"/>
      <c r="AY66" s="31" t="n">
        <f aca="false">IF($G66="",AN66,O66)</f>
        <v>0</v>
      </c>
      <c r="AZ66" s="31" t="n">
        <f aca="false">IF($G66="",AO66,P66)</f>
        <v>0</v>
      </c>
      <c r="BA66" s="31" t="n">
        <f aca="false">IF($G66="",AP66,T66)</f>
        <v>765855</v>
      </c>
      <c r="BB66" s="31" t="n">
        <f aca="false">IF($G66="",AQ66,U66)</f>
        <v>62775</v>
      </c>
      <c r="BC66" s="31" t="n">
        <f aca="false">IF($G66="",AR66,V66)</f>
        <v>789</v>
      </c>
      <c r="BD66" s="31" t="n">
        <f aca="false">IF($G66="",AS66,Q66)</f>
        <v>0</v>
      </c>
      <c r="BE66" s="31" t="n">
        <f aca="false">IF($G66="",AT66,W66)</f>
        <v>441236</v>
      </c>
      <c r="BF66" s="31" t="n">
        <f aca="false">IF($G66="",AU66,R66)</f>
        <v>0</v>
      </c>
      <c r="BG66" s="31" t="n">
        <f aca="false">IF($G66="",AV66,X66)</f>
        <v>54826</v>
      </c>
      <c r="BH66" s="31" t="n">
        <f aca="false">IF($G66="",AW66,S66)</f>
        <v>0</v>
      </c>
      <c r="BI66" s="31" t="n">
        <f aca="false">IF($G66="",AX66,Y66)</f>
        <v>9775</v>
      </c>
      <c r="BJ66" s="31" t="n">
        <f aca="false">IF(CK66="N",BR66,ROUNDDOWN((I66-L66)*設定!$B$10/1000,0)+ROUNDDOWN((I66-L66)*設定!$B$11/1000,0))</f>
        <v>0</v>
      </c>
      <c r="BK66" s="31" t="n">
        <f aca="false">ROUNDDOWN((I66-L66)*設定!$C$10/1000,0)+ROUNDDOWN((I66-L66)*設定!$C$11/1000,0)+ROUNDDOWN(I66*設定!$C$12/1000,0)+IF(CL66="市局型",ROUNDDOWN(I66*設定!$C$16/1000,0),0)</f>
        <v>0</v>
      </c>
      <c r="BL66" s="31" t="n">
        <f aca="false">IF(CK66="N",BT66,ROUNDDOWN((J66-M66)*設定!$B$13/1000,0))</f>
        <v>0</v>
      </c>
      <c r="BM66" s="31" t="n">
        <f aca="false">ROUNDDOWN((J66-M66)*設定!$C$13/1000,0)+IF(CL66="市局型",ROUNDDOWN(J66*設定!$C$17/1000,0),0)</f>
        <v>0</v>
      </c>
      <c r="BN66" s="31" t="n">
        <f aca="false">IF(CK66="N",BV66,ROUNDDOWN((K66-N66)*設定!$B$14/1000,0))</f>
        <v>0</v>
      </c>
      <c r="BO66" s="31" t="n">
        <f aca="false">ROUNDDOWN((K66-N66)*設定!$C$14/1000,0)</f>
        <v>0</v>
      </c>
      <c r="BP66" s="31" t="n">
        <f aca="false">IF(CK66="N",BX66,ROUNDDOWN((J66-M66)*設定!$B$15/1000,0))</f>
        <v>0</v>
      </c>
      <c r="BQ66" s="31" t="n">
        <f aca="false">ROUNDDOWN((J66-M66)*設定!$C$15/1000,0)</f>
        <v>0</v>
      </c>
      <c r="BR66" s="31" t="n">
        <f aca="false">O66+P66</f>
        <v>0</v>
      </c>
      <c r="BS66" s="31" t="n">
        <f aca="false">T66+U66+V66</f>
        <v>829419</v>
      </c>
      <c r="BT66" s="31" t="n">
        <f aca="false">Q66</f>
        <v>0</v>
      </c>
      <c r="BU66" s="31" t="n">
        <f aca="false">W66</f>
        <v>441236</v>
      </c>
      <c r="BV66" s="31" t="n">
        <f aca="false">R66</f>
        <v>0</v>
      </c>
      <c r="BW66" s="31" t="n">
        <f aca="false">X66</f>
        <v>54826</v>
      </c>
      <c r="BX66" s="31" t="n">
        <f aca="false">S66</f>
        <v>0</v>
      </c>
      <c r="BY66" s="31" t="n">
        <f aca="false">Y66</f>
        <v>9775</v>
      </c>
      <c r="BZ66" s="32" t="n">
        <f aca="false">IF(BJ66=0,IF(BR66=0,0,1),(BR66-BJ66)/BJ66)</f>
        <v>0</v>
      </c>
      <c r="CA66" s="32" t="n">
        <f aca="false">IF(BK66=0,IF(BS66=0,0,1),(BS66-BK66)/BK66)</f>
        <v>1</v>
      </c>
      <c r="CB66" s="32" t="n">
        <f aca="false">IF(BL66=0,IF(BT66=0,0,1),(BT66-BL66)/BL66)</f>
        <v>0</v>
      </c>
      <c r="CC66" s="32" t="n">
        <f aca="false">IF(BM66=0,IF(BU66=0,0,1),(BU66-BM66)/BM66)</f>
        <v>1</v>
      </c>
      <c r="CD66" s="32" t="n">
        <f aca="false">IF(BN66=0,IF(BV66=0,0,1),(BV66-BN66)/BN66)</f>
        <v>0</v>
      </c>
      <c r="CE66" s="32" t="n">
        <f aca="false">IF(BO66=0,IF(BW66=0,0,1),(BW66-BO66)/BO66)</f>
        <v>1</v>
      </c>
      <c r="CF66" s="32" t="n">
        <f aca="false">IF(BP66=0,IF(BX66=0,0,1),(BX66-BP66)/BP66)</f>
        <v>0</v>
      </c>
      <c r="CG66" s="32" t="n">
        <f aca="false">IF(BQ66=0,IF(BY66=0,0,1),(BY66-BQ66)/BQ66)</f>
        <v>1</v>
      </c>
      <c r="CH66" s="32" t="n">
        <f aca="false">MAX(MAX(BZ66:CG66),-MIN(BZ66:CG66))</f>
        <v>1</v>
      </c>
      <c r="CI66" s="31" t="n">
        <f aca="false">IF(CO66="","",SUMIFS($CJ$7:$CJ$696,$A$7:$A$696,CO66,$B$7:$B$696,B66))</f>
        <v>1335256</v>
      </c>
      <c r="CJ66" s="31" t="n">
        <f aca="false">SUM(AY66:BI66)</f>
        <v>1335256</v>
      </c>
      <c r="CK66" s="31" t="str">
        <f aca="false">IFERROR(INDEX(設定!$F$61:$F$106,MATCH(B66,設定!$B$61:$B$106,0)),"Y")</f>
        <v>Y</v>
      </c>
      <c r="CL66" s="31" t="str">
        <f aca="false">IFERROR(INDEX(設定!$G$61:$G$106,MATCH(B66,設定!$B$61:$B$106,0)),"外郭型")</f>
        <v>外郭型</v>
      </c>
      <c r="CM66" s="33" t="str">
        <f aca="false">A66&amp;"|"&amp;B66</f>
        <v>2026-05 月例|平和文化センター</v>
      </c>
      <c r="CN66" s="34" t="str">
        <f aca="false">IFERROR(INDEX(設定!$D$61:$D$106,MATCH(B66,設定!$B$61:$B$106,0)),"Y")</f>
        <v>Y</v>
      </c>
      <c r="CO66" s="34" t="str">
        <f aca="false">IFERROR(INDEX(設定!$D$20:$D$34,MATCH(A66,設定!$A$20:$A$34,0))&amp;"","")</f>
        <v>2026-04 月例</v>
      </c>
    </row>
    <row r="67" customFormat="false" ht="15" hidden="true" customHeight="false" outlineLevel="0" collapsed="false">
      <c r="A67" s="22" t="s">
        <v>215</v>
      </c>
      <c r="B67" s="23" t="s">
        <v>183</v>
      </c>
      <c r="C67" s="10" t="str">
        <f aca="false">IF(G67="","未受領",IF(G67="なし","報告なし",IF(AL67="○","起票済",IF(OR(AK67="○",F67="一致",F67="入金不要"),"入金確認済","受領済"))))</f>
        <v>入金確認済</v>
      </c>
      <c r="D67" s="10" t="str">
        <f aca="false">IF(OR(G67="",G67="なし"),"―",IF(CN67="N","対象外",IF(AND(I67="",J67="",K67=""),"標報未入力",IF(CH67&gt;=設定!$B$4,"要確認","問題なし"))))</f>
        <v>標報未入力</v>
      </c>
      <c r="E67" s="24" t="str">
        <f aca="false">IF(OR(G67="",G67="なし",CI67="",CJ67=0),"―",IF(CJ67=CI67,"前月同額",IF(CI67=0,"―",IF(ABS(CJ67/CI67-1)&gt;=設定!$B$5,"変動大 "&amp;TEXT(CJ67/CI67-1,"+0%;-0%"),"〇"))))</f>
        <v>〇</v>
      </c>
      <c r="F67" s="10" t="str">
        <f aca="false">IF(OR(G67="",G67="なし"),"―",IF(CJ67=0,"入金不要",IF(COUNT(AD67,AF67,AH67,AJ67)=0,IF(AK67="○","手動確認","未入金"),IF(AND(N(AD67)=AC67,IF(AE67="",TRUE(),N(AF67)=AE67),IF(AG67="",TRUE(),N(AH67)=AG67),IF(AI67="",TRUE(),N(AJ67)=AI67)),"一致","不一致"))))</f>
        <v>手動確認</v>
      </c>
      <c r="G67" s="25" t="s">
        <v>167</v>
      </c>
      <c r="H67" s="26"/>
      <c r="I67" s="27"/>
      <c r="J67" s="27"/>
      <c r="K67" s="27"/>
      <c r="L67" s="27"/>
      <c r="M67" s="27"/>
      <c r="N67" s="27"/>
      <c r="O67" s="27"/>
      <c r="P67" s="27"/>
      <c r="Q67" s="27"/>
      <c r="R67" s="27"/>
      <c r="S67" s="27"/>
      <c r="T67" s="27" t="n">
        <v>2020320</v>
      </c>
      <c r="U67" s="27" t="n">
        <v>165600</v>
      </c>
      <c r="V67" s="27" t="n">
        <v>1999</v>
      </c>
      <c r="W67" s="27" t="n">
        <v>1298833</v>
      </c>
      <c r="X67" s="27" t="n">
        <v>141726</v>
      </c>
      <c r="Y67" s="27" t="n">
        <v>28771</v>
      </c>
      <c r="Z67" s="27"/>
      <c r="AA67" s="10" t="str">
        <f aca="false">IFERROR(INDEX(設定!$E$61:$E$106,MATCH(B67,設定!$B$61:$B$106,0)),"合算")</f>
        <v>合算</v>
      </c>
      <c r="AB67" s="28"/>
      <c r="AC67" s="29" t="n">
        <f aca="false">IF(OR(G67="",G67="なし"),"",IF(AA67="合算",CJ67+N(Z67),IF(AA67="掛金・負担金別",(AY67+AZ67+BD67+BF67+BH67),SUM(AY67:BC67))))</f>
        <v>3657249</v>
      </c>
      <c r="AD67" s="27"/>
      <c r="AE67" s="29" t="str">
        <f aca="false">IF(OR(G67="",G67="なし"),"",IF(AA67="掛金・負担金別",(BA67+BB67+BC67+BE67+BG67+BI67+N(Z67)),IF(AA67="経理区分別",BD67+BE67,"")))</f>
        <v/>
      </c>
      <c r="AF67" s="27"/>
      <c r="AG67" s="29" t="str">
        <f aca="false">IF(OR(G67="",G67="なし"),"",IF(AA67="経理区分別",BF67+BG67,""))</f>
        <v/>
      </c>
      <c r="AH67" s="27"/>
      <c r="AI67" s="29" t="str">
        <f aca="false">IF(OR(G67="",G67="なし"),"",IF(AA67="経理区分別",BH67+BI67+N(Z67),""))</f>
        <v/>
      </c>
      <c r="AJ67" s="27"/>
      <c r="AK67" s="26" t="s">
        <v>168</v>
      </c>
      <c r="AL67" s="26"/>
      <c r="AM67" s="30"/>
      <c r="AN67" s="31"/>
      <c r="AO67" s="31"/>
      <c r="AP67" s="31"/>
      <c r="AQ67" s="31"/>
      <c r="AR67" s="31"/>
      <c r="AS67" s="31"/>
      <c r="AT67" s="31"/>
      <c r="AU67" s="31"/>
      <c r="AV67" s="31"/>
      <c r="AW67" s="31"/>
      <c r="AX67" s="31"/>
      <c r="AY67" s="31" t="n">
        <f aca="false">IF($G67="",AN67,O67)</f>
        <v>0</v>
      </c>
      <c r="AZ67" s="31" t="n">
        <f aca="false">IF($G67="",AO67,P67)</f>
        <v>0</v>
      </c>
      <c r="BA67" s="31" t="n">
        <f aca="false">IF($G67="",AP67,T67)</f>
        <v>2020320</v>
      </c>
      <c r="BB67" s="31" t="n">
        <f aca="false">IF($G67="",AQ67,U67)</f>
        <v>165600</v>
      </c>
      <c r="BC67" s="31" t="n">
        <f aca="false">IF($G67="",AR67,V67)</f>
        <v>1999</v>
      </c>
      <c r="BD67" s="31" t="n">
        <f aca="false">IF($G67="",AS67,Q67)</f>
        <v>0</v>
      </c>
      <c r="BE67" s="31" t="n">
        <f aca="false">IF($G67="",AT67,W67)</f>
        <v>1298833</v>
      </c>
      <c r="BF67" s="31" t="n">
        <f aca="false">IF($G67="",AU67,R67)</f>
        <v>0</v>
      </c>
      <c r="BG67" s="31" t="n">
        <f aca="false">IF($G67="",AV67,X67)</f>
        <v>141726</v>
      </c>
      <c r="BH67" s="31" t="n">
        <f aca="false">IF($G67="",AW67,S67)</f>
        <v>0</v>
      </c>
      <c r="BI67" s="31" t="n">
        <f aca="false">IF($G67="",AX67,Y67)</f>
        <v>28771</v>
      </c>
      <c r="BJ67" s="31" t="n">
        <f aca="false">IF(CK67="N",BR67,ROUNDDOWN((I67-L67)*設定!$B$10/1000,0)+ROUNDDOWN((I67-L67)*設定!$B$11/1000,0))</f>
        <v>0</v>
      </c>
      <c r="BK67" s="31" t="n">
        <f aca="false">ROUNDDOWN((I67-L67)*設定!$C$10/1000,0)+ROUNDDOWN((I67-L67)*設定!$C$11/1000,0)+ROUNDDOWN(I67*設定!$C$12/1000,0)+IF(CL67="市局型",ROUNDDOWN(I67*設定!$C$16/1000,0),0)</f>
        <v>0</v>
      </c>
      <c r="BL67" s="31" t="n">
        <f aca="false">IF(CK67="N",BT67,ROUNDDOWN((J67-M67)*設定!$B$13/1000,0))</f>
        <v>0</v>
      </c>
      <c r="BM67" s="31" t="n">
        <f aca="false">ROUNDDOWN((J67-M67)*設定!$C$13/1000,0)+IF(CL67="市局型",ROUNDDOWN(J67*設定!$C$17/1000,0),0)</f>
        <v>0</v>
      </c>
      <c r="BN67" s="31" t="n">
        <f aca="false">IF(CK67="N",BV67,ROUNDDOWN((K67-N67)*設定!$B$14/1000,0))</f>
        <v>0</v>
      </c>
      <c r="BO67" s="31" t="n">
        <f aca="false">ROUNDDOWN((K67-N67)*設定!$C$14/1000,0)</f>
        <v>0</v>
      </c>
      <c r="BP67" s="31" t="n">
        <f aca="false">IF(CK67="N",BX67,ROUNDDOWN((J67-M67)*設定!$B$15/1000,0))</f>
        <v>0</v>
      </c>
      <c r="BQ67" s="31" t="n">
        <f aca="false">ROUNDDOWN((J67-M67)*設定!$C$15/1000,0)</f>
        <v>0</v>
      </c>
      <c r="BR67" s="31" t="n">
        <f aca="false">O67+P67</f>
        <v>0</v>
      </c>
      <c r="BS67" s="31" t="n">
        <f aca="false">T67+U67+V67</f>
        <v>2187919</v>
      </c>
      <c r="BT67" s="31" t="n">
        <f aca="false">Q67</f>
        <v>0</v>
      </c>
      <c r="BU67" s="31" t="n">
        <f aca="false">W67</f>
        <v>1298833</v>
      </c>
      <c r="BV67" s="31" t="n">
        <f aca="false">R67</f>
        <v>0</v>
      </c>
      <c r="BW67" s="31" t="n">
        <f aca="false">X67</f>
        <v>141726</v>
      </c>
      <c r="BX67" s="31" t="n">
        <f aca="false">S67</f>
        <v>0</v>
      </c>
      <c r="BY67" s="31" t="n">
        <f aca="false">Y67</f>
        <v>28771</v>
      </c>
      <c r="BZ67" s="32" t="n">
        <f aca="false">IF(BJ67=0,IF(BR67=0,0,1),(BR67-BJ67)/BJ67)</f>
        <v>0</v>
      </c>
      <c r="CA67" s="32" t="n">
        <f aca="false">IF(BK67=0,IF(BS67=0,0,1),(BS67-BK67)/BK67)</f>
        <v>1</v>
      </c>
      <c r="CB67" s="32" t="n">
        <f aca="false">IF(BL67=0,IF(BT67=0,0,1),(BT67-BL67)/BL67)</f>
        <v>0</v>
      </c>
      <c r="CC67" s="32" t="n">
        <f aca="false">IF(BM67=0,IF(BU67=0,0,1),(BU67-BM67)/BM67)</f>
        <v>1</v>
      </c>
      <c r="CD67" s="32" t="n">
        <f aca="false">IF(BN67=0,IF(BV67=0,0,1),(BV67-BN67)/BN67)</f>
        <v>0</v>
      </c>
      <c r="CE67" s="32" t="n">
        <f aca="false">IF(BO67=0,IF(BW67=0,0,1),(BW67-BO67)/BO67)</f>
        <v>1</v>
      </c>
      <c r="CF67" s="32" t="n">
        <f aca="false">IF(BP67=0,IF(BX67=0,0,1),(BX67-BP67)/BP67)</f>
        <v>0</v>
      </c>
      <c r="CG67" s="32" t="n">
        <f aca="false">IF(BQ67=0,IF(BY67=0,0,1),(BY67-BQ67)/BQ67)</f>
        <v>1</v>
      </c>
      <c r="CH67" s="32" t="n">
        <f aca="false">MAX(MAX(BZ67:CG67),-MIN(BZ67:CG67))</f>
        <v>1</v>
      </c>
      <c r="CI67" s="31" t="n">
        <f aca="false">IF(CO67="","",SUMIFS($CJ$7:$CJ$696,$A$7:$A$696,CO67,$B$7:$B$696,B67))</f>
        <v>3694494</v>
      </c>
      <c r="CJ67" s="31" t="n">
        <f aca="false">SUM(AY67:BI67)</f>
        <v>3657249</v>
      </c>
      <c r="CK67" s="31" t="str">
        <f aca="false">IFERROR(INDEX(設定!$F$61:$F$106,MATCH(B67,設定!$B$61:$B$106,0)),"Y")</f>
        <v>N</v>
      </c>
      <c r="CL67" s="31" t="str">
        <f aca="false">IFERROR(INDEX(設定!$G$61:$G$106,MATCH(B67,設定!$B$61:$B$106,0)),"外郭型")</f>
        <v>外郭型</v>
      </c>
      <c r="CM67" s="33" t="str">
        <f aca="false">A67&amp;"|"&amp;B67</f>
        <v>2026-05 月例|社会福祉事業団</v>
      </c>
      <c r="CN67" s="34" t="str">
        <f aca="false">IFERROR(INDEX(設定!$D$61:$D$106,MATCH(B67,設定!$B$61:$B$106,0)),"Y")</f>
        <v>Y</v>
      </c>
      <c r="CO67" s="34" t="str">
        <f aca="false">IFERROR(INDEX(設定!$D$20:$D$34,MATCH(A67,設定!$A$20:$A$34,0))&amp;"","")</f>
        <v>2026-04 月例</v>
      </c>
    </row>
    <row r="68" customFormat="false" ht="15" hidden="true" customHeight="false" outlineLevel="0" collapsed="false">
      <c r="A68" s="22" t="s">
        <v>215</v>
      </c>
      <c r="B68" s="23" t="s">
        <v>184</v>
      </c>
      <c r="C68" s="10" t="str">
        <f aca="false">IF(G68="","未受領",IF(G68="なし","報告なし",IF(AL68="○","起票済",IF(OR(AK68="○",F68="一致",F68="入金不要"),"入金確認済","受領済"))))</f>
        <v>入金確認済</v>
      </c>
      <c r="D68" s="10" t="str">
        <f aca="false">IF(OR(G68="",G68="なし"),"―",IF(CN68="N","対象外",IF(AND(I68="",J68="",K68=""),"標報未入力",IF(CH68&gt;=設定!$B$4,"要確認","問題なし"))))</f>
        <v>標報未入力</v>
      </c>
      <c r="E68" s="24" t="str">
        <f aca="false">IF(OR(G68="",G68="なし",CI68="",CJ68=0),"―",IF(CJ68=CI68,"前月同額",IF(CI68=0,"―",IF(ABS(CJ68/CI68-1)&gt;=設定!$B$5,"変動大 "&amp;TEXT(CJ68/CI68-1,"+0%;-0%"),"〇"))))</f>
        <v>前月同額</v>
      </c>
      <c r="F68" s="10" t="str">
        <f aca="false">IF(OR(G68="",G68="なし"),"―",IF(CJ68=0,"入金不要",IF(COUNT(AD68,AF68,AH68,AJ68)=0,IF(AK68="○","手動確認","未入金"),IF(AND(N(AD68)=AC68,IF(AE68="",TRUE(),N(AF68)=AE68),IF(AG68="",TRUE(),N(AH68)=AG68),IF(AI68="",TRUE(),N(AJ68)=AI68)),"一致","不一致"))))</f>
        <v>手動確認</v>
      </c>
      <c r="G68" s="25" t="s">
        <v>167</v>
      </c>
      <c r="H68" s="26"/>
      <c r="I68" s="27"/>
      <c r="J68" s="27"/>
      <c r="K68" s="27"/>
      <c r="L68" s="27"/>
      <c r="M68" s="27"/>
      <c r="N68" s="27"/>
      <c r="O68" s="27"/>
      <c r="P68" s="27"/>
      <c r="Q68" s="27"/>
      <c r="R68" s="27"/>
      <c r="S68" s="27"/>
      <c r="T68" s="27" t="n">
        <v>59475</v>
      </c>
      <c r="U68" s="27" t="n">
        <v>4875</v>
      </c>
      <c r="V68" s="27" t="n">
        <v>56</v>
      </c>
      <c r="W68" s="27" t="n">
        <v>36856</v>
      </c>
      <c r="X68" s="27" t="n">
        <v>5609</v>
      </c>
      <c r="Y68" s="27" t="n">
        <v>816</v>
      </c>
      <c r="Z68" s="27"/>
      <c r="AA68" s="10" t="str">
        <f aca="false">IFERROR(INDEX(設定!$E$61:$E$106,MATCH(B68,設定!$B$61:$B$106,0)),"合算")</f>
        <v>合算</v>
      </c>
      <c r="AB68" s="28"/>
      <c r="AC68" s="29" t="n">
        <f aca="false">IF(OR(G68="",G68="なし"),"",IF(AA68="合算",CJ68+N(Z68),IF(AA68="掛金・負担金別",(AY68+AZ68+BD68+BF68+BH68),SUM(AY68:BC68))))</f>
        <v>107687</v>
      </c>
      <c r="AD68" s="27"/>
      <c r="AE68" s="29" t="str">
        <f aca="false">IF(OR(G68="",G68="なし"),"",IF(AA68="掛金・負担金別",(BA68+BB68+BC68+BE68+BG68+BI68+N(Z68)),IF(AA68="経理区分別",BD68+BE68,"")))</f>
        <v/>
      </c>
      <c r="AF68" s="27"/>
      <c r="AG68" s="29" t="str">
        <f aca="false">IF(OR(G68="",G68="なし"),"",IF(AA68="経理区分別",BF68+BG68,""))</f>
        <v/>
      </c>
      <c r="AH68" s="27"/>
      <c r="AI68" s="29" t="str">
        <f aca="false">IF(OR(G68="",G68="なし"),"",IF(AA68="経理区分別",BH68+BI68+N(Z68),""))</f>
        <v/>
      </c>
      <c r="AJ68" s="27"/>
      <c r="AK68" s="26" t="s">
        <v>168</v>
      </c>
      <c r="AL68" s="26"/>
      <c r="AM68" s="30"/>
      <c r="AN68" s="31"/>
      <c r="AO68" s="31"/>
      <c r="AP68" s="31"/>
      <c r="AQ68" s="31"/>
      <c r="AR68" s="31"/>
      <c r="AS68" s="31"/>
      <c r="AT68" s="31"/>
      <c r="AU68" s="31"/>
      <c r="AV68" s="31"/>
      <c r="AW68" s="31"/>
      <c r="AX68" s="31"/>
      <c r="AY68" s="31" t="n">
        <f aca="false">IF($G68="",AN68,O68)</f>
        <v>0</v>
      </c>
      <c r="AZ68" s="31" t="n">
        <f aca="false">IF($G68="",AO68,P68)</f>
        <v>0</v>
      </c>
      <c r="BA68" s="31" t="n">
        <f aca="false">IF($G68="",AP68,T68)</f>
        <v>59475</v>
      </c>
      <c r="BB68" s="31" t="n">
        <f aca="false">IF($G68="",AQ68,U68)</f>
        <v>4875</v>
      </c>
      <c r="BC68" s="31" t="n">
        <f aca="false">IF($G68="",AR68,V68)</f>
        <v>56</v>
      </c>
      <c r="BD68" s="31" t="n">
        <f aca="false">IF($G68="",AS68,Q68)</f>
        <v>0</v>
      </c>
      <c r="BE68" s="31" t="n">
        <f aca="false">IF($G68="",AT68,W68)</f>
        <v>36856</v>
      </c>
      <c r="BF68" s="31" t="n">
        <f aca="false">IF($G68="",AU68,R68)</f>
        <v>0</v>
      </c>
      <c r="BG68" s="31" t="n">
        <f aca="false">IF($G68="",AV68,X68)</f>
        <v>5609</v>
      </c>
      <c r="BH68" s="31" t="n">
        <f aca="false">IF($G68="",AW68,S68)</f>
        <v>0</v>
      </c>
      <c r="BI68" s="31" t="n">
        <f aca="false">IF($G68="",AX68,Y68)</f>
        <v>816</v>
      </c>
      <c r="BJ68" s="31" t="n">
        <f aca="false">IF(CK68="N",BR68,ROUNDDOWN((I68-L68)*設定!$B$10/1000,0)+ROUNDDOWN((I68-L68)*設定!$B$11/1000,0))</f>
        <v>0</v>
      </c>
      <c r="BK68" s="31" t="n">
        <f aca="false">ROUNDDOWN((I68-L68)*設定!$C$10/1000,0)+ROUNDDOWN((I68-L68)*設定!$C$11/1000,0)+ROUNDDOWN(I68*設定!$C$12/1000,0)+IF(CL68="市局型",ROUNDDOWN(I68*設定!$C$16/1000,0),0)</f>
        <v>0</v>
      </c>
      <c r="BL68" s="31" t="n">
        <f aca="false">IF(CK68="N",BT68,ROUNDDOWN((J68-M68)*設定!$B$13/1000,0))</f>
        <v>0</v>
      </c>
      <c r="BM68" s="31" t="n">
        <f aca="false">ROUNDDOWN((J68-M68)*設定!$C$13/1000,0)+IF(CL68="市局型",ROUNDDOWN(J68*設定!$C$17/1000,0),0)</f>
        <v>0</v>
      </c>
      <c r="BN68" s="31" t="n">
        <f aca="false">IF(CK68="N",BV68,ROUNDDOWN((K68-N68)*設定!$B$14/1000,0))</f>
        <v>0</v>
      </c>
      <c r="BO68" s="31" t="n">
        <f aca="false">ROUNDDOWN((K68-N68)*設定!$C$14/1000,0)</f>
        <v>0</v>
      </c>
      <c r="BP68" s="31" t="n">
        <f aca="false">IF(CK68="N",BX68,ROUNDDOWN((J68-M68)*設定!$B$15/1000,0))</f>
        <v>0</v>
      </c>
      <c r="BQ68" s="31" t="n">
        <f aca="false">ROUNDDOWN((J68-M68)*設定!$C$15/1000,0)</f>
        <v>0</v>
      </c>
      <c r="BR68" s="31" t="n">
        <f aca="false">O68+P68</f>
        <v>0</v>
      </c>
      <c r="BS68" s="31" t="n">
        <f aca="false">T68+U68+V68</f>
        <v>64406</v>
      </c>
      <c r="BT68" s="31" t="n">
        <f aca="false">Q68</f>
        <v>0</v>
      </c>
      <c r="BU68" s="31" t="n">
        <f aca="false">W68</f>
        <v>36856</v>
      </c>
      <c r="BV68" s="31" t="n">
        <f aca="false">R68</f>
        <v>0</v>
      </c>
      <c r="BW68" s="31" t="n">
        <f aca="false">X68</f>
        <v>5609</v>
      </c>
      <c r="BX68" s="31" t="n">
        <f aca="false">S68</f>
        <v>0</v>
      </c>
      <c r="BY68" s="31" t="n">
        <f aca="false">Y68</f>
        <v>816</v>
      </c>
      <c r="BZ68" s="32" t="n">
        <f aca="false">IF(BJ68=0,IF(BR68=0,0,1),(BR68-BJ68)/BJ68)</f>
        <v>0</v>
      </c>
      <c r="CA68" s="32" t="n">
        <f aca="false">IF(BK68=0,IF(BS68=0,0,1),(BS68-BK68)/BK68)</f>
        <v>1</v>
      </c>
      <c r="CB68" s="32" t="n">
        <f aca="false">IF(BL68=0,IF(BT68=0,0,1),(BT68-BL68)/BL68)</f>
        <v>0</v>
      </c>
      <c r="CC68" s="32" t="n">
        <f aca="false">IF(BM68=0,IF(BU68=0,0,1),(BU68-BM68)/BM68)</f>
        <v>1</v>
      </c>
      <c r="CD68" s="32" t="n">
        <f aca="false">IF(BN68=0,IF(BV68=0,0,1),(BV68-BN68)/BN68)</f>
        <v>0</v>
      </c>
      <c r="CE68" s="32" t="n">
        <f aca="false">IF(BO68=0,IF(BW68=0,0,1),(BW68-BO68)/BO68)</f>
        <v>1</v>
      </c>
      <c r="CF68" s="32" t="n">
        <f aca="false">IF(BP68=0,IF(BX68=0,0,1),(BX68-BP68)/BP68)</f>
        <v>0</v>
      </c>
      <c r="CG68" s="32" t="n">
        <f aca="false">IF(BQ68=0,IF(BY68=0,0,1),(BY68-BQ68)/BQ68)</f>
        <v>1</v>
      </c>
      <c r="CH68" s="32" t="n">
        <f aca="false">MAX(MAX(BZ68:CG68),-MIN(BZ68:CG68))</f>
        <v>1</v>
      </c>
      <c r="CI68" s="31" t="n">
        <f aca="false">IF(CO68="","",SUMIFS($CJ$7:$CJ$696,$A$7:$A$696,CO68,$B$7:$B$696,B68))</f>
        <v>107687</v>
      </c>
      <c r="CJ68" s="31" t="n">
        <f aca="false">SUM(AY68:BI68)</f>
        <v>107687</v>
      </c>
      <c r="CK68" s="31" t="str">
        <f aca="false">IFERROR(INDEX(設定!$F$61:$F$106,MATCH(B68,設定!$B$61:$B$106,0)),"Y")</f>
        <v>N</v>
      </c>
      <c r="CL68" s="31" t="str">
        <f aca="false">IFERROR(INDEX(設定!$G$61:$G$106,MATCH(B68,設定!$B$61:$B$106,0)),"外郭型")</f>
        <v>外郭型</v>
      </c>
      <c r="CM68" s="33" t="str">
        <f aca="false">A68&amp;"|"&amp;B68</f>
        <v>2026-05 月例|原爆障害対策協議会</v>
      </c>
      <c r="CN68" s="34" t="str">
        <f aca="false">IFERROR(INDEX(設定!$D$61:$D$106,MATCH(B68,設定!$B$61:$B$106,0)),"Y")</f>
        <v>Y</v>
      </c>
      <c r="CO68" s="34" t="str">
        <f aca="false">IFERROR(INDEX(設定!$D$20:$D$34,MATCH(A68,設定!$A$20:$A$34,0))&amp;"","")</f>
        <v>2026-04 月例</v>
      </c>
    </row>
    <row r="69" customFormat="false" ht="15" hidden="true" customHeight="false" outlineLevel="0" collapsed="false">
      <c r="A69" s="22" t="s">
        <v>215</v>
      </c>
      <c r="B69" s="23" t="s">
        <v>185</v>
      </c>
      <c r="C69" s="10" t="str">
        <f aca="false">IF(G69="","未受領",IF(G69="なし","報告なし",IF(AL69="○","起票済",IF(OR(AK69="○",F69="一致",F69="入金不要"),"入金確認済","受領済"))))</f>
        <v>入金確認済</v>
      </c>
      <c r="D69" s="10" t="str">
        <f aca="false">IF(OR(G69="",G69="なし"),"―",IF(CN69="N","対象外",IF(AND(I69="",J69="",K69=""),"標報未入力",IF(CH69&gt;=設定!$B$4,"要確認","問題なし"))))</f>
        <v>標報未入力</v>
      </c>
      <c r="E69" s="24" t="str">
        <f aca="false">IF(OR(G69="",G69="なし",CI69="",CJ69=0),"―",IF(CJ69=CI69,"前月同額",IF(CI69=0,"―",IF(ABS(CJ69/CI69-1)&gt;=設定!$B$5,"変動大 "&amp;TEXT(CJ69/CI69-1,"+0%;-0%"),"〇"))))</f>
        <v>前月同額</v>
      </c>
      <c r="F69" s="10" t="str">
        <f aca="false">IF(OR(G69="",G69="なし"),"―",IF(CJ69=0,"入金不要",IF(COUNT(AD69,AF69,AH69,AJ69)=0,IF(AK69="○","手動確認","未入金"),IF(AND(N(AD69)=AC69,IF(AE69="",TRUE(),N(AF69)=AE69),IF(AG69="",TRUE(),N(AH69)=AG69),IF(AI69="",TRUE(),N(AJ69)=AI69)),"一致","不一致"))))</f>
        <v>手動確認</v>
      </c>
      <c r="G69" s="25" t="s">
        <v>167</v>
      </c>
      <c r="H69" s="26"/>
      <c r="I69" s="27"/>
      <c r="J69" s="27"/>
      <c r="K69" s="27"/>
      <c r="L69" s="27"/>
      <c r="M69" s="27"/>
      <c r="N69" s="27"/>
      <c r="O69" s="27"/>
      <c r="P69" s="27"/>
      <c r="Q69" s="27"/>
      <c r="R69" s="27"/>
      <c r="S69" s="27"/>
      <c r="T69" s="27" t="n">
        <v>417240</v>
      </c>
      <c r="U69" s="27" t="n">
        <v>34200</v>
      </c>
      <c r="V69" s="27" t="n">
        <v>395</v>
      </c>
      <c r="W69" s="27" t="n">
        <v>236708</v>
      </c>
      <c r="X69" s="27" t="n">
        <v>30968</v>
      </c>
      <c r="Y69" s="27" t="n">
        <v>5243</v>
      </c>
      <c r="Z69" s="27"/>
      <c r="AA69" s="10" t="str">
        <f aca="false">IFERROR(INDEX(設定!$E$61:$E$106,MATCH(B69,設定!$B$61:$B$106,0)),"合算")</f>
        <v>合算</v>
      </c>
      <c r="AB69" s="28"/>
      <c r="AC69" s="29" t="n">
        <f aca="false">IF(OR(G69="",G69="なし"),"",IF(AA69="合算",CJ69+N(Z69),IF(AA69="掛金・負担金別",(AY69+AZ69+BD69+BF69+BH69),SUM(AY69:BC69))))</f>
        <v>724754</v>
      </c>
      <c r="AD69" s="27"/>
      <c r="AE69" s="29" t="str">
        <f aca="false">IF(OR(G69="",G69="なし"),"",IF(AA69="掛金・負担金別",(BA69+BB69+BC69+BE69+BG69+BI69+N(Z69)),IF(AA69="経理区分別",BD69+BE69,"")))</f>
        <v/>
      </c>
      <c r="AF69" s="27"/>
      <c r="AG69" s="29" t="str">
        <f aca="false">IF(OR(G69="",G69="なし"),"",IF(AA69="経理区分別",BF69+BG69,""))</f>
        <v/>
      </c>
      <c r="AH69" s="27"/>
      <c r="AI69" s="29" t="str">
        <f aca="false">IF(OR(G69="",G69="なし"),"",IF(AA69="経理区分別",BH69+BI69+N(Z69),""))</f>
        <v/>
      </c>
      <c r="AJ69" s="27"/>
      <c r="AK69" s="26" t="s">
        <v>168</v>
      </c>
      <c r="AL69" s="26"/>
      <c r="AM69" s="30"/>
      <c r="AN69" s="31"/>
      <c r="AO69" s="31"/>
      <c r="AP69" s="31"/>
      <c r="AQ69" s="31"/>
      <c r="AR69" s="31"/>
      <c r="AS69" s="31"/>
      <c r="AT69" s="31"/>
      <c r="AU69" s="31"/>
      <c r="AV69" s="31"/>
      <c r="AW69" s="31"/>
      <c r="AX69" s="31"/>
      <c r="AY69" s="31" t="n">
        <f aca="false">IF($G69="",AN69,O69)</f>
        <v>0</v>
      </c>
      <c r="AZ69" s="31" t="n">
        <f aca="false">IF($G69="",AO69,P69)</f>
        <v>0</v>
      </c>
      <c r="BA69" s="31" t="n">
        <f aca="false">IF($G69="",AP69,T69)</f>
        <v>417240</v>
      </c>
      <c r="BB69" s="31" t="n">
        <f aca="false">IF($G69="",AQ69,U69)</f>
        <v>34200</v>
      </c>
      <c r="BC69" s="31" t="n">
        <f aca="false">IF($G69="",AR69,V69)</f>
        <v>395</v>
      </c>
      <c r="BD69" s="31" t="n">
        <f aca="false">IF($G69="",AS69,Q69)</f>
        <v>0</v>
      </c>
      <c r="BE69" s="31" t="n">
        <f aca="false">IF($G69="",AT69,W69)</f>
        <v>236708</v>
      </c>
      <c r="BF69" s="31" t="n">
        <f aca="false">IF($G69="",AU69,R69)</f>
        <v>0</v>
      </c>
      <c r="BG69" s="31" t="n">
        <f aca="false">IF($G69="",AV69,X69)</f>
        <v>30968</v>
      </c>
      <c r="BH69" s="31" t="n">
        <f aca="false">IF($G69="",AW69,S69)</f>
        <v>0</v>
      </c>
      <c r="BI69" s="31" t="n">
        <f aca="false">IF($G69="",AX69,Y69)</f>
        <v>5243</v>
      </c>
      <c r="BJ69" s="31" t="n">
        <f aca="false">IF(CK69="N",BR69,ROUNDDOWN((I69-L69)*設定!$B$10/1000,0)+ROUNDDOWN((I69-L69)*設定!$B$11/1000,0))</f>
        <v>0</v>
      </c>
      <c r="BK69" s="31" t="n">
        <f aca="false">ROUNDDOWN((I69-L69)*設定!$C$10/1000,0)+ROUNDDOWN((I69-L69)*設定!$C$11/1000,0)+ROUNDDOWN(I69*設定!$C$12/1000,0)+IF(CL69="市局型",ROUNDDOWN(I69*設定!$C$16/1000,0),0)</f>
        <v>0</v>
      </c>
      <c r="BL69" s="31" t="n">
        <f aca="false">IF(CK69="N",BT69,ROUNDDOWN((J69-M69)*設定!$B$13/1000,0))</f>
        <v>0</v>
      </c>
      <c r="BM69" s="31" t="n">
        <f aca="false">ROUNDDOWN((J69-M69)*設定!$C$13/1000,0)+IF(CL69="市局型",ROUNDDOWN(J69*設定!$C$17/1000,0),0)</f>
        <v>0</v>
      </c>
      <c r="BN69" s="31" t="n">
        <f aca="false">IF(CK69="N",BV69,ROUNDDOWN((K69-N69)*設定!$B$14/1000,0))</f>
        <v>0</v>
      </c>
      <c r="BO69" s="31" t="n">
        <f aca="false">ROUNDDOWN((K69-N69)*設定!$C$14/1000,0)</f>
        <v>0</v>
      </c>
      <c r="BP69" s="31" t="n">
        <f aca="false">IF(CK69="N",BX69,ROUNDDOWN((J69-M69)*設定!$B$15/1000,0))</f>
        <v>0</v>
      </c>
      <c r="BQ69" s="31" t="n">
        <f aca="false">ROUNDDOWN((J69-M69)*設定!$C$15/1000,0)</f>
        <v>0</v>
      </c>
      <c r="BR69" s="31" t="n">
        <f aca="false">O69+P69</f>
        <v>0</v>
      </c>
      <c r="BS69" s="31" t="n">
        <f aca="false">T69+U69+V69</f>
        <v>451835</v>
      </c>
      <c r="BT69" s="31" t="n">
        <f aca="false">Q69</f>
        <v>0</v>
      </c>
      <c r="BU69" s="31" t="n">
        <f aca="false">W69</f>
        <v>236708</v>
      </c>
      <c r="BV69" s="31" t="n">
        <f aca="false">R69</f>
        <v>0</v>
      </c>
      <c r="BW69" s="31" t="n">
        <f aca="false">X69</f>
        <v>30968</v>
      </c>
      <c r="BX69" s="31" t="n">
        <f aca="false">S69</f>
        <v>0</v>
      </c>
      <c r="BY69" s="31" t="n">
        <f aca="false">Y69</f>
        <v>5243</v>
      </c>
      <c r="BZ69" s="32" t="n">
        <f aca="false">IF(BJ69=0,IF(BR69=0,0,1),(BR69-BJ69)/BJ69)</f>
        <v>0</v>
      </c>
      <c r="CA69" s="32" t="n">
        <f aca="false">IF(BK69=0,IF(BS69=0,0,1),(BS69-BK69)/BK69)</f>
        <v>1</v>
      </c>
      <c r="CB69" s="32" t="n">
        <f aca="false">IF(BL69=0,IF(BT69=0,0,1),(BT69-BL69)/BL69)</f>
        <v>0</v>
      </c>
      <c r="CC69" s="32" t="n">
        <f aca="false">IF(BM69=0,IF(BU69=0,0,1),(BU69-BM69)/BM69)</f>
        <v>1</v>
      </c>
      <c r="CD69" s="32" t="n">
        <f aca="false">IF(BN69=0,IF(BV69=0,0,1),(BV69-BN69)/BN69)</f>
        <v>0</v>
      </c>
      <c r="CE69" s="32" t="n">
        <f aca="false">IF(BO69=0,IF(BW69=0,0,1),(BW69-BO69)/BO69)</f>
        <v>1</v>
      </c>
      <c r="CF69" s="32" t="n">
        <f aca="false">IF(BP69=0,IF(BX69=0,0,1),(BX69-BP69)/BP69)</f>
        <v>0</v>
      </c>
      <c r="CG69" s="32" t="n">
        <f aca="false">IF(BQ69=0,IF(BY69=0,0,1),(BY69-BQ69)/BQ69)</f>
        <v>1</v>
      </c>
      <c r="CH69" s="32" t="n">
        <f aca="false">MAX(MAX(BZ69:CG69),-MIN(BZ69:CG69))</f>
        <v>1</v>
      </c>
      <c r="CI69" s="31" t="n">
        <f aca="false">IF(CO69="","",SUMIFS($CJ$7:$CJ$696,$A$7:$A$696,CO69,$B$7:$B$696,B69))</f>
        <v>724754</v>
      </c>
      <c r="CJ69" s="31" t="n">
        <f aca="false">SUM(AY69:BI69)</f>
        <v>724754</v>
      </c>
      <c r="CK69" s="31" t="str">
        <f aca="false">IFERROR(INDEX(設定!$F$61:$F$106,MATCH(B69,設定!$B$61:$B$106,0)),"Y")</f>
        <v>N</v>
      </c>
      <c r="CL69" s="31" t="str">
        <f aca="false">IFERROR(INDEX(設定!$G$61:$G$106,MATCH(B69,設定!$B$61:$B$106,0)),"外郭型")</f>
        <v>外郭型</v>
      </c>
      <c r="CM69" s="33" t="str">
        <f aca="false">A69&amp;"|"&amp;B69</f>
        <v>2026-05 月例|産業振興センター</v>
      </c>
      <c r="CN69" s="34" t="str">
        <f aca="false">IFERROR(INDEX(設定!$D$61:$D$106,MATCH(B69,設定!$B$61:$B$106,0)),"Y")</f>
        <v>Y</v>
      </c>
      <c r="CO69" s="34" t="str">
        <f aca="false">IFERROR(INDEX(設定!$D$20:$D$34,MATCH(A69,設定!$A$20:$A$34,0))&amp;"","")</f>
        <v>2026-04 月例</v>
      </c>
    </row>
    <row r="70" customFormat="false" ht="15" hidden="true" customHeight="false" outlineLevel="0" collapsed="false">
      <c r="A70" s="22" t="s">
        <v>215</v>
      </c>
      <c r="B70" s="23" t="s">
        <v>186</v>
      </c>
      <c r="C70" s="10" t="str">
        <f aca="false">IF(G70="","未受領",IF(G70="なし","報告なし",IF(AL70="○","起票済",IF(OR(AK70="○",F70="一致",F70="入金不要"),"入金確認済","受領済"))))</f>
        <v>入金確認済</v>
      </c>
      <c r="D70" s="10" t="str">
        <f aca="false">IF(OR(G70="",G70="なし"),"―",IF(CN70="N","対象外",IF(AND(I70="",J70="",K70=""),"標報未入力",IF(CH70&gt;=設定!$B$4,"要確認","問題なし"))))</f>
        <v>標報未入力</v>
      </c>
      <c r="E70" s="24" t="str">
        <f aca="false">IF(OR(G70="",G70="なし",CI70="",CJ70=0),"―",IF(CJ70=CI70,"前月同額",IF(CI70=0,"―",IF(ABS(CJ70/CI70-1)&gt;=設定!$B$5,"変動大 "&amp;TEXT(CJ70/CI70-1,"+0%;-0%"),"〇"))))</f>
        <v>前月同額</v>
      </c>
      <c r="F70" s="10" t="str">
        <f aca="false">IF(OR(G70="",G70="なし"),"―",IF(CJ70=0,"入金不要",IF(COUNT(AD70,AF70,AH70,AJ70)=0,IF(AK70="○","手動確認","未入金"),IF(AND(N(AD70)=AC70,IF(AE70="",TRUE(),N(AF70)=AE70),IF(AG70="",TRUE(),N(AH70)=AG70),IF(AI70="",TRUE(),N(AJ70)=AI70)),"一致","不一致"))))</f>
        <v>手動確認</v>
      </c>
      <c r="G70" s="25" t="s">
        <v>167</v>
      </c>
      <c r="H70" s="26"/>
      <c r="I70" s="27"/>
      <c r="J70" s="27"/>
      <c r="K70" s="27"/>
      <c r="L70" s="27"/>
      <c r="M70" s="27"/>
      <c r="N70" s="27"/>
      <c r="O70" s="27"/>
      <c r="P70" s="27"/>
      <c r="Q70" s="27"/>
      <c r="R70" s="27"/>
      <c r="S70" s="27"/>
      <c r="T70" s="27" t="n">
        <v>40260</v>
      </c>
      <c r="U70" s="27" t="n">
        <v>3300</v>
      </c>
      <c r="V70" s="27" t="n">
        <v>38</v>
      </c>
      <c r="W70" s="27" t="n">
        <v>22840</v>
      </c>
      <c r="X70" s="27" t="n">
        <v>3476</v>
      </c>
      <c r="Y70" s="27" t="n">
        <v>506</v>
      </c>
      <c r="Z70" s="27"/>
      <c r="AA70" s="10" t="str">
        <f aca="false">IFERROR(INDEX(設定!$E$61:$E$106,MATCH(B70,設定!$B$61:$B$106,0)),"合算")</f>
        <v>合算</v>
      </c>
      <c r="AB70" s="28"/>
      <c r="AC70" s="29" t="n">
        <f aca="false">IF(OR(G70="",G70="なし"),"",IF(AA70="合算",CJ70+N(Z70),IF(AA70="掛金・負担金別",(AY70+AZ70+BD70+BF70+BH70),SUM(AY70:BC70))))</f>
        <v>70420</v>
      </c>
      <c r="AD70" s="27"/>
      <c r="AE70" s="29" t="str">
        <f aca="false">IF(OR(G70="",G70="なし"),"",IF(AA70="掛金・負担金別",(BA70+BB70+BC70+BE70+BG70+BI70+N(Z70)),IF(AA70="経理区分別",BD70+BE70,"")))</f>
        <v/>
      </c>
      <c r="AF70" s="27"/>
      <c r="AG70" s="29" t="str">
        <f aca="false">IF(OR(G70="",G70="なし"),"",IF(AA70="経理区分別",BF70+BG70,""))</f>
        <v/>
      </c>
      <c r="AH70" s="27"/>
      <c r="AI70" s="29" t="str">
        <f aca="false">IF(OR(G70="",G70="なし"),"",IF(AA70="経理区分別",BH70+BI70+N(Z70),""))</f>
        <v/>
      </c>
      <c r="AJ70" s="27"/>
      <c r="AK70" s="26" t="s">
        <v>168</v>
      </c>
      <c r="AL70" s="26"/>
      <c r="AM70" s="30"/>
      <c r="AN70" s="31"/>
      <c r="AO70" s="31"/>
      <c r="AP70" s="31"/>
      <c r="AQ70" s="31"/>
      <c r="AR70" s="31"/>
      <c r="AS70" s="31"/>
      <c r="AT70" s="31"/>
      <c r="AU70" s="31"/>
      <c r="AV70" s="31"/>
      <c r="AW70" s="31"/>
      <c r="AX70" s="31"/>
      <c r="AY70" s="31" t="n">
        <f aca="false">IF($G70="",AN70,O70)</f>
        <v>0</v>
      </c>
      <c r="AZ70" s="31" t="n">
        <f aca="false">IF($G70="",AO70,P70)</f>
        <v>0</v>
      </c>
      <c r="BA70" s="31" t="n">
        <f aca="false">IF($G70="",AP70,T70)</f>
        <v>40260</v>
      </c>
      <c r="BB70" s="31" t="n">
        <f aca="false">IF($G70="",AQ70,U70)</f>
        <v>3300</v>
      </c>
      <c r="BC70" s="31" t="n">
        <f aca="false">IF($G70="",AR70,V70)</f>
        <v>38</v>
      </c>
      <c r="BD70" s="31" t="n">
        <f aca="false">IF($G70="",AS70,Q70)</f>
        <v>0</v>
      </c>
      <c r="BE70" s="31" t="n">
        <f aca="false">IF($G70="",AT70,W70)</f>
        <v>22840</v>
      </c>
      <c r="BF70" s="31" t="n">
        <f aca="false">IF($G70="",AU70,R70)</f>
        <v>0</v>
      </c>
      <c r="BG70" s="31" t="n">
        <f aca="false">IF($G70="",AV70,X70)</f>
        <v>3476</v>
      </c>
      <c r="BH70" s="31" t="n">
        <f aca="false">IF($G70="",AW70,S70)</f>
        <v>0</v>
      </c>
      <c r="BI70" s="31" t="n">
        <f aca="false">IF($G70="",AX70,Y70)</f>
        <v>506</v>
      </c>
      <c r="BJ70" s="31" t="n">
        <f aca="false">IF(CK70="N",BR70,ROUNDDOWN((I70-L70)*設定!$B$10/1000,0)+ROUNDDOWN((I70-L70)*設定!$B$11/1000,0))</f>
        <v>0</v>
      </c>
      <c r="BK70" s="31" t="n">
        <f aca="false">ROUNDDOWN((I70-L70)*設定!$C$10/1000,0)+ROUNDDOWN((I70-L70)*設定!$C$11/1000,0)+ROUNDDOWN(I70*設定!$C$12/1000,0)+IF(CL70="市局型",ROUNDDOWN(I70*設定!$C$16/1000,0),0)</f>
        <v>0</v>
      </c>
      <c r="BL70" s="31" t="n">
        <f aca="false">IF(CK70="N",BT70,ROUNDDOWN((J70-M70)*設定!$B$13/1000,0))</f>
        <v>0</v>
      </c>
      <c r="BM70" s="31" t="n">
        <f aca="false">ROUNDDOWN((J70-M70)*設定!$C$13/1000,0)+IF(CL70="市局型",ROUNDDOWN(J70*設定!$C$17/1000,0),0)</f>
        <v>0</v>
      </c>
      <c r="BN70" s="31" t="n">
        <f aca="false">IF(CK70="N",BV70,ROUNDDOWN((K70-N70)*設定!$B$14/1000,0))</f>
        <v>0</v>
      </c>
      <c r="BO70" s="31" t="n">
        <f aca="false">ROUNDDOWN((K70-N70)*設定!$C$14/1000,0)</f>
        <v>0</v>
      </c>
      <c r="BP70" s="31" t="n">
        <f aca="false">IF(CK70="N",BX70,ROUNDDOWN((J70-M70)*設定!$B$15/1000,0))</f>
        <v>0</v>
      </c>
      <c r="BQ70" s="31" t="n">
        <f aca="false">ROUNDDOWN((J70-M70)*設定!$C$15/1000,0)</f>
        <v>0</v>
      </c>
      <c r="BR70" s="31" t="n">
        <f aca="false">O70+P70</f>
        <v>0</v>
      </c>
      <c r="BS70" s="31" t="n">
        <f aca="false">T70+U70+V70</f>
        <v>43598</v>
      </c>
      <c r="BT70" s="31" t="n">
        <f aca="false">Q70</f>
        <v>0</v>
      </c>
      <c r="BU70" s="31" t="n">
        <f aca="false">W70</f>
        <v>22840</v>
      </c>
      <c r="BV70" s="31" t="n">
        <f aca="false">R70</f>
        <v>0</v>
      </c>
      <c r="BW70" s="31" t="n">
        <f aca="false">X70</f>
        <v>3476</v>
      </c>
      <c r="BX70" s="31" t="n">
        <f aca="false">S70</f>
        <v>0</v>
      </c>
      <c r="BY70" s="31" t="n">
        <f aca="false">Y70</f>
        <v>506</v>
      </c>
      <c r="BZ70" s="32" t="n">
        <f aca="false">IF(BJ70=0,IF(BR70=0,0,1),(BR70-BJ70)/BJ70)</f>
        <v>0</v>
      </c>
      <c r="CA70" s="32" t="n">
        <f aca="false">IF(BK70=0,IF(BS70=0,0,1),(BS70-BK70)/BK70)</f>
        <v>1</v>
      </c>
      <c r="CB70" s="32" t="n">
        <f aca="false">IF(BL70=0,IF(BT70=0,0,1),(BT70-BL70)/BL70)</f>
        <v>0</v>
      </c>
      <c r="CC70" s="32" t="n">
        <f aca="false">IF(BM70=0,IF(BU70=0,0,1),(BU70-BM70)/BM70)</f>
        <v>1</v>
      </c>
      <c r="CD70" s="32" t="n">
        <f aca="false">IF(BN70=0,IF(BV70=0,0,1),(BV70-BN70)/BN70)</f>
        <v>0</v>
      </c>
      <c r="CE70" s="32" t="n">
        <f aca="false">IF(BO70=0,IF(BW70=0,0,1),(BW70-BO70)/BO70)</f>
        <v>1</v>
      </c>
      <c r="CF70" s="32" t="n">
        <f aca="false">IF(BP70=0,IF(BX70=0,0,1),(BX70-BP70)/BP70)</f>
        <v>0</v>
      </c>
      <c r="CG70" s="32" t="n">
        <f aca="false">IF(BQ70=0,IF(BY70=0,0,1),(BY70-BQ70)/BQ70)</f>
        <v>1</v>
      </c>
      <c r="CH70" s="32" t="n">
        <f aca="false">MAX(MAX(BZ70:CG70),-MIN(BZ70:CG70))</f>
        <v>1</v>
      </c>
      <c r="CI70" s="31" t="n">
        <f aca="false">IF(CO70="","",SUMIFS($CJ$7:$CJ$696,$A$7:$A$696,CO70,$B$7:$B$696,B70))</f>
        <v>70420</v>
      </c>
      <c r="CJ70" s="31" t="n">
        <f aca="false">SUM(AY70:BI70)</f>
        <v>70420</v>
      </c>
      <c r="CK70" s="31" t="str">
        <f aca="false">IFERROR(INDEX(設定!$F$61:$F$106,MATCH(B70,設定!$B$61:$B$106,0)),"Y")</f>
        <v>N</v>
      </c>
      <c r="CL70" s="31" t="str">
        <f aca="false">IFERROR(INDEX(設定!$G$61:$G$106,MATCH(B70,設定!$B$61:$B$106,0)),"外郭型")</f>
        <v>外郭型</v>
      </c>
      <c r="CM70" s="33" t="str">
        <f aca="false">A70&amp;"|"&amp;B70</f>
        <v>2026-05 月例|ひろしま産業振興</v>
      </c>
      <c r="CN70" s="34" t="str">
        <f aca="false">IFERROR(INDEX(設定!$D$61:$D$106,MATCH(B70,設定!$B$61:$B$106,0)),"Y")</f>
        <v>Y</v>
      </c>
      <c r="CO70" s="34" t="str">
        <f aca="false">IFERROR(INDEX(設定!$D$20:$D$34,MATCH(A70,設定!$A$20:$A$34,0))&amp;"","")</f>
        <v>2026-04 月例</v>
      </c>
    </row>
    <row r="71" customFormat="false" ht="15" hidden="true" customHeight="false" outlineLevel="0" collapsed="false">
      <c r="A71" s="22" t="s">
        <v>215</v>
      </c>
      <c r="B71" s="23" t="s">
        <v>187</v>
      </c>
      <c r="C71" s="10" t="str">
        <f aca="false">IF(G71="","未受領",IF(G71="なし","報告なし",IF(AL71="○","起票済",IF(OR(AK71="○",F71="一致",F71="入金不要"),"入金確認済","受領済"))))</f>
        <v>入金確認済</v>
      </c>
      <c r="D71" s="10" t="str">
        <f aca="false">IF(OR(G71="",G71="なし"),"―",IF(CN71="N","対象外",IF(AND(I71="",J71="",K71=""),"標報未入力",IF(CH71&gt;=設定!$B$4,"要確認","問題なし"))))</f>
        <v>標報未入力</v>
      </c>
      <c r="E71" s="24" t="str">
        <f aca="false">IF(OR(G71="",G71="なし",CI71="",CJ71=0),"―",IF(CJ71=CI71,"前月同額",IF(CI71=0,"―",IF(ABS(CJ71/CI71-1)&gt;=設定!$B$5,"変動大 "&amp;TEXT(CJ71/CI71-1,"+0%;-0%"),"〇"))))</f>
        <v>―</v>
      </c>
      <c r="F71" s="10" t="str">
        <f aca="false">IF(OR(G71="",G71="なし"),"―",IF(CJ71=0,"入金不要",IF(COUNT(AD71,AF71,AH71,AJ71)=0,IF(AK71="○","手動確認","未入金"),IF(AND(N(AD71)=AC71,IF(AE71="",TRUE(),N(AF71)=AE71),IF(AG71="",TRUE(),N(AH71)=AG71),IF(AI71="",TRUE(),N(AJ71)=AI71)),"一致","不一致"))))</f>
        <v>入金不要</v>
      </c>
      <c r="G71" s="25" t="s">
        <v>167</v>
      </c>
      <c r="H71" s="26"/>
      <c r="I71" s="27"/>
      <c r="J71" s="27"/>
      <c r="K71" s="27"/>
      <c r="L71" s="27"/>
      <c r="M71" s="27"/>
      <c r="N71" s="27"/>
      <c r="O71" s="27"/>
      <c r="P71" s="27"/>
      <c r="Q71" s="27"/>
      <c r="R71" s="27"/>
      <c r="S71" s="27"/>
      <c r="T71" s="27" t="n">
        <v>0</v>
      </c>
      <c r="U71" s="27" t="n">
        <v>0</v>
      </c>
      <c r="V71" s="27" t="n">
        <v>0</v>
      </c>
      <c r="W71" s="27" t="n">
        <v>0</v>
      </c>
      <c r="X71" s="27" t="n">
        <v>0</v>
      </c>
      <c r="Y71" s="27" t="n">
        <v>0</v>
      </c>
      <c r="Z71" s="27"/>
      <c r="AA71" s="10" t="str">
        <f aca="false">IFERROR(INDEX(設定!$E$61:$E$106,MATCH(B71,設定!$B$61:$B$106,0)),"合算")</f>
        <v>合算</v>
      </c>
      <c r="AB71" s="28"/>
      <c r="AC71" s="29" t="n">
        <f aca="false">IF(OR(G71="",G71="なし"),"",IF(AA71="合算",CJ71+N(Z71),IF(AA71="掛金・負担金別",(AY71+AZ71+BD71+BF71+BH71),SUM(AY71:BC71))))</f>
        <v>0</v>
      </c>
      <c r="AD71" s="27"/>
      <c r="AE71" s="29" t="str">
        <f aca="false">IF(OR(G71="",G71="なし"),"",IF(AA71="掛金・負担金別",(BA71+BB71+BC71+BE71+BG71+BI71+N(Z71)),IF(AA71="経理区分別",BD71+BE71,"")))</f>
        <v/>
      </c>
      <c r="AF71" s="27"/>
      <c r="AG71" s="29" t="str">
        <f aca="false">IF(OR(G71="",G71="なし"),"",IF(AA71="経理区分別",BF71+BG71,""))</f>
        <v/>
      </c>
      <c r="AH71" s="27"/>
      <c r="AI71" s="29" t="str">
        <f aca="false">IF(OR(G71="",G71="なし"),"",IF(AA71="経理区分別",BH71+BI71+N(Z71),""))</f>
        <v/>
      </c>
      <c r="AJ71" s="27"/>
      <c r="AK71" s="26" t="s">
        <v>168</v>
      </c>
      <c r="AL71" s="26"/>
      <c r="AM71" s="30"/>
      <c r="AN71" s="31"/>
      <c r="AO71" s="31"/>
      <c r="AP71" s="31"/>
      <c r="AQ71" s="31"/>
      <c r="AR71" s="31"/>
      <c r="AS71" s="31"/>
      <c r="AT71" s="31"/>
      <c r="AU71" s="31"/>
      <c r="AV71" s="31"/>
      <c r="AW71" s="31"/>
      <c r="AX71" s="31"/>
      <c r="AY71" s="31" t="n">
        <f aca="false">IF($G71="",AN71,O71)</f>
        <v>0</v>
      </c>
      <c r="AZ71" s="31" t="n">
        <f aca="false">IF($G71="",AO71,P71)</f>
        <v>0</v>
      </c>
      <c r="BA71" s="31" t="n">
        <f aca="false">IF($G71="",AP71,T71)</f>
        <v>0</v>
      </c>
      <c r="BB71" s="31" t="n">
        <f aca="false">IF($G71="",AQ71,U71)</f>
        <v>0</v>
      </c>
      <c r="BC71" s="31" t="n">
        <f aca="false">IF($G71="",AR71,V71)</f>
        <v>0</v>
      </c>
      <c r="BD71" s="31" t="n">
        <f aca="false">IF($G71="",AS71,Q71)</f>
        <v>0</v>
      </c>
      <c r="BE71" s="31" t="n">
        <f aca="false">IF($G71="",AT71,W71)</f>
        <v>0</v>
      </c>
      <c r="BF71" s="31" t="n">
        <f aca="false">IF($G71="",AU71,R71)</f>
        <v>0</v>
      </c>
      <c r="BG71" s="31" t="n">
        <f aca="false">IF($G71="",AV71,X71)</f>
        <v>0</v>
      </c>
      <c r="BH71" s="31" t="n">
        <f aca="false">IF($G71="",AW71,S71)</f>
        <v>0</v>
      </c>
      <c r="BI71" s="31" t="n">
        <f aca="false">IF($G71="",AX71,Y71)</f>
        <v>0</v>
      </c>
      <c r="BJ71" s="31" t="n">
        <f aca="false">IF(CK71="N",BR71,ROUNDDOWN((I71-L71)*設定!$B$10/1000,0)+ROUNDDOWN((I71-L71)*設定!$B$11/1000,0))</f>
        <v>0</v>
      </c>
      <c r="BK71" s="31" t="n">
        <f aca="false">ROUNDDOWN((I71-L71)*設定!$C$10/1000,0)+ROUNDDOWN((I71-L71)*設定!$C$11/1000,0)+ROUNDDOWN(I71*設定!$C$12/1000,0)+IF(CL71="市局型",ROUNDDOWN(I71*設定!$C$16/1000,0),0)</f>
        <v>0</v>
      </c>
      <c r="BL71" s="31" t="n">
        <f aca="false">IF(CK71="N",BT71,ROUNDDOWN((J71-M71)*設定!$B$13/1000,0))</f>
        <v>0</v>
      </c>
      <c r="BM71" s="31" t="n">
        <f aca="false">ROUNDDOWN((J71-M71)*設定!$C$13/1000,0)+IF(CL71="市局型",ROUNDDOWN(J71*設定!$C$17/1000,0),0)</f>
        <v>0</v>
      </c>
      <c r="BN71" s="31" t="n">
        <f aca="false">IF(CK71="N",BV71,ROUNDDOWN((K71-N71)*設定!$B$14/1000,0))</f>
        <v>0</v>
      </c>
      <c r="BO71" s="31" t="n">
        <f aca="false">ROUNDDOWN((K71-N71)*設定!$C$14/1000,0)</f>
        <v>0</v>
      </c>
      <c r="BP71" s="31" t="n">
        <f aca="false">IF(CK71="N",BX71,ROUNDDOWN((J71-M71)*設定!$B$15/1000,0))</f>
        <v>0</v>
      </c>
      <c r="BQ71" s="31" t="n">
        <f aca="false">ROUNDDOWN((J71-M71)*設定!$C$15/1000,0)</f>
        <v>0</v>
      </c>
      <c r="BR71" s="31" t="n">
        <f aca="false">O71+P71</f>
        <v>0</v>
      </c>
      <c r="BS71" s="31" t="n">
        <f aca="false">T71+U71+V71</f>
        <v>0</v>
      </c>
      <c r="BT71" s="31" t="n">
        <f aca="false">Q71</f>
        <v>0</v>
      </c>
      <c r="BU71" s="31" t="n">
        <f aca="false">W71</f>
        <v>0</v>
      </c>
      <c r="BV71" s="31" t="n">
        <f aca="false">R71</f>
        <v>0</v>
      </c>
      <c r="BW71" s="31" t="n">
        <f aca="false">X71</f>
        <v>0</v>
      </c>
      <c r="BX71" s="31" t="n">
        <f aca="false">S71</f>
        <v>0</v>
      </c>
      <c r="BY71" s="31" t="n">
        <f aca="false">Y71</f>
        <v>0</v>
      </c>
      <c r="BZ71" s="32" t="n">
        <f aca="false">IF(BJ71=0,IF(BR71=0,0,1),(BR71-BJ71)/BJ71)</f>
        <v>0</v>
      </c>
      <c r="CA71" s="32" t="n">
        <f aca="false">IF(BK71=0,IF(BS71=0,0,1),(BS71-BK71)/BK71)</f>
        <v>0</v>
      </c>
      <c r="CB71" s="32" t="n">
        <f aca="false">IF(BL71=0,IF(BT71=0,0,1),(BT71-BL71)/BL71)</f>
        <v>0</v>
      </c>
      <c r="CC71" s="32" t="n">
        <f aca="false">IF(BM71=0,IF(BU71=0,0,1),(BU71-BM71)/BM71)</f>
        <v>0</v>
      </c>
      <c r="CD71" s="32" t="n">
        <f aca="false">IF(BN71=0,IF(BV71=0,0,1),(BV71-BN71)/BN71)</f>
        <v>0</v>
      </c>
      <c r="CE71" s="32" t="n">
        <f aca="false">IF(BO71=0,IF(BW71=0,0,1),(BW71-BO71)/BO71)</f>
        <v>0</v>
      </c>
      <c r="CF71" s="32" t="n">
        <f aca="false">IF(BP71=0,IF(BX71=0,0,1),(BX71-BP71)/BP71)</f>
        <v>0</v>
      </c>
      <c r="CG71" s="32" t="n">
        <f aca="false">IF(BQ71=0,IF(BY71=0,0,1),(BY71-BQ71)/BQ71)</f>
        <v>0</v>
      </c>
      <c r="CH71" s="32" t="n">
        <f aca="false">MAX(MAX(BZ71:CG71),-MIN(BZ71:CG71))</f>
        <v>-0</v>
      </c>
      <c r="CI71" s="31" t="n">
        <f aca="false">IF(CO71="","",SUMIFS($CJ$7:$CJ$696,$A$7:$A$696,CO71,$B$7:$B$696,B71))</f>
        <v>0</v>
      </c>
      <c r="CJ71" s="31" t="n">
        <f aca="false">SUM(AY71:BI71)</f>
        <v>0</v>
      </c>
      <c r="CK71" s="31" t="str">
        <f aca="false">IFERROR(INDEX(設定!$F$61:$F$106,MATCH(B71,設定!$B$61:$B$106,0)),"Y")</f>
        <v>N</v>
      </c>
      <c r="CL71" s="31" t="str">
        <f aca="false">IFERROR(INDEX(設定!$G$61:$G$106,MATCH(B71,設定!$B$61:$B$106,0)),"外郭型")</f>
        <v>外郭型</v>
      </c>
      <c r="CM71" s="33" t="str">
        <f aca="false">A71&amp;"|"&amp;B71</f>
        <v>2026-05 月例|都市整備公社　市</v>
      </c>
      <c r="CN71" s="34" t="str">
        <f aca="false">IFERROR(INDEX(設定!$D$61:$D$106,MATCH(B71,設定!$B$61:$B$106,0)),"Y")</f>
        <v>Y</v>
      </c>
      <c r="CO71" s="34" t="str">
        <f aca="false">IFERROR(INDEX(設定!$D$20:$D$34,MATCH(A71,設定!$A$20:$A$34,0))&amp;"","")</f>
        <v>2026-04 月例</v>
      </c>
    </row>
    <row r="72" customFormat="false" ht="15" hidden="true" customHeight="false" outlineLevel="0" collapsed="false">
      <c r="A72" s="22" t="s">
        <v>215</v>
      </c>
      <c r="B72" s="23" t="s">
        <v>188</v>
      </c>
      <c r="C72" s="10" t="str">
        <f aca="false">IF(G72="","未受領",IF(G72="なし","報告なし",IF(AL72="○","起票済",IF(OR(AK72="○",F72="一致",F72="入金不要"),"入金確認済","受領済"))))</f>
        <v>入金確認済</v>
      </c>
      <c r="D72" s="10" t="str">
        <f aca="false">IF(OR(G72="",G72="なし"),"―",IF(CN72="N","対象外",IF(AND(I72="",J72="",K72=""),"標報未入力",IF(CH72&gt;=設定!$B$4,"要確認","問題なし"))))</f>
        <v>標報未入力</v>
      </c>
      <c r="E72" s="24" t="str">
        <f aca="false">IF(OR(G72="",G72="なし",CI72="",CJ72=0),"―",IF(CJ72=CI72,"前月同額",IF(CI72=0,"―",IF(ABS(CJ72/CI72-1)&gt;=設定!$B$5,"変動大 "&amp;TEXT(CJ72/CI72-1,"+0%;-0%"),"〇"))))</f>
        <v>前月同額</v>
      </c>
      <c r="F72" s="10" t="str">
        <f aca="false">IF(OR(G72="",G72="なし"),"―",IF(CJ72=0,"入金不要",IF(COUNT(AD72,AF72,AH72,AJ72)=0,IF(AK72="○","手動確認","未入金"),IF(AND(N(AD72)=AC72,IF(AE72="",TRUE(),N(AF72)=AE72),IF(AG72="",TRUE(),N(AH72)=AG72),IF(AI72="",TRUE(),N(AJ72)=AI72)),"一致","不一致"))))</f>
        <v>手動確認</v>
      </c>
      <c r="G72" s="25" t="s">
        <v>167</v>
      </c>
      <c r="H72" s="26"/>
      <c r="I72" s="27"/>
      <c r="J72" s="27"/>
      <c r="K72" s="27"/>
      <c r="L72" s="27"/>
      <c r="M72" s="27"/>
      <c r="N72" s="27"/>
      <c r="O72" s="27"/>
      <c r="P72" s="27"/>
      <c r="Q72" s="27"/>
      <c r="R72" s="27"/>
      <c r="S72" s="27"/>
      <c r="T72" s="27" t="n">
        <v>193065</v>
      </c>
      <c r="U72" s="27" t="n">
        <v>15825</v>
      </c>
      <c r="V72" s="27" t="n">
        <v>183</v>
      </c>
      <c r="W72" s="27" t="n">
        <v>109530</v>
      </c>
      <c r="X72" s="27" t="n">
        <v>12956</v>
      </c>
      <c r="Y72" s="27" t="n">
        <v>2426</v>
      </c>
      <c r="Z72" s="27"/>
      <c r="AA72" s="10" t="str">
        <f aca="false">IFERROR(INDEX(設定!$E$61:$E$106,MATCH(B72,設定!$B$61:$B$106,0)),"合算")</f>
        <v>合算</v>
      </c>
      <c r="AB72" s="28"/>
      <c r="AC72" s="29" t="n">
        <f aca="false">IF(OR(G72="",G72="なし"),"",IF(AA72="合算",CJ72+N(Z72),IF(AA72="掛金・負担金別",(AY72+AZ72+BD72+BF72+BH72),SUM(AY72:BC72))))</f>
        <v>333985</v>
      </c>
      <c r="AD72" s="27"/>
      <c r="AE72" s="29" t="str">
        <f aca="false">IF(OR(G72="",G72="なし"),"",IF(AA72="掛金・負担金別",(BA72+BB72+BC72+BE72+BG72+BI72+N(Z72)),IF(AA72="経理区分別",BD72+BE72,"")))</f>
        <v/>
      </c>
      <c r="AF72" s="27"/>
      <c r="AG72" s="29" t="str">
        <f aca="false">IF(OR(G72="",G72="なし"),"",IF(AA72="経理区分別",BF72+BG72,""))</f>
        <v/>
      </c>
      <c r="AH72" s="27"/>
      <c r="AI72" s="29" t="str">
        <f aca="false">IF(OR(G72="",G72="なし"),"",IF(AA72="経理区分別",BH72+BI72+N(Z72),""))</f>
        <v/>
      </c>
      <c r="AJ72" s="27"/>
      <c r="AK72" s="26" t="s">
        <v>168</v>
      </c>
      <c r="AL72" s="26"/>
      <c r="AM72" s="30"/>
      <c r="AN72" s="31"/>
      <c r="AO72" s="31"/>
      <c r="AP72" s="31"/>
      <c r="AQ72" s="31"/>
      <c r="AR72" s="31"/>
      <c r="AS72" s="31"/>
      <c r="AT72" s="31"/>
      <c r="AU72" s="31"/>
      <c r="AV72" s="31"/>
      <c r="AW72" s="31"/>
      <c r="AX72" s="31"/>
      <c r="AY72" s="31" t="n">
        <f aca="false">IF($G72="",AN72,O72)</f>
        <v>0</v>
      </c>
      <c r="AZ72" s="31" t="n">
        <f aca="false">IF($G72="",AO72,P72)</f>
        <v>0</v>
      </c>
      <c r="BA72" s="31" t="n">
        <f aca="false">IF($G72="",AP72,T72)</f>
        <v>193065</v>
      </c>
      <c r="BB72" s="31" t="n">
        <f aca="false">IF($G72="",AQ72,U72)</f>
        <v>15825</v>
      </c>
      <c r="BC72" s="31" t="n">
        <f aca="false">IF($G72="",AR72,V72)</f>
        <v>183</v>
      </c>
      <c r="BD72" s="31" t="n">
        <f aca="false">IF($G72="",AS72,Q72)</f>
        <v>0</v>
      </c>
      <c r="BE72" s="31" t="n">
        <f aca="false">IF($G72="",AT72,W72)</f>
        <v>109530</v>
      </c>
      <c r="BF72" s="31" t="n">
        <f aca="false">IF($G72="",AU72,R72)</f>
        <v>0</v>
      </c>
      <c r="BG72" s="31" t="n">
        <f aca="false">IF($G72="",AV72,X72)</f>
        <v>12956</v>
      </c>
      <c r="BH72" s="31" t="n">
        <f aca="false">IF($G72="",AW72,S72)</f>
        <v>0</v>
      </c>
      <c r="BI72" s="31" t="n">
        <f aca="false">IF($G72="",AX72,Y72)</f>
        <v>2426</v>
      </c>
      <c r="BJ72" s="31" t="n">
        <f aca="false">IF(CK72="N",BR72,ROUNDDOWN((I72-L72)*設定!$B$10/1000,0)+ROUNDDOWN((I72-L72)*設定!$B$11/1000,0))</f>
        <v>0</v>
      </c>
      <c r="BK72" s="31" t="n">
        <f aca="false">ROUNDDOWN((I72-L72)*設定!$C$10/1000,0)+ROUNDDOWN((I72-L72)*設定!$C$11/1000,0)+ROUNDDOWN(I72*設定!$C$12/1000,0)+IF(CL72="市局型",ROUNDDOWN(I72*設定!$C$16/1000,0),0)</f>
        <v>0</v>
      </c>
      <c r="BL72" s="31" t="n">
        <f aca="false">IF(CK72="N",BT72,ROUNDDOWN((J72-M72)*設定!$B$13/1000,0))</f>
        <v>0</v>
      </c>
      <c r="BM72" s="31" t="n">
        <f aca="false">ROUNDDOWN((J72-M72)*設定!$C$13/1000,0)+IF(CL72="市局型",ROUNDDOWN(J72*設定!$C$17/1000,0),0)</f>
        <v>0</v>
      </c>
      <c r="BN72" s="31" t="n">
        <f aca="false">IF(CK72="N",BV72,ROUNDDOWN((K72-N72)*設定!$B$14/1000,0))</f>
        <v>0</v>
      </c>
      <c r="BO72" s="31" t="n">
        <f aca="false">ROUNDDOWN((K72-N72)*設定!$C$14/1000,0)</f>
        <v>0</v>
      </c>
      <c r="BP72" s="31" t="n">
        <f aca="false">IF(CK72="N",BX72,ROUNDDOWN((J72-M72)*設定!$B$15/1000,0))</f>
        <v>0</v>
      </c>
      <c r="BQ72" s="31" t="n">
        <f aca="false">ROUNDDOWN((J72-M72)*設定!$C$15/1000,0)</f>
        <v>0</v>
      </c>
      <c r="BR72" s="31" t="n">
        <f aca="false">O72+P72</f>
        <v>0</v>
      </c>
      <c r="BS72" s="31" t="n">
        <f aca="false">T72+U72+V72</f>
        <v>209073</v>
      </c>
      <c r="BT72" s="31" t="n">
        <f aca="false">Q72</f>
        <v>0</v>
      </c>
      <c r="BU72" s="31" t="n">
        <f aca="false">W72</f>
        <v>109530</v>
      </c>
      <c r="BV72" s="31" t="n">
        <f aca="false">R72</f>
        <v>0</v>
      </c>
      <c r="BW72" s="31" t="n">
        <f aca="false">X72</f>
        <v>12956</v>
      </c>
      <c r="BX72" s="31" t="n">
        <f aca="false">S72</f>
        <v>0</v>
      </c>
      <c r="BY72" s="31" t="n">
        <f aca="false">Y72</f>
        <v>2426</v>
      </c>
      <c r="BZ72" s="32" t="n">
        <f aca="false">IF(BJ72=0,IF(BR72=0,0,1),(BR72-BJ72)/BJ72)</f>
        <v>0</v>
      </c>
      <c r="CA72" s="32" t="n">
        <f aca="false">IF(BK72=0,IF(BS72=0,0,1),(BS72-BK72)/BK72)</f>
        <v>1</v>
      </c>
      <c r="CB72" s="32" t="n">
        <f aca="false">IF(BL72=0,IF(BT72=0,0,1),(BT72-BL72)/BL72)</f>
        <v>0</v>
      </c>
      <c r="CC72" s="32" t="n">
        <f aca="false">IF(BM72=0,IF(BU72=0,0,1),(BU72-BM72)/BM72)</f>
        <v>1</v>
      </c>
      <c r="CD72" s="32" t="n">
        <f aca="false">IF(BN72=0,IF(BV72=0,0,1),(BV72-BN72)/BN72)</f>
        <v>0</v>
      </c>
      <c r="CE72" s="32" t="n">
        <f aca="false">IF(BO72=0,IF(BW72=0,0,1),(BW72-BO72)/BO72)</f>
        <v>1</v>
      </c>
      <c r="CF72" s="32" t="n">
        <f aca="false">IF(BP72=0,IF(BX72=0,0,1),(BX72-BP72)/BP72)</f>
        <v>0</v>
      </c>
      <c r="CG72" s="32" t="n">
        <f aca="false">IF(BQ72=0,IF(BY72=0,0,1),(BY72-BQ72)/BQ72)</f>
        <v>1</v>
      </c>
      <c r="CH72" s="32" t="n">
        <f aca="false">MAX(MAX(BZ72:CG72),-MIN(BZ72:CG72))</f>
        <v>1</v>
      </c>
      <c r="CI72" s="31" t="n">
        <f aca="false">IF(CO72="","",SUMIFS($CJ$7:$CJ$696,$A$7:$A$696,CO72,$B$7:$B$696,B72))</f>
        <v>333985</v>
      </c>
      <c r="CJ72" s="31" t="n">
        <f aca="false">SUM(AY72:BI72)</f>
        <v>333985</v>
      </c>
      <c r="CK72" s="31" t="str">
        <f aca="false">IFERROR(INDEX(設定!$F$61:$F$106,MATCH(B72,設定!$B$61:$B$106,0)),"Y")</f>
        <v>N</v>
      </c>
      <c r="CL72" s="31" t="str">
        <f aca="false">IFERROR(INDEX(設定!$G$61:$G$106,MATCH(B72,設定!$B$61:$B$106,0)),"外郭型")</f>
        <v>外郭型</v>
      </c>
      <c r="CM72" s="33" t="str">
        <f aca="false">A72&amp;"|"&amp;B72</f>
        <v>2026-05 月例|都市整備公社　消防</v>
      </c>
      <c r="CN72" s="34" t="str">
        <f aca="false">IFERROR(INDEX(設定!$D$61:$D$106,MATCH(B72,設定!$B$61:$B$106,0)),"Y")</f>
        <v>Y</v>
      </c>
      <c r="CO72" s="34" t="str">
        <f aca="false">IFERROR(INDEX(設定!$D$20:$D$34,MATCH(A72,設定!$A$20:$A$34,0))&amp;"","")</f>
        <v>2026-04 月例</v>
      </c>
    </row>
    <row r="73" customFormat="false" ht="15" hidden="true" customHeight="false" outlineLevel="0" collapsed="false">
      <c r="A73" s="22" t="s">
        <v>215</v>
      </c>
      <c r="B73" s="23" t="s">
        <v>189</v>
      </c>
      <c r="C73" s="10" t="str">
        <f aca="false">IF(G73="","未受領",IF(G73="なし","報告なし",IF(AL73="○","起票済",IF(OR(AK73="○",F73="一致",F73="入金不要"),"入金確認済","受領済"))))</f>
        <v>入金確認済</v>
      </c>
      <c r="D73" s="10" t="str">
        <f aca="false">IF(OR(G73="",G73="なし"),"―",IF(CN73="N","対象外",IF(AND(I73="",J73="",K73=""),"標報未入力",IF(CH73&gt;=設定!$B$4,"要確認","問題なし"))))</f>
        <v>標報未入力</v>
      </c>
      <c r="E73" s="24" t="str">
        <f aca="false">IF(OR(G73="",G73="なし",CI73="",CJ73=0),"―",IF(CJ73=CI73,"前月同額",IF(CI73=0,"―",IF(ABS(CJ73/CI73-1)&gt;=設定!$B$5,"変動大 "&amp;TEXT(CJ73/CI73-1,"+0%;-0%"),"〇"))))</f>
        <v>〇</v>
      </c>
      <c r="F73" s="10" t="str">
        <f aca="false">IF(OR(G73="",G73="なし"),"―",IF(CJ73=0,"入金不要",IF(COUNT(AD73,AF73,AH73,AJ73)=0,IF(AK73="○","手動確認","未入金"),IF(AND(N(AD73)=AC73,IF(AE73="",TRUE(),N(AF73)=AE73),IF(AG73="",TRUE(),N(AH73)=AG73),IF(AI73="",TRUE(),N(AJ73)=AI73)),"一致","不一致"))))</f>
        <v>手動確認</v>
      </c>
      <c r="G73" s="25" t="s">
        <v>167</v>
      </c>
      <c r="H73" s="26"/>
      <c r="I73" s="27"/>
      <c r="J73" s="27"/>
      <c r="K73" s="27"/>
      <c r="L73" s="27"/>
      <c r="M73" s="27"/>
      <c r="N73" s="27"/>
      <c r="O73" s="27" t="n">
        <v>237900</v>
      </c>
      <c r="P73" s="27" t="n">
        <v>19500</v>
      </c>
      <c r="Q73" s="27" t="n">
        <v>137945</v>
      </c>
      <c r="R73" s="27" t="n">
        <v>10744</v>
      </c>
      <c r="S73" s="27" t="n">
        <v>3058</v>
      </c>
      <c r="T73" s="27" t="n">
        <v>237900</v>
      </c>
      <c r="U73" s="27" t="n">
        <v>19500</v>
      </c>
      <c r="V73" s="27" t="n">
        <v>225</v>
      </c>
      <c r="W73" s="27" t="n">
        <v>138080</v>
      </c>
      <c r="X73" s="27" t="n">
        <v>10744</v>
      </c>
      <c r="Y73" s="27" t="n">
        <v>3059</v>
      </c>
      <c r="Z73" s="27"/>
      <c r="AA73" s="10" t="str">
        <f aca="false">IFERROR(INDEX(設定!$E$61:$E$106,MATCH(B73,設定!$B$61:$B$106,0)),"合算")</f>
        <v>合算</v>
      </c>
      <c r="AB73" s="28"/>
      <c r="AC73" s="29" t="n">
        <f aca="false">IF(OR(G73="",G73="なし"),"",IF(AA73="合算",CJ73+N(Z73),IF(AA73="掛金・負担金別",(AY73+AZ73+BD73+BF73+BH73),SUM(AY73:BC73))))</f>
        <v>818655</v>
      </c>
      <c r="AD73" s="27"/>
      <c r="AE73" s="29" t="str">
        <f aca="false">IF(OR(G73="",G73="なし"),"",IF(AA73="掛金・負担金別",(BA73+BB73+BC73+BE73+BG73+BI73+N(Z73)),IF(AA73="経理区分別",BD73+BE73,"")))</f>
        <v/>
      </c>
      <c r="AF73" s="27"/>
      <c r="AG73" s="29" t="str">
        <f aca="false">IF(OR(G73="",G73="なし"),"",IF(AA73="経理区分別",BF73+BG73,""))</f>
        <v/>
      </c>
      <c r="AH73" s="27"/>
      <c r="AI73" s="29" t="str">
        <f aca="false">IF(OR(G73="",G73="なし"),"",IF(AA73="経理区分別",BH73+BI73+N(Z73),""))</f>
        <v/>
      </c>
      <c r="AJ73" s="27"/>
      <c r="AK73" s="26" t="s">
        <v>168</v>
      </c>
      <c r="AL73" s="26"/>
      <c r="AM73" s="30"/>
      <c r="AN73" s="31"/>
      <c r="AO73" s="31"/>
      <c r="AP73" s="31"/>
      <c r="AQ73" s="31"/>
      <c r="AR73" s="31"/>
      <c r="AS73" s="31"/>
      <c r="AT73" s="31"/>
      <c r="AU73" s="31"/>
      <c r="AV73" s="31"/>
      <c r="AW73" s="31"/>
      <c r="AX73" s="31"/>
      <c r="AY73" s="31" t="n">
        <f aca="false">IF($G73="",AN73,O73)</f>
        <v>237900</v>
      </c>
      <c r="AZ73" s="31" t="n">
        <f aca="false">IF($G73="",AO73,P73)</f>
        <v>19500</v>
      </c>
      <c r="BA73" s="31" t="n">
        <f aca="false">IF($G73="",AP73,T73)</f>
        <v>237900</v>
      </c>
      <c r="BB73" s="31" t="n">
        <f aca="false">IF($G73="",AQ73,U73)</f>
        <v>19500</v>
      </c>
      <c r="BC73" s="31" t="n">
        <f aca="false">IF($G73="",AR73,V73)</f>
        <v>225</v>
      </c>
      <c r="BD73" s="31" t="n">
        <f aca="false">IF($G73="",AS73,Q73)</f>
        <v>137945</v>
      </c>
      <c r="BE73" s="31" t="n">
        <f aca="false">IF($G73="",AT73,W73)</f>
        <v>138080</v>
      </c>
      <c r="BF73" s="31" t="n">
        <f aca="false">IF($G73="",AU73,R73)</f>
        <v>10744</v>
      </c>
      <c r="BG73" s="31" t="n">
        <f aca="false">IF($G73="",AV73,X73)</f>
        <v>10744</v>
      </c>
      <c r="BH73" s="31" t="n">
        <f aca="false">IF($G73="",AW73,S73)</f>
        <v>3058</v>
      </c>
      <c r="BI73" s="31" t="n">
        <f aca="false">IF($G73="",AX73,Y73)</f>
        <v>3059</v>
      </c>
      <c r="BJ73" s="31" t="n">
        <f aca="false">IF(CK73="N",BR73,ROUNDDOWN((I73-L73)*設定!$B$10/1000,0)+ROUNDDOWN((I73-L73)*設定!$B$11/1000,0))</f>
        <v>0</v>
      </c>
      <c r="BK73" s="31" t="n">
        <f aca="false">ROUNDDOWN((I73-L73)*設定!$C$10/1000,0)+ROUNDDOWN((I73-L73)*設定!$C$11/1000,0)+ROUNDDOWN(I73*設定!$C$12/1000,0)+IF(CL73="市局型",ROUNDDOWN(I73*設定!$C$16/1000,0),0)</f>
        <v>0</v>
      </c>
      <c r="BL73" s="31" t="n">
        <f aca="false">IF(CK73="N",BT73,ROUNDDOWN((J73-M73)*設定!$B$13/1000,0))</f>
        <v>0</v>
      </c>
      <c r="BM73" s="31" t="n">
        <f aca="false">ROUNDDOWN((J73-M73)*設定!$C$13/1000,0)+IF(CL73="市局型",ROUNDDOWN(J73*設定!$C$17/1000,0),0)</f>
        <v>0</v>
      </c>
      <c r="BN73" s="31" t="n">
        <f aca="false">IF(CK73="N",BV73,ROUNDDOWN((K73-N73)*設定!$B$14/1000,0))</f>
        <v>0</v>
      </c>
      <c r="BO73" s="31" t="n">
        <f aca="false">ROUNDDOWN((K73-N73)*設定!$C$14/1000,0)</f>
        <v>0</v>
      </c>
      <c r="BP73" s="31" t="n">
        <f aca="false">IF(CK73="N",BX73,ROUNDDOWN((J73-M73)*設定!$B$15/1000,0))</f>
        <v>0</v>
      </c>
      <c r="BQ73" s="31" t="n">
        <f aca="false">ROUNDDOWN((J73-M73)*設定!$C$15/1000,0)</f>
        <v>0</v>
      </c>
      <c r="BR73" s="31" t="n">
        <f aca="false">O73+P73</f>
        <v>257400</v>
      </c>
      <c r="BS73" s="31" t="n">
        <f aca="false">T73+U73+V73</f>
        <v>257625</v>
      </c>
      <c r="BT73" s="31" t="n">
        <f aca="false">Q73</f>
        <v>137945</v>
      </c>
      <c r="BU73" s="31" t="n">
        <f aca="false">W73</f>
        <v>138080</v>
      </c>
      <c r="BV73" s="31" t="n">
        <f aca="false">R73</f>
        <v>10744</v>
      </c>
      <c r="BW73" s="31" t="n">
        <f aca="false">X73</f>
        <v>10744</v>
      </c>
      <c r="BX73" s="31" t="n">
        <f aca="false">S73</f>
        <v>3058</v>
      </c>
      <c r="BY73" s="31" t="n">
        <f aca="false">Y73</f>
        <v>3059</v>
      </c>
      <c r="BZ73" s="32" t="n">
        <f aca="false">IF(BJ73=0,IF(BR73=0,0,1),(BR73-BJ73)/BJ73)</f>
        <v>1</v>
      </c>
      <c r="CA73" s="32" t="n">
        <f aca="false">IF(BK73=0,IF(BS73=0,0,1),(BS73-BK73)/BK73)</f>
        <v>1</v>
      </c>
      <c r="CB73" s="32" t="n">
        <f aca="false">IF(BL73=0,IF(BT73=0,0,1),(BT73-BL73)/BL73)</f>
        <v>1</v>
      </c>
      <c r="CC73" s="32" t="n">
        <f aca="false">IF(BM73=0,IF(BU73=0,0,1),(BU73-BM73)/BM73)</f>
        <v>1</v>
      </c>
      <c r="CD73" s="32" t="n">
        <f aca="false">IF(BN73=0,IF(BV73=0,0,1),(BV73-BN73)/BN73)</f>
        <v>1</v>
      </c>
      <c r="CE73" s="32" t="n">
        <f aca="false">IF(BO73=0,IF(BW73=0,0,1),(BW73-BO73)/BO73)</f>
        <v>1</v>
      </c>
      <c r="CF73" s="32" t="n">
        <f aca="false">IF(BP73=0,IF(BX73=0,0,1),(BX73-BP73)/BP73)</f>
        <v>1</v>
      </c>
      <c r="CG73" s="32" t="n">
        <f aca="false">IF(BQ73=0,IF(BY73=0,0,1),(BY73-BQ73)/BQ73)</f>
        <v>1</v>
      </c>
      <c r="CH73" s="32" t="n">
        <f aca="false">MAX(MAX(BZ73:CG73),-MIN(BZ73:CG73))</f>
        <v>1</v>
      </c>
      <c r="CI73" s="31" t="n">
        <f aca="false">IF(CO73="","",SUMIFS($CJ$7:$CJ$696,$A$7:$A$696,CO73,$B$7:$B$696,B73))</f>
        <v>805402</v>
      </c>
      <c r="CJ73" s="31" t="n">
        <f aca="false">SUM(AY73:BI73)</f>
        <v>818655</v>
      </c>
      <c r="CK73" s="31" t="str">
        <f aca="false">IFERROR(INDEX(設定!$F$61:$F$106,MATCH(B73,設定!$B$61:$B$106,0)),"Y")</f>
        <v>Y</v>
      </c>
      <c r="CL73" s="31" t="str">
        <f aca="false">IFERROR(INDEX(設定!$G$61:$G$106,MATCH(B73,設定!$B$61:$B$106,0)),"外郭型")</f>
        <v>外郭型</v>
      </c>
      <c r="CM73" s="33" t="str">
        <f aca="false">A73&amp;"|"&amp;B73</f>
        <v>2026-05 月例|日本下水道事業団</v>
      </c>
      <c r="CN73" s="34" t="str">
        <f aca="false">IFERROR(INDEX(設定!$D$61:$D$106,MATCH(B73,設定!$B$61:$B$106,0)),"Y")</f>
        <v>Y</v>
      </c>
      <c r="CO73" s="34" t="str">
        <f aca="false">IFERROR(INDEX(設定!$D$20:$D$34,MATCH(A73,設定!$A$20:$A$34,0))&amp;"","")</f>
        <v>2026-04 月例</v>
      </c>
    </row>
    <row r="74" customFormat="false" ht="15" hidden="true" customHeight="false" outlineLevel="0" collapsed="false">
      <c r="A74" s="22" t="s">
        <v>215</v>
      </c>
      <c r="B74" s="23" t="s">
        <v>190</v>
      </c>
      <c r="C74" s="10" t="str">
        <f aca="false">IF(G74="","未受領",IF(G74="なし","報告なし",IF(AL74="○","起票済",IF(OR(AK74="○",F74="一致",F74="入金不要"),"入金確認済","受領済"))))</f>
        <v>入金確認済</v>
      </c>
      <c r="D74" s="10" t="str">
        <f aca="false">IF(OR(G74="",G74="なし"),"―",IF(CN74="N","対象外",IF(AND(I74="",J74="",K74=""),"標報未入力",IF(CH74&gt;=設定!$B$4,"要確認","問題なし"))))</f>
        <v>標報未入力</v>
      </c>
      <c r="E74" s="24" t="str">
        <f aca="false">IF(OR(G74="",G74="なし",CI74="",CJ74=0),"―",IF(CJ74=CI74,"前月同額",IF(CI74=0,"―",IF(ABS(CJ74/CI74-1)&gt;=設定!$B$5,"変動大 "&amp;TEXT(CJ74/CI74-1,"+0%;-0%"),"〇"))))</f>
        <v>前月同額</v>
      </c>
      <c r="F74" s="10" t="str">
        <f aca="false">IF(OR(G74="",G74="なし"),"―",IF(CJ74=0,"入金不要",IF(COUNT(AD74,AF74,AH74,AJ74)=0,IF(AK74="○","手動確認","未入金"),IF(AND(N(AD74)=AC74,IF(AE74="",TRUE(),N(AF74)=AE74),IF(AG74="",TRUE(),N(AH74)=AG74),IF(AI74="",TRUE(),N(AJ74)=AI74)),"一致","不一致"))))</f>
        <v>手動確認</v>
      </c>
      <c r="G74" s="25" t="s">
        <v>167</v>
      </c>
      <c r="H74" s="26"/>
      <c r="I74" s="27"/>
      <c r="J74" s="27"/>
      <c r="K74" s="27"/>
      <c r="L74" s="27"/>
      <c r="M74" s="27"/>
      <c r="N74" s="27"/>
      <c r="O74" s="27" t="n">
        <v>40260</v>
      </c>
      <c r="P74" s="27" t="n">
        <v>3300</v>
      </c>
      <c r="Q74" s="27" t="n">
        <v>22818</v>
      </c>
      <c r="R74" s="27" t="n">
        <v>0</v>
      </c>
      <c r="S74" s="27" t="n">
        <v>506</v>
      </c>
      <c r="T74" s="27" t="n">
        <v>40260</v>
      </c>
      <c r="U74" s="27" t="n">
        <v>3300</v>
      </c>
      <c r="V74" s="27" t="n">
        <v>38</v>
      </c>
      <c r="W74" s="27" t="n">
        <v>22840</v>
      </c>
      <c r="X74" s="27" t="n">
        <v>0</v>
      </c>
      <c r="Y74" s="27" t="n">
        <v>506</v>
      </c>
      <c r="Z74" s="27"/>
      <c r="AA74" s="10" t="str">
        <f aca="false">IFERROR(INDEX(設定!$E$61:$E$106,MATCH(B74,設定!$B$61:$B$106,0)),"合算")</f>
        <v>合算</v>
      </c>
      <c r="AB74" s="28"/>
      <c r="AC74" s="29" t="n">
        <f aca="false">IF(OR(G74="",G74="なし"),"",IF(AA74="合算",CJ74+N(Z74),IF(AA74="掛金・負担金別",(AY74+AZ74+BD74+BF74+BH74),SUM(AY74:BC74))))</f>
        <v>133828</v>
      </c>
      <c r="AD74" s="27"/>
      <c r="AE74" s="29" t="str">
        <f aca="false">IF(OR(G74="",G74="なし"),"",IF(AA74="掛金・負担金別",(BA74+BB74+BC74+BE74+BG74+BI74+N(Z74)),IF(AA74="経理区分別",BD74+BE74,"")))</f>
        <v/>
      </c>
      <c r="AF74" s="27"/>
      <c r="AG74" s="29" t="str">
        <f aca="false">IF(OR(G74="",G74="なし"),"",IF(AA74="経理区分別",BF74+BG74,""))</f>
        <v/>
      </c>
      <c r="AH74" s="27"/>
      <c r="AI74" s="29" t="str">
        <f aca="false">IF(OR(G74="",G74="なし"),"",IF(AA74="経理区分別",BH74+BI74+N(Z74),""))</f>
        <v/>
      </c>
      <c r="AJ74" s="27"/>
      <c r="AK74" s="26" t="s">
        <v>168</v>
      </c>
      <c r="AL74" s="26"/>
      <c r="AM74" s="30"/>
      <c r="AN74" s="31"/>
      <c r="AO74" s="31"/>
      <c r="AP74" s="31"/>
      <c r="AQ74" s="31"/>
      <c r="AR74" s="31"/>
      <c r="AS74" s="31"/>
      <c r="AT74" s="31"/>
      <c r="AU74" s="31"/>
      <c r="AV74" s="31"/>
      <c r="AW74" s="31"/>
      <c r="AX74" s="31"/>
      <c r="AY74" s="31" t="n">
        <f aca="false">IF($G74="",AN74,O74)</f>
        <v>40260</v>
      </c>
      <c r="AZ74" s="31" t="n">
        <f aca="false">IF($G74="",AO74,P74)</f>
        <v>3300</v>
      </c>
      <c r="BA74" s="31" t="n">
        <f aca="false">IF($G74="",AP74,T74)</f>
        <v>40260</v>
      </c>
      <c r="BB74" s="31" t="n">
        <f aca="false">IF($G74="",AQ74,U74)</f>
        <v>3300</v>
      </c>
      <c r="BC74" s="31" t="n">
        <f aca="false">IF($G74="",AR74,V74)</f>
        <v>38</v>
      </c>
      <c r="BD74" s="31" t="n">
        <f aca="false">IF($G74="",AS74,Q74)</f>
        <v>22818</v>
      </c>
      <c r="BE74" s="31" t="n">
        <f aca="false">IF($G74="",AT74,W74)</f>
        <v>22840</v>
      </c>
      <c r="BF74" s="31" t="n">
        <f aca="false">IF($G74="",AU74,R74)</f>
        <v>0</v>
      </c>
      <c r="BG74" s="31" t="n">
        <f aca="false">IF($G74="",AV74,X74)</f>
        <v>0</v>
      </c>
      <c r="BH74" s="31" t="n">
        <f aca="false">IF($G74="",AW74,S74)</f>
        <v>506</v>
      </c>
      <c r="BI74" s="31" t="n">
        <f aca="false">IF($G74="",AX74,Y74)</f>
        <v>506</v>
      </c>
      <c r="BJ74" s="31" t="n">
        <f aca="false">IF(CK74="N",BR74,ROUNDDOWN((I74-L74)*設定!$B$10/1000,0)+ROUNDDOWN((I74-L74)*設定!$B$11/1000,0))</f>
        <v>0</v>
      </c>
      <c r="BK74" s="31" t="n">
        <f aca="false">ROUNDDOWN((I74-L74)*設定!$C$10/1000,0)+ROUNDDOWN((I74-L74)*設定!$C$11/1000,0)+ROUNDDOWN(I74*設定!$C$12/1000,0)+IF(CL74="市局型",ROUNDDOWN(I74*設定!$C$16/1000,0),0)</f>
        <v>0</v>
      </c>
      <c r="BL74" s="31" t="n">
        <f aca="false">IF(CK74="N",BT74,ROUNDDOWN((J74-M74)*設定!$B$13/1000,0))</f>
        <v>0</v>
      </c>
      <c r="BM74" s="31" t="n">
        <f aca="false">ROUNDDOWN((J74-M74)*設定!$C$13/1000,0)+IF(CL74="市局型",ROUNDDOWN(J74*設定!$C$17/1000,0),0)</f>
        <v>0</v>
      </c>
      <c r="BN74" s="31" t="n">
        <f aca="false">IF(CK74="N",BV74,ROUNDDOWN((K74-N74)*設定!$B$14/1000,0))</f>
        <v>0</v>
      </c>
      <c r="BO74" s="31" t="n">
        <f aca="false">ROUNDDOWN((K74-N74)*設定!$C$14/1000,0)</f>
        <v>0</v>
      </c>
      <c r="BP74" s="31" t="n">
        <f aca="false">IF(CK74="N",BX74,ROUNDDOWN((J74-M74)*設定!$B$15/1000,0))</f>
        <v>0</v>
      </c>
      <c r="BQ74" s="31" t="n">
        <f aca="false">ROUNDDOWN((J74-M74)*設定!$C$15/1000,0)</f>
        <v>0</v>
      </c>
      <c r="BR74" s="31" t="n">
        <f aca="false">O74+P74</f>
        <v>43560</v>
      </c>
      <c r="BS74" s="31" t="n">
        <f aca="false">T74+U74+V74</f>
        <v>43598</v>
      </c>
      <c r="BT74" s="31" t="n">
        <f aca="false">Q74</f>
        <v>22818</v>
      </c>
      <c r="BU74" s="31" t="n">
        <f aca="false">W74</f>
        <v>22840</v>
      </c>
      <c r="BV74" s="31" t="n">
        <f aca="false">R74</f>
        <v>0</v>
      </c>
      <c r="BW74" s="31" t="n">
        <f aca="false">X74</f>
        <v>0</v>
      </c>
      <c r="BX74" s="31" t="n">
        <f aca="false">S74</f>
        <v>506</v>
      </c>
      <c r="BY74" s="31" t="n">
        <f aca="false">Y74</f>
        <v>506</v>
      </c>
      <c r="BZ74" s="32" t="n">
        <f aca="false">IF(BJ74=0,IF(BR74=0,0,1),(BR74-BJ74)/BJ74)</f>
        <v>1</v>
      </c>
      <c r="CA74" s="32" t="n">
        <f aca="false">IF(BK74=0,IF(BS74=0,0,1),(BS74-BK74)/BK74)</f>
        <v>1</v>
      </c>
      <c r="CB74" s="32" t="n">
        <f aca="false">IF(BL74=0,IF(BT74=0,0,1),(BT74-BL74)/BL74)</f>
        <v>1</v>
      </c>
      <c r="CC74" s="32" t="n">
        <f aca="false">IF(BM74=0,IF(BU74=0,0,1),(BU74-BM74)/BM74)</f>
        <v>1</v>
      </c>
      <c r="CD74" s="32" t="n">
        <f aca="false">IF(BN74=0,IF(BV74=0,0,1),(BV74-BN74)/BN74)</f>
        <v>0</v>
      </c>
      <c r="CE74" s="32" t="n">
        <f aca="false">IF(BO74=0,IF(BW74=0,0,1),(BW74-BO74)/BO74)</f>
        <v>0</v>
      </c>
      <c r="CF74" s="32" t="n">
        <f aca="false">IF(BP74=0,IF(BX74=0,0,1),(BX74-BP74)/BP74)</f>
        <v>1</v>
      </c>
      <c r="CG74" s="32" t="n">
        <f aca="false">IF(BQ74=0,IF(BY74=0,0,1),(BY74-BQ74)/BQ74)</f>
        <v>1</v>
      </c>
      <c r="CH74" s="32" t="n">
        <f aca="false">MAX(MAX(BZ74:CG74),-MIN(BZ74:CG74))</f>
        <v>1</v>
      </c>
      <c r="CI74" s="31" t="n">
        <f aca="false">IF(CO74="","",SUMIFS($CJ$7:$CJ$696,$A$7:$A$696,CO74,$B$7:$B$696,B74))</f>
        <v>133828</v>
      </c>
      <c r="CJ74" s="31" t="n">
        <f aca="false">SUM(AY74:BI74)</f>
        <v>133828</v>
      </c>
      <c r="CK74" s="31" t="str">
        <f aca="false">IFERROR(INDEX(設定!$F$61:$F$106,MATCH(B74,設定!$B$61:$B$106,0)),"Y")</f>
        <v>Y</v>
      </c>
      <c r="CL74" s="31" t="str">
        <f aca="false">IFERROR(INDEX(設定!$G$61:$G$106,MATCH(B74,設定!$B$61:$B$106,0)),"外郭型")</f>
        <v>外郭型</v>
      </c>
      <c r="CM74" s="33" t="str">
        <f aca="false">A74&amp;"|"&amp;B74</f>
        <v>2026-05 月例|地方公務員災害補償基金本部</v>
      </c>
      <c r="CN74" s="34" t="str">
        <f aca="false">IFERROR(INDEX(設定!$D$61:$D$106,MATCH(B74,設定!$B$61:$B$106,0)),"Y")</f>
        <v>Y</v>
      </c>
      <c r="CO74" s="34" t="str">
        <f aca="false">IFERROR(INDEX(設定!$D$20:$D$34,MATCH(A74,設定!$A$20:$A$34,0))&amp;"","")</f>
        <v>2026-04 月例</v>
      </c>
    </row>
    <row r="75" customFormat="false" ht="15" hidden="true" customHeight="false" outlineLevel="0" collapsed="false">
      <c r="A75" s="22" t="s">
        <v>215</v>
      </c>
      <c r="B75" s="23" t="s">
        <v>191</v>
      </c>
      <c r="C75" s="10" t="str">
        <f aca="false">IF(G75="","未受領",IF(G75="なし","報告なし",IF(AL75="○","起票済",IF(OR(AK75="○",F75="一致",F75="入金不要"),"入金確認済","受領済"))))</f>
        <v>入金確認済</v>
      </c>
      <c r="D75" s="10" t="str">
        <f aca="false">IF(OR(G75="",G75="なし"),"―",IF(CN75="N","対象外",IF(AND(I75="",J75="",K75=""),"標報未入力",IF(CH75&gt;=設定!$B$4,"要確認","問題なし"))))</f>
        <v>標報未入力</v>
      </c>
      <c r="E75" s="24" t="str">
        <f aca="false">IF(OR(G75="",G75="なし",CI75="",CJ75=0),"―",IF(CJ75=CI75,"前月同額",IF(CI75=0,"―",IF(ABS(CJ75/CI75-1)&gt;=設定!$B$5,"変動大 "&amp;TEXT(CJ75/CI75-1,"+0%;-0%"),"〇"))))</f>
        <v>前月同額</v>
      </c>
      <c r="F75" s="10" t="str">
        <f aca="false">IF(OR(G75="",G75="なし"),"―",IF(CJ75=0,"入金不要",IF(COUNT(AD75,AF75,AH75,AJ75)=0,IF(AK75="○","手動確認","未入金"),IF(AND(N(AD75)=AC75,IF(AE75="",TRUE(),N(AF75)=AE75),IF(AG75="",TRUE(),N(AH75)=AG75),IF(AI75="",TRUE(),N(AJ75)=AI75)),"一致","不一致"))))</f>
        <v>手動確認</v>
      </c>
      <c r="G75" s="25" t="s">
        <v>167</v>
      </c>
      <c r="H75" s="26"/>
      <c r="I75" s="27"/>
      <c r="J75" s="27"/>
      <c r="K75" s="27"/>
      <c r="L75" s="27"/>
      <c r="M75" s="27"/>
      <c r="N75" s="27"/>
      <c r="O75" s="27" t="n">
        <v>107970</v>
      </c>
      <c r="P75" s="27" t="n">
        <v>8850</v>
      </c>
      <c r="Q75" s="27" t="n">
        <v>61194</v>
      </c>
      <c r="R75" s="27" t="n">
        <v>9322</v>
      </c>
      <c r="S75" s="27" t="n">
        <v>1356</v>
      </c>
      <c r="T75" s="27" t="n">
        <v>107970</v>
      </c>
      <c r="U75" s="27" t="n">
        <v>8850</v>
      </c>
      <c r="V75" s="27" t="n">
        <v>102</v>
      </c>
      <c r="W75" s="27" t="n">
        <v>61253</v>
      </c>
      <c r="X75" s="27" t="n">
        <v>9322</v>
      </c>
      <c r="Y75" s="27" t="n">
        <v>1357</v>
      </c>
      <c r="Z75" s="27"/>
      <c r="AA75" s="10" t="str">
        <f aca="false">IFERROR(INDEX(設定!$E$61:$E$106,MATCH(B75,設定!$B$61:$B$106,0)),"合算")</f>
        <v>合算</v>
      </c>
      <c r="AB75" s="28"/>
      <c r="AC75" s="29" t="n">
        <f aca="false">IF(OR(G75="",G75="なし"),"",IF(AA75="合算",CJ75+N(Z75),IF(AA75="掛金・負担金別",(AY75+AZ75+BD75+BF75+BH75),SUM(AY75:BC75))))</f>
        <v>377546</v>
      </c>
      <c r="AD75" s="27"/>
      <c r="AE75" s="29" t="str">
        <f aca="false">IF(OR(G75="",G75="なし"),"",IF(AA75="掛金・負担金別",(BA75+BB75+BC75+BE75+BG75+BI75+N(Z75)),IF(AA75="経理区分別",BD75+BE75,"")))</f>
        <v/>
      </c>
      <c r="AF75" s="27"/>
      <c r="AG75" s="29" t="str">
        <f aca="false">IF(OR(G75="",G75="なし"),"",IF(AA75="経理区分別",BF75+BG75,""))</f>
        <v/>
      </c>
      <c r="AH75" s="27"/>
      <c r="AI75" s="29" t="str">
        <f aca="false">IF(OR(G75="",G75="なし"),"",IF(AA75="経理区分別",BH75+BI75+N(Z75),""))</f>
        <v/>
      </c>
      <c r="AJ75" s="27"/>
      <c r="AK75" s="26" t="s">
        <v>168</v>
      </c>
      <c r="AL75" s="26"/>
      <c r="AM75" s="30"/>
      <c r="AN75" s="31"/>
      <c r="AO75" s="31"/>
      <c r="AP75" s="31"/>
      <c r="AQ75" s="31"/>
      <c r="AR75" s="31"/>
      <c r="AS75" s="31"/>
      <c r="AT75" s="31"/>
      <c r="AU75" s="31"/>
      <c r="AV75" s="31"/>
      <c r="AW75" s="31"/>
      <c r="AX75" s="31"/>
      <c r="AY75" s="31" t="n">
        <f aca="false">IF($G75="",AN75,O75)</f>
        <v>107970</v>
      </c>
      <c r="AZ75" s="31" t="n">
        <f aca="false">IF($G75="",AO75,P75)</f>
        <v>8850</v>
      </c>
      <c r="BA75" s="31" t="n">
        <f aca="false">IF($G75="",AP75,T75)</f>
        <v>107970</v>
      </c>
      <c r="BB75" s="31" t="n">
        <f aca="false">IF($G75="",AQ75,U75)</f>
        <v>8850</v>
      </c>
      <c r="BC75" s="31" t="n">
        <f aca="false">IF($G75="",AR75,V75)</f>
        <v>102</v>
      </c>
      <c r="BD75" s="31" t="n">
        <f aca="false">IF($G75="",AS75,Q75)</f>
        <v>61194</v>
      </c>
      <c r="BE75" s="31" t="n">
        <f aca="false">IF($G75="",AT75,W75)</f>
        <v>61253</v>
      </c>
      <c r="BF75" s="31" t="n">
        <f aca="false">IF($G75="",AU75,R75)</f>
        <v>9322</v>
      </c>
      <c r="BG75" s="31" t="n">
        <f aca="false">IF($G75="",AV75,X75)</f>
        <v>9322</v>
      </c>
      <c r="BH75" s="31" t="n">
        <f aca="false">IF($G75="",AW75,S75)</f>
        <v>1356</v>
      </c>
      <c r="BI75" s="31" t="n">
        <f aca="false">IF($G75="",AX75,Y75)</f>
        <v>1357</v>
      </c>
      <c r="BJ75" s="31" t="n">
        <f aca="false">IF(CK75="N",BR75,ROUNDDOWN((I75-L75)*設定!$B$10/1000,0)+ROUNDDOWN((I75-L75)*設定!$B$11/1000,0))</f>
        <v>0</v>
      </c>
      <c r="BK75" s="31" t="n">
        <f aca="false">ROUNDDOWN((I75-L75)*設定!$C$10/1000,0)+ROUNDDOWN((I75-L75)*設定!$C$11/1000,0)+ROUNDDOWN(I75*設定!$C$12/1000,0)+IF(CL75="市局型",ROUNDDOWN(I75*設定!$C$16/1000,0),0)</f>
        <v>0</v>
      </c>
      <c r="BL75" s="31" t="n">
        <f aca="false">IF(CK75="N",BT75,ROUNDDOWN((J75-M75)*設定!$B$13/1000,0))</f>
        <v>0</v>
      </c>
      <c r="BM75" s="31" t="n">
        <f aca="false">ROUNDDOWN((J75-M75)*設定!$C$13/1000,0)+IF(CL75="市局型",ROUNDDOWN(J75*設定!$C$17/1000,0),0)</f>
        <v>0</v>
      </c>
      <c r="BN75" s="31" t="n">
        <f aca="false">IF(CK75="N",BV75,ROUNDDOWN((K75-N75)*設定!$B$14/1000,0))</f>
        <v>0</v>
      </c>
      <c r="BO75" s="31" t="n">
        <f aca="false">ROUNDDOWN((K75-N75)*設定!$C$14/1000,0)</f>
        <v>0</v>
      </c>
      <c r="BP75" s="31" t="n">
        <f aca="false">IF(CK75="N",BX75,ROUNDDOWN((J75-M75)*設定!$B$15/1000,0))</f>
        <v>0</v>
      </c>
      <c r="BQ75" s="31" t="n">
        <f aca="false">ROUNDDOWN((J75-M75)*設定!$C$15/1000,0)</f>
        <v>0</v>
      </c>
      <c r="BR75" s="31" t="n">
        <f aca="false">O75+P75</f>
        <v>116820</v>
      </c>
      <c r="BS75" s="31" t="n">
        <f aca="false">T75+U75+V75</f>
        <v>116922</v>
      </c>
      <c r="BT75" s="31" t="n">
        <f aca="false">Q75</f>
        <v>61194</v>
      </c>
      <c r="BU75" s="31" t="n">
        <f aca="false">W75</f>
        <v>61253</v>
      </c>
      <c r="BV75" s="31" t="n">
        <f aca="false">R75</f>
        <v>9322</v>
      </c>
      <c r="BW75" s="31" t="n">
        <f aca="false">X75</f>
        <v>9322</v>
      </c>
      <c r="BX75" s="31" t="n">
        <f aca="false">S75</f>
        <v>1356</v>
      </c>
      <c r="BY75" s="31" t="n">
        <f aca="false">Y75</f>
        <v>1357</v>
      </c>
      <c r="BZ75" s="32" t="n">
        <f aca="false">IF(BJ75=0,IF(BR75=0,0,1),(BR75-BJ75)/BJ75)</f>
        <v>1</v>
      </c>
      <c r="CA75" s="32" t="n">
        <f aca="false">IF(BK75=0,IF(BS75=0,0,1),(BS75-BK75)/BK75)</f>
        <v>1</v>
      </c>
      <c r="CB75" s="32" t="n">
        <f aca="false">IF(BL75=0,IF(BT75=0,0,1),(BT75-BL75)/BL75)</f>
        <v>1</v>
      </c>
      <c r="CC75" s="32" t="n">
        <f aca="false">IF(BM75=0,IF(BU75=0,0,1),(BU75-BM75)/BM75)</f>
        <v>1</v>
      </c>
      <c r="CD75" s="32" t="n">
        <f aca="false">IF(BN75=0,IF(BV75=0,0,1),(BV75-BN75)/BN75)</f>
        <v>1</v>
      </c>
      <c r="CE75" s="32" t="n">
        <f aca="false">IF(BO75=0,IF(BW75=0,0,1),(BW75-BO75)/BO75)</f>
        <v>1</v>
      </c>
      <c r="CF75" s="32" t="n">
        <f aca="false">IF(BP75=0,IF(BX75=0,0,1),(BX75-BP75)/BP75)</f>
        <v>1</v>
      </c>
      <c r="CG75" s="32" t="n">
        <f aca="false">IF(BQ75=0,IF(BY75=0,0,1),(BY75-BQ75)/BQ75)</f>
        <v>1</v>
      </c>
      <c r="CH75" s="32" t="n">
        <f aca="false">MAX(MAX(BZ75:CG75),-MIN(BZ75:CG75))</f>
        <v>1</v>
      </c>
      <c r="CI75" s="31" t="n">
        <f aca="false">IF(CO75="","",SUMIFS($CJ$7:$CJ$696,$A$7:$A$696,CO75,$B$7:$B$696,B75))</f>
        <v>377546</v>
      </c>
      <c r="CJ75" s="31" t="n">
        <f aca="false">SUM(AY75:BI75)</f>
        <v>377546</v>
      </c>
      <c r="CK75" s="31" t="str">
        <f aca="false">IFERROR(INDEX(設定!$F$61:$F$106,MATCH(B75,設定!$B$61:$B$106,0)),"Y")</f>
        <v>Y</v>
      </c>
      <c r="CL75" s="31" t="str">
        <f aca="false">IFERROR(INDEX(設定!$G$61:$G$106,MATCH(B75,設定!$B$61:$B$106,0)),"外郭型")</f>
        <v>外郭型</v>
      </c>
      <c r="CM75" s="33" t="str">
        <f aca="false">A75&amp;"|"&amp;B75</f>
        <v>2026-05 月例|救急振興財団</v>
      </c>
      <c r="CN75" s="34" t="str">
        <f aca="false">IFERROR(INDEX(設定!$D$61:$D$106,MATCH(B75,設定!$B$61:$B$106,0)),"Y")</f>
        <v>Y</v>
      </c>
      <c r="CO75" s="34" t="str">
        <f aca="false">IFERROR(INDEX(設定!$D$20:$D$34,MATCH(A75,設定!$A$20:$A$34,0))&amp;"","")</f>
        <v>2026-04 月例</v>
      </c>
    </row>
    <row r="76" customFormat="false" ht="15" hidden="true" customHeight="false" outlineLevel="0" collapsed="false">
      <c r="A76" s="22" t="s">
        <v>215</v>
      </c>
      <c r="B76" s="23" t="s">
        <v>192</v>
      </c>
      <c r="C76" s="10" t="str">
        <f aca="false">IF(G76="","未受領",IF(G76="なし","報告なし",IF(AL76="○","起票済",IF(OR(AK76="○",F76="一致",F76="入金不要"),"入金確認済","受領済"))))</f>
        <v>入金確認済</v>
      </c>
      <c r="D76" s="10" t="str">
        <f aca="false">IF(OR(G76="",G76="なし"),"―",IF(CN76="N","対象外",IF(AND(I76="",J76="",K76=""),"標報未入力",IF(CH76&gt;=設定!$B$4,"要確認","問題なし"))))</f>
        <v>標報未入力</v>
      </c>
      <c r="E76" s="24" t="str">
        <f aca="false">IF(OR(G76="",G76="なし",CI76="",CJ76=0),"―",IF(CJ76=CI76,"前月同額",IF(CI76=0,"―",IF(ABS(CJ76/CI76-1)&gt;=設定!$B$5,"変動大 "&amp;TEXT(CJ76/CI76-1,"+0%;-0%"),"〇"))))</f>
        <v>〇</v>
      </c>
      <c r="F76" s="10" t="str">
        <f aca="false">IF(OR(G76="",G76="なし"),"―",IF(CJ76=0,"入金不要",IF(COUNT(AD76,AF76,AH76,AJ76)=0,IF(AK76="○","手動確認","未入金"),IF(AND(N(AD76)=AC76,IF(AE76="",TRUE(),N(AF76)=AE76),IF(AG76="",TRUE(),N(AH76)=AG76),IF(AI76="",TRUE(),N(AJ76)=AI76)),"一致","不一致"))))</f>
        <v>手動確認</v>
      </c>
      <c r="G76" s="25" t="s">
        <v>167</v>
      </c>
      <c r="H76" s="26"/>
      <c r="I76" s="27"/>
      <c r="J76" s="27"/>
      <c r="K76" s="27"/>
      <c r="L76" s="27"/>
      <c r="M76" s="27"/>
      <c r="N76" s="27"/>
      <c r="O76" s="27" t="n">
        <v>746640</v>
      </c>
      <c r="P76" s="27" t="n">
        <v>61200</v>
      </c>
      <c r="Q76" s="27" t="n">
        <v>423172</v>
      </c>
      <c r="R76" s="27" t="n">
        <v>39342</v>
      </c>
      <c r="S76" s="27" t="n">
        <v>9380</v>
      </c>
      <c r="T76" s="27" t="n">
        <v>784155</v>
      </c>
      <c r="U76" s="27" t="n">
        <v>64275</v>
      </c>
      <c r="V76" s="27" t="n">
        <v>804</v>
      </c>
      <c r="W76" s="27" t="n">
        <v>444868</v>
      </c>
      <c r="X76" s="27" t="n">
        <v>39342</v>
      </c>
      <c r="Y76" s="27" t="n">
        <v>9855</v>
      </c>
      <c r="Z76" s="27"/>
      <c r="AA76" s="10" t="str">
        <f aca="false">IFERROR(INDEX(設定!$E$61:$E$106,MATCH(B76,設定!$B$61:$B$106,0)),"合算")</f>
        <v>合算</v>
      </c>
      <c r="AB76" s="28"/>
      <c r="AC76" s="29" t="n">
        <f aca="false">IF(OR(G76="",G76="なし"),"",IF(AA76="合算",CJ76+N(Z76),IF(AA76="掛金・負担金別",(AY76+AZ76+BD76+BF76+BH76),SUM(AY76:BC76))))</f>
        <v>2623033</v>
      </c>
      <c r="AD76" s="27"/>
      <c r="AE76" s="29" t="str">
        <f aca="false">IF(OR(G76="",G76="なし"),"",IF(AA76="掛金・負担金別",(BA76+BB76+BC76+BE76+BG76+BI76+N(Z76)),IF(AA76="経理区分別",BD76+BE76,"")))</f>
        <v/>
      </c>
      <c r="AF76" s="27"/>
      <c r="AG76" s="29" t="str">
        <f aca="false">IF(OR(G76="",G76="なし"),"",IF(AA76="経理区分別",BF76+BG76,""))</f>
        <v/>
      </c>
      <c r="AH76" s="27"/>
      <c r="AI76" s="29" t="str">
        <f aca="false">IF(OR(G76="",G76="なし"),"",IF(AA76="経理区分別",BH76+BI76+N(Z76),""))</f>
        <v/>
      </c>
      <c r="AJ76" s="27"/>
      <c r="AK76" s="26" t="s">
        <v>168</v>
      </c>
      <c r="AL76" s="26"/>
      <c r="AM76" s="30"/>
      <c r="AN76" s="31"/>
      <c r="AO76" s="31"/>
      <c r="AP76" s="31"/>
      <c r="AQ76" s="31"/>
      <c r="AR76" s="31"/>
      <c r="AS76" s="31"/>
      <c r="AT76" s="31"/>
      <c r="AU76" s="31"/>
      <c r="AV76" s="31"/>
      <c r="AW76" s="31"/>
      <c r="AX76" s="31"/>
      <c r="AY76" s="31" t="n">
        <f aca="false">IF($G76="",AN76,O76)</f>
        <v>746640</v>
      </c>
      <c r="AZ76" s="31" t="n">
        <f aca="false">IF($G76="",AO76,P76)</f>
        <v>61200</v>
      </c>
      <c r="BA76" s="31" t="n">
        <f aca="false">IF($G76="",AP76,T76)</f>
        <v>784155</v>
      </c>
      <c r="BB76" s="31" t="n">
        <f aca="false">IF($G76="",AQ76,U76)</f>
        <v>64275</v>
      </c>
      <c r="BC76" s="31" t="n">
        <f aca="false">IF($G76="",AR76,V76)</f>
        <v>804</v>
      </c>
      <c r="BD76" s="31" t="n">
        <f aca="false">IF($G76="",AS76,Q76)</f>
        <v>423172</v>
      </c>
      <c r="BE76" s="31" t="n">
        <f aca="false">IF($G76="",AT76,W76)</f>
        <v>444868</v>
      </c>
      <c r="BF76" s="31" t="n">
        <f aca="false">IF($G76="",AU76,R76)</f>
        <v>39342</v>
      </c>
      <c r="BG76" s="31" t="n">
        <f aca="false">IF($G76="",AV76,X76)</f>
        <v>39342</v>
      </c>
      <c r="BH76" s="31" t="n">
        <f aca="false">IF($G76="",AW76,S76)</f>
        <v>9380</v>
      </c>
      <c r="BI76" s="31" t="n">
        <f aca="false">IF($G76="",AX76,Y76)</f>
        <v>9855</v>
      </c>
      <c r="BJ76" s="31" t="n">
        <f aca="false">IF(CK76="N",BR76,ROUNDDOWN((I76-L76)*設定!$B$10/1000,0)+ROUNDDOWN((I76-L76)*設定!$B$11/1000,0))</f>
        <v>0</v>
      </c>
      <c r="BK76" s="31" t="n">
        <f aca="false">ROUNDDOWN((I76-L76)*設定!$C$10/1000,0)+ROUNDDOWN((I76-L76)*設定!$C$11/1000,0)+ROUNDDOWN(I76*設定!$C$12/1000,0)+IF(CL76="市局型",ROUNDDOWN(I76*設定!$C$16/1000,0),0)</f>
        <v>0</v>
      </c>
      <c r="BL76" s="31" t="n">
        <f aca="false">IF(CK76="N",BT76,ROUNDDOWN((J76-M76)*設定!$B$13/1000,0))</f>
        <v>0</v>
      </c>
      <c r="BM76" s="31" t="n">
        <f aca="false">ROUNDDOWN((J76-M76)*設定!$C$13/1000,0)+IF(CL76="市局型",ROUNDDOWN(J76*設定!$C$17/1000,0),0)</f>
        <v>0</v>
      </c>
      <c r="BN76" s="31" t="n">
        <f aca="false">IF(CK76="N",BV76,ROUNDDOWN((K76-N76)*設定!$B$14/1000,0))</f>
        <v>0</v>
      </c>
      <c r="BO76" s="31" t="n">
        <f aca="false">ROUNDDOWN((K76-N76)*設定!$C$14/1000,0)</f>
        <v>0</v>
      </c>
      <c r="BP76" s="31" t="n">
        <f aca="false">IF(CK76="N",BX76,ROUNDDOWN((J76-M76)*設定!$B$15/1000,0))</f>
        <v>0</v>
      </c>
      <c r="BQ76" s="31" t="n">
        <f aca="false">ROUNDDOWN((J76-M76)*設定!$C$15/1000,0)</f>
        <v>0</v>
      </c>
      <c r="BR76" s="31" t="n">
        <f aca="false">O76+P76</f>
        <v>807840</v>
      </c>
      <c r="BS76" s="31" t="n">
        <f aca="false">T76+U76+V76</f>
        <v>849234</v>
      </c>
      <c r="BT76" s="31" t="n">
        <f aca="false">Q76</f>
        <v>423172</v>
      </c>
      <c r="BU76" s="31" t="n">
        <f aca="false">W76</f>
        <v>444868</v>
      </c>
      <c r="BV76" s="31" t="n">
        <f aca="false">R76</f>
        <v>39342</v>
      </c>
      <c r="BW76" s="31" t="n">
        <f aca="false">X76</f>
        <v>39342</v>
      </c>
      <c r="BX76" s="31" t="n">
        <f aca="false">S76</f>
        <v>9380</v>
      </c>
      <c r="BY76" s="31" t="n">
        <f aca="false">Y76</f>
        <v>9855</v>
      </c>
      <c r="BZ76" s="32" t="n">
        <f aca="false">IF(BJ76=0,IF(BR76=0,0,1),(BR76-BJ76)/BJ76)</f>
        <v>1</v>
      </c>
      <c r="CA76" s="32" t="n">
        <f aca="false">IF(BK76=0,IF(BS76=0,0,1),(BS76-BK76)/BK76)</f>
        <v>1</v>
      </c>
      <c r="CB76" s="32" t="n">
        <f aca="false">IF(BL76=0,IF(BT76=0,0,1),(BT76-BL76)/BL76)</f>
        <v>1</v>
      </c>
      <c r="CC76" s="32" t="n">
        <f aca="false">IF(BM76=0,IF(BU76=0,0,1),(BU76-BM76)/BM76)</f>
        <v>1</v>
      </c>
      <c r="CD76" s="32" t="n">
        <f aca="false">IF(BN76=0,IF(BV76=0,0,1),(BV76-BN76)/BN76)</f>
        <v>1</v>
      </c>
      <c r="CE76" s="32" t="n">
        <f aca="false">IF(BO76=0,IF(BW76=0,0,1),(BW76-BO76)/BO76)</f>
        <v>1</v>
      </c>
      <c r="CF76" s="32" t="n">
        <f aca="false">IF(BP76=0,IF(BX76=0,0,1),(BX76-BP76)/BP76)</f>
        <v>1</v>
      </c>
      <c r="CG76" s="32" t="n">
        <f aca="false">IF(BQ76=0,IF(BY76=0,0,1),(BY76-BQ76)/BQ76)</f>
        <v>1</v>
      </c>
      <c r="CH76" s="32" t="n">
        <f aca="false">MAX(MAX(BZ76:CG76),-MIN(BZ76:CG76))</f>
        <v>1</v>
      </c>
      <c r="CI76" s="31" t="n">
        <f aca="false">IF(CO76="","",SUMIFS($CJ$7:$CJ$696,$A$7:$A$696,CO76,$B$7:$B$696,B76))</f>
        <v>2685356</v>
      </c>
      <c r="CJ76" s="31" t="n">
        <f aca="false">SUM(AY76:BI76)</f>
        <v>2623033</v>
      </c>
      <c r="CK76" s="31" t="str">
        <f aca="false">IFERROR(INDEX(設定!$F$61:$F$106,MATCH(B76,設定!$B$61:$B$106,0)),"Y")</f>
        <v>Y</v>
      </c>
      <c r="CL76" s="31" t="str">
        <f aca="false">IFERROR(INDEX(設定!$G$61:$G$106,MATCH(B76,設定!$B$61:$B$106,0)),"外郭型")</f>
        <v>外郭型</v>
      </c>
      <c r="CM76" s="33" t="str">
        <f aca="false">A76&amp;"|"&amp;B76</f>
        <v>2026-05 月例|高速道路公社</v>
      </c>
      <c r="CN76" s="34" t="str">
        <f aca="false">IFERROR(INDEX(設定!$D$61:$D$106,MATCH(B76,設定!$B$61:$B$106,0)),"Y")</f>
        <v>Y</v>
      </c>
      <c r="CO76" s="34" t="str">
        <f aca="false">IFERROR(INDEX(設定!$D$20:$D$34,MATCH(A76,設定!$A$20:$A$34,0))&amp;"","")</f>
        <v>2026-04 月例</v>
      </c>
    </row>
    <row r="77" customFormat="false" ht="15" hidden="true" customHeight="false" outlineLevel="0" collapsed="false">
      <c r="A77" s="22" t="s">
        <v>215</v>
      </c>
      <c r="B77" s="23" t="s">
        <v>193</v>
      </c>
      <c r="C77" s="10" t="str">
        <f aca="false">IF(G77="","未受領",IF(G77="なし","報告なし",IF(AL77="○","起票済",IF(OR(AK77="○",F77="一致",F77="入金不要"),"入金確認済","受領済"))))</f>
        <v>入金確認済</v>
      </c>
      <c r="D77" s="10" t="str">
        <f aca="false">IF(OR(G77="",G77="なし"),"―",IF(CN77="N","対象外",IF(AND(I77="",J77="",K77=""),"標報未入力",IF(CH77&gt;=設定!$B$4,"要確認","問題なし"))))</f>
        <v>標報未入力</v>
      </c>
      <c r="E77" s="24" t="str">
        <f aca="false">IF(OR(G77="",G77="なし",CI77="",CJ77=0),"―",IF(CJ77=CI77,"前月同額",IF(CI77=0,"―",IF(ABS(CJ77/CI77-1)&gt;=設定!$B$5,"変動大 "&amp;TEXT(CJ77/CI77-1,"+0%;-0%"),"〇"))))</f>
        <v>〇</v>
      </c>
      <c r="F77" s="10" t="str">
        <f aca="false">IF(OR(G77="",G77="なし"),"―",IF(CJ77=0,"入金不要",IF(COUNT(AD77,AF77,AH77,AJ77)=0,IF(AK77="○","手動確認","未入金"),IF(AND(N(AD77)=AC77,IF(AE77="",TRUE(),N(AF77)=AE77),IF(AG77="",TRUE(),N(AH77)=AG77),IF(AI77="",TRUE(),N(AJ77)=AI77)),"一致","不一致"))))</f>
        <v>手動確認</v>
      </c>
      <c r="G77" s="25" t="s">
        <v>167</v>
      </c>
      <c r="H77" s="26"/>
      <c r="I77" s="27"/>
      <c r="J77" s="27"/>
      <c r="K77" s="27"/>
      <c r="L77" s="27"/>
      <c r="M77" s="27"/>
      <c r="N77" s="27"/>
      <c r="O77" s="27"/>
      <c r="P77" s="27"/>
      <c r="Q77" s="27"/>
      <c r="R77" s="27"/>
      <c r="S77" s="27"/>
      <c r="T77" s="27" t="n">
        <v>607560</v>
      </c>
      <c r="U77" s="27" t="n">
        <v>49800</v>
      </c>
      <c r="V77" s="27" t="n">
        <v>603</v>
      </c>
      <c r="W77" s="27" t="n">
        <v>344697</v>
      </c>
      <c r="X77" s="27" t="n">
        <v>28203</v>
      </c>
      <c r="Y77" s="27" t="n">
        <v>7634</v>
      </c>
      <c r="Z77" s="27"/>
      <c r="AA77" s="10" t="str">
        <f aca="false">IFERROR(INDEX(設定!$E$61:$E$106,MATCH(B77,設定!$B$61:$B$106,0)),"合算")</f>
        <v>合算</v>
      </c>
      <c r="AB77" s="28"/>
      <c r="AC77" s="29" t="n">
        <f aca="false">IF(OR(G77="",G77="なし"),"",IF(AA77="合算",CJ77+N(Z77),IF(AA77="掛金・負担金別",(AY77+AZ77+BD77+BF77+BH77),SUM(AY77:BC77))))</f>
        <v>1038497</v>
      </c>
      <c r="AD77" s="27"/>
      <c r="AE77" s="29" t="str">
        <f aca="false">IF(OR(G77="",G77="なし"),"",IF(AA77="掛金・負担金別",(BA77+BB77+BC77+BE77+BG77+BI77+N(Z77)),IF(AA77="経理区分別",BD77+BE77,"")))</f>
        <v/>
      </c>
      <c r="AF77" s="27"/>
      <c r="AG77" s="29" t="str">
        <f aca="false">IF(OR(G77="",G77="なし"),"",IF(AA77="経理区分別",BF77+BG77,""))</f>
        <v/>
      </c>
      <c r="AH77" s="27"/>
      <c r="AI77" s="29" t="str">
        <f aca="false">IF(OR(G77="",G77="なし"),"",IF(AA77="経理区分別",BH77+BI77+N(Z77),""))</f>
        <v/>
      </c>
      <c r="AJ77" s="27"/>
      <c r="AK77" s="26" t="s">
        <v>168</v>
      </c>
      <c r="AL77" s="26"/>
      <c r="AM77" s="30"/>
      <c r="AN77" s="31"/>
      <c r="AO77" s="31"/>
      <c r="AP77" s="31"/>
      <c r="AQ77" s="31"/>
      <c r="AR77" s="31"/>
      <c r="AS77" s="31"/>
      <c r="AT77" s="31"/>
      <c r="AU77" s="31"/>
      <c r="AV77" s="31"/>
      <c r="AW77" s="31"/>
      <c r="AX77" s="31"/>
      <c r="AY77" s="31" t="n">
        <f aca="false">IF($G77="",AN77,O77)</f>
        <v>0</v>
      </c>
      <c r="AZ77" s="31" t="n">
        <f aca="false">IF($G77="",AO77,P77)</f>
        <v>0</v>
      </c>
      <c r="BA77" s="31" t="n">
        <f aca="false">IF($G77="",AP77,T77)</f>
        <v>607560</v>
      </c>
      <c r="BB77" s="31" t="n">
        <f aca="false">IF($G77="",AQ77,U77)</f>
        <v>49800</v>
      </c>
      <c r="BC77" s="31" t="n">
        <f aca="false">IF($G77="",AR77,V77)</f>
        <v>603</v>
      </c>
      <c r="BD77" s="31" t="n">
        <f aca="false">IF($G77="",AS77,Q77)</f>
        <v>0</v>
      </c>
      <c r="BE77" s="31" t="n">
        <f aca="false">IF($G77="",AT77,W77)</f>
        <v>344697</v>
      </c>
      <c r="BF77" s="31" t="n">
        <f aca="false">IF($G77="",AU77,R77)</f>
        <v>0</v>
      </c>
      <c r="BG77" s="31" t="n">
        <f aca="false">IF($G77="",AV77,X77)</f>
        <v>28203</v>
      </c>
      <c r="BH77" s="31" t="n">
        <f aca="false">IF($G77="",AW77,S77)</f>
        <v>0</v>
      </c>
      <c r="BI77" s="31" t="n">
        <f aca="false">IF($G77="",AX77,Y77)</f>
        <v>7634</v>
      </c>
      <c r="BJ77" s="31" t="n">
        <f aca="false">IF(CK77="N",BR77,ROUNDDOWN((I77-L77)*設定!$B$10/1000,0)+ROUNDDOWN((I77-L77)*設定!$B$11/1000,0))</f>
        <v>0</v>
      </c>
      <c r="BK77" s="31" t="n">
        <f aca="false">ROUNDDOWN((I77-L77)*設定!$C$10/1000,0)+ROUNDDOWN((I77-L77)*設定!$C$11/1000,0)+ROUNDDOWN(I77*設定!$C$12/1000,0)+IF(CL77="市局型",ROUNDDOWN(I77*設定!$C$16/1000,0),0)</f>
        <v>0</v>
      </c>
      <c r="BL77" s="31" t="n">
        <f aca="false">IF(CK77="N",BT77,ROUNDDOWN((J77-M77)*設定!$B$13/1000,0))</f>
        <v>0</v>
      </c>
      <c r="BM77" s="31" t="n">
        <f aca="false">ROUNDDOWN((J77-M77)*設定!$C$13/1000,0)+IF(CL77="市局型",ROUNDDOWN(J77*設定!$C$17/1000,0),0)</f>
        <v>0</v>
      </c>
      <c r="BN77" s="31" t="n">
        <f aca="false">IF(CK77="N",BV77,ROUNDDOWN((K77-N77)*設定!$B$14/1000,0))</f>
        <v>0</v>
      </c>
      <c r="BO77" s="31" t="n">
        <f aca="false">ROUNDDOWN((K77-N77)*設定!$C$14/1000,0)</f>
        <v>0</v>
      </c>
      <c r="BP77" s="31" t="n">
        <f aca="false">IF(CK77="N",BX77,ROUNDDOWN((J77-M77)*設定!$B$15/1000,0))</f>
        <v>0</v>
      </c>
      <c r="BQ77" s="31" t="n">
        <f aca="false">ROUNDDOWN((J77-M77)*設定!$C$15/1000,0)</f>
        <v>0</v>
      </c>
      <c r="BR77" s="31" t="n">
        <f aca="false">O77+P77</f>
        <v>0</v>
      </c>
      <c r="BS77" s="31" t="n">
        <f aca="false">T77+U77+V77</f>
        <v>657963</v>
      </c>
      <c r="BT77" s="31" t="n">
        <f aca="false">Q77</f>
        <v>0</v>
      </c>
      <c r="BU77" s="31" t="n">
        <f aca="false">W77</f>
        <v>344697</v>
      </c>
      <c r="BV77" s="31" t="n">
        <f aca="false">R77</f>
        <v>0</v>
      </c>
      <c r="BW77" s="31" t="n">
        <f aca="false">X77</f>
        <v>28203</v>
      </c>
      <c r="BX77" s="31" t="n">
        <f aca="false">S77</f>
        <v>0</v>
      </c>
      <c r="BY77" s="31" t="n">
        <f aca="false">Y77</f>
        <v>7634</v>
      </c>
      <c r="BZ77" s="32" t="n">
        <f aca="false">IF(BJ77=0,IF(BR77=0,0,1),(BR77-BJ77)/BJ77)</f>
        <v>0</v>
      </c>
      <c r="CA77" s="32" t="n">
        <f aca="false">IF(BK77=0,IF(BS77=0,0,1),(BS77-BK77)/BK77)</f>
        <v>1</v>
      </c>
      <c r="CB77" s="32" t="n">
        <f aca="false">IF(BL77=0,IF(BT77=0,0,1),(BT77-BL77)/BL77)</f>
        <v>0</v>
      </c>
      <c r="CC77" s="32" t="n">
        <f aca="false">IF(BM77=0,IF(BU77=0,0,1),(BU77-BM77)/BM77)</f>
        <v>1</v>
      </c>
      <c r="CD77" s="32" t="n">
        <f aca="false">IF(BN77=0,IF(BV77=0,0,1),(BV77-BN77)/BN77)</f>
        <v>0</v>
      </c>
      <c r="CE77" s="32" t="n">
        <f aca="false">IF(BO77=0,IF(BW77=0,0,1),(BW77-BO77)/BO77)</f>
        <v>1</v>
      </c>
      <c r="CF77" s="32" t="n">
        <f aca="false">IF(BP77=0,IF(BX77=0,0,1),(BX77-BP77)/BP77)</f>
        <v>0</v>
      </c>
      <c r="CG77" s="32" t="n">
        <f aca="false">IF(BQ77=0,IF(BY77=0,0,1),(BY77-BQ77)/BQ77)</f>
        <v>1</v>
      </c>
      <c r="CH77" s="32" t="n">
        <f aca="false">MAX(MAX(BZ77:CG77),-MIN(BZ77:CG77))</f>
        <v>1</v>
      </c>
      <c r="CI77" s="31" t="n">
        <f aca="false">IF(CO77="","",SUMIFS($CJ$7:$CJ$696,$A$7:$A$696,CO77,$B$7:$B$696,B77))</f>
        <v>1029368</v>
      </c>
      <c r="CJ77" s="31" t="n">
        <f aca="false">SUM(AY77:BI77)</f>
        <v>1038497</v>
      </c>
      <c r="CK77" s="31" t="str">
        <f aca="false">IFERROR(INDEX(設定!$F$61:$F$106,MATCH(B77,設定!$B$61:$B$106,0)),"Y")</f>
        <v>N</v>
      </c>
      <c r="CL77" s="31" t="str">
        <f aca="false">IFERROR(INDEX(設定!$G$61:$G$106,MATCH(B77,設定!$B$61:$B$106,0)),"外郭型")</f>
        <v>外郭型</v>
      </c>
      <c r="CM77" s="33" t="str">
        <f aca="false">A77&amp;"|"&amp;B77</f>
        <v>2026-05 月例|農林水産振興センタ</v>
      </c>
      <c r="CN77" s="34" t="str">
        <f aca="false">IFERROR(INDEX(設定!$D$61:$D$106,MATCH(B77,設定!$B$61:$B$106,0)),"Y")</f>
        <v>Y</v>
      </c>
      <c r="CO77" s="34" t="str">
        <f aca="false">IFERROR(INDEX(設定!$D$20:$D$34,MATCH(A77,設定!$A$20:$A$34,0))&amp;"","")</f>
        <v>2026-04 月例</v>
      </c>
    </row>
    <row r="78" customFormat="false" ht="15" hidden="true" customHeight="false" outlineLevel="0" collapsed="false">
      <c r="A78" s="22" t="s">
        <v>215</v>
      </c>
      <c r="B78" s="23" t="s">
        <v>194</v>
      </c>
      <c r="C78" s="10" t="str">
        <f aca="false">IF(G78="","未受領",IF(G78="なし","報告なし",IF(AL78="○","起票済",IF(OR(AK78="○",F78="一致",F78="入金不要"),"入金確認済","受領済"))))</f>
        <v>入金確認済</v>
      </c>
      <c r="D78" s="10" t="str">
        <f aca="false">IF(OR(G78="",G78="なし"),"―",IF(CN78="N","対象外",IF(AND(I78="",J78="",K78=""),"標報未入力",IF(CH78&gt;=設定!$B$4,"要確認","問題なし"))))</f>
        <v>標報未入力</v>
      </c>
      <c r="E78" s="24" t="str">
        <f aca="false">IF(OR(G78="",G78="なし",CI78="",CJ78=0),"―",IF(CJ78=CI78,"前月同額",IF(CI78=0,"―",IF(ABS(CJ78/CI78-1)&gt;=設定!$B$5,"変動大 "&amp;TEXT(CJ78/CI78-1,"+0%;-0%"),"〇"))))</f>
        <v>前月同額</v>
      </c>
      <c r="F78" s="10" t="str">
        <f aca="false">IF(OR(G78="",G78="なし"),"―",IF(CJ78=0,"入金不要",IF(COUNT(AD78,AF78,AH78,AJ78)=0,IF(AK78="○","手動確認","未入金"),IF(AND(N(AD78)=AC78,IF(AE78="",TRUE(),N(AF78)=AE78),IF(AG78="",TRUE(),N(AH78)=AG78),IF(AI78="",TRUE(),N(AJ78)=AI78)),"一致","不一致"))))</f>
        <v>手動確認</v>
      </c>
      <c r="G78" s="25" t="s">
        <v>167</v>
      </c>
      <c r="H78" s="26"/>
      <c r="I78" s="27"/>
      <c r="J78" s="27"/>
      <c r="K78" s="27"/>
      <c r="L78" s="27"/>
      <c r="M78" s="27"/>
      <c r="N78" s="27"/>
      <c r="O78" s="27"/>
      <c r="P78" s="27"/>
      <c r="Q78" s="27"/>
      <c r="R78" s="27"/>
      <c r="S78" s="27"/>
      <c r="T78" s="27" t="n">
        <v>1056825</v>
      </c>
      <c r="U78" s="27" t="n">
        <v>86625</v>
      </c>
      <c r="V78" s="27" t="n">
        <v>1000</v>
      </c>
      <c r="W78" s="27" t="n">
        <v>602672</v>
      </c>
      <c r="X78" s="27" t="n">
        <v>86347</v>
      </c>
      <c r="Y78" s="27" t="n">
        <v>13350</v>
      </c>
      <c r="Z78" s="27"/>
      <c r="AA78" s="10" t="str">
        <f aca="false">IFERROR(INDEX(設定!$E$61:$E$106,MATCH(B78,設定!$B$61:$B$106,0)),"合算")</f>
        <v>合算</v>
      </c>
      <c r="AB78" s="28"/>
      <c r="AC78" s="29" t="n">
        <f aca="false">IF(OR(G78="",G78="なし"),"",IF(AA78="合算",CJ78+N(Z78),IF(AA78="掛金・負担金別",(AY78+AZ78+BD78+BF78+BH78),SUM(AY78:BC78))))</f>
        <v>1846819</v>
      </c>
      <c r="AD78" s="27"/>
      <c r="AE78" s="29" t="str">
        <f aca="false">IF(OR(G78="",G78="なし"),"",IF(AA78="掛金・負担金別",(BA78+BB78+BC78+BE78+BG78+BI78+N(Z78)),IF(AA78="経理区分別",BD78+BE78,"")))</f>
        <v/>
      </c>
      <c r="AF78" s="27"/>
      <c r="AG78" s="29" t="str">
        <f aca="false">IF(OR(G78="",G78="なし"),"",IF(AA78="経理区分別",BF78+BG78,""))</f>
        <v/>
      </c>
      <c r="AH78" s="27"/>
      <c r="AI78" s="29" t="str">
        <f aca="false">IF(OR(G78="",G78="なし"),"",IF(AA78="経理区分別",BH78+BI78+N(Z78),""))</f>
        <v/>
      </c>
      <c r="AJ78" s="27"/>
      <c r="AK78" s="26" t="s">
        <v>168</v>
      </c>
      <c r="AL78" s="26"/>
      <c r="AM78" s="30"/>
      <c r="AN78" s="31"/>
      <c r="AO78" s="31"/>
      <c r="AP78" s="31"/>
      <c r="AQ78" s="31"/>
      <c r="AR78" s="31"/>
      <c r="AS78" s="31"/>
      <c r="AT78" s="31"/>
      <c r="AU78" s="31"/>
      <c r="AV78" s="31"/>
      <c r="AW78" s="31"/>
      <c r="AX78" s="31"/>
      <c r="AY78" s="31" t="n">
        <f aca="false">IF($G78="",AN78,O78)</f>
        <v>0</v>
      </c>
      <c r="AZ78" s="31" t="n">
        <f aca="false">IF($G78="",AO78,P78)</f>
        <v>0</v>
      </c>
      <c r="BA78" s="31" t="n">
        <f aca="false">IF($G78="",AP78,T78)</f>
        <v>1056825</v>
      </c>
      <c r="BB78" s="31" t="n">
        <f aca="false">IF($G78="",AQ78,U78)</f>
        <v>86625</v>
      </c>
      <c r="BC78" s="31" t="n">
        <f aca="false">IF($G78="",AR78,V78)</f>
        <v>1000</v>
      </c>
      <c r="BD78" s="31" t="n">
        <f aca="false">IF($G78="",AS78,Q78)</f>
        <v>0</v>
      </c>
      <c r="BE78" s="31" t="n">
        <f aca="false">IF($G78="",AT78,W78)</f>
        <v>602672</v>
      </c>
      <c r="BF78" s="31" t="n">
        <f aca="false">IF($G78="",AU78,R78)</f>
        <v>0</v>
      </c>
      <c r="BG78" s="31" t="n">
        <f aca="false">IF($G78="",AV78,X78)</f>
        <v>86347</v>
      </c>
      <c r="BH78" s="31" t="n">
        <f aca="false">IF($G78="",AW78,S78)</f>
        <v>0</v>
      </c>
      <c r="BI78" s="31" t="n">
        <f aca="false">IF($G78="",AX78,Y78)</f>
        <v>13350</v>
      </c>
      <c r="BJ78" s="31" t="n">
        <f aca="false">IF(CK78="N",BR78,ROUNDDOWN((I78-L78)*設定!$B$10/1000,0)+ROUNDDOWN((I78-L78)*設定!$B$11/1000,0))</f>
        <v>0</v>
      </c>
      <c r="BK78" s="31" t="n">
        <f aca="false">ROUNDDOWN((I78-L78)*設定!$C$10/1000,0)+ROUNDDOWN((I78-L78)*設定!$C$11/1000,0)+ROUNDDOWN(I78*設定!$C$12/1000,0)+IF(CL78="市局型",ROUNDDOWN(I78*設定!$C$16/1000,0),0)</f>
        <v>0</v>
      </c>
      <c r="BL78" s="31" t="n">
        <f aca="false">IF(CK78="N",BT78,ROUNDDOWN((J78-M78)*設定!$B$13/1000,0))</f>
        <v>0</v>
      </c>
      <c r="BM78" s="31" t="n">
        <f aca="false">ROUNDDOWN((J78-M78)*設定!$C$13/1000,0)+IF(CL78="市局型",ROUNDDOWN(J78*設定!$C$17/1000,0),0)</f>
        <v>0</v>
      </c>
      <c r="BN78" s="31" t="n">
        <f aca="false">IF(CK78="N",BV78,ROUNDDOWN((K78-N78)*設定!$B$14/1000,0))</f>
        <v>0</v>
      </c>
      <c r="BO78" s="31" t="n">
        <f aca="false">ROUNDDOWN((K78-N78)*設定!$C$14/1000,0)</f>
        <v>0</v>
      </c>
      <c r="BP78" s="31" t="n">
        <f aca="false">IF(CK78="N",BX78,ROUNDDOWN((J78-M78)*設定!$B$15/1000,0))</f>
        <v>0</v>
      </c>
      <c r="BQ78" s="31" t="n">
        <f aca="false">ROUNDDOWN((J78-M78)*設定!$C$15/1000,0)</f>
        <v>0</v>
      </c>
      <c r="BR78" s="31" t="n">
        <f aca="false">O78+P78</f>
        <v>0</v>
      </c>
      <c r="BS78" s="31" t="n">
        <f aca="false">T78+U78+V78</f>
        <v>1144450</v>
      </c>
      <c r="BT78" s="31" t="n">
        <f aca="false">Q78</f>
        <v>0</v>
      </c>
      <c r="BU78" s="31" t="n">
        <f aca="false">W78</f>
        <v>602672</v>
      </c>
      <c r="BV78" s="31" t="n">
        <f aca="false">R78</f>
        <v>0</v>
      </c>
      <c r="BW78" s="31" t="n">
        <f aca="false">X78</f>
        <v>86347</v>
      </c>
      <c r="BX78" s="31" t="n">
        <f aca="false">S78</f>
        <v>0</v>
      </c>
      <c r="BY78" s="31" t="n">
        <f aca="false">Y78</f>
        <v>13350</v>
      </c>
      <c r="BZ78" s="32" t="n">
        <f aca="false">IF(BJ78=0,IF(BR78=0,0,1),(BR78-BJ78)/BJ78)</f>
        <v>0</v>
      </c>
      <c r="CA78" s="32" t="n">
        <f aca="false">IF(BK78=0,IF(BS78=0,0,1),(BS78-BK78)/BK78)</f>
        <v>1</v>
      </c>
      <c r="CB78" s="32" t="n">
        <f aca="false">IF(BL78=0,IF(BT78=0,0,1),(BT78-BL78)/BL78)</f>
        <v>0</v>
      </c>
      <c r="CC78" s="32" t="n">
        <f aca="false">IF(BM78=0,IF(BU78=0,0,1),(BU78-BM78)/BM78)</f>
        <v>1</v>
      </c>
      <c r="CD78" s="32" t="n">
        <f aca="false">IF(BN78=0,IF(BV78=0,0,1),(BV78-BN78)/BN78)</f>
        <v>0</v>
      </c>
      <c r="CE78" s="32" t="n">
        <f aca="false">IF(BO78=0,IF(BW78=0,0,1),(BW78-BO78)/BO78)</f>
        <v>1</v>
      </c>
      <c r="CF78" s="32" t="n">
        <f aca="false">IF(BP78=0,IF(BX78=0,0,1),(BX78-BP78)/BP78)</f>
        <v>0</v>
      </c>
      <c r="CG78" s="32" t="n">
        <f aca="false">IF(BQ78=0,IF(BY78=0,0,1),(BY78-BQ78)/BQ78)</f>
        <v>1</v>
      </c>
      <c r="CH78" s="32" t="n">
        <f aca="false">MAX(MAX(BZ78:CG78),-MIN(BZ78:CG78))</f>
        <v>1</v>
      </c>
      <c r="CI78" s="31" t="n">
        <f aca="false">IF(CO78="","",SUMIFS($CJ$7:$CJ$696,$A$7:$A$696,CO78,$B$7:$B$696,B78))</f>
        <v>1846819</v>
      </c>
      <c r="CJ78" s="31" t="n">
        <f aca="false">SUM(AY78:BI78)</f>
        <v>1846819</v>
      </c>
      <c r="CK78" s="31" t="str">
        <f aca="false">IFERROR(INDEX(設定!$F$61:$F$106,MATCH(B78,設定!$B$61:$B$106,0)),"Y")</f>
        <v>N</v>
      </c>
      <c r="CL78" s="31" t="str">
        <f aca="false">IFERROR(INDEX(設定!$G$61:$G$106,MATCH(B78,設定!$B$61:$B$106,0)),"外郭型")</f>
        <v>外郭型</v>
      </c>
      <c r="CM78" s="33" t="str">
        <f aca="false">A78&amp;"|"&amp;B78</f>
        <v>2026-05 月例|文化財団　市長部局</v>
      </c>
      <c r="CN78" s="34" t="str">
        <f aca="false">IFERROR(INDEX(設定!$D$61:$D$106,MATCH(B78,設定!$B$61:$B$106,0)),"Y")</f>
        <v>Y</v>
      </c>
      <c r="CO78" s="34" t="str">
        <f aca="false">IFERROR(INDEX(設定!$D$20:$D$34,MATCH(A78,設定!$A$20:$A$34,0))&amp;"","")</f>
        <v>2026-04 月例</v>
      </c>
    </row>
    <row r="79" customFormat="false" ht="15" hidden="true" customHeight="false" outlineLevel="0" collapsed="false">
      <c r="A79" s="22" t="s">
        <v>215</v>
      </c>
      <c r="B79" s="23" t="s">
        <v>195</v>
      </c>
      <c r="C79" s="10" t="str">
        <f aca="false">IF(G79="","未受領",IF(G79="なし","報告なし",IF(AL79="○","起票済",IF(OR(AK79="○",F79="一致",F79="入金不要"),"入金確認済","受領済"))))</f>
        <v>入金確認済</v>
      </c>
      <c r="D79" s="10" t="str">
        <f aca="false">IF(OR(G79="",G79="なし"),"―",IF(CN79="N","対象外",IF(AND(I79="",J79="",K79=""),"標報未入力",IF(CH79&gt;=設定!$B$4,"要確認","問題なし"))))</f>
        <v>標報未入力</v>
      </c>
      <c r="E79" s="24" t="str">
        <f aca="false">IF(OR(G79="",G79="なし",CI79="",CJ79=0),"―",IF(CJ79=CI79,"前月同額",IF(CI79=0,"―",IF(ABS(CJ79/CI79-1)&gt;=設定!$B$5,"変動大 "&amp;TEXT(CJ79/CI79-1,"+0%;-0%"),"〇"))))</f>
        <v>―</v>
      </c>
      <c r="F79" s="10" t="str">
        <f aca="false">IF(OR(G79="",G79="なし"),"―",IF(CJ79=0,"入金不要",IF(COUNT(AD79,AF79,AH79,AJ79)=0,IF(AK79="○","手動確認","未入金"),IF(AND(N(AD79)=AC79,IF(AE79="",TRUE(),N(AF79)=AE79),IF(AG79="",TRUE(),N(AH79)=AG79),IF(AI79="",TRUE(),N(AJ79)=AI79)),"一致","不一致"))))</f>
        <v>入金不要</v>
      </c>
      <c r="G79" s="25" t="s">
        <v>167</v>
      </c>
      <c r="H79" s="26"/>
      <c r="I79" s="27"/>
      <c r="J79" s="27"/>
      <c r="K79" s="27"/>
      <c r="L79" s="27"/>
      <c r="M79" s="27"/>
      <c r="N79" s="27"/>
      <c r="O79" s="27"/>
      <c r="P79" s="27"/>
      <c r="Q79" s="27"/>
      <c r="R79" s="27"/>
      <c r="S79" s="27"/>
      <c r="T79" s="27" t="n">
        <v>0</v>
      </c>
      <c r="U79" s="27" t="n">
        <v>0</v>
      </c>
      <c r="V79" s="27" t="n">
        <v>0</v>
      </c>
      <c r="W79" s="27" t="n">
        <v>0</v>
      </c>
      <c r="X79" s="27" t="n">
        <v>0</v>
      </c>
      <c r="Y79" s="27" t="n">
        <v>0</v>
      </c>
      <c r="Z79" s="27"/>
      <c r="AA79" s="10" t="str">
        <f aca="false">IFERROR(INDEX(設定!$E$61:$E$106,MATCH(B79,設定!$B$61:$B$106,0)),"合算")</f>
        <v>合算</v>
      </c>
      <c r="AB79" s="28"/>
      <c r="AC79" s="29" t="n">
        <f aca="false">IF(OR(G79="",G79="なし"),"",IF(AA79="合算",CJ79+N(Z79),IF(AA79="掛金・負担金別",(AY79+AZ79+BD79+BF79+BH79),SUM(AY79:BC79))))</f>
        <v>0</v>
      </c>
      <c r="AD79" s="27"/>
      <c r="AE79" s="29" t="str">
        <f aca="false">IF(OR(G79="",G79="なし"),"",IF(AA79="掛金・負担金別",(BA79+BB79+BC79+BE79+BG79+BI79+N(Z79)),IF(AA79="経理区分別",BD79+BE79,"")))</f>
        <v/>
      </c>
      <c r="AF79" s="27"/>
      <c r="AG79" s="29" t="str">
        <f aca="false">IF(OR(G79="",G79="なし"),"",IF(AA79="経理区分別",BF79+BG79,""))</f>
        <v/>
      </c>
      <c r="AH79" s="27"/>
      <c r="AI79" s="29" t="str">
        <f aca="false">IF(OR(G79="",G79="なし"),"",IF(AA79="経理区分別",BH79+BI79+N(Z79),""))</f>
        <v/>
      </c>
      <c r="AJ79" s="27"/>
      <c r="AK79" s="26" t="s">
        <v>168</v>
      </c>
      <c r="AL79" s="26"/>
      <c r="AM79" s="30"/>
      <c r="AN79" s="31"/>
      <c r="AO79" s="31"/>
      <c r="AP79" s="31"/>
      <c r="AQ79" s="31"/>
      <c r="AR79" s="31"/>
      <c r="AS79" s="31"/>
      <c r="AT79" s="31"/>
      <c r="AU79" s="31"/>
      <c r="AV79" s="31"/>
      <c r="AW79" s="31"/>
      <c r="AX79" s="31"/>
      <c r="AY79" s="31" t="n">
        <f aca="false">IF($G79="",AN79,O79)</f>
        <v>0</v>
      </c>
      <c r="AZ79" s="31" t="n">
        <f aca="false">IF($G79="",AO79,P79)</f>
        <v>0</v>
      </c>
      <c r="BA79" s="31" t="n">
        <f aca="false">IF($G79="",AP79,T79)</f>
        <v>0</v>
      </c>
      <c r="BB79" s="31" t="n">
        <f aca="false">IF($G79="",AQ79,U79)</f>
        <v>0</v>
      </c>
      <c r="BC79" s="31" t="n">
        <f aca="false">IF($G79="",AR79,V79)</f>
        <v>0</v>
      </c>
      <c r="BD79" s="31" t="n">
        <f aca="false">IF($G79="",AS79,Q79)</f>
        <v>0</v>
      </c>
      <c r="BE79" s="31" t="n">
        <f aca="false">IF($G79="",AT79,W79)</f>
        <v>0</v>
      </c>
      <c r="BF79" s="31" t="n">
        <f aca="false">IF($G79="",AU79,R79)</f>
        <v>0</v>
      </c>
      <c r="BG79" s="31" t="n">
        <f aca="false">IF($G79="",AV79,X79)</f>
        <v>0</v>
      </c>
      <c r="BH79" s="31" t="n">
        <f aca="false">IF($G79="",AW79,S79)</f>
        <v>0</v>
      </c>
      <c r="BI79" s="31" t="n">
        <f aca="false">IF($G79="",AX79,Y79)</f>
        <v>0</v>
      </c>
      <c r="BJ79" s="31" t="n">
        <f aca="false">IF(CK79="N",BR79,ROUNDDOWN((I79-L79)*設定!$B$10/1000,0)+ROUNDDOWN((I79-L79)*設定!$B$11/1000,0))</f>
        <v>0</v>
      </c>
      <c r="BK79" s="31" t="n">
        <f aca="false">ROUNDDOWN((I79-L79)*設定!$C$10/1000,0)+ROUNDDOWN((I79-L79)*設定!$C$11/1000,0)+ROUNDDOWN(I79*設定!$C$12/1000,0)+IF(CL79="市局型",ROUNDDOWN(I79*設定!$C$16/1000,0),0)</f>
        <v>0</v>
      </c>
      <c r="BL79" s="31" t="n">
        <f aca="false">IF(CK79="N",BT79,ROUNDDOWN((J79-M79)*設定!$B$13/1000,0))</f>
        <v>0</v>
      </c>
      <c r="BM79" s="31" t="n">
        <f aca="false">ROUNDDOWN((J79-M79)*設定!$C$13/1000,0)+IF(CL79="市局型",ROUNDDOWN(J79*設定!$C$17/1000,0),0)</f>
        <v>0</v>
      </c>
      <c r="BN79" s="31" t="n">
        <f aca="false">IF(CK79="N",BV79,ROUNDDOWN((K79-N79)*設定!$B$14/1000,0))</f>
        <v>0</v>
      </c>
      <c r="BO79" s="31" t="n">
        <f aca="false">ROUNDDOWN((K79-N79)*設定!$C$14/1000,0)</f>
        <v>0</v>
      </c>
      <c r="BP79" s="31" t="n">
        <f aca="false">IF(CK79="N",BX79,ROUNDDOWN((J79-M79)*設定!$B$15/1000,0))</f>
        <v>0</v>
      </c>
      <c r="BQ79" s="31" t="n">
        <f aca="false">ROUNDDOWN((J79-M79)*設定!$C$15/1000,0)</f>
        <v>0</v>
      </c>
      <c r="BR79" s="31" t="n">
        <f aca="false">O79+P79</f>
        <v>0</v>
      </c>
      <c r="BS79" s="31" t="n">
        <f aca="false">T79+U79+V79</f>
        <v>0</v>
      </c>
      <c r="BT79" s="31" t="n">
        <f aca="false">Q79</f>
        <v>0</v>
      </c>
      <c r="BU79" s="31" t="n">
        <f aca="false">W79</f>
        <v>0</v>
      </c>
      <c r="BV79" s="31" t="n">
        <f aca="false">R79</f>
        <v>0</v>
      </c>
      <c r="BW79" s="31" t="n">
        <f aca="false">X79</f>
        <v>0</v>
      </c>
      <c r="BX79" s="31" t="n">
        <f aca="false">S79</f>
        <v>0</v>
      </c>
      <c r="BY79" s="31" t="n">
        <f aca="false">Y79</f>
        <v>0</v>
      </c>
      <c r="BZ79" s="32" t="n">
        <f aca="false">IF(BJ79=0,IF(BR79=0,0,1),(BR79-BJ79)/BJ79)</f>
        <v>0</v>
      </c>
      <c r="CA79" s="32" t="n">
        <f aca="false">IF(BK79=0,IF(BS79=0,0,1),(BS79-BK79)/BK79)</f>
        <v>0</v>
      </c>
      <c r="CB79" s="32" t="n">
        <f aca="false">IF(BL79=0,IF(BT79=0,0,1),(BT79-BL79)/BL79)</f>
        <v>0</v>
      </c>
      <c r="CC79" s="32" t="n">
        <f aca="false">IF(BM79=0,IF(BU79=0,0,1),(BU79-BM79)/BM79)</f>
        <v>0</v>
      </c>
      <c r="CD79" s="32" t="n">
        <f aca="false">IF(BN79=0,IF(BV79=0,0,1),(BV79-BN79)/BN79)</f>
        <v>0</v>
      </c>
      <c r="CE79" s="32" t="n">
        <f aca="false">IF(BO79=0,IF(BW79=0,0,1),(BW79-BO79)/BO79)</f>
        <v>0</v>
      </c>
      <c r="CF79" s="32" t="n">
        <f aca="false">IF(BP79=0,IF(BX79=0,0,1),(BX79-BP79)/BP79)</f>
        <v>0</v>
      </c>
      <c r="CG79" s="32" t="n">
        <f aca="false">IF(BQ79=0,IF(BY79=0,0,1),(BY79-BQ79)/BQ79)</f>
        <v>0</v>
      </c>
      <c r="CH79" s="32" t="n">
        <f aca="false">MAX(MAX(BZ79:CG79),-MIN(BZ79:CG79))</f>
        <v>-0</v>
      </c>
      <c r="CI79" s="31" t="n">
        <f aca="false">IF(CO79="","",SUMIFS($CJ$7:$CJ$696,$A$7:$A$696,CO79,$B$7:$B$696,B79))</f>
        <v>0</v>
      </c>
      <c r="CJ79" s="31" t="n">
        <f aca="false">SUM(AY79:BI79)</f>
        <v>0</v>
      </c>
      <c r="CK79" s="31" t="str">
        <f aca="false">IFERROR(INDEX(設定!$F$61:$F$106,MATCH(B79,設定!$B$61:$B$106,0)),"Y")</f>
        <v>N</v>
      </c>
      <c r="CL79" s="31" t="str">
        <f aca="false">IFERROR(INDEX(設定!$G$61:$G$106,MATCH(B79,設定!$B$61:$B$106,0)),"外郭型")</f>
        <v>外郭型</v>
      </c>
      <c r="CM79" s="33" t="str">
        <f aca="false">A79&amp;"|"&amp;B79</f>
        <v>2026-05 月例|文化財団　教育委員会</v>
      </c>
      <c r="CN79" s="34" t="str">
        <f aca="false">IFERROR(INDEX(設定!$D$61:$D$106,MATCH(B79,設定!$B$61:$B$106,0)),"Y")</f>
        <v>Y</v>
      </c>
      <c r="CO79" s="34" t="str">
        <f aca="false">IFERROR(INDEX(設定!$D$20:$D$34,MATCH(A79,設定!$A$20:$A$34,0))&amp;"","")</f>
        <v>2026-04 月例</v>
      </c>
    </row>
    <row r="80" customFormat="false" ht="15" hidden="true" customHeight="false" outlineLevel="0" collapsed="false">
      <c r="A80" s="22" t="s">
        <v>215</v>
      </c>
      <c r="B80" s="23" t="s">
        <v>196</v>
      </c>
      <c r="C80" s="10" t="str">
        <f aca="false">IF(G80="","未受領",IF(G80="なし","報告なし",IF(AL80="○","起票済",IF(OR(AK80="○",F80="一致",F80="入金不要"),"入金確認済","受領済"))))</f>
        <v>入金確認済</v>
      </c>
      <c r="D80" s="10" t="str">
        <f aca="false">IF(OR(G80="",G80="なし"),"―",IF(CN80="N","対象外",IF(AND(I80="",J80="",K80=""),"標報未入力",IF(CH80&gt;=設定!$B$4,"要確認","問題なし"))))</f>
        <v>標報未入力</v>
      </c>
      <c r="E80" s="24" t="str">
        <f aca="false">IF(OR(G80="",G80="なし",CI80="",CJ80=0),"―",IF(CJ80=CI80,"前月同額",IF(CI80=0,"―",IF(ABS(CJ80/CI80-1)&gt;=設定!$B$5,"変動大 "&amp;TEXT(CJ80/CI80-1,"+0%;-0%"),"〇"))))</f>
        <v>前月同額</v>
      </c>
      <c r="F80" s="10" t="str">
        <f aca="false">IF(OR(G80="",G80="なし"),"―",IF(CJ80=0,"入金不要",IF(COUNT(AD80,AF80,AH80,AJ80)=0,IF(AK80="○","手動確認","未入金"),IF(AND(N(AD80)=AC80,IF(AE80="",TRUE(),N(AF80)=AE80),IF(AG80="",TRUE(),N(AH80)=AG80),IF(AI80="",TRUE(),N(AJ80)=AI80)),"一致","不一致"))))</f>
        <v>手動確認</v>
      </c>
      <c r="G80" s="25" t="s">
        <v>167</v>
      </c>
      <c r="H80" s="26"/>
      <c r="I80" s="27"/>
      <c r="J80" s="27"/>
      <c r="K80" s="27"/>
      <c r="L80" s="27"/>
      <c r="M80" s="27"/>
      <c r="N80" s="27"/>
      <c r="O80" s="27"/>
      <c r="P80" s="27"/>
      <c r="Q80" s="27"/>
      <c r="R80" s="27"/>
      <c r="S80" s="27"/>
      <c r="T80" s="27" t="n">
        <v>405345</v>
      </c>
      <c r="U80" s="27" t="n">
        <v>33225</v>
      </c>
      <c r="V80" s="27" t="n">
        <v>383</v>
      </c>
      <c r="W80" s="27" t="n">
        <v>229959</v>
      </c>
      <c r="X80" s="27" t="n">
        <v>34997</v>
      </c>
      <c r="Y80" s="27" t="n">
        <v>5093</v>
      </c>
      <c r="Z80" s="27"/>
      <c r="AA80" s="10" t="str">
        <f aca="false">IFERROR(INDEX(設定!$E$61:$E$106,MATCH(B80,設定!$B$61:$B$106,0)),"合算")</f>
        <v>合算</v>
      </c>
      <c r="AB80" s="28"/>
      <c r="AC80" s="29" t="n">
        <f aca="false">IF(OR(G80="",G80="なし"),"",IF(AA80="合算",CJ80+N(Z80),IF(AA80="掛金・負担金別",(AY80+AZ80+BD80+BF80+BH80),SUM(AY80:BC80))))</f>
        <v>709002</v>
      </c>
      <c r="AD80" s="27"/>
      <c r="AE80" s="29" t="str">
        <f aca="false">IF(OR(G80="",G80="なし"),"",IF(AA80="掛金・負担金別",(BA80+BB80+BC80+BE80+BG80+BI80+N(Z80)),IF(AA80="経理区分別",BD80+BE80,"")))</f>
        <v/>
      </c>
      <c r="AF80" s="27"/>
      <c r="AG80" s="29" t="str">
        <f aca="false">IF(OR(G80="",G80="なし"),"",IF(AA80="経理区分別",BF80+BG80,""))</f>
        <v/>
      </c>
      <c r="AH80" s="27"/>
      <c r="AI80" s="29" t="str">
        <f aca="false">IF(OR(G80="",G80="なし"),"",IF(AA80="経理区分別",BH80+BI80+N(Z80),""))</f>
        <v/>
      </c>
      <c r="AJ80" s="27"/>
      <c r="AK80" s="26" t="s">
        <v>168</v>
      </c>
      <c r="AL80" s="26"/>
      <c r="AM80" s="30"/>
      <c r="AN80" s="31"/>
      <c r="AO80" s="31"/>
      <c r="AP80" s="31"/>
      <c r="AQ80" s="31"/>
      <c r="AR80" s="31"/>
      <c r="AS80" s="31"/>
      <c r="AT80" s="31"/>
      <c r="AU80" s="31"/>
      <c r="AV80" s="31"/>
      <c r="AW80" s="31"/>
      <c r="AX80" s="31"/>
      <c r="AY80" s="31" t="n">
        <f aca="false">IF($G80="",AN80,O80)</f>
        <v>0</v>
      </c>
      <c r="AZ80" s="31" t="n">
        <f aca="false">IF($G80="",AO80,P80)</f>
        <v>0</v>
      </c>
      <c r="BA80" s="31" t="n">
        <f aca="false">IF($G80="",AP80,T80)</f>
        <v>405345</v>
      </c>
      <c r="BB80" s="31" t="n">
        <f aca="false">IF($G80="",AQ80,U80)</f>
        <v>33225</v>
      </c>
      <c r="BC80" s="31" t="n">
        <f aca="false">IF($G80="",AR80,V80)</f>
        <v>383</v>
      </c>
      <c r="BD80" s="31" t="n">
        <f aca="false">IF($G80="",AS80,Q80)</f>
        <v>0</v>
      </c>
      <c r="BE80" s="31" t="n">
        <f aca="false">IF($G80="",AT80,W80)</f>
        <v>229959</v>
      </c>
      <c r="BF80" s="31" t="n">
        <f aca="false">IF($G80="",AU80,R80)</f>
        <v>0</v>
      </c>
      <c r="BG80" s="31" t="n">
        <f aca="false">IF($G80="",AV80,X80)</f>
        <v>34997</v>
      </c>
      <c r="BH80" s="31" t="n">
        <f aca="false">IF($G80="",AW80,S80)</f>
        <v>0</v>
      </c>
      <c r="BI80" s="31" t="n">
        <f aca="false">IF($G80="",AX80,Y80)</f>
        <v>5093</v>
      </c>
      <c r="BJ80" s="31" t="n">
        <f aca="false">IF(CK80="N",BR80,ROUNDDOWN((I80-L80)*設定!$B$10/1000,0)+ROUNDDOWN((I80-L80)*設定!$B$11/1000,0))</f>
        <v>0</v>
      </c>
      <c r="BK80" s="31" t="n">
        <f aca="false">ROUNDDOWN((I80-L80)*設定!$C$10/1000,0)+ROUNDDOWN((I80-L80)*設定!$C$11/1000,0)+ROUNDDOWN(I80*設定!$C$12/1000,0)+IF(CL80="市局型",ROUNDDOWN(I80*設定!$C$16/1000,0),0)</f>
        <v>0</v>
      </c>
      <c r="BL80" s="31" t="n">
        <f aca="false">IF(CK80="N",BT80,ROUNDDOWN((J80-M80)*設定!$B$13/1000,0))</f>
        <v>0</v>
      </c>
      <c r="BM80" s="31" t="n">
        <f aca="false">ROUNDDOWN((J80-M80)*設定!$C$13/1000,0)+IF(CL80="市局型",ROUNDDOWN(J80*設定!$C$17/1000,0),0)</f>
        <v>0</v>
      </c>
      <c r="BN80" s="31" t="n">
        <f aca="false">IF(CK80="N",BV80,ROUNDDOWN((K80-N80)*設定!$B$14/1000,0))</f>
        <v>0</v>
      </c>
      <c r="BO80" s="31" t="n">
        <f aca="false">ROUNDDOWN((K80-N80)*設定!$C$14/1000,0)</f>
        <v>0</v>
      </c>
      <c r="BP80" s="31" t="n">
        <f aca="false">IF(CK80="N",BX80,ROUNDDOWN((J80-M80)*設定!$B$15/1000,0))</f>
        <v>0</v>
      </c>
      <c r="BQ80" s="31" t="n">
        <f aca="false">ROUNDDOWN((J80-M80)*設定!$C$15/1000,0)</f>
        <v>0</v>
      </c>
      <c r="BR80" s="31" t="n">
        <f aca="false">O80+P80</f>
        <v>0</v>
      </c>
      <c r="BS80" s="31" t="n">
        <f aca="false">T80+U80+V80</f>
        <v>438953</v>
      </c>
      <c r="BT80" s="31" t="n">
        <f aca="false">Q80</f>
        <v>0</v>
      </c>
      <c r="BU80" s="31" t="n">
        <f aca="false">W80</f>
        <v>229959</v>
      </c>
      <c r="BV80" s="31" t="n">
        <f aca="false">R80</f>
        <v>0</v>
      </c>
      <c r="BW80" s="31" t="n">
        <f aca="false">X80</f>
        <v>34997</v>
      </c>
      <c r="BX80" s="31" t="n">
        <f aca="false">S80</f>
        <v>0</v>
      </c>
      <c r="BY80" s="31" t="n">
        <f aca="false">Y80</f>
        <v>5093</v>
      </c>
      <c r="BZ80" s="32" t="n">
        <f aca="false">IF(BJ80=0,IF(BR80=0,0,1),(BR80-BJ80)/BJ80)</f>
        <v>0</v>
      </c>
      <c r="CA80" s="32" t="n">
        <f aca="false">IF(BK80=0,IF(BS80=0,0,1),(BS80-BK80)/BK80)</f>
        <v>1</v>
      </c>
      <c r="CB80" s="32" t="n">
        <f aca="false">IF(BL80=0,IF(BT80=0,0,1),(BT80-BL80)/BL80)</f>
        <v>0</v>
      </c>
      <c r="CC80" s="32" t="n">
        <f aca="false">IF(BM80=0,IF(BU80=0,0,1),(BU80-BM80)/BM80)</f>
        <v>1</v>
      </c>
      <c r="CD80" s="32" t="n">
        <f aca="false">IF(BN80=0,IF(BV80=0,0,1),(BV80-BN80)/BN80)</f>
        <v>0</v>
      </c>
      <c r="CE80" s="32" t="n">
        <f aca="false">IF(BO80=0,IF(BW80=0,0,1),(BW80-BO80)/BO80)</f>
        <v>1</v>
      </c>
      <c r="CF80" s="32" t="n">
        <f aca="false">IF(BP80=0,IF(BX80=0,0,1),(BX80-BP80)/BP80)</f>
        <v>0</v>
      </c>
      <c r="CG80" s="32" t="n">
        <f aca="false">IF(BQ80=0,IF(BY80=0,0,1),(BY80-BQ80)/BQ80)</f>
        <v>1</v>
      </c>
      <c r="CH80" s="32" t="n">
        <f aca="false">MAX(MAX(BZ80:CG80),-MIN(BZ80:CG80))</f>
        <v>1</v>
      </c>
      <c r="CI80" s="31" t="n">
        <f aca="false">IF(CO80="","",SUMIFS($CJ$7:$CJ$696,$A$7:$A$696,CO80,$B$7:$B$696,B80))</f>
        <v>709002</v>
      </c>
      <c r="CJ80" s="31" t="n">
        <f aca="false">SUM(AY80:BI80)</f>
        <v>709002</v>
      </c>
      <c r="CK80" s="31" t="str">
        <f aca="false">IFERROR(INDEX(設定!$F$61:$F$106,MATCH(B80,設定!$B$61:$B$106,0)),"Y")</f>
        <v>N</v>
      </c>
      <c r="CL80" s="31" t="str">
        <f aca="false">IFERROR(INDEX(設定!$G$61:$G$106,MATCH(B80,設定!$B$61:$B$106,0)),"外郭型")</f>
        <v>外郭型</v>
      </c>
      <c r="CM80" s="33" t="str">
        <f aca="false">A80&amp;"|"&amp;B80</f>
        <v>2026-05 月例|みどり生きもの協会</v>
      </c>
      <c r="CN80" s="34" t="str">
        <f aca="false">IFERROR(INDEX(設定!$D$61:$D$106,MATCH(B80,設定!$B$61:$B$106,0)),"Y")</f>
        <v>Y</v>
      </c>
      <c r="CO80" s="34" t="str">
        <f aca="false">IFERROR(INDEX(設定!$D$20:$D$34,MATCH(A80,設定!$A$20:$A$34,0))&amp;"","")</f>
        <v>2026-04 月例</v>
      </c>
    </row>
    <row r="81" customFormat="false" ht="15" hidden="true" customHeight="false" outlineLevel="0" collapsed="false">
      <c r="A81" s="22" t="s">
        <v>215</v>
      </c>
      <c r="B81" s="23" t="s">
        <v>197</v>
      </c>
      <c r="C81" s="10" t="str">
        <f aca="false">IF(G81="","未受領",IF(G81="なし","報告なし",IF(AL81="○","起票済",IF(OR(AK81="○",F81="一致",F81="入金不要"),"入金確認済","受領済"))))</f>
        <v>入金確認済</v>
      </c>
      <c r="D81" s="10" t="str">
        <f aca="false">IF(OR(G81="",G81="なし"),"―",IF(CN81="N","対象外",IF(AND(I81="",J81="",K81=""),"標報未入力",IF(CH81&gt;=設定!$B$4,"要確認","問題なし"))))</f>
        <v>標報未入力</v>
      </c>
      <c r="E81" s="24" t="str">
        <f aca="false">IF(OR(G81="",G81="なし",CI81="",CJ81=0),"―",IF(CJ81=CI81,"前月同額",IF(CI81=0,"―",IF(ABS(CJ81/CI81-1)&gt;=設定!$B$5,"変動大 "&amp;TEXT(CJ81/CI81-1,"+0%;-0%"),"〇"))))</f>
        <v>前月同額</v>
      </c>
      <c r="F81" s="10" t="str">
        <f aca="false">IF(OR(G81="",G81="なし"),"―",IF(CJ81=0,"入金不要",IF(COUNT(AD81,AF81,AH81,AJ81)=0,IF(AK81="○","手動確認","未入金"),IF(AND(N(AD81)=AC81,IF(AE81="",TRUE(),N(AF81)=AE81),IF(AG81="",TRUE(),N(AH81)=AG81),IF(AI81="",TRUE(),N(AJ81)=AI81)),"一致","不一致"))))</f>
        <v>手動確認</v>
      </c>
      <c r="G81" s="25" t="s">
        <v>167</v>
      </c>
      <c r="H81" s="26"/>
      <c r="I81" s="27"/>
      <c r="J81" s="27"/>
      <c r="K81" s="27"/>
      <c r="L81" s="27"/>
      <c r="M81" s="27"/>
      <c r="N81" s="27"/>
      <c r="O81" s="27" t="n">
        <v>148230</v>
      </c>
      <c r="P81" s="27" t="n">
        <v>12150</v>
      </c>
      <c r="Q81" s="27" t="n">
        <v>87123</v>
      </c>
      <c r="R81" s="27" t="n">
        <v>10033</v>
      </c>
      <c r="S81" s="27" t="n">
        <v>1931</v>
      </c>
      <c r="T81" s="27" t="n">
        <v>148230</v>
      </c>
      <c r="U81" s="27" t="n">
        <v>12150</v>
      </c>
      <c r="V81" s="27" t="n">
        <v>140</v>
      </c>
      <c r="W81" s="27" t="n">
        <v>87208</v>
      </c>
      <c r="X81" s="27" t="n">
        <v>10033</v>
      </c>
      <c r="Y81" s="27" t="n">
        <v>1932</v>
      </c>
      <c r="Z81" s="27"/>
      <c r="AA81" s="10" t="str">
        <f aca="false">IFERROR(INDEX(設定!$E$61:$E$106,MATCH(B81,設定!$B$61:$B$106,0)),"合算")</f>
        <v>合算</v>
      </c>
      <c r="AB81" s="28"/>
      <c r="AC81" s="29" t="n">
        <f aca="false">IF(OR(G81="",G81="なし"),"",IF(AA81="合算",CJ81+N(Z81),IF(AA81="掛金・負担金別",(AY81+AZ81+BD81+BF81+BH81),SUM(AY81:BC81))))</f>
        <v>519160</v>
      </c>
      <c r="AD81" s="27"/>
      <c r="AE81" s="29" t="str">
        <f aca="false">IF(OR(G81="",G81="なし"),"",IF(AA81="掛金・負担金別",(BA81+BB81+BC81+BE81+BG81+BI81+N(Z81)),IF(AA81="経理区分別",BD81+BE81,"")))</f>
        <v/>
      </c>
      <c r="AF81" s="27"/>
      <c r="AG81" s="29" t="str">
        <f aca="false">IF(OR(G81="",G81="なし"),"",IF(AA81="経理区分別",BF81+BG81,""))</f>
        <v/>
      </c>
      <c r="AH81" s="27"/>
      <c r="AI81" s="29" t="str">
        <f aca="false">IF(OR(G81="",G81="なし"),"",IF(AA81="経理区分別",BH81+BI81+N(Z81),""))</f>
        <v/>
      </c>
      <c r="AJ81" s="27"/>
      <c r="AK81" s="26" t="s">
        <v>168</v>
      </c>
      <c r="AL81" s="26"/>
      <c r="AM81" s="30"/>
      <c r="AN81" s="31"/>
      <c r="AO81" s="31"/>
      <c r="AP81" s="31"/>
      <c r="AQ81" s="31"/>
      <c r="AR81" s="31"/>
      <c r="AS81" s="31"/>
      <c r="AT81" s="31"/>
      <c r="AU81" s="31"/>
      <c r="AV81" s="31"/>
      <c r="AW81" s="31"/>
      <c r="AX81" s="31"/>
      <c r="AY81" s="31" t="n">
        <f aca="false">IF($G81="",AN81,O81)</f>
        <v>148230</v>
      </c>
      <c r="AZ81" s="31" t="n">
        <f aca="false">IF($G81="",AO81,P81)</f>
        <v>12150</v>
      </c>
      <c r="BA81" s="31" t="n">
        <f aca="false">IF($G81="",AP81,T81)</f>
        <v>148230</v>
      </c>
      <c r="BB81" s="31" t="n">
        <f aca="false">IF($G81="",AQ81,U81)</f>
        <v>12150</v>
      </c>
      <c r="BC81" s="31" t="n">
        <f aca="false">IF($G81="",AR81,V81)</f>
        <v>140</v>
      </c>
      <c r="BD81" s="31" t="n">
        <f aca="false">IF($G81="",AS81,Q81)</f>
        <v>87123</v>
      </c>
      <c r="BE81" s="31" t="n">
        <f aca="false">IF($G81="",AT81,W81)</f>
        <v>87208</v>
      </c>
      <c r="BF81" s="31" t="n">
        <f aca="false">IF($G81="",AU81,R81)</f>
        <v>10033</v>
      </c>
      <c r="BG81" s="31" t="n">
        <f aca="false">IF($G81="",AV81,X81)</f>
        <v>10033</v>
      </c>
      <c r="BH81" s="31" t="n">
        <f aca="false">IF($G81="",AW81,S81)</f>
        <v>1931</v>
      </c>
      <c r="BI81" s="31" t="n">
        <f aca="false">IF($G81="",AX81,Y81)</f>
        <v>1932</v>
      </c>
      <c r="BJ81" s="31" t="n">
        <f aca="false">IF(CK81="N",BR81,ROUNDDOWN((I81-L81)*設定!$B$10/1000,0)+ROUNDDOWN((I81-L81)*設定!$B$11/1000,0))</f>
        <v>0</v>
      </c>
      <c r="BK81" s="31" t="n">
        <f aca="false">ROUNDDOWN((I81-L81)*設定!$C$10/1000,0)+ROUNDDOWN((I81-L81)*設定!$C$11/1000,0)+ROUNDDOWN(I81*設定!$C$12/1000,0)+IF(CL81="市局型",ROUNDDOWN(I81*設定!$C$16/1000,0),0)</f>
        <v>0</v>
      </c>
      <c r="BL81" s="31" t="n">
        <f aca="false">IF(CK81="N",BT81,ROUNDDOWN((J81-M81)*設定!$B$13/1000,0))</f>
        <v>0</v>
      </c>
      <c r="BM81" s="31" t="n">
        <f aca="false">ROUNDDOWN((J81-M81)*設定!$C$13/1000,0)+IF(CL81="市局型",ROUNDDOWN(J81*設定!$C$17/1000,0),0)</f>
        <v>0</v>
      </c>
      <c r="BN81" s="31" t="n">
        <f aca="false">IF(CK81="N",BV81,ROUNDDOWN((K81-N81)*設定!$B$14/1000,0))</f>
        <v>0</v>
      </c>
      <c r="BO81" s="31" t="n">
        <f aca="false">ROUNDDOWN((K81-N81)*設定!$C$14/1000,0)</f>
        <v>0</v>
      </c>
      <c r="BP81" s="31" t="n">
        <f aca="false">IF(CK81="N",BX81,ROUNDDOWN((J81-M81)*設定!$B$15/1000,0))</f>
        <v>0</v>
      </c>
      <c r="BQ81" s="31" t="n">
        <f aca="false">ROUNDDOWN((J81-M81)*設定!$C$15/1000,0)</f>
        <v>0</v>
      </c>
      <c r="BR81" s="31" t="n">
        <f aca="false">O81+P81</f>
        <v>160380</v>
      </c>
      <c r="BS81" s="31" t="n">
        <f aca="false">T81+U81+V81</f>
        <v>160520</v>
      </c>
      <c r="BT81" s="31" t="n">
        <f aca="false">Q81</f>
        <v>87123</v>
      </c>
      <c r="BU81" s="31" t="n">
        <f aca="false">W81</f>
        <v>87208</v>
      </c>
      <c r="BV81" s="31" t="n">
        <f aca="false">R81</f>
        <v>10033</v>
      </c>
      <c r="BW81" s="31" t="n">
        <f aca="false">X81</f>
        <v>10033</v>
      </c>
      <c r="BX81" s="31" t="n">
        <f aca="false">S81</f>
        <v>1931</v>
      </c>
      <c r="BY81" s="31" t="n">
        <f aca="false">Y81</f>
        <v>1932</v>
      </c>
      <c r="BZ81" s="32" t="n">
        <f aca="false">IF(BJ81=0,IF(BR81=0,0,1),(BR81-BJ81)/BJ81)</f>
        <v>1</v>
      </c>
      <c r="CA81" s="32" t="n">
        <f aca="false">IF(BK81=0,IF(BS81=0,0,1),(BS81-BK81)/BK81)</f>
        <v>1</v>
      </c>
      <c r="CB81" s="32" t="n">
        <f aca="false">IF(BL81=0,IF(BT81=0,0,1),(BT81-BL81)/BL81)</f>
        <v>1</v>
      </c>
      <c r="CC81" s="32" t="n">
        <f aca="false">IF(BM81=0,IF(BU81=0,0,1),(BU81-BM81)/BM81)</f>
        <v>1</v>
      </c>
      <c r="CD81" s="32" t="n">
        <f aca="false">IF(BN81=0,IF(BV81=0,0,1),(BV81-BN81)/BN81)</f>
        <v>1</v>
      </c>
      <c r="CE81" s="32" t="n">
        <f aca="false">IF(BO81=0,IF(BW81=0,0,1),(BW81-BO81)/BO81)</f>
        <v>1</v>
      </c>
      <c r="CF81" s="32" t="n">
        <f aca="false">IF(BP81=0,IF(BX81=0,0,1),(BX81-BP81)/BP81)</f>
        <v>1</v>
      </c>
      <c r="CG81" s="32" t="n">
        <f aca="false">IF(BQ81=0,IF(BY81=0,0,1),(BY81-BQ81)/BQ81)</f>
        <v>1</v>
      </c>
      <c r="CH81" s="32" t="n">
        <f aca="false">MAX(MAX(BZ81:CG81),-MIN(BZ81:CG81))</f>
        <v>1</v>
      </c>
      <c r="CI81" s="31" t="n">
        <f aca="false">IF(CO81="","",SUMIFS($CJ$7:$CJ$696,$A$7:$A$696,CO81,$B$7:$B$696,B81))</f>
        <v>519160</v>
      </c>
      <c r="CJ81" s="31" t="n">
        <f aca="false">SUM(AY81:BI81)</f>
        <v>519160</v>
      </c>
      <c r="CK81" s="31" t="str">
        <f aca="false">IFERROR(INDEX(設定!$F$61:$F$106,MATCH(B81,設定!$B$61:$B$106,0)),"Y")</f>
        <v>Y</v>
      </c>
      <c r="CL81" s="31" t="str">
        <f aca="false">IFERROR(INDEX(設定!$G$61:$G$106,MATCH(B81,設定!$B$61:$B$106,0)),"外郭型")</f>
        <v>外郭型</v>
      </c>
      <c r="CM81" s="33" t="str">
        <f aca="false">A81&amp;"|"&amp;B81</f>
        <v>2026-05 月例|県下水道公社</v>
      </c>
      <c r="CN81" s="34" t="str">
        <f aca="false">IFERROR(INDEX(設定!$D$61:$D$106,MATCH(B81,設定!$B$61:$B$106,0)),"Y")</f>
        <v>Y</v>
      </c>
      <c r="CO81" s="34" t="str">
        <f aca="false">IFERROR(INDEX(設定!$D$20:$D$34,MATCH(A81,設定!$A$20:$A$34,0))&amp;"","")</f>
        <v>2026-04 月例</v>
      </c>
    </row>
    <row r="82" customFormat="false" ht="26.85" hidden="true" customHeight="false" outlineLevel="0" collapsed="false">
      <c r="A82" s="22" t="s">
        <v>215</v>
      </c>
      <c r="B82" s="35" t="s">
        <v>198</v>
      </c>
      <c r="C82" s="10" t="str">
        <f aca="false">IF(G82="","未受領",IF(G82="なし","報告なし",IF(AL82="○","起票済",IF(OR(AK82="○",F82="一致",F82="入金不要"),"入金確認済","受領済"))))</f>
        <v>入金確認済</v>
      </c>
      <c r="D82" s="10" t="str">
        <f aca="false">IF(OR(G82="",G82="なし"),"―",IF(CN82="N","対象外",IF(AND(I82="",J82="",K82=""),"標報未入力",IF(CH82&gt;=設定!$B$4,"要確認","問題なし"))))</f>
        <v>標報未入力</v>
      </c>
      <c r="E82" s="24" t="str">
        <f aca="false">IF(OR(G82="",G82="なし",CI82="",CJ82=0),"―",IF(CJ82=CI82,"前月同額",IF(CI82=0,"―",IF(ABS(CJ82/CI82-1)&gt;=設定!$B$5,"変動大 "&amp;TEXT(CJ82/CI82-1,"+0%;-0%"),"〇"))))</f>
        <v>前月同額</v>
      </c>
      <c r="F82" s="10" t="str">
        <f aca="false">IF(OR(G82="",G82="なし"),"―",IF(CJ82=0,"入金不要",IF(COUNT(AD82,AF82,AH82,AJ82)=0,IF(AK82="○","手動確認","未入金"),IF(AND(N(AD82)=AC82,IF(AE82="",TRUE(),N(AF82)=AE82),IF(AG82="",TRUE(),N(AH82)=AG82),IF(AI82="",TRUE(),N(AJ82)=AI82)),"一致","不一致"))))</f>
        <v>手動確認</v>
      </c>
      <c r="G82" s="25" t="s">
        <v>167</v>
      </c>
      <c r="H82" s="26"/>
      <c r="I82" s="27"/>
      <c r="J82" s="27"/>
      <c r="K82" s="27"/>
      <c r="L82" s="27"/>
      <c r="M82" s="27"/>
      <c r="N82" s="27"/>
      <c r="O82" s="27"/>
      <c r="P82" s="27"/>
      <c r="Q82" s="27"/>
      <c r="R82" s="27"/>
      <c r="S82" s="27"/>
      <c r="T82" s="27" t="n">
        <v>455670</v>
      </c>
      <c r="U82" s="27" t="n">
        <v>37350</v>
      </c>
      <c r="V82" s="27" t="n">
        <v>432</v>
      </c>
      <c r="W82" s="27" t="n">
        <v>263702</v>
      </c>
      <c r="X82" s="27" t="n">
        <v>21093</v>
      </c>
      <c r="Y82" s="27" t="n">
        <v>5842</v>
      </c>
      <c r="Z82" s="27"/>
      <c r="AA82" s="10" t="str">
        <f aca="false">IFERROR(INDEX(設定!$E$61:$E$106,MATCH(B82,設定!$B$61:$B$106,0)),"合算")</f>
        <v>合算</v>
      </c>
      <c r="AB82" s="28"/>
      <c r="AC82" s="29" t="n">
        <f aca="false">IF(OR(G82="",G82="なし"),"",IF(AA82="合算",CJ82+N(Z82),IF(AA82="掛金・負担金別",(AY82+AZ82+BD82+BF82+BH82),SUM(AY82:BC82))))</f>
        <v>784089</v>
      </c>
      <c r="AD82" s="27"/>
      <c r="AE82" s="29" t="str">
        <f aca="false">IF(OR(G82="",G82="なし"),"",IF(AA82="掛金・負担金別",(BA82+BB82+BC82+BE82+BG82+BI82+N(Z82)),IF(AA82="経理区分別",BD82+BE82,"")))</f>
        <v/>
      </c>
      <c r="AF82" s="27"/>
      <c r="AG82" s="29" t="str">
        <f aca="false">IF(OR(G82="",G82="なし"),"",IF(AA82="経理区分別",BF82+BG82,""))</f>
        <v/>
      </c>
      <c r="AH82" s="27"/>
      <c r="AI82" s="29" t="str">
        <f aca="false">IF(OR(G82="",G82="なし"),"",IF(AA82="経理区分別",BH82+BI82+N(Z82),""))</f>
        <v/>
      </c>
      <c r="AJ82" s="27"/>
      <c r="AK82" s="26" t="s">
        <v>168</v>
      </c>
      <c r="AL82" s="26"/>
      <c r="AM82" s="30"/>
      <c r="AN82" s="31"/>
      <c r="AO82" s="31"/>
      <c r="AP82" s="31"/>
      <c r="AQ82" s="31"/>
      <c r="AR82" s="31"/>
      <c r="AS82" s="31"/>
      <c r="AT82" s="31"/>
      <c r="AU82" s="31"/>
      <c r="AV82" s="31"/>
      <c r="AW82" s="31"/>
      <c r="AX82" s="31"/>
      <c r="AY82" s="31" t="n">
        <f aca="false">IF($G82="",AN82,O82)</f>
        <v>0</v>
      </c>
      <c r="AZ82" s="31" t="n">
        <f aca="false">IF($G82="",AO82,P82)</f>
        <v>0</v>
      </c>
      <c r="BA82" s="31" t="n">
        <f aca="false">IF($G82="",AP82,T82)</f>
        <v>455670</v>
      </c>
      <c r="BB82" s="31" t="n">
        <f aca="false">IF($G82="",AQ82,U82)</f>
        <v>37350</v>
      </c>
      <c r="BC82" s="31" t="n">
        <f aca="false">IF($G82="",AR82,V82)</f>
        <v>432</v>
      </c>
      <c r="BD82" s="31" t="n">
        <f aca="false">IF($G82="",AS82,Q82)</f>
        <v>0</v>
      </c>
      <c r="BE82" s="31" t="n">
        <f aca="false">IF($G82="",AT82,W82)</f>
        <v>263702</v>
      </c>
      <c r="BF82" s="31" t="n">
        <f aca="false">IF($G82="",AU82,R82)</f>
        <v>0</v>
      </c>
      <c r="BG82" s="31" t="n">
        <f aca="false">IF($G82="",AV82,X82)</f>
        <v>21093</v>
      </c>
      <c r="BH82" s="31" t="n">
        <f aca="false">IF($G82="",AW82,S82)</f>
        <v>0</v>
      </c>
      <c r="BI82" s="31" t="n">
        <f aca="false">IF($G82="",AX82,Y82)</f>
        <v>5842</v>
      </c>
      <c r="BJ82" s="31" t="n">
        <f aca="false">IF(CK82="N",BR82,ROUNDDOWN((I82-L82)*設定!$B$10/1000,0)+ROUNDDOWN((I82-L82)*設定!$B$11/1000,0))</f>
        <v>0</v>
      </c>
      <c r="BK82" s="31" t="n">
        <f aca="false">ROUNDDOWN((I82-L82)*設定!$C$10/1000,0)+ROUNDDOWN((I82-L82)*設定!$C$11/1000,0)+ROUNDDOWN(I82*設定!$C$12/1000,0)+IF(CL82="市局型",ROUNDDOWN(I82*設定!$C$16/1000,0),0)</f>
        <v>0</v>
      </c>
      <c r="BL82" s="31" t="n">
        <f aca="false">IF(CK82="N",BT82,ROUNDDOWN((J82-M82)*設定!$B$13/1000,0))</f>
        <v>0</v>
      </c>
      <c r="BM82" s="31" t="n">
        <f aca="false">ROUNDDOWN((J82-M82)*設定!$C$13/1000,0)+IF(CL82="市局型",ROUNDDOWN(J82*設定!$C$17/1000,0),0)</f>
        <v>0</v>
      </c>
      <c r="BN82" s="31" t="n">
        <f aca="false">IF(CK82="N",BV82,ROUNDDOWN((K82-N82)*設定!$B$14/1000,0))</f>
        <v>0</v>
      </c>
      <c r="BO82" s="31" t="n">
        <f aca="false">ROUNDDOWN((K82-N82)*設定!$C$14/1000,0)</f>
        <v>0</v>
      </c>
      <c r="BP82" s="31" t="n">
        <f aca="false">IF(CK82="N",BX82,ROUNDDOWN((J82-M82)*設定!$B$15/1000,0))</f>
        <v>0</v>
      </c>
      <c r="BQ82" s="31" t="n">
        <f aca="false">ROUNDDOWN((J82-M82)*設定!$C$15/1000,0)</f>
        <v>0</v>
      </c>
      <c r="BR82" s="31" t="n">
        <f aca="false">O82+P82</f>
        <v>0</v>
      </c>
      <c r="BS82" s="31" t="n">
        <f aca="false">T82+U82+V82</f>
        <v>493452</v>
      </c>
      <c r="BT82" s="31" t="n">
        <f aca="false">Q82</f>
        <v>0</v>
      </c>
      <c r="BU82" s="31" t="n">
        <f aca="false">W82</f>
        <v>263702</v>
      </c>
      <c r="BV82" s="31" t="n">
        <f aca="false">R82</f>
        <v>0</v>
      </c>
      <c r="BW82" s="31" t="n">
        <f aca="false">X82</f>
        <v>21093</v>
      </c>
      <c r="BX82" s="31" t="n">
        <f aca="false">S82</f>
        <v>0</v>
      </c>
      <c r="BY82" s="31" t="n">
        <f aca="false">Y82</f>
        <v>5842</v>
      </c>
      <c r="BZ82" s="32" t="n">
        <f aca="false">IF(BJ82=0,IF(BR82=0,0,1),(BR82-BJ82)/BJ82)</f>
        <v>0</v>
      </c>
      <c r="CA82" s="32" t="n">
        <f aca="false">IF(BK82=0,IF(BS82=0,0,1),(BS82-BK82)/BK82)</f>
        <v>1</v>
      </c>
      <c r="CB82" s="32" t="n">
        <f aca="false">IF(BL82=0,IF(BT82=0,0,1),(BT82-BL82)/BL82)</f>
        <v>0</v>
      </c>
      <c r="CC82" s="32" t="n">
        <f aca="false">IF(BM82=0,IF(BU82=0,0,1),(BU82-BM82)/BM82)</f>
        <v>1</v>
      </c>
      <c r="CD82" s="32" t="n">
        <f aca="false">IF(BN82=0,IF(BV82=0,0,1),(BV82-BN82)/BN82)</f>
        <v>0</v>
      </c>
      <c r="CE82" s="32" t="n">
        <f aca="false">IF(BO82=0,IF(BW82=0,0,1),(BW82-BO82)/BO82)</f>
        <v>1</v>
      </c>
      <c r="CF82" s="32" t="n">
        <f aca="false">IF(BP82=0,IF(BX82=0,0,1),(BX82-BP82)/BP82)</f>
        <v>0</v>
      </c>
      <c r="CG82" s="32" t="n">
        <f aca="false">IF(BQ82=0,IF(BY82=0,0,1),(BY82-BQ82)/BQ82)</f>
        <v>1</v>
      </c>
      <c r="CH82" s="32" t="n">
        <f aca="false">MAX(MAX(BZ82:CG82),-MIN(BZ82:CG82))</f>
        <v>1</v>
      </c>
      <c r="CI82" s="31" t="n">
        <f aca="false">IF(CO82="","",SUMIFS($CJ$7:$CJ$696,$A$7:$A$696,CO82,$B$7:$B$696,B82))</f>
        <v>784089</v>
      </c>
      <c r="CJ82" s="31" t="n">
        <f aca="false">SUM(AY82:BI82)</f>
        <v>784089</v>
      </c>
      <c r="CK82" s="31" t="str">
        <f aca="false">IFERROR(INDEX(設定!$F$61:$F$106,MATCH(B82,設定!$B$61:$B$106,0)),"Y")</f>
        <v>N</v>
      </c>
      <c r="CL82" s="31" t="str">
        <f aca="false">IFERROR(INDEX(設定!$G$61:$G$106,MATCH(B82,設定!$B$61:$B$106,0)),"外郭型")</f>
        <v>外郭型</v>
      </c>
      <c r="CM82" s="36" t="str">
        <f aca="false">A82&amp;"|"&amp;B82</f>
        <v>2026-05 月例|バス協調・共創
プラットフォーム</v>
      </c>
      <c r="CN82" s="34" t="str">
        <f aca="false">IFERROR(INDEX(設定!$D$61:$D$106,MATCH(B82,設定!$B$61:$B$106,0)),"Y")</f>
        <v>Y</v>
      </c>
      <c r="CO82" s="34" t="str">
        <f aca="false">IFERROR(INDEX(設定!$D$20:$D$34,MATCH(A82,設定!$A$20:$A$34,0))&amp;"","")</f>
        <v>2026-04 月例</v>
      </c>
    </row>
    <row r="83" customFormat="false" ht="15" hidden="true" customHeight="false" outlineLevel="0" collapsed="false">
      <c r="A83" s="22" t="s">
        <v>215</v>
      </c>
      <c r="B83" s="23" t="s">
        <v>199</v>
      </c>
      <c r="C83" s="10" t="str">
        <f aca="false">IF(G83="","未受領",IF(G83="なし","報告なし",IF(AL83="○","起票済",IF(OR(AK83="○",F83="一致",F83="入金不要"),"入金確認済","受領済"))))</f>
        <v>入金確認済</v>
      </c>
      <c r="D83" s="10" t="str">
        <f aca="false">IF(OR(G83="",G83="なし"),"―",IF(CN83="N","対象外",IF(AND(I83="",J83="",K83=""),"標報未入力",IF(CH83&gt;=設定!$B$4,"要確認","問題なし"))))</f>
        <v>標報未入力</v>
      </c>
      <c r="E83" s="24" t="str">
        <f aca="false">IF(OR(G83="",G83="なし",CI83="",CJ83=0),"―",IF(CJ83=CI83,"前月同額",IF(CI83=0,"―",IF(ABS(CJ83/CI83-1)&gt;=設定!$B$5,"変動大 "&amp;TEXT(CJ83/CI83-1,"+0%;-0%"),"〇"))))</f>
        <v>前月同額</v>
      </c>
      <c r="F83" s="10" t="str">
        <f aca="false">IF(OR(G83="",G83="なし"),"―",IF(CJ83=0,"入金不要",IF(COUNT(AD83,AF83,AH83,AJ83)=0,IF(AK83="○","手動確認","未入金"),IF(AND(N(AD83)=AC83,IF(AE83="",TRUE(),N(AF83)=AE83),IF(AG83="",TRUE(),N(AH83)=AG83),IF(AI83="",TRUE(),N(AJ83)=AI83)),"一致","不一致"))))</f>
        <v>手動確認</v>
      </c>
      <c r="G83" s="25" t="s">
        <v>167</v>
      </c>
      <c r="H83" s="26"/>
      <c r="I83" s="27"/>
      <c r="J83" s="27"/>
      <c r="K83" s="27"/>
      <c r="L83" s="27"/>
      <c r="M83" s="27"/>
      <c r="N83" s="27"/>
      <c r="O83" s="27" t="n">
        <v>56730</v>
      </c>
      <c r="P83" s="27" t="n">
        <v>4650</v>
      </c>
      <c r="Q83" s="27" t="n">
        <v>32153</v>
      </c>
      <c r="R83" s="27" t="n">
        <v>4898</v>
      </c>
      <c r="S83" s="27" t="n">
        <v>713</v>
      </c>
      <c r="T83" s="27" t="n">
        <v>56730</v>
      </c>
      <c r="U83" s="27" t="n">
        <v>4650</v>
      </c>
      <c r="V83" s="27" t="n">
        <v>53</v>
      </c>
      <c r="W83" s="27" t="n">
        <v>32184</v>
      </c>
      <c r="X83" s="27" t="n">
        <v>4898</v>
      </c>
      <c r="Y83" s="27" t="n">
        <v>713</v>
      </c>
      <c r="Z83" s="27"/>
      <c r="AA83" s="10" t="str">
        <f aca="false">IFERROR(INDEX(設定!$E$61:$E$106,MATCH(B83,設定!$B$61:$B$106,0)),"合算")</f>
        <v>合算</v>
      </c>
      <c r="AB83" s="28"/>
      <c r="AC83" s="29" t="n">
        <f aca="false">IF(OR(G83="",G83="なし"),"",IF(AA83="合算",CJ83+N(Z83),IF(AA83="掛金・負担金別",(AY83+AZ83+BD83+BF83+BH83),SUM(AY83:BC83))))</f>
        <v>198372</v>
      </c>
      <c r="AD83" s="27"/>
      <c r="AE83" s="29" t="str">
        <f aca="false">IF(OR(G83="",G83="なし"),"",IF(AA83="掛金・負担金別",(BA83+BB83+BC83+BE83+BG83+BI83+N(Z83)),IF(AA83="経理区分別",BD83+BE83,"")))</f>
        <v/>
      </c>
      <c r="AF83" s="27"/>
      <c r="AG83" s="29" t="str">
        <f aca="false">IF(OR(G83="",G83="なし"),"",IF(AA83="経理区分別",BF83+BG83,""))</f>
        <v/>
      </c>
      <c r="AH83" s="27"/>
      <c r="AI83" s="29" t="str">
        <f aca="false">IF(OR(G83="",G83="なし"),"",IF(AA83="経理区分別",BH83+BI83+N(Z83),""))</f>
        <v/>
      </c>
      <c r="AJ83" s="27"/>
      <c r="AK83" s="26" t="s">
        <v>168</v>
      </c>
      <c r="AL83" s="26"/>
      <c r="AM83" s="30"/>
      <c r="AN83" s="31"/>
      <c r="AO83" s="31"/>
      <c r="AP83" s="31"/>
      <c r="AQ83" s="31"/>
      <c r="AR83" s="31"/>
      <c r="AS83" s="31"/>
      <c r="AT83" s="31"/>
      <c r="AU83" s="31"/>
      <c r="AV83" s="31"/>
      <c r="AW83" s="31"/>
      <c r="AX83" s="31"/>
      <c r="AY83" s="31" t="n">
        <f aca="false">IF($G83="",AN83,O83)</f>
        <v>56730</v>
      </c>
      <c r="AZ83" s="31" t="n">
        <f aca="false">IF($G83="",AO83,P83)</f>
        <v>4650</v>
      </c>
      <c r="BA83" s="31" t="n">
        <f aca="false">IF($G83="",AP83,T83)</f>
        <v>56730</v>
      </c>
      <c r="BB83" s="31" t="n">
        <f aca="false">IF($G83="",AQ83,U83)</f>
        <v>4650</v>
      </c>
      <c r="BC83" s="31" t="n">
        <f aca="false">IF($G83="",AR83,V83)</f>
        <v>53</v>
      </c>
      <c r="BD83" s="31" t="n">
        <f aca="false">IF($G83="",AS83,Q83)</f>
        <v>32153</v>
      </c>
      <c r="BE83" s="31" t="n">
        <f aca="false">IF($G83="",AT83,W83)</f>
        <v>32184</v>
      </c>
      <c r="BF83" s="31" t="n">
        <f aca="false">IF($G83="",AU83,R83)</f>
        <v>4898</v>
      </c>
      <c r="BG83" s="31" t="n">
        <f aca="false">IF($G83="",AV83,X83)</f>
        <v>4898</v>
      </c>
      <c r="BH83" s="31" t="n">
        <f aca="false">IF($G83="",AW83,S83)</f>
        <v>713</v>
      </c>
      <c r="BI83" s="31" t="n">
        <f aca="false">IF($G83="",AX83,Y83)</f>
        <v>713</v>
      </c>
      <c r="BJ83" s="31" t="n">
        <f aca="false">IF(CK83="N",BR83,ROUNDDOWN((I83-L83)*設定!$B$10/1000,0)+ROUNDDOWN((I83-L83)*設定!$B$11/1000,0))</f>
        <v>0</v>
      </c>
      <c r="BK83" s="31" t="n">
        <f aca="false">ROUNDDOWN((I83-L83)*設定!$C$10/1000,0)+ROUNDDOWN((I83-L83)*設定!$C$11/1000,0)+ROUNDDOWN(I83*設定!$C$12/1000,0)+IF(CL83="市局型",ROUNDDOWN(I83*設定!$C$16/1000,0),0)</f>
        <v>0</v>
      </c>
      <c r="BL83" s="31" t="n">
        <f aca="false">IF(CK83="N",BT83,ROUNDDOWN((J83-M83)*設定!$B$13/1000,0))</f>
        <v>0</v>
      </c>
      <c r="BM83" s="31" t="n">
        <f aca="false">ROUNDDOWN((J83-M83)*設定!$C$13/1000,0)+IF(CL83="市局型",ROUNDDOWN(J83*設定!$C$17/1000,0),0)</f>
        <v>0</v>
      </c>
      <c r="BN83" s="31" t="n">
        <f aca="false">IF(CK83="N",BV83,ROUNDDOWN((K83-N83)*設定!$B$14/1000,0))</f>
        <v>0</v>
      </c>
      <c r="BO83" s="31" t="n">
        <f aca="false">ROUNDDOWN((K83-N83)*設定!$C$14/1000,0)</f>
        <v>0</v>
      </c>
      <c r="BP83" s="31" t="n">
        <f aca="false">IF(CK83="N",BX83,ROUNDDOWN((J83-M83)*設定!$B$15/1000,0))</f>
        <v>0</v>
      </c>
      <c r="BQ83" s="31" t="n">
        <f aca="false">ROUNDDOWN((J83-M83)*設定!$C$15/1000,0)</f>
        <v>0</v>
      </c>
      <c r="BR83" s="31" t="n">
        <f aca="false">O83+P83</f>
        <v>61380</v>
      </c>
      <c r="BS83" s="31" t="n">
        <f aca="false">T83+U83+V83</f>
        <v>61433</v>
      </c>
      <c r="BT83" s="31" t="n">
        <f aca="false">Q83</f>
        <v>32153</v>
      </c>
      <c r="BU83" s="31" t="n">
        <f aca="false">W83</f>
        <v>32184</v>
      </c>
      <c r="BV83" s="31" t="n">
        <f aca="false">R83</f>
        <v>4898</v>
      </c>
      <c r="BW83" s="31" t="n">
        <f aca="false">X83</f>
        <v>4898</v>
      </c>
      <c r="BX83" s="31" t="n">
        <f aca="false">S83</f>
        <v>713</v>
      </c>
      <c r="BY83" s="31" t="n">
        <f aca="false">Y83</f>
        <v>713</v>
      </c>
      <c r="BZ83" s="32" t="n">
        <f aca="false">IF(BJ83=0,IF(BR83=0,0,1),(BR83-BJ83)/BJ83)</f>
        <v>1</v>
      </c>
      <c r="CA83" s="32" t="n">
        <f aca="false">IF(BK83=0,IF(BS83=0,0,1),(BS83-BK83)/BK83)</f>
        <v>1</v>
      </c>
      <c r="CB83" s="32" t="n">
        <f aca="false">IF(BL83=0,IF(BT83=0,0,1),(BT83-BL83)/BL83)</f>
        <v>1</v>
      </c>
      <c r="CC83" s="32" t="n">
        <f aca="false">IF(BM83=0,IF(BU83=0,0,1),(BU83-BM83)/BM83)</f>
        <v>1</v>
      </c>
      <c r="CD83" s="32" t="n">
        <f aca="false">IF(BN83=0,IF(BV83=0,0,1),(BV83-BN83)/BN83)</f>
        <v>1</v>
      </c>
      <c r="CE83" s="32" t="n">
        <f aca="false">IF(BO83=0,IF(BW83=0,0,1),(BW83-BO83)/BO83)</f>
        <v>1</v>
      </c>
      <c r="CF83" s="32" t="n">
        <f aca="false">IF(BP83=0,IF(BX83=0,0,1),(BX83-BP83)/BP83)</f>
        <v>1</v>
      </c>
      <c r="CG83" s="32" t="n">
        <f aca="false">IF(BQ83=0,IF(BY83=0,0,1),(BY83-BQ83)/BQ83)</f>
        <v>1</v>
      </c>
      <c r="CH83" s="32" t="n">
        <f aca="false">MAX(MAX(BZ83:CG83),-MIN(BZ83:CG83))</f>
        <v>1</v>
      </c>
      <c r="CI83" s="31" t="n">
        <f aca="false">IF(CO83="","",SUMIFS($CJ$7:$CJ$696,$A$7:$A$696,CO83,$B$7:$B$696,B83))</f>
        <v>198372</v>
      </c>
      <c r="CJ83" s="31" t="n">
        <f aca="false">SUM(AY83:BI83)</f>
        <v>198372</v>
      </c>
      <c r="CK83" s="31" t="str">
        <f aca="false">IFERROR(INDEX(設定!$F$61:$F$106,MATCH(B83,設定!$B$61:$B$106,0)),"Y")</f>
        <v>Y</v>
      </c>
      <c r="CL83" s="31" t="str">
        <f aca="false">IFERROR(INDEX(設定!$G$61:$G$106,MATCH(B83,設定!$B$61:$B$106,0)),"外郭型")</f>
        <v>外郭型</v>
      </c>
      <c r="CM83" s="33" t="str">
        <f aca="false">A83&amp;"|"&amp;B83</f>
        <v>2026-05 月例|広島県市長会</v>
      </c>
      <c r="CN83" s="34" t="str">
        <f aca="false">IFERROR(INDEX(設定!$D$61:$D$106,MATCH(B83,設定!$B$61:$B$106,0)),"Y")</f>
        <v>Y</v>
      </c>
      <c r="CO83" s="34" t="str">
        <f aca="false">IFERROR(INDEX(設定!$D$20:$D$34,MATCH(A83,設定!$A$20:$A$34,0))&amp;"","")</f>
        <v>2026-04 月例</v>
      </c>
    </row>
    <row r="84" customFormat="false" ht="15" hidden="true" customHeight="false" outlineLevel="0" collapsed="false">
      <c r="A84" s="22" t="s">
        <v>215</v>
      </c>
      <c r="B84" s="23" t="s">
        <v>200</v>
      </c>
      <c r="C84" s="10" t="str">
        <f aca="false">IF(G84="","未受領",IF(G84="なし","報告なし",IF(AL84="○","起票済",IF(OR(AK84="○",F84="一致",F84="入金不要"),"入金確認済","受領済"))))</f>
        <v>入金確認済</v>
      </c>
      <c r="D84" s="10" t="str">
        <f aca="false">IF(OR(G84="",G84="なし"),"―",IF(CN84="N","対象外",IF(AND(I84="",J84="",K84=""),"標報未入力",IF(CH84&gt;=設定!$B$4,"要確認","問題なし"))))</f>
        <v>標報未入力</v>
      </c>
      <c r="E84" s="24" t="str">
        <f aca="false">IF(OR(G84="",G84="なし",CI84="",CJ84=0),"―",IF(CJ84=CI84,"前月同額",IF(CI84=0,"―",IF(ABS(CJ84/CI84-1)&gt;=設定!$B$5,"変動大 "&amp;TEXT(CJ84/CI84-1,"+0%;-0%"),"〇"))))</f>
        <v>前月同額</v>
      </c>
      <c r="F84" s="10" t="str">
        <f aca="false">IF(OR(G84="",G84="なし"),"―",IF(CJ84=0,"入金不要",IF(COUNT(AD84,AF84,AH84,AJ84)=0,IF(AK84="○","手動確認","未入金"),IF(AND(N(AD84)=AC84,IF(AE84="",TRUE(),N(AF84)=AE84),IF(AG84="",TRUE(),N(AH84)=AG84),IF(AI84="",TRUE(),N(AJ84)=AI84)),"一致","不一致"))))</f>
        <v>手動確認</v>
      </c>
      <c r="G84" s="25" t="s">
        <v>167</v>
      </c>
      <c r="H84" s="26"/>
      <c r="I84" s="27"/>
      <c r="J84" s="27"/>
      <c r="K84" s="27"/>
      <c r="L84" s="27"/>
      <c r="M84" s="27"/>
      <c r="N84" s="27"/>
      <c r="O84" s="27" t="n">
        <v>59475</v>
      </c>
      <c r="P84" s="27" t="n">
        <v>4875</v>
      </c>
      <c r="Q84" s="27" t="n">
        <v>38895</v>
      </c>
      <c r="R84" s="27" t="n">
        <v>5925</v>
      </c>
      <c r="S84" s="27" t="n">
        <v>862</v>
      </c>
      <c r="T84" s="27" t="n">
        <v>59475</v>
      </c>
      <c r="U84" s="27" t="n">
        <v>4875</v>
      </c>
      <c r="V84" s="27" t="n">
        <v>56</v>
      </c>
      <c r="W84" s="27" t="n">
        <v>38932</v>
      </c>
      <c r="X84" s="27" t="n">
        <v>5925</v>
      </c>
      <c r="Y84" s="27" t="n">
        <v>862</v>
      </c>
      <c r="Z84" s="27"/>
      <c r="AA84" s="10" t="str">
        <f aca="false">IFERROR(INDEX(設定!$E$61:$E$106,MATCH(B84,設定!$B$61:$B$106,0)),"合算")</f>
        <v>合算</v>
      </c>
      <c r="AB84" s="28"/>
      <c r="AC84" s="29" t="n">
        <f aca="false">IF(OR(G84="",G84="なし"),"",IF(AA84="合算",CJ84+N(Z84),IF(AA84="掛金・負担金別",(AY84+AZ84+BD84+BF84+BH84),SUM(AY84:BC84))))</f>
        <v>220157</v>
      </c>
      <c r="AD84" s="27"/>
      <c r="AE84" s="29" t="str">
        <f aca="false">IF(OR(G84="",G84="なし"),"",IF(AA84="掛金・負担金別",(BA84+BB84+BC84+BE84+BG84+BI84+N(Z84)),IF(AA84="経理区分別",BD84+BE84,"")))</f>
        <v/>
      </c>
      <c r="AF84" s="27"/>
      <c r="AG84" s="29" t="str">
        <f aca="false">IF(OR(G84="",G84="なし"),"",IF(AA84="経理区分別",BF84+BG84,""))</f>
        <v/>
      </c>
      <c r="AH84" s="27"/>
      <c r="AI84" s="29" t="str">
        <f aca="false">IF(OR(G84="",G84="なし"),"",IF(AA84="経理区分別",BH84+BI84+N(Z84),""))</f>
        <v/>
      </c>
      <c r="AJ84" s="27"/>
      <c r="AK84" s="26" t="s">
        <v>168</v>
      </c>
      <c r="AL84" s="26"/>
      <c r="AM84" s="30"/>
      <c r="AN84" s="31"/>
      <c r="AO84" s="31"/>
      <c r="AP84" s="31"/>
      <c r="AQ84" s="31"/>
      <c r="AR84" s="31"/>
      <c r="AS84" s="31"/>
      <c r="AT84" s="31"/>
      <c r="AU84" s="31"/>
      <c r="AV84" s="31"/>
      <c r="AW84" s="31"/>
      <c r="AX84" s="31"/>
      <c r="AY84" s="31" t="n">
        <f aca="false">IF($G84="",AN84,O84)</f>
        <v>59475</v>
      </c>
      <c r="AZ84" s="31" t="n">
        <f aca="false">IF($G84="",AO84,P84)</f>
        <v>4875</v>
      </c>
      <c r="BA84" s="31" t="n">
        <f aca="false">IF($G84="",AP84,T84)</f>
        <v>59475</v>
      </c>
      <c r="BB84" s="31" t="n">
        <f aca="false">IF($G84="",AQ84,U84)</f>
        <v>4875</v>
      </c>
      <c r="BC84" s="31" t="n">
        <f aca="false">IF($G84="",AR84,V84)</f>
        <v>56</v>
      </c>
      <c r="BD84" s="31" t="n">
        <f aca="false">IF($G84="",AS84,Q84)</f>
        <v>38895</v>
      </c>
      <c r="BE84" s="31" t="n">
        <f aca="false">IF($G84="",AT84,W84)</f>
        <v>38932</v>
      </c>
      <c r="BF84" s="31" t="n">
        <f aca="false">IF($G84="",AU84,R84)</f>
        <v>5925</v>
      </c>
      <c r="BG84" s="31" t="n">
        <f aca="false">IF($G84="",AV84,X84)</f>
        <v>5925</v>
      </c>
      <c r="BH84" s="31" t="n">
        <f aca="false">IF($G84="",AW84,S84)</f>
        <v>862</v>
      </c>
      <c r="BI84" s="31" t="n">
        <f aca="false">IF($G84="",AX84,Y84)</f>
        <v>862</v>
      </c>
      <c r="BJ84" s="31" t="n">
        <f aca="false">IF(CK84="N",BR84,ROUNDDOWN((I84-L84)*設定!$B$10/1000,0)+ROUNDDOWN((I84-L84)*設定!$B$11/1000,0))</f>
        <v>0</v>
      </c>
      <c r="BK84" s="31" t="n">
        <f aca="false">ROUNDDOWN((I84-L84)*設定!$C$10/1000,0)+ROUNDDOWN((I84-L84)*設定!$C$11/1000,0)+ROUNDDOWN(I84*設定!$C$12/1000,0)+IF(CL84="市局型",ROUNDDOWN(I84*設定!$C$16/1000,0),0)</f>
        <v>0</v>
      </c>
      <c r="BL84" s="31" t="n">
        <f aca="false">IF(CK84="N",BT84,ROUNDDOWN((J84-M84)*設定!$B$13/1000,0))</f>
        <v>0</v>
      </c>
      <c r="BM84" s="31" t="n">
        <f aca="false">ROUNDDOWN((J84-M84)*設定!$C$13/1000,0)+IF(CL84="市局型",ROUNDDOWN(J84*設定!$C$17/1000,0),0)</f>
        <v>0</v>
      </c>
      <c r="BN84" s="31" t="n">
        <f aca="false">IF(CK84="N",BV84,ROUNDDOWN((K84-N84)*設定!$B$14/1000,0))</f>
        <v>0</v>
      </c>
      <c r="BO84" s="31" t="n">
        <f aca="false">ROUNDDOWN((K84-N84)*設定!$C$14/1000,0)</f>
        <v>0</v>
      </c>
      <c r="BP84" s="31" t="n">
        <f aca="false">IF(CK84="N",BX84,ROUNDDOWN((J84-M84)*設定!$B$15/1000,0))</f>
        <v>0</v>
      </c>
      <c r="BQ84" s="31" t="n">
        <f aca="false">ROUNDDOWN((J84-M84)*設定!$C$15/1000,0)</f>
        <v>0</v>
      </c>
      <c r="BR84" s="31" t="n">
        <f aca="false">O84+P84</f>
        <v>64350</v>
      </c>
      <c r="BS84" s="31" t="n">
        <f aca="false">T84+U84+V84</f>
        <v>64406</v>
      </c>
      <c r="BT84" s="31" t="n">
        <f aca="false">Q84</f>
        <v>38895</v>
      </c>
      <c r="BU84" s="31" t="n">
        <f aca="false">W84</f>
        <v>38932</v>
      </c>
      <c r="BV84" s="31" t="n">
        <f aca="false">R84</f>
        <v>5925</v>
      </c>
      <c r="BW84" s="31" t="n">
        <f aca="false">X84</f>
        <v>5925</v>
      </c>
      <c r="BX84" s="31" t="n">
        <f aca="false">S84</f>
        <v>862</v>
      </c>
      <c r="BY84" s="31" t="n">
        <f aca="false">Y84</f>
        <v>862</v>
      </c>
      <c r="BZ84" s="32" t="n">
        <f aca="false">IF(BJ84=0,IF(BR84=0,0,1),(BR84-BJ84)/BJ84)</f>
        <v>1</v>
      </c>
      <c r="CA84" s="32" t="n">
        <f aca="false">IF(BK84=0,IF(BS84=0,0,1),(BS84-BK84)/BK84)</f>
        <v>1</v>
      </c>
      <c r="CB84" s="32" t="n">
        <f aca="false">IF(BL84=0,IF(BT84=0,0,1),(BT84-BL84)/BL84)</f>
        <v>1</v>
      </c>
      <c r="CC84" s="32" t="n">
        <f aca="false">IF(BM84=0,IF(BU84=0,0,1),(BU84-BM84)/BM84)</f>
        <v>1</v>
      </c>
      <c r="CD84" s="32" t="n">
        <f aca="false">IF(BN84=0,IF(BV84=0,0,1),(BV84-BN84)/BN84)</f>
        <v>1</v>
      </c>
      <c r="CE84" s="32" t="n">
        <f aca="false">IF(BO84=0,IF(BW84=0,0,1),(BW84-BO84)/BO84)</f>
        <v>1</v>
      </c>
      <c r="CF84" s="32" t="n">
        <f aca="false">IF(BP84=0,IF(BX84=0,0,1),(BX84-BP84)/BP84)</f>
        <v>1</v>
      </c>
      <c r="CG84" s="32" t="n">
        <f aca="false">IF(BQ84=0,IF(BY84=0,0,1),(BY84-BQ84)/BQ84)</f>
        <v>1</v>
      </c>
      <c r="CH84" s="32" t="n">
        <f aca="false">MAX(MAX(BZ84:CG84),-MIN(BZ84:CG84))</f>
        <v>1</v>
      </c>
      <c r="CI84" s="31" t="n">
        <f aca="false">IF(CO84="","",SUMIFS($CJ$7:$CJ$696,$A$7:$A$696,CO84,$B$7:$B$696,B84))</f>
        <v>220157</v>
      </c>
      <c r="CJ84" s="31" t="n">
        <f aca="false">SUM(AY84:BI84)</f>
        <v>220157</v>
      </c>
      <c r="CK84" s="31" t="str">
        <f aca="false">IFERROR(INDEX(設定!$F$61:$F$106,MATCH(B84,設定!$B$61:$B$106,0)),"Y")</f>
        <v>Y</v>
      </c>
      <c r="CL84" s="31" t="str">
        <f aca="false">IFERROR(INDEX(設定!$G$61:$G$106,MATCH(B84,設定!$B$61:$B$106,0)),"外郭型")</f>
        <v>外郭型</v>
      </c>
      <c r="CM84" s="33" t="str">
        <f aca="false">A84&amp;"|"&amp;B84</f>
        <v>2026-05 月例|全国市町村研修財団</v>
      </c>
      <c r="CN84" s="34" t="str">
        <f aca="false">IFERROR(INDEX(設定!$D$61:$D$106,MATCH(B84,設定!$B$61:$B$106,0)),"Y")</f>
        <v>Y</v>
      </c>
      <c r="CO84" s="34" t="str">
        <f aca="false">IFERROR(INDEX(設定!$D$20:$D$34,MATCH(A84,設定!$A$20:$A$34,0))&amp;"","")</f>
        <v>2026-04 月例</v>
      </c>
    </row>
    <row r="85" customFormat="false" ht="15" hidden="true" customHeight="false" outlineLevel="0" collapsed="false">
      <c r="A85" s="22" t="s">
        <v>215</v>
      </c>
      <c r="B85" s="23" t="s">
        <v>201</v>
      </c>
      <c r="C85" s="10" t="str">
        <f aca="false">IF(G85="","未受領",IF(G85="なし","報告なし",IF(AL85="○","起票済",IF(OR(AK85="○",F85="一致",F85="入金不要"),"入金確認済","受領済"))))</f>
        <v>入金確認済</v>
      </c>
      <c r="D85" s="10" t="str">
        <f aca="false">IF(OR(G85="",G85="なし"),"―",IF(CN85="N","対象外",IF(AND(I85="",J85="",K85=""),"標報未入力",IF(CH85&gt;=設定!$B$4,"要確認","問題なし"))))</f>
        <v>標報未入力</v>
      </c>
      <c r="E85" s="24" t="str">
        <f aca="false">IF(OR(G85="",G85="なし",CI85="",CJ85=0),"―",IF(CJ85=CI85,"前月同額",IF(CI85=0,"―",IF(ABS(CJ85/CI85-1)&gt;=設定!$B$5,"変動大 "&amp;TEXT(CJ85/CI85-1,"+0%;-0%"),"〇"))))</f>
        <v>前月同額</v>
      </c>
      <c r="F85" s="10" t="str">
        <f aca="false">IF(OR(G85="",G85="なし"),"―",IF(CJ85=0,"入金不要",IF(COUNT(AD85,AF85,AH85,AJ85)=0,IF(AK85="○","手動確認","未入金"),IF(AND(N(AD85)=AC85,IF(AE85="",TRUE(),N(AF85)=AE85),IF(AG85="",TRUE(),N(AH85)=AG85),IF(AI85="",TRUE(),N(AJ85)=AI85)),"一致","不一致"))))</f>
        <v>手動確認</v>
      </c>
      <c r="G85" s="25" t="s">
        <v>167</v>
      </c>
      <c r="H85" s="26"/>
      <c r="I85" s="27"/>
      <c r="J85" s="27"/>
      <c r="K85" s="27"/>
      <c r="L85" s="27"/>
      <c r="M85" s="27"/>
      <c r="N85" s="27"/>
      <c r="O85" s="27" t="n">
        <v>37515</v>
      </c>
      <c r="P85" s="27" t="n">
        <v>3075</v>
      </c>
      <c r="Q85" s="27" t="n">
        <v>21262</v>
      </c>
      <c r="R85" s="27" t="n">
        <v>0</v>
      </c>
      <c r="S85" s="27" t="n">
        <v>471</v>
      </c>
      <c r="T85" s="27" t="n">
        <v>37515</v>
      </c>
      <c r="U85" s="27" t="n">
        <v>3075</v>
      </c>
      <c r="V85" s="27" t="n">
        <v>35</v>
      </c>
      <c r="W85" s="27" t="n">
        <v>21283</v>
      </c>
      <c r="X85" s="27" t="n">
        <v>0</v>
      </c>
      <c r="Y85" s="27" t="n">
        <v>471</v>
      </c>
      <c r="Z85" s="27"/>
      <c r="AA85" s="10" t="str">
        <f aca="false">IFERROR(INDEX(設定!$E$61:$E$106,MATCH(B85,設定!$B$61:$B$106,0)),"合算")</f>
        <v>合算</v>
      </c>
      <c r="AB85" s="28"/>
      <c r="AC85" s="29" t="n">
        <f aca="false">IF(OR(G85="",G85="なし"),"",IF(AA85="合算",CJ85+N(Z85),IF(AA85="掛金・負担金別",(AY85+AZ85+BD85+BF85+BH85),SUM(AY85:BC85))))</f>
        <v>124702</v>
      </c>
      <c r="AD85" s="27"/>
      <c r="AE85" s="29" t="str">
        <f aca="false">IF(OR(G85="",G85="なし"),"",IF(AA85="掛金・負担金別",(BA85+BB85+BC85+BE85+BG85+BI85+N(Z85)),IF(AA85="経理区分別",BD85+BE85,"")))</f>
        <v/>
      </c>
      <c r="AF85" s="27"/>
      <c r="AG85" s="29" t="str">
        <f aca="false">IF(OR(G85="",G85="なし"),"",IF(AA85="経理区分別",BF85+BG85,""))</f>
        <v/>
      </c>
      <c r="AH85" s="27"/>
      <c r="AI85" s="29" t="str">
        <f aca="false">IF(OR(G85="",G85="なし"),"",IF(AA85="経理区分別",BH85+BI85+N(Z85),""))</f>
        <v/>
      </c>
      <c r="AJ85" s="27"/>
      <c r="AK85" s="26" t="s">
        <v>168</v>
      </c>
      <c r="AL85" s="26"/>
      <c r="AM85" s="30"/>
      <c r="AN85" s="31"/>
      <c r="AO85" s="31"/>
      <c r="AP85" s="31"/>
      <c r="AQ85" s="31"/>
      <c r="AR85" s="31"/>
      <c r="AS85" s="31"/>
      <c r="AT85" s="31"/>
      <c r="AU85" s="31"/>
      <c r="AV85" s="31"/>
      <c r="AW85" s="31"/>
      <c r="AX85" s="31"/>
      <c r="AY85" s="31" t="n">
        <f aca="false">IF($G85="",AN85,O85)</f>
        <v>37515</v>
      </c>
      <c r="AZ85" s="31" t="n">
        <f aca="false">IF($G85="",AO85,P85)</f>
        <v>3075</v>
      </c>
      <c r="BA85" s="31" t="n">
        <f aca="false">IF($G85="",AP85,T85)</f>
        <v>37515</v>
      </c>
      <c r="BB85" s="31" t="n">
        <f aca="false">IF($G85="",AQ85,U85)</f>
        <v>3075</v>
      </c>
      <c r="BC85" s="31" t="n">
        <f aca="false">IF($G85="",AR85,V85)</f>
        <v>35</v>
      </c>
      <c r="BD85" s="31" t="n">
        <f aca="false">IF($G85="",AS85,Q85)</f>
        <v>21262</v>
      </c>
      <c r="BE85" s="31" t="n">
        <f aca="false">IF($G85="",AT85,W85)</f>
        <v>21283</v>
      </c>
      <c r="BF85" s="31" t="n">
        <f aca="false">IF($G85="",AU85,R85)</f>
        <v>0</v>
      </c>
      <c r="BG85" s="31" t="n">
        <f aca="false">IF($G85="",AV85,X85)</f>
        <v>0</v>
      </c>
      <c r="BH85" s="31" t="n">
        <f aca="false">IF($G85="",AW85,S85)</f>
        <v>471</v>
      </c>
      <c r="BI85" s="31" t="n">
        <f aca="false">IF($G85="",AX85,Y85)</f>
        <v>471</v>
      </c>
      <c r="BJ85" s="31" t="n">
        <f aca="false">IF(CK85="N",BR85,ROUNDDOWN((I85-L85)*設定!$B$10/1000,0)+ROUNDDOWN((I85-L85)*設定!$B$11/1000,0))</f>
        <v>0</v>
      </c>
      <c r="BK85" s="31" t="n">
        <f aca="false">ROUNDDOWN((I85-L85)*設定!$C$10/1000,0)+ROUNDDOWN((I85-L85)*設定!$C$11/1000,0)+ROUNDDOWN(I85*設定!$C$12/1000,0)+IF(CL85="市局型",ROUNDDOWN(I85*設定!$C$16/1000,0),0)</f>
        <v>0</v>
      </c>
      <c r="BL85" s="31" t="n">
        <f aca="false">IF(CK85="N",BT85,ROUNDDOWN((J85-M85)*設定!$B$13/1000,0))</f>
        <v>0</v>
      </c>
      <c r="BM85" s="31" t="n">
        <f aca="false">ROUNDDOWN((J85-M85)*設定!$C$13/1000,0)+IF(CL85="市局型",ROUNDDOWN(J85*設定!$C$17/1000,0),0)</f>
        <v>0</v>
      </c>
      <c r="BN85" s="31" t="n">
        <f aca="false">IF(CK85="N",BV85,ROUNDDOWN((K85-N85)*設定!$B$14/1000,0))</f>
        <v>0</v>
      </c>
      <c r="BO85" s="31" t="n">
        <f aca="false">ROUNDDOWN((K85-N85)*設定!$C$14/1000,0)</f>
        <v>0</v>
      </c>
      <c r="BP85" s="31" t="n">
        <f aca="false">IF(CK85="N",BX85,ROUNDDOWN((J85-M85)*設定!$B$15/1000,0))</f>
        <v>0</v>
      </c>
      <c r="BQ85" s="31" t="n">
        <f aca="false">ROUNDDOWN((J85-M85)*設定!$C$15/1000,0)</f>
        <v>0</v>
      </c>
      <c r="BR85" s="31" t="n">
        <f aca="false">O85+P85</f>
        <v>40590</v>
      </c>
      <c r="BS85" s="31" t="n">
        <f aca="false">T85+U85+V85</f>
        <v>40625</v>
      </c>
      <c r="BT85" s="31" t="n">
        <f aca="false">Q85</f>
        <v>21262</v>
      </c>
      <c r="BU85" s="31" t="n">
        <f aca="false">W85</f>
        <v>21283</v>
      </c>
      <c r="BV85" s="31" t="n">
        <f aca="false">R85</f>
        <v>0</v>
      </c>
      <c r="BW85" s="31" t="n">
        <f aca="false">X85</f>
        <v>0</v>
      </c>
      <c r="BX85" s="31" t="n">
        <f aca="false">S85</f>
        <v>471</v>
      </c>
      <c r="BY85" s="31" t="n">
        <f aca="false">Y85</f>
        <v>471</v>
      </c>
      <c r="BZ85" s="32" t="n">
        <f aca="false">IF(BJ85=0,IF(BR85=0,0,1),(BR85-BJ85)/BJ85)</f>
        <v>1</v>
      </c>
      <c r="CA85" s="32" t="n">
        <f aca="false">IF(BK85=0,IF(BS85=0,0,1),(BS85-BK85)/BK85)</f>
        <v>1</v>
      </c>
      <c r="CB85" s="32" t="n">
        <f aca="false">IF(BL85=0,IF(BT85=0,0,1),(BT85-BL85)/BL85)</f>
        <v>1</v>
      </c>
      <c r="CC85" s="32" t="n">
        <f aca="false">IF(BM85=0,IF(BU85=0,0,1),(BU85-BM85)/BM85)</f>
        <v>1</v>
      </c>
      <c r="CD85" s="32" t="n">
        <f aca="false">IF(BN85=0,IF(BV85=0,0,1),(BV85-BN85)/BN85)</f>
        <v>0</v>
      </c>
      <c r="CE85" s="32" t="n">
        <f aca="false">IF(BO85=0,IF(BW85=0,0,1),(BW85-BO85)/BO85)</f>
        <v>0</v>
      </c>
      <c r="CF85" s="32" t="n">
        <f aca="false">IF(BP85=0,IF(BX85=0,0,1),(BX85-BP85)/BP85)</f>
        <v>1</v>
      </c>
      <c r="CG85" s="32" t="n">
        <f aca="false">IF(BQ85=0,IF(BY85=0,0,1),(BY85-BQ85)/BQ85)</f>
        <v>1</v>
      </c>
      <c r="CH85" s="32" t="n">
        <f aca="false">MAX(MAX(BZ85:CG85),-MIN(BZ85:CG85))</f>
        <v>1</v>
      </c>
      <c r="CI85" s="31" t="n">
        <f aca="false">IF(CO85="","",SUMIFS($CJ$7:$CJ$696,$A$7:$A$696,CO85,$B$7:$B$696,B85))</f>
        <v>124702</v>
      </c>
      <c r="CJ85" s="31" t="n">
        <f aca="false">SUM(AY85:BI85)</f>
        <v>124702</v>
      </c>
      <c r="CK85" s="31" t="str">
        <f aca="false">IFERROR(INDEX(設定!$F$61:$F$106,MATCH(B85,設定!$B$61:$B$106,0)),"Y")</f>
        <v>Y</v>
      </c>
      <c r="CL85" s="31" t="str">
        <f aca="false">IFERROR(INDEX(設定!$G$61:$G$106,MATCH(B85,設定!$B$61:$B$106,0)),"外郭型")</f>
        <v>外郭型</v>
      </c>
      <c r="CM85" s="33" t="str">
        <f aca="false">A85&amp;"|"&amp;B85</f>
        <v>2026-05 月例|都市再生機構</v>
      </c>
      <c r="CN85" s="34" t="str">
        <f aca="false">IFERROR(INDEX(設定!$D$61:$D$106,MATCH(B85,設定!$B$61:$B$106,0)),"Y")</f>
        <v>Y</v>
      </c>
      <c r="CO85" s="34" t="str">
        <f aca="false">IFERROR(INDEX(設定!$D$20:$D$34,MATCH(A85,設定!$A$20:$A$34,0))&amp;"","")</f>
        <v>2026-04 月例</v>
      </c>
    </row>
    <row r="86" customFormat="false" ht="15" hidden="true" customHeight="false" outlineLevel="0" collapsed="false">
      <c r="A86" s="22" t="s">
        <v>215</v>
      </c>
      <c r="B86" s="23" t="s">
        <v>202</v>
      </c>
      <c r="C86" s="10" t="str">
        <f aca="false">IF(G86="","未受領",IF(G86="なし","報告なし",IF(AL86="○","起票済",IF(OR(AK86="○",F86="一致",F86="入金不要"),"入金確認済","受領済"))))</f>
        <v>入金確認済</v>
      </c>
      <c r="D86" s="10" t="str">
        <f aca="false">IF(OR(G86="",G86="なし"),"―",IF(CN86="N","対象外",IF(AND(I86="",J86="",K86=""),"標報未入力",IF(CH86&gt;=設定!$B$4,"要確認","問題なし"))))</f>
        <v>標報未入力</v>
      </c>
      <c r="E86" s="24" t="str">
        <f aca="false">IF(OR(G86="",G86="なし",CI86="",CJ86=0),"―",IF(CJ86=CI86,"前月同額",IF(CI86=0,"―",IF(ABS(CJ86/CI86-1)&gt;=設定!$B$5,"変動大 "&amp;TEXT(CJ86/CI86-1,"+0%;-0%"),"〇"))))</f>
        <v>前月同額</v>
      </c>
      <c r="F86" s="10" t="str">
        <f aca="false">IF(OR(G86="",G86="なし"),"―",IF(CJ86=0,"入金不要",IF(COUNT(AD86,AF86,AH86,AJ86)=0,IF(AK86="○","手動確認","未入金"),IF(AND(N(AD86)=AC86,IF(AE86="",TRUE(),N(AF86)=AE86),IF(AG86="",TRUE(),N(AH86)=AG86),IF(AI86="",TRUE(),N(AJ86)=AI86)),"一致","不一致"))))</f>
        <v>手動確認</v>
      </c>
      <c r="G86" s="25" t="s">
        <v>167</v>
      </c>
      <c r="H86" s="26"/>
      <c r="I86" s="27"/>
      <c r="J86" s="27"/>
      <c r="K86" s="27"/>
      <c r="L86" s="27"/>
      <c r="M86" s="27"/>
      <c r="N86" s="27"/>
      <c r="O86" s="27" t="n">
        <v>1201395</v>
      </c>
      <c r="P86" s="27" t="n">
        <v>98475</v>
      </c>
      <c r="Q86" s="27" t="n">
        <v>690245</v>
      </c>
      <c r="R86" s="27" t="n">
        <v>79632</v>
      </c>
      <c r="S86" s="27" t="n">
        <v>15300</v>
      </c>
      <c r="T86" s="27" t="n">
        <v>1201395</v>
      </c>
      <c r="U86" s="27" t="n">
        <v>98475</v>
      </c>
      <c r="V86" s="27" t="n">
        <v>1208</v>
      </c>
      <c r="W86" s="27" t="n">
        <v>690961</v>
      </c>
      <c r="X86" s="27" t="n">
        <v>79632</v>
      </c>
      <c r="Y86" s="27" t="n">
        <v>15306</v>
      </c>
      <c r="Z86" s="27"/>
      <c r="AA86" s="10" t="str">
        <f aca="false">IFERROR(INDEX(設定!$E$61:$E$106,MATCH(B86,設定!$B$61:$B$106,0)),"合算")</f>
        <v>合算</v>
      </c>
      <c r="AB86" s="28"/>
      <c r="AC86" s="29" t="n">
        <f aca="false">IF(OR(G86="",G86="なし"),"",IF(AA86="合算",CJ86+N(Z86),IF(AA86="掛金・負担金別",(AY86+AZ86+BD86+BF86+BH86),SUM(AY86:BC86))))</f>
        <v>4172024</v>
      </c>
      <c r="AD86" s="27"/>
      <c r="AE86" s="29" t="str">
        <f aca="false">IF(OR(G86="",G86="なし"),"",IF(AA86="掛金・負担金別",(BA86+BB86+BC86+BE86+BG86+BI86+N(Z86)),IF(AA86="経理区分別",BD86+BE86,"")))</f>
        <v/>
      </c>
      <c r="AF86" s="27"/>
      <c r="AG86" s="29" t="str">
        <f aca="false">IF(OR(G86="",G86="なし"),"",IF(AA86="経理区分別",BF86+BG86,""))</f>
        <v/>
      </c>
      <c r="AH86" s="27"/>
      <c r="AI86" s="29" t="str">
        <f aca="false">IF(OR(G86="",G86="なし"),"",IF(AA86="経理区分別",BH86+BI86+N(Z86),""))</f>
        <v/>
      </c>
      <c r="AJ86" s="27"/>
      <c r="AK86" s="26" t="s">
        <v>168</v>
      </c>
      <c r="AL86" s="26"/>
      <c r="AM86" s="30"/>
      <c r="AN86" s="31"/>
      <c r="AO86" s="31"/>
      <c r="AP86" s="31"/>
      <c r="AQ86" s="31"/>
      <c r="AR86" s="31"/>
      <c r="AS86" s="31"/>
      <c r="AT86" s="31"/>
      <c r="AU86" s="31"/>
      <c r="AV86" s="31"/>
      <c r="AW86" s="31"/>
      <c r="AX86" s="31"/>
      <c r="AY86" s="31" t="n">
        <f aca="false">IF($G86="",AN86,O86)</f>
        <v>1201395</v>
      </c>
      <c r="AZ86" s="31" t="n">
        <f aca="false">IF($G86="",AO86,P86)</f>
        <v>98475</v>
      </c>
      <c r="BA86" s="31" t="n">
        <f aca="false">IF($G86="",AP86,T86)</f>
        <v>1201395</v>
      </c>
      <c r="BB86" s="31" t="n">
        <f aca="false">IF($G86="",AQ86,U86)</f>
        <v>98475</v>
      </c>
      <c r="BC86" s="31" t="n">
        <f aca="false">IF($G86="",AR86,V86)</f>
        <v>1208</v>
      </c>
      <c r="BD86" s="31" t="n">
        <f aca="false">IF($G86="",AS86,Q86)</f>
        <v>690245</v>
      </c>
      <c r="BE86" s="31" t="n">
        <f aca="false">IF($G86="",AT86,W86)</f>
        <v>690961</v>
      </c>
      <c r="BF86" s="31" t="n">
        <f aca="false">IF($G86="",AU86,R86)</f>
        <v>79632</v>
      </c>
      <c r="BG86" s="31" t="n">
        <f aca="false">IF($G86="",AV86,X86)</f>
        <v>79632</v>
      </c>
      <c r="BH86" s="31" t="n">
        <f aca="false">IF($G86="",AW86,S86)</f>
        <v>15300</v>
      </c>
      <c r="BI86" s="31" t="n">
        <f aca="false">IF($G86="",AX86,Y86)</f>
        <v>15306</v>
      </c>
      <c r="BJ86" s="31" t="n">
        <f aca="false">IF(CK86="N",BR86,ROUNDDOWN((I86-L86)*設定!$B$10/1000,0)+ROUNDDOWN((I86-L86)*設定!$B$11/1000,0))</f>
        <v>0</v>
      </c>
      <c r="BK86" s="31" t="n">
        <f aca="false">ROUNDDOWN((I86-L86)*設定!$C$10/1000,0)+ROUNDDOWN((I86-L86)*設定!$C$11/1000,0)+ROUNDDOWN(I86*設定!$C$12/1000,0)+IF(CL86="市局型",ROUNDDOWN(I86*設定!$C$16/1000,0),0)</f>
        <v>0</v>
      </c>
      <c r="BL86" s="31" t="n">
        <f aca="false">IF(CK86="N",BT86,ROUNDDOWN((J86-M86)*設定!$B$13/1000,0))</f>
        <v>0</v>
      </c>
      <c r="BM86" s="31" t="n">
        <f aca="false">ROUNDDOWN((J86-M86)*設定!$C$13/1000,0)+IF(CL86="市局型",ROUNDDOWN(J86*設定!$C$17/1000,0),0)</f>
        <v>0</v>
      </c>
      <c r="BN86" s="31" t="n">
        <f aca="false">IF(CK86="N",BV86,ROUNDDOWN((K86-N86)*設定!$B$14/1000,0))</f>
        <v>0</v>
      </c>
      <c r="BO86" s="31" t="n">
        <f aca="false">ROUNDDOWN((K86-N86)*設定!$C$14/1000,0)</f>
        <v>0</v>
      </c>
      <c r="BP86" s="31" t="n">
        <f aca="false">IF(CK86="N",BX86,ROUNDDOWN((J86-M86)*設定!$B$15/1000,0))</f>
        <v>0</v>
      </c>
      <c r="BQ86" s="31" t="n">
        <f aca="false">ROUNDDOWN((J86-M86)*設定!$C$15/1000,0)</f>
        <v>0</v>
      </c>
      <c r="BR86" s="31" t="n">
        <f aca="false">O86+P86</f>
        <v>1299870</v>
      </c>
      <c r="BS86" s="31" t="n">
        <f aca="false">T86+U86+V86</f>
        <v>1301078</v>
      </c>
      <c r="BT86" s="31" t="n">
        <f aca="false">Q86</f>
        <v>690245</v>
      </c>
      <c r="BU86" s="31" t="n">
        <f aca="false">W86</f>
        <v>690961</v>
      </c>
      <c r="BV86" s="31" t="n">
        <f aca="false">R86</f>
        <v>79632</v>
      </c>
      <c r="BW86" s="31" t="n">
        <f aca="false">X86</f>
        <v>79632</v>
      </c>
      <c r="BX86" s="31" t="n">
        <f aca="false">S86</f>
        <v>15300</v>
      </c>
      <c r="BY86" s="31" t="n">
        <f aca="false">Y86</f>
        <v>15306</v>
      </c>
      <c r="BZ86" s="32" t="n">
        <f aca="false">IF(BJ86=0,IF(BR86=0,0,1),(BR86-BJ86)/BJ86)</f>
        <v>1</v>
      </c>
      <c r="CA86" s="32" t="n">
        <f aca="false">IF(BK86=0,IF(BS86=0,0,1),(BS86-BK86)/BK86)</f>
        <v>1</v>
      </c>
      <c r="CB86" s="32" t="n">
        <f aca="false">IF(BL86=0,IF(BT86=0,0,1),(BT86-BL86)/BL86)</f>
        <v>1</v>
      </c>
      <c r="CC86" s="32" t="n">
        <f aca="false">IF(BM86=0,IF(BU86=0,0,1),(BU86-BM86)/BM86)</f>
        <v>1</v>
      </c>
      <c r="CD86" s="32" t="n">
        <f aca="false">IF(BN86=0,IF(BV86=0,0,1),(BV86-BN86)/BN86)</f>
        <v>1</v>
      </c>
      <c r="CE86" s="32" t="n">
        <f aca="false">IF(BO86=0,IF(BW86=0,0,1),(BW86-BO86)/BO86)</f>
        <v>1</v>
      </c>
      <c r="CF86" s="32" t="n">
        <f aca="false">IF(BP86=0,IF(BX86=0,0,1),(BX86-BP86)/BP86)</f>
        <v>1</v>
      </c>
      <c r="CG86" s="32" t="n">
        <f aca="false">IF(BQ86=0,IF(BY86=0,0,1),(BY86-BQ86)/BQ86)</f>
        <v>1</v>
      </c>
      <c r="CH86" s="32" t="n">
        <f aca="false">MAX(MAX(BZ86:CG86),-MIN(BZ86:CG86))</f>
        <v>1</v>
      </c>
      <c r="CI86" s="31" t="n">
        <f aca="false">IF(CO86="","",SUMIFS($CJ$7:$CJ$696,$A$7:$A$696,CO86,$B$7:$B$696,B86))</f>
        <v>4172024</v>
      </c>
      <c r="CJ86" s="31" t="n">
        <f aca="false">SUM(AY86:BI86)</f>
        <v>4172024</v>
      </c>
      <c r="CK86" s="31" t="str">
        <f aca="false">IFERROR(INDEX(設定!$F$61:$F$106,MATCH(B86,設定!$B$61:$B$106,0)),"Y")</f>
        <v>Y</v>
      </c>
      <c r="CL86" s="31" t="str">
        <f aca="false">IFERROR(INDEX(設定!$G$61:$G$106,MATCH(B86,設定!$B$61:$B$106,0)),"外郭型")</f>
        <v>外郭型</v>
      </c>
      <c r="CM86" s="33" t="str">
        <f aca="false">A86&amp;"|"&amp;B86</f>
        <v>2026-05 月例|広島市立大学</v>
      </c>
      <c r="CN86" s="34" t="str">
        <f aca="false">IFERROR(INDEX(設定!$D$61:$D$106,MATCH(B86,設定!$B$61:$B$106,0)),"Y")</f>
        <v>Y</v>
      </c>
      <c r="CO86" s="34" t="str">
        <f aca="false">IFERROR(INDEX(設定!$D$20:$D$34,MATCH(A86,設定!$A$20:$A$34,0))&amp;"","")</f>
        <v>2026-04 月例</v>
      </c>
    </row>
    <row r="87" customFormat="false" ht="15" hidden="true" customHeight="false" outlineLevel="0" collapsed="false">
      <c r="A87" s="22" t="s">
        <v>215</v>
      </c>
      <c r="B87" s="23" t="s">
        <v>203</v>
      </c>
      <c r="C87" s="10" t="str">
        <f aca="false">IF(G87="","未受領",IF(G87="なし","報告なし",IF(AL87="○","起票済",IF(OR(AK87="○",F87="一致",F87="入金不要"),"入金確認済","受領済"))))</f>
        <v>入金確認済</v>
      </c>
      <c r="D87" s="10" t="str">
        <f aca="false">IF(OR(G87="",G87="なし"),"―",IF(CN87="N","対象外",IF(AND(I87="",J87="",K87=""),"標報未入力",IF(CH87&gt;=設定!$B$4,"要確認","問題なし"))))</f>
        <v>標報未入力</v>
      </c>
      <c r="E87" s="24" t="str">
        <f aca="false">IF(OR(G87="",G87="なし",CI87="",CJ87=0),"―",IF(CJ87=CI87,"前月同額",IF(CI87=0,"―",IF(ABS(CJ87/CI87-1)&gt;=設定!$B$5,"変動大 "&amp;TEXT(CJ87/CI87-1,"+0%;-0%"),"〇"))))</f>
        <v>前月同額</v>
      </c>
      <c r="F87" s="10" t="str">
        <f aca="false">IF(OR(G87="",G87="なし"),"―",IF(CJ87=0,"入金不要",IF(COUNT(AD87,AF87,AH87,AJ87)=0,IF(AK87="○","手動確認","未入金"),IF(AND(N(AD87)=AC87,IF(AE87="",TRUE(),N(AF87)=AE87),IF(AG87="",TRUE(),N(AH87)=AG87),IF(AI87="",TRUE(),N(AJ87)=AI87)),"一致","不一致"))))</f>
        <v>手動確認</v>
      </c>
      <c r="G87" s="25" t="s">
        <v>167</v>
      </c>
      <c r="H87" s="26"/>
      <c r="I87" s="27"/>
      <c r="J87" s="27"/>
      <c r="K87" s="27"/>
      <c r="L87" s="27"/>
      <c r="M87" s="27"/>
      <c r="N87" s="27"/>
      <c r="O87" s="27"/>
      <c r="P87" s="27"/>
      <c r="Q87" s="27"/>
      <c r="R87" s="27"/>
      <c r="S87" s="27"/>
      <c r="T87" s="27" t="n">
        <v>242475</v>
      </c>
      <c r="U87" s="27" t="n">
        <v>19875</v>
      </c>
      <c r="V87" s="27" t="n">
        <v>230</v>
      </c>
      <c r="W87" s="27" t="n">
        <v>140676</v>
      </c>
      <c r="X87" s="27" t="n">
        <v>10507</v>
      </c>
      <c r="Y87" s="27" t="n">
        <v>3116</v>
      </c>
      <c r="Z87" s="27"/>
      <c r="AA87" s="10" t="str">
        <f aca="false">IFERROR(INDEX(設定!$E$61:$E$106,MATCH(B87,設定!$B$61:$B$106,0)),"合算")</f>
        <v>合算</v>
      </c>
      <c r="AB87" s="28"/>
      <c r="AC87" s="29" t="n">
        <f aca="false">IF(OR(G87="",G87="なし"),"",IF(AA87="合算",CJ87+N(Z87),IF(AA87="掛金・負担金別",(AY87+AZ87+BD87+BF87+BH87),SUM(AY87:BC87))))</f>
        <v>416879</v>
      </c>
      <c r="AD87" s="27"/>
      <c r="AE87" s="29" t="str">
        <f aca="false">IF(OR(G87="",G87="なし"),"",IF(AA87="掛金・負担金別",(BA87+BB87+BC87+BE87+BG87+BI87+N(Z87)),IF(AA87="経理区分別",BD87+BE87,"")))</f>
        <v/>
      </c>
      <c r="AF87" s="27"/>
      <c r="AG87" s="29" t="str">
        <f aca="false">IF(OR(G87="",G87="なし"),"",IF(AA87="経理区分別",BF87+BG87,""))</f>
        <v/>
      </c>
      <c r="AH87" s="27"/>
      <c r="AI87" s="29" t="str">
        <f aca="false">IF(OR(G87="",G87="なし"),"",IF(AA87="経理区分別",BH87+BI87+N(Z87),""))</f>
        <v/>
      </c>
      <c r="AJ87" s="27"/>
      <c r="AK87" s="26" t="s">
        <v>168</v>
      </c>
      <c r="AL87" s="26"/>
      <c r="AM87" s="30"/>
      <c r="AN87" s="31"/>
      <c r="AO87" s="31"/>
      <c r="AP87" s="31"/>
      <c r="AQ87" s="31"/>
      <c r="AR87" s="31"/>
      <c r="AS87" s="31"/>
      <c r="AT87" s="31"/>
      <c r="AU87" s="31"/>
      <c r="AV87" s="31"/>
      <c r="AW87" s="31"/>
      <c r="AX87" s="31"/>
      <c r="AY87" s="31" t="n">
        <f aca="false">IF($G87="",AN87,O87)</f>
        <v>0</v>
      </c>
      <c r="AZ87" s="31" t="n">
        <f aca="false">IF($G87="",AO87,P87)</f>
        <v>0</v>
      </c>
      <c r="BA87" s="31" t="n">
        <f aca="false">IF($G87="",AP87,T87)</f>
        <v>242475</v>
      </c>
      <c r="BB87" s="31" t="n">
        <f aca="false">IF($G87="",AQ87,U87)</f>
        <v>19875</v>
      </c>
      <c r="BC87" s="31" t="n">
        <f aca="false">IF($G87="",AR87,V87)</f>
        <v>230</v>
      </c>
      <c r="BD87" s="31" t="n">
        <f aca="false">IF($G87="",AS87,Q87)</f>
        <v>0</v>
      </c>
      <c r="BE87" s="31" t="n">
        <f aca="false">IF($G87="",AT87,W87)</f>
        <v>140676</v>
      </c>
      <c r="BF87" s="31" t="n">
        <f aca="false">IF($G87="",AU87,R87)</f>
        <v>0</v>
      </c>
      <c r="BG87" s="31" t="n">
        <f aca="false">IF($G87="",AV87,X87)</f>
        <v>10507</v>
      </c>
      <c r="BH87" s="31" t="n">
        <f aca="false">IF($G87="",AW87,S87)</f>
        <v>0</v>
      </c>
      <c r="BI87" s="31" t="n">
        <f aca="false">IF($G87="",AX87,Y87)</f>
        <v>3116</v>
      </c>
      <c r="BJ87" s="31" t="n">
        <f aca="false">IF(CK87="N",BR87,ROUNDDOWN((I87-L87)*設定!$B$10/1000,0)+ROUNDDOWN((I87-L87)*設定!$B$11/1000,0))</f>
        <v>0</v>
      </c>
      <c r="BK87" s="31" t="n">
        <f aca="false">ROUNDDOWN((I87-L87)*設定!$C$10/1000,0)+ROUNDDOWN((I87-L87)*設定!$C$11/1000,0)+ROUNDDOWN(I87*設定!$C$12/1000,0)+IF(CL87="市局型",ROUNDDOWN(I87*設定!$C$16/1000,0),0)</f>
        <v>0</v>
      </c>
      <c r="BL87" s="31" t="n">
        <f aca="false">IF(CK87="N",BT87,ROUNDDOWN((J87-M87)*設定!$B$13/1000,0))</f>
        <v>0</v>
      </c>
      <c r="BM87" s="31" t="n">
        <f aca="false">ROUNDDOWN((J87-M87)*設定!$C$13/1000,0)+IF(CL87="市局型",ROUNDDOWN(J87*設定!$C$17/1000,0),0)</f>
        <v>0</v>
      </c>
      <c r="BN87" s="31" t="n">
        <f aca="false">IF(CK87="N",BV87,ROUNDDOWN((K87-N87)*設定!$B$14/1000,0))</f>
        <v>0</v>
      </c>
      <c r="BO87" s="31" t="n">
        <f aca="false">ROUNDDOWN((K87-N87)*設定!$C$14/1000,0)</f>
        <v>0</v>
      </c>
      <c r="BP87" s="31" t="n">
        <f aca="false">IF(CK87="N",BX87,ROUNDDOWN((J87-M87)*設定!$B$15/1000,0))</f>
        <v>0</v>
      </c>
      <c r="BQ87" s="31" t="n">
        <f aca="false">ROUNDDOWN((J87-M87)*設定!$C$15/1000,0)</f>
        <v>0</v>
      </c>
      <c r="BR87" s="31" t="n">
        <f aca="false">O87+P87</f>
        <v>0</v>
      </c>
      <c r="BS87" s="31" t="n">
        <f aca="false">T87+U87+V87</f>
        <v>262580</v>
      </c>
      <c r="BT87" s="31" t="n">
        <f aca="false">Q87</f>
        <v>0</v>
      </c>
      <c r="BU87" s="31" t="n">
        <f aca="false">W87</f>
        <v>140676</v>
      </c>
      <c r="BV87" s="31" t="n">
        <f aca="false">R87</f>
        <v>0</v>
      </c>
      <c r="BW87" s="31" t="n">
        <f aca="false">X87</f>
        <v>10507</v>
      </c>
      <c r="BX87" s="31" t="n">
        <f aca="false">S87</f>
        <v>0</v>
      </c>
      <c r="BY87" s="31" t="n">
        <f aca="false">Y87</f>
        <v>3116</v>
      </c>
      <c r="BZ87" s="32" t="n">
        <f aca="false">IF(BJ87=0,IF(BR87=0,0,1),(BR87-BJ87)/BJ87)</f>
        <v>0</v>
      </c>
      <c r="CA87" s="32" t="n">
        <f aca="false">IF(BK87=0,IF(BS87=0,0,1),(BS87-BK87)/BK87)</f>
        <v>1</v>
      </c>
      <c r="CB87" s="32" t="n">
        <f aca="false">IF(BL87=0,IF(BT87=0,0,1),(BT87-BL87)/BL87)</f>
        <v>0</v>
      </c>
      <c r="CC87" s="32" t="n">
        <f aca="false">IF(BM87=0,IF(BU87=0,0,1),(BU87-BM87)/BM87)</f>
        <v>1</v>
      </c>
      <c r="CD87" s="32" t="n">
        <f aca="false">IF(BN87=0,IF(BV87=0,0,1),(BV87-BN87)/BN87)</f>
        <v>0</v>
      </c>
      <c r="CE87" s="32" t="n">
        <f aca="false">IF(BO87=0,IF(BW87=0,0,1),(BW87-BO87)/BO87)</f>
        <v>1</v>
      </c>
      <c r="CF87" s="32" t="n">
        <f aca="false">IF(BP87=0,IF(BX87=0,0,1),(BX87-BP87)/BP87)</f>
        <v>0</v>
      </c>
      <c r="CG87" s="32" t="n">
        <f aca="false">IF(BQ87=0,IF(BY87=0,0,1),(BY87-BQ87)/BQ87)</f>
        <v>1</v>
      </c>
      <c r="CH87" s="32" t="n">
        <f aca="false">MAX(MAX(BZ87:CG87),-MIN(BZ87:CG87))</f>
        <v>1</v>
      </c>
      <c r="CI87" s="31" t="n">
        <f aca="false">IF(CO87="","",SUMIFS($CJ$7:$CJ$696,$A$7:$A$696,CO87,$B$7:$B$696,B87))</f>
        <v>416879</v>
      </c>
      <c r="CJ87" s="31" t="n">
        <f aca="false">SUM(AY87:BI87)</f>
        <v>416879</v>
      </c>
      <c r="CK87" s="31" t="str">
        <f aca="false">IFERROR(INDEX(設定!$F$61:$F$106,MATCH(B87,設定!$B$61:$B$106,0)),"Y")</f>
        <v>N</v>
      </c>
      <c r="CL87" s="31" t="str">
        <f aca="false">IFERROR(INDEX(設定!$G$61:$G$106,MATCH(B87,設定!$B$61:$B$106,0)),"外郭型")</f>
        <v>外郭型</v>
      </c>
      <c r="CM87" s="33" t="str">
        <f aca="false">A87&amp;"|"&amp;B87</f>
        <v>2026-05 月例|社会福祉協議会</v>
      </c>
      <c r="CN87" s="34" t="str">
        <f aca="false">IFERROR(INDEX(設定!$D$61:$D$106,MATCH(B87,設定!$B$61:$B$106,0)),"Y")</f>
        <v>Y</v>
      </c>
      <c r="CO87" s="34" t="str">
        <f aca="false">IFERROR(INDEX(設定!$D$20:$D$34,MATCH(A87,設定!$A$20:$A$34,0))&amp;"","")</f>
        <v>2026-04 月例</v>
      </c>
    </row>
    <row r="88" customFormat="false" ht="15" hidden="true" customHeight="false" outlineLevel="0" collapsed="false">
      <c r="A88" s="22" t="s">
        <v>215</v>
      </c>
      <c r="B88" s="23" t="s">
        <v>204</v>
      </c>
      <c r="C88" s="10" t="str">
        <f aca="false">IF(G88="","未受領",IF(G88="なし","報告なし",IF(AL88="○","起票済",IF(OR(AK88="○",F88="一致",F88="入金不要"),"入金確認済","受領済"))))</f>
        <v>入金確認済</v>
      </c>
      <c r="D88" s="10" t="str">
        <f aca="false">IF(OR(G88="",G88="なし"),"―",IF(CN88="N","対象外",IF(AND(I88="",J88="",K88=""),"標報未入力",IF(CH88&gt;=設定!$B$4,"要確認","問題なし"))))</f>
        <v>対象外</v>
      </c>
      <c r="E88" s="24" t="str">
        <f aca="false">IF(OR(G88="",G88="なし",CI88="",CJ88=0),"―",IF(CJ88=CI88,"前月同額",IF(CI88=0,"―",IF(ABS(CJ88/CI88-1)&gt;=設定!$B$5,"変動大 "&amp;TEXT(CJ88/CI88-1,"+0%;-0%"),"〇"))))</f>
        <v>〇</v>
      </c>
      <c r="F88" s="10" t="str">
        <f aca="false">IF(OR(G88="",G88="なし"),"―",IF(CJ88=0,"入金不要",IF(COUNT(AD88,AF88,AH88,AJ88)=0,IF(AK88="○","手動確認","未入金"),IF(AND(N(AD88)=AC88,IF(AE88="",TRUE(),N(AF88)=AE88),IF(AG88="",TRUE(),N(AH88)=AG88),IF(AI88="",TRUE(),N(AJ88)=AI88)),"一致","不一致"))))</f>
        <v>手動確認</v>
      </c>
      <c r="G88" s="25" t="s">
        <v>167</v>
      </c>
      <c r="H88" s="26"/>
      <c r="I88" s="27"/>
      <c r="J88" s="27"/>
      <c r="K88" s="27"/>
      <c r="L88" s="27"/>
      <c r="M88" s="27"/>
      <c r="N88" s="27"/>
      <c r="O88" s="27" t="n">
        <v>127524281</v>
      </c>
      <c r="P88" s="27" t="n">
        <v>10453259</v>
      </c>
      <c r="Q88" s="27" t="n">
        <v>94292495</v>
      </c>
      <c r="R88" s="27" t="n">
        <v>7943371</v>
      </c>
      <c r="S88" s="27" t="n">
        <v>2091503</v>
      </c>
      <c r="T88" s="27" t="n">
        <v>185981551</v>
      </c>
      <c r="U88" s="27" t="n">
        <v>10453259</v>
      </c>
      <c r="V88" s="27" t="n">
        <v>126981</v>
      </c>
      <c r="W88" s="27" t="n">
        <v>94414784</v>
      </c>
      <c r="X88" s="27" t="n">
        <v>7940439</v>
      </c>
      <c r="Y88" s="27" t="n">
        <v>2091503</v>
      </c>
      <c r="Z88" s="27"/>
      <c r="AA88" s="10" t="str">
        <f aca="false">IFERROR(INDEX(設定!$E$61:$E$106,MATCH(B88,設定!$B$61:$B$106,0)),"合算")</f>
        <v>合算</v>
      </c>
      <c r="AB88" s="28"/>
      <c r="AC88" s="29" t="n">
        <f aca="false">IF(OR(G88="",G88="なし"),"",IF(AA88="合算",CJ88+N(Z88),IF(AA88="掛金・負担金別",(AY88+AZ88+BD88+BF88+BH88),SUM(AY88:BC88))))</f>
        <v>543313426</v>
      </c>
      <c r="AD88" s="27"/>
      <c r="AE88" s="29" t="str">
        <f aca="false">IF(OR(G88="",G88="なし"),"",IF(AA88="掛金・負担金別",(BA88+BB88+BC88+BE88+BG88+BI88+N(Z88)),IF(AA88="経理区分別",BD88+BE88,"")))</f>
        <v/>
      </c>
      <c r="AF88" s="27"/>
      <c r="AG88" s="29" t="str">
        <f aca="false">IF(OR(G88="",G88="なし"),"",IF(AA88="経理区分別",BF88+BG88,""))</f>
        <v/>
      </c>
      <c r="AH88" s="27"/>
      <c r="AI88" s="29" t="str">
        <f aca="false">IF(OR(G88="",G88="なし"),"",IF(AA88="経理区分別",BH88+BI88+N(Z88),""))</f>
        <v/>
      </c>
      <c r="AJ88" s="27"/>
      <c r="AK88" s="26" t="s">
        <v>168</v>
      </c>
      <c r="AL88" s="26"/>
      <c r="AM88" s="30"/>
      <c r="AN88" s="31"/>
      <c r="AO88" s="31"/>
      <c r="AP88" s="31"/>
      <c r="AQ88" s="31"/>
      <c r="AR88" s="31"/>
      <c r="AS88" s="31"/>
      <c r="AT88" s="31"/>
      <c r="AU88" s="31"/>
      <c r="AV88" s="31"/>
      <c r="AW88" s="31"/>
      <c r="AX88" s="31"/>
      <c r="AY88" s="31" t="n">
        <f aca="false">IF($G88="",AN88,O88)</f>
        <v>127524281</v>
      </c>
      <c r="AZ88" s="31" t="n">
        <f aca="false">IF($G88="",AO88,P88)</f>
        <v>10453259</v>
      </c>
      <c r="BA88" s="31" t="n">
        <f aca="false">IF($G88="",AP88,T88)</f>
        <v>185981551</v>
      </c>
      <c r="BB88" s="31" t="n">
        <f aca="false">IF($G88="",AQ88,U88)</f>
        <v>10453259</v>
      </c>
      <c r="BC88" s="31" t="n">
        <f aca="false">IF($G88="",AR88,V88)</f>
        <v>126981</v>
      </c>
      <c r="BD88" s="31" t="n">
        <f aca="false">IF($G88="",AS88,Q88)</f>
        <v>94292495</v>
      </c>
      <c r="BE88" s="31" t="n">
        <f aca="false">IF($G88="",AT88,W88)</f>
        <v>94414784</v>
      </c>
      <c r="BF88" s="31" t="n">
        <f aca="false">IF($G88="",AU88,R88)</f>
        <v>7943371</v>
      </c>
      <c r="BG88" s="31" t="n">
        <f aca="false">IF($G88="",AV88,X88)</f>
        <v>7940439</v>
      </c>
      <c r="BH88" s="31" t="n">
        <f aca="false">IF($G88="",AW88,S88)</f>
        <v>2091503</v>
      </c>
      <c r="BI88" s="31" t="n">
        <f aca="false">IF($G88="",AX88,Y88)</f>
        <v>2091503</v>
      </c>
      <c r="BJ88" s="31" t="n">
        <f aca="false">IF(CK88="N",BR88,ROUNDDOWN((I88-L88)*設定!$B$10/1000,0)+ROUNDDOWN((I88-L88)*設定!$B$11/1000,0))</f>
        <v>0</v>
      </c>
      <c r="BK88" s="31" t="n">
        <f aca="false">ROUNDDOWN((I88-L88)*設定!$C$10/1000,0)+ROUNDDOWN((I88-L88)*設定!$C$11/1000,0)+ROUNDDOWN(I88*設定!$C$12/1000,0)+IF(CL88="市局型",ROUNDDOWN(I88*設定!$C$16/1000,0),0)</f>
        <v>0</v>
      </c>
      <c r="BL88" s="31" t="n">
        <f aca="false">IF(CK88="N",BT88,ROUNDDOWN((J88-M88)*設定!$B$13/1000,0))</f>
        <v>0</v>
      </c>
      <c r="BM88" s="31" t="n">
        <f aca="false">ROUNDDOWN((J88-M88)*設定!$C$13/1000,0)+IF(CL88="市局型",ROUNDDOWN(J88*設定!$C$17/1000,0),0)</f>
        <v>0</v>
      </c>
      <c r="BN88" s="31" t="n">
        <f aca="false">IF(CK88="N",BV88,ROUNDDOWN((K88-N88)*設定!$B$14/1000,0))</f>
        <v>0</v>
      </c>
      <c r="BO88" s="31" t="n">
        <f aca="false">ROUNDDOWN((K88-N88)*設定!$C$14/1000,0)</f>
        <v>0</v>
      </c>
      <c r="BP88" s="31" t="n">
        <f aca="false">IF(CK88="N",BX88,ROUNDDOWN((J88-M88)*設定!$B$15/1000,0))</f>
        <v>0</v>
      </c>
      <c r="BQ88" s="31" t="n">
        <f aca="false">ROUNDDOWN((J88-M88)*設定!$C$15/1000,0)</f>
        <v>0</v>
      </c>
      <c r="BR88" s="31" t="n">
        <f aca="false">O88+P88</f>
        <v>137977540</v>
      </c>
      <c r="BS88" s="31" t="n">
        <f aca="false">T88+U88+V88</f>
        <v>196561791</v>
      </c>
      <c r="BT88" s="31" t="n">
        <f aca="false">Q88</f>
        <v>94292495</v>
      </c>
      <c r="BU88" s="31" t="n">
        <f aca="false">W88</f>
        <v>94414784</v>
      </c>
      <c r="BV88" s="31" t="n">
        <f aca="false">R88</f>
        <v>7943371</v>
      </c>
      <c r="BW88" s="31" t="n">
        <f aca="false">X88</f>
        <v>7940439</v>
      </c>
      <c r="BX88" s="31" t="n">
        <f aca="false">S88</f>
        <v>2091503</v>
      </c>
      <c r="BY88" s="31" t="n">
        <f aca="false">Y88</f>
        <v>2091503</v>
      </c>
      <c r="BZ88" s="32" t="n">
        <f aca="false">IF(BJ88=0,IF(BR88=0,0,1),(BR88-BJ88)/BJ88)</f>
        <v>1</v>
      </c>
      <c r="CA88" s="32" t="n">
        <f aca="false">IF(BK88=0,IF(BS88=0,0,1),(BS88-BK88)/BK88)</f>
        <v>1</v>
      </c>
      <c r="CB88" s="32" t="n">
        <f aca="false">IF(BL88=0,IF(BT88=0,0,1),(BT88-BL88)/BL88)</f>
        <v>1</v>
      </c>
      <c r="CC88" s="32" t="n">
        <f aca="false">IF(BM88=0,IF(BU88=0,0,1),(BU88-BM88)/BM88)</f>
        <v>1</v>
      </c>
      <c r="CD88" s="32" t="n">
        <f aca="false">IF(BN88=0,IF(BV88=0,0,1),(BV88-BN88)/BN88)</f>
        <v>1</v>
      </c>
      <c r="CE88" s="32" t="n">
        <f aca="false">IF(BO88=0,IF(BW88=0,0,1),(BW88-BO88)/BO88)</f>
        <v>1</v>
      </c>
      <c r="CF88" s="32" t="n">
        <f aca="false">IF(BP88=0,IF(BX88=0,0,1),(BX88-BP88)/BP88)</f>
        <v>1</v>
      </c>
      <c r="CG88" s="32" t="n">
        <f aca="false">IF(BQ88=0,IF(BY88=0,0,1),(BY88-BQ88)/BQ88)</f>
        <v>1</v>
      </c>
      <c r="CH88" s="32" t="n">
        <f aca="false">MAX(MAX(BZ88:CG88),-MIN(BZ88:CG88))</f>
        <v>1</v>
      </c>
      <c r="CI88" s="31" t="n">
        <f aca="false">IF(CO88="","",SUMIFS($CJ$7:$CJ$696,$A$7:$A$696,CO88,$B$7:$B$696,B88))</f>
        <v>539297708</v>
      </c>
      <c r="CJ88" s="31" t="n">
        <f aca="false">SUM(AY88:BI88)</f>
        <v>543313426</v>
      </c>
      <c r="CK88" s="31" t="str">
        <f aca="false">IFERROR(INDEX(設定!$F$61:$F$106,MATCH(B88,設定!$B$61:$B$106,0)),"Y")</f>
        <v>Y</v>
      </c>
      <c r="CL88" s="31" t="str">
        <f aca="false">IFERROR(INDEX(設定!$G$61:$G$106,MATCH(B88,設定!$B$61:$B$106,0)),"外郭型")</f>
        <v>外郭型</v>
      </c>
      <c r="CM88" s="33" t="str">
        <f aca="false">A88&amp;"|"&amp;B88</f>
        <v>2026-05 月例|市立病院機構</v>
      </c>
      <c r="CN88" s="34" t="str">
        <f aca="false">IFERROR(INDEX(設定!$D$61:$D$106,MATCH(B88,設定!$B$61:$B$106,0)),"Y")</f>
        <v>N</v>
      </c>
      <c r="CO88" s="34" t="str">
        <f aca="false">IFERROR(INDEX(設定!$D$20:$D$34,MATCH(A88,設定!$A$20:$A$34,0))&amp;"","")</f>
        <v>2026-04 月例</v>
      </c>
    </row>
    <row r="89" customFormat="false" ht="15" hidden="true" customHeight="false" outlineLevel="0" collapsed="false">
      <c r="A89" s="22" t="s">
        <v>215</v>
      </c>
      <c r="B89" s="23" t="s">
        <v>205</v>
      </c>
      <c r="C89" s="10" t="str">
        <f aca="false">IF(G89="","未受領",IF(G89="なし","報告なし",IF(AL89="○","起票済",IF(OR(AK89="○",F89="一致",F89="入金不要"),"入金確認済","受領済"))))</f>
        <v>入金確認済</v>
      </c>
      <c r="D89" s="10" t="str">
        <f aca="false">IF(OR(G89="",G89="なし"),"―",IF(CN89="N","対象外",IF(AND(I89="",J89="",K89=""),"標報未入力",IF(CH89&gt;=設定!$B$4,"要確認","問題なし"))))</f>
        <v>対象外</v>
      </c>
      <c r="E89" s="24" t="str">
        <f aca="false">IF(OR(G89="",G89="なし",CI89="",CJ89=0),"―",IF(CJ89=CI89,"前月同額",IF(CI89=0,"―",IF(ABS(CJ89/CI89-1)&gt;=設定!$B$5,"変動大 "&amp;TEXT(CJ89/CI89-1,"+0%;-0%"),"〇"))))</f>
        <v>変動大 +20%</v>
      </c>
      <c r="F89" s="10" t="str">
        <f aca="false">IF(OR(G89="",G89="なし"),"―",IF(CJ89=0,"入金不要",IF(COUNT(AD89,AF89,AH89,AJ89)=0,IF(AK89="○","手動確認","未入金"),IF(AND(N(AD89)=AC89,IF(AE89="",TRUE(),N(AF89)=AE89),IF(AG89="",TRUE(),N(AH89)=AG89),IF(AI89="",TRUE(),N(AJ89)=AI89)),"一致","不一致"))))</f>
        <v>手動確認</v>
      </c>
      <c r="G89" s="25" t="s">
        <v>167</v>
      </c>
      <c r="H89" s="26"/>
      <c r="I89" s="27"/>
      <c r="J89" s="27"/>
      <c r="K89" s="27"/>
      <c r="L89" s="27"/>
      <c r="M89" s="27"/>
      <c r="N89" s="27"/>
      <c r="O89" s="27"/>
      <c r="P89" s="27"/>
      <c r="Q89" s="27" t="n">
        <v>125499</v>
      </c>
      <c r="R89" s="27" t="n">
        <v>11060</v>
      </c>
      <c r="S89" s="27" t="n">
        <v>2781</v>
      </c>
      <c r="T89" s="27"/>
      <c r="U89" s="27"/>
      <c r="V89" s="27"/>
      <c r="W89" s="27" t="n">
        <v>104857</v>
      </c>
      <c r="X89" s="27" t="n">
        <v>11060</v>
      </c>
      <c r="Y89" s="27" t="n">
        <v>2322</v>
      </c>
      <c r="Z89" s="27"/>
      <c r="AA89" s="10" t="str">
        <f aca="false">IFERROR(INDEX(設定!$E$61:$E$106,MATCH(B89,設定!$B$61:$B$106,0)),"合算")</f>
        <v>合算</v>
      </c>
      <c r="AB89" s="28"/>
      <c r="AC89" s="29" t="n">
        <f aca="false">IF(OR(G89="",G89="なし"),"",IF(AA89="合算",CJ89+N(Z89),IF(AA89="掛金・負担金別",(AY89+AZ89+BD89+BF89+BH89),SUM(AY89:BC89))))</f>
        <v>257579</v>
      </c>
      <c r="AD89" s="27"/>
      <c r="AE89" s="29" t="str">
        <f aca="false">IF(OR(G89="",G89="なし"),"",IF(AA89="掛金・負担金別",(BA89+BB89+BC89+BE89+BG89+BI89+N(Z89)),IF(AA89="経理区分別",BD89+BE89,"")))</f>
        <v/>
      </c>
      <c r="AF89" s="27"/>
      <c r="AG89" s="29" t="str">
        <f aca="false">IF(OR(G89="",G89="なし"),"",IF(AA89="経理区分別",BF89+BG89,""))</f>
        <v/>
      </c>
      <c r="AH89" s="27"/>
      <c r="AI89" s="29" t="str">
        <f aca="false">IF(OR(G89="",G89="なし"),"",IF(AA89="経理区分別",BH89+BI89+N(Z89),""))</f>
        <v/>
      </c>
      <c r="AJ89" s="27"/>
      <c r="AK89" s="26" t="s">
        <v>168</v>
      </c>
      <c r="AL89" s="26"/>
      <c r="AM89" s="30"/>
      <c r="AN89" s="31"/>
      <c r="AO89" s="31"/>
      <c r="AP89" s="31"/>
      <c r="AQ89" s="31"/>
      <c r="AR89" s="31"/>
      <c r="AS89" s="31"/>
      <c r="AT89" s="31"/>
      <c r="AU89" s="31"/>
      <c r="AV89" s="31"/>
      <c r="AW89" s="31"/>
      <c r="AX89" s="31"/>
      <c r="AY89" s="31" t="n">
        <f aca="false">IF($G89="",AN89,O89)</f>
        <v>0</v>
      </c>
      <c r="AZ89" s="31" t="n">
        <f aca="false">IF($G89="",AO89,P89)</f>
        <v>0</v>
      </c>
      <c r="BA89" s="31" t="n">
        <f aca="false">IF($G89="",AP89,T89)</f>
        <v>0</v>
      </c>
      <c r="BB89" s="31" t="n">
        <f aca="false">IF($G89="",AQ89,U89)</f>
        <v>0</v>
      </c>
      <c r="BC89" s="31" t="n">
        <f aca="false">IF($G89="",AR89,V89)</f>
        <v>0</v>
      </c>
      <c r="BD89" s="31" t="n">
        <f aca="false">IF($G89="",AS89,Q89)</f>
        <v>125499</v>
      </c>
      <c r="BE89" s="31" t="n">
        <f aca="false">IF($G89="",AT89,W89)</f>
        <v>104857</v>
      </c>
      <c r="BF89" s="31" t="n">
        <f aca="false">IF($G89="",AU89,R89)</f>
        <v>11060</v>
      </c>
      <c r="BG89" s="31" t="n">
        <f aca="false">IF($G89="",AV89,X89)</f>
        <v>11060</v>
      </c>
      <c r="BH89" s="31" t="n">
        <f aca="false">IF($G89="",AW89,S89)</f>
        <v>2781</v>
      </c>
      <c r="BI89" s="31" t="n">
        <f aca="false">IF($G89="",AX89,Y89)</f>
        <v>2322</v>
      </c>
      <c r="BJ89" s="31" t="n">
        <f aca="false">IF(CK89="N",BR89,ROUNDDOWN((I89-L89)*設定!$B$10/1000,0)+ROUNDDOWN((I89-L89)*設定!$B$11/1000,0))</f>
        <v>0</v>
      </c>
      <c r="BK89" s="31" t="n">
        <f aca="false">ROUNDDOWN((I89-L89)*設定!$C$10/1000,0)+ROUNDDOWN((I89-L89)*設定!$C$11/1000,0)+ROUNDDOWN(I89*設定!$C$12/1000,0)+IF(CL89="市局型",ROUNDDOWN(I89*設定!$C$16/1000,0),0)</f>
        <v>0</v>
      </c>
      <c r="BL89" s="31" t="n">
        <f aca="false">IF(CK89="N",BT89,ROUNDDOWN((J89-M89)*設定!$B$13/1000,0))</f>
        <v>0</v>
      </c>
      <c r="BM89" s="31" t="n">
        <f aca="false">ROUNDDOWN((J89-M89)*設定!$C$13/1000,0)+IF(CL89="市局型",ROUNDDOWN(J89*設定!$C$17/1000,0),0)</f>
        <v>0</v>
      </c>
      <c r="BN89" s="31" t="n">
        <f aca="false">IF(CK89="N",BV89,ROUNDDOWN((K89-N89)*設定!$B$14/1000,0))</f>
        <v>0</v>
      </c>
      <c r="BO89" s="31" t="n">
        <f aca="false">ROUNDDOWN((K89-N89)*設定!$C$14/1000,0)</f>
        <v>0</v>
      </c>
      <c r="BP89" s="31" t="n">
        <f aca="false">IF(CK89="N",BX89,ROUNDDOWN((J89-M89)*設定!$B$15/1000,0))</f>
        <v>0</v>
      </c>
      <c r="BQ89" s="31" t="n">
        <f aca="false">ROUNDDOWN((J89-M89)*設定!$C$15/1000,0)</f>
        <v>0</v>
      </c>
      <c r="BR89" s="31" t="n">
        <f aca="false">O89+P89</f>
        <v>0</v>
      </c>
      <c r="BS89" s="31" t="n">
        <f aca="false">T89+U89+V89</f>
        <v>0</v>
      </c>
      <c r="BT89" s="31" t="n">
        <f aca="false">Q89</f>
        <v>125499</v>
      </c>
      <c r="BU89" s="31" t="n">
        <f aca="false">W89</f>
        <v>104857</v>
      </c>
      <c r="BV89" s="31" t="n">
        <f aca="false">R89</f>
        <v>11060</v>
      </c>
      <c r="BW89" s="31" t="n">
        <f aca="false">X89</f>
        <v>11060</v>
      </c>
      <c r="BX89" s="31" t="n">
        <f aca="false">S89</f>
        <v>2781</v>
      </c>
      <c r="BY89" s="31" t="n">
        <f aca="false">Y89</f>
        <v>2322</v>
      </c>
      <c r="BZ89" s="32" t="n">
        <f aca="false">IF(BJ89=0,IF(BR89=0,0,1),(BR89-BJ89)/BJ89)</f>
        <v>0</v>
      </c>
      <c r="CA89" s="32" t="n">
        <f aca="false">IF(BK89=0,IF(BS89=0,0,1),(BS89-BK89)/BK89)</f>
        <v>0</v>
      </c>
      <c r="CB89" s="32" t="n">
        <f aca="false">IF(BL89=0,IF(BT89=0,0,1),(BT89-BL89)/BL89)</f>
        <v>1</v>
      </c>
      <c r="CC89" s="32" t="n">
        <f aca="false">IF(BM89=0,IF(BU89=0,0,1),(BU89-BM89)/BM89)</f>
        <v>1</v>
      </c>
      <c r="CD89" s="32" t="n">
        <f aca="false">IF(BN89=0,IF(BV89=0,0,1),(BV89-BN89)/BN89)</f>
        <v>1</v>
      </c>
      <c r="CE89" s="32" t="n">
        <f aca="false">IF(BO89=0,IF(BW89=0,0,1),(BW89-BO89)/BO89)</f>
        <v>1</v>
      </c>
      <c r="CF89" s="32" t="n">
        <f aca="false">IF(BP89=0,IF(BX89=0,0,1),(BX89-BP89)/BP89)</f>
        <v>1</v>
      </c>
      <c r="CG89" s="32" t="n">
        <f aca="false">IF(BQ89=0,IF(BY89=0,0,1),(BY89-BQ89)/BQ89)</f>
        <v>1</v>
      </c>
      <c r="CH89" s="32" t="n">
        <f aca="false">MAX(MAX(BZ89:CG89),-MIN(BZ89:CG89))</f>
        <v>1</v>
      </c>
      <c r="CI89" s="31" t="n">
        <f aca="false">IF(CO89="","",SUMIFS($CJ$7:$CJ$696,$A$7:$A$696,CO89,$B$7:$B$696,B89))</f>
        <v>215171</v>
      </c>
      <c r="CJ89" s="31" t="n">
        <f aca="false">SUM(AY89:BI89)</f>
        <v>257579</v>
      </c>
      <c r="CK89" s="31" t="str">
        <f aca="false">IFERROR(INDEX(設定!$F$61:$F$106,MATCH(B89,設定!$B$61:$B$106,0)),"Y")</f>
        <v>Y</v>
      </c>
      <c r="CL89" s="31" t="str">
        <f aca="false">IFERROR(INDEX(設定!$G$61:$G$106,MATCH(B89,設定!$B$61:$B$106,0)),"外郭型")</f>
        <v>外郭型</v>
      </c>
      <c r="CM89" s="33" t="str">
        <f aca="false">A89&amp;"|"&amp;B89</f>
        <v>2026-05 月例|職員共済組合</v>
      </c>
      <c r="CN89" s="34" t="str">
        <f aca="false">IFERROR(INDEX(設定!$D$61:$D$106,MATCH(B89,設定!$B$61:$B$106,0)),"Y")</f>
        <v>N</v>
      </c>
      <c r="CO89" s="34" t="str">
        <f aca="false">IFERROR(INDEX(設定!$D$20:$D$34,MATCH(A89,設定!$A$20:$A$34,0))&amp;"","")</f>
        <v>2026-04 月例</v>
      </c>
    </row>
    <row r="90" customFormat="false" ht="26.85" hidden="true" customHeight="false" outlineLevel="0" collapsed="false">
      <c r="A90" s="22" t="s">
        <v>215</v>
      </c>
      <c r="B90" s="35" t="s">
        <v>216</v>
      </c>
      <c r="C90" s="10" t="str">
        <f aca="false">IF(G90="","未受領",IF(G90="なし","報告なし",IF(AL90="○","起票済",IF(OR(AK90="○",F90="一致",F90="入金不要"),"入金確認済","受領済"))))</f>
        <v>報告なし</v>
      </c>
      <c r="D90" s="10" t="str">
        <f aca="false">IF(OR(G90="",G90="なし"),"―",IF(CN90="N","対象外",IF(AND(I90="",J90="",K90=""),"標報未入力",IF(CH90&gt;=設定!$B$4,"要確認","問題なし"))))</f>
        <v>―</v>
      </c>
      <c r="E90" s="24" t="str">
        <f aca="false">IF(OR(G90="",G90="なし",CI90="",CJ90=0),"―",IF(CJ90=CI90,"前月同額",IF(CI90=0,"―",IF(ABS(CJ90/CI90-1)&gt;=設定!$B$5,"変動大 "&amp;TEXT(CJ90/CI90-1,"+0%;-0%"),"〇"))))</f>
        <v>―</v>
      </c>
      <c r="F90" s="10" t="str">
        <f aca="false">IF(OR(G90="",G90="なし"),"―",IF(CJ90=0,"入金不要",IF(COUNT(AD90,AF90,AH90,AJ90)=0,IF(AK90="○","手動確認","未入金"),IF(AND(N(AD90)=AC90,IF(AE90="",TRUE(),N(AF90)=AE90),IF(AG90="",TRUE(),N(AH90)=AG90),IF(AI90="",TRUE(),N(AJ90)=AI90)),"一致","不一致"))))</f>
        <v>―</v>
      </c>
      <c r="G90" s="25" t="s">
        <v>181</v>
      </c>
      <c r="H90" s="26"/>
      <c r="I90" s="27"/>
      <c r="J90" s="27"/>
      <c r="K90" s="27"/>
      <c r="L90" s="27"/>
      <c r="M90" s="27"/>
      <c r="N90" s="27"/>
      <c r="O90" s="27"/>
      <c r="P90" s="27"/>
      <c r="Q90" s="27"/>
      <c r="R90" s="27"/>
      <c r="S90" s="27"/>
      <c r="T90" s="27"/>
      <c r="U90" s="27"/>
      <c r="V90" s="27"/>
      <c r="W90" s="27"/>
      <c r="X90" s="27"/>
      <c r="Y90" s="27"/>
      <c r="Z90" s="27"/>
      <c r="AA90" s="10" t="str">
        <f aca="false">IFERROR(INDEX(設定!$E$61:$E$106,MATCH(B90,設定!$B$61:$B$106,0)),"合算")</f>
        <v>合算</v>
      </c>
      <c r="AB90" s="28"/>
      <c r="AC90" s="29" t="str">
        <f aca="false">IF(OR(G90="",G90="なし"),"",IF(AA90="合算",CJ90+N(Z90),IF(AA90="掛金・負担金別",(AY90+AZ90+BD90+BF90+BH90),SUM(AY90:BC90))))</f>
        <v/>
      </c>
      <c r="AD90" s="27"/>
      <c r="AE90" s="29" t="str">
        <f aca="false">IF(OR(G90="",G90="なし"),"",IF(AA90="掛金・負担金別",(BA90+BB90+BC90+BE90+BG90+BI90+N(Z90)),IF(AA90="経理区分別",BD90+BE90,"")))</f>
        <v/>
      </c>
      <c r="AF90" s="27"/>
      <c r="AG90" s="29" t="str">
        <f aca="false">IF(OR(G90="",G90="なし"),"",IF(AA90="経理区分別",BF90+BG90,""))</f>
        <v/>
      </c>
      <c r="AH90" s="27"/>
      <c r="AI90" s="29" t="str">
        <f aca="false">IF(OR(G90="",G90="なし"),"",IF(AA90="経理区分別",BH90+BI90+N(Z90),""))</f>
        <v/>
      </c>
      <c r="AJ90" s="27"/>
      <c r="AK90" s="26"/>
      <c r="AL90" s="26"/>
      <c r="AM90" s="30"/>
      <c r="AN90" s="31"/>
      <c r="AO90" s="31"/>
      <c r="AP90" s="31"/>
      <c r="AQ90" s="31"/>
      <c r="AR90" s="31"/>
      <c r="AS90" s="31"/>
      <c r="AT90" s="31"/>
      <c r="AU90" s="31"/>
      <c r="AV90" s="31"/>
      <c r="AW90" s="31"/>
      <c r="AX90" s="31"/>
      <c r="AY90" s="31" t="n">
        <f aca="false">IF($G90="",AN90,O90)</f>
        <v>0</v>
      </c>
      <c r="AZ90" s="31" t="n">
        <f aca="false">IF($G90="",AO90,P90)</f>
        <v>0</v>
      </c>
      <c r="BA90" s="31" t="n">
        <f aca="false">IF($G90="",AP90,T90)</f>
        <v>0</v>
      </c>
      <c r="BB90" s="31" t="n">
        <f aca="false">IF($G90="",AQ90,U90)</f>
        <v>0</v>
      </c>
      <c r="BC90" s="31" t="n">
        <f aca="false">IF($G90="",AR90,V90)</f>
        <v>0</v>
      </c>
      <c r="BD90" s="31" t="n">
        <f aca="false">IF($G90="",AS90,Q90)</f>
        <v>0</v>
      </c>
      <c r="BE90" s="31" t="n">
        <f aca="false">IF($G90="",AT90,W90)</f>
        <v>0</v>
      </c>
      <c r="BF90" s="31" t="n">
        <f aca="false">IF($G90="",AU90,R90)</f>
        <v>0</v>
      </c>
      <c r="BG90" s="31" t="n">
        <f aca="false">IF($G90="",AV90,X90)</f>
        <v>0</v>
      </c>
      <c r="BH90" s="31" t="n">
        <f aca="false">IF($G90="",AW90,S90)</f>
        <v>0</v>
      </c>
      <c r="BI90" s="31" t="n">
        <f aca="false">IF($G90="",AX90,Y90)</f>
        <v>0</v>
      </c>
      <c r="BJ90" s="31" t="n">
        <f aca="false">IF(CK90="N",BR90,ROUNDDOWN((I90-L90)*設定!$B$10/1000,0)+ROUNDDOWN((I90-L90)*設定!$B$11/1000,0))</f>
        <v>0</v>
      </c>
      <c r="BK90" s="31" t="n">
        <f aca="false">ROUNDDOWN((I90-L90)*設定!$C$10/1000,0)+ROUNDDOWN((I90-L90)*設定!$C$11/1000,0)+ROUNDDOWN(I90*設定!$C$12/1000,0)+IF(CL90="市局型",ROUNDDOWN(I90*設定!$C$16/1000,0),0)</f>
        <v>0</v>
      </c>
      <c r="BL90" s="31" t="n">
        <f aca="false">IF(CK90="N",BT90,ROUNDDOWN((J90-M90)*設定!$B$13/1000,0))</f>
        <v>0</v>
      </c>
      <c r="BM90" s="31" t="n">
        <f aca="false">ROUNDDOWN((J90-M90)*設定!$C$13/1000,0)+IF(CL90="市局型",ROUNDDOWN(J90*設定!$C$17/1000,0),0)</f>
        <v>0</v>
      </c>
      <c r="BN90" s="31" t="n">
        <f aca="false">IF(CK90="N",BV90,ROUNDDOWN((K90-N90)*設定!$B$14/1000,0))</f>
        <v>0</v>
      </c>
      <c r="BO90" s="31" t="n">
        <f aca="false">ROUNDDOWN((K90-N90)*設定!$C$14/1000,0)</f>
        <v>0</v>
      </c>
      <c r="BP90" s="31" t="n">
        <f aca="false">IF(CK90="N",BX90,ROUNDDOWN((J90-M90)*設定!$B$15/1000,0))</f>
        <v>0</v>
      </c>
      <c r="BQ90" s="31" t="n">
        <f aca="false">ROUNDDOWN((J90-M90)*設定!$C$15/1000,0)</f>
        <v>0</v>
      </c>
      <c r="BR90" s="31" t="n">
        <f aca="false">O90+P90</f>
        <v>0</v>
      </c>
      <c r="BS90" s="31" t="n">
        <f aca="false">T90+U90+V90</f>
        <v>0</v>
      </c>
      <c r="BT90" s="31" t="n">
        <f aca="false">Q90</f>
        <v>0</v>
      </c>
      <c r="BU90" s="31" t="n">
        <f aca="false">W90</f>
        <v>0</v>
      </c>
      <c r="BV90" s="31" t="n">
        <f aca="false">R90</f>
        <v>0</v>
      </c>
      <c r="BW90" s="31" t="n">
        <f aca="false">X90</f>
        <v>0</v>
      </c>
      <c r="BX90" s="31" t="n">
        <f aca="false">S90</f>
        <v>0</v>
      </c>
      <c r="BY90" s="31" t="n">
        <f aca="false">Y90</f>
        <v>0</v>
      </c>
      <c r="BZ90" s="32" t="n">
        <f aca="false">IF(BJ90=0,IF(BR90=0,0,1),(BR90-BJ90)/BJ90)</f>
        <v>0</v>
      </c>
      <c r="CA90" s="32" t="n">
        <f aca="false">IF(BK90=0,IF(BS90=0,0,1),(BS90-BK90)/BK90)</f>
        <v>0</v>
      </c>
      <c r="CB90" s="32" t="n">
        <f aca="false">IF(BL90=0,IF(BT90=0,0,1),(BT90-BL90)/BL90)</f>
        <v>0</v>
      </c>
      <c r="CC90" s="32" t="n">
        <f aca="false">IF(BM90=0,IF(BU90=0,0,1),(BU90-BM90)/BM90)</f>
        <v>0</v>
      </c>
      <c r="CD90" s="32" t="n">
        <f aca="false">IF(BN90=0,IF(BV90=0,0,1),(BV90-BN90)/BN90)</f>
        <v>0</v>
      </c>
      <c r="CE90" s="32" t="n">
        <f aca="false">IF(BO90=0,IF(BW90=0,0,1),(BW90-BO90)/BO90)</f>
        <v>0</v>
      </c>
      <c r="CF90" s="32" t="n">
        <f aca="false">IF(BP90=0,IF(BX90=0,0,1),(BX90-BP90)/BP90)</f>
        <v>0</v>
      </c>
      <c r="CG90" s="32" t="n">
        <f aca="false">IF(BQ90=0,IF(BY90=0,0,1),(BY90-BQ90)/BQ90)</f>
        <v>0</v>
      </c>
      <c r="CH90" s="32" t="n">
        <f aca="false">MAX(MAX(BZ90:CG90),-MIN(BZ90:CG90))</f>
        <v>-0</v>
      </c>
      <c r="CI90" s="31" t="n">
        <f aca="false">IF(CO90="","",SUMIFS($CJ$7:$CJ$696,$A$7:$A$696,CO90,$B$7:$B$696,B90))</f>
        <v>0</v>
      </c>
      <c r="CJ90" s="31" t="n">
        <f aca="false">SUM(AY90:BI90)</f>
        <v>0</v>
      </c>
      <c r="CK90" s="31" t="str">
        <f aca="false">IFERROR(INDEX(設定!$F$61:$F$106,MATCH(B90,設定!$B$61:$B$106,0)),"Y")</f>
        <v>N</v>
      </c>
      <c r="CL90" s="31" t="str">
        <f aca="false">IFERROR(INDEX(設定!$G$61:$G$106,MATCH(B90,設定!$B$61:$B$106,0)),"外郭型")</f>
        <v>外郭型</v>
      </c>
      <c r="CM90" s="36" t="str">
        <f aca="false">A90&amp;"|"&amp;B90</f>
        <v>2026-05 月例|地方公共団体
情報システム機構</v>
      </c>
      <c r="CN90" s="34" t="str">
        <f aca="false">IFERROR(INDEX(設定!$D$61:$D$106,MATCH(B90,設定!$B$61:$B$106,0)),"Y")</f>
        <v>Y</v>
      </c>
      <c r="CO90" s="34" t="str">
        <f aca="false">IFERROR(INDEX(設定!$D$20:$D$34,MATCH(A90,設定!$A$20:$A$34,0))&amp;"","")</f>
        <v>2026-04 月例</v>
      </c>
    </row>
    <row r="91" customFormat="false" ht="15" hidden="true" customHeight="false" outlineLevel="0" collapsed="false">
      <c r="A91" s="22" t="s">
        <v>215</v>
      </c>
      <c r="B91" s="23" t="s">
        <v>207</v>
      </c>
      <c r="C91" s="10" t="str">
        <f aca="false">IF(G91="","未受領",IF(G91="なし","報告なし",IF(AL91="○","起票済",IF(OR(AK91="○",F91="一致",F91="入金不要"),"入金確認済","受領済"))))</f>
        <v>入金確認済</v>
      </c>
      <c r="D91" s="10" t="str">
        <f aca="false">IF(OR(G91="",G91="なし"),"―",IF(CN91="N","対象外",IF(AND(I91="",J91="",K91=""),"標報未入力",IF(CH91&gt;=設定!$B$4,"要確認","問題なし"))))</f>
        <v>標報未入力</v>
      </c>
      <c r="E91" s="24" t="str">
        <f aca="false">IF(OR(G91="",G91="なし",CI91="",CJ91=0),"―",IF(CJ91=CI91,"前月同額",IF(CI91=0,"―",IF(ABS(CJ91/CI91-1)&gt;=設定!$B$5,"変動大 "&amp;TEXT(CJ91/CI91-1,"+0%;-0%"),"〇"))))</f>
        <v>〇</v>
      </c>
      <c r="F91" s="10" t="str">
        <f aca="false">IF(OR(G91="",G91="なし"),"―",IF(CJ91=0,"入金不要",IF(COUNT(AD91,AF91,AH91,AJ91)=0,IF(AK91="○","手動確認","未入金"),IF(AND(N(AD91)=AC91,IF(AE91="",TRUE(),N(AF91)=AE91),IF(AG91="",TRUE(),N(AH91)=AG91),IF(AI91="",TRUE(),N(AJ91)=AI91)),"一致","不一致"))))</f>
        <v>手動確認</v>
      </c>
      <c r="G91" s="25" t="s">
        <v>167</v>
      </c>
      <c r="H91" s="26"/>
      <c r="I91" s="27"/>
      <c r="J91" s="27"/>
      <c r="K91" s="27"/>
      <c r="L91" s="27"/>
      <c r="M91" s="27"/>
      <c r="N91" s="27"/>
      <c r="O91" s="27" t="n">
        <v>118950</v>
      </c>
      <c r="P91" s="27" t="n">
        <v>9750</v>
      </c>
      <c r="Q91" s="27" t="n">
        <v>87124</v>
      </c>
      <c r="R91" s="27" t="n">
        <v>13272</v>
      </c>
      <c r="S91" s="27" t="n">
        <v>1932</v>
      </c>
      <c r="T91" s="27" t="n">
        <v>118950</v>
      </c>
      <c r="U91" s="27" t="n">
        <v>9750</v>
      </c>
      <c r="V91" s="27" t="n">
        <v>112</v>
      </c>
      <c r="W91" s="27" t="n">
        <v>87209</v>
      </c>
      <c r="X91" s="27" t="n">
        <v>13272</v>
      </c>
      <c r="Y91" s="27" t="n">
        <v>1931</v>
      </c>
      <c r="Z91" s="27"/>
      <c r="AA91" s="10" t="str">
        <f aca="false">IFERROR(INDEX(設定!$E$61:$E$106,MATCH(B91,設定!$B$61:$B$106,0)),"合算")</f>
        <v>合算</v>
      </c>
      <c r="AB91" s="28"/>
      <c r="AC91" s="29" t="n">
        <f aca="false">IF(OR(G91="",G91="なし"),"",IF(AA91="合算",CJ91+N(Z91),IF(AA91="掛金・負担金別",(AY91+AZ91+BD91+BF91+BH91),SUM(AY91:BC91))))</f>
        <v>462252</v>
      </c>
      <c r="AD91" s="27"/>
      <c r="AE91" s="29" t="str">
        <f aca="false">IF(OR(G91="",G91="なし"),"",IF(AA91="掛金・負担金別",(BA91+BB91+BC91+BE91+BG91+BI91+N(Z91)),IF(AA91="経理区分別",BD91+BE91,"")))</f>
        <v/>
      </c>
      <c r="AF91" s="27"/>
      <c r="AG91" s="29" t="str">
        <f aca="false">IF(OR(G91="",G91="なし"),"",IF(AA91="経理区分別",BF91+BG91,""))</f>
        <v/>
      </c>
      <c r="AH91" s="27"/>
      <c r="AI91" s="29" t="str">
        <f aca="false">IF(OR(G91="",G91="なし"),"",IF(AA91="経理区分別",BH91+BI91+N(Z91),""))</f>
        <v/>
      </c>
      <c r="AJ91" s="27"/>
      <c r="AK91" s="26" t="s">
        <v>168</v>
      </c>
      <c r="AL91" s="26"/>
      <c r="AM91" s="30"/>
      <c r="AN91" s="31"/>
      <c r="AO91" s="31"/>
      <c r="AP91" s="31"/>
      <c r="AQ91" s="31"/>
      <c r="AR91" s="31"/>
      <c r="AS91" s="31"/>
      <c r="AT91" s="31"/>
      <c r="AU91" s="31"/>
      <c r="AV91" s="31"/>
      <c r="AW91" s="31"/>
      <c r="AX91" s="31"/>
      <c r="AY91" s="31" t="n">
        <f aca="false">IF($G91="",AN91,O91)</f>
        <v>118950</v>
      </c>
      <c r="AZ91" s="31" t="n">
        <f aca="false">IF($G91="",AO91,P91)</f>
        <v>9750</v>
      </c>
      <c r="BA91" s="31" t="n">
        <f aca="false">IF($G91="",AP91,T91)</f>
        <v>118950</v>
      </c>
      <c r="BB91" s="31" t="n">
        <f aca="false">IF($G91="",AQ91,U91)</f>
        <v>9750</v>
      </c>
      <c r="BC91" s="31" t="n">
        <f aca="false">IF($G91="",AR91,V91)</f>
        <v>112</v>
      </c>
      <c r="BD91" s="31" t="n">
        <f aca="false">IF($G91="",AS91,Q91)</f>
        <v>87124</v>
      </c>
      <c r="BE91" s="31" t="n">
        <f aca="false">IF($G91="",AT91,W91)</f>
        <v>87209</v>
      </c>
      <c r="BF91" s="31" t="n">
        <f aca="false">IF($G91="",AU91,R91)</f>
        <v>13272</v>
      </c>
      <c r="BG91" s="31" t="n">
        <f aca="false">IF($G91="",AV91,X91)</f>
        <v>13272</v>
      </c>
      <c r="BH91" s="31" t="n">
        <f aca="false">IF($G91="",AW91,S91)</f>
        <v>1932</v>
      </c>
      <c r="BI91" s="31" t="n">
        <f aca="false">IF($G91="",AX91,Y91)</f>
        <v>1931</v>
      </c>
      <c r="BJ91" s="31" t="n">
        <f aca="false">IF(CK91="N",BR91,ROUNDDOWN((I91-L91)*設定!$B$10/1000,0)+ROUNDDOWN((I91-L91)*設定!$B$11/1000,0))</f>
        <v>0</v>
      </c>
      <c r="BK91" s="31" t="n">
        <f aca="false">ROUNDDOWN((I91-L91)*設定!$C$10/1000,0)+ROUNDDOWN((I91-L91)*設定!$C$11/1000,0)+ROUNDDOWN(I91*設定!$C$12/1000,0)+IF(CL91="市局型",ROUNDDOWN(I91*設定!$C$16/1000,0),0)</f>
        <v>0</v>
      </c>
      <c r="BL91" s="31" t="n">
        <f aca="false">IF(CK91="N",BT91,ROUNDDOWN((J91-M91)*設定!$B$13/1000,0))</f>
        <v>0</v>
      </c>
      <c r="BM91" s="31" t="n">
        <f aca="false">ROUNDDOWN((J91-M91)*設定!$C$13/1000,0)+IF(CL91="市局型",ROUNDDOWN(J91*設定!$C$17/1000,0),0)</f>
        <v>0</v>
      </c>
      <c r="BN91" s="31" t="n">
        <f aca="false">IF(CK91="N",BV91,ROUNDDOWN((K91-N91)*設定!$B$14/1000,0))</f>
        <v>0</v>
      </c>
      <c r="BO91" s="31" t="n">
        <f aca="false">ROUNDDOWN((K91-N91)*設定!$C$14/1000,0)</f>
        <v>0</v>
      </c>
      <c r="BP91" s="31" t="n">
        <f aca="false">IF(CK91="N",BX91,ROUNDDOWN((J91-M91)*設定!$B$15/1000,0))</f>
        <v>0</v>
      </c>
      <c r="BQ91" s="31" t="n">
        <f aca="false">ROUNDDOWN((J91-M91)*設定!$C$15/1000,0)</f>
        <v>0</v>
      </c>
      <c r="BR91" s="31" t="n">
        <f aca="false">O91+P91</f>
        <v>128700</v>
      </c>
      <c r="BS91" s="31" t="n">
        <f aca="false">T91+U91+V91</f>
        <v>128812</v>
      </c>
      <c r="BT91" s="31" t="n">
        <f aca="false">Q91</f>
        <v>87124</v>
      </c>
      <c r="BU91" s="31" t="n">
        <f aca="false">W91</f>
        <v>87209</v>
      </c>
      <c r="BV91" s="31" t="n">
        <f aca="false">R91</f>
        <v>13272</v>
      </c>
      <c r="BW91" s="31" t="n">
        <f aca="false">X91</f>
        <v>13272</v>
      </c>
      <c r="BX91" s="31" t="n">
        <f aca="false">S91</f>
        <v>1932</v>
      </c>
      <c r="BY91" s="31" t="n">
        <f aca="false">Y91</f>
        <v>1931</v>
      </c>
      <c r="BZ91" s="32" t="n">
        <f aca="false">IF(BJ91=0,IF(BR91=0,0,1),(BR91-BJ91)/BJ91)</f>
        <v>1</v>
      </c>
      <c r="CA91" s="32" t="n">
        <f aca="false">IF(BK91=0,IF(BS91=0,0,1),(BS91-BK91)/BK91)</f>
        <v>1</v>
      </c>
      <c r="CB91" s="32" t="n">
        <f aca="false">IF(BL91=0,IF(BT91=0,0,1),(BT91-BL91)/BL91)</f>
        <v>1</v>
      </c>
      <c r="CC91" s="32" t="n">
        <f aca="false">IF(BM91=0,IF(BU91=0,0,1),(BU91-BM91)/BM91)</f>
        <v>1</v>
      </c>
      <c r="CD91" s="32" t="n">
        <f aca="false">IF(BN91=0,IF(BV91=0,0,1),(BV91-BN91)/BN91)</f>
        <v>1</v>
      </c>
      <c r="CE91" s="32" t="n">
        <f aca="false">IF(BO91=0,IF(BW91=0,0,1),(BW91-BO91)/BO91)</f>
        <v>1</v>
      </c>
      <c r="CF91" s="32" t="n">
        <f aca="false">IF(BP91=0,IF(BX91=0,0,1),(BX91-BP91)/BP91)</f>
        <v>1</v>
      </c>
      <c r="CG91" s="32" t="n">
        <f aca="false">IF(BQ91=0,IF(BY91=0,0,1),(BY91-BQ91)/BQ91)</f>
        <v>1</v>
      </c>
      <c r="CH91" s="32" t="n">
        <f aca="false">MAX(MAX(BZ91:CG91),-MIN(BZ91:CG91))</f>
        <v>1</v>
      </c>
      <c r="CI91" s="31" t="n">
        <f aca="false">IF(CO91="","",SUMIFS($CJ$7:$CJ$696,$A$7:$A$696,CO91,$B$7:$B$696,B91))</f>
        <v>450064</v>
      </c>
      <c r="CJ91" s="31" t="n">
        <f aca="false">SUM(AY91:BI91)</f>
        <v>462252</v>
      </c>
      <c r="CK91" s="31" t="str">
        <f aca="false">IFERROR(INDEX(設定!$F$61:$F$106,MATCH(B91,設定!$B$61:$B$106,0)),"Y")</f>
        <v>Y</v>
      </c>
      <c r="CL91" s="31" t="str">
        <f aca="false">IFERROR(INDEX(設定!$G$61:$G$106,MATCH(B91,設定!$B$61:$B$106,0)),"外郭型")</f>
        <v>外郭型</v>
      </c>
      <c r="CM91" s="33" t="str">
        <f aca="false">A91&amp;"|"&amp;B91</f>
        <v>2026-05 月例|全国市長会</v>
      </c>
      <c r="CN91" s="34" t="str">
        <f aca="false">IFERROR(INDEX(設定!$D$61:$D$106,MATCH(B91,設定!$B$61:$B$106,0)),"Y")</f>
        <v>Y</v>
      </c>
      <c r="CO91" s="34" t="str">
        <f aca="false">IFERROR(INDEX(設定!$D$20:$D$34,MATCH(A91,設定!$A$20:$A$34,0))&amp;"","")</f>
        <v>2026-04 月例</v>
      </c>
    </row>
    <row r="92" customFormat="false" ht="15" hidden="true" customHeight="false" outlineLevel="0" collapsed="false">
      <c r="A92" s="22" t="s">
        <v>215</v>
      </c>
      <c r="B92" s="23" t="s">
        <v>208</v>
      </c>
      <c r="C92" s="10" t="str">
        <f aca="false">IF(G92="","未受領",IF(G92="なし","報告なし",IF(AL92="○","起票済",IF(OR(AK92="○",F92="一致",F92="入金不要"),"入金確認済","受領済"))))</f>
        <v>入金確認済</v>
      </c>
      <c r="D92" s="10" t="str">
        <f aca="false">IF(OR(G92="",G92="なし"),"―",IF(CN92="N","対象外",IF(AND(I92="",J92="",K92=""),"標報未入力",IF(CH92&gt;=設定!$B$4,"要確認","問題なし"))))</f>
        <v>標報未入力</v>
      </c>
      <c r="E92" s="24" t="str">
        <f aca="false">IF(OR(G92="",G92="なし",CI92="",CJ92=0),"―",IF(CJ92=CI92,"前月同額",IF(CI92=0,"―",IF(ABS(CJ92/CI92-1)&gt;=設定!$B$5,"変動大 "&amp;TEXT(CJ92/CI92-1,"+0%;-0%"),"〇"))))</f>
        <v>前月同額</v>
      </c>
      <c r="F92" s="10" t="str">
        <f aca="false">IF(OR(G92="",G92="なし"),"―",IF(CJ92=0,"入金不要",IF(COUNT(AD92,AF92,AH92,AJ92)=0,IF(AK92="○","手動確認","未入金"),IF(AND(N(AD92)=AC92,IF(AE92="",TRUE(),N(AF92)=AE92),IF(AG92="",TRUE(),N(AH92)=AG92),IF(AI92="",TRUE(),N(AJ92)=AI92)),"一致","不一致"))))</f>
        <v>手動確認</v>
      </c>
      <c r="G92" s="25" t="s">
        <v>167</v>
      </c>
      <c r="H92" s="26"/>
      <c r="I92" s="27"/>
      <c r="J92" s="27"/>
      <c r="K92" s="27"/>
      <c r="L92" s="27"/>
      <c r="M92" s="27"/>
      <c r="N92" s="27"/>
      <c r="O92" s="27" t="n">
        <v>145485</v>
      </c>
      <c r="P92" s="27" t="n">
        <v>11925</v>
      </c>
      <c r="Q92" s="27"/>
      <c r="R92" s="27"/>
      <c r="S92" s="27"/>
      <c r="T92" s="27" t="n">
        <v>145485</v>
      </c>
      <c r="U92" s="27" t="n">
        <v>11925</v>
      </c>
      <c r="V92" s="27" t="n">
        <v>138</v>
      </c>
      <c r="W92" s="27"/>
      <c r="X92" s="27"/>
      <c r="Y92" s="27"/>
      <c r="Z92" s="27"/>
      <c r="AA92" s="10" t="str">
        <f aca="false">IFERROR(INDEX(設定!$E$61:$E$106,MATCH(B92,設定!$B$61:$B$106,0)),"合算")</f>
        <v>合算</v>
      </c>
      <c r="AB92" s="28"/>
      <c r="AC92" s="29" t="n">
        <f aca="false">IF(OR(G92="",G92="なし"),"",IF(AA92="合算",CJ92+N(Z92),IF(AA92="掛金・負担金別",(AY92+AZ92+BD92+BF92+BH92),SUM(AY92:BC92))))</f>
        <v>314958</v>
      </c>
      <c r="AD92" s="27"/>
      <c r="AE92" s="29" t="str">
        <f aca="false">IF(OR(G92="",G92="なし"),"",IF(AA92="掛金・負担金別",(BA92+BB92+BC92+BE92+BG92+BI92+N(Z92)),IF(AA92="経理区分別",BD92+BE92,"")))</f>
        <v/>
      </c>
      <c r="AF92" s="27"/>
      <c r="AG92" s="29" t="str">
        <f aca="false">IF(OR(G92="",G92="なし"),"",IF(AA92="経理区分別",BF92+BG92,""))</f>
        <v/>
      </c>
      <c r="AH92" s="27"/>
      <c r="AI92" s="29" t="str">
        <f aca="false">IF(OR(G92="",G92="なし"),"",IF(AA92="経理区分別",BH92+BI92+N(Z92),""))</f>
        <v/>
      </c>
      <c r="AJ92" s="27"/>
      <c r="AK92" s="26" t="s">
        <v>168</v>
      </c>
      <c r="AL92" s="26"/>
      <c r="AM92" s="30"/>
      <c r="AN92" s="31"/>
      <c r="AO92" s="31"/>
      <c r="AP92" s="31"/>
      <c r="AQ92" s="31"/>
      <c r="AR92" s="31"/>
      <c r="AS92" s="31"/>
      <c r="AT92" s="31"/>
      <c r="AU92" s="31"/>
      <c r="AV92" s="31"/>
      <c r="AW92" s="31"/>
      <c r="AX92" s="31"/>
      <c r="AY92" s="31" t="n">
        <f aca="false">IF($G92="",AN92,O92)</f>
        <v>145485</v>
      </c>
      <c r="AZ92" s="31" t="n">
        <f aca="false">IF($G92="",AO92,P92)</f>
        <v>11925</v>
      </c>
      <c r="BA92" s="31" t="n">
        <f aca="false">IF($G92="",AP92,T92)</f>
        <v>145485</v>
      </c>
      <c r="BB92" s="31" t="n">
        <f aca="false">IF($G92="",AQ92,U92)</f>
        <v>11925</v>
      </c>
      <c r="BC92" s="31" t="n">
        <f aca="false">IF($G92="",AR92,V92)</f>
        <v>138</v>
      </c>
      <c r="BD92" s="31" t="n">
        <f aca="false">IF($G92="",AS92,Q92)</f>
        <v>0</v>
      </c>
      <c r="BE92" s="31" t="n">
        <f aca="false">IF($G92="",AT92,W92)</f>
        <v>0</v>
      </c>
      <c r="BF92" s="31" t="n">
        <f aca="false">IF($G92="",AU92,R92)</f>
        <v>0</v>
      </c>
      <c r="BG92" s="31" t="n">
        <f aca="false">IF($G92="",AV92,X92)</f>
        <v>0</v>
      </c>
      <c r="BH92" s="31" t="n">
        <f aca="false">IF($G92="",AW92,S92)</f>
        <v>0</v>
      </c>
      <c r="BI92" s="31" t="n">
        <f aca="false">IF($G92="",AX92,Y92)</f>
        <v>0</v>
      </c>
      <c r="BJ92" s="31" t="n">
        <f aca="false">IF(CK92="N",BR92,ROUNDDOWN((I92-L92)*設定!$B$10/1000,0)+ROUNDDOWN((I92-L92)*設定!$B$11/1000,0))</f>
        <v>0</v>
      </c>
      <c r="BK92" s="31" t="n">
        <f aca="false">ROUNDDOWN((I92-L92)*設定!$C$10/1000,0)+ROUNDDOWN((I92-L92)*設定!$C$11/1000,0)+ROUNDDOWN(I92*設定!$C$12/1000,0)+IF(CL92="市局型",ROUNDDOWN(I92*設定!$C$16/1000,0),0)</f>
        <v>0</v>
      </c>
      <c r="BL92" s="31" t="n">
        <f aca="false">IF(CK92="N",BT92,ROUNDDOWN((J92-M92)*設定!$B$13/1000,0))</f>
        <v>0</v>
      </c>
      <c r="BM92" s="31" t="n">
        <f aca="false">ROUNDDOWN((J92-M92)*設定!$C$13/1000,0)+IF(CL92="市局型",ROUNDDOWN(J92*設定!$C$17/1000,0),0)</f>
        <v>0</v>
      </c>
      <c r="BN92" s="31" t="n">
        <f aca="false">IF(CK92="N",BV92,ROUNDDOWN((K92-N92)*設定!$B$14/1000,0))</f>
        <v>0</v>
      </c>
      <c r="BO92" s="31" t="n">
        <f aca="false">ROUNDDOWN((K92-N92)*設定!$C$14/1000,0)</f>
        <v>0</v>
      </c>
      <c r="BP92" s="31" t="n">
        <f aca="false">IF(CK92="N",BX92,ROUNDDOWN((J92-M92)*設定!$B$15/1000,0))</f>
        <v>0</v>
      </c>
      <c r="BQ92" s="31" t="n">
        <f aca="false">ROUNDDOWN((J92-M92)*設定!$C$15/1000,0)</f>
        <v>0</v>
      </c>
      <c r="BR92" s="31" t="n">
        <f aca="false">O92+P92</f>
        <v>157410</v>
      </c>
      <c r="BS92" s="31" t="n">
        <f aca="false">T92+U92+V92</f>
        <v>157548</v>
      </c>
      <c r="BT92" s="31" t="n">
        <f aca="false">Q92</f>
        <v>0</v>
      </c>
      <c r="BU92" s="31" t="n">
        <f aca="false">W92</f>
        <v>0</v>
      </c>
      <c r="BV92" s="31" t="n">
        <f aca="false">R92</f>
        <v>0</v>
      </c>
      <c r="BW92" s="31" t="n">
        <f aca="false">X92</f>
        <v>0</v>
      </c>
      <c r="BX92" s="31" t="n">
        <f aca="false">S92</f>
        <v>0</v>
      </c>
      <c r="BY92" s="31" t="n">
        <f aca="false">Y92</f>
        <v>0</v>
      </c>
      <c r="BZ92" s="32" t="n">
        <f aca="false">IF(BJ92=0,IF(BR92=0,0,1),(BR92-BJ92)/BJ92)</f>
        <v>1</v>
      </c>
      <c r="CA92" s="32" t="n">
        <f aca="false">IF(BK92=0,IF(BS92=0,0,1),(BS92-BK92)/BK92)</f>
        <v>1</v>
      </c>
      <c r="CB92" s="32" t="n">
        <f aca="false">IF(BL92=0,IF(BT92=0,0,1),(BT92-BL92)/BL92)</f>
        <v>0</v>
      </c>
      <c r="CC92" s="32" t="n">
        <f aca="false">IF(BM92=0,IF(BU92=0,0,1),(BU92-BM92)/BM92)</f>
        <v>0</v>
      </c>
      <c r="CD92" s="32" t="n">
        <f aca="false">IF(BN92=0,IF(BV92=0,0,1),(BV92-BN92)/BN92)</f>
        <v>0</v>
      </c>
      <c r="CE92" s="32" t="n">
        <f aca="false">IF(BO92=0,IF(BW92=0,0,1),(BW92-BO92)/BO92)</f>
        <v>0</v>
      </c>
      <c r="CF92" s="32" t="n">
        <f aca="false">IF(BP92=0,IF(BX92=0,0,1),(BX92-BP92)/BP92)</f>
        <v>0</v>
      </c>
      <c r="CG92" s="32" t="n">
        <f aca="false">IF(BQ92=0,IF(BY92=0,0,1),(BY92-BQ92)/BQ92)</f>
        <v>0</v>
      </c>
      <c r="CH92" s="32" t="n">
        <f aca="false">MAX(MAX(BZ92:CG92),-MIN(BZ92:CG92))</f>
        <v>1</v>
      </c>
      <c r="CI92" s="31" t="n">
        <f aca="false">IF(CO92="","",SUMIFS($CJ$7:$CJ$696,$A$7:$A$696,CO92,$B$7:$B$696,B92))</f>
        <v>314958</v>
      </c>
      <c r="CJ92" s="31" t="n">
        <f aca="false">SUM(AY92:BI92)</f>
        <v>314958</v>
      </c>
      <c r="CK92" s="31" t="str">
        <f aca="false">IFERROR(INDEX(設定!$F$61:$F$106,MATCH(B92,設定!$B$61:$B$106,0)),"Y")</f>
        <v>Y</v>
      </c>
      <c r="CL92" s="31" t="str">
        <f aca="false">IFERROR(INDEX(設定!$G$61:$G$106,MATCH(B92,設定!$B$61:$B$106,0)),"外郭型")</f>
        <v>外郭型</v>
      </c>
      <c r="CM92" s="33" t="str">
        <f aca="false">A92&amp;"|"&amp;B92</f>
        <v>2026-05 月例|高速交通（株）</v>
      </c>
      <c r="CN92" s="34" t="str">
        <f aca="false">IFERROR(INDEX(設定!$D$61:$D$106,MATCH(B92,設定!$B$61:$B$106,0)),"Y")</f>
        <v>Y</v>
      </c>
      <c r="CO92" s="34" t="str">
        <f aca="false">IFERROR(INDEX(設定!$D$20:$D$34,MATCH(A92,設定!$A$20:$A$34,0))&amp;"","")</f>
        <v>2026-04 月例</v>
      </c>
    </row>
    <row r="93" customFormat="false" ht="15" hidden="true" customHeight="false" outlineLevel="0" collapsed="false">
      <c r="A93" s="22" t="s">
        <v>215</v>
      </c>
      <c r="B93" s="23" t="s">
        <v>209</v>
      </c>
      <c r="C93" s="10" t="str">
        <f aca="false">IF(G93="","未受領",IF(G93="なし","報告なし",IF(AL93="○","起票済",IF(OR(AK93="○",F93="一致",F93="入金不要"),"入金確認済","受領済"))))</f>
        <v>入金確認済</v>
      </c>
      <c r="D93" s="10" t="str">
        <f aca="false">IF(OR(G93="",G93="なし"),"―",IF(CN93="N","対象外",IF(AND(I93="",J93="",K93=""),"標報未入力",IF(CH93&gt;=設定!$B$4,"要確認","問題なし"))))</f>
        <v>標報未入力</v>
      </c>
      <c r="E93" s="24" t="str">
        <f aca="false">IF(OR(G93="",G93="なし",CI93="",CJ93=0),"―",IF(CJ93=CI93,"前月同額",IF(CI93=0,"―",IF(ABS(CJ93/CI93-1)&gt;=設定!$B$5,"変動大 "&amp;TEXT(CJ93/CI93-1,"+0%;-0%"),"〇"))))</f>
        <v>前月同額</v>
      </c>
      <c r="F93" s="10" t="str">
        <f aca="false">IF(OR(G93="",G93="なし"),"―",IF(CJ93=0,"入金不要",IF(COUNT(AD93,AF93,AH93,AJ93)=0,IF(AK93="○","手動確認","未入金"),IF(AND(N(AD93)=AC93,IF(AE93="",TRUE(),N(AF93)=AE93),IF(AG93="",TRUE(),N(AH93)=AG93),IF(AI93="",TRUE(),N(AJ93)=AI93)),"一致","不一致"))))</f>
        <v>手動確認</v>
      </c>
      <c r="G93" s="25" t="s">
        <v>167</v>
      </c>
      <c r="H93" s="26"/>
      <c r="I93" s="27"/>
      <c r="J93" s="27"/>
      <c r="K93" s="27"/>
      <c r="L93" s="27"/>
      <c r="M93" s="27"/>
      <c r="N93" s="27"/>
      <c r="O93" s="27" t="n">
        <v>45750</v>
      </c>
      <c r="P93" s="27" t="n">
        <v>3750</v>
      </c>
      <c r="Q93" s="27"/>
      <c r="R93" s="27"/>
      <c r="S93" s="27"/>
      <c r="T93" s="27" t="n">
        <v>45750</v>
      </c>
      <c r="U93" s="27" t="n">
        <v>3750</v>
      </c>
      <c r="V93" s="27" t="n">
        <v>43</v>
      </c>
      <c r="W93" s="27"/>
      <c r="X93" s="27"/>
      <c r="Y93" s="27"/>
      <c r="Z93" s="27"/>
      <c r="AA93" s="10" t="str">
        <f aca="false">IFERROR(INDEX(設定!$E$61:$E$106,MATCH(B93,設定!$B$61:$B$106,0)),"合算")</f>
        <v>合算</v>
      </c>
      <c r="AB93" s="28"/>
      <c r="AC93" s="29" t="n">
        <f aca="false">IF(OR(G93="",G93="なし"),"",IF(AA93="合算",CJ93+N(Z93),IF(AA93="掛金・負担金別",(AY93+AZ93+BD93+BF93+BH93),SUM(AY93:BC93))))</f>
        <v>99043</v>
      </c>
      <c r="AD93" s="27"/>
      <c r="AE93" s="29" t="str">
        <f aca="false">IF(OR(G93="",G93="なし"),"",IF(AA93="掛金・負担金別",(BA93+BB93+BC93+BE93+BG93+BI93+N(Z93)),IF(AA93="経理区分別",BD93+BE93,"")))</f>
        <v/>
      </c>
      <c r="AF93" s="27"/>
      <c r="AG93" s="29" t="str">
        <f aca="false">IF(OR(G93="",G93="なし"),"",IF(AA93="経理区分別",BF93+BG93,""))</f>
        <v/>
      </c>
      <c r="AH93" s="27"/>
      <c r="AI93" s="29" t="str">
        <f aca="false">IF(OR(G93="",G93="なし"),"",IF(AA93="経理区分別",BH93+BI93+N(Z93),""))</f>
        <v/>
      </c>
      <c r="AJ93" s="27"/>
      <c r="AK93" s="26" t="s">
        <v>168</v>
      </c>
      <c r="AL93" s="26"/>
      <c r="AM93" s="30"/>
      <c r="AN93" s="31"/>
      <c r="AO93" s="31"/>
      <c r="AP93" s="31"/>
      <c r="AQ93" s="31"/>
      <c r="AR93" s="31"/>
      <c r="AS93" s="31"/>
      <c r="AT93" s="31"/>
      <c r="AU93" s="31"/>
      <c r="AV93" s="31"/>
      <c r="AW93" s="31"/>
      <c r="AX93" s="31"/>
      <c r="AY93" s="31" t="n">
        <f aca="false">IF($G93="",AN93,O93)</f>
        <v>45750</v>
      </c>
      <c r="AZ93" s="31" t="n">
        <f aca="false">IF($G93="",AO93,P93)</f>
        <v>3750</v>
      </c>
      <c r="BA93" s="31" t="n">
        <f aca="false">IF($G93="",AP93,T93)</f>
        <v>45750</v>
      </c>
      <c r="BB93" s="31" t="n">
        <f aca="false">IF($G93="",AQ93,U93)</f>
        <v>3750</v>
      </c>
      <c r="BC93" s="31" t="n">
        <f aca="false">IF($G93="",AR93,V93)</f>
        <v>43</v>
      </c>
      <c r="BD93" s="31" t="n">
        <f aca="false">IF($G93="",AS93,Q93)</f>
        <v>0</v>
      </c>
      <c r="BE93" s="31" t="n">
        <f aca="false">IF($G93="",AT93,W93)</f>
        <v>0</v>
      </c>
      <c r="BF93" s="31" t="n">
        <f aca="false">IF($G93="",AU93,R93)</f>
        <v>0</v>
      </c>
      <c r="BG93" s="31" t="n">
        <f aca="false">IF($G93="",AV93,X93)</f>
        <v>0</v>
      </c>
      <c r="BH93" s="31" t="n">
        <f aca="false">IF($G93="",AW93,S93)</f>
        <v>0</v>
      </c>
      <c r="BI93" s="31" t="n">
        <f aca="false">IF($G93="",AX93,Y93)</f>
        <v>0</v>
      </c>
      <c r="BJ93" s="31" t="n">
        <f aca="false">IF(CK93="N",BR93,ROUNDDOWN((I93-L93)*設定!$B$10/1000,0)+ROUNDDOWN((I93-L93)*設定!$B$11/1000,0))</f>
        <v>0</v>
      </c>
      <c r="BK93" s="31" t="n">
        <f aca="false">ROUNDDOWN((I93-L93)*設定!$C$10/1000,0)+ROUNDDOWN((I93-L93)*設定!$C$11/1000,0)+ROUNDDOWN(I93*設定!$C$12/1000,0)+IF(CL93="市局型",ROUNDDOWN(I93*設定!$C$16/1000,0),0)</f>
        <v>0</v>
      </c>
      <c r="BL93" s="31" t="n">
        <f aca="false">IF(CK93="N",BT93,ROUNDDOWN((J93-M93)*設定!$B$13/1000,0))</f>
        <v>0</v>
      </c>
      <c r="BM93" s="31" t="n">
        <f aca="false">ROUNDDOWN((J93-M93)*設定!$C$13/1000,0)+IF(CL93="市局型",ROUNDDOWN(J93*設定!$C$17/1000,0),0)</f>
        <v>0</v>
      </c>
      <c r="BN93" s="31" t="n">
        <f aca="false">IF(CK93="N",BV93,ROUNDDOWN((K93-N93)*設定!$B$14/1000,0))</f>
        <v>0</v>
      </c>
      <c r="BO93" s="31" t="n">
        <f aca="false">ROUNDDOWN((K93-N93)*設定!$C$14/1000,0)</f>
        <v>0</v>
      </c>
      <c r="BP93" s="31" t="n">
        <f aca="false">IF(CK93="N",BX93,ROUNDDOWN((J93-M93)*設定!$B$15/1000,0))</f>
        <v>0</v>
      </c>
      <c r="BQ93" s="31" t="n">
        <f aca="false">ROUNDDOWN((J93-M93)*設定!$C$15/1000,0)</f>
        <v>0</v>
      </c>
      <c r="BR93" s="31" t="n">
        <f aca="false">O93+P93</f>
        <v>49500</v>
      </c>
      <c r="BS93" s="31" t="n">
        <f aca="false">T93+U93+V93</f>
        <v>49543</v>
      </c>
      <c r="BT93" s="31" t="n">
        <f aca="false">Q93</f>
        <v>0</v>
      </c>
      <c r="BU93" s="31" t="n">
        <f aca="false">W93</f>
        <v>0</v>
      </c>
      <c r="BV93" s="31" t="n">
        <f aca="false">R93</f>
        <v>0</v>
      </c>
      <c r="BW93" s="31" t="n">
        <f aca="false">X93</f>
        <v>0</v>
      </c>
      <c r="BX93" s="31" t="n">
        <f aca="false">S93</f>
        <v>0</v>
      </c>
      <c r="BY93" s="31" t="n">
        <f aca="false">Y93</f>
        <v>0</v>
      </c>
      <c r="BZ93" s="32" t="n">
        <f aca="false">IF(BJ93=0,IF(BR93=0,0,1),(BR93-BJ93)/BJ93)</f>
        <v>1</v>
      </c>
      <c r="CA93" s="32" t="n">
        <f aca="false">IF(BK93=0,IF(BS93=0,0,1),(BS93-BK93)/BK93)</f>
        <v>1</v>
      </c>
      <c r="CB93" s="32" t="n">
        <f aca="false">IF(BL93=0,IF(BT93=0,0,1),(BT93-BL93)/BL93)</f>
        <v>0</v>
      </c>
      <c r="CC93" s="32" t="n">
        <f aca="false">IF(BM93=0,IF(BU93=0,0,1),(BU93-BM93)/BM93)</f>
        <v>0</v>
      </c>
      <c r="CD93" s="32" t="n">
        <f aca="false">IF(BN93=0,IF(BV93=0,0,1),(BV93-BN93)/BN93)</f>
        <v>0</v>
      </c>
      <c r="CE93" s="32" t="n">
        <f aca="false">IF(BO93=0,IF(BW93=0,0,1),(BW93-BO93)/BO93)</f>
        <v>0</v>
      </c>
      <c r="CF93" s="32" t="n">
        <f aca="false">IF(BP93=0,IF(BX93=0,0,1),(BX93-BP93)/BP93)</f>
        <v>0</v>
      </c>
      <c r="CG93" s="32" t="n">
        <f aca="false">IF(BQ93=0,IF(BY93=0,0,1),(BY93-BQ93)/BQ93)</f>
        <v>0</v>
      </c>
      <c r="CH93" s="32" t="n">
        <f aca="false">MAX(MAX(BZ93:CG93),-MIN(BZ93:CG93))</f>
        <v>1</v>
      </c>
      <c r="CI93" s="31" t="n">
        <f aca="false">IF(CO93="","",SUMIFS($CJ$7:$CJ$696,$A$7:$A$696,CO93,$B$7:$B$696,B93))</f>
        <v>99043</v>
      </c>
      <c r="CJ93" s="31" t="n">
        <f aca="false">SUM(AY93:BI93)</f>
        <v>99043</v>
      </c>
      <c r="CK93" s="31" t="str">
        <f aca="false">IFERROR(INDEX(設定!$F$61:$F$106,MATCH(B93,設定!$B$61:$B$106,0)),"Y")</f>
        <v>Y</v>
      </c>
      <c r="CL93" s="31" t="str">
        <f aca="false">IFERROR(INDEX(設定!$G$61:$G$106,MATCH(B93,設定!$B$61:$B$106,0)),"外郭型")</f>
        <v>外郭型</v>
      </c>
      <c r="CM93" s="33" t="str">
        <f aca="false">A93&amp;"|"&amp;B93</f>
        <v>2026-05 月例|広島駅南口開発（株）</v>
      </c>
      <c r="CN93" s="34" t="str">
        <f aca="false">IFERROR(INDEX(設定!$D$61:$D$106,MATCH(B93,設定!$B$61:$B$106,0)),"Y")</f>
        <v>Y</v>
      </c>
      <c r="CO93" s="34" t="str">
        <f aca="false">IFERROR(INDEX(設定!$D$20:$D$34,MATCH(A93,設定!$A$20:$A$34,0))&amp;"","")</f>
        <v>2026-04 月例</v>
      </c>
    </row>
    <row r="94" customFormat="false" ht="15" hidden="true" customHeight="false" outlineLevel="0" collapsed="false">
      <c r="A94" s="22" t="s">
        <v>215</v>
      </c>
      <c r="B94" s="23" t="s">
        <v>210</v>
      </c>
      <c r="C94" s="10" t="str">
        <f aca="false">IF(G94="","未受領",IF(G94="なし","報告なし",IF(AL94="○","起票済",IF(OR(AK94="○",F94="一致",F94="入金不要"),"入金確認済","受領済"))))</f>
        <v>入金確認済</v>
      </c>
      <c r="D94" s="10" t="str">
        <f aca="false">IF(OR(G94="",G94="なし"),"―",IF(CN94="N","対象外",IF(AND(I94="",J94="",K94=""),"標報未入力",IF(CH94&gt;=設定!$B$4,"要確認","問題なし"))))</f>
        <v>標報未入力</v>
      </c>
      <c r="E94" s="24" t="str">
        <f aca="false">IF(OR(G94="",G94="なし",CI94="",CJ94=0),"―",IF(CJ94=CI94,"前月同額",IF(CI94=0,"―",IF(ABS(CJ94/CI94-1)&gt;=設定!$B$5,"変動大 "&amp;TEXT(CJ94/CI94-1,"+0%;-0%"),"〇"))))</f>
        <v>前月同額</v>
      </c>
      <c r="F94" s="10" t="str">
        <f aca="false">IF(OR(G94="",G94="なし"),"―",IF(CJ94=0,"入金不要",IF(COUNT(AD94,AF94,AH94,AJ94)=0,IF(AK94="○","手動確認","未入金"),IF(AND(N(AD94)=AC94,IF(AE94="",TRUE(),N(AF94)=AE94),IF(AG94="",TRUE(),N(AH94)=AG94),IF(AI94="",TRUE(),N(AJ94)=AI94)),"一致","不一致"))))</f>
        <v>手動確認</v>
      </c>
      <c r="G94" s="25" t="s">
        <v>167</v>
      </c>
      <c r="H94" s="26"/>
      <c r="I94" s="27"/>
      <c r="J94" s="27"/>
      <c r="K94" s="27"/>
      <c r="L94" s="27"/>
      <c r="M94" s="27"/>
      <c r="N94" s="27"/>
      <c r="O94" s="27" t="n">
        <v>29280</v>
      </c>
      <c r="P94" s="27" t="n">
        <v>2400</v>
      </c>
      <c r="Q94" s="27" t="n">
        <v>16595</v>
      </c>
      <c r="R94" s="27" t="n">
        <v>2528</v>
      </c>
      <c r="S94" s="27" t="n">
        <v>368</v>
      </c>
      <c r="T94" s="27" t="n">
        <v>29280</v>
      </c>
      <c r="U94" s="27" t="n">
        <v>2400</v>
      </c>
      <c r="V94" s="27"/>
      <c r="W94" s="27" t="n">
        <v>16611</v>
      </c>
      <c r="X94" s="27" t="n">
        <v>2528</v>
      </c>
      <c r="Y94" s="27" t="n">
        <v>368</v>
      </c>
      <c r="Z94" s="27"/>
      <c r="AA94" s="10" t="str">
        <f aca="false">IFERROR(INDEX(設定!$E$61:$E$106,MATCH(B94,設定!$B$61:$B$106,0)),"合算")</f>
        <v>合算</v>
      </c>
      <c r="AB94" s="28"/>
      <c r="AC94" s="29" t="n">
        <f aca="false">IF(OR(G94="",G94="なし"),"",IF(AA94="合算",CJ94+N(Z94),IF(AA94="掛金・負担金別",(AY94+AZ94+BD94+BF94+BH94),SUM(AY94:BC94))))</f>
        <v>102358</v>
      </c>
      <c r="AD94" s="27"/>
      <c r="AE94" s="29" t="str">
        <f aca="false">IF(OR(G94="",G94="なし"),"",IF(AA94="掛金・負担金別",(BA94+BB94+BC94+BE94+BG94+BI94+N(Z94)),IF(AA94="経理区分別",BD94+BE94,"")))</f>
        <v/>
      </c>
      <c r="AF94" s="27"/>
      <c r="AG94" s="29" t="str">
        <f aca="false">IF(OR(G94="",G94="なし"),"",IF(AA94="経理区分別",BF94+BG94,""))</f>
        <v/>
      </c>
      <c r="AH94" s="27"/>
      <c r="AI94" s="29" t="str">
        <f aca="false">IF(OR(G94="",G94="なし"),"",IF(AA94="経理区分別",BH94+BI94+N(Z94),""))</f>
        <v/>
      </c>
      <c r="AJ94" s="27"/>
      <c r="AK94" s="26" t="s">
        <v>168</v>
      </c>
      <c r="AL94" s="26"/>
      <c r="AM94" s="30"/>
      <c r="AN94" s="31"/>
      <c r="AO94" s="31"/>
      <c r="AP94" s="31"/>
      <c r="AQ94" s="31"/>
      <c r="AR94" s="31"/>
      <c r="AS94" s="31"/>
      <c r="AT94" s="31"/>
      <c r="AU94" s="31"/>
      <c r="AV94" s="31"/>
      <c r="AW94" s="31"/>
      <c r="AX94" s="31"/>
      <c r="AY94" s="31" t="n">
        <f aca="false">IF($G94="",AN94,O94)</f>
        <v>29280</v>
      </c>
      <c r="AZ94" s="31" t="n">
        <f aca="false">IF($G94="",AO94,P94)</f>
        <v>2400</v>
      </c>
      <c r="BA94" s="31" t="n">
        <f aca="false">IF($G94="",AP94,T94)</f>
        <v>29280</v>
      </c>
      <c r="BB94" s="31" t="n">
        <f aca="false">IF($G94="",AQ94,U94)</f>
        <v>2400</v>
      </c>
      <c r="BC94" s="31" t="n">
        <f aca="false">IF($G94="",AR94,V94)</f>
        <v>0</v>
      </c>
      <c r="BD94" s="31" t="n">
        <f aca="false">IF($G94="",AS94,Q94)</f>
        <v>16595</v>
      </c>
      <c r="BE94" s="31" t="n">
        <f aca="false">IF($G94="",AT94,W94)</f>
        <v>16611</v>
      </c>
      <c r="BF94" s="31" t="n">
        <f aca="false">IF($G94="",AU94,R94)</f>
        <v>2528</v>
      </c>
      <c r="BG94" s="31" t="n">
        <f aca="false">IF($G94="",AV94,X94)</f>
        <v>2528</v>
      </c>
      <c r="BH94" s="31" t="n">
        <f aca="false">IF($G94="",AW94,S94)</f>
        <v>368</v>
      </c>
      <c r="BI94" s="31" t="n">
        <f aca="false">IF($G94="",AX94,Y94)</f>
        <v>368</v>
      </c>
      <c r="BJ94" s="31" t="n">
        <f aca="false">IF(CK94="N",BR94,ROUNDDOWN((I94-L94)*設定!$B$10/1000,0)+ROUNDDOWN((I94-L94)*設定!$B$11/1000,0))</f>
        <v>0</v>
      </c>
      <c r="BK94" s="31" t="n">
        <f aca="false">ROUNDDOWN((I94-L94)*設定!$C$10/1000,0)+ROUNDDOWN((I94-L94)*設定!$C$11/1000,0)+ROUNDDOWN(I94*設定!$C$12/1000,0)+IF(CL94="市局型",ROUNDDOWN(I94*設定!$C$16/1000,0),0)</f>
        <v>0</v>
      </c>
      <c r="BL94" s="31" t="n">
        <f aca="false">IF(CK94="N",BT94,ROUNDDOWN((J94-M94)*設定!$B$13/1000,0))</f>
        <v>0</v>
      </c>
      <c r="BM94" s="31" t="n">
        <f aca="false">ROUNDDOWN((J94-M94)*設定!$C$13/1000,0)+IF(CL94="市局型",ROUNDDOWN(J94*設定!$C$17/1000,0),0)</f>
        <v>0</v>
      </c>
      <c r="BN94" s="31" t="n">
        <f aca="false">IF(CK94="N",BV94,ROUNDDOWN((K94-N94)*設定!$B$14/1000,0))</f>
        <v>0</v>
      </c>
      <c r="BO94" s="31" t="n">
        <f aca="false">ROUNDDOWN((K94-N94)*設定!$C$14/1000,0)</f>
        <v>0</v>
      </c>
      <c r="BP94" s="31" t="n">
        <f aca="false">IF(CK94="N",BX94,ROUNDDOWN((J94-M94)*設定!$B$15/1000,0))</f>
        <v>0</v>
      </c>
      <c r="BQ94" s="31" t="n">
        <f aca="false">ROUNDDOWN((J94-M94)*設定!$C$15/1000,0)</f>
        <v>0</v>
      </c>
      <c r="BR94" s="31" t="n">
        <f aca="false">O94+P94</f>
        <v>31680</v>
      </c>
      <c r="BS94" s="31" t="n">
        <f aca="false">T94+U94+V94</f>
        <v>31680</v>
      </c>
      <c r="BT94" s="31" t="n">
        <f aca="false">Q94</f>
        <v>16595</v>
      </c>
      <c r="BU94" s="31" t="n">
        <f aca="false">W94</f>
        <v>16611</v>
      </c>
      <c r="BV94" s="31" t="n">
        <f aca="false">R94</f>
        <v>2528</v>
      </c>
      <c r="BW94" s="31" t="n">
        <f aca="false">X94</f>
        <v>2528</v>
      </c>
      <c r="BX94" s="31" t="n">
        <f aca="false">S94</f>
        <v>368</v>
      </c>
      <c r="BY94" s="31" t="n">
        <f aca="false">Y94</f>
        <v>368</v>
      </c>
      <c r="BZ94" s="32" t="n">
        <f aca="false">IF(BJ94=0,IF(BR94=0,0,1),(BR94-BJ94)/BJ94)</f>
        <v>1</v>
      </c>
      <c r="CA94" s="32" t="n">
        <f aca="false">IF(BK94=0,IF(BS94=0,0,1),(BS94-BK94)/BK94)</f>
        <v>1</v>
      </c>
      <c r="CB94" s="32" t="n">
        <f aca="false">IF(BL94=0,IF(BT94=0,0,1),(BT94-BL94)/BL94)</f>
        <v>1</v>
      </c>
      <c r="CC94" s="32" t="n">
        <f aca="false">IF(BM94=0,IF(BU94=0,0,1),(BU94-BM94)/BM94)</f>
        <v>1</v>
      </c>
      <c r="CD94" s="32" t="n">
        <f aca="false">IF(BN94=0,IF(BV94=0,0,1),(BV94-BN94)/BN94)</f>
        <v>1</v>
      </c>
      <c r="CE94" s="32" t="n">
        <f aca="false">IF(BO94=0,IF(BW94=0,0,1),(BW94-BO94)/BO94)</f>
        <v>1</v>
      </c>
      <c r="CF94" s="32" t="n">
        <f aca="false">IF(BP94=0,IF(BX94=0,0,1),(BX94-BP94)/BP94)</f>
        <v>1</v>
      </c>
      <c r="CG94" s="32" t="n">
        <f aca="false">IF(BQ94=0,IF(BY94=0,0,1),(BY94-BQ94)/BQ94)</f>
        <v>1</v>
      </c>
      <c r="CH94" s="32" t="n">
        <f aca="false">MAX(MAX(BZ94:CG94),-MIN(BZ94:CG94))</f>
        <v>1</v>
      </c>
      <c r="CI94" s="31" t="n">
        <f aca="false">IF(CO94="","",SUMIFS($CJ$7:$CJ$696,$A$7:$A$696,CO94,$B$7:$B$696,B94))</f>
        <v>102358</v>
      </c>
      <c r="CJ94" s="31" t="n">
        <f aca="false">SUM(AY94:BI94)</f>
        <v>102358</v>
      </c>
      <c r="CK94" s="31" t="str">
        <f aca="false">IFERROR(INDEX(設定!$F$61:$F$106,MATCH(B94,設定!$B$61:$B$106,0)),"Y")</f>
        <v>Y</v>
      </c>
      <c r="CL94" s="31" t="str">
        <f aca="false">IFERROR(INDEX(設定!$G$61:$G$106,MATCH(B94,設定!$B$61:$B$106,0)),"外郭型")</f>
        <v>外郭型</v>
      </c>
      <c r="CM94" s="33" t="str">
        <f aca="false">A94&amp;"|"&amp;B94</f>
        <v>2026-05 月例|市職員労働組合</v>
      </c>
      <c r="CN94" s="34" t="str">
        <f aca="false">IFERROR(INDEX(設定!$D$61:$D$106,MATCH(B94,設定!$B$61:$B$106,0)),"Y")</f>
        <v>Y</v>
      </c>
      <c r="CO94" s="34" t="str">
        <f aca="false">IFERROR(INDEX(設定!$D$20:$D$34,MATCH(A94,設定!$A$20:$A$34,0))&amp;"","")</f>
        <v>2026-04 月例</v>
      </c>
    </row>
    <row r="95" customFormat="false" ht="15" hidden="true" customHeight="false" outlineLevel="0" collapsed="false">
      <c r="A95" s="22" t="s">
        <v>215</v>
      </c>
      <c r="B95" s="23" t="s">
        <v>211</v>
      </c>
      <c r="C95" s="10" t="str">
        <f aca="false">IF(G95="","未受領",IF(G95="なし","報告なし",IF(AL95="○","起票済",IF(OR(AK95="○",F95="一致",F95="入金不要"),"入金確認済","受領済"))))</f>
        <v>未受領</v>
      </c>
      <c r="D95" s="10" t="str">
        <f aca="false">IF(OR(G95="",G95="なし"),"―",IF(CN95="N","対象外",IF(AND(I95="",J95="",K95=""),"標報未入力",IF(CH95&gt;=設定!$B$4,"要確認","問題なし"))))</f>
        <v>―</v>
      </c>
      <c r="E95" s="24" t="str">
        <f aca="false">IF(OR(G95="",G95="なし",CI95="",CJ95=0),"―",IF(CJ95=CI95,"前月同額",IF(CI95=0,"―",IF(ABS(CJ95/CI95-1)&gt;=設定!$B$5,"変動大 "&amp;TEXT(CJ95/CI95-1,"+0%;-0%"),"〇"))))</f>
        <v>―</v>
      </c>
      <c r="F95" s="10" t="str">
        <f aca="false">IF(OR(G95="",G95="なし"),"―",IF(CJ95=0,"入金不要",IF(COUNT(AD95,AF95,AH95,AJ95)=0,IF(AK95="○","手動確認","未入金"),IF(AND(N(AD95)=AC95,IF(AE95="",TRUE(),N(AF95)=AE95),IF(AG95="",TRUE(),N(AH95)=AG95),IF(AI95="",TRUE(),N(AJ95)=AI95)),"一致","不一致"))))</f>
        <v>―</v>
      </c>
      <c r="G95" s="25"/>
      <c r="H95" s="26"/>
      <c r="I95" s="27"/>
      <c r="J95" s="27"/>
      <c r="K95" s="27"/>
      <c r="L95" s="27"/>
      <c r="M95" s="27"/>
      <c r="N95" s="27"/>
      <c r="O95" s="27"/>
      <c r="P95" s="27"/>
      <c r="Q95" s="27"/>
      <c r="R95" s="27"/>
      <c r="S95" s="27"/>
      <c r="T95" s="27"/>
      <c r="U95" s="27"/>
      <c r="V95" s="27"/>
      <c r="W95" s="27"/>
      <c r="X95" s="27"/>
      <c r="Y95" s="27"/>
      <c r="Z95" s="27"/>
      <c r="AA95" s="10" t="str">
        <f aca="false">IFERROR(INDEX(設定!$E$61:$E$106,MATCH(B95,設定!$B$61:$B$106,0)),"合算")</f>
        <v>合算</v>
      </c>
      <c r="AB95" s="28"/>
      <c r="AC95" s="29" t="str">
        <f aca="false">IF(OR(G95="",G95="なし"),"",IF(AA95="合算",CJ95+N(Z95),IF(AA95="掛金・負担金別",(AY95+AZ95+BD95+BF95+BH95),SUM(AY95:BC95))))</f>
        <v/>
      </c>
      <c r="AD95" s="27"/>
      <c r="AE95" s="29" t="str">
        <f aca="false">IF(OR(G95="",G95="なし"),"",IF(AA95="掛金・負担金別",(BA95+BB95+BC95+BE95+BG95+BI95+N(Z95)),IF(AA95="経理区分別",BD95+BE95,"")))</f>
        <v/>
      </c>
      <c r="AF95" s="27"/>
      <c r="AG95" s="29" t="str">
        <f aca="false">IF(OR(G95="",G95="なし"),"",IF(AA95="経理区分別",BF95+BG95,""))</f>
        <v/>
      </c>
      <c r="AH95" s="27"/>
      <c r="AI95" s="29" t="str">
        <f aca="false">IF(OR(G95="",G95="なし"),"",IF(AA95="経理区分別",BH95+BI95+N(Z95),""))</f>
        <v/>
      </c>
      <c r="AJ95" s="27"/>
      <c r="AK95" s="26"/>
      <c r="AL95" s="26"/>
      <c r="AM95" s="30"/>
      <c r="AN95" s="31" t="n">
        <v>0</v>
      </c>
      <c r="AO95" s="31" t="n">
        <v>0</v>
      </c>
      <c r="AP95" s="31" t="n">
        <v>0</v>
      </c>
      <c r="AQ95" s="31" t="n">
        <v>0</v>
      </c>
      <c r="AR95" s="31"/>
      <c r="AS95" s="31" t="n">
        <v>0</v>
      </c>
      <c r="AT95" s="31" t="n">
        <v>0</v>
      </c>
      <c r="AU95" s="31" t="n">
        <v>0</v>
      </c>
      <c r="AV95" s="31" t="n">
        <v>0</v>
      </c>
      <c r="AW95" s="31" t="n">
        <v>0</v>
      </c>
      <c r="AX95" s="31" t="n">
        <v>0</v>
      </c>
      <c r="AY95" s="31" t="n">
        <f aca="false">IF($G95="",AN95,O95)</f>
        <v>0</v>
      </c>
      <c r="AZ95" s="31" t="n">
        <f aca="false">IF($G95="",AO95,P95)</f>
        <v>0</v>
      </c>
      <c r="BA95" s="31" t="n">
        <f aca="false">IF($G95="",AP95,T95)</f>
        <v>0</v>
      </c>
      <c r="BB95" s="31" t="n">
        <f aca="false">IF($G95="",AQ95,U95)</f>
        <v>0</v>
      </c>
      <c r="BC95" s="31" t="n">
        <f aca="false">IF($G95="",AR95,V95)</f>
        <v>0</v>
      </c>
      <c r="BD95" s="31" t="n">
        <f aca="false">IF($G95="",AS95,Q95)</f>
        <v>0</v>
      </c>
      <c r="BE95" s="31" t="n">
        <f aca="false">IF($G95="",AT95,W95)</f>
        <v>0</v>
      </c>
      <c r="BF95" s="31" t="n">
        <f aca="false">IF($G95="",AU95,R95)</f>
        <v>0</v>
      </c>
      <c r="BG95" s="31" t="n">
        <f aca="false">IF($G95="",AV95,X95)</f>
        <v>0</v>
      </c>
      <c r="BH95" s="31" t="n">
        <f aca="false">IF($G95="",AW95,S95)</f>
        <v>0</v>
      </c>
      <c r="BI95" s="31" t="n">
        <f aca="false">IF($G95="",AX95,Y95)</f>
        <v>0</v>
      </c>
      <c r="BJ95" s="31" t="n">
        <f aca="false">IF(CK95="N",BR95,ROUNDDOWN((I95-L95)*設定!$B$10/1000,0)+ROUNDDOWN((I95-L95)*設定!$B$11/1000,0))</f>
        <v>0</v>
      </c>
      <c r="BK95" s="31" t="n">
        <f aca="false">ROUNDDOWN((I95-L95)*設定!$C$10/1000,0)+ROUNDDOWN((I95-L95)*設定!$C$11/1000,0)+ROUNDDOWN(I95*設定!$C$12/1000,0)+IF(CL95="市局型",ROUNDDOWN(I95*設定!$C$16/1000,0),0)</f>
        <v>0</v>
      </c>
      <c r="BL95" s="31" t="n">
        <f aca="false">IF(CK95="N",BT95,ROUNDDOWN((J95-M95)*設定!$B$13/1000,0))</f>
        <v>0</v>
      </c>
      <c r="BM95" s="31" t="n">
        <f aca="false">ROUNDDOWN((J95-M95)*設定!$C$13/1000,0)+IF(CL95="市局型",ROUNDDOWN(J95*設定!$C$17/1000,0),0)</f>
        <v>0</v>
      </c>
      <c r="BN95" s="31" t="n">
        <f aca="false">IF(CK95="N",BV95,ROUNDDOWN((K95-N95)*設定!$B$14/1000,0))</f>
        <v>0</v>
      </c>
      <c r="BO95" s="31" t="n">
        <f aca="false">ROUNDDOWN((K95-N95)*設定!$C$14/1000,0)</f>
        <v>0</v>
      </c>
      <c r="BP95" s="31" t="n">
        <f aca="false">IF(CK95="N",BX95,ROUNDDOWN((J95-M95)*設定!$B$15/1000,0))</f>
        <v>0</v>
      </c>
      <c r="BQ95" s="31" t="n">
        <f aca="false">ROUNDDOWN((J95-M95)*設定!$C$15/1000,0)</f>
        <v>0</v>
      </c>
      <c r="BR95" s="31" t="n">
        <f aca="false">O95+P95</f>
        <v>0</v>
      </c>
      <c r="BS95" s="31" t="n">
        <f aca="false">T95+U95+V95</f>
        <v>0</v>
      </c>
      <c r="BT95" s="31" t="n">
        <f aca="false">Q95</f>
        <v>0</v>
      </c>
      <c r="BU95" s="31" t="n">
        <f aca="false">W95</f>
        <v>0</v>
      </c>
      <c r="BV95" s="31" t="n">
        <f aca="false">R95</f>
        <v>0</v>
      </c>
      <c r="BW95" s="31" t="n">
        <f aca="false">X95</f>
        <v>0</v>
      </c>
      <c r="BX95" s="31" t="n">
        <f aca="false">S95</f>
        <v>0</v>
      </c>
      <c r="BY95" s="31" t="n">
        <f aca="false">Y95</f>
        <v>0</v>
      </c>
      <c r="BZ95" s="32" t="n">
        <f aca="false">IF(BJ95=0,IF(BR95=0,0,1),(BR95-BJ95)/BJ95)</f>
        <v>0</v>
      </c>
      <c r="CA95" s="32" t="n">
        <f aca="false">IF(BK95=0,IF(BS95=0,0,1),(BS95-BK95)/BK95)</f>
        <v>0</v>
      </c>
      <c r="CB95" s="32" t="n">
        <f aca="false">IF(BL95=0,IF(BT95=0,0,1),(BT95-BL95)/BL95)</f>
        <v>0</v>
      </c>
      <c r="CC95" s="32" t="n">
        <f aca="false">IF(BM95=0,IF(BU95=0,0,1),(BU95-BM95)/BM95)</f>
        <v>0</v>
      </c>
      <c r="CD95" s="32" t="n">
        <f aca="false">IF(BN95=0,IF(BV95=0,0,1),(BV95-BN95)/BN95)</f>
        <v>0</v>
      </c>
      <c r="CE95" s="32" t="n">
        <f aca="false">IF(BO95=0,IF(BW95=0,0,1),(BW95-BO95)/BO95)</f>
        <v>0</v>
      </c>
      <c r="CF95" s="32" t="n">
        <f aca="false">IF(BP95=0,IF(BX95=0,0,1),(BX95-BP95)/BP95)</f>
        <v>0</v>
      </c>
      <c r="CG95" s="32" t="n">
        <f aca="false">IF(BQ95=0,IF(BY95=0,0,1),(BY95-BQ95)/BQ95)</f>
        <v>0</v>
      </c>
      <c r="CH95" s="32" t="n">
        <f aca="false">MAX(MAX(BZ95:CG95),-MIN(BZ95:CG95))</f>
        <v>-0</v>
      </c>
      <c r="CI95" s="31" t="n">
        <f aca="false">IF(CO95="","",SUMIFS($CJ$7:$CJ$696,$A$7:$A$696,CO95,$B$7:$B$696,B95))</f>
        <v>0</v>
      </c>
      <c r="CJ95" s="31" t="n">
        <f aca="false">SUM(AY95:BI95)</f>
        <v>0</v>
      </c>
      <c r="CK95" s="31" t="str">
        <f aca="false">IFERROR(INDEX(設定!$F$61:$F$106,MATCH(B95,設定!$B$61:$B$106,0)),"Y")</f>
        <v>N</v>
      </c>
      <c r="CL95" s="31" t="str">
        <f aca="false">IFERROR(INDEX(設定!$G$61:$G$106,MATCH(B95,設定!$B$61:$B$106,0)),"外郭型")</f>
        <v>外郭型</v>
      </c>
      <c r="CM95" s="33" t="str">
        <f aca="false">A95&amp;"|"&amp;B95</f>
        <v>2026-05 月例|自治労労働組合</v>
      </c>
      <c r="CN95" s="34" t="str">
        <f aca="false">IFERROR(INDEX(設定!$D$61:$D$106,MATCH(B95,設定!$B$61:$B$106,0)),"Y")</f>
        <v>Y</v>
      </c>
      <c r="CO95" s="34" t="str">
        <f aca="false">IFERROR(INDEX(設定!$D$20:$D$34,MATCH(A95,設定!$A$20:$A$34,0))&amp;"","")</f>
        <v>2026-04 月例</v>
      </c>
    </row>
    <row r="96" customFormat="false" ht="15" hidden="true" customHeight="false" outlineLevel="0" collapsed="false">
      <c r="A96" s="22" t="s">
        <v>215</v>
      </c>
      <c r="B96" s="23" t="s">
        <v>212</v>
      </c>
      <c r="C96" s="10" t="str">
        <f aca="false">IF(G96="","未受領",IF(G96="なし","報告なし",IF(AL96="○","起票済",IF(OR(AK96="○",F96="一致",F96="入金不要"),"入金確認済","受領済"))))</f>
        <v>入金確認済</v>
      </c>
      <c r="D96" s="10" t="str">
        <f aca="false">IF(OR(G96="",G96="なし"),"―",IF(CN96="N","対象外",IF(AND(I96="",J96="",K96=""),"標報未入力",IF(CH96&gt;=設定!$B$4,"要確認","問題なし"))))</f>
        <v>標報未入力</v>
      </c>
      <c r="E96" s="24" t="str">
        <f aca="false">IF(OR(G96="",G96="なし",CI96="",CJ96=0),"―",IF(CJ96=CI96,"前月同額",IF(CI96=0,"―",IF(ABS(CJ96/CI96-1)&gt;=設定!$B$5,"変動大 "&amp;TEXT(CJ96/CI96-1,"+0%;-0%"),"〇"))))</f>
        <v>前月同額</v>
      </c>
      <c r="F96" s="10" t="str">
        <f aca="false">IF(OR(G96="",G96="なし"),"―",IF(CJ96=0,"入金不要",IF(COUNT(AD96,AF96,AH96,AJ96)=0,IF(AK96="○","手動確認","未入金"),IF(AND(N(AD96)=AC96,IF(AE96="",TRUE(),N(AF96)=AE96),IF(AG96="",TRUE(),N(AH96)=AG96),IF(AI96="",TRUE(),N(AJ96)=AI96)),"一致","不一致"))))</f>
        <v>手動確認</v>
      </c>
      <c r="G96" s="25" t="s">
        <v>167</v>
      </c>
      <c r="H96" s="26"/>
      <c r="I96" s="27"/>
      <c r="J96" s="27"/>
      <c r="K96" s="27"/>
      <c r="L96" s="27"/>
      <c r="M96" s="27"/>
      <c r="N96" s="27"/>
      <c r="O96" s="27" t="n">
        <v>27450</v>
      </c>
      <c r="P96" s="27" t="n">
        <v>2250</v>
      </c>
      <c r="Q96" s="27" t="n">
        <v>31116</v>
      </c>
      <c r="R96" s="27" t="n">
        <v>2370</v>
      </c>
      <c r="S96" s="27" t="n">
        <v>690</v>
      </c>
      <c r="T96" s="27" t="n">
        <v>27450</v>
      </c>
      <c r="U96" s="27" t="n">
        <v>2250</v>
      </c>
      <c r="V96" s="27"/>
      <c r="W96" s="27" t="n">
        <v>31146</v>
      </c>
      <c r="X96" s="27" t="n">
        <v>2370</v>
      </c>
      <c r="Y96" s="27" t="n">
        <v>690</v>
      </c>
      <c r="Z96" s="27"/>
      <c r="AA96" s="10" t="str">
        <f aca="false">IFERROR(INDEX(設定!$E$61:$E$106,MATCH(B96,設定!$B$61:$B$106,0)),"合算")</f>
        <v>合算</v>
      </c>
      <c r="AB96" s="28"/>
      <c r="AC96" s="29" t="n">
        <f aca="false">IF(OR(G96="",G96="なし"),"",IF(AA96="合算",CJ96+N(Z96),IF(AA96="掛金・負担金別",(AY96+AZ96+BD96+BF96+BH96),SUM(AY96:BC96))))</f>
        <v>127782</v>
      </c>
      <c r="AD96" s="27"/>
      <c r="AE96" s="29" t="str">
        <f aca="false">IF(OR(G96="",G96="なし"),"",IF(AA96="掛金・負担金別",(BA96+BB96+BC96+BE96+BG96+BI96+N(Z96)),IF(AA96="経理区分別",BD96+BE96,"")))</f>
        <v/>
      </c>
      <c r="AF96" s="27"/>
      <c r="AG96" s="29" t="str">
        <f aca="false">IF(OR(G96="",G96="なし"),"",IF(AA96="経理区分別",BF96+BG96,""))</f>
        <v/>
      </c>
      <c r="AH96" s="27"/>
      <c r="AI96" s="29" t="str">
        <f aca="false">IF(OR(G96="",G96="なし"),"",IF(AA96="経理区分別",BH96+BI96+N(Z96),""))</f>
        <v/>
      </c>
      <c r="AJ96" s="27"/>
      <c r="AK96" s="26" t="s">
        <v>168</v>
      </c>
      <c r="AL96" s="26"/>
      <c r="AM96" s="30"/>
      <c r="AN96" s="31"/>
      <c r="AO96" s="31"/>
      <c r="AP96" s="31"/>
      <c r="AQ96" s="31"/>
      <c r="AR96" s="31"/>
      <c r="AS96" s="31"/>
      <c r="AT96" s="31"/>
      <c r="AU96" s="31"/>
      <c r="AV96" s="31"/>
      <c r="AW96" s="31"/>
      <c r="AX96" s="31"/>
      <c r="AY96" s="31" t="n">
        <f aca="false">IF($G96="",AN96,O96)</f>
        <v>27450</v>
      </c>
      <c r="AZ96" s="31" t="n">
        <f aca="false">IF($G96="",AO96,P96)</f>
        <v>2250</v>
      </c>
      <c r="BA96" s="31" t="n">
        <f aca="false">IF($G96="",AP96,T96)</f>
        <v>27450</v>
      </c>
      <c r="BB96" s="31" t="n">
        <f aca="false">IF($G96="",AQ96,U96)</f>
        <v>2250</v>
      </c>
      <c r="BC96" s="31" t="n">
        <f aca="false">IF($G96="",AR96,V96)</f>
        <v>0</v>
      </c>
      <c r="BD96" s="31" t="n">
        <f aca="false">IF($G96="",AS96,Q96)</f>
        <v>31116</v>
      </c>
      <c r="BE96" s="31" t="n">
        <f aca="false">IF($G96="",AT96,W96)</f>
        <v>31146</v>
      </c>
      <c r="BF96" s="31" t="n">
        <f aca="false">IF($G96="",AU96,R96)</f>
        <v>2370</v>
      </c>
      <c r="BG96" s="31" t="n">
        <f aca="false">IF($G96="",AV96,X96)</f>
        <v>2370</v>
      </c>
      <c r="BH96" s="31" t="n">
        <f aca="false">IF($G96="",AW96,S96)</f>
        <v>690</v>
      </c>
      <c r="BI96" s="31" t="n">
        <f aca="false">IF($G96="",AX96,Y96)</f>
        <v>690</v>
      </c>
      <c r="BJ96" s="31" t="n">
        <f aca="false">IF(CK96="N",BR96,ROUNDDOWN((I96-L96)*設定!$B$10/1000,0)+ROUNDDOWN((I96-L96)*設定!$B$11/1000,0))</f>
        <v>0</v>
      </c>
      <c r="BK96" s="31" t="n">
        <f aca="false">ROUNDDOWN((I96-L96)*設定!$C$10/1000,0)+ROUNDDOWN((I96-L96)*設定!$C$11/1000,0)+ROUNDDOWN(I96*設定!$C$12/1000,0)+IF(CL96="市局型",ROUNDDOWN(I96*設定!$C$16/1000,0),0)</f>
        <v>0</v>
      </c>
      <c r="BL96" s="31" t="n">
        <f aca="false">IF(CK96="N",BT96,ROUNDDOWN((J96-M96)*設定!$B$13/1000,0))</f>
        <v>0</v>
      </c>
      <c r="BM96" s="31" t="n">
        <f aca="false">ROUNDDOWN((J96-M96)*設定!$C$13/1000,0)+IF(CL96="市局型",ROUNDDOWN(J96*設定!$C$17/1000,0),0)</f>
        <v>0</v>
      </c>
      <c r="BN96" s="31" t="n">
        <f aca="false">IF(CK96="N",BV96,ROUNDDOWN((K96-N96)*設定!$B$14/1000,0))</f>
        <v>0</v>
      </c>
      <c r="BO96" s="31" t="n">
        <f aca="false">ROUNDDOWN((K96-N96)*設定!$C$14/1000,0)</f>
        <v>0</v>
      </c>
      <c r="BP96" s="31" t="n">
        <f aca="false">IF(CK96="N",BX96,ROUNDDOWN((J96-M96)*設定!$B$15/1000,0))</f>
        <v>0</v>
      </c>
      <c r="BQ96" s="31" t="n">
        <f aca="false">ROUNDDOWN((J96-M96)*設定!$C$15/1000,0)</f>
        <v>0</v>
      </c>
      <c r="BR96" s="31" t="n">
        <f aca="false">O96+P96</f>
        <v>29700</v>
      </c>
      <c r="BS96" s="31" t="n">
        <f aca="false">T96+U96+V96</f>
        <v>29700</v>
      </c>
      <c r="BT96" s="31" t="n">
        <f aca="false">Q96</f>
        <v>31116</v>
      </c>
      <c r="BU96" s="31" t="n">
        <f aca="false">W96</f>
        <v>31146</v>
      </c>
      <c r="BV96" s="31" t="n">
        <f aca="false">R96</f>
        <v>2370</v>
      </c>
      <c r="BW96" s="31" t="n">
        <f aca="false">X96</f>
        <v>2370</v>
      </c>
      <c r="BX96" s="31" t="n">
        <f aca="false">S96</f>
        <v>690</v>
      </c>
      <c r="BY96" s="31" t="n">
        <f aca="false">Y96</f>
        <v>690</v>
      </c>
      <c r="BZ96" s="32" t="n">
        <f aca="false">IF(BJ96=0,IF(BR96=0,0,1),(BR96-BJ96)/BJ96)</f>
        <v>1</v>
      </c>
      <c r="CA96" s="32" t="n">
        <f aca="false">IF(BK96=0,IF(BS96=0,0,1),(BS96-BK96)/BK96)</f>
        <v>1</v>
      </c>
      <c r="CB96" s="32" t="n">
        <f aca="false">IF(BL96=0,IF(BT96=0,0,1),(BT96-BL96)/BL96)</f>
        <v>1</v>
      </c>
      <c r="CC96" s="32" t="n">
        <f aca="false">IF(BM96=0,IF(BU96=0,0,1),(BU96-BM96)/BM96)</f>
        <v>1</v>
      </c>
      <c r="CD96" s="32" t="n">
        <f aca="false">IF(BN96=0,IF(BV96=0,0,1),(BV96-BN96)/BN96)</f>
        <v>1</v>
      </c>
      <c r="CE96" s="32" t="n">
        <f aca="false">IF(BO96=0,IF(BW96=0,0,1),(BW96-BO96)/BO96)</f>
        <v>1</v>
      </c>
      <c r="CF96" s="32" t="n">
        <f aca="false">IF(BP96=0,IF(BX96=0,0,1),(BX96-BP96)/BP96)</f>
        <v>1</v>
      </c>
      <c r="CG96" s="32" t="n">
        <f aca="false">IF(BQ96=0,IF(BY96=0,0,1),(BY96-BQ96)/BQ96)</f>
        <v>1</v>
      </c>
      <c r="CH96" s="32" t="n">
        <f aca="false">MAX(MAX(BZ96:CG96),-MIN(BZ96:CG96))</f>
        <v>1</v>
      </c>
      <c r="CI96" s="31" t="n">
        <f aca="false">IF(CO96="","",SUMIFS($CJ$7:$CJ$696,$A$7:$A$696,CO96,$B$7:$B$696,B96))</f>
        <v>127782</v>
      </c>
      <c r="CJ96" s="31" t="n">
        <f aca="false">SUM(AY96:BI96)</f>
        <v>127782</v>
      </c>
      <c r="CK96" s="31" t="str">
        <f aca="false">IFERROR(INDEX(設定!$F$61:$F$106,MATCH(B96,設定!$B$61:$B$106,0)),"Y")</f>
        <v>Y</v>
      </c>
      <c r="CL96" s="31" t="str">
        <f aca="false">IFERROR(INDEX(設定!$G$61:$G$106,MATCH(B96,設定!$B$61:$B$106,0)),"外郭型")</f>
        <v>外郭型</v>
      </c>
      <c r="CM96" s="33" t="str">
        <f aca="false">A96&amp;"|"&amp;B96</f>
        <v>2026-05 月例|病院労働組合</v>
      </c>
      <c r="CN96" s="34" t="str">
        <f aca="false">IFERROR(INDEX(設定!$D$61:$D$106,MATCH(B96,設定!$B$61:$B$106,0)),"Y")</f>
        <v>Y</v>
      </c>
      <c r="CO96" s="34" t="str">
        <f aca="false">IFERROR(INDEX(設定!$D$20:$D$34,MATCH(A96,設定!$A$20:$A$34,0))&amp;"","")</f>
        <v>2026-04 月例</v>
      </c>
    </row>
    <row r="97" customFormat="false" ht="15" hidden="true" customHeight="false" outlineLevel="0" collapsed="false">
      <c r="A97" s="22" t="s">
        <v>215</v>
      </c>
      <c r="B97" s="23" t="s">
        <v>213</v>
      </c>
      <c r="C97" s="10" t="str">
        <f aca="false">IF(G97="","未受領",IF(G97="なし","報告なし",IF(AL97="○","起票済",IF(OR(AK97="○",F97="一致",F97="入金不要"),"入金確認済","受領済"))))</f>
        <v>報告なし</v>
      </c>
      <c r="D97" s="10" t="str">
        <f aca="false">IF(OR(G97="",G97="なし"),"―",IF(CN97="N","対象外",IF(AND(I97="",J97="",K97=""),"標報未入力",IF(CH97&gt;=設定!$B$4,"要確認","問題なし"))))</f>
        <v>―</v>
      </c>
      <c r="E97" s="24" t="str">
        <f aca="false">IF(OR(G97="",G97="なし",CI97="",CJ97=0),"―",IF(CJ97=CI97,"前月同額",IF(CI97=0,"―",IF(ABS(CJ97/CI97-1)&gt;=設定!$B$5,"変動大 "&amp;TEXT(CJ97/CI97-1,"+0%;-0%"),"〇"))))</f>
        <v>―</v>
      </c>
      <c r="F97" s="10" t="str">
        <f aca="false">IF(OR(G97="",G97="なし"),"―",IF(CJ97=0,"入金不要",IF(COUNT(AD97,AF97,AH97,AJ97)=0,IF(AK97="○","手動確認","未入金"),IF(AND(N(AD97)=AC97,IF(AE97="",TRUE(),N(AF97)=AE97),IF(AG97="",TRUE(),N(AH97)=AG97),IF(AI97="",TRUE(),N(AJ97)=AI97)),"一致","不一致"))))</f>
        <v>―</v>
      </c>
      <c r="G97" s="25" t="s">
        <v>181</v>
      </c>
      <c r="H97" s="26"/>
      <c r="I97" s="27"/>
      <c r="J97" s="27"/>
      <c r="K97" s="27"/>
      <c r="L97" s="27"/>
      <c r="M97" s="27"/>
      <c r="N97" s="27"/>
      <c r="O97" s="27"/>
      <c r="P97" s="27"/>
      <c r="Q97" s="27"/>
      <c r="R97" s="27"/>
      <c r="S97" s="27"/>
      <c r="T97" s="27"/>
      <c r="U97" s="27"/>
      <c r="V97" s="27"/>
      <c r="W97" s="27"/>
      <c r="X97" s="27"/>
      <c r="Y97" s="27"/>
      <c r="Z97" s="27"/>
      <c r="AA97" s="10" t="str">
        <f aca="false">IFERROR(INDEX(設定!$E$61:$E$106,MATCH(B97,設定!$B$61:$B$106,0)),"合算")</f>
        <v>合算</v>
      </c>
      <c r="AB97" s="28"/>
      <c r="AC97" s="29" t="str">
        <f aca="false">IF(OR(G97="",G97="なし"),"",IF(AA97="合算",CJ97+N(Z97),IF(AA97="掛金・負担金別",(AY97+AZ97+BD97+BF97+BH97),SUM(AY97:BC97))))</f>
        <v/>
      </c>
      <c r="AD97" s="27"/>
      <c r="AE97" s="29" t="str">
        <f aca="false">IF(OR(G97="",G97="なし"),"",IF(AA97="掛金・負担金別",(BA97+BB97+BC97+BE97+BG97+BI97+N(Z97)),IF(AA97="経理区分別",BD97+BE97,"")))</f>
        <v/>
      </c>
      <c r="AF97" s="27"/>
      <c r="AG97" s="29" t="str">
        <f aca="false">IF(OR(G97="",G97="なし"),"",IF(AA97="経理区分別",BF97+BG97,""))</f>
        <v/>
      </c>
      <c r="AH97" s="27"/>
      <c r="AI97" s="29" t="str">
        <f aca="false">IF(OR(G97="",G97="なし"),"",IF(AA97="経理区分別",BH97+BI97+N(Z97),""))</f>
        <v/>
      </c>
      <c r="AJ97" s="27"/>
      <c r="AK97" s="26"/>
      <c r="AL97" s="26"/>
      <c r="AM97" s="30"/>
      <c r="AN97" s="31"/>
      <c r="AO97" s="31"/>
      <c r="AP97" s="31"/>
      <c r="AQ97" s="31"/>
      <c r="AR97" s="31"/>
      <c r="AS97" s="31"/>
      <c r="AT97" s="31"/>
      <c r="AU97" s="31"/>
      <c r="AV97" s="31"/>
      <c r="AW97" s="31"/>
      <c r="AX97" s="31"/>
      <c r="AY97" s="31" t="n">
        <f aca="false">IF($G97="",AN97,O97)</f>
        <v>0</v>
      </c>
      <c r="AZ97" s="31" t="n">
        <f aca="false">IF($G97="",AO97,P97)</f>
        <v>0</v>
      </c>
      <c r="BA97" s="31" t="n">
        <f aca="false">IF($G97="",AP97,T97)</f>
        <v>0</v>
      </c>
      <c r="BB97" s="31" t="n">
        <f aca="false">IF($G97="",AQ97,U97)</f>
        <v>0</v>
      </c>
      <c r="BC97" s="31" t="n">
        <f aca="false">IF($G97="",AR97,V97)</f>
        <v>0</v>
      </c>
      <c r="BD97" s="31" t="n">
        <f aca="false">IF($G97="",AS97,Q97)</f>
        <v>0</v>
      </c>
      <c r="BE97" s="31" t="n">
        <f aca="false">IF($G97="",AT97,W97)</f>
        <v>0</v>
      </c>
      <c r="BF97" s="31" t="n">
        <f aca="false">IF($G97="",AU97,R97)</f>
        <v>0</v>
      </c>
      <c r="BG97" s="31" t="n">
        <f aca="false">IF($G97="",AV97,X97)</f>
        <v>0</v>
      </c>
      <c r="BH97" s="31" t="n">
        <f aca="false">IF($G97="",AW97,S97)</f>
        <v>0</v>
      </c>
      <c r="BI97" s="31" t="n">
        <f aca="false">IF($G97="",AX97,Y97)</f>
        <v>0</v>
      </c>
      <c r="BJ97" s="31" t="n">
        <f aca="false">IF(CK97="N",BR97,ROUNDDOWN((I97-L97)*設定!$B$10/1000,0)+ROUNDDOWN((I97-L97)*設定!$B$11/1000,0))</f>
        <v>0</v>
      </c>
      <c r="BK97" s="31" t="n">
        <f aca="false">ROUNDDOWN((I97-L97)*設定!$C$10/1000,0)+ROUNDDOWN((I97-L97)*設定!$C$11/1000,0)+ROUNDDOWN(I97*設定!$C$12/1000,0)+IF(CL97="市局型",ROUNDDOWN(I97*設定!$C$16/1000,0),0)</f>
        <v>0</v>
      </c>
      <c r="BL97" s="31" t="n">
        <f aca="false">IF(CK97="N",BT97,ROUNDDOWN((J97-M97)*設定!$B$13/1000,0))</f>
        <v>0</v>
      </c>
      <c r="BM97" s="31" t="n">
        <f aca="false">ROUNDDOWN((J97-M97)*設定!$C$13/1000,0)+IF(CL97="市局型",ROUNDDOWN(J97*設定!$C$17/1000,0),0)</f>
        <v>0</v>
      </c>
      <c r="BN97" s="31" t="n">
        <f aca="false">IF(CK97="N",BV97,ROUNDDOWN((K97-N97)*設定!$B$14/1000,0))</f>
        <v>0</v>
      </c>
      <c r="BO97" s="31" t="n">
        <f aca="false">ROUNDDOWN((K97-N97)*設定!$C$14/1000,0)</f>
        <v>0</v>
      </c>
      <c r="BP97" s="31" t="n">
        <f aca="false">IF(CK97="N",BX97,ROUNDDOWN((J97-M97)*設定!$B$15/1000,0))</f>
        <v>0</v>
      </c>
      <c r="BQ97" s="31" t="n">
        <f aca="false">ROUNDDOWN((J97-M97)*設定!$C$15/1000,0)</f>
        <v>0</v>
      </c>
      <c r="BR97" s="31" t="n">
        <f aca="false">O97+P97</f>
        <v>0</v>
      </c>
      <c r="BS97" s="31" t="n">
        <f aca="false">T97+U97+V97</f>
        <v>0</v>
      </c>
      <c r="BT97" s="31" t="n">
        <f aca="false">Q97</f>
        <v>0</v>
      </c>
      <c r="BU97" s="31" t="n">
        <f aca="false">W97</f>
        <v>0</v>
      </c>
      <c r="BV97" s="31" t="n">
        <f aca="false">R97</f>
        <v>0</v>
      </c>
      <c r="BW97" s="31" t="n">
        <f aca="false">X97</f>
        <v>0</v>
      </c>
      <c r="BX97" s="31" t="n">
        <f aca="false">S97</f>
        <v>0</v>
      </c>
      <c r="BY97" s="31" t="n">
        <f aca="false">Y97</f>
        <v>0</v>
      </c>
      <c r="BZ97" s="32" t="n">
        <f aca="false">IF(BJ97=0,IF(BR97=0,0,1),(BR97-BJ97)/BJ97)</f>
        <v>0</v>
      </c>
      <c r="CA97" s="32" t="n">
        <f aca="false">IF(BK97=0,IF(BS97=0,0,1),(BS97-BK97)/BK97)</f>
        <v>0</v>
      </c>
      <c r="CB97" s="32" t="n">
        <f aca="false">IF(BL97=0,IF(BT97=0,0,1),(BT97-BL97)/BL97)</f>
        <v>0</v>
      </c>
      <c r="CC97" s="32" t="n">
        <f aca="false">IF(BM97=0,IF(BU97=0,0,1),(BU97-BM97)/BM97)</f>
        <v>0</v>
      </c>
      <c r="CD97" s="32" t="n">
        <f aca="false">IF(BN97=0,IF(BV97=0,0,1),(BV97-BN97)/BN97)</f>
        <v>0</v>
      </c>
      <c r="CE97" s="32" t="n">
        <f aca="false">IF(BO97=0,IF(BW97=0,0,1),(BW97-BO97)/BO97)</f>
        <v>0</v>
      </c>
      <c r="CF97" s="32" t="n">
        <f aca="false">IF(BP97=0,IF(BX97=0,0,1),(BX97-BP97)/BP97)</f>
        <v>0</v>
      </c>
      <c r="CG97" s="32" t="n">
        <f aca="false">IF(BQ97=0,IF(BY97=0,0,1),(BY97-BQ97)/BQ97)</f>
        <v>0</v>
      </c>
      <c r="CH97" s="32" t="n">
        <f aca="false">MAX(MAX(BZ97:CG97),-MIN(BZ97:CG97))</f>
        <v>-0</v>
      </c>
      <c r="CI97" s="31" t="n">
        <f aca="false">IF(CO97="","",SUMIFS($CJ$7:$CJ$696,$A$7:$A$696,CO97,$B$7:$B$696,B97))</f>
        <v>0</v>
      </c>
      <c r="CJ97" s="31" t="n">
        <f aca="false">SUM(AY97:BI97)</f>
        <v>0</v>
      </c>
      <c r="CK97" s="31" t="str">
        <f aca="false">IFERROR(INDEX(設定!$F$61:$F$106,MATCH(B97,設定!$B$61:$B$106,0)),"Y")</f>
        <v>N</v>
      </c>
      <c r="CL97" s="31" t="str">
        <f aca="false">IFERROR(INDEX(設定!$G$61:$G$106,MATCH(B97,設定!$B$61:$B$106,0)),"外郭型")</f>
        <v>外郭型</v>
      </c>
      <c r="CM97" s="33" t="str">
        <f aca="false">A97&amp;"|"&amp;B97</f>
        <v>2026-05 月例|水道労働組合</v>
      </c>
      <c r="CN97" s="34" t="str">
        <f aca="false">IFERROR(INDEX(設定!$D$61:$D$106,MATCH(B97,設定!$B$61:$B$106,0)),"Y")</f>
        <v>Y</v>
      </c>
      <c r="CO97" s="34" t="str">
        <f aca="false">IFERROR(INDEX(設定!$D$20:$D$34,MATCH(A97,設定!$A$20:$A$34,0))&amp;"","")</f>
        <v>2026-04 月例</v>
      </c>
    </row>
    <row r="98" customFormat="false" ht="15" hidden="true" customHeight="false" outlineLevel="0" collapsed="false">
      <c r="A98" s="22" t="s">
        <v>215</v>
      </c>
      <c r="B98" s="23" t="s">
        <v>214</v>
      </c>
      <c r="C98" s="10" t="str">
        <f aca="false">IF(G98="","未受領",IF(G98="なし","報告なし",IF(AL98="○","起票済",IF(OR(AK98="○",F98="一致",F98="入金不要"),"入金確認済","受領済"))))</f>
        <v>受領済</v>
      </c>
      <c r="D98" s="10" t="str">
        <f aca="false">IF(OR(G98="",G98="なし"),"―",IF(CN98="N","対象外",IF(AND(I98="",J98="",K98=""),"標報未入力",IF(CH98&gt;=設定!$B$4,"要確認","問題なし"))))</f>
        <v>対象外</v>
      </c>
      <c r="E98" s="24" t="str">
        <f aca="false">IF(OR(G98="",G98="なし",CI98="",CJ98=0),"―",IF(CJ98=CI98,"前月同額",IF(CI98=0,"―",IF(ABS(CJ98/CI98-1)&gt;=設定!$B$5,"変動大 "&amp;TEXT(CJ98/CI98-1,"+0%;-0%"),"〇"))))</f>
        <v>変動大 -97%</v>
      </c>
      <c r="F98" s="10" t="str">
        <f aca="false">IF(OR(G98="",G98="なし"),"―",IF(CJ98=0,"入金不要",IF(COUNT(AD98,AF98,AH98,AJ98)=0,IF(AK98="○","手動確認","未入金"),IF(AND(N(AD98)=AC98,IF(AE98="",TRUE(),N(AF98)=AE98),IF(AG98="",TRUE(),N(AH98)=AG98),IF(AI98="",TRUE(),N(AJ98)=AI98)),"一致","不一致"))))</f>
        <v>未入金</v>
      </c>
      <c r="G98" s="25" t="s">
        <v>167</v>
      </c>
      <c r="H98" s="26"/>
      <c r="I98" s="27"/>
      <c r="J98" s="27"/>
      <c r="K98" s="27"/>
      <c r="L98" s="27"/>
      <c r="M98" s="27"/>
      <c r="N98" s="27"/>
      <c r="O98" s="27"/>
      <c r="P98" s="27"/>
      <c r="Q98" s="27" t="n">
        <v>2899667</v>
      </c>
      <c r="R98" s="27" t="n">
        <v>166737</v>
      </c>
      <c r="S98" s="27" t="n">
        <v>64285</v>
      </c>
      <c r="T98" s="27"/>
      <c r="U98" s="27"/>
      <c r="V98" s="27"/>
      <c r="W98" s="27"/>
      <c r="X98" s="27"/>
      <c r="Y98" s="27"/>
      <c r="Z98" s="27"/>
      <c r="AA98" s="10" t="str">
        <f aca="false">IFERROR(INDEX(設定!$E$61:$E$106,MATCH(B98,設定!$B$61:$B$106,0)),"合算")</f>
        <v>合算</v>
      </c>
      <c r="AB98" s="28"/>
      <c r="AC98" s="29" t="n">
        <f aca="false">IF(OR(G98="",G98="なし"),"",IF(AA98="合算",CJ98+N(Z98),IF(AA98="掛金・負担金別",(AY98+AZ98+BD98+BF98+BH98),SUM(AY98:BC98))))</f>
        <v>3130689</v>
      </c>
      <c r="AD98" s="27"/>
      <c r="AE98" s="29" t="str">
        <f aca="false">IF(OR(G98="",G98="なし"),"",IF(AA98="掛金・負担金別",(BA98+BB98+BC98+BE98+BG98+BI98+N(Z98)),IF(AA98="経理区分別",BD98+BE98,"")))</f>
        <v/>
      </c>
      <c r="AF98" s="27"/>
      <c r="AG98" s="29" t="str">
        <f aca="false">IF(OR(G98="",G98="なし"),"",IF(AA98="経理区分別",BF98+BG98,""))</f>
        <v/>
      </c>
      <c r="AH98" s="27"/>
      <c r="AI98" s="29" t="str">
        <f aca="false">IF(OR(G98="",G98="なし"),"",IF(AA98="経理区分別",BH98+BI98+N(Z98),""))</f>
        <v/>
      </c>
      <c r="AJ98" s="27"/>
      <c r="AK98" s="26"/>
      <c r="AL98" s="26"/>
      <c r="AM98" s="30"/>
      <c r="AN98" s="31"/>
      <c r="AO98" s="31"/>
      <c r="AP98" s="31"/>
      <c r="AQ98" s="31"/>
      <c r="AR98" s="31"/>
      <c r="AS98" s="31"/>
      <c r="AT98" s="31"/>
      <c r="AU98" s="31"/>
      <c r="AV98" s="31"/>
      <c r="AW98" s="31"/>
      <c r="AX98" s="31"/>
      <c r="AY98" s="31" t="n">
        <f aca="false">IF($G98="",AN98,O98)</f>
        <v>0</v>
      </c>
      <c r="AZ98" s="31" t="n">
        <f aca="false">IF($G98="",AO98,P98)</f>
        <v>0</v>
      </c>
      <c r="BA98" s="31" t="n">
        <f aca="false">IF($G98="",AP98,T98)</f>
        <v>0</v>
      </c>
      <c r="BB98" s="31" t="n">
        <f aca="false">IF($G98="",AQ98,U98)</f>
        <v>0</v>
      </c>
      <c r="BC98" s="31" t="n">
        <f aca="false">IF($G98="",AR98,V98)</f>
        <v>0</v>
      </c>
      <c r="BD98" s="31" t="n">
        <f aca="false">IF($G98="",AS98,Q98)</f>
        <v>2899667</v>
      </c>
      <c r="BE98" s="31" t="n">
        <f aca="false">IF($G98="",AT98,W98)</f>
        <v>0</v>
      </c>
      <c r="BF98" s="31" t="n">
        <f aca="false">IF($G98="",AU98,R98)</f>
        <v>166737</v>
      </c>
      <c r="BG98" s="31" t="n">
        <f aca="false">IF($G98="",AV98,X98)</f>
        <v>0</v>
      </c>
      <c r="BH98" s="31" t="n">
        <f aca="false">IF($G98="",AW98,S98)</f>
        <v>64285</v>
      </c>
      <c r="BI98" s="31" t="n">
        <f aca="false">IF($G98="",AX98,Y98)</f>
        <v>0</v>
      </c>
      <c r="BJ98" s="31" t="n">
        <f aca="false">IF(CK98="N",BR98,ROUNDDOWN((I98-L98)*設定!$B$10/1000,0)+ROUNDDOWN((I98-L98)*設定!$B$11/1000,0))</f>
        <v>0</v>
      </c>
      <c r="BK98" s="31" t="n">
        <f aca="false">ROUNDDOWN((I98-L98)*設定!$C$10/1000,0)+ROUNDDOWN((I98-L98)*設定!$C$11/1000,0)+ROUNDDOWN(I98*設定!$C$12/1000,0)+IF(CL98="市局型",ROUNDDOWN(I98*設定!$C$16/1000,0),0)</f>
        <v>0</v>
      </c>
      <c r="BL98" s="31" t="n">
        <f aca="false">IF(CK98="N",BT98,ROUNDDOWN((J98-M98)*設定!$B$13/1000,0))</f>
        <v>0</v>
      </c>
      <c r="BM98" s="31" t="n">
        <f aca="false">ROUNDDOWN((J98-M98)*設定!$C$13/1000,0)+IF(CL98="市局型",ROUNDDOWN(J98*設定!$C$17/1000,0),0)</f>
        <v>0</v>
      </c>
      <c r="BN98" s="31" t="n">
        <f aca="false">IF(CK98="N",BV98,ROUNDDOWN((K98-N98)*設定!$B$14/1000,0))</f>
        <v>0</v>
      </c>
      <c r="BO98" s="31" t="n">
        <f aca="false">ROUNDDOWN((K98-N98)*設定!$C$14/1000,0)</f>
        <v>0</v>
      </c>
      <c r="BP98" s="31" t="n">
        <f aca="false">IF(CK98="N",BX98,ROUNDDOWN((J98-M98)*設定!$B$15/1000,0))</f>
        <v>0</v>
      </c>
      <c r="BQ98" s="31" t="n">
        <f aca="false">ROUNDDOWN((J98-M98)*設定!$C$15/1000,0)</f>
        <v>0</v>
      </c>
      <c r="BR98" s="31" t="n">
        <f aca="false">O98+P98</f>
        <v>0</v>
      </c>
      <c r="BS98" s="31" t="n">
        <f aca="false">T98+U98+V98</f>
        <v>0</v>
      </c>
      <c r="BT98" s="31" t="n">
        <f aca="false">Q98</f>
        <v>2899667</v>
      </c>
      <c r="BU98" s="31" t="n">
        <f aca="false">W98</f>
        <v>0</v>
      </c>
      <c r="BV98" s="31" t="n">
        <f aca="false">R98</f>
        <v>166737</v>
      </c>
      <c r="BW98" s="31" t="n">
        <f aca="false">X98</f>
        <v>0</v>
      </c>
      <c r="BX98" s="31" t="n">
        <f aca="false">S98</f>
        <v>64285</v>
      </c>
      <c r="BY98" s="31" t="n">
        <f aca="false">Y98</f>
        <v>0</v>
      </c>
      <c r="BZ98" s="32" t="n">
        <f aca="false">IF(BJ98=0,IF(BR98=0,0,1),(BR98-BJ98)/BJ98)</f>
        <v>0</v>
      </c>
      <c r="CA98" s="32" t="n">
        <f aca="false">IF(BK98=0,IF(BS98=0,0,1),(BS98-BK98)/BK98)</f>
        <v>0</v>
      </c>
      <c r="CB98" s="32" t="n">
        <f aca="false">IF(BL98=0,IF(BT98=0,0,1),(BT98-BL98)/BL98)</f>
        <v>1</v>
      </c>
      <c r="CC98" s="32" t="n">
        <f aca="false">IF(BM98=0,IF(BU98=0,0,1),(BU98-BM98)/BM98)</f>
        <v>0</v>
      </c>
      <c r="CD98" s="32" t="n">
        <f aca="false">IF(BN98=0,IF(BV98=0,0,1),(BV98-BN98)/BN98)</f>
        <v>1</v>
      </c>
      <c r="CE98" s="32" t="n">
        <f aca="false">IF(BO98=0,IF(BW98=0,0,1),(BW98-BO98)/BO98)</f>
        <v>0</v>
      </c>
      <c r="CF98" s="32" t="n">
        <f aca="false">IF(BP98=0,IF(BX98=0,0,1),(BX98-BP98)/BP98)</f>
        <v>1</v>
      </c>
      <c r="CG98" s="32" t="n">
        <f aca="false">IF(BQ98=0,IF(BY98=0,0,1),(BY98-BQ98)/BQ98)</f>
        <v>0</v>
      </c>
      <c r="CH98" s="32" t="n">
        <f aca="false">MAX(MAX(BZ98:CG98),-MIN(BZ98:CG98))</f>
        <v>1</v>
      </c>
      <c r="CI98" s="31" t="n">
        <f aca="false">IF(CO98="","",SUMIFS($CJ$7:$CJ$696,$A$7:$A$696,CO98,$B$7:$B$696,B98))</f>
        <v>105428506</v>
      </c>
      <c r="CJ98" s="31" t="n">
        <f aca="false">SUM(AY98:BI98)</f>
        <v>3130689</v>
      </c>
      <c r="CK98" s="31" t="str">
        <f aca="false">IFERROR(INDEX(設定!$F$61:$F$106,MATCH(B98,設定!$B$61:$B$106,0)),"Y")</f>
        <v>Y</v>
      </c>
      <c r="CL98" s="31" t="str">
        <f aca="false">IFERROR(INDEX(設定!$G$61:$G$106,MATCH(B98,設定!$B$61:$B$106,0)),"外郭型")</f>
        <v>外郭型</v>
      </c>
      <c r="CM98" s="33" t="str">
        <f aca="false">A98&amp;"|"&amp;B98</f>
        <v>2026-05 月例|任意継続組合員</v>
      </c>
      <c r="CN98" s="34" t="str">
        <f aca="false">IFERROR(INDEX(設定!$D$61:$D$106,MATCH(B98,設定!$B$61:$B$106,0)),"Y")</f>
        <v>N</v>
      </c>
      <c r="CO98" s="34" t="str">
        <f aca="false">IFERROR(INDEX(設定!$D$20:$D$34,MATCH(A98,設定!$A$20:$A$34,0))&amp;"","")</f>
        <v>2026-04 月例</v>
      </c>
    </row>
    <row r="99" customFormat="false" ht="15" hidden="true" customHeight="false" outlineLevel="0" collapsed="false">
      <c r="A99" s="22" t="s">
        <v>217</v>
      </c>
      <c r="B99" s="23" t="s">
        <v>166</v>
      </c>
      <c r="C99" s="10" t="str">
        <f aca="false">IF(G99="","未受領",IF(G99="なし","報告なし",IF(AL99="○","起票済",IF(OR(AK99="○",F99="一致",F99="入金不要"),"入金確認済","受領済"))))</f>
        <v>入金確認済</v>
      </c>
      <c r="D99" s="10" t="str">
        <f aca="false">IF(OR(G99="",G99="なし"),"―",IF(CN99="N","対象外",IF(AND(I99="",J99="",K99=""),"標報未入力",IF(CH99&gt;=設定!$B$4,"要確認","問題なし"))))</f>
        <v>対象外</v>
      </c>
      <c r="E99" s="24" t="str">
        <f aca="false">IF(OR(G99="",G99="なし",CI99="",CJ99=0),"―",IF(CJ99=CI99,"前月同額",IF(CI99=0,"―",IF(ABS(CJ99/CI99-1)&gt;=設定!$B$5,"変動大 "&amp;TEXT(CJ99/CI99-1,"+0%;-0%"),"〇"))))</f>
        <v>〇</v>
      </c>
      <c r="F99" s="10" t="str">
        <f aca="false">IF(OR(G99="",G99="なし"),"―",IF(CJ99=0,"入金不要",IF(COUNT(AD99,AF99,AH99,AJ99)=0,IF(AK99="○","手動確認","未入金"),IF(AND(N(AD99)=AC99,IF(AE99="",TRUE(),N(AF99)=AE99),IF(AG99="",TRUE(),N(AH99)=AG99),IF(AI99="",TRUE(),N(AJ99)=AI99)),"一致","不一致"))))</f>
        <v>手動確認</v>
      </c>
      <c r="G99" s="25" t="s">
        <v>167</v>
      </c>
      <c r="H99" s="26"/>
      <c r="I99" s="27"/>
      <c r="J99" s="27"/>
      <c r="K99" s="27"/>
      <c r="L99" s="27"/>
      <c r="M99" s="27"/>
      <c r="N99" s="27"/>
      <c r="O99" s="27" t="n">
        <v>238039995</v>
      </c>
      <c r="P99" s="27" t="n">
        <v>19517220</v>
      </c>
      <c r="Q99" s="27" t="n">
        <v>172547279</v>
      </c>
      <c r="R99" s="27" t="n">
        <v>15775131</v>
      </c>
      <c r="S99" s="27" t="n">
        <v>3824083</v>
      </c>
      <c r="T99" s="27" t="n">
        <v>341263694</v>
      </c>
      <c r="U99" s="27" t="n">
        <v>19000006</v>
      </c>
      <c r="V99" s="27" t="n">
        <v>229788</v>
      </c>
      <c r="W99" s="27" t="n">
        <v>171825765</v>
      </c>
      <c r="X99" s="27" t="n">
        <v>15353813</v>
      </c>
      <c r="Y99" s="27" t="n">
        <v>3744338</v>
      </c>
      <c r="Z99" s="27"/>
      <c r="AA99" s="10" t="str">
        <f aca="false">IFERROR(INDEX(設定!$E$61:$E$106,MATCH(B99,設定!$B$61:$B$106,0)),"合算")</f>
        <v>合算</v>
      </c>
      <c r="AB99" s="28"/>
      <c r="AC99" s="29" t="n">
        <f aca="false">IF(OR(G99="",G99="なし"),"",IF(AA99="合算",CJ99+N(Z99),IF(AA99="掛金・負担金別",(AY99+AZ99+BD99+BF99+BH99),SUM(AY99:BC99))))</f>
        <v>1001121112</v>
      </c>
      <c r="AD99" s="27"/>
      <c r="AE99" s="29" t="str">
        <f aca="false">IF(OR(G99="",G99="なし"),"",IF(AA99="掛金・負担金別",(BA99+BB99+BC99+BE99+BG99+BI99+N(Z99)),IF(AA99="経理区分別",BD99+BE99,"")))</f>
        <v/>
      </c>
      <c r="AF99" s="27"/>
      <c r="AG99" s="29" t="str">
        <f aca="false">IF(OR(G99="",G99="なし"),"",IF(AA99="経理区分別",BF99+BG99,""))</f>
        <v/>
      </c>
      <c r="AH99" s="27"/>
      <c r="AI99" s="29" t="str">
        <f aca="false">IF(OR(G99="",G99="なし"),"",IF(AA99="経理区分別",BH99+BI99+N(Z99),""))</f>
        <v/>
      </c>
      <c r="AJ99" s="27"/>
      <c r="AK99" s="26" t="s">
        <v>168</v>
      </c>
      <c r="AL99" s="26"/>
      <c r="AM99" s="30"/>
      <c r="AN99" s="31"/>
      <c r="AO99" s="31"/>
      <c r="AP99" s="31"/>
      <c r="AQ99" s="31"/>
      <c r="AR99" s="31"/>
      <c r="AS99" s="31"/>
      <c r="AT99" s="31"/>
      <c r="AU99" s="31"/>
      <c r="AV99" s="31"/>
      <c r="AW99" s="31"/>
      <c r="AX99" s="31"/>
      <c r="AY99" s="31" t="n">
        <f aca="false">IF($G99="",AN99,O99)</f>
        <v>238039995</v>
      </c>
      <c r="AZ99" s="31" t="n">
        <f aca="false">IF($G99="",AO99,P99)</f>
        <v>19517220</v>
      </c>
      <c r="BA99" s="31" t="n">
        <f aca="false">IF($G99="",AP99,T99)</f>
        <v>341263694</v>
      </c>
      <c r="BB99" s="31" t="n">
        <f aca="false">IF($G99="",AQ99,U99)</f>
        <v>19000006</v>
      </c>
      <c r="BC99" s="31" t="n">
        <f aca="false">IF($G99="",AR99,V99)</f>
        <v>229788</v>
      </c>
      <c r="BD99" s="31" t="n">
        <f aca="false">IF($G99="",AS99,Q99)</f>
        <v>172547279</v>
      </c>
      <c r="BE99" s="31" t="n">
        <f aca="false">IF($G99="",AT99,W99)</f>
        <v>171825765</v>
      </c>
      <c r="BF99" s="31" t="n">
        <f aca="false">IF($G99="",AU99,R99)</f>
        <v>15775131</v>
      </c>
      <c r="BG99" s="31" t="n">
        <f aca="false">IF($G99="",AV99,X99)</f>
        <v>15353813</v>
      </c>
      <c r="BH99" s="31" t="n">
        <f aca="false">IF($G99="",AW99,S99)</f>
        <v>3824083</v>
      </c>
      <c r="BI99" s="31" t="n">
        <f aca="false">IF($G99="",AX99,Y99)</f>
        <v>3744338</v>
      </c>
      <c r="BJ99" s="31" t="n">
        <f aca="false">IF(CK99="N",BR99,ROUNDDOWN((I99-L99)*設定!$B$10/1000,0)+ROUNDDOWN((I99-L99)*設定!$B$11/1000,0))</f>
        <v>0</v>
      </c>
      <c r="BK99" s="31" t="n">
        <f aca="false">ROUNDDOWN((I99-L99)*設定!$C$10/1000,0)+ROUNDDOWN((I99-L99)*設定!$C$11/1000,0)+ROUNDDOWN(I99*設定!$C$12/1000,0)+IF(CL99="市局型",ROUNDDOWN(I99*設定!$C$16/1000,0),0)</f>
        <v>0</v>
      </c>
      <c r="BL99" s="31" t="n">
        <f aca="false">IF(CK99="N",BT99,ROUNDDOWN((J99-M99)*設定!$B$13/1000,0))</f>
        <v>0</v>
      </c>
      <c r="BM99" s="31" t="n">
        <f aca="false">ROUNDDOWN((J99-M99)*設定!$C$13/1000,0)+IF(CL99="市局型",ROUNDDOWN(J99*設定!$C$17/1000,0),0)</f>
        <v>0</v>
      </c>
      <c r="BN99" s="31" t="n">
        <f aca="false">IF(CK99="N",BV99,ROUNDDOWN((K99-N99)*設定!$B$14/1000,0))</f>
        <v>0</v>
      </c>
      <c r="BO99" s="31" t="n">
        <f aca="false">ROUNDDOWN((K99-N99)*設定!$C$14/1000,0)</f>
        <v>0</v>
      </c>
      <c r="BP99" s="31" t="n">
        <f aca="false">IF(CK99="N",BX99,ROUNDDOWN((J99-M99)*設定!$B$15/1000,0))</f>
        <v>0</v>
      </c>
      <c r="BQ99" s="31" t="n">
        <f aca="false">ROUNDDOWN((J99-M99)*設定!$C$15/1000,0)</f>
        <v>0</v>
      </c>
      <c r="BR99" s="31" t="n">
        <f aca="false">O99+P99</f>
        <v>257557215</v>
      </c>
      <c r="BS99" s="31" t="n">
        <f aca="false">T99+U99+V99</f>
        <v>360493488</v>
      </c>
      <c r="BT99" s="31" t="n">
        <f aca="false">Q99</f>
        <v>172547279</v>
      </c>
      <c r="BU99" s="31" t="n">
        <f aca="false">W99</f>
        <v>171825765</v>
      </c>
      <c r="BV99" s="31" t="n">
        <f aca="false">R99</f>
        <v>15775131</v>
      </c>
      <c r="BW99" s="31" t="n">
        <f aca="false">X99</f>
        <v>15353813</v>
      </c>
      <c r="BX99" s="31" t="n">
        <f aca="false">S99</f>
        <v>3824083</v>
      </c>
      <c r="BY99" s="31" t="n">
        <f aca="false">Y99</f>
        <v>3744338</v>
      </c>
      <c r="BZ99" s="32" t="n">
        <f aca="false">IF(BJ99=0,IF(BR99=0,0,1),(BR99-BJ99)/BJ99)</f>
        <v>1</v>
      </c>
      <c r="CA99" s="32" t="n">
        <f aca="false">IF(BK99=0,IF(BS99=0,0,1),(BS99-BK99)/BK99)</f>
        <v>1</v>
      </c>
      <c r="CB99" s="32" t="n">
        <f aca="false">IF(BL99=0,IF(BT99=0,0,1),(BT99-BL99)/BL99)</f>
        <v>1</v>
      </c>
      <c r="CC99" s="32" t="n">
        <f aca="false">IF(BM99=0,IF(BU99=0,0,1),(BU99-BM99)/BM99)</f>
        <v>1</v>
      </c>
      <c r="CD99" s="32" t="n">
        <f aca="false">IF(BN99=0,IF(BV99=0,0,1),(BV99-BN99)/BN99)</f>
        <v>1</v>
      </c>
      <c r="CE99" s="32" t="n">
        <f aca="false">IF(BO99=0,IF(BW99=0,0,1),(BW99-BO99)/BO99)</f>
        <v>1</v>
      </c>
      <c r="CF99" s="32" t="n">
        <f aca="false">IF(BP99=0,IF(BX99=0,0,1),(BX99-BP99)/BP99)</f>
        <v>1</v>
      </c>
      <c r="CG99" s="32" t="n">
        <f aca="false">IF(BQ99=0,IF(BY99=0,0,1),(BY99-BQ99)/BQ99)</f>
        <v>1</v>
      </c>
      <c r="CH99" s="32" t="n">
        <f aca="false">MAX(MAX(BZ99:CG99),-MIN(BZ99:CG99))</f>
        <v>1</v>
      </c>
      <c r="CI99" s="31" t="n">
        <f aca="false">IF(CO99="","",SUMIFS($CJ$7:$CJ$696,$A$7:$A$696,CO99,$B$7:$B$696,B99))</f>
        <v>1002560489</v>
      </c>
      <c r="CJ99" s="31" t="n">
        <f aca="false">SUM(AY99:BI99)</f>
        <v>1001121112</v>
      </c>
      <c r="CK99" s="31" t="str">
        <f aca="false">IFERROR(INDEX(設定!$F$61:$F$106,MATCH(B99,設定!$B$61:$B$106,0)),"Y")</f>
        <v>Y</v>
      </c>
      <c r="CL99" s="31" t="str">
        <f aca="false">IFERROR(INDEX(設定!$G$61:$G$106,MATCH(B99,設定!$B$61:$B$106,0)),"外郭型")</f>
        <v>市局型</v>
      </c>
      <c r="CM99" s="33" t="str">
        <f aca="false">A99&amp;"|"&amp;B99</f>
        <v>2026-06 月例|市長部局</v>
      </c>
      <c r="CN99" s="34" t="str">
        <f aca="false">IFERROR(INDEX(設定!$D$61:$D$106,MATCH(B99,設定!$B$61:$B$106,0)),"Y")</f>
        <v>N</v>
      </c>
      <c r="CO99" s="34" t="str">
        <f aca="false">IFERROR(INDEX(設定!$D$20:$D$34,MATCH(A99,設定!$A$20:$A$34,0))&amp;"","")</f>
        <v>2026-05 月例</v>
      </c>
    </row>
    <row r="100" customFormat="false" ht="15" hidden="true" customHeight="false" outlineLevel="0" collapsed="false">
      <c r="A100" s="22" t="s">
        <v>217</v>
      </c>
      <c r="B100" s="23" t="s">
        <v>169</v>
      </c>
      <c r="C100" s="10" t="str">
        <f aca="false">IF(G100="","未受領",IF(G100="なし","報告なし",IF(AL100="○","起票済",IF(OR(AK100="○",F100="一致",F100="入金不要"),"入金確認済","受領済"))))</f>
        <v>入金確認済</v>
      </c>
      <c r="D100" s="10" t="str">
        <f aca="false">IF(OR(G100="",G100="なし"),"―",IF(CN100="N","対象外",IF(AND(I100="",J100="",K100=""),"標報未入力",IF(CH100&gt;=設定!$B$4,"要確認","問題なし"))))</f>
        <v>標報未入力</v>
      </c>
      <c r="E100" s="24" t="str">
        <f aca="false">IF(OR(G100="",G100="なし",CI100="",CJ100=0),"―",IF(CJ100=CI100,"前月同額",IF(CI100=0,"―",IF(ABS(CJ100/CI100-1)&gt;=設定!$B$5,"変動大 "&amp;TEXT(CJ100/CI100-1,"+0%;-0%"),"〇"))))</f>
        <v>〇</v>
      </c>
      <c r="F100" s="10" t="str">
        <f aca="false">IF(OR(G100="",G100="なし"),"―",IF(CJ100=0,"入金不要",IF(COUNT(AD100,AF100,AH100,AJ100)=0,IF(AK100="○","手動確認","未入金"),IF(AND(N(AD100)=AC100,IF(AE100="",TRUE(),N(AF100)=AE100),IF(AG100="",TRUE(),N(AH100)=AG100),IF(AI100="",TRUE(),N(AJ100)=AI100)),"一致","不一致"))))</f>
        <v>手動確認</v>
      </c>
      <c r="G100" s="25" t="s">
        <v>167</v>
      </c>
      <c r="H100" s="26"/>
      <c r="I100" s="27"/>
      <c r="J100" s="27"/>
      <c r="K100" s="27"/>
      <c r="L100" s="27"/>
      <c r="M100" s="27"/>
      <c r="N100" s="27"/>
      <c r="O100" s="27" t="n">
        <v>16387375</v>
      </c>
      <c r="P100" s="27" t="n">
        <v>1343227</v>
      </c>
      <c r="Q100" s="27" t="n">
        <v>9617811</v>
      </c>
      <c r="R100" s="27" t="n">
        <v>1023847</v>
      </c>
      <c r="S100" s="27" t="n">
        <v>213218</v>
      </c>
      <c r="T100" s="27" t="n">
        <v>23626468</v>
      </c>
      <c r="U100" s="27" t="n">
        <v>1340527</v>
      </c>
      <c r="V100" s="27" t="n">
        <v>15829</v>
      </c>
      <c r="W100" s="27" t="n">
        <v>9763388</v>
      </c>
      <c r="X100" s="27" t="n">
        <v>1023846</v>
      </c>
      <c r="Y100" s="27" t="n">
        <v>212876</v>
      </c>
      <c r="Z100" s="27"/>
      <c r="AA100" s="10" t="str">
        <f aca="false">IFERROR(INDEX(設定!$E$61:$E$106,MATCH(B100,設定!$B$61:$B$106,0)),"合算")</f>
        <v>合算</v>
      </c>
      <c r="AB100" s="28"/>
      <c r="AC100" s="29" t="n">
        <f aca="false">IF(OR(G100="",G100="なし"),"",IF(AA100="合算",CJ100+N(Z100),IF(AA100="掛金・負担金別",(AY100+AZ100+BD100+BF100+BH100),SUM(AY100:BC100))))</f>
        <v>64568412</v>
      </c>
      <c r="AD100" s="27"/>
      <c r="AE100" s="29" t="str">
        <f aca="false">IF(OR(G100="",G100="なし"),"",IF(AA100="掛金・負担金別",(BA100+BB100+BC100+BE100+BG100+BI100+N(Z100)),IF(AA100="経理区分別",BD100+BE100,"")))</f>
        <v/>
      </c>
      <c r="AF100" s="27"/>
      <c r="AG100" s="29" t="str">
        <f aca="false">IF(OR(G100="",G100="なし"),"",IF(AA100="経理区分別",BF100+BG100,""))</f>
        <v/>
      </c>
      <c r="AH100" s="27"/>
      <c r="AI100" s="29" t="str">
        <f aca="false">IF(OR(G100="",G100="なし"),"",IF(AA100="経理区分別",BH100+BI100+N(Z100),""))</f>
        <v/>
      </c>
      <c r="AJ100" s="27"/>
      <c r="AK100" s="26" t="s">
        <v>168</v>
      </c>
      <c r="AL100" s="26"/>
      <c r="AM100" s="30"/>
      <c r="AN100" s="31"/>
      <c r="AO100" s="31"/>
      <c r="AP100" s="31"/>
      <c r="AQ100" s="31"/>
      <c r="AR100" s="31"/>
      <c r="AS100" s="31"/>
      <c r="AT100" s="31"/>
      <c r="AU100" s="31"/>
      <c r="AV100" s="31"/>
      <c r="AW100" s="31"/>
      <c r="AX100" s="31"/>
      <c r="AY100" s="31" t="n">
        <f aca="false">IF($G100="",AN100,O100)</f>
        <v>16387375</v>
      </c>
      <c r="AZ100" s="31" t="n">
        <f aca="false">IF($G100="",AO100,P100)</f>
        <v>1343227</v>
      </c>
      <c r="BA100" s="31" t="n">
        <f aca="false">IF($G100="",AP100,T100)</f>
        <v>23626468</v>
      </c>
      <c r="BB100" s="31" t="n">
        <f aca="false">IF($G100="",AQ100,U100)</f>
        <v>1340527</v>
      </c>
      <c r="BC100" s="31" t="n">
        <f aca="false">IF($G100="",AR100,V100)</f>
        <v>15829</v>
      </c>
      <c r="BD100" s="31" t="n">
        <f aca="false">IF($G100="",AS100,Q100)</f>
        <v>9617811</v>
      </c>
      <c r="BE100" s="31" t="n">
        <f aca="false">IF($G100="",AT100,W100)</f>
        <v>9763388</v>
      </c>
      <c r="BF100" s="31" t="n">
        <f aca="false">IF($G100="",AU100,R100)</f>
        <v>1023847</v>
      </c>
      <c r="BG100" s="31" t="n">
        <f aca="false">IF($G100="",AV100,X100)</f>
        <v>1023846</v>
      </c>
      <c r="BH100" s="31" t="n">
        <f aca="false">IF($G100="",AW100,S100)</f>
        <v>213218</v>
      </c>
      <c r="BI100" s="31" t="n">
        <f aca="false">IF($G100="",AX100,Y100)</f>
        <v>212876</v>
      </c>
      <c r="BJ100" s="31" t="n">
        <f aca="false">IF(CK100="N",BR100,ROUNDDOWN((I100-L100)*設定!$B$10/1000,0)+ROUNDDOWN((I100-L100)*設定!$B$11/1000,0))</f>
        <v>0</v>
      </c>
      <c r="BK100" s="31" t="n">
        <f aca="false">ROUNDDOWN((I100-L100)*設定!$C$10/1000,0)+ROUNDDOWN((I100-L100)*設定!$C$11/1000,0)+ROUNDDOWN(I100*設定!$C$12/1000,0)+IF(CL100="市局型",ROUNDDOWN(I100*設定!$C$16/1000,0),0)</f>
        <v>0</v>
      </c>
      <c r="BL100" s="31" t="n">
        <f aca="false">IF(CK100="N",BT100,ROUNDDOWN((J100-M100)*設定!$B$13/1000,0))</f>
        <v>0</v>
      </c>
      <c r="BM100" s="31" t="n">
        <f aca="false">ROUNDDOWN((J100-M100)*設定!$C$13/1000,0)+IF(CL100="市局型",ROUNDDOWN(J100*設定!$C$17/1000,0),0)</f>
        <v>0</v>
      </c>
      <c r="BN100" s="31" t="n">
        <f aca="false">IF(CK100="N",BV100,ROUNDDOWN((K100-N100)*設定!$B$14/1000,0))</f>
        <v>0</v>
      </c>
      <c r="BO100" s="31" t="n">
        <f aca="false">ROUNDDOWN((K100-N100)*設定!$C$14/1000,0)</f>
        <v>0</v>
      </c>
      <c r="BP100" s="31" t="n">
        <f aca="false">IF(CK100="N",BX100,ROUNDDOWN((J100-M100)*設定!$B$15/1000,0))</f>
        <v>0</v>
      </c>
      <c r="BQ100" s="31" t="n">
        <f aca="false">ROUNDDOWN((J100-M100)*設定!$C$15/1000,0)</f>
        <v>0</v>
      </c>
      <c r="BR100" s="31" t="n">
        <f aca="false">O100+P100</f>
        <v>17730602</v>
      </c>
      <c r="BS100" s="31" t="n">
        <f aca="false">T100+U100+V100</f>
        <v>24982824</v>
      </c>
      <c r="BT100" s="31" t="n">
        <f aca="false">Q100</f>
        <v>9617811</v>
      </c>
      <c r="BU100" s="31" t="n">
        <f aca="false">W100</f>
        <v>9763388</v>
      </c>
      <c r="BV100" s="31" t="n">
        <f aca="false">R100</f>
        <v>1023847</v>
      </c>
      <c r="BW100" s="31" t="n">
        <f aca="false">X100</f>
        <v>1023846</v>
      </c>
      <c r="BX100" s="31" t="n">
        <f aca="false">S100</f>
        <v>213218</v>
      </c>
      <c r="BY100" s="31" t="n">
        <f aca="false">Y100</f>
        <v>212876</v>
      </c>
      <c r="BZ100" s="32" t="n">
        <f aca="false">IF(BJ100=0,IF(BR100=0,0,1),(BR100-BJ100)/BJ100)</f>
        <v>1</v>
      </c>
      <c r="CA100" s="32" t="n">
        <f aca="false">IF(BK100=0,IF(BS100=0,0,1),(BS100-BK100)/BK100)</f>
        <v>1</v>
      </c>
      <c r="CB100" s="32" t="n">
        <f aca="false">IF(BL100=0,IF(BT100=0,0,1),(BT100-BL100)/BL100)</f>
        <v>1</v>
      </c>
      <c r="CC100" s="32" t="n">
        <f aca="false">IF(BM100=0,IF(BU100=0,0,1),(BU100-BM100)/BM100)</f>
        <v>1</v>
      </c>
      <c r="CD100" s="32" t="n">
        <f aca="false">IF(BN100=0,IF(BV100=0,0,1),(BV100-BN100)/BN100)</f>
        <v>1</v>
      </c>
      <c r="CE100" s="32" t="n">
        <f aca="false">IF(BO100=0,IF(BW100=0,0,1),(BW100-BO100)/BO100)</f>
        <v>1</v>
      </c>
      <c r="CF100" s="32" t="n">
        <f aca="false">IF(BP100=0,IF(BX100=0,0,1),(BX100-BP100)/BP100)</f>
        <v>1</v>
      </c>
      <c r="CG100" s="32" t="n">
        <f aca="false">IF(BQ100=0,IF(BY100=0,0,1),(BY100-BQ100)/BQ100)</f>
        <v>1</v>
      </c>
      <c r="CH100" s="32" t="n">
        <f aca="false">MAX(MAX(BZ100:CG100),-MIN(BZ100:CG100))</f>
        <v>1</v>
      </c>
      <c r="CI100" s="31" t="n">
        <f aca="false">IF(CO100="","",SUMIFS($CJ$7:$CJ$696,$A$7:$A$696,CO100,$B$7:$B$696,B100))</f>
        <v>64427222</v>
      </c>
      <c r="CJ100" s="31" t="n">
        <f aca="false">SUM(AY100:BI100)</f>
        <v>64568412</v>
      </c>
      <c r="CK100" s="31" t="str">
        <f aca="false">IFERROR(INDEX(設定!$F$61:$F$106,MATCH(B100,設定!$B$61:$B$106,0)),"Y")</f>
        <v>Y</v>
      </c>
      <c r="CL100" s="31" t="str">
        <f aca="false">IFERROR(INDEX(設定!$G$61:$G$106,MATCH(B100,設定!$B$61:$B$106,0)),"外郭型")</f>
        <v>市局型</v>
      </c>
      <c r="CM100" s="33" t="str">
        <f aca="false">A100&amp;"|"&amp;B100</f>
        <v>2026-06 月例|下水道局</v>
      </c>
      <c r="CN100" s="34" t="str">
        <f aca="false">IFERROR(INDEX(設定!$D$61:$D$106,MATCH(B100,設定!$B$61:$B$106,0)),"Y")</f>
        <v>Y</v>
      </c>
      <c r="CO100" s="34" t="str">
        <f aca="false">IFERROR(INDEX(設定!$D$20:$D$34,MATCH(A100,設定!$A$20:$A$34,0))&amp;"","")</f>
        <v>2026-05 月例</v>
      </c>
    </row>
    <row r="101" customFormat="false" ht="15" hidden="true" customHeight="false" outlineLevel="0" collapsed="false">
      <c r="A101" s="22" t="s">
        <v>217</v>
      </c>
      <c r="B101" s="23" t="s">
        <v>170</v>
      </c>
      <c r="C101" s="10" t="str">
        <f aca="false">IF(G101="","未受領",IF(G101="なし","報告なし",IF(AL101="○","起票済",IF(OR(AK101="○",F101="一致",F101="入金不要"),"入金確認済","受領済"))))</f>
        <v>入金確認済</v>
      </c>
      <c r="D101" s="10" t="str">
        <f aca="false">IF(OR(G101="",G101="なし"),"―",IF(CN101="N","対象外",IF(AND(I101="",J101="",K101=""),"標報未入力",IF(CH101&gt;=設定!$B$4,"要確認","問題なし"))))</f>
        <v>対象外</v>
      </c>
      <c r="E101" s="24" t="str">
        <f aca="false">IF(OR(G101="",G101="なし",CI101="",CJ101=0),"―",IF(CJ101=CI101,"前月同額",IF(CI101=0,"―",IF(ABS(CJ101/CI101-1)&gt;=設定!$B$5,"変動大 "&amp;TEXT(CJ101/CI101-1,"+0%;-0%"),"〇"))))</f>
        <v>〇</v>
      </c>
      <c r="F101" s="10" t="str">
        <f aca="false">IF(OR(G101="",G101="なし"),"―",IF(CJ101=0,"入金不要",IF(COUNT(AD101,AF101,AH101,AJ101)=0,IF(AK101="○","手動確認","未入金"),IF(AND(N(AD101)=AC101,IF(AE101="",TRUE(),N(AF101)=AE101),IF(AG101="",TRUE(),N(AH101)=AG101),IF(AI101="",TRUE(),N(AJ101)=AI101)),"一致","不一致"))))</f>
        <v>手動確認</v>
      </c>
      <c r="G101" s="25" t="s">
        <v>167</v>
      </c>
      <c r="H101" s="26"/>
      <c r="I101" s="27"/>
      <c r="J101" s="27"/>
      <c r="K101" s="27"/>
      <c r="L101" s="27"/>
      <c r="M101" s="27"/>
      <c r="N101" s="27"/>
      <c r="O101" s="27" t="n">
        <v>55241295</v>
      </c>
      <c r="P101" s="27" t="n">
        <v>4527975</v>
      </c>
      <c r="Q101" s="27" t="n">
        <v>32013376</v>
      </c>
      <c r="R101" s="27" t="n">
        <v>2060286</v>
      </c>
      <c r="S101" s="27" t="n">
        <v>709650</v>
      </c>
      <c r="T101" s="27" t="n">
        <v>79419549</v>
      </c>
      <c r="U101" s="27" t="n">
        <v>4512150</v>
      </c>
      <c r="V101" s="27" t="n">
        <v>52792</v>
      </c>
      <c r="W101" s="27" t="n">
        <v>32447648</v>
      </c>
      <c r="X101" s="27" t="n">
        <v>2047332</v>
      </c>
      <c r="Y101" s="27" t="n">
        <v>707489</v>
      </c>
      <c r="Z101" s="27"/>
      <c r="AA101" s="10" t="str">
        <f aca="false">IFERROR(INDEX(設定!$E$61:$E$106,MATCH(B101,設定!$B$61:$B$106,0)),"合算")</f>
        <v>合算</v>
      </c>
      <c r="AB101" s="28"/>
      <c r="AC101" s="29" t="n">
        <f aca="false">IF(OR(G101="",G101="なし"),"",IF(AA101="合算",CJ101+N(Z101),IF(AA101="掛金・負担金別",(AY101+AZ101+BD101+BF101+BH101),SUM(AY101:BC101))))</f>
        <v>213739542</v>
      </c>
      <c r="AD101" s="27"/>
      <c r="AE101" s="29" t="str">
        <f aca="false">IF(OR(G101="",G101="なし"),"",IF(AA101="掛金・負担金別",(BA101+BB101+BC101+BE101+BG101+BI101+N(Z101)),IF(AA101="経理区分別",BD101+BE101,"")))</f>
        <v/>
      </c>
      <c r="AF101" s="27"/>
      <c r="AG101" s="29" t="str">
        <f aca="false">IF(OR(G101="",G101="なし"),"",IF(AA101="経理区分別",BF101+BG101,""))</f>
        <v/>
      </c>
      <c r="AH101" s="27"/>
      <c r="AI101" s="29" t="str">
        <f aca="false">IF(OR(G101="",G101="なし"),"",IF(AA101="経理区分別",BH101+BI101+N(Z101),""))</f>
        <v/>
      </c>
      <c r="AJ101" s="27"/>
      <c r="AK101" s="26" t="s">
        <v>168</v>
      </c>
      <c r="AL101" s="26"/>
      <c r="AM101" s="30"/>
      <c r="AN101" s="31"/>
      <c r="AO101" s="31"/>
      <c r="AP101" s="31"/>
      <c r="AQ101" s="31"/>
      <c r="AR101" s="31"/>
      <c r="AS101" s="31"/>
      <c r="AT101" s="31"/>
      <c r="AU101" s="31"/>
      <c r="AV101" s="31"/>
      <c r="AW101" s="31"/>
      <c r="AX101" s="31"/>
      <c r="AY101" s="31" t="n">
        <f aca="false">IF($G101="",AN101,O101)</f>
        <v>55241295</v>
      </c>
      <c r="AZ101" s="31" t="n">
        <f aca="false">IF($G101="",AO101,P101)</f>
        <v>4527975</v>
      </c>
      <c r="BA101" s="31" t="n">
        <f aca="false">IF($G101="",AP101,T101)</f>
        <v>79419549</v>
      </c>
      <c r="BB101" s="31" t="n">
        <f aca="false">IF($G101="",AQ101,U101)</f>
        <v>4512150</v>
      </c>
      <c r="BC101" s="31" t="n">
        <f aca="false">IF($G101="",AR101,V101)</f>
        <v>52792</v>
      </c>
      <c r="BD101" s="31" t="n">
        <f aca="false">IF($G101="",AS101,Q101)</f>
        <v>32013376</v>
      </c>
      <c r="BE101" s="31" t="n">
        <f aca="false">IF($G101="",AT101,W101)</f>
        <v>32447648</v>
      </c>
      <c r="BF101" s="31" t="n">
        <f aca="false">IF($G101="",AU101,R101)</f>
        <v>2060286</v>
      </c>
      <c r="BG101" s="31" t="n">
        <f aca="false">IF($G101="",AV101,X101)</f>
        <v>2047332</v>
      </c>
      <c r="BH101" s="31" t="n">
        <f aca="false">IF($G101="",AW101,S101)</f>
        <v>709650</v>
      </c>
      <c r="BI101" s="31" t="n">
        <f aca="false">IF($G101="",AX101,Y101)</f>
        <v>707489</v>
      </c>
      <c r="BJ101" s="31" t="n">
        <f aca="false">IF(CK101="N",BR101,ROUNDDOWN((I101-L101)*設定!$B$10/1000,0)+ROUNDDOWN((I101-L101)*設定!$B$11/1000,0))</f>
        <v>0</v>
      </c>
      <c r="BK101" s="31" t="n">
        <f aca="false">ROUNDDOWN((I101-L101)*設定!$C$10/1000,0)+ROUNDDOWN((I101-L101)*設定!$C$11/1000,0)+ROUNDDOWN(I101*設定!$C$12/1000,0)+IF(CL101="市局型",ROUNDDOWN(I101*設定!$C$16/1000,0),0)</f>
        <v>0</v>
      </c>
      <c r="BL101" s="31" t="n">
        <f aca="false">IF(CK101="N",BT101,ROUNDDOWN((J101-M101)*設定!$B$13/1000,0))</f>
        <v>0</v>
      </c>
      <c r="BM101" s="31" t="n">
        <f aca="false">ROUNDDOWN((J101-M101)*設定!$C$13/1000,0)+IF(CL101="市局型",ROUNDDOWN(J101*設定!$C$17/1000,0),0)</f>
        <v>0</v>
      </c>
      <c r="BN101" s="31" t="n">
        <f aca="false">IF(CK101="N",BV101,ROUNDDOWN((K101-N101)*設定!$B$14/1000,0))</f>
        <v>0</v>
      </c>
      <c r="BO101" s="31" t="n">
        <f aca="false">ROUNDDOWN((K101-N101)*設定!$C$14/1000,0)</f>
        <v>0</v>
      </c>
      <c r="BP101" s="31" t="n">
        <f aca="false">IF(CK101="N",BX101,ROUNDDOWN((J101-M101)*設定!$B$15/1000,0))</f>
        <v>0</v>
      </c>
      <c r="BQ101" s="31" t="n">
        <f aca="false">ROUNDDOWN((J101-M101)*設定!$C$15/1000,0)</f>
        <v>0</v>
      </c>
      <c r="BR101" s="31" t="n">
        <f aca="false">O101+P101</f>
        <v>59769270</v>
      </c>
      <c r="BS101" s="31" t="n">
        <f aca="false">T101+U101+V101</f>
        <v>83984491</v>
      </c>
      <c r="BT101" s="31" t="n">
        <f aca="false">Q101</f>
        <v>32013376</v>
      </c>
      <c r="BU101" s="31" t="n">
        <f aca="false">W101</f>
        <v>32447648</v>
      </c>
      <c r="BV101" s="31" t="n">
        <f aca="false">R101</f>
        <v>2060286</v>
      </c>
      <c r="BW101" s="31" t="n">
        <f aca="false">X101</f>
        <v>2047332</v>
      </c>
      <c r="BX101" s="31" t="n">
        <f aca="false">S101</f>
        <v>709650</v>
      </c>
      <c r="BY101" s="31" t="n">
        <f aca="false">Y101</f>
        <v>707489</v>
      </c>
      <c r="BZ101" s="32" t="n">
        <f aca="false">IF(BJ101=0,IF(BR101=0,0,1),(BR101-BJ101)/BJ101)</f>
        <v>1</v>
      </c>
      <c r="CA101" s="32" t="n">
        <f aca="false">IF(BK101=0,IF(BS101=0,0,1),(BS101-BK101)/BK101)</f>
        <v>1</v>
      </c>
      <c r="CB101" s="32" t="n">
        <f aca="false">IF(BL101=0,IF(BT101=0,0,1),(BT101-BL101)/BL101)</f>
        <v>1</v>
      </c>
      <c r="CC101" s="32" t="n">
        <f aca="false">IF(BM101=0,IF(BU101=0,0,1),(BU101-BM101)/BM101)</f>
        <v>1</v>
      </c>
      <c r="CD101" s="32" t="n">
        <f aca="false">IF(BN101=0,IF(BV101=0,0,1),(BV101-BN101)/BN101)</f>
        <v>1</v>
      </c>
      <c r="CE101" s="32" t="n">
        <f aca="false">IF(BO101=0,IF(BW101=0,0,1),(BW101-BO101)/BO101)</f>
        <v>1</v>
      </c>
      <c r="CF101" s="32" t="n">
        <f aca="false">IF(BP101=0,IF(BX101=0,0,1),(BX101-BP101)/BP101)</f>
        <v>1</v>
      </c>
      <c r="CG101" s="32" t="n">
        <f aca="false">IF(BQ101=0,IF(BY101=0,0,1),(BY101-BQ101)/BQ101)</f>
        <v>1</v>
      </c>
      <c r="CH101" s="32" t="n">
        <f aca="false">MAX(MAX(BZ101:CG101),-MIN(BZ101:CG101))</f>
        <v>1</v>
      </c>
      <c r="CI101" s="31" t="n">
        <f aca="false">IF(CO101="","",SUMIFS($CJ$7:$CJ$696,$A$7:$A$696,CO101,$B$7:$B$696,B101))</f>
        <v>213989340</v>
      </c>
      <c r="CJ101" s="31" t="n">
        <f aca="false">SUM(AY101:BI101)</f>
        <v>213739542</v>
      </c>
      <c r="CK101" s="31" t="str">
        <f aca="false">IFERROR(INDEX(設定!$F$61:$F$106,MATCH(B101,設定!$B$61:$B$106,0)),"Y")</f>
        <v>Y</v>
      </c>
      <c r="CL101" s="31" t="str">
        <f aca="false">IFERROR(INDEX(設定!$G$61:$G$106,MATCH(B101,設定!$B$61:$B$106,0)),"外郭型")</f>
        <v>市局型</v>
      </c>
      <c r="CM101" s="33" t="str">
        <f aca="false">A101&amp;"|"&amp;B101</f>
        <v>2026-06 月例|消防局</v>
      </c>
      <c r="CN101" s="34" t="str">
        <f aca="false">IFERROR(INDEX(設定!$D$61:$D$106,MATCH(B101,設定!$B$61:$B$106,0)),"Y")</f>
        <v>N</v>
      </c>
      <c r="CO101" s="34" t="str">
        <f aca="false">IFERROR(INDEX(設定!$D$20:$D$34,MATCH(A101,設定!$A$20:$A$34,0))&amp;"","")</f>
        <v>2026-05 月例</v>
      </c>
    </row>
    <row r="102" customFormat="false" ht="15" hidden="true" customHeight="false" outlineLevel="0" collapsed="false">
      <c r="A102" s="22" t="s">
        <v>217</v>
      </c>
      <c r="B102" s="23" t="s">
        <v>171</v>
      </c>
      <c r="C102" s="10" t="str">
        <f aca="false">IF(G102="","未受領",IF(G102="なし","報告なし",IF(AL102="○","起票済",IF(OR(AK102="○",F102="一致",F102="入金不要"),"入金確認済","受領済"))))</f>
        <v>入金確認済</v>
      </c>
      <c r="D102" s="10" t="str">
        <f aca="false">IF(OR(G102="",G102="なし"),"―",IF(CN102="N","対象外",IF(AND(I102="",J102="",K102=""),"標報未入力",IF(CH102&gt;=設定!$B$4,"要確認","問題なし"))))</f>
        <v>標報未入力</v>
      </c>
      <c r="E102" s="24" t="str">
        <f aca="false">IF(OR(G102="",G102="なし",CI102="",CJ102=0),"―",IF(CJ102=CI102,"前月同額",IF(CI102=0,"―",IF(ABS(CJ102/CI102-1)&gt;=設定!$B$5,"変動大 "&amp;TEXT(CJ102/CI102-1,"+0%;-0%"),"〇"))))</f>
        <v>前月同額</v>
      </c>
      <c r="F102" s="10" t="str">
        <f aca="false">IF(OR(G102="",G102="なし"),"―",IF(CJ102=0,"入金不要",IF(COUNT(AD102,AF102,AH102,AJ102)=0,IF(AK102="○","手動確認","未入金"),IF(AND(N(AD102)=AC102,IF(AE102="",TRUE(),N(AF102)=AE102),IF(AG102="",TRUE(),N(AH102)=AG102),IF(AI102="",TRUE(),N(AJ102)=AI102)),"一致","不一致"))))</f>
        <v>手動確認</v>
      </c>
      <c r="G102" s="25" t="s">
        <v>167</v>
      </c>
      <c r="H102" s="26"/>
      <c r="I102" s="27"/>
      <c r="J102" s="27"/>
      <c r="K102" s="27"/>
      <c r="L102" s="27"/>
      <c r="M102" s="27"/>
      <c r="N102" s="27"/>
      <c r="O102" s="27" t="n">
        <v>1810785</v>
      </c>
      <c r="P102" s="27" t="n">
        <v>148425</v>
      </c>
      <c r="Q102" s="27" t="n">
        <v>1048696</v>
      </c>
      <c r="R102" s="27" t="n">
        <v>101925</v>
      </c>
      <c r="S102" s="27" t="n">
        <v>23247</v>
      </c>
      <c r="T102" s="27" t="n">
        <v>2609982</v>
      </c>
      <c r="U102" s="27" t="n">
        <v>148425</v>
      </c>
      <c r="V102" s="27" t="n">
        <v>1740</v>
      </c>
      <c r="W102" s="27" t="n">
        <v>1066514</v>
      </c>
      <c r="X102" s="27" t="n">
        <v>101925</v>
      </c>
      <c r="Y102" s="27" t="n">
        <v>23255</v>
      </c>
      <c r="Z102" s="27"/>
      <c r="AA102" s="10" t="str">
        <f aca="false">IFERROR(INDEX(設定!$E$61:$E$106,MATCH(B102,設定!$B$61:$B$106,0)),"合算")</f>
        <v>合算</v>
      </c>
      <c r="AB102" s="28"/>
      <c r="AC102" s="29" t="n">
        <f aca="false">IF(OR(G102="",G102="なし"),"",IF(AA102="合算",CJ102+N(Z102),IF(AA102="掛金・負担金別",(AY102+AZ102+BD102+BF102+BH102),SUM(AY102:BC102))))</f>
        <v>7084919</v>
      </c>
      <c r="AD102" s="27"/>
      <c r="AE102" s="29" t="str">
        <f aca="false">IF(OR(G102="",G102="なし"),"",IF(AA102="掛金・負担金別",(BA102+BB102+BC102+BE102+BG102+BI102+N(Z102)),IF(AA102="経理区分別",BD102+BE102,"")))</f>
        <v/>
      </c>
      <c r="AF102" s="27"/>
      <c r="AG102" s="29" t="str">
        <f aca="false">IF(OR(G102="",G102="なし"),"",IF(AA102="経理区分別",BF102+BG102,""))</f>
        <v/>
      </c>
      <c r="AH102" s="27"/>
      <c r="AI102" s="29" t="str">
        <f aca="false">IF(OR(G102="",G102="なし"),"",IF(AA102="経理区分別",BH102+BI102+N(Z102),""))</f>
        <v/>
      </c>
      <c r="AJ102" s="27"/>
      <c r="AK102" s="26" t="s">
        <v>168</v>
      </c>
      <c r="AL102" s="26"/>
      <c r="AM102" s="30"/>
      <c r="AN102" s="31"/>
      <c r="AO102" s="31"/>
      <c r="AP102" s="31"/>
      <c r="AQ102" s="31"/>
      <c r="AR102" s="31"/>
      <c r="AS102" s="31"/>
      <c r="AT102" s="31"/>
      <c r="AU102" s="31"/>
      <c r="AV102" s="31"/>
      <c r="AW102" s="31"/>
      <c r="AX102" s="31"/>
      <c r="AY102" s="31" t="n">
        <f aca="false">IF($G102="",AN102,O102)</f>
        <v>1810785</v>
      </c>
      <c r="AZ102" s="31" t="n">
        <f aca="false">IF($G102="",AO102,P102)</f>
        <v>148425</v>
      </c>
      <c r="BA102" s="31" t="n">
        <f aca="false">IF($G102="",AP102,T102)</f>
        <v>2609982</v>
      </c>
      <c r="BB102" s="31" t="n">
        <f aca="false">IF($G102="",AQ102,U102)</f>
        <v>148425</v>
      </c>
      <c r="BC102" s="31" t="n">
        <f aca="false">IF($G102="",AR102,V102)</f>
        <v>1740</v>
      </c>
      <c r="BD102" s="31" t="n">
        <f aca="false">IF($G102="",AS102,Q102)</f>
        <v>1048696</v>
      </c>
      <c r="BE102" s="31" t="n">
        <f aca="false">IF($G102="",AT102,W102)</f>
        <v>1066514</v>
      </c>
      <c r="BF102" s="31" t="n">
        <f aca="false">IF($G102="",AU102,R102)</f>
        <v>101925</v>
      </c>
      <c r="BG102" s="31" t="n">
        <f aca="false">IF($G102="",AV102,X102)</f>
        <v>101925</v>
      </c>
      <c r="BH102" s="31" t="n">
        <f aca="false">IF($G102="",AW102,S102)</f>
        <v>23247</v>
      </c>
      <c r="BI102" s="31" t="n">
        <f aca="false">IF($G102="",AX102,Y102)</f>
        <v>23255</v>
      </c>
      <c r="BJ102" s="31" t="n">
        <f aca="false">IF(CK102="N",BR102,ROUNDDOWN((I102-L102)*設定!$B$10/1000,0)+ROUNDDOWN((I102-L102)*設定!$B$11/1000,0))</f>
        <v>0</v>
      </c>
      <c r="BK102" s="31" t="n">
        <f aca="false">ROUNDDOWN((I102-L102)*設定!$C$10/1000,0)+ROUNDDOWN((I102-L102)*設定!$C$11/1000,0)+ROUNDDOWN(I102*設定!$C$12/1000,0)+IF(CL102="市局型",ROUNDDOWN(I102*設定!$C$16/1000,0),0)</f>
        <v>0</v>
      </c>
      <c r="BL102" s="31" t="n">
        <f aca="false">IF(CK102="N",BT102,ROUNDDOWN((J102-M102)*設定!$B$13/1000,0))</f>
        <v>0</v>
      </c>
      <c r="BM102" s="31" t="n">
        <f aca="false">ROUNDDOWN((J102-M102)*設定!$C$13/1000,0)+IF(CL102="市局型",ROUNDDOWN(J102*設定!$C$17/1000,0),0)</f>
        <v>0</v>
      </c>
      <c r="BN102" s="31" t="n">
        <f aca="false">IF(CK102="N",BV102,ROUNDDOWN((K102-N102)*設定!$B$14/1000,0))</f>
        <v>0</v>
      </c>
      <c r="BO102" s="31" t="n">
        <f aca="false">ROUNDDOWN((K102-N102)*設定!$C$14/1000,0)</f>
        <v>0</v>
      </c>
      <c r="BP102" s="31" t="n">
        <f aca="false">IF(CK102="N",BX102,ROUNDDOWN((J102-M102)*設定!$B$15/1000,0))</f>
        <v>0</v>
      </c>
      <c r="BQ102" s="31" t="n">
        <f aca="false">ROUNDDOWN((J102-M102)*設定!$C$15/1000,0)</f>
        <v>0</v>
      </c>
      <c r="BR102" s="31" t="n">
        <f aca="false">O102+P102</f>
        <v>1959210</v>
      </c>
      <c r="BS102" s="31" t="n">
        <f aca="false">T102+U102+V102</f>
        <v>2760147</v>
      </c>
      <c r="BT102" s="31" t="n">
        <f aca="false">Q102</f>
        <v>1048696</v>
      </c>
      <c r="BU102" s="31" t="n">
        <f aca="false">W102</f>
        <v>1066514</v>
      </c>
      <c r="BV102" s="31" t="n">
        <f aca="false">R102</f>
        <v>101925</v>
      </c>
      <c r="BW102" s="31" t="n">
        <f aca="false">X102</f>
        <v>101925</v>
      </c>
      <c r="BX102" s="31" t="n">
        <f aca="false">S102</f>
        <v>23247</v>
      </c>
      <c r="BY102" s="31" t="n">
        <f aca="false">Y102</f>
        <v>23255</v>
      </c>
      <c r="BZ102" s="32" t="n">
        <f aca="false">IF(BJ102=0,IF(BR102=0,0,1),(BR102-BJ102)/BJ102)</f>
        <v>1</v>
      </c>
      <c r="CA102" s="32" t="n">
        <f aca="false">IF(BK102=0,IF(BS102=0,0,1),(BS102-BK102)/BK102)</f>
        <v>1</v>
      </c>
      <c r="CB102" s="32" t="n">
        <f aca="false">IF(BL102=0,IF(BT102=0,0,1),(BT102-BL102)/BL102)</f>
        <v>1</v>
      </c>
      <c r="CC102" s="32" t="n">
        <f aca="false">IF(BM102=0,IF(BU102=0,0,1),(BU102-BM102)/BM102)</f>
        <v>1</v>
      </c>
      <c r="CD102" s="32" t="n">
        <f aca="false">IF(BN102=0,IF(BV102=0,0,1),(BV102-BN102)/BN102)</f>
        <v>1</v>
      </c>
      <c r="CE102" s="32" t="n">
        <f aca="false">IF(BO102=0,IF(BW102=0,0,1),(BW102-BO102)/BO102)</f>
        <v>1</v>
      </c>
      <c r="CF102" s="32" t="n">
        <f aca="false">IF(BP102=0,IF(BX102=0,0,1),(BX102-BP102)/BP102)</f>
        <v>1</v>
      </c>
      <c r="CG102" s="32" t="n">
        <f aca="false">IF(BQ102=0,IF(BY102=0,0,1),(BY102-BQ102)/BQ102)</f>
        <v>1</v>
      </c>
      <c r="CH102" s="32" t="n">
        <f aca="false">MAX(MAX(BZ102:CG102),-MIN(BZ102:CG102))</f>
        <v>1</v>
      </c>
      <c r="CI102" s="31" t="n">
        <f aca="false">IF(CO102="","",SUMIFS($CJ$7:$CJ$696,$A$7:$A$696,CO102,$B$7:$B$696,B102))</f>
        <v>7084919</v>
      </c>
      <c r="CJ102" s="31" t="n">
        <f aca="false">SUM(AY102:BI102)</f>
        <v>7084919</v>
      </c>
      <c r="CK102" s="31" t="str">
        <f aca="false">IFERROR(INDEX(設定!$F$61:$F$106,MATCH(B102,設定!$B$61:$B$106,0)),"Y")</f>
        <v>Y</v>
      </c>
      <c r="CL102" s="31" t="str">
        <f aca="false">IFERROR(INDEX(設定!$G$61:$G$106,MATCH(B102,設定!$B$61:$B$106,0)),"外郭型")</f>
        <v>市局型</v>
      </c>
      <c r="CM102" s="33" t="str">
        <f aca="false">A102&amp;"|"&amp;B102</f>
        <v>2026-06 月例|議会事務局</v>
      </c>
      <c r="CN102" s="34" t="str">
        <f aca="false">IFERROR(INDEX(設定!$D$61:$D$106,MATCH(B102,設定!$B$61:$B$106,0)),"Y")</f>
        <v>Y</v>
      </c>
      <c r="CO102" s="34" t="str">
        <f aca="false">IFERROR(INDEX(設定!$D$20:$D$34,MATCH(A102,設定!$A$20:$A$34,0))&amp;"","")</f>
        <v>2026-05 月例</v>
      </c>
    </row>
    <row r="103" customFormat="false" ht="15" hidden="true" customHeight="false" outlineLevel="0" collapsed="false">
      <c r="A103" s="22" t="s">
        <v>217</v>
      </c>
      <c r="B103" s="23" t="s">
        <v>172</v>
      </c>
      <c r="C103" s="10" t="str">
        <f aca="false">IF(G103="","未受領",IF(G103="なし","報告なし",IF(AL103="○","起票済",IF(OR(AK103="○",F103="一致",F103="入金不要"),"入金確認済","受領済"))))</f>
        <v>入金確認済</v>
      </c>
      <c r="D103" s="10" t="str">
        <f aca="false">IF(OR(G103="",G103="なし"),"―",IF(CN103="N","対象外",IF(AND(I103="",J103="",K103=""),"標報未入力",IF(CH103&gt;=設定!$B$4,"要確認","問題なし"))))</f>
        <v>対象外</v>
      </c>
      <c r="E103" s="24" t="str">
        <f aca="false">IF(OR(G103="",G103="なし",CI103="",CJ103=0),"―",IF(CJ103=CI103,"前月同額",IF(CI103=0,"―",IF(ABS(CJ103/CI103-1)&gt;=設定!$B$5,"変動大 "&amp;TEXT(CJ103/CI103-1,"+0%;-0%"),"〇"))))</f>
        <v>〇</v>
      </c>
      <c r="F103" s="10" t="str">
        <f aca="false">IF(OR(G103="",G103="なし"),"―",IF(CJ103=0,"入金不要",IF(COUNT(AD103,AF103,AH103,AJ103)=0,IF(AK103="○","手動確認","未入金"),IF(AND(N(AD103)=AC103,IF(AE103="",TRUE(),N(AF103)=AE103),IF(AG103="",TRUE(),N(AH103)=AG103),IF(AI103="",TRUE(),N(AJ103)=AI103)),"一致","不一致"))))</f>
        <v>手動確認</v>
      </c>
      <c r="G103" s="25" t="s">
        <v>167</v>
      </c>
      <c r="H103" s="26"/>
      <c r="I103" s="27"/>
      <c r="J103" s="27"/>
      <c r="K103" s="27"/>
      <c r="L103" s="27"/>
      <c r="M103" s="27"/>
      <c r="N103" s="27"/>
      <c r="O103" s="27" t="n">
        <v>23665011</v>
      </c>
      <c r="P103" s="27" t="n">
        <v>1939755</v>
      </c>
      <c r="Q103" s="27" t="n">
        <v>23489766</v>
      </c>
      <c r="R103" s="27" t="n">
        <v>2747911</v>
      </c>
      <c r="S103" s="27" t="n">
        <v>520296</v>
      </c>
      <c r="T103" s="27" t="n">
        <v>34091829</v>
      </c>
      <c r="U103" s="27" t="n">
        <v>1939800</v>
      </c>
      <c r="V103" s="27" t="n">
        <v>22702</v>
      </c>
      <c r="W103" s="27" t="n">
        <v>23826312</v>
      </c>
      <c r="X103" s="27" t="n">
        <v>2740362</v>
      </c>
      <c r="Y103" s="27" t="n">
        <v>519504</v>
      </c>
      <c r="Z103" s="27"/>
      <c r="AA103" s="10" t="str">
        <f aca="false">IFERROR(INDEX(設定!$E$61:$E$106,MATCH(B103,設定!$B$61:$B$106,0)),"合算")</f>
        <v>合算</v>
      </c>
      <c r="AB103" s="28"/>
      <c r="AC103" s="29" t="n">
        <f aca="false">IF(OR(G103="",G103="なし"),"",IF(AA103="合算",CJ103+N(Z103),IF(AA103="掛金・負担金別",(AY103+AZ103+BD103+BF103+BH103),SUM(AY103:BC103))))</f>
        <v>115503248</v>
      </c>
      <c r="AD103" s="27"/>
      <c r="AE103" s="29" t="str">
        <f aca="false">IF(OR(G103="",G103="なし"),"",IF(AA103="掛金・負担金別",(BA103+BB103+BC103+BE103+BG103+BI103+N(Z103)),IF(AA103="経理区分別",BD103+BE103,"")))</f>
        <v/>
      </c>
      <c r="AF103" s="27"/>
      <c r="AG103" s="29" t="str">
        <f aca="false">IF(OR(G103="",G103="なし"),"",IF(AA103="経理区分別",BF103+BG103,""))</f>
        <v/>
      </c>
      <c r="AH103" s="27"/>
      <c r="AI103" s="29" t="str">
        <f aca="false">IF(OR(G103="",G103="なし"),"",IF(AA103="経理区分別",BH103+BI103+N(Z103),""))</f>
        <v/>
      </c>
      <c r="AJ103" s="27"/>
      <c r="AK103" s="26" t="s">
        <v>168</v>
      </c>
      <c r="AL103" s="26"/>
      <c r="AM103" s="30"/>
      <c r="AN103" s="31"/>
      <c r="AO103" s="31"/>
      <c r="AP103" s="31"/>
      <c r="AQ103" s="31"/>
      <c r="AR103" s="31"/>
      <c r="AS103" s="31"/>
      <c r="AT103" s="31"/>
      <c r="AU103" s="31"/>
      <c r="AV103" s="31"/>
      <c r="AW103" s="31"/>
      <c r="AX103" s="31"/>
      <c r="AY103" s="31" t="n">
        <f aca="false">IF($G103="",AN103,O103)</f>
        <v>23665011</v>
      </c>
      <c r="AZ103" s="31" t="n">
        <f aca="false">IF($G103="",AO103,P103)</f>
        <v>1939755</v>
      </c>
      <c r="BA103" s="31" t="n">
        <f aca="false">IF($G103="",AP103,T103)</f>
        <v>34091829</v>
      </c>
      <c r="BB103" s="31" t="n">
        <f aca="false">IF($G103="",AQ103,U103)</f>
        <v>1939800</v>
      </c>
      <c r="BC103" s="31" t="n">
        <f aca="false">IF($G103="",AR103,V103)</f>
        <v>22702</v>
      </c>
      <c r="BD103" s="31" t="n">
        <f aca="false">IF($G103="",AS103,Q103)</f>
        <v>23489766</v>
      </c>
      <c r="BE103" s="31" t="n">
        <f aca="false">IF($G103="",AT103,W103)</f>
        <v>23826312</v>
      </c>
      <c r="BF103" s="31" t="n">
        <f aca="false">IF($G103="",AU103,R103)</f>
        <v>2747911</v>
      </c>
      <c r="BG103" s="31" t="n">
        <f aca="false">IF($G103="",AV103,X103)</f>
        <v>2740362</v>
      </c>
      <c r="BH103" s="31" t="n">
        <f aca="false">IF($G103="",AW103,S103)</f>
        <v>520296</v>
      </c>
      <c r="BI103" s="31" t="n">
        <f aca="false">IF($G103="",AX103,Y103)</f>
        <v>519504</v>
      </c>
      <c r="BJ103" s="31" t="n">
        <f aca="false">IF(CK103="N",BR103,ROUNDDOWN((I103-L103)*設定!$B$10/1000,0)+ROUNDDOWN((I103-L103)*設定!$B$11/1000,0))</f>
        <v>0</v>
      </c>
      <c r="BK103" s="31" t="n">
        <f aca="false">ROUNDDOWN((I103-L103)*設定!$C$10/1000,0)+ROUNDDOWN((I103-L103)*設定!$C$11/1000,0)+ROUNDDOWN(I103*設定!$C$12/1000,0)+IF(CL103="市局型",ROUNDDOWN(I103*設定!$C$16/1000,0),0)</f>
        <v>0</v>
      </c>
      <c r="BL103" s="31" t="n">
        <f aca="false">IF(CK103="N",BT103,ROUNDDOWN((J103-M103)*設定!$B$13/1000,0))</f>
        <v>0</v>
      </c>
      <c r="BM103" s="31" t="n">
        <f aca="false">ROUNDDOWN((J103-M103)*設定!$C$13/1000,0)+IF(CL103="市局型",ROUNDDOWN(J103*設定!$C$17/1000,0),0)</f>
        <v>0</v>
      </c>
      <c r="BN103" s="31" t="n">
        <f aca="false">IF(CK103="N",BV103,ROUNDDOWN((K103-N103)*設定!$B$14/1000,0))</f>
        <v>0</v>
      </c>
      <c r="BO103" s="31" t="n">
        <f aca="false">ROUNDDOWN((K103-N103)*設定!$C$14/1000,0)</f>
        <v>0</v>
      </c>
      <c r="BP103" s="31" t="n">
        <f aca="false">IF(CK103="N",BX103,ROUNDDOWN((J103-M103)*設定!$B$15/1000,0))</f>
        <v>0</v>
      </c>
      <c r="BQ103" s="31" t="n">
        <f aca="false">ROUNDDOWN((J103-M103)*設定!$C$15/1000,0)</f>
        <v>0</v>
      </c>
      <c r="BR103" s="31" t="n">
        <f aca="false">O103+P103</f>
        <v>25604766</v>
      </c>
      <c r="BS103" s="31" t="n">
        <f aca="false">T103+U103+V103</f>
        <v>36054331</v>
      </c>
      <c r="BT103" s="31" t="n">
        <f aca="false">Q103</f>
        <v>23489766</v>
      </c>
      <c r="BU103" s="31" t="n">
        <f aca="false">W103</f>
        <v>23826312</v>
      </c>
      <c r="BV103" s="31" t="n">
        <f aca="false">R103</f>
        <v>2747911</v>
      </c>
      <c r="BW103" s="31" t="n">
        <f aca="false">X103</f>
        <v>2740362</v>
      </c>
      <c r="BX103" s="31" t="n">
        <f aca="false">S103</f>
        <v>520296</v>
      </c>
      <c r="BY103" s="31" t="n">
        <f aca="false">Y103</f>
        <v>519504</v>
      </c>
      <c r="BZ103" s="32" t="n">
        <f aca="false">IF(BJ103=0,IF(BR103=0,0,1),(BR103-BJ103)/BJ103)</f>
        <v>1</v>
      </c>
      <c r="CA103" s="32" t="n">
        <f aca="false">IF(BK103=0,IF(BS103=0,0,1),(BS103-BK103)/BK103)</f>
        <v>1</v>
      </c>
      <c r="CB103" s="32" t="n">
        <f aca="false">IF(BL103=0,IF(BT103=0,0,1),(BT103-BL103)/BL103)</f>
        <v>1</v>
      </c>
      <c r="CC103" s="32" t="n">
        <f aca="false">IF(BM103=0,IF(BU103=0,0,1),(BU103-BM103)/BM103)</f>
        <v>1</v>
      </c>
      <c r="CD103" s="32" t="n">
        <f aca="false">IF(BN103=0,IF(BV103=0,0,1),(BV103-BN103)/BN103)</f>
        <v>1</v>
      </c>
      <c r="CE103" s="32" t="n">
        <f aca="false">IF(BO103=0,IF(BW103=0,0,1),(BW103-BO103)/BO103)</f>
        <v>1</v>
      </c>
      <c r="CF103" s="32" t="n">
        <f aca="false">IF(BP103=0,IF(BX103=0,0,1),(BX103-BP103)/BP103)</f>
        <v>1</v>
      </c>
      <c r="CG103" s="32" t="n">
        <f aca="false">IF(BQ103=0,IF(BY103=0,0,1),(BY103-BQ103)/BQ103)</f>
        <v>1</v>
      </c>
      <c r="CH103" s="32" t="n">
        <f aca="false">MAX(MAX(BZ103:CG103),-MIN(BZ103:CG103))</f>
        <v>1</v>
      </c>
      <c r="CI103" s="31" t="n">
        <f aca="false">IF(CO103="","",SUMIFS($CJ$7:$CJ$696,$A$7:$A$696,CO103,$B$7:$B$696,B103))</f>
        <v>115667889</v>
      </c>
      <c r="CJ103" s="31" t="n">
        <f aca="false">SUM(AY103:BI103)</f>
        <v>115503248</v>
      </c>
      <c r="CK103" s="31" t="str">
        <f aca="false">IFERROR(INDEX(設定!$F$61:$F$106,MATCH(B103,設定!$B$61:$B$106,0)),"Y")</f>
        <v>Y</v>
      </c>
      <c r="CL103" s="31" t="str">
        <f aca="false">IFERROR(INDEX(設定!$G$61:$G$106,MATCH(B103,設定!$B$61:$B$106,0)),"外郭型")</f>
        <v>市局型</v>
      </c>
      <c r="CM103" s="33" t="str">
        <f aca="false">A103&amp;"|"&amp;B103</f>
        <v>2026-06 月例|教育委員会（総務課）</v>
      </c>
      <c r="CN103" s="34" t="str">
        <f aca="false">IFERROR(INDEX(設定!$D$61:$D$106,MATCH(B103,設定!$B$61:$B$106,0)),"Y")</f>
        <v>N</v>
      </c>
      <c r="CO103" s="34" t="str">
        <f aca="false">IFERROR(INDEX(設定!$D$20:$D$34,MATCH(A103,設定!$A$20:$A$34,0))&amp;"","")</f>
        <v>2026-05 月例</v>
      </c>
    </row>
    <row r="104" customFormat="false" ht="15" hidden="true" customHeight="false" outlineLevel="0" collapsed="false">
      <c r="A104" s="22" t="s">
        <v>217</v>
      </c>
      <c r="B104" s="23" t="s">
        <v>173</v>
      </c>
      <c r="C104" s="10" t="str">
        <f aca="false">IF(G104="","未受領",IF(G104="なし","報告なし",IF(AL104="○","起票済",IF(OR(AK104="○",F104="一致",F104="入金不要"),"入金確認済","受領済"))))</f>
        <v>入金確認済</v>
      </c>
      <c r="D104" s="10" t="str">
        <f aca="false">IF(OR(G104="",G104="なし"),"―",IF(CN104="N","対象外",IF(AND(I104="",J104="",K104=""),"標報未入力",IF(CH104&gt;=設定!$B$4,"要確認","問題なし"))))</f>
        <v>標報未入力</v>
      </c>
      <c r="E104" s="24" t="str">
        <f aca="false">IF(OR(G104="",G104="なし",CI104="",CJ104=0),"―",IF(CJ104=CI104,"前月同額",IF(CI104=0,"―",IF(ABS(CJ104/CI104-1)&gt;=設定!$B$5,"変動大 "&amp;TEXT(CJ104/CI104-1,"+0%;-0%"),"〇"))))</f>
        <v>前月同額</v>
      </c>
      <c r="F104" s="10" t="str">
        <f aca="false">IF(OR(G104="",G104="なし"),"―",IF(CJ104=0,"入金不要",IF(COUNT(AD104,AF104,AH104,AJ104)=0,IF(AK104="○","手動確認","未入金"),IF(AND(N(AD104)=AC104,IF(AE104="",TRUE(),N(AF104)=AE104),IF(AG104="",TRUE(),N(AH104)=AG104),IF(AI104="",TRUE(),N(AJ104)=AI104)),"一致","不一致"))))</f>
        <v>手動確認</v>
      </c>
      <c r="G104" s="25" t="s">
        <v>167</v>
      </c>
      <c r="H104" s="26"/>
      <c r="I104" s="27"/>
      <c r="J104" s="27"/>
      <c r="K104" s="27"/>
      <c r="L104" s="27"/>
      <c r="M104" s="27"/>
      <c r="N104" s="27"/>
      <c r="O104" s="27" t="n">
        <v>326655</v>
      </c>
      <c r="P104" s="27" t="n">
        <v>26775</v>
      </c>
      <c r="Q104" s="27" t="n">
        <v>205363</v>
      </c>
      <c r="R104" s="27" t="n">
        <v>15800</v>
      </c>
      <c r="S104" s="27" t="n">
        <v>4552</v>
      </c>
      <c r="T104" s="27" t="n">
        <v>469098</v>
      </c>
      <c r="U104" s="27" t="n">
        <v>26775</v>
      </c>
      <c r="V104" s="27" t="n">
        <v>310</v>
      </c>
      <c r="W104" s="27" t="n">
        <v>208810</v>
      </c>
      <c r="X104" s="27" t="n">
        <v>15800</v>
      </c>
      <c r="Y104" s="27" t="n">
        <v>4553</v>
      </c>
      <c r="Z104" s="27"/>
      <c r="AA104" s="10" t="str">
        <f aca="false">IFERROR(INDEX(設定!$E$61:$E$106,MATCH(B104,設定!$B$61:$B$106,0)),"合算")</f>
        <v>合算</v>
      </c>
      <c r="AB104" s="28"/>
      <c r="AC104" s="29" t="n">
        <f aca="false">IF(OR(G104="",G104="なし"),"",IF(AA104="合算",CJ104+N(Z104),IF(AA104="掛金・負担金別",(AY104+AZ104+BD104+BF104+BH104),SUM(AY104:BC104))))</f>
        <v>1304491</v>
      </c>
      <c r="AD104" s="27"/>
      <c r="AE104" s="29" t="str">
        <f aca="false">IF(OR(G104="",G104="なし"),"",IF(AA104="掛金・負担金別",(BA104+BB104+BC104+BE104+BG104+BI104+N(Z104)),IF(AA104="経理区分別",BD104+BE104,"")))</f>
        <v/>
      </c>
      <c r="AF104" s="27"/>
      <c r="AG104" s="29" t="str">
        <f aca="false">IF(OR(G104="",G104="なし"),"",IF(AA104="経理区分別",BF104+BG104,""))</f>
        <v/>
      </c>
      <c r="AH104" s="27"/>
      <c r="AI104" s="29" t="str">
        <f aca="false">IF(OR(G104="",G104="なし"),"",IF(AA104="経理区分別",BH104+BI104+N(Z104),""))</f>
        <v/>
      </c>
      <c r="AJ104" s="27"/>
      <c r="AK104" s="26" t="s">
        <v>168</v>
      </c>
      <c r="AL104" s="26"/>
      <c r="AM104" s="30"/>
      <c r="AN104" s="31"/>
      <c r="AO104" s="31"/>
      <c r="AP104" s="31"/>
      <c r="AQ104" s="31"/>
      <c r="AR104" s="31"/>
      <c r="AS104" s="31"/>
      <c r="AT104" s="31"/>
      <c r="AU104" s="31"/>
      <c r="AV104" s="31"/>
      <c r="AW104" s="31"/>
      <c r="AX104" s="31"/>
      <c r="AY104" s="31" t="n">
        <f aca="false">IF($G104="",AN104,O104)</f>
        <v>326655</v>
      </c>
      <c r="AZ104" s="31" t="n">
        <f aca="false">IF($G104="",AO104,P104)</f>
        <v>26775</v>
      </c>
      <c r="BA104" s="31" t="n">
        <f aca="false">IF($G104="",AP104,T104)</f>
        <v>469098</v>
      </c>
      <c r="BB104" s="31" t="n">
        <f aca="false">IF($G104="",AQ104,U104)</f>
        <v>26775</v>
      </c>
      <c r="BC104" s="31" t="n">
        <f aca="false">IF($G104="",AR104,V104)</f>
        <v>310</v>
      </c>
      <c r="BD104" s="31" t="n">
        <f aca="false">IF($G104="",AS104,Q104)</f>
        <v>205363</v>
      </c>
      <c r="BE104" s="31" t="n">
        <f aca="false">IF($G104="",AT104,W104)</f>
        <v>208810</v>
      </c>
      <c r="BF104" s="31" t="n">
        <f aca="false">IF($G104="",AU104,R104)</f>
        <v>15800</v>
      </c>
      <c r="BG104" s="31" t="n">
        <f aca="false">IF($G104="",AV104,X104)</f>
        <v>15800</v>
      </c>
      <c r="BH104" s="31" t="n">
        <f aca="false">IF($G104="",AW104,S104)</f>
        <v>4552</v>
      </c>
      <c r="BI104" s="31" t="n">
        <f aca="false">IF($G104="",AX104,Y104)</f>
        <v>4553</v>
      </c>
      <c r="BJ104" s="31" t="n">
        <f aca="false">IF(CK104="N",BR104,ROUNDDOWN((I104-L104)*設定!$B$10/1000,0)+ROUNDDOWN((I104-L104)*設定!$B$11/1000,0))</f>
        <v>0</v>
      </c>
      <c r="BK104" s="31" t="n">
        <f aca="false">ROUNDDOWN((I104-L104)*設定!$C$10/1000,0)+ROUNDDOWN((I104-L104)*設定!$C$11/1000,0)+ROUNDDOWN(I104*設定!$C$12/1000,0)+IF(CL104="市局型",ROUNDDOWN(I104*設定!$C$16/1000,0),0)</f>
        <v>0</v>
      </c>
      <c r="BL104" s="31" t="n">
        <f aca="false">IF(CK104="N",BT104,ROUNDDOWN((J104-M104)*設定!$B$13/1000,0))</f>
        <v>0</v>
      </c>
      <c r="BM104" s="31" t="n">
        <f aca="false">ROUNDDOWN((J104-M104)*設定!$C$13/1000,0)+IF(CL104="市局型",ROUNDDOWN(J104*設定!$C$17/1000,0),0)</f>
        <v>0</v>
      </c>
      <c r="BN104" s="31" t="n">
        <f aca="false">IF(CK104="N",BV104,ROUNDDOWN((K104-N104)*設定!$B$14/1000,0))</f>
        <v>0</v>
      </c>
      <c r="BO104" s="31" t="n">
        <f aca="false">ROUNDDOWN((K104-N104)*設定!$C$14/1000,0)</f>
        <v>0</v>
      </c>
      <c r="BP104" s="31" t="n">
        <f aca="false">IF(CK104="N",BX104,ROUNDDOWN((J104-M104)*設定!$B$15/1000,0))</f>
        <v>0</v>
      </c>
      <c r="BQ104" s="31" t="n">
        <f aca="false">ROUNDDOWN((J104-M104)*設定!$C$15/1000,0)</f>
        <v>0</v>
      </c>
      <c r="BR104" s="31" t="n">
        <f aca="false">O104+P104</f>
        <v>353430</v>
      </c>
      <c r="BS104" s="31" t="n">
        <f aca="false">T104+U104+V104</f>
        <v>496183</v>
      </c>
      <c r="BT104" s="31" t="n">
        <f aca="false">Q104</f>
        <v>205363</v>
      </c>
      <c r="BU104" s="31" t="n">
        <f aca="false">W104</f>
        <v>208810</v>
      </c>
      <c r="BV104" s="31" t="n">
        <f aca="false">R104</f>
        <v>15800</v>
      </c>
      <c r="BW104" s="31" t="n">
        <f aca="false">X104</f>
        <v>15800</v>
      </c>
      <c r="BX104" s="31" t="n">
        <f aca="false">S104</f>
        <v>4552</v>
      </c>
      <c r="BY104" s="31" t="n">
        <f aca="false">Y104</f>
        <v>4553</v>
      </c>
      <c r="BZ104" s="32" t="n">
        <f aca="false">IF(BJ104=0,IF(BR104=0,0,1),(BR104-BJ104)/BJ104)</f>
        <v>1</v>
      </c>
      <c r="CA104" s="32" t="n">
        <f aca="false">IF(BK104=0,IF(BS104=0,0,1),(BS104-BK104)/BK104)</f>
        <v>1</v>
      </c>
      <c r="CB104" s="32" t="n">
        <f aca="false">IF(BL104=0,IF(BT104=0,0,1),(BT104-BL104)/BL104)</f>
        <v>1</v>
      </c>
      <c r="CC104" s="32" t="n">
        <f aca="false">IF(BM104=0,IF(BU104=0,0,1),(BU104-BM104)/BM104)</f>
        <v>1</v>
      </c>
      <c r="CD104" s="32" t="n">
        <f aca="false">IF(BN104=0,IF(BV104=0,0,1),(BV104-BN104)/BN104)</f>
        <v>1</v>
      </c>
      <c r="CE104" s="32" t="n">
        <f aca="false">IF(BO104=0,IF(BW104=0,0,1),(BW104-BO104)/BO104)</f>
        <v>1</v>
      </c>
      <c r="CF104" s="32" t="n">
        <f aca="false">IF(BP104=0,IF(BX104=0,0,1),(BX104-BP104)/BP104)</f>
        <v>1</v>
      </c>
      <c r="CG104" s="32" t="n">
        <f aca="false">IF(BQ104=0,IF(BY104=0,0,1),(BY104-BQ104)/BQ104)</f>
        <v>1</v>
      </c>
      <c r="CH104" s="32" t="n">
        <f aca="false">MAX(MAX(BZ104:CG104),-MIN(BZ104:CG104))</f>
        <v>1</v>
      </c>
      <c r="CI104" s="31" t="n">
        <f aca="false">IF(CO104="","",SUMIFS($CJ$7:$CJ$696,$A$7:$A$696,CO104,$B$7:$B$696,B104))</f>
        <v>1304491</v>
      </c>
      <c r="CJ104" s="31" t="n">
        <f aca="false">SUM(AY104:BI104)</f>
        <v>1304491</v>
      </c>
      <c r="CK104" s="31" t="str">
        <f aca="false">IFERROR(INDEX(設定!$F$61:$F$106,MATCH(B104,設定!$B$61:$B$106,0)),"Y")</f>
        <v>Y</v>
      </c>
      <c r="CL104" s="31" t="str">
        <f aca="false">IFERROR(INDEX(設定!$G$61:$G$106,MATCH(B104,設定!$B$61:$B$106,0)),"外郭型")</f>
        <v>市局型</v>
      </c>
      <c r="CM104" s="33" t="str">
        <f aca="false">A104&amp;"|"&amp;B104</f>
        <v>2026-06 月例|選挙管理委員会</v>
      </c>
      <c r="CN104" s="34" t="str">
        <f aca="false">IFERROR(INDEX(設定!$D$61:$D$106,MATCH(B104,設定!$B$61:$B$106,0)),"Y")</f>
        <v>Y</v>
      </c>
      <c r="CO104" s="34" t="str">
        <f aca="false">IFERROR(INDEX(設定!$D$20:$D$34,MATCH(A104,設定!$A$20:$A$34,0))&amp;"","")</f>
        <v>2026-05 月例</v>
      </c>
    </row>
    <row r="105" customFormat="false" ht="15" hidden="true" customHeight="false" outlineLevel="0" collapsed="false">
      <c r="A105" s="22" t="s">
        <v>217</v>
      </c>
      <c r="B105" s="23" t="s">
        <v>174</v>
      </c>
      <c r="C105" s="10" t="str">
        <f aca="false">IF(G105="","未受領",IF(G105="なし","報告なし",IF(AL105="○","起票済",IF(OR(AK105="○",F105="一致",F105="入金不要"),"入金確認済","受領済"))))</f>
        <v>入金確認済</v>
      </c>
      <c r="D105" s="10" t="str">
        <f aca="false">IF(OR(G105="",G105="なし"),"―",IF(CN105="N","対象外",IF(AND(I105="",J105="",K105=""),"標報未入力",IF(CH105&gt;=設定!$B$4,"要確認","問題なし"))))</f>
        <v>標報未入力</v>
      </c>
      <c r="E105" s="24" t="str">
        <f aca="false">IF(OR(G105="",G105="なし",CI105="",CJ105=0),"―",IF(CJ105=CI105,"前月同額",IF(CI105=0,"―",IF(ABS(CJ105/CI105-1)&gt;=設定!$B$5,"変動大 "&amp;TEXT(CJ105/CI105-1,"+0%;-0%"),"〇"))))</f>
        <v>〇</v>
      </c>
      <c r="F105" s="10" t="str">
        <f aca="false">IF(OR(G105="",G105="なし"),"―",IF(CJ105=0,"入金不要",IF(COUNT(AD105,AF105,AH105,AJ105)=0,IF(AK105="○","手動確認","未入金"),IF(AND(N(AD105)=AC105,IF(AE105="",TRUE(),N(AF105)=AE105),IF(AG105="",TRUE(),N(AH105)=AG105),IF(AI105="",TRUE(),N(AJ105)=AI105)),"一致","不一致"))))</f>
        <v>手動確認</v>
      </c>
      <c r="G105" s="25" t="s">
        <v>167</v>
      </c>
      <c r="H105" s="26"/>
      <c r="I105" s="27"/>
      <c r="J105" s="27"/>
      <c r="K105" s="27"/>
      <c r="L105" s="27"/>
      <c r="M105" s="27"/>
      <c r="N105" s="27"/>
      <c r="O105" s="27" t="n">
        <v>597495</v>
      </c>
      <c r="P105" s="27" t="n">
        <v>48975</v>
      </c>
      <c r="Q105" s="27" t="n">
        <v>352122</v>
      </c>
      <c r="R105" s="27" t="n">
        <v>29546</v>
      </c>
      <c r="S105" s="27" t="n">
        <v>7805</v>
      </c>
      <c r="T105" s="27" t="n">
        <v>858042</v>
      </c>
      <c r="U105" s="27" t="n">
        <v>48975</v>
      </c>
      <c r="V105" s="27" t="n">
        <v>567</v>
      </c>
      <c r="W105" s="27" t="n">
        <v>358035</v>
      </c>
      <c r="X105" s="27" t="n">
        <v>29546</v>
      </c>
      <c r="Y105" s="27" t="n">
        <v>7808</v>
      </c>
      <c r="Z105" s="27"/>
      <c r="AA105" s="10" t="str">
        <f aca="false">IFERROR(INDEX(設定!$E$61:$E$106,MATCH(B105,設定!$B$61:$B$106,0)),"合算")</f>
        <v>合算</v>
      </c>
      <c r="AB105" s="28"/>
      <c r="AC105" s="29" t="n">
        <f aca="false">IF(OR(G105="",G105="なし"),"",IF(AA105="合算",CJ105+N(Z105),IF(AA105="掛金・負担金別",(AY105+AZ105+BD105+BF105+BH105),SUM(AY105:BC105))))</f>
        <v>2338916</v>
      </c>
      <c r="AD105" s="27"/>
      <c r="AE105" s="29" t="str">
        <f aca="false">IF(OR(G105="",G105="なし"),"",IF(AA105="掛金・負担金別",(BA105+BB105+BC105+BE105+BG105+BI105+N(Z105)),IF(AA105="経理区分別",BD105+BE105,"")))</f>
        <v/>
      </c>
      <c r="AF105" s="27"/>
      <c r="AG105" s="29" t="str">
        <f aca="false">IF(OR(G105="",G105="なし"),"",IF(AA105="経理区分別",BF105+BG105,""))</f>
        <v/>
      </c>
      <c r="AH105" s="27"/>
      <c r="AI105" s="29" t="str">
        <f aca="false">IF(OR(G105="",G105="なし"),"",IF(AA105="経理区分別",BH105+BI105+N(Z105),""))</f>
        <v/>
      </c>
      <c r="AJ105" s="27"/>
      <c r="AK105" s="26" t="s">
        <v>168</v>
      </c>
      <c r="AL105" s="26"/>
      <c r="AM105" s="30"/>
      <c r="AN105" s="31"/>
      <c r="AO105" s="31"/>
      <c r="AP105" s="31"/>
      <c r="AQ105" s="31"/>
      <c r="AR105" s="31"/>
      <c r="AS105" s="31"/>
      <c r="AT105" s="31"/>
      <c r="AU105" s="31"/>
      <c r="AV105" s="31"/>
      <c r="AW105" s="31"/>
      <c r="AX105" s="31"/>
      <c r="AY105" s="31" t="n">
        <f aca="false">IF($G105="",AN105,O105)</f>
        <v>597495</v>
      </c>
      <c r="AZ105" s="31" t="n">
        <f aca="false">IF($G105="",AO105,P105)</f>
        <v>48975</v>
      </c>
      <c r="BA105" s="31" t="n">
        <f aca="false">IF($G105="",AP105,T105)</f>
        <v>858042</v>
      </c>
      <c r="BB105" s="31" t="n">
        <f aca="false">IF($G105="",AQ105,U105)</f>
        <v>48975</v>
      </c>
      <c r="BC105" s="31" t="n">
        <f aca="false">IF($G105="",AR105,V105)</f>
        <v>567</v>
      </c>
      <c r="BD105" s="31" t="n">
        <f aca="false">IF($G105="",AS105,Q105)</f>
        <v>352122</v>
      </c>
      <c r="BE105" s="31" t="n">
        <f aca="false">IF($G105="",AT105,W105)</f>
        <v>358035</v>
      </c>
      <c r="BF105" s="31" t="n">
        <f aca="false">IF($G105="",AU105,R105)</f>
        <v>29546</v>
      </c>
      <c r="BG105" s="31" t="n">
        <f aca="false">IF($G105="",AV105,X105)</f>
        <v>29546</v>
      </c>
      <c r="BH105" s="31" t="n">
        <f aca="false">IF($G105="",AW105,S105)</f>
        <v>7805</v>
      </c>
      <c r="BI105" s="31" t="n">
        <f aca="false">IF($G105="",AX105,Y105)</f>
        <v>7808</v>
      </c>
      <c r="BJ105" s="31" t="n">
        <f aca="false">IF(CK105="N",BR105,ROUNDDOWN((I105-L105)*設定!$B$10/1000,0)+ROUNDDOWN((I105-L105)*設定!$B$11/1000,0))</f>
        <v>0</v>
      </c>
      <c r="BK105" s="31" t="n">
        <f aca="false">ROUNDDOWN((I105-L105)*設定!$C$10/1000,0)+ROUNDDOWN((I105-L105)*設定!$C$11/1000,0)+ROUNDDOWN(I105*設定!$C$12/1000,0)+IF(CL105="市局型",ROUNDDOWN(I105*設定!$C$16/1000,0),0)</f>
        <v>0</v>
      </c>
      <c r="BL105" s="31" t="n">
        <f aca="false">IF(CK105="N",BT105,ROUNDDOWN((J105-M105)*設定!$B$13/1000,0))</f>
        <v>0</v>
      </c>
      <c r="BM105" s="31" t="n">
        <f aca="false">ROUNDDOWN((J105-M105)*設定!$C$13/1000,0)+IF(CL105="市局型",ROUNDDOWN(J105*設定!$C$17/1000,0),0)</f>
        <v>0</v>
      </c>
      <c r="BN105" s="31" t="n">
        <f aca="false">IF(CK105="N",BV105,ROUNDDOWN((K105-N105)*設定!$B$14/1000,0))</f>
        <v>0</v>
      </c>
      <c r="BO105" s="31" t="n">
        <f aca="false">ROUNDDOWN((K105-N105)*設定!$C$14/1000,0)</f>
        <v>0</v>
      </c>
      <c r="BP105" s="31" t="n">
        <f aca="false">IF(CK105="N",BX105,ROUNDDOWN((J105-M105)*設定!$B$15/1000,0))</f>
        <v>0</v>
      </c>
      <c r="BQ105" s="31" t="n">
        <f aca="false">ROUNDDOWN((J105-M105)*設定!$C$15/1000,0)</f>
        <v>0</v>
      </c>
      <c r="BR105" s="31" t="n">
        <f aca="false">O105+P105</f>
        <v>646470</v>
      </c>
      <c r="BS105" s="31" t="n">
        <f aca="false">T105+U105+V105</f>
        <v>907584</v>
      </c>
      <c r="BT105" s="31" t="n">
        <f aca="false">Q105</f>
        <v>352122</v>
      </c>
      <c r="BU105" s="31" t="n">
        <f aca="false">W105</f>
        <v>358035</v>
      </c>
      <c r="BV105" s="31" t="n">
        <f aca="false">R105</f>
        <v>29546</v>
      </c>
      <c r="BW105" s="31" t="n">
        <f aca="false">X105</f>
        <v>29546</v>
      </c>
      <c r="BX105" s="31" t="n">
        <f aca="false">S105</f>
        <v>7805</v>
      </c>
      <c r="BY105" s="31" t="n">
        <f aca="false">Y105</f>
        <v>7808</v>
      </c>
      <c r="BZ105" s="32" t="n">
        <f aca="false">IF(BJ105=0,IF(BR105=0,0,1),(BR105-BJ105)/BJ105)</f>
        <v>1</v>
      </c>
      <c r="CA105" s="32" t="n">
        <f aca="false">IF(BK105=0,IF(BS105=0,0,1),(BS105-BK105)/BK105)</f>
        <v>1</v>
      </c>
      <c r="CB105" s="32" t="n">
        <f aca="false">IF(BL105=0,IF(BT105=0,0,1),(BT105-BL105)/BL105)</f>
        <v>1</v>
      </c>
      <c r="CC105" s="32" t="n">
        <f aca="false">IF(BM105=0,IF(BU105=0,0,1),(BU105-BM105)/BM105)</f>
        <v>1</v>
      </c>
      <c r="CD105" s="32" t="n">
        <f aca="false">IF(BN105=0,IF(BV105=0,0,1),(BV105-BN105)/BN105)</f>
        <v>1</v>
      </c>
      <c r="CE105" s="32" t="n">
        <f aca="false">IF(BO105=0,IF(BW105=0,0,1),(BW105-BO105)/BO105)</f>
        <v>1</v>
      </c>
      <c r="CF105" s="32" t="n">
        <f aca="false">IF(BP105=0,IF(BX105=0,0,1),(BX105-BP105)/BP105)</f>
        <v>1</v>
      </c>
      <c r="CG105" s="32" t="n">
        <f aca="false">IF(BQ105=0,IF(BY105=0,0,1),(BY105-BQ105)/BQ105)</f>
        <v>1</v>
      </c>
      <c r="CH105" s="32" t="n">
        <f aca="false">MAX(MAX(BZ105:CG105),-MIN(BZ105:CG105))</f>
        <v>1</v>
      </c>
      <c r="CI105" s="31" t="n">
        <f aca="false">IF(CO105="","",SUMIFS($CJ$7:$CJ$696,$A$7:$A$696,CO105,$B$7:$B$696,B105))</f>
        <v>2319287</v>
      </c>
      <c r="CJ105" s="31" t="n">
        <f aca="false">SUM(AY105:BI105)</f>
        <v>2338916</v>
      </c>
      <c r="CK105" s="31" t="str">
        <f aca="false">IFERROR(INDEX(設定!$F$61:$F$106,MATCH(B105,設定!$B$61:$B$106,0)),"Y")</f>
        <v>Y</v>
      </c>
      <c r="CL105" s="31" t="str">
        <f aca="false">IFERROR(INDEX(設定!$G$61:$G$106,MATCH(B105,設定!$B$61:$B$106,0)),"外郭型")</f>
        <v>市局型</v>
      </c>
      <c r="CM105" s="33" t="str">
        <f aca="false">A105&amp;"|"&amp;B105</f>
        <v>2026-06 月例|人事委員会</v>
      </c>
      <c r="CN105" s="34" t="str">
        <f aca="false">IFERROR(INDEX(設定!$D$61:$D$106,MATCH(B105,設定!$B$61:$B$106,0)),"Y")</f>
        <v>Y</v>
      </c>
      <c r="CO105" s="34" t="str">
        <f aca="false">IFERROR(INDEX(設定!$D$20:$D$34,MATCH(A105,設定!$A$20:$A$34,0))&amp;"","")</f>
        <v>2026-05 月例</v>
      </c>
    </row>
    <row r="106" customFormat="false" ht="15" hidden="true" customHeight="false" outlineLevel="0" collapsed="false">
      <c r="A106" s="22" t="s">
        <v>217</v>
      </c>
      <c r="B106" s="23" t="s">
        <v>175</v>
      </c>
      <c r="C106" s="10" t="str">
        <f aca="false">IF(G106="","未受領",IF(G106="なし","報告なし",IF(AL106="○","起票済",IF(OR(AK106="○",F106="一致",F106="入金不要"),"入金確認済","受領済"))))</f>
        <v>入金確認済</v>
      </c>
      <c r="D106" s="10" t="str">
        <f aca="false">IF(OR(G106="",G106="なし"),"―",IF(CN106="N","対象外",IF(AND(I106="",J106="",K106=""),"標報未入力",IF(CH106&gt;=設定!$B$4,"要確認","問題なし"))))</f>
        <v>標報未入力</v>
      </c>
      <c r="E106" s="24" t="str">
        <f aca="false">IF(OR(G106="",G106="なし",CI106="",CJ106=0),"―",IF(CJ106=CI106,"前月同額",IF(CI106=0,"―",IF(ABS(CJ106/CI106-1)&gt;=設定!$B$5,"変動大 "&amp;TEXT(CJ106/CI106-1,"+0%;-0%"),"〇"))))</f>
        <v>前月同額</v>
      </c>
      <c r="F106" s="10" t="str">
        <f aca="false">IF(OR(G106="",G106="なし"),"―",IF(CJ106=0,"入金不要",IF(COUNT(AD106,AF106,AH106,AJ106)=0,IF(AK106="○","手動確認","未入金"),IF(AND(N(AD106)=AC106,IF(AE106="",TRUE(),N(AF106)=AE106),IF(AG106="",TRUE(),N(AH106)=AG106),IF(AI106="",TRUE(),N(AJ106)=AI106)),"一致","不一致"))))</f>
        <v>手動確認</v>
      </c>
      <c r="G106" s="25" t="s">
        <v>167</v>
      </c>
      <c r="H106" s="26"/>
      <c r="I106" s="27"/>
      <c r="J106" s="27"/>
      <c r="K106" s="27"/>
      <c r="L106" s="27"/>
      <c r="M106" s="27"/>
      <c r="N106" s="27"/>
      <c r="O106" s="27" t="n">
        <v>1324920</v>
      </c>
      <c r="P106" s="27" t="n">
        <v>108600</v>
      </c>
      <c r="Q106" s="27" t="n">
        <v>768034</v>
      </c>
      <c r="R106" s="27" t="n">
        <v>104201</v>
      </c>
      <c r="S106" s="27" t="n">
        <v>17023</v>
      </c>
      <c r="T106" s="27" t="n">
        <v>1913844</v>
      </c>
      <c r="U106" s="27" t="n">
        <v>108600</v>
      </c>
      <c r="V106" s="27" t="n">
        <v>1282</v>
      </c>
      <c r="W106" s="27" t="n">
        <v>781174</v>
      </c>
      <c r="X106" s="27" t="n">
        <v>104201</v>
      </c>
      <c r="Y106" s="27" t="n">
        <v>17030</v>
      </c>
      <c r="Z106" s="27"/>
      <c r="AA106" s="10" t="str">
        <f aca="false">IFERROR(INDEX(設定!$E$61:$E$106,MATCH(B106,設定!$B$61:$B$106,0)),"合算")</f>
        <v>合算</v>
      </c>
      <c r="AB106" s="28"/>
      <c r="AC106" s="29" t="n">
        <f aca="false">IF(OR(G106="",G106="なし"),"",IF(AA106="合算",CJ106+N(Z106),IF(AA106="掛金・負担金別",(AY106+AZ106+BD106+BF106+BH106),SUM(AY106:BC106))))</f>
        <v>5248909</v>
      </c>
      <c r="AD106" s="27"/>
      <c r="AE106" s="29" t="str">
        <f aca="false">IF(OR(G106="",G106="なし"),"",IF(AA106="掛金・負担金別",(BA106+BB106+BC106+BE106+BG106+BI106+N(Z106)),IF(AA106="経理区分別",BD106+BE106,"")))</f>
        <v/>
      </c>
      <c r="AF106" s="27"/>
      <c r="AG106" s="29" t="str">
        <f aca="false">IF(OR(G106="",G106="なし"),"",IF(AA106="経理区分別",BF106+BG106,""))</f>
        <v/>
      </c>
      <c r="AH106" s="27"/>
      <c r="AI106" s="29" t="str">
        <f aca="false">IF(OR(G106="",G106="なし"),"",IF(AA106="経理区分別",BH106+BI106+N(Z106),""))</f>
        <v/>
      </c>
      <c r="AJ106" s="27"/>
      <c r="AK106" s="26" t="s">
        <v>168</v>
      </c>
      <c r="AL106" s="26"/>
      <c r="AM106" s="30"/>
      <c r="AN106" s="31"/>
      <c r="AO106" s="31"/>
      <c r="AP106" s="31"/>
      <c r="AQ106" s="31"/>
      <c r="AR106" s="31"/>
      <c r="AS106" s="31"/>
      <c r="AT106" s="31"/>
      <c r="AU106" s="31"/>
      <c r="AV106" s="31"/>
      <c r="AW106" s="31"/>
      <c r="AX106" s="31"/>
      <c r="AY106" s="31" t="n">
        <f aca="false">IF($G106="",AN106,O106)</f>
        <v>1324920</v>
      </c>
      <c r="AZ106" s="31" t="n">
        <f aca="false">IF($G106="",AO106,P106)</f>
        <v>108600</v>
      </c>
      <c r="BA106" s="31" t="n">
        <f aca="false">IF($G106="",AP106,T106)</f>
        <v>1913844</v>
      </c>
      <c r="BB106" s="31" t="n">
        <f aca="false">IF($G106="",AQ106,U106)</f>
        <v>108600</v>
      </c>
      <c r="BC106" s="31" t="n">
        <f aca="false">IF($G106="",AR106,V106)</f>
        <v>1282</v>
      </c>
      <c r="BD106" s="31" t="n">
        <f aca="false">IF($G106="",AS106,Q106)</f>
        <v>768034</v>
      </c>
      <c r="BE106" s="31" t="n">
        <f aca="false">IF($G106="",AT106,W106)</f>
        <v>781174</v>
      </c>
      <c r="BF106" s="31" t="n">
        <f aca="false">IF($G106="",AU106,R106)</f>
        <v>104201</v>
      </c>
      <c r="BG106" s="31" t="n">
        <f aca="false">IF($G106="",AV106,X106)</f>
        <v>104201</v>
      </c>
      <c r="BH106" s="31" t="n">
        <f aca="false">IF($G106="",AW106,S106)</f>
        <v>17023</v>
      </c>
      <c r="BI106" s="31" t="n">
        <f aca="false">IF($G106="",AX106,Y106)</f>
        <v>17030</v>
      </c>
      <c r="BJ106" s="31" t="n">
        <f aca="false">IF(CK106="N",BR106,ROUNDDOWN((I106-L106)*設定!$B$10/1000,0)+ROUNDDOWN((I106-L106)*設定!$B$11/1000,0))</f>
        <v>0</v>
      </c>
      <c r="BK106" s="31" t="n">
        <f aca="false">ROUNDDOWN((I106-L106)*設定!$C$10/1000,0)+ROUNDDOWN((I106-L106)*設定!$C$11/1000,0)+ROUNDDOWN(I106*設定!$C$12/1000,0)+IF(CL106="市局型",ROUNDDOWN(I106*設定!$C$16/1000,0),0)</f>
        <v>0</v>
      </c>
      <c r="BL106" s="31" t="n">
        <f aca="false">IF(CK106="N",BT106,ROUNDDOWN((J106-M106)*設定!$B$13/1000,0))</f>
        <v>0</v>
      </c>
      <c r="BM106" s="31" t="n">
        <f aca="false">ROUNDDOWN((J106-M106)*設定!$C$13/1000,0)+IF(CL106="市局型",ROUNDDOWN(J106*設定!$C$17/1000,0),0)</f>
        <v>0</v>
      </c>
      <c r="BN106" s="31" t="n">
        <f aca="false">IF(CK106="N",BV106,ROUNDDOWN((K106-N106)*設定!$B$14/1000,0))</f>
        <v>0</v>
      </c>
      <c r="BO106" s="31" t="n">
        <f aca="false">ROUNDDOWN((K106-N106)*設定!$C$14/1000,0)</f>
        <v>0</v>
      </c>
      <c r="BP106" s="31" t="n">
        <f aca="false">IF(CK106="N",BX106,ROUNDDOWN((J106-M106)*設定!$B$15/1000,0))</f>
        <v>0</v>
      </c>
      <c r="BQ106" s="31" t="n">
        <f aca="false">ROUNDDOWN((J106-M106)*設定!$C$15/1000,0)</f>
        <v>0</v>
      </c>
      <c r="BR106" s="31" t="n">
        <f aca="false">O106+P106</f>
        <v>1433520</v>
      </c>
      <c r="BS106" s="31" t="n">
        <f aca="false">T106+U106+V106</f>
        <v>2023726</v>
      </c>
      <c r="BT106" s="31" t="n">
        <f aca="false">Q106</f>
        <v>768034</v>
      </c>
      <c r="BU106" s="31" t="n">
        <f aca="false">W106</f>
        <v>781174</v>
      </c>
      <c r="BV106" s="31" t="n">
        <f aca="false">R106</f>
        <v>104201</v>
      </c>
      <c r="BW106" s="31" t="n">
        <f aca="false">X106</f>
        <v>104201</v>
      </c>
      <c r="BX106" s="31" t="n">
        <f aca="false">S106</f>
        <v>17023</v>
      </c>
      <c r="BY106" s="31" t="n">
        <f aca="false">Y106</f>
        <v>17030</v>
      </c>
      <c r="BZ106" s="32" t="n">
        <f aca="false">IF(BJ106=0,IF(BR106=0,0,1),(BR106-BJ106)/BJ106)</f>
        <v>1</v>
      </c>
      <c r="CA106" s="32" t="n">
        <f aca="false">IF(BK106=0,IF(BS106=0,0,1),(BS106-BK106)/BK106)</f>
        <v>1</v>
      </c>
      <c r="CB106" s="32" t="n">
        <f aca="false">IF(BL106=0,IF(BT106=0,0,1),(BT106-BL106)/BL106)</f>
        <v>1</v>
      </c>
      <c r="CC106" s="32" t="n">
        <f aca="false">IF(BM106=0,IF(BU106=0,0,1),(BU106-BM106)/BM106)</f>
        <v>1</v>
      </c>
      <c r="CD106" s="32" t="n">
        <f aca="false">IF(BN106=0,IF(BV106=0,0,1),(BV106-BN106)/BN106)</f>
        <v>1</v>
      </c>
      <c r="CE106" s="32" t="n">
        <f aca="false">IF(BO106=0,IF(BW106=0,0,1),(BW106-BO106)/BO106)</f>
        <v>1</v>
      </c>
      <c r="CF106" s="32" t="n">
        <f aca="false">IF(BP106=0,IF(BX106=0,0,1),(BX106-BP106)/BP106)</f>
        <v>1</v>
      </c>
      <c r="CG106" s="32" t="n">
        <f aca="false">IF(BQ106=0,IF(BY106=0,0,1),(BY106-BQ106)/BQ106)</f>
        <v>1</v>
      </c>
      <c r="CH106" s="32" t="n">
        <f aca="false">MAX(MAX(BZ106:CG106),-MIN(BZ106:CG106))</f>
        <v>1</v>
      </c>
      <c r="CI106" s="31" t="n">
        <f aca="false">IF(CO106="","",SUMIFS($CJ$7:$CJ$696,$A$7:$A$696,CO106,$B$7:$B$696,B106))</f>
        <v>5248909</v>
      </c>
      <c r="CJ106" s="31" t="n">
        <f aca="false">SUM(AY106:BI106)</f>
        <v>5248909</v>
      </c>
      <c r="CK106" s="31" t="str">
        <f aca="false">IFERROR(INDEX(設定!$F$61:$F$106,MATCH(B106,設定!$B$61:$B$106,0)),"Y")</f>
        <v>Y</v>
      </c>
      <c r="CL106" s="31" t="str">
        <f aca="false">IFERROR(INDEX(設定!$G$61:$G$106,MATCH(B106,設定!$B$61:$B$106,0)),"外郭型")</f>
        <v>市局型</v>
      </c>
      <c r="CM106" s="33" t="str">
        <f aca="false">A106&amp;"|"&amp;B106</f>
        <v>2026-06 月例|監査事務局</v>
      </c>
      <c r="CN106" s="34" t="str">
        <f aca="false">IFERROR(INDEX(設定!$D$61:$D$106,MATCH(B106,設定!$B$61:$B$106,0)),"Y")</f>
        <v>Y</v>
      </c>
      <c r="CO106" s="34" t="str">
        <f aca="false">IFERROR(INDEX(設定!$D$20:$D$34,MATCH(A106,設定!$A$20:$A$34,0))&amp;"","")</f>
        <v>2026-05 月例</v>
      </c>
    </row>
    <row r="107" customFormat="false" ht="15" hidden="true" customHeight="false" outlineLevel="0" collapsed="false">
      <c r="A107" s="22" t="s">
        <v>217</v>
      </c>
      <c r="B107" s="23" t="s">
        <v>176</v>
      </c>
      <c r="C107" s="10" t="str">
        <f aca="false">IF(G107="","未受領",IF(G107="なし","報告なし",IF(AL107="○","起票済",IF(OR(AK107="○",F107="一致",F107="入金不要"),"入金確認済","受領済"))))</f>
        <v>入金確認済</v>
      </c>
      <c r="D107" s="10" t="str">
        <f aca="false">IF(OR(G107="",G107="なし"),"―",IF(CN107="N","対象外",IF(AND(I107="",J107="",K107=""),"標報未入力",IF(CH107&gt;=設定!$B$4,"要確認","問題なし"))))</f>
        <v>標報未入力</v>
      </c>
      <c r="E107" s="24" t="str">
        <f aca="false">IF(OR(G107="",G107="なし",CI107="",CJ107=0),"―",IF(CJ107=CI107,"前月同額",IF(CI107=0,"―",IF(ABS(CJ107/CI107-1)&gt;=設定!$B$5,"変動大 "&amp;TEXT(CJ107/CI107-1,"+0%;-0%"),"〇"))))</f>
        <v>前月同額</v>
      </c>
      <c r="F107" s="10" t="str">
        <f aca="false">IF(OR(G107="",G107="なし"),"―",IF(CJ107=0,"入金不要",IF(COUNT(AD107,AF107,AH107,AJ107)=0,IF(AK107="○","手動確認","未入金"),IF(AND(N(AD107)=AC107,IF(AE107="",TRUE(),N(AF107)=AE107),IF(AG107="",TRUE(),N(AH107)=AG107),IF(AI107="",TRUE(),N(AJ107)=AI107)),"一致","不一致"))))</f>
        <v>手動確認</v>
      </c>
      <c r="G107" s="25" t="s">
        <v>167</v>
      </c>
      <c r="H107" s="26"/>
      <c r="I107" s="27"/>
      <c r="J107" s="27"/>
      <c r="K107" s="27"/>
      <c r="L107" s="27"/>
      <c r="M107" s="27"/>
      <c r="N107" s="27"/>
      <c r="O107" s="27" t="n">
        <v>409920</v>
      </c>
      <c r="P107" s="27" t="n">
        <v>33600</v>
      </c>
      <c r="Q107" s="27" t="n">
        <v>306800</v>
      </c>
      <c r="R107" s="27" t="n">
        <v>35042</v>
      </c>
      <c r="S107" s="27" t="n">
        <v>6800</v>
      </c>
      <c r="T107" s="27" t="n">
        <v>588672</v>
      </c>
      <c r="U107" s="27" t="n">
        <v>33600</v>
      </c>
      <c r="V107" s="27" t="n">
        <v>389</v>
      </c>
      <c r="W107" s="27" t="n">
        <v>311950</v>
      </c>
      <c r="X107" s="27" t="n">
        <v>35044</v>
      </c>
      <c r="Y107" s="27" t="n">
        <v>6803</v>
      </c>
      <c r="Z107" s="27"/>
      <c r="AA107" s="10" t="str">
        <f aca="false">IFERROR(INDEX(設定!$E$61:$E$106,MATCH(B107,設定!$B$61:$B$106,0)),"合算")</f>
        <v>合算</v>
      </c>
      <c r="AB107" s="28"/>
      <c r="AC107" s="29" t="n">
        <f aca="false">IF(OR(G107="",G107="なし"),"",IF(AA107="合算",CJ107+N(Z107),IF(AA107="掛金・負担金別",(AY107+AZ107+BD107+BF107+BH107),SUM(AY107:BC107))))</f>
        <v>1768620</v>
      </c>
      <c r="AD107" s="27"/>
      <c r="AE107" s="29" t="str">
        <f aca="false">IF(OR(G107="",G107="なし"),"",IF(AA107="掛金・負担金別",(BA107+BB107+BC107+BE107+BG107+BI107+N(Z107)),IF(AA107="経理区分別",BD107+BE107,"")))</f>
        <v/>
      </c>
      <c r="AF107" s="27"/>
      <c r="AG107" s="29" t="str">
        <f aca="false">IF(OR(G107="",G107="なし"),"",IF(AA107="経理区分別",BF107+BG107,""))</f>
        <v/>
      </c>
      <c r="AH107" s="27"/>
      <c r="AI107" s="29" t="str">
        <f aca="false">IF(OR(G107="",G107="なし"),"",IF(AA107="経理区分別",BH107+BI107+N(Z107),""))</f>
        <v/>
      </c>
      <c r="AJ107" s="27"/>
      <c r="AK107" s="26" t="s">
        <v>168</v>
      </c>
      <c r="AL107" s="26"/>
      <c r="AM107" s="30"/>
      <c r="AN107" s="31"/>
      <c r="AO107" s="31"/>
      <c r="AP107" s="31"/>
      <c r="AQ107" s="31"/>
      <c r="AR107" s="31"/>
      <c r="AS107" s="31"/>
      <c r="AT107" s="31"/>
      <c r="AU107" s="31"/>
      <c r="AV107" s="31"/>
      <c r="AW107" s="31"/>
      <c r="AX107" s="31"/>
      <c r="AY107" s="31" t="n">
        <f aca="false">IF($G107="",AN107,O107)</f>
        <v>409920</v>
      </c>
      <c r="AZ107" s="31" t="n">
        <f aca="false">IF($G107="",AO107,P107)</f>
        <v>33600</v>
      </c>
      <c r="BA107" s="31" t="n">
        <f aca="false">IF($G107="",AP107,T107)</f>
        <v>588672</v>
      </c>
      <c r="BB107" s="31" t="n">
        <f aca="false">IF($G107="",AQ107,U107)</f>
        <v>33600</v>
      </c>
      <c r="BC107" s="31" t="n">
        <f aca="false">IF($G107="",AR107,V107)</f>
        <v>389</v>
      </c>
      <c r="BD107" s="31" t="n">
        <f aca="false">IF($G107="",AS107,Q107)</f>
        <v>306800</v>
      </c>
      <c r="BE107" s="31" t="n">
        <f aca="false">IF($G107="",AT107,W107)</f>
        <v>311950</v>
      </c>
      <c r="BF107" s="31" t="n">
        <f aca="false">IF($G107="",AU107,R107)</f>
        <v>35042</v>
      </c>
      <c r="BG107" s="31" t="n">
        <f aca="false">IF($G107="",AV107,X107)</f>
        <v>35044</v>
      </c>
      <c r="BH107" s="31" t="n">
        <f aca="false">IF($G107="",AW107,S107)</f>
        <v>6800</v>
      </c>
      <c r="BI107" s="31" t="n">
        <f aca="false">IF($G107="",AX107,Y107)</f>
        <v>6803</v>
      </c>
      <c r="BJ107" s="31" t="n">
        <f aca="false">IF(CK107="N",BR107,ROUNDDOWN((I107-L107)*設定!$B$10/1000,0)+ROUNDDOWN((I107-L107)*設定!$B$11/1000,0))</f>
        <v>0</v>
      </c>
      <c r="BK107" s="31" t="n">
        <f aca="false">ROUNDDOWN((I107-L107)*設定!$C$10/1000,0)+ROUNDDOWN((I107-L107)*設定!$C$11/1000,0)+ROUNDDOWN(I107*設定!$C$12/1000,0)+IF(CL107="市局型",ROUNDDOWN(I107*設定!$C$16/1000,0),0)</f>
        <v>0</v>
      </c>
      <c r="BL107" s="31" t="n">
        <f aca="false">IF(CK107="N",BT107,ROUNDDOWN((J107-M107)*設定!$B$13/1000,0))</f>
        <v>0</v>
      </c>
      <c r="BM107" s="31" t="n">
        <f aca="false">ROUNDDOWN((J107-M107)*設定!$C$13/1000,0)+IF(CL107="市局型",ROUNDDOWN(J107*設定!$C$17/1000,0),0)</f>
        <v>0</v>
      </c>
      <c r="BN107" s="31" t="n">
        <f aca="false">IF(CK107="N",BV107,ROUNDDOWN((K107-N107)*設定!$B$14/1000,0))</f>
        <v>0</v>
      </c>
      <c r="BO107" s="31" t="n">
        <f aca="false">ROUNDDOWN((K107-N107)*設定!$C$14/1000,0)</f>
        <v>0</v>
      </c>
      <c r="BP107" s="31" t="n">
        <f aca="false">IF(CK107="N",BX107,ROUNDDOWN((J107-M107)*設定!$B$15/1000,0))</f>
        <v>0</v>
      </c>
      <c r="BQ107" s="31" t="n">
        <f aca="false">ROUNDDOWN((J107-M107)*設定!$C$15/1000,0)</f>
        <v>0</v>
      </c>
      <c r="BR107" s="31" t="n">
        <f aca="false">O107+P107</f>
        <v>443520</v>
      </c>
      <c r="BS107" s="31" t="n">
        <f aca="false">T107+U107+V107</f>
        <v>622661</v>
      </c>
      <c r="BT107" s="31" t="n">
        <f aca="false">Q107</f>
        <v>306800</v>
      </c>
      <c r="BU107" s="31" t="n">
        <f aca="false">W107</f>
        <v>311950</v>
      </c>
      <c r="BV107" s="31" t="n">
        <f aca="false">R107</f>
        <v>35042</v>
      </c>
      <c r="BW107" s="31" t="n">
        <f aca="false">X107</f>
        <v>35044</v>
      </c>
      <c r="BX107" s="31" t="n">
        <f aca="false">S107</f>
        <v>6800</v>
      </c>
      <c r="BY107" s="31" t="n">
        <f aca="false">Y107</f>
        <v>6803</v>
      </c>
      <c r="BZ107" s="32" t="n">
        <f aca="false">IF(BJ107=0,IF(BR107=0,0,1),(BR107-BJ107)/BJ107)</f>
        <v>1</v>
      </c>
      <c r="CA107" s="32" t="n">
        <f aca="false">IF(BK107=0,IF(BS107=0,0,1),(BS107-BK107)/BK107)</f>
        <v>1</v>
      </c>
      <c r="CB107" s="32" t="n">
        <f aca="false">IF(BL107=0,IF(BT107=0,0,1),(BT107-BL107)/BL107)</f>
        <v>1</v>
      </c>
      <c r="CC107" s="32" t="n">
        <f aca="false">IF(BM107=0,IF(BU107=0,0,1),(BU107-BM107)/BM107)</f>
        <v>1</v>
      </c>
      <c r="CD107" s="32" t="n">
        <f aca="false">IF(BN107=0,IF(BV107=0,0,1),(BV107-BN107)/BN107)</f>
        <v>1</v>
      </c>
      <c r="CE107" s="32" t="n">
        <f aca="false">IF(BO107=0,IF(BW107=0,0,1),(BW107-BO107)/BO107)</f>
        <v>1</v>
      </c>
      <c r="CF107" s="32" t="n">
        <f aca="false">IF(BP107=0,IF(BX107=0,0,1),(BX107-BP107)/BP107)</f>
        <v>1</v>
      </c>
      <c r="CG107" s="32" t="n">
        <f aca="false">IF(BQ107=0,IF(BY107=0,0,1),(BY107-BQ107)/BQ107)</f>
        <v>1</v>
      </c>
      <c r="CH107" s="32" t="n">
        <f aca="false">MAX(MAX(BZ107:CG107),-MIN(BZ107:CG107))</f>
        <v>1</v>
      </c>
      <c r="CI107" s="31" t="n">
        <f aca="false">IF(CO107="","",SUMIFS($CJ$7:$CJ$696,$A$7:$A$696,CO107,$B$7:$B$696,B107))</f>
        <v>1768620</v>
      </c>
      <c r="CJ107" s="31" t="n">
        <f aca="false">SUM(AY107:BI107)</f>
        <v>1768620</v>
      </c>
      <c r="CK107" s="31" t="str">
        <f aca="false">IFERROR(INDEX(設定!$F$61:$F$106,MATCH(B107,設定!$B$61:$B$106,0)),"Y")</f>
        <v>Y</v>
      </c>
      <c r="CL107" s="31" t="str">
        <f aca="false">IFERROR(INDEX(設定!$G$61:$G$106,MATCH(B107,設定!$B$61:$B$106,0)),"外郭型")</f>
        <v>市局型</v>
      </c>
      <c r="CM107" s="33" t="str">
        <f aca="false">A107&amp;"|"&amp;B107</f>
        <v>2026-06 月例|農業委員会</v>
      </c>
      <c r="CN107" s="34" t="str">
        <f aca="false">IFERROR(INDEX(設定!$D$61:$D$106,MATCH(B107,設定!$B$61:$B$106,0)),"Y")</f>
        <v>Y</v>
      </c>
      <c r="CO107" s="34" t="str">
        <f aca="false">IFERROR(INDEX(設定!$D$20:$D$34,MATCH(A107,設定!$A$20:$A$34,0))&amp;"","")</f>
        <v>2026-05 月例</v>
      </c>
    </row>
    <row r="108" customFormat="false" ht="15" hidden="true" customHeight="false" outlineLevel="0" collapsed="false">
      <c r="A108" s="22" t="s">
        <v>217</v>
      </c>
      <c r="B108" s="23" t="s">
        <v>177</v>
      </c>
      <c r="C108" s="10" t="str">
        <f aca="false">IF(G108="","未受領",IF(G108="なし","報告なし",IF(AL108="○","起票済",IF(OR(AK108="○",F108="一致",F108="入金不要"),"入金確認済","受領済"))))</f>
        <v>入金確認済</v>
      </c>
      <c r="D108" s="10" t="str">
        <f aca="false">IF(OR(G108="",G108="なし"),"―",IF(CN108="N","対象外",IF(AND(I108="",J108="",K108=""),"標報未入力",IF(CH108&gt;=設定!$B$4,"要確認","問題なし"))))</f>
        <v>対象外</v>
      </c>
      <c r="E108" s="24" t="str">
        <f aca="false">IF(OR(G108="",G108="なし",CI108="",CJ108=0),"―",IF(CJ108=CI108,"前月同額",IF(CI108=0,"―",IF(ABS(CJ108/CI108-1)&gt;=設定!$B$5,"変動大 "&amp;TEXT(CJ108/CI108-1,"+0%;-0%"),"〇"))))</f>
        <v>〇</v>
      </c>
      <c r="F108" s="10" t="str">
        <f aca="false">IF(OR(G108="",G108="なし"),"―",IF(CJ108=0,"入金不要",IF(COUNT(AD108,AF108,AH108,AJ108)=0,IF(AK108="○","手動確認","未入金"),IF(AND(N(AD108)=AC108,IF(AE108="",TRUE(),N(AF108)=AE108),IF(AG108="",TRUE(),N(AH108)=AG108),IF(AI108="",TRUE(),N(AJ108)=AI108)),"一致","不一致"))))</f>
        <v>手動確認</v>
      </c>
      <c r="G108" s="25" t="s">
        <v>167</v>
      </c>
      <c r="H108" s="26"/>
      <c r="I108" s="27"/>
      <c r="J108" s="27"/>
      <c r="K108" s="27"/>
      <c r="L108" s="27"/>
      <c r="M108" s="27"/>
      <c r="N108" s="27"/>
      <c r="O108" s="27" t="n">
        <v>22336980</v>
      </c>
      <c r="P108" s="27" t="n">
        <v>1830900</v>
      </c>
      <c r="Q108" s="27" t="n">
        <v>13344367</v>
      </c>
      <c r="R108" s="27" t="n">
        <v>1346476</v>
      </c>
      <c r="S108" s="27" t="n">
        <v>295823</v>
      </c>
      <c r="T108" s="27" t="n">
        <v>32242155</v>
      </c>
      <c r="U108" s="27" t="n">
        <v>1830900</v>
      </c>
      <c r="V108" s="27" t="n">
        <v>21567</v>
      </c>
      <c r="W108" s="27" t="n">
        <v>13572074</v>
      </c>
      <c r="X108" s="27" t="n">
        <v>1346476</v>
      </c>
      <c r="Y108" s="27" t="n">
        <v>295914</v>
      </c>
      <c r="Z108" s="27"/>
      <c r="AA108" s="10" t="str">
        <f aca="false">IFERROR(INDEX(設定!$E$61:$E$106,MATCH(B108,設定!$B$61:$B$106,0)),"合算")</f>
        <v>合算</v>
      </c>
      <c r="AB108" s="28"/>
      <c r="AC108" s="29" t="n">
        <f aca="false">IF(OR(G108="",G108="なし"),"",IF(AA108="合算",CJ108+N(Z108),IF(AA108="掛金・負担金別",(AY108+AZ108+BD108+BF108+BH108),SUM(AY108:BC108))))</f>
        <v>88463632</v>
      </c>
      <c r="AD108" s="27"/>
      <c r="AE108" s="29" t="str">
        <f aca="false">IF(OR(G108="",G108="なし"),"",IF(AA108="掛金・負担金別",(BA108+BB108+BC108+BE108+BG108+BI108+N(Z108)),IF(AA108="経理区分別",BD108+BE108,"")))</f>
        <v/>
      </c>
      <c r="AF108" s="27"/>
      <c r="AG108" s="29" t="str">
        <f aca="false">IF(OR(G108="",G108="なし"),"",IF(AA108="経理区分別",BF108+BG108,""))</f>
        <v/>
      </c>
      <c r="AH108" s="27"/>
      <c r="AI108" s="29" t="str">
        <f aca="false">IF(OR(G108="",G108="なし"),"",IF(AA108="経理区分別",BH108+BI108+N(Z108),""))</f>
        <v/>
      </c>
      <c r="AJ108" s="27"/>
      <c r="AK108" s="26" t="s">
        <v>168</v>
      </c>
      <c r="AL108" s="26"/>
      <c r="AM108" s="30"/>
      <c r="AN108" s="31"/>
      <c r="AO108" s="31"/>
      <c r="AP108" s="31"/>
      <c r="AQ108" s="31"/>
      <c r="AR108" s="31"/>
      <c r="AS108" s="31"/>
      <c r="AT108" s="31"/>
      <c r="AU108" s="31"/>
      <c r="AV108" s="31"/>
      <c r="AW108" s="31"/>
      <c r="AX108" s="31"/>
      <c r="AY108" s="31" t="n">
        <f aca="false">IF($G108="",AN108,O108)</f>
        <v>22336980</v>
      </c>
      <c r="AZ108" s="31" t="n">
        <f aca="false">IF($G108="",AO108,P108)</f>
        <v>1830900</v>
      </c>
      <c r="BA108" s="31" t="n">
        <f aca="false">IF($G108="",AP108,T108)</f>
        <v>32242155</v>
      </c>
      <c r="BB108" s="31" t="n">
        <f aca="false">IF($G108="",AQ108,U108)</f>
        <v>1830900</v>
      </c>
      <c r="BC108" s="31" t="n">
        <f aca="false">IF($G108="",AR108,V108)</f>
        <v>21567</v>
      </c>
      <c r="BD108" s="31" t="n">
        <f aca="false">IF($G108="",AS108,Q108)</f>
        <v>13344367</v>
      </c>
      <c r="BE108" s="31" t="n">
        <f aca="false">IF($G108="",AT108,W108)</f>
        <v>13572074</v>
      </c>
      <c r="BF108" s="31" t="n">
        <f aca="false">IF($G108="",AU108,R108)</f>
        <v>1346476</v>
      </c>
      <c r="BG108" s="31" t="n">
        <f aca="false">IF($G108="",AV108,X108)</f>
        <v>1346476</v>
      </c>
      <c r="BH108" s="31" t="n">
        <f aca="false">IF($G108="",AW108,S108)</f>
        <v>295823</v>
      </c>
      <c r="BI108" s="31" t="n">
        <f aca="false">IF($G108="",AX108,Y108)</f>
        <v>295914</v>
      </c>
      <c r="BJ108" s="31" t="n">
        <f aca="false">IF(CK108="N",BR108,ROUNDDOWN((I108-L108)*設定!$B$10/1000,0)+ROUNDDOWN((I108-L108)*設定!$B$11/1000,0))</f>
        <v>0</v>
      </c>
      <c r="BK108" s="31" t="n">
        <f aca="false">ROUNDDOWN((I108-L108)*設定!$C$10/1000,0)+ROUNDDOWN((I108-L108)*設定!$C$11/1000,0)+ROUNDDOWN(I108*設定!$C$12/1000,0)+IF(CL108="市局型",ROUNDDOWN(I108*設定!$C$16/1000,0),0)</f>
        <v>0</v>
      </c>
      <c r="BL108" s="31" t="n">
        <f aca="false">IF(CK108="N",BT108,ROUNDDOWN((J108-M108)*設定!$B$13/1000,0))</f>
        <v>0</v>
      </c>
      <c r="BM108" s="31" t="n">
        <f aca="false">ROUNDDOWN((J108-M108)*設定!$C$13/1000,0)+IF(CL108="市局型",ROUNDDOWN(J108*設定!$C$17/1000,0),0)</f>
        <v>0</v>
      </c>
      <c r="BN108" s="31" t="n">
        <f aca="false">IF(CK108="N",BV108,ROUNDDOWN((K108-N108)*設定!$B$14/1000,0))</f>
        <v>0</v>
      </c>
      <c r="BO108" s="31" t="n">
        <f aca="false">ROUNDDOWN((K108-N108)*設定!$C$14/1000,0)</f>
        <v>0</v>
      </c>
      <c r="BP108" s="31" t="n">
        <f aca="false">IF(CK108="N",BX108,ROUNDDOWN((J108-M108)*設定!$B$15/1000,0))</f>
        <v>0</v>
      </c>
      <c r="BQ108" s="31" t="n">
        <f aca="false">ROUNDDOWN((J108-M108)*設定!$C$15/1000,0)</f>
        <v>0</v>
      </c>
      <c r="BR108" s="31" t="n">
        <f aca="false">O108+P108</f>
        <v>24167880</v>
      </c>
      <c r="BS108" s="31" t="n">
        <f aca="false">T108+U108+V108</f>
        <v>34094622</v>
      </c>
      <c r="BT108" s="31" t="n">
        <f aca="false">Q108</f>
        <v>13344367</v>
      </c>
      <c r="BU108" s="31" t="n">
        <f aca="false">W108</f>
        <v>13572074</v>
      </c>
      <c r="BV108" s="31" t="n">
        <f aca="false">R108</f>
        <v>1346476</v>
      </c>
      <c r="BW108" s="31" t="n">
        <f aca="false">X108</f>
        <v>1346476</v>
      </c>
      <c r="BX108" s="31" t="n">
        <f aca="false">S108</f>
        <v>295823</v>
      </c>
      <c r="BY108" s="31" t="n">
        <f aca="false">Y108</f>
        <v>295914</v>
      </c>
      <c r="BZ108" s="32" t="n">
        <f aca="false">IF(BJ108=0,IF(BR108=0,0,1),(BR108-BJ108)/BJ108)</f>
        <v>1</v>
      </c>
      <c r="CA108" s="32" t="n">
        <f aca="false">IF(BK108=0,IF(BS108=0,0,1),(BS108-BK108)/BK108)</f>
        <v>1</v>
      </c>
      <c r="CB108" s="32" t="n">
        <f aca="false">IF(BL108=0,IF(BT108=0,0,1),(BT108-BL108)/BL108)</f>
        <v>1</v>
      </c>
      <c r="CC108" s="32" t="n">
        <f aca="false">IF(BM108=0,IF(BU108=0,0,1),(BU108-BM108)/BM108)</f>
        <v>1</v>
      </c>
      <c r="CD108" s="32" t="n">
        <f aca="false">IF(BN108=0,IF(BV108=0,0,1),(BV108-BN108)/BN108)</f>
        <v>1</v>
      </c>
      <c r="CE108" s="32" t="n">
        <f aca="false">IF(BO108=0,IF(BW108=0,0,1),(BW108-BO108)/BO108)</f>
        <v>1</v>
      </c>
      <c r="CF108" s="32" t="n">
        <f aca="false">IF(BP108=0,IF(BX108=0,0,1),(BX108-BP108)/BP108)</f>
        <v>1</v>
      </c>
      <c r="CG108" s="32" t="n">
        <f aca="false">IF(BQ108=0,IF(BY108=0,0,1),(BY108-BQ108)/BQ108)</f>
        <v>1</v>
      </c>
      <c r="CH108" s="32" t="n">
        <f aca="false">MAX(MAX(BZ108:CG108),-MIN(BZ108:CG108))</f>
        <v>1</v>
      </c>
      <c r="CI108" s="31" t="n">
        <f aca="false">IF(CO108="","",SUMIFS($CJ$7:$CJ$696,$A$7:$A$696,CO108,$B$7:$B$696,B108))</f>
        <v>88618802</v>
      </c>
      <c r="CJ108" s="31" t="n">
        <f aca="false">SUM(AY108:BI108)</f>
        <v>88463632</v>
      </c>
      <c r="CK108" s="31" t="str">
        <f aca="false">IFERROR(INDEX(設定!$F$61:$F$106,MATCH(B108,設定!$B$61:$B$106,0)),"Y")</f>
        <v>Y</v>
      </c>
      <c r="CL108" s="31" t="str">
        <f aca="false">IFERROR(INDEX(設定!$G$61:$G$106,MATCH(B108,設定!$B$61:$B$106,0)),"外郭型")</f>
        <v>市局型</v>
      </c>
      <c r="CM108" s="33" t="str">
        <f aca="false">A108&amp;"|"&amp;B108</f>
        <v>2026-06 月例|水道局</v>
      </c>
      <c r="CN108" s="34" t="str">
        <f aca="false">IFERROR(INDEX(設定!$D$61:$D$106,MATCH(B108,設定!$B$61:$B$106,0)),"Y")</f>
        <v>N</v>
      </c>
      <c r="CO108" s="34" t="str">
        <f aca="false">IFERROR(INDEX(設定!$D$20:$D$34,MATCH(A108,設定!$A$20:$A$34,0))&amp;"","")</f>
        <v>2026-05 月例</v>
      </c>
    </row>
    <row r="109" customFormat="false" ht="15" hidden="true" customHeight="false" outlineLevel="0" collapsed="false">
      <c r="A109" s="22" t="s">
        <v>217</v>
      </c>
      <c r="B109" s="23" t="s">
        <v>178</v>
      </c>
      <c r="C109" s="10" t="str">
        <f aca="false">IF(G109="","未受領",IF(G109="なし","報告なし",IF(AL109="○","起票済",IF(OR(AK109="○",F109="一致",F109="入金不要"),"入金確認済","受領済"))))</f>
        <v>入金確認済</v>
      </c>
      <c r="D109" s="10" t="str">
        <f aca="false">IF(OR(G109="",G109="なし"),"―",IF(CN109="N","対象外",IF(AND(I109="",J109="",K109=""),"標報未入力",IF(CH109&gt;=設定!$B$4,"要確認","問題なし"))))</f>
        <v>標報未入力</v>
      </c>
      <c r="E109" s="24" t="str">
        <f aca="false">IF(OR(G109="",G109="なし",CI109="",CJ109=0),"―",IF(CJ109=CI109,"前月同額",IF(CI109=0,"―",IF(ABS(CJ109/CI109-1)&gt;=設定!$B$5,"変動大 "&amp;TEXT(CJ109/CI109-1,"+0%;-0%"),"〇"))))</f>
        <v>前月同額</v>
      </c>
      <c r="F109" s="10" t="str">
        <f aca="false">IF(OR(G109="",G109="なし"),"―",IF(CJ109=0,"入金不要",IF(COUNT(AD109,AF109,AH109,AJ109)=0,IF(AK109="○","手動確認","未入金"),IF(AND(N(AD109)=AC109,IF(AE109="",TRUE(),N(AF109)=AE109),IF(AG109="",TRUE(),N(AH109)=AG109),IF(AI109="",TRUE(),N(AJ109)=AI109)),"一致","不一致"))))</f>
        <v>手動確認</v>
      </c>
      <c r="G109" s="25" t="s">
        <v>167</v>
      </c>
      <c r="H109" s="26"/>
      <c r="I109" s="27"/>
      <c r="J109" s="27"/>
      <c r="K109" s="27"/>
      <c r="L109" s="27"/>
      <c r="M109" s="27"/>
      <c r="N109" s="27"/>
      <c r="O109" s="27" t="n">
        <v>48495</v>
      </c>
      <c r="P109" s="27" t="n">
        <v>3975</v>
      </c>
      <c r="Q109" s="27" t="n">
        <v>27485</v>
      </c>
      <c r="R109" s="27" t="n">
        <v>4187</v>
      </c>
      <c r="S109" s="27" t="n">
        <v>609</v>
      </c>
      <c r="T109" s="27" t="n">
        <v>69642</v>
      </c>
      <c r="U109" s="27" t="n">
        <v>3975</v>
      </c>
      <c r="V109" s="27" t="n">
        <v>46</v>
      </c>
      <c r="W109" s="27" t="n">
        <v>27946</v>
      </c>
      <c r="X109" s="27" t="n">
        <v>4187</v>
      </c>
      <c r="Y109" s="27" t="n">
        <v>609</v>
      </c>
      <c r="Z109" s="27"/>
      <c r="AA109" s="10" t="str">
        <f aca="false">IFERROR(INDEX(設定!$E$61:$E$106,MATCH(B109,設定!$B$61:$B$106,0)),"合算")</f>
        <v>合算</v>
      </c>
      <c r="AB109" s="28"/>
      <c r="AC109" s="29" t="n">
        <f aca="false">IF(OR(G109="",G109="なし"),"",IF(AA109="合算",CJ109+N(Z109),IF(AA109="掛金・負担金別",(AY109+AZ109+BD109+BF109+BH109),SUM(AY109:BC109))))</f>
        <v>191156</v>
      </c>
      <c r="AD109" s="27"/>
      <c r="AE109" s="29" t="str">
        <f aca="false">IF(OR(G109="",G109="なし"),"",IF(AA109="掛金・負担金別",(BA109+BB109+BC109+BE109+BG109+BI109+N(Z109)),IF(AA109="経理区分別",BD109+BE109,"")))</f>
        <v/>
      </c>
      <c r="AF109" s="27"/>
      <c r="AG109" s="29" t="str">
        <f aca="false">IF(OR(G109="",G109="なし"),"",IF(AA109="経理区分別",BF109+BG109,""))</f>
        <v/>
      </c>
      <c r="AH109" s="27"/>
      <c r="AI109" s="29" t="str">
        <f aca="false">IF(OR(G109="",G109="なし"),"",IF(AA109="経理区分別",BH109+BI109+N(Z109),""))</f>
        <v/>
      </c>
      <c r="AJ109" s="27"/>
      <c r="AK109" s="26" t="s">
        <v>168</v>
      </c>
      <c r="AL109" s="26"/>
      <c r="AM109" s="30"/>
      <c r="AN109" s="31"/>
      <c r="AO109" s="31"/>
      <c r="AP109" s="31"/>
      <c r="AQ109" s="31"/>
      <c r="AR109" s="31"/>
      <c r="AS109" s="31"/>
      <c r="AT109" s="31"/>
      <c r="AU109" s="31"/>
      <c r="AV109" s="31"/>
      <c r="AW109" s="31"/>
      <c r="AX109" s="31"/>
      <c r="AY109" s="31" t="n">
        <f aca="false">IF($G109="",AN109,O109)</f>
        <v>48495</v>
      </c>
      <c r="AZ109" s="31" t="n">
        <f aca="false">IF($G109="",AO109,P109)</f>
        <v>3975</v>
      </c>
      <c r="BA109" s="31" t="n">
        <f aca="false">IF($G109="",AP109,T109)</f>
        <v>69642</v>
      </c>
      <c r="BB109" s="31" t="n">
        <f aca="false">IF($G109="",AQ109,U109)</f>
        <v>3975</v>
      </c>
      <c r="BC109" s="31" t="n">
        <f aca="false">IF($G109="",AR109,V109)</f>
        <v>46</v>
      </c>
      <c r="BD109" s="31" t="n">
        <f aca="false">IF($G109="",AS109,Q109)</f>
        <v>27485</v>
      </c>
      <c r="BE109" s="31" t="n">
        <f aca="false">IF($G109="",AT109,W109)</f>
        <v>27946</v>
      </c>
      <c r="BF109" s="31" t="n">
        <f aca="false">IF($G109="",AU109,R109)</f>
        <v>4187</v>
      </c>
      <c r="BG109" s="31" t="n">
        <f aca="false">IF($G109="",AV109,X109)</f>
        <v>4187</v>
      </c>
      <c r="BH109" s="31" t="n">
        <f aca="false">IF($G109="",AW109,S109)</f>
        <v>609</v>
      </c>
      <c r="BI109" s="31" t="n">
        <f aca="false">IF($G109="",AX109,Y109)</f>
        <v>609</v>
      </c>
      <c r="BJ109" s="31" t="n">
        <f aca="false">IF(CK109="N",BR109,ROUNDDOWN((I109-L109)*設定!$B$10/1000,0)+ROUNDDOWN((I109-L109)*設定!$B$11/1000,0))</f>
        <v>0</v>
      </c>
      <c r="BK109" s="31" t="n">
        <f aca="false">ROUNDDOWN((I109-L109)*設定!$C$10/1000,0)+ROUNDDOWN((I109-L109)*設定!$C$11/1000,0)+ROUNDDOWN(I109*設定!$C$12/1000,0)+IF(CL109="市局型",ROUNDDOWN(I109*設定!$C$16/1000,0),0)</f>
        <v>0</v>
      </c>
      <c r="BL109" s="31" t="n">
        <f aca="false">IF(CK109="N",BT109,ROUNDDOWN((J109-M109)*設定!$B$13/1000,0))</f>
        <v>0</v>
      </c>
      <c r="BM109" s="31" t="n">
        <f aca="false">ROUNDDOWN((J109-M109)*設定!$C$13/1000,0)+IF(CL109="市局型",ROUNDDOWN(J109*設定!$C$17/1000,0),0)</f>
        <v>0</v>
      </c>
      <c r="BN109" s="31" t="n">
        <f aca="false">IF(CK109="N",BV109,ROUNDDOWN((K109-N109)*設定!$B$14/1000,0))</f>
        <v>0</v>
      </c>
      <c r="BO109" s="31" t="n">
        <f aca="false">ROUNDDOWN((K109-N109)*設定!$C$14/1000,0)</f>
        <v>0</v>
      </c>
      <c r="BP109" s="31" t="n">
        <f aca="false">IF(CK109="N",BX109,ROUNDDOWN((J109-M109)*設定!$B$15/1000,0))</f>
        <v>0</v>
      </c>
      <c r="BQ109" s="31" t="n">
        <f aca="false">ROUNDDOWN((J109-M109)*設定!$C$15/1000,0)</f>
        <v>0</v>
      </c>
      <c r="BR109" s="31" t="n">
        <f aca="false">O109+P109</f>
        <v>52470</v>
      </c>
      <c r="BS109" s="31" t="n">
        <f aca="false">T109+U109+V109</f>
        <v>73663</v>
      </c>
      <c r="BT109" s="31" t="n">
        <f aca="false">Q109</f>
        <v>27485</v>
      </c>
      <c r="BU109" s="31" t="n">
        <f aca="false">W109</f>
        <v>27946</v>
      </c>
      <c r="BV109" s="31" t="n">
        <f aca="false">R109</f>
        <v>4187</v>
      </c>
      <c r="BW109" s="31" t="n">
        <f aca="false">X109</f>
        <v>4187</v>
      </c>
      <c r="BX109" s="31" t="n">
        <f aca="false">S109</f>
        <v>609</v>
      </c>
      <c r="BY109" s="31" t="n">
        <f aca="false">Y109</f>
        <v>609</v>
      </c>
      <c r="BZ109" s="32" t="n">
        <f aca="false">IF(BJ109=0,IF(BR109=0,0,1),(BR109-BJ109)/BJ109)</f>
        <v>1</v>
      </c>
      <c r="CA109" s="32" t="n">
        <f aca="false">IF(BK109=0,IF(BS109=0,0,1),(BS109-BK109)/BK109)</f>
        <v>1</v>
      </c>
      <c r="CB109" s="32" t="n">
        <f aca="false">IF(BL109=0,IF(BT109=0,0,1),(BT109-BL109)/BL109)</f>
        <v>1</v>
      </c>
      <c r="CC109" s="32" t="n">
        <f aca="false">IF(BM109=0,IF(BU109=0,0,1),(BU109-BM109)/BM109)</f>
        <v>1</v>
      </c>
      <c r="CD109" s="32" t="n">
        <f aca="false">IF(BN109=0,IF(BV109=0,0,1),(BV109-BN109)/BN109)</f>
        <v>1</v>
      </c>
      <c r="CE109" s="32" t="n">
        <f aca="false">IF(BO109=0,IF(BW109=0,0,1),(BW109-BO109)/BO109)</f>
        <v>1</v>
      </c>
      <c r="CF109" s="32" t="n">
        <f aca="false">IF(BP109=0,IF(BX109=0,0,1),(BX109-BP109)/BP109)</f>
        <v>1</v>
      </c>
      <c r="CG109" s="32" t="n">
        <f aca="false">IF(BQ109=0,IF(BY109=0,0,1),(BY109-BQ109)/BQ109)</f>
        <v>1</v>
      </c>
      <c r="CH109" s="32" t="n">
        <f aca="false">MAX(MAX(BZ109:CG109),-MIN(BZ109:CG109))</f>
        <v>1</v>
      </c>
      <c r="CI109" s="31" t="n">
        <f aca="false">IF(CO109="","",SUMIFS($CJ$7:$CJ$696,$A$7:$A$696,CO109,$B$7:$B$696,B109))</f>
        <v>191156</v>
      </c>
      <c r="CJ109" s="31" t="n">
        <f aca="false">SUM(AY109:BI109)</f>
        <v>191156</v>
      </c>
      <c r="CK109" s="31" t="str">
        <f aca="false">IFERROR(INDEX(設定!$F$61:$F$106,MATCH(B109,設定!$B$61:$B$106,0)),"Y")</f>
        <v>Y</v>
      </c>
      <c r="CL109" s="31" t="str">
        <f aca="false">IFERROR(INDEX(設定!$G$61:$G$106,MATCH(B109,設定!$B$61:$B$106,0)),"外郭型")</f>
        <v>市局型</v>
      </c>
      <c r="CM109" s="33" t="str">
        <f aca="false">A109&amp;"|"&amp;B109</f>
        <v>2026-06 月例|医療政策課(安芸市民)</v>
      </c>
      <c r="CN109" s="34" t="str">
        <f aca="false">IFERROR(INDEX(設定!$D$61:$D$106,MATCH(B109,設定!$B$61:$B$106,0)),"Y")</f>
        <v>Y</v>
      </c>
      <c r="CO109" s="34" t="str">
        <f aca="false">IFERROR(INDEX(設定!$D$20:$D$34,MATCH(A109,設定!$A$20:$A$34,0))&amp;"","")</f>
        <v>2026-05 月例</v>
      </c>
    </row>
    <row r="110" customFormat="false" ht="15" hidden="true" customHeight="false" outlineLevel="0" collapsed="false">
      <c r="A110" s="22" t="s">
        <v>217</v>
      </c>
      <c r="B110" s="23" t="s">
        <v>179</v>
      </c>
      <c r="C110" s="10" t="str">
        <f aca="false">IF(G110="","未受領",IF(G110="なし","報告なし",IF(AL110="○","起票済",IF(OR(AK110="○",F110="一致",F110="入金不要"),"入金確認済","受領済"))))</f>
        <v>入金確認済</v>
      </c>
      <c r="D110" s="10" t="str">
        <f aca="false">IF(OR(G110="",G110="なし"),"―",IF(CN110="N","対象外",IF(AND(I110="",J110="",K110=""),"標報未入力",IF(CH110&gt;=設定!$B$4,"要確認","問題なし"))))</f>
        <v>標報未入力</v>
      </c>
      <c r="E110" s="24" t="str">
        <f aca="false">IF(OR(G110="",G110="なし",CI110="",CJ110=0),"―",IF(CJ110=CI110,"前月同額",IF(CI110=0,"―",IF(ABS(CJ110/CI110-1)&gt;=設定!$B$5,"変動大 "&amp;TEXT(CJ110/CI110-1,"+0%;-0%"),"〇"))))</f>
        <v>変動大 -11%</v>
      </c>
      <c r="F110" s="10" t="str">
        <f aca="false">IF(OR(G110="",G110="なし"),"―",IF(CJ110=0,"入金不要",IF(COUNT(AD110,AF110,AH110,AJ110)=0,IF(AK110="○","手動確認","未入金"),IF(AND(N(AD110)=AC110,IF(AE110="",TRUE(),N(AF110)=AE110),IF(AG110="",TRUE(),N(AH110)=AG110),IF(AI110="",TRUE(),N(AJ110)=AI110)),"一致","不一致"))))</f>
        <v>手動確認</v>
      </c>
      <c r="G110" s="25" t="s">
        <v>167</v>
      </c>
      <c r="H110" s="26"/>
      <c r="I110" s="27"/>
      <c r="J110" s="27"/>
      <c r="K110" s="27"/>
      <c r="L110" s="27"/>
      <c r="M110" s="27"/>
      <c r="N110" s="27"/>
      <c r="O110" s="27" t="n">
        <v>0</v>
      </c>
      <c r="P110" s="27" t="n">
        <v>0</v>
      </c>
      <c r="Q110" s="27" t="n">
        <v>277437</v>
      </c>
      <c r="R110" s="27" t="n">
        <v>14378</v>
      </c>
      <c r="S110" s="27" t="n">
        <v>6149</v>
      </c>
      <c r="T110" s="27"/>
      <c r="U110" s="27"/>
      <c r="V110" s="27" t="n">
        <v>0</v>
      </c>
      <c r="W110" s="27" t="n">
        <v>282103</v>
      </c>
      <c r="X110" s="27" t="n">
        <v>14378</v>
      </c>
      <c r="Y110" s="27" t="n">
        <v>6152</v>
      </c>
      <c r="Z110" s="27"/>
      <c r="AA110" s="10" t="str">
        <f aca="false">IFERROR(INDEX(設定!$E$61:$E$106,MATCH(B110,設定!$B$61:$B$106,0)),"合算")</f>
        <v>合算</v>
      </c>
      <c r="AB110" s="28"/>
      <c r="AC110" s="29" t="n">
        <f aca="false">IF(OR(G110="",G110="なし"),"",IF(AA110="合算",CJ110+N(Z110),IF(AA110="掛金・負担金別",(AY110+AZ110+BD110+BF110+BH110),SUM(AY110:BC110))))</f>
        <v>600597</v>
      </c>
      <c r="AD110" s="27"/>
      <c r="AE110" s="29" t="str">
        <f aca="false">IF(OR(G110="",G110="なし"),"",IF(AA110="掛金・負担金別",(BA110+BB110+BC110+BE110+BG110+BI110+N(Z110)),IF(AA110="経理区分別",BD110+BE110,"")))</f>
        <v/>
      </c>
      <c r="AF110" s="27"/>
      <c r="AG110" s="29" t="str">
        <f aca="false">IF(OR(G110="",G110="なし"),"",IF(AA110="経理区分別",BF110+BG110,""))</f>
        <v/>
      </c>
      <c r="AH110" s="27"/>
      <c r="AI110" s="29" t="str">
        <f aca="false">IF(OR(G110="",G110="なし"),"",IF(AA110="経理区分別",BH110+BI110+N(Z110),""))</f>
        <v/>
      </c>
      <c r="AJ110" s="27"/>
      <c r="AK110" s="26" t="s">
        <v>168</v>
      </c>
      <c r="AL110" s="26"/>
      <c r="AM110" s="30"/>
      <c r="AN110" s="31"/>
      <c r="AO110" s="31"/>
      <c r="AP110" s="31"/>
      <c r="AQ110" s="31"/>
      <c r="AR110" s="31"/>
      <c r="AS110" s="31"/>
      <c r="AT110" s="31"/>
      <c r="AU110" s="31"/>
      <c r="AV110" s="31"/>
      <c r="AW110" s="31"/>
      <c r="AX110" s="31"/>
      <c r="AY110" s="31" t="n">
        <f aca="false">IF($G110="",AN110,O110)</f>
        <v>0</v>
      </c>
      <c r="AZ110" s="31" t="n">
        <f aca="false">IF($G110="",AO110,P110)</f>
        <v>0</v>
      </c>
      <c r="BA110" s="31" t="n">
        <f aca="false">IF($G110="",AP110,T110)</f>
        <v>0</v>
      </c>
      <c r="BB110" s="31" t="n">
        <f aca="false">IF($G110="",AQ110,U110)</f>
        <v>0</v>
      </c>
      <c r="BC110" s="31" t="n">
        <f aca="false">IF($G110="",AR110,V110)</f>
        <v>0</v>
      </c>
      <c r="BD110" s="31" t="n">
        <f aca="false">IF($G110="",AS110,Q110)</f>
        <v>277437</v>
      </c>
      <c r="BE110" s="31" t="n">
        <f aca="false">IF($G110="",AT110,W110)</f>
        <v>282103</v>
      </c>
      <c r="BF110" s="31" t="n">
        <f aca="false">IF($G110="",AU110,R110)</f>
        <v>14378</v>
      </c>
      <c r="BG110" s="31" t="n">
        <f aca="false">IF($G110="",AV110,X110)</f>
        <v>14378</v>
      </c>
      <c r="BH110" s="31" t="n">
        <f aca="false">IF($G110="",AW110,S110)</f>
        <v>6149</v>
      </c>
      <c r="BI110" s="31" t="n">
        <f aca="false">IF($G110="",AX110,Y110)</f>
        <v>6152</v>
      </c>
      <c r="BJ110" s="31" t="n">
        <f aca="false">IF(CK110="N",BR110,ROUNDDOWN((I110-L110)*設定!$B$10/1000,0)+ROUNDDOWN((I110-L110)*設定!$B$11/1000,0))</f>
        <v>0</v>
      </c>
      <c r="BK110" s="31" t="n">
        <f aca="false">ROUNDDOWN((I110-L110)*設定!$C$10/1000,0)+ROUNDDOWN((I110-L110)*設定!$C$11/1000,0)+ROUNDDOWN(I110*設定!$C$12/1000,0)+IF(CL110="市局型",ROUNDDOWN(I110*設定!$C$16/1000,0),0)</f>
        <v>0</v>
      </c>
      <c r="BL110" s="31" t="n">
        <f aca="false">IF(CK110="N",BT110,ROUNDDOWN((J110-M110)*設定!$B$13/1000,0))</f>
        <v>0</v>
      </c>
      <c r="BM110" s="31" t="n">
        <f aca="false">ROUNDDOWN((J110-M110)*設定!$C$13/1000,0)+IF(CL110="市局型",ROUNDDOWN(J110*設定!$C$17/1000,0),0)</f>
        <v>0</v>
      </c>
      <c r="BN110" s="31" t="n">
        <f aca="false">IF(CK110="N",BV110,ROUNDDOWN((K110-N110)*設定!$B$14/1000,0))</f>
        <v>0</v>
      </c>
      <c r="BO110" s="31" t="n">
        <f aca="false">ROUNDDOWN((K110-N110)*設定!$C$14/1000,0)</f>
        <v>0</v>
      </c>
      <c r="BP110" s="31" t="n">
        <f aca="false">IF(CK110="N",BX110,ROUNDDOWN((J110-M110)*設定!$B$15/1000,0))</f>
        <v>0</v>
      </c>
      <c r="BQ110" s="31" t="n">
        <f aca="false">ROUNDDOWN((J110-M110)*設定!$C$15/1000,0)</f>
        <v>0</v>
      </c>
      <c r="BR110" s="31" t="n">
        <f aca="false">O110+P110</f>
        <v>0</v>
      </c>
      <c r="BS110" s="31" t="n">
        <f aca="false">T110+U110+V110</f>
        <v>0</v>
      </c>
      <c r="BT110" s="31" t="n">
        <f aca="false">Q110</f>
        <v>277437</v>
      </c>
      <c r="BU110" s="31" t="n">
        <f aca="false">W110</f>
        <v>282103</v>
      </c>
      <c r="BV110" s="31" t="n">
        <f aca="false">R110</f>
        <v>14378</v>
      </c>
      <c r="BW110" s="31" t="n">
        <f aca="false">X110</f>
        <v>14378</v>
      </c>
      <c r="BX110" s="31" t="n">
        <f aca="false">S110</f>
        <v>6149</v>
      </c>
      <c r="BY110" s="31" t="n">
        <f aca="false">Y110</f>
        <v>6152</v>
      </c>
      <c r="BZ110" s="32" t="n">
        <f aca="false">IF(BJ110=0,IF(BR110=0,0,1),(BR110-BJ110)/BJ110)</f>
        <v>0</v>
      </c>
      <c r="CA110" s="32" t="n">
        <f aca="false">IF(BK110=0,IF(BS110=0,0,1),(BS110-BK110)/BK110)</f>
        <v>0</v>
      </c>
      <c r="CB110" s="32" t="n">
        <f aca="false">IF(BL110=0,IF(BT110=0,0,1),(BT110-BL110)/BL110)</f>
        <v>1</v>
      </c>
      <c r="CC110" s="32" t="n">
        <f aca="false">IF(BM110=0,IF(BU110=0,0,1),(BU110-BM110)/BM110)</f>
        <v>1</v>
      </c>
      <c r="CD110" s="32" t="n">
        <f aca="false">IF(BN110=0,IF(BV110=0,0,1),(BV110-BN110)/BN110)</f>
        <v>1</v>
      </c>
      <c r="CE110" s="32" t="n">
        <f aca="false">IF(BO110=0,IF(BW110=0,0,1),(BW110-BO110)/BO110)</f>
        <v>1</v>
      </c>
      <c r="CF110" s="32" t="n">
        <f aca="false">IF(BP110=0,IF(BX110=0,0,1),(BX110-BP110)/BP110)</f>
        <v>1</v>
      </c>
      <c r="CG110" s="32" t="n">
        <f aca="false">IF(BQ110=0,IF(BY110=0,0,1),(BY110-BQ110)/BQ110)</f>
        <v>1</v>
      </c>
      <c r="CH110" s="32" t="n">
        <f aca="false">MAX(MAX(BZ110:CG110),-MIN(BZ110:CG110))</f>
        <v>1</v>
      </c>
      <c r="CI110" s="31" t="n">
        <f aca="false">IF(CO110="","",SUMIFS($CJ$7:$CJ$696,$A$7:$A$696,CO110,$B$7:$B$696,B110))</f>
        <v>676858</v>
      </c>
      <c r="CJ110" s="31" t="n">
        <f aca="false">SUM(AY110:BI110)</f>
        <v>600597</v>
      </c>
      <c r="CK110" s="31" t="str">
        <f aca="false">IFERROR(INDEX(設定!$F$61:$F$106,MATCH(B110,設定!$B$61:$B$106,0)),"Y")</f>
        <v>Y</v>
      </c>
      <c r="CL110" s="31" t="str">
        <f aca="false">IFERROR(INDEX(設定!$G$61:$G$106,MATCH(B110,設定!$B$61:$B$106,0)),"外郭型")</f>
        <v>市局型</v>
      </c>
      <c r="CM110" s="33" t="str">
        <f aca="false">A110&amp;"|"&amp;B110</f>
        <v>2026-06 月例|教育委員会（教育給与課）</v>
      </c>
      <c r="CN110" s="34" t="str">
        <f aca="false">IFERROR(INDEX(設定!$D$61:$D$106,MATCH(B110,設定!$B$61:$B$106,0)),"Y")</f>
        <v>Y</v>
      </c>
      <c r="CO110" s="34" t="str">
        <f aca="false">IFERROR(INDEX(設定!$D$20:$D$34,MATCH(A110,設定!$A$20:$A$34,0))&amp;"","")</f>
        <v>2026-05 月例</v>
      </c>
    </row>
    <row r="111" customFormat="false" ht="15" hidden="true" customHeight="false" outlineLevel="0" collapsed="false">
      <c r="A111" s="22" t="s">
        <v>217</v>
      </c>
      <c r="B111" s="23" t="s">
        <v>180</v>
      </c>
      <c r="C111" s="10" t="str">
        <f aca="false">IF(G111="","未受領",IF(G111="なし","報告なし",IF(AL111="○","起票済",IF(OR(AK111="○",F111="一致",F111="入金不要"),"入金確認済","受領済"))))</f>
        <v>報告なし</v>
      </c>
      <c r="D111" s="10" t="str">
        <f aca="false">IF(OR(G111="",G111="なし"),"―",IF(CN111="N","対象外",IF(AND(I111="",J111="",K111=""),"標報未入力",IF(CH111&gt;=設定!$B$4,"要確認","問題なし"))))</f>
        <v>―</v>
      </c>
      <c r="E111" s="24" t="str">
        <f aca="false">IF(OR(G111="",G111="なし",CI111="",CJ111=0),"―",IF(CJ111=CI111,"前月同額",IF(CI111=0,"―",IF(ABS(CJ111/CI111-1)&gt;=設定!$B$5,"変動大 "&amp;TEXT(CJ111/CI111-1,"+0%;-0%"),"〇"))))</f>
        <v>―</v>
      </c>
      <c r="F111" s="10" t="str">
        <f aca="false">IF(OR(G111="",G111="なし"),"―",IF(CJ111=0,"入金不要",IF(COUNT(AD111,AF111,AH111,AJ111)=0,IF(AK111="○","手動確認","未入金"),IF(AND(N(AD111)=AC111,IF(AE111="",TRUE(),N(AF111)=AE111),IF(AG111="",TRUE(),N(AH111)=AG111),IF(AI111="",TRUE(),N(AJ111)=AI111)),"一致","不一致"))))</f>
        <v>―</v>
      </c>
      <c r="G111" s="25" t="s">
        <v>181</v>
      </c>
      <c r="H111" s="26"/>
      <c r="I111" s="27"/>
      <c r="J111" s="27"/>
      <c r="K111" s="27"/>
      <c r="L111" s="27"/>
      <c r="M111" s="27"/>
      <c r="N111" s="27"/>
      <c r="O111" s="27"/>
      <c r="P111" s="27"/>
      <c r="Q111" s="27"/>
      <c r="R111" s="27"/>
      <c r="S111" s="27"/>
      <c r="T111" s="27"/>
      <c r="U111" s="27"/>
      <c r="V111" s="27"/>
      <c r="W111" s="27"/>
      <c r="X111" s="27"/>
      <c r="Y111" s="27"/>
      <c r="Z111" s="27"/>
      <c r="AA111" s="10" t="str">
        <f aca="false">IFERROR(INDEX(設定!$E$61:$E$106,MATCH(B111,設定!$B$61:$B$106,0)),"合算")</f>
        <v>合算</v>
      </c>
      <c r="AB111" s="28"/>
      <c r="AC111" s="29" t="str">
        <f aca="false">IF(OR(G111="",G111="なし"),"",IF(AA111="合算",CJ111+N(Z111),IF(AA111="掛金・負担金別",(AY111+AZ111+BD111+BF111+BH111),SUM(AY111:BC111))))</f>
        <v/>
      </c>
      <c r="AD111" s="27"/>
      <c r="AE111" s="29" t="str">
        <f aca="false">IF(OR(G111="",G111="なし"),"",IF(AA111="掛金・負担金別",(BA111+BB111+BC111+BE111+BG111+BI111+N(Z111)),IF(AA111="経理区分別",BD111+BE111,"")))</f>
        <v/>
      </c>
      <c r="AF111" s="27"/>
      <c r="AG111" s="29" t="str">
        <f aca="false">IF(OR(G111="",G111="なし"),"",IF(AA111="経理区分別",BF111+BG111,""))</f>
        <v/>
      </c>
      <c r="AH111" s="27"/>
      <c r="AI111" s="29" t="str">
        <f aca="false">IF(OR(G111="",G111="なし"),"",IF(AA111="経理区分別",BH111+BI111+N(Z111),""))</f>
        <v/>
      </c>
      <c r="AJ111" s="27"/>
      <c r="AK111" s="26"/>
      <c r="AL111" s="26"/>
      <c r="AM111" s="30"/>
      <c r="AN111" s="31"/>
      <c r="AO111" s="31"/>
      <c r="AP111" s="31"/>
      <c r="AQ111" s="31"/>
      <c r="AR111" s="31"/>
      <c r="AS111" s="31"/>
      <c r="AT111" s="31"/>
      <c r="AU111" s="31"/>
      <c r="AV111" s="31"/>
      <c r="AW111" s="31"/>
      <c r="AX111" s="31"/>
      <c r="AY111" s="31" t="n">
        <f aca="false">IF($G111="",AN111,O111)</f>
        <v>0</v>
      </c>
      <c r="AZ111" s="31" t="n">
        <f aca="false">IF($G111="",AO111,P111)</f>
        <v>0</v>
      </c>
      <c r="BA111" s="31" t="n">
        <f aca="false">IF($G111="",AP111,T111)</f>
        <v>0</v>
      </c>
      <c r="BB111" s="31" t="n">
        <f aca="false">IF($G111="",AQ111,U111)</f>
        <v>0</v>
      </c>
      <c r="BC111" s="31" t="n">
        <f aca="false">IF($G111="",AR111,V111)</f>
        <v>0</v>
      </c>
      <c r="BD111" s="31" t="n">
        <f aca="false">IF($G111="",AS111,Q111)</f>
        <v>0</v>
      </c>
      <c r="BE111" s="31" t="n">
        <f aca="false">IF($G111="",AT111,W111)</f>
        <v>0</v>
      </c>
      <c r="BF111" s="31" t="n">
        <f aca="false">IF($G111="",AU111,R111)</f>
        <v>0</v>
      </c>
      <c r="BG111" s="31" t="n">
        <f aca="false">IF($G111="",AV111,X111)</f>
        <v>0</v>
      </c>
      <c r="BH111" s="31" t="n">
        <f aca="false">IF($G111="",AW111,S111)</f>
        <v>0</v>
      </c>
      <c r="BI111" s="31" t="n">
        <f aca="false">IF($G111="",AX111,Y111)</f>
        <v>0</v>
      </c>
      <c r="BJ111" s="31" t="n">
        <f aca="false">IF(CK111="N",BR111,ROUNDDOWN((I111-L111)*設定!$B$10/1000,0)+ROUNDDOWN((I111-L111)*設定!$B$11/1000,0))</f>
        <v>0</v>
      </c>
      <c r="BK111" s="31" t="n">
        <f aca="false">ROUNDDOWN((I111-L111)*設定!$C$10/1000,0)+ROUNDDOWN((I111-L111)*設定!$C$11/1000,0)+ROUNDDOWN(I111*設定!$C$12/1000,0)+IF(CL111="市局型",ROUNDDOWN(I111*設定!$C$16/1000,0),0)</f>
        <v>0</v>
      </c>
      <c r="BL111" s="31" t="n">
        <f aca="false">IF(CK111="N",BT111,ROUNDDOWN((J111-M111)*設定!$B$13/1000,0))</f>
        <v>0</v>
      </c>
      <c r="BM111" s="31" t="n">
        <f aca="false">ROUNDDOWN((J111-M111)*設定!$C$13/1000,0)+IF(CL111="市局型",ROUNDDOWN(J111*設定!$C$17/1000,0),0)</f>
        <v>0</v>
      </c>
      <c r="BN111" s="31" t="n">
        <f aca="false">IF(CK111="N",BV111,ROUNDDOWN((K111-N111)*設定!$B$14/1000,0))</f>
        <v>0</v>
      </c>
      <c r="BO111" s="31" t="n">
        <f aca="false">ROUNDDOWN((K111-N111)*設定!$C$14/1000,0)</f>
        <v>0</v>
      </c>
      <c r="BP111" s="31" t="n">
        <f aca="false">IF(CK111="N",BX111,ROUNDDOWN((J111-M111)*設定!$B$15/1000,0))</f>
        <v>0</v>
      </c>
      <c r="BQ111" s="31" t="n">
        <f aca="false">ROUNDDOWN((J111-M111)*設定!$C$15/1000,0)</f>
        <v>0</v>
      </c>
      <c r="BR111" s="31" t="n">
        <f aca="false">O111+P111</f>
        <v>0</v>
      </c>
      <c r="BS111" s="31" t="n">
        <f aca="false">T111+U111+V111</f>
        <v>0</v>
      </c>
      <c r="BT111" s="31" t="n">
        <f aca="false">Q111</f>
        <v>0</v>
      </c>
      <c r="BU111" s="31" t="n">
        <f aca="false">W111</f>
        <v>0</v>
      </c>
      <c r="BV111" s="31" t="n">
        <f aca="false">R111</f>
        <v>0</v>
      </c>
      <c r="BW111" s="31" t="n">
        <f aca="false">X111</f>
        <v>0</v>
      </c>
      <c r="BX111" s="31" t="n">
        <f aca="false">S111</f>
        <v>0</v>
      </c>
      <c r="BY111" s="31" t="n">
        <f aca="false">Y111</f>
        <v>0</v>
      </c>
      <c r="BZ111" s="32" t="n">
        <f aca="false">IF(BJ111=0,IF(BR111=0,0,1),(BR111-BJ111)/BJ111)</f>
        <v>0</v>
      </c>
      <c r="CA111" s="32" t="n">
        <f aca="false">IF(BK111=0,IF(BS111=0,0,1),(BS111-BK111)/BK111)</f>
        <v>0</v>
      </c>
      <c r="CB111" s="32" t="n">
        <f aca="false">IF(BL111=0,IF(BT111=0,0,1),(BT111-BL111)/BL111)</f>
        <v>0</v>
      </c>
      <c r="CC111" s="32" t="n">
        <f aca="false">IF(BM111=0,IF(BU111=0,0,1),(BU111-BM111)/BM111)</f>
        <v>0</v>
      </c>
      <c r="CD111" s="32" t="n">
        <f aca="false">IF(BN111=0,IF(BV111=0,0,1),(BV111-BN111)/BN111)</f>
        <v>0</v>
      </c>
      <c r="CE111" s="32" t="n">
        <f aca="false">IF(BO111=0,IF(BW111=0,0,1),(BW111-BO111)/BO111)</f>
        <v>0</v>
      </c>
      <c r="CF111" s="32" t="n">
        <f aca="false">IF(BP111=0,IF(BX111=0,0,1),(BX111-BP111)/BP111)</f>
        <v>0</v>
      </c>
      <c r="CG111" s="32" t="n">
        <f aca="false">IF(BQ111=0,IF(BY111=0,0,1),(BY111-BQ111)/BQ111)</f>
        <v>0</v>
      </c>
      <c r="CH111" s="32" t="n">
        <f aca="false">MAX(MAX(BZ111:CG111),-MIN(BZ111:CG111))</f>
        <v>-0</v>
      </c>
      <c r="CI111" s="31" t="n">
        <f aca="false">IF(CO111="","",SUMIFS($CJ$7:$CJ$696,$A$7:$A$696,CO111,$B$7:$B$696,B111))</f>
        <v>0</v>
      </c>
      <c r="CJ111" s="31" t="n">
        <f aca="false">SUM(AY111:BI111)</f>
        <v>0</v>
      </c>
      <c r="CK111" s="31" t="str">
        <f aca="false">IFERROR(INDEX(設定!$F$61:$F$106,MATCH(B111,設定!$B$61:$B$106,0)),"Y")</f>
        <v>N</v>
      </c>
      <c r="CL111" s="31" t="str">
        <f aca="false">IFERROR(INDEX(設定!$G$61:$G$106,MATCH(B111,設定!$B$61:$B$106,0)),"外郭型")</f>
        <v>外郭型</v>
      </c>
      <c r="CM111" s="33" t="str">
        <f aca="false">A111&amp;"|"&amp;B111</f>
        <v>2026-06 月例|地方税共同機構</v>
      </c>
      <c r="CN111" s="34" t="str">
        <f aca="false">IFERROR(INDEX(設定!$D$61:$D$106,MATCH(B111,設定!$B$61:$B$106,0)),"Y")</f>
        <v>Y</v>
      </c>
      <c r="CO111" s="34" t="str">
        <f aca="false">IFERROR(INDEX(設定!$D$20:$D$34,MATCH(A111,設定!$A$20:$A$34,0))&amp;"","")</f>
        <v>2026-05 月例</v>
      </c>
    </row>
    <row r="112" customFormat="false" ht="15" hidden="true" customHeight="false" outlineLevel="0" collapsed="false">
      <c r="A112" s="22" t="s">
        <v>217</v>
      </c>
      <c r="B112" s="23" t="s">
        <v>182</v>
      </c>
      <c r="C112" s="10" t="str">
        <f aca="false">IF(G112="","未受領",IF(G112="なし","報告なし",IF(AL112="○","起票済",IF(OR(AK112="○",F112="一致",F112="入金不要"),"入金確認済","受領済"))))</f>
        <v>入金確認済</v>
      </c>
      <c r="D112" s="10" t="str">
        <f aca="false">IF(OR(G112="",G112="なし"),"―",IF(CN112="N","対象外",IF(AND(I112="",J112="",K112=""),"標報未入力",IF(CH112&gt;=設定!$B$4,"要確認","問題なし"))))</f>
        <v>標報未入力</v>
      </c>
      <c r="E112" s="24" t="str">
        <f aca="false">IF(OR(G112="",G112="なし",CI112="",CJ112=0),"―",IF(CJ112=CI112,"前月同額",IF(CI112=0,"―",IF(ABS(CJ112/CI112-1)&gt;=設定!$B$5,"変動大 "&amp;TEXT(CJ112/CI112-1,"+0%;-0%"),"〇"))))</f>
        <v>前月同額</v>
      </c>
      <c r="F112" s="10" t="str">
        <f aca="false">IF(OR(G112="",G112="なし"),"―",IF(CJ112=0,"入金不要",IF(COUNT(AD112,AF112,AH112,AJ112)=0,IF(AK112="○","手動確認","未入金"),IF(AND(N(AD112)=AC112,IF(AE112="",TRUE(),N(AF112)=AE112),IF(AG112="",TRUE(),N(AH112)=AG112),IF(AI112="",TRUE(),N(AJ112)=AI112)),"一致","不一致"))))</f>
        <v>手動確認</v>
      </c>
      <c r="G112" s="25" t="s">
        <v>167</v>
      </c>
      <c r="H112" s="26"/>
      <c r="I112" s="27"/>
      <c r="J112" s="27"/>
      <c r="K112" s="27"/>
      <c r="L112" s="27"/>
      <c r="M112" s="27"/>
      <c r="N112" s="27"/>
      <c r="O112" s="27" t="n">
        <v>0</v>
      </c>
      <c r="P112" s="27" t="n">
        <v>0</v>
      </c>
      <c r="Q112" s="27" t="n">
        <v>0</v>
      </c>
      <c r="R112" s="27" t="n">
        <v>0</v>
      </c>
      <c r="S112" s="27" t="n">
        <v>0</v>
      </c>
      <c r="T112" s="27" t="n">
        <v>765855</v>
      </c>
      <c r="U112" s="27" t="n">
        <v>62775</v>
      </c>
      <c r="V112" s="27" t="n">
        <v>789</v>
      </c>
      <c r="W112" s="27" t="n">
        <v>441236</v>
      </c>
      <c r="X112" s="27" t="n">
        <v>54826</v>
      </c>
      <c r="Y112" s="27" t="n">
        <v>9775</v>
      </c>
      <c r="Z112" s="27"/>
      <c r="AA112" s="10" t="str">
        <f aca="false">IFERROR(INDEX(設定!$E$61:$E$106,MATCH(B112,設定!$B$61:$B$106,0)),"合算")</f>
        <v>合算</v>
      </c>
      <c r="AB112" s="28"/>
      <c r="AC112" s="29" t="n">
        <f aca="false">IF(OR(G112="",G112="なし"),"",IF(AA112="合算",CJ112+N(Z112),IF(AA112="掛金・負担金別",(AY112+AZ112+BD112+BF112+BH112),SUM(AY112:BC112))))</f>
        <v>1335256</v>
      </c>
      <c r="AD112" s="27"/>
      <c r="AE112" s="29" t="str">
        <f aca="false">IF(OR(G112="",G112="なし"),"",IF(AA112="掛金・負担金別",(BA112+BB112+BC112+BE112+BG112+BI112+N(Z112)),IF(AA112="経理区分別",BD112+BE112,"")))</f>
        <v/>
      </c>
      <c r="AF112" s="27"/>
      <c r="AG112" s="29" t="str">
        <f aca="false">IF(OR(G112="",G112="なし"),"",IF(AA112="経理区分別",BF112+BG112,""))</f>
        <v/>
      </c>
      <c r="AH112" s="27"/>
      <c r="AI112" s="29" t="str">
        <f aca="false">IF(OR(G112="",G112="なし"),"",IF(AA112="経理区分別",BH112+BI112+N(Z112),""))</f>
        <v/>
      </c>
      <c r="AJ112" s="27"/>
      <c r="AK112" s="26" t="s">
        <v>168</v>
      </c>
      <c r="AL112" s="26"/>
      <c r="AM112" s="30"/>
      <c r="AN112" s="31"/>
      <c r="AO112" s="31"/>
      <c r="AP112" s="31"/>
      <c r="AQ112" s="31"/>
      <c r="AR112" s="31"/>
      <c r="AS112" s="31"/>
      <c r="AT112" s="31"/>
      <c r="AU112" s="31"/>
      <c r="AV112" s="31"/>
      <c r="AW112" s="31"/>
      <c r="AX112" s="31"/>
      <c r="AY112" s="31" t="n">
        <f aca="false">IF($G112="",AN112,O112)</f>
        <v>0</v>
      </c>
      <c r="AZ112" s="31" t="n">
        <f aca="false">IF($G112="",AO112,P112)</f>
        <v>0</v>
      </c>
      <c r="BA112" s="31" t="n">
        <f aca="false">IF($G112="",AP112,T112)</f>
        <v>765855</v>
      </c>
      <c r="BB112" s="31" t="n">
        <f aca="false">IF($G112="",AQ112,U112)</f>
        <v>62775</v>
      </c>
      <c r="BC112" s="31" t="n">
        <f aca="false">IF($G112="",AR112,V112)</f>
        <v>789</v>
      </c>
      <c r="BD112" s="31" t="n">
        <f aca="false">IF($G112="",AS112,Q112)</f>
        <v>0</v>
      </c>
      <c r="BE112" s="31" t="n">
        <f aca="false">IF($G112="",AT112,W112)</f>
        <v>441236</v>
      </c>
      <c r="BF112" s="31" t="n">
        <f aca="false">IF($G112="",AU112,R112)</f>
        <v>0</v>
      </c>
      <c r="BG112" s="31" t="n">
        <f aca="false">IF($G112="",AV112,X112)</f>
        <v>54826</v>
      </c>
      <c r="BH112" s="31" t="n">
        <f aca="false">IF($G112="",AW112,S112)</f>
        <v>0</v>
      </c>
      <c r="BI112" s="31" t="n">
        <f aca="false">IF($G112="",AX112,Y112)</f>
        <v>9775</v>
      </c>
      <c r="BJ112" s="31" t="n">
        <f aca="false">IF(CK112="N",BR112,ROUNDDOWN((I112-L112)*設定!$B$10/1000,0)+ROUNDDOWN((I112-L112)*設定!$B$11/1000,0))</f>
        <v>0</v>
      </c>
      <c r="BK112" s="31" t="n">
        <f aca="false">ROUNDDOWN((I112-L112)*設定!$C$10/1000,0)+ROUNDDOWN((I112-L112)*設定!$C$11/1000,0)+ROUNDDOWN(I112*設定!$C$12/1000,0)+IF(CL112="市局型",ROUNDDOWN(I112*設定!$C$16/1000,0),0)</f>
        <v>0</v>
      </c>
      <c r="BL112" s="31" t="n">
        <f aca="false">IF(CK112="N",BT112,ROUNDDOWN((J112-M112)*設定!$B$13/1000,0))</f>
        <v>0</v>
      </c>
      <c r="BM112" s="31" t="n">
        <f aca="false">ROUNDDOWN((J112-M112)*設定!$C$13/1000,0)+IF(CL112="市局型",ROUNDDOWN(J112*設定!$C$17/1000,0),0)</f>
        <v>0</v>
      </c>
      <c r="BN112" s="31" t="n">
        <f aca="false">IF(CK112="N",BV112,ROUNDDOWN((K112-N112)*設定!$B$14/1000,0))</f>
        <v>0</v>
      </c>
      <c r="BO112" s="31" t="n">
        <f aca="false">ROUNDDOWN((K112-N112)*設定!$C$14/1000,0)</f>
        <v>0</v>
      </c>
      <c r="BP112" s="31" t="n">
        <f aca="false">IF(CK112="N",BX112,ROUNDDOWN((J112-M112)*設定!$B$15/1000,0))</f>
        <v>0</v>
      </c>
      <c r="BQ112" s="31" t="n">
        <f aca="false">ROUNDDOWN((J112-M112)*設定!$C$15/1000,0)</f>
        <v>0</v>
      </c>
      <c r="BR112" s="31" t="n">
        <f aca="false">O112+P112</f>
        <v>0</v>
      </c>
      <c r="BS112" s="31" t="n">
        <f aca="false">T112+U112+V112</f>
        <v>829419</v>
      </c>
      <c r="BT112" s="31" t="n">
        <f aca="false">Q112</f>
        <v>0</v>
      </c>
      <c r="BU112" s="31" t="n">
        <f aca="false">W112</f>
        <v>441236</v>
      </c>
      <c r="BV112" s="31" t="n">
        <f aca="false">R112</f>
        <v>0</v>
      </c>
      <c r="BW112" s="31" t="n">
        <f aca="false">X112</f>
        <v>54826</v>
      </c>
      <c r="BX112" s="31" t="n">
        <f aca="false">S112</f>
        <v>0</v>
      </c>
      <c r="BY112" s="31" t="n">
        <f aca="false">Y112</f>
        <v>9775</v>
      </c>
      <c r="BZ112" s="32" t="n">
        <f aca="false">IF(BJ112=0,IF(BR112=0,0,1),(BR112-BJ112)/BJ112)</f>
        <v>0</v>
      </c>
      <c r="CA112" s="32" t="n">
        <f aca="false">IF(BK112=0,IF(BS112=0,0,1),(BS112-BK112)/BK112)</f>
        <v>1</v>
      </c>
      <c r="CB112" s="32" t="n">
        <f aca="false">IF(BL112=0,IF(BT112=0,0,1),(BT112-BL112)/BL112)</f>
        <v>0</v>
      </c>
      <c r="CC112" s="32" t="n">
        <f aca="false">IF(BM112=0,IF(BU112=0,0,1),(BU112-BM112)/BM112)</f>
        <v>1</v>
      </c>
      <c r="CD112" s="32" t="n">
        <f aca="false">IF(BN112=0,IF(BV112=0,0,1),(BV112-BN112)/BN112)</f>
        <v>0</v>
      </c>
      <c r="CE112" s="32" t="n">
        <f aca="false">IF(BO112=0,IF(BW112=0,0,1),(BW112-BO112)/BO112)</f>
        <v>1</v>
      </c>
      <c r="CF112" s="32" t="n">
        <f aca="false">IF(BP112=0,IF(BX112=0,0,1),(BX112-BP112)/BP112)</f>
        <v>0</v>
      </c>
      <c r="CG112" s="32" t="n">
        <f aca="false">IF(BQ112=0,IF(BY112=0,0,1),(BY112-BQ112)/BQ112)</f>
        <v>1</v>
      </c>
      <c r="CH112" s="32" t="n">
        <f aca="false">MAX(MAX(BZ112:CG112),-MIN(BZ112:CG112))</f>
        <v>1</v>
      </c>
      <c r="CI112" s="31" t="n">
        <f aca="false">IF(CO112="","",SUMIFS($CJ$7:$CJ$696,$A$7:$A$696,CO112,$B$7:$B$696,B112))</f>
        <v>1335256</v>
      </c>
      <c r="CJ112" s="31" t="n">
        <f aca="false">SUM(AY112:BI112)</f>
        <v>1335256</v>
      </c>
      <c r="CK112" s="31" t="str">
        <f aca="false">IFERROR(INDEX(設定!$F$61:$F$106,MATCH(B112,設定!$B$61:$B$106,0)),"Y")</f>
        <v>Y</v>
      </c>
      <c r="CL112" s="31" t="str">
        <f aca="false">IFERROR(INDEX(設定!$G$61:$G$106,MATCH(B112,設定!$B$61:$B$106,0)),"外郭型")</f>
        <v>外郭型</v>
      </c>
      <c r="CM112" s="33" t="str">
        <f aca="false">A112&amp;"|"&amp;B112</f>
        <v>2026-06 月例|平和文化センター</v>
      </c>
      <c r="CN112" s="34" t="str">
        <f aca="false">IFERROR(INDEX(設定!$D$61:$D$106,MATCH(B112,設定!$B$61:$B$106,0)),"Y")</f>
        <v>Y</v>
      </c>
      <c r="CO112" s="34" t="str">
        <f aca="false">IFERROR(INDEX(設定!$D$20:$D$34,MATCH(A112,設定!$A$20:$A$34,0))&amp;"","")</f>
        <v>2026-05 月例</v>
      </c>
    </row>
    <row r="113" customFormat="false" ht="15" hidden="true" customHeight="false" outlineLevel="0" collapsed="false">
      <c r="A113" s="22" t="s">
        <v>217</v>
      </c>
      <c r="B113" s="23" t="s">
        <v>183</v>
      </c>
      <c r="C113" s="10" t="str">
        <f aca="false">IF(G113="","未受領",IF(G113="なし","報告なし",IF(AL113="○","起票済",IF(OR(AK113="○",F113="一致",F113="入金不要"),"入金確認済","受領済"))))</f>
        <v>入金確認済</v>
      </c>
      <c r="D113" s="10" t="str">
        <f aca="false">IF(OR(G113="",G113="なし"),"―",IF(CN113="N","対象外",IF(AND(I113="",J113="",K113=""),"標報未入力",IF(CH113&gt;=設定!$B$4,"要確認","問題なし"))))</f>
        <v>標報未入力</v>
      </c>
      <c r="E113" s="24" t="str">
        <f aca="false">IF(OR(G113="",G113="なし",CI113="",CJ113=0),"―",IF(CJ113=CI113,"前月同額",IF(CI113=0,"―",IF(ABS(CJ113/CI113-1)&gt;=設定!$B$5,"変動大 "&amp;TEXT(CJ113/CI113-1,"+0%;-0%"),"〇"))))</f>
        <v>〇</v>
      </c>
      <c r="F113" s="10" t="str">
        <f aca="false">IF(OR(G113="",G113="なし"),"―",IF(CJ113=0,"入金不要",IF(COUNT(AD113,AF113,AH113,AJ113)=0,IF(AK113="○","手動確認","未入金"),IF(AND(N(AD113)=AC113,IF(AE113="",TRUE(),N(AF113)=AE113),IF(AG113="",TRUE(),N(AH113)=AG113),IF(AI113="",TRUE(),N(AJ113)=AI113)),"一致","不一致"))))</f>
        <v>手動確認</v>
      </c>
      <c r="G113" s="25" t="s">
        <v>167</v>
      </c>
      <c r="H113" s="26"/>
      <c r="I113" s="27"/>
      <c r="J113" s="27"/>
      <c r="K113" s="27"/>
      <c r="L113" s="27"/>
      <c r="M113" s="27"/>
      <c r="N113" s="27"/>
      <c r="O113" s="27"/>
      <c r="P113" s="27"/>
      <c r="Q113" s="27"/>
      <c r="R113" s="27"/>
      <c r="S113" s="27"/>
      <c r="T113" s="27" t="n">
        <v>1990125</v>
      </c>
      <c r="U113" s="27" t="n">
        <v>163125</v>
      </c>
      <c r="V113" s="27" t="n">
        <v>1996</v>
      </c>
      <c r="W113" s="27" t="n">
        <v>1279122</v>
      </c>
      <c r="X113" s="27" t="n">
        <v>141726</v>
      </c>
      <c r="Y113" s="27" t="n">
        <v>28333</v>
      </c>
      <c r="Z113" s="27"/>
      <c r="AA113" s="10" t="str">
        <f aca="false">IFERROR(INDEX(設定!$E$61:$E$106,MATCH(B113,設定!$B$61:$B$106,0)),"合算")</f>
        <v>合算</v>
      </c>
      <c r="AB113" s="28"/>
      <c r="AC113" s="29" t="n">
        <f aca="false">IF(OR(G113="",G113="なし"),"",IF(AA113="合算",CJ113+N(Z113),IF(AA113="掛金・負担金別",(AY113+AZ113+BD113+BF113+BH113),SUM(AY113:BC113))))</f>
        <v>3604427</v>
      </c>
      <c r="AD113" s="27"/>
      <c r="AE113" s="29" t="str">
        <f aca="false">IF(OR(G113="",G113="なし"),"",IF(AA113="掛金・負担金別",(BA113+BB113+BC113+BE113+BG113+BI113+N(Z113)),IF(AA113="経理区分別",BD113+BE113,"")))</f>
        <v/>
      </c>
      <c r="AF113" s="27"/>
      <c r="AG113" s="29" t="str">
        <f aca="false">IF(OR(G113="",G113="なし"),"",IF(AA113="経理区分別",BF113+BG113,""))</f>
        <v/>
      </c>
      <c r="AH113" s="27"/>
      <c r="AI113" s="29" t="str">
        <f aca="false">IF(OR(G113="",G113="なし"),"",IF(AA113="経理区分別",BH113+BI113+N(Z113),""))</f>
        <v/>
      </c>
      <c r="AJ113" s="27"/>
      <c r="AK113" s="26" t="s">
        <v>168</v>
      </c>
      <c r="AL113" s="26"/>
      <c r="AM113" s="30"/>
      <c r="AN113" s="31"/>
      <c r="AO113" s="31"/>
      <c r="AP113" s="31"/>
      <c r="AQ113" s="31"/>
      <c r="AR113" s="31"/>
      <c r="AS113" s="31"/>
      <c r="AT113" s="31"/>
      <c r="AU113" s="31"/>
      <c r="AV113" s="31"/>
      <c r="AW113" s="31"/>
      <c r="AX113" s="31"/>
      <c r="AY113" s="31" t="n">
        <f aca="false">IF($G113="",AN113,O113)</f>
        <v>0</v>
      </c>
      <c r="AZ113" s="31" t="n">
        <f aca="false">IF($G113="",AO113,P113)</f>
        <v>0</v>
      </c>
      <c r="BA113" s="31" t="n">
        <f aca="false">IF($G113="",AP113,T113)</f>
        <v>1990125</v>
      </c>
      <c r="BB113" s="31" t="n">
        <f aca="false">IF($G113="",AQ113,U113)</f>
        <v>163125</v>
      </c>
      <c r="BC113" s="31" t="n">
        <f aca="false">IF($G113="",AR113,V113)</f>
        <v>1996</v>
      </c>
      <c r="BD113" s="31" t="n">
        <f aca="false">IF($G113="",AS113,Q113)</f>
        <v>0</v>
      </c>
      <c r="BE113" s="31" t="n">
        <f aca="false">IF($G113="",AT113,W113)</f>
        <v>1279122</v>
      </c>
      <c r="BF113" s="31" t="n">
        <f aca="false">IF($G113="",AU113,R113)</f>
        <v>0</v>
      </c>
      <c r="BG113" s="31" t="n">
        <f aca="false">IF($G113="",AV113,X113)</f>
        <v>141726</v>
      </c>
      <c r="BH113" s="31" t="n">
        <f aca="false">IF($G113="",AW113,S113)</f>
        <v>0</v>
      </c>
      <c r="BI113" s="31" t="n">
        <f aca="false">IF($G113="",AX113,Y113)</f>
        <v>28333</v>
      </c>
      <c r="BJ113" s="31" t="n">
        <f aca="false">IF(CK113="N",BR113,ROUNDDOWN((I113-L113)*設定!$B$10/1000,0)+ROUNDDOWN((I113-L113)*設定!$B$11/1000,0))</f>
        <v>0</v>
      </c>
      <c r="BK113" s="31" t="n">
        <f aca="false">ROUNDDOWN((I113-L113)*設定!$C$10/1000,0)+ROUNDDOWN((I113-L113)*設定!$C$11/1000,0)+ROUNDDOWN(I113*設定!$C$12/1000,0)+IF(CL113="市局型",ROUNDDOWN(I113*設定!$C$16/1000,0),0)</f>
        <v>0</v>
      </c>
      <c r="BL113" s="31" t="n">
        <f aca="false">IF(CK113="N",BT113,ROUNDDOWN((J113-M113)*設定!$B$13/1000,0))</f>
        <v>0</v>
      </c>
      <c r="BM113" s="31" t="n">
        <f aca="false">ROUNDDOWN((J113-M113)*設定!$C$13/1000,0)+IF(CL113="市局型",ROUNDDOWN(J113*設定!$C$17/1000,0),0)</f>
        <v>0</v>
      </c>
      <c r="BN113" s="31" t="n">
        <f aca="false">IF(CK113="N",BV113,ROUNDDOWN((K113-N113)*設定!$B$14/1000,0))</f>
        <v>0</v>
      </c>
      <c r="BO113" s="31" t="n">
        <f aca="false">ROUNDDOWN((K113-N113)*設定!$C$14/1000,0)</f>
        <v>0</v>
      </c>
      <c r="BP113" s="31" t="n">
        <f aca="false">IF(CK113="N",BX113,ROUNDDOWN((J113-M113)*設定!$B$15/1000,0))</f>
        <v>0</v>
      </c>
      <c r="BQ113" s="31" t="n">
        <f aca="false">ROUNDDOWN((J113-M113)*設定!$C$15/1000,0)</f>
        <v>0</v>
      </c>
      <c r="BR113" s="31" t="n">
        <f aca="false">O113+P113</f>
        <v>0</v>
      </c>
      <c r="BS113" s="31" t="n">
        <f aca="false">T113+U113+V113</f>
        <v>2155246</v>
      </c>
      <c r="BT113" s="31" t="n">
        <f aca="false">Q113</f>
        <v>0</v>
      </c>
      <c r="BU113" s="31" t="n">
        <f aca="false">W113</f>
        <v>1279122</v>
      </c>
      <c r="BV113" s="31" t="n">
        <f aca="false">R113</f>
        <v>0</v>
      </c>
      <c r="BW113" s="31" t="n">
        <f aca="false">X113</f>
        <v>141726</v>
      </c>
      <c r="BX113" s="31" t="n">
        <f aca="false">S113</f>
        <v>0</v>
      </c>
      <c r="BY113" s="31" t="n">
        <f aca="false">Y113</f>
        <v>28333</v>
      </c>
      <c r="BZ113" s="32" t="n">
        <f aca="false">IF(BJ113=0,IF(BR113=0,0,1),(BR113-BJ113)/BJ113)</f>
        <v>0</v>
      </c>
      <c r="CA113" s="32" t="n">
        <f aca="false">IF(BK113=0,IF(BS113=0,0,1),(BS113-BK113)/BK113)</f>
        <v>1</v>
      </c>
      <c r="CB113" s="32" t="n">
        <f aca="false">IF(BL113=0,IF(BT113=0,0,1),(BT113-BL113)/BL113)</f>
        <v>0</v>
      </c>
      <c r="CC113" s="32" t="n">
        <f aca="false">IF(BM113=0,IF(BU113=0,0,1),(BU113-BM113)/BM113)</f>
        <v>1</v>
      </c>
      <c r="CD113" s="32" t="n">
        <f aca="false">IF(BN113=0,IF(BV113=0,0,1),(BV113-BN113)/BN113)</f>
        <v>0</v>
      </c>
      <c r="CE113" s="32" t="n">
        <f aca="false">IF(BO113=0,IF(BW113=0,0,1),(BW113-BO113)/BO113)</f>
        <v>1</v>
      </c>
      <c r="CF113" s="32" t="n">
        <f aca="false">IF(BP113=0,IF(BX113=0,0,1),(BX113-BP113)/BP113)</f>
        <v>0</v>
      </c>
      <c r="CG113" s="32" t="n">
        <f aca="false">IF(BQ113=0,IF(BY113=0,0,1),(BY113-BQ113)/BQ113)</f>
        <v>1</v>
      </c>
      <c r="CH113" s="32" t="n">
        <f aca="false">MAX(MAX(BZ113:CG113),-MIN(BZ113:CG113))</f>
        <v>1</v>
      </c>
      <c r="CI113" s="31" t="n">
        <f aca="false">IF(CO113="","",SUMIFS($CJ$7:$CJ$696,$A$7:$A$696,CO113,$B$7:$B$696,B113))</f>
        <v>3657249</v>
      </c>
      <c r="CJ113" s="31" t="n">
        <f aca="false">SUM(AY113:BI113)</f>
        <v>3604427</v>
      </c>
      <c r="CK113" s="31" t="str">
        <f aca="false">IFERROR(INDEX(設定!$F$61:$F$106,MATCH(B113,設定!$B$61:$B$106,0)),"Y")</f>
        <v>N</v>
      </c>
      <c r="CL113" s="31" t="str">
        <f aca="false">IFERROR(INDEX(設定!$G$61:$G$106,MATCH(B113,設定!$B$61:$B$106,0)),"外郭型")</f>
        <v>外郭型</v>
      </c>
      <c r="CM113" s="33" t="str">
        <f aca="false">A113&amp;"|"&amp;B113</f>
        <v>2026-06 月例|社会福祉事業団</v>
      </c>
      <c r="CN113" s="34" t="str">
        <f aca="false">IFERROR(INDEX(設定!$D$61:$D$106,MATCH(B113,設定!$B$61:$B$106,0)),"Y")</f>
        <v>Y</v>
      </c>
      <c r="CO113" s="34" t="str">
        <f aca="false">IFERROR(INDEX(設定!$D$20:$D$34,MATCH(A113,設定!$A$20:$A$34,0))&amp;"","")</f>
        <v>2026-05 月例</v>
      </c>
    </row>
    <row r="114" customFormat="false" ht="15" hidden="true" customHeight="false" outlineLevel="0" collapsed="false">
      <c r="A114" s="22" t="s">
        <v>217</v>
      </c>
      <c r="B114" s="23" t="s">
        <v>184</v>
      </c>
      <c r="C114" s="10" t="str">
        <f aca="false">IF(G114="","未受領",IF(G114="なし","報告なし",IF(AL114="○","起票済",IF(OR(AK114="○",F114="一致",F114="入金不要"),"入金確認済","受領済"))))</f>
        <v>入金確認済</v>
      </c>
      <c r="D114" s="10" t="str">
        <f aca="false">IF(OR(G114="",G114="なし"),"―",IF(CN114="N","対象外",IF(AND(I114="",J114="",K114=""),"標報未入力",IF(CH114&gt;=設定!$B$4,"要確認","問題なし"))))</f>
        <v>標報未入力</v>
      </c>
      <c r="E114" s="24" t="str">
        <f aca="false">IF(OR(G114="",G114="なし",CI114="",CJ114=0),"―",IF(CJ114=CI114,"前月同額",IF(CI114=0,"―",IF(ABS(CJ114/CI114-1)&gt;=設定!$B$5,"変動大 "&amp;TEXT(CJ114/CI114-1,"+0%;-0%"),"〇"))))</f>
        <v>前月同額</v>
      </c>
      <c r="F114" s="10" t="str">
        <f aca="false">IF(OR(G114="",G114="なし"),"―",IF(CJ114=0,"入金不要",IF(COUNT(AD114,AF114,AH114,AJ114)=0,IF(AK114="○","手動確認","未入金"),IF(AND(N(AD114)=AC114,IF(AE114="",TRUE(),N(AF114)=AE114),IF(AG114="",TRUE(),N(AH114)=AG114),IF(AI114="",TRUE(),N(AJ114)=AI114)),"一致","不一致"))))</f>
        <v>手動確認</v>
      </c>
      <c r="G114" s="25" t="s">
        <v>167</v>
      </c>
      <c r="H114" s="26"/>
      <c r="I114" s="27"/>
      <c r="J114" s="27"/>
      <c r="K114" s="27"/>
      <c r="L114" s="27"/>
      <c r="M114" s="27"/>
      <c r="N114" s="27"/>
      <c r="O114" s="27"/>
      <c r="P114" s="27"/>
      <c r="Q114" s="27"/>
      <c r="R114" s="27"/>
      <c r="S114" s="27"/>
      <c r="T114" s="27" t="n">
        <v>59475</v>
      </c>
      <c r="U114" s="27" t="n">
        <v>4875</v>
      </c>
      <c r="V114" s="27" t="n">
        <v>56</v>
      </c>
      <c r="W114" s="27" t="n">
        <v>36856</v>
      </c>
      <c r="X114" s="27" t="n">
        <v>5609</v>
      </c>
      <c r="Y114" s="27" t="n">
        <v>816</v>
      </c>
      <c r="Z114" s="27"/>
      <c r="AA114" s="10" t="str">
        <f aca="false">IFERROR(INDEX(設定!$E$61:$E$106,MATCH(B114,設定!$B$61:$B$106,0)),"合算")</f>
        <v>合算</v>
      </c>
      <c r="AB114" s="28"/>
      <c r="AC114" s="29" t="n">
        <f aca="false">IF(OR(G114="",G114="なし"),"",IF(AA114="合算",CJ114+N(Z114),IF(AA114="掛金・負担金別",(AY114+AZ114+BD114+BF114+BH114),SUM(AY114:BC114))))</f>
        <v>107687</v>
      </c>
      <c r="AD114" s="27"/>
      <c r="AE114" s="29" t="str">
        <f aca="false">IF(OR(G114="",G114="なし"),"",IF(AA114="掛金・負担金別",(BA114+BB114+BC114+BE114+BG114+BI114+N(Z114)),IF(AA114="経理区分別",BD114+BE114,"")))</f>
        <v/>
      </c>
      <c r="AF114" s="27"/>
      <c r="AG114" s="29" t="str">
        <f aca="false">IF(OR(G114="",G114="なし"),"",IF(AA114="経理区分別",BF114+BG114,""))</f>
        <v/>
      </c>
      <c r="AH114" s="27"/>
      <c r="AI114" s="29" t="str">
        <f aca="false">IF(OR(G114="",G114="なし"),"",IF(AA114="経理区分別",BH114+BI114+N(Z114),""))</f>
        <v/>
      </c>
      <c r="AJ114" s="27"/>
      <c r="AK114" s="26" t="s">
        <v>168</v>
      </c>
      <c r="AL114" s="26"/>
      <c r="AM114" s="30"/>
      <c r="AN114" s="31"/>
      <c r="AO114" s="31"/>
      <c r="AP114" s="31"/>
      <c r="AQ114" s="31"/>
      <c r="AR114" s="31"/>
      <c r="AS114" s="31"/>
      <c r="AT114" s="31"/>
      <c r="AU114" s="31"/>
      <c r="AV114" s="31"/>
      <c r="AW114" s="31"/>
      <c r="AX114" s="31"/>
      <c r="AY114" s="31" t="n">
        <f aca="false">IF($G114="",AN114,O114)</f>
        <v>0</v>
      </c>
      <c r="AZ114" s="31" t="n">
        <f aca="false">IF($G114="",AO114,P114)</f>
        <v>0</v>
      </c>
      <c r="BA114" s="31" t="n">
        <f aca="false">IF($G114="",AP114,T114)</f>
        <v>59475</v>
      </c>
      <c r="BB114" s="31" t="n">
        <f aca="false">IF($G114="",AQ114,U114)</f>
        <v>4875</v>
      </c>
      <c r="BC114" s="31" t="n">
        <f aca="false">IF($G114="",AR114,V114)</f>
        <v>56</v>
      </c>
      <c r="BD114" s="31" t="n">
        <f aca="false">IF($G114="",AS114,Q114)</f>
        <v>0</v>
      </c>
      <c r="BE114" s="31" t="n">
        <f aca="false">IF($G114="",AT114,W114)</f>
        <v>36856</v>
      </c>
      <c r="BF114" s="31" t="n">
        <f aca="false">IF($G114="",AU114,R114)</f>
        <v>0</v>
      </c>
      <c r="BG114" s="31" t="n">
        <f aca="false">IF($G114="",AV114,X114)</f>
        <v>5609</v>
      </c>
      <c r="BH114" s="31" t="n">
        <f aca="false">IF($G114="",AW114,S114)</f>
        <v>0</v>
      </c>
      <c r="BI114" s="31" t="n">
        <f aca="false">IF($G114="",AX114,Y114)</f>
        <v>816</v>
      </c>
      <c r="BJ114" s="31" t="n">
        <f aca="false">IF(CK114="N",BR114,ROUNDDOWN((I114-L114)*設定!$B$10/1000,0)+ROUNDDOWN((I114-L114)*設定!$B$11/1000,0))</f>
        <v>0</v>
      </c>
      <c r="BK114" s="31" t="n">
        <f aca="false">ROUNDDOWN((I114-L114)*設定!$C$10/1000,0)+ROUNDDOWN((I114-L114)*設定!$C$11/1000,0)+ROUNDDOWN(I114*設定!$C$12/1000,0)+IF(CL114="市局型",ROUNDDOWN(I114*設定!$C$16/1000,0),0)</f>
        <v>0</v>
      </c>
      <c r="BL114" s="31" t="n">
        <f aca="false">IF(CK114="N",BT114,ROUNDDOWN((J114-M114)*設定!$B$13/1000,0))</f>
        <v>0</v>
      </c>
      <c r="BM114" s="31" t="n">
        <f aca="false">ROUNDDOWN((J114-M114)*設定!$C$13/1000,0)+IF(CL114="市局型",ROUNDDOWN(J114*設定!$C$17/1000,0),0)</f>
        <v>0</v>
      </c>
      <c r="BN114" s="31" t="n">
        <f aca="false">IF(CK114="N",BV114,ROUNDDOWN((K114-N114)*設定!$B$14/1000,0))</f>
        <v>0</v>
      </c>
      <c r="BO114" s="31" t="n">
        <f aca="false">ROUNDDOWN((K114-N114)*設定!$C$14/1000,0)</f>
        <v>0</v>
      </c>
      <c r="BP114" s="31" t="n">
        <f aca="false">IF(CK114="N",BX114,ROUNDDOWN((J114-M114)*設定!$B$15/1000,0))</f>
        <v>0</v>
      </c>
      <c r="BQ114" s="31" t="n">
        <f aca="false">ROUNDDOWN((J114-M114)*設定!$C$15/1000,0)</f>
        <v>0</v>
      </c>
      <c r="BR114" s="31" t="n">
        <f aca="false">O114+P114</f>
        <v>0</v>
      </c>
      <c r="BS114" s="31" t="n">
        <f aca="false">T114+U114+V114</f>
        <v>64406</v>
      </c>
      <c r="BT114" s="31" t="n">
        <f aca="false">Q114</f>
        <v>0</v>
      </c>
      <c r="BU114" s="31" t="n">
        <f aca="false">W114</f>
        <v>36856</v>
      </c>
      <c r="BV114" s="31" t="n">
        <f aca="false">R114</f>
        <v>0</v>
      </c>
      <c r="BW114" s="31" t="n">
        <f aca="false">X114</f>
        <v>5609</v>
      </c>
      <c r="BX114" s="31" t="n">
        <f aca="false">S114</f>
        <v>0</v>
      </c>
      <c r="BY114" s="31" t="n">
        <f aca="false">Y114</f>
        <v>816</v>
      </c>
      <c r="BZ114" s="32" t="n">
        <f aca="false">IF(BJ114=0,IF(BR114=0,0,1),(BR114-BJ114)/BJ114)</f>
        <v>0</v>
      </c>
      <c r="CA114" s="32" t="n">
        <f aca="false">IF(BK114=0,IF(BS114=0,0,1),(BS114-BK114)/BK114)</f>
        <v>1</v>
      </c>
      <c r="CB114" s="32" t="n">
        <f aca="false">IF(BL114=0,IF(BT114=0,0,1),(BT114-BL114)/BL114)</f>
        <v>0</v>
      </c>
      <c r="CC114" s="32" t="n">
        <f aca="false">IF(BM114=0,IF(BU114=0,0,1),(BU114-BM114)/BM114)</f>
        <v>1</v>
      </c>
      <c r="CD114" s="32" t="n">
        <f aca="false">IF(BN114=0,IF(BV114=0,0,1),(BV114-BN114)/BN114)</f>
        <v>0</v>
      </c>
      <c r="CE114" s="32" t="n">
        <f aca="false">IF(BO114=0,IF(BW114=0,0,1),(BW114-BO114)/BO114)</f>
        <v>1</v>
      </c>
      <c r="CF114" s="32" t="n">
        <f aca="false">IF(BP114=0,IF(BX114=0,0,1),(BX114-BP114)/BP114)</f>
        <v>0</v>
      </c>
      <c r="CG114" s="32" t="n">
        <f aca="false">IF(BQ114=0,IF(BY114=0,0,1),(BY114-BQ114)/BQ114)</f>
        <v>1</v>
      </c>
      <c r="CH114" s="32" t="n">
        <f aca="false">MAX(MAX(BZ114:CG114),-MIN(BZ114:CG114))</f>
        <v>1</v>
      </c>
      <c r="CI114" s="31" t="n">
        <f aca="false">IF(CO114="","",SUMIFS($CJ$7:$CJ$696,$A$7:$A$696,CO114,$B$7:$B$696,B114))</f>
        <v>107687</v>
      </c>
      <c r="CJ114" s="31" t="n">
        <f aca="false">SUM(AY114:BI114)</f>
        <v>107687</v>
      </c>
      <c r="CK114" s="31" t="str">
        <f aca="false">IFERROR(INDEX(設定!$F$61:$F$106,MATCH(B114,設定!$B$61:$B$106,0)),"Y")</f>
        <v>N</v>
      </c>
      <c r="CL114" s="31" t="str">
        <f aca="false">IFERROR(INDEX(設定!$G$61:$G$106,MATCH(B114,設定!$B$61:$B$106,0)),"外郭型")</f>
        <v>外郭型</v>
      </c>
      <c r="CM114" s="33" t="str">
        <f aca="false">A114&amp;"|"&amp;B114</f>
        <v>2026-06 月例|原爆障害対策協議会</v>
      </c>
      <c r="CN114" s="34" t="str">
        <f aca="false">IFERROR(INDEX(設定!$D$61:$D$106,MATCH(B114,設定!$B$61:$B$106,0)),"Y")</f>
        <v>Y</v>
      </c>
      <c r="CO114" s="34" t="str">
        <f aca="false">IFERROR(INDEX(設定!$D$20:$D$34,MATCH(A114,設定!$A$20:$A$34,0))&amp;"","")</f>
        <v>2026-05 月例</v>
      </c>
    </row>
    <row r="115" customFormat="false" ht="15" hidden="true" customHeight="false" outlineLevel="0" collapsed="false">
      <c r="A115" s="22" t="s">
        <v>217</v>
      </c>
      <c r="B115" s="23" t="s">
        <v>185</v>
      </c>
      <c r="C115" s="10" t="str">
        <f aca="false">IF(G115="","未受領",IF(G115="なし","報告なし",IF(AL115="○","起票済",IF(OR(AK115="○",F115="一致",F115="入金不要"),"入金確認済","受領済"))))</f>
        <v>入金確認済</v>
      </c>
      <c r="D115" s="10" t="str">
        <f aca="false">IF(OR(G115="",G115="なし"),"―",IF(CN115="N","対象外",IF(AND(I115="",J115="",K115=""),"標報未入力",IF(CH115&gt;=設定!$B$4,"要確認","問題なし"))))</f>
        <v>標報未入力</v>
      </c>
      <c r="E115" s="24" t="str">
        <f aca="false">IF(OR(G115="",G115="なし",CI115="",CJ115=0),"―",IF(CJ115=CI115,"前月同額",IF(CI115=0,"―",IF(ABS(CJ115/CI115-1)&gt;=設定!$B$5,"変動大 "&amp;TEXT(CJ115/CI115-1,"+0%;-0%"),"〇"))))</f>
        <v>変動大 -12%</v>
      </c>
      <c r="F115" s="10" t="str">
        <f aca="false">IF(OR(G115="",G115="なし"),"―",IF(CJ115=0,"入金不要",IF(COUNT(AD115,AF115,AH115,AJ115)=0,IF(AK115="○","手動確認","未入金"),IF(AND(N(AD115)=AC115,IF(AE115="",TRUE(),N(AF115)=AE115),IF(AG115="",TRUE(),N(AH115)=AG115),IF(AI115="",TRUE(),N(AJ115)=AI115)),"一致","不一致"))))</f>
        <v>手動確認</v>
      </c>
      <c r="G115" s="25" t="s">
        <v>167</v>
      </c>
      <c r="H115" s="26"/>
      <c r="I115" s="27"/>
      <c r="J115" s="27"/>
      <c r="K115" s="27"/>
      <c r="L115" s="27"/>
      <c r="M115" s="27"/>
      <c r="N115" s="27"/>
      <c r="O115" s="27"/>
      <c r="P115" s="27"/>
      <c r="Q115" s="27"/>
      <c r="R115" s="27"/>
      <c r="S115" s="27"/>
      <c r="T115" s="27" t="n">
        <v>368745</v>
      </c>
      <c r="U115" s="27" t="n">
        <v>30225</v>
      </c>
      <c r="V115" s="27" t="n">
        <v>395</v>
      </c>
      <c r="W115" s="27" t="n">
        <v>209223</v>
      </c>
      <c r="X115" s="27" t="n">
        <v>26781</v>
      </c>
      <c r="Y115" s="27" t="n">
        <v>4634</v>
      </c>
      <c r="Z115" s="27"/>
      <c r="AA115" s="10" t="str">
        <f aca="false">IFERROR(INDEX(設定!$E$61:$E$106,MATCH(B115,設定!$B$61:$B$106,0)),"合算")</f>
        <v>合算</v>
      </c>
      <c r="AB115" s="28"/>
      <c r="AC115" s="29" t="n">
        <f aca="false">IF(OR(G115="",G115="なし"),"",IF(AA115="合算",CJ115+N(Z115),IF(AA115="掛金・負担金別",(AY115+AZ115+BD115+BF115+BH115),SUM(AY115:BC115))))</f>
        <v>640003</v>
      </c>
      <c r="AD115" s="27"/>
      <c r="AE115" s="29" t="str">
        <f aca="false">IF(OR(G115="",G115="なし"),"",IF(AA115="掛金・負担金別",(BA115+BB115+BC115+BE115+BG115+BI115+N(Z115)),IF(AA115="経理区分別",BD115+BE115,"")))</f>
        <v/>
      </c>
      <c r="AF115" s="27"/>
      <c r="AG115" s="29" t="str">
        <f aca="false">IF(OR(G115="",G115="なし"),"",IF(AA115="経理区分別",BF115+BG115,""))</f>
        <v/>
      </c>
      <c r="AH115" s="27"/>
      <c r="AI115" s="29" t="str">
        <f aca="false">IF(OR(G115="",G115="なし"),"",IF(AA115="経理区分別",BH115+BI115+N(Z115),""))</f>
        <v/>
      </c>
      <c r="AJ115" s="27"/>
      <c r="AK115" s="26" t="s">
        <v>168</v>
      </c>
      <c r="AL115" s="26"/>
      <c r="AM115" s="30"/>
      <c r="AN115" s="31"/>
      <c r="AO115" s="31"/>
      <c r="AP115" s="31"/>
      <c r="AQ115" s="31"/>
      <c r="AR115" s="31"/>
      <c r="AS115" s="31"/>
      <c r="AT115" s="31"/>
      <c r="AU115" s="31"/>
      <c r="AV115" s="31"/>
      <c r="AW115" s="31"/>
      <c r="AX115" s="31"/>
      <c r="AY115" s="31" t="n">
        <f aca="false">IF($G115="",AN115,O115)</f>
        <v>0</v>
      </c>
      <c r="AZ115" s="31" t="n">
        <f aca="false">IF($G115="",AO115,P115)</f>
        <v>0</v>
      </c>
      <c r="BA115" s="31" t="n">
        <f aca="false">IF($G115="",AP115,T115)</f>
        <v>368745</v>
      </c>
      <c r="BB115" s="31" t="n">
        <f aca="false">IF($G115="",AQ115,U115)</f>
        <v>30225</v>
      </c>
      <c r="BC115" s="31" t="n">
        <f aca="false">IF($G115="",AR115,V115)</f>
        <v>395</v>
      </c>
      <c r="BD115" s="31" t="n">
        <f aca="false">IF($G115="",AS115,Q115)</f>
        <v>0</v>
      </c>
      <c r="BE115" s="31" t="n">
        <f aca="false">IF($G115="",AT115,W115)</f>
        <v>209223</v>
      </c>
      <c r="BF115" s="31" t="n">
        <f aca="false">IF($G115="",AU115,R115)</f>
        <v>0</v>
      </c>
      <c r="BG115" s="31" t="n">
        <f aca="false">IF($G115="",AV115,X115)</f>
        <v>26781</v>
      </c>
      <c r="BH115" s="31" t="n">
        <f aca="false">IF($G115="",AW115,S115)</f>
        <v>0</v>
      </c>
      <c r="BI115" s="31" t="n">
        <f aca="false">IF($G115="",AX115,Y115)</f>
        <v>4634</v>
      </c>
      <c r="BJ115" s="31" t="n">
        <f aca="false">IF(CK115="N",BR115,ROUNDDOWN((I115-L115)*設定!$B$10/1000,0)+ROUNDDOWN((I115-L115)*設定!$B$11/1000,0))</f>
        <v>0</v>
      </c>
      <c r="BK115" s="31" t="n">
        <f aca="false">ROUNDDOWN((I115-L115)*設定!$C$10/1000,0)+ROUNDDOWN((I115-L115)*設定!$C$11/1000,0)+ROUNDDOWN(I115*設定!$C$12/1000,0)+IF(CL115="市局型",ROUNDDOWN(I115*設定!$C$16/1000,0),0)</f>
        <v>0</v>
      </c>
      <c r="BL115" s="31" t="n">
        <f aca="false">IF(CK115="N",BT115,ROUNDDOWN((J115-M115)*設定!$B$13/1000,0))</f>
        <v>0</v>
      </c>
      <c r="BM115" s="31" t="n">
        <f aca="false">ROUNDDOWN((J115-M115)*設定!$C$13/1000,0)+IF(CL115="市局型",ROUNDDOWN(J115*設定!$C$17/1000,0),0)</f>
        <v>0</v>
      </c>
      <c r="BN115" s="31" t="n">
        <f aca="false">IF(CK115="N",BV115,ROUNDDOWN((K115-N115)*設定!$B$14/1000,0))</f>
        <v>0</v>
      </c>
      <c r="BO115" s="31" t="n">
        <f aca="false">ROUNDDOWN((K115-N115)*設定!$C$14/1000,0)</f>
        <v>0</v>
      </c>
      <c r="BP115" s="31" t="n">
        <f aca="false">IF(CK115="N",BX115,ROUNDDOWN((J115-M115)*設定!$B$15/1000,0))</f>
        <v>0</v>
      </c>
      <c r="BQ115" s="31" t="n">
        <f aca="false">ROUNDDOWN((J115-M115)*設定!$C$15/1000,0)</f>
        <v>0</v>
      </c>
      <c r="BR115" s="31" t="n">
        <f aca="false">O115+P115</f>
        <v>0</v>
      </c>
      <c r="BS115" s="31" t="n">
        <f aca="false">T115+U115+V115</f>
        <v>399365</v>
      </c>
      <c r="BT115" s="31" t="n">
        <f aca="false">Q115</f>
        <v>0</v>
      </c>
      <c r="BU115" s="31" t="n">
        <f aca="false">W115</f>
        <v>209223</v>
      </c>
      <c r="BV115" s="31" t="n">
        <f aca="false">R115</f>
        <v>0</v>
      </c>
      <c r="BW115" s="31" t="n">
        <f aca="false">X115</f>
        <v>26781</v>
      </c>
      <c r="BX115" s="31" t="n">
        <f aca="false">S115</f>
        <v>0</v>
      </c>
      <c r="BY115" s="31" t="n">
        <f aca="false">Y115</f>
        <v>4634</v>
      </c>
      <c r="BZ115" s="32" t="n">
        <f aca="false">IF(BJ115=0,IF(BR115=0,0,1),(BR115-BJ115)/BJ115)</f>
        <v>0</v>
      </c>
      <c r="CA115" s="32" t="n">
        <f aca="false">IF(BK115=0,IF(BS115=0,0,1),(BS115-BK115)/BK115)</f>
        <v>1</v>
      </c>
      <c r="CB115" s="32" t="n">
        <f aca="false">IF(BL115=0,IF(BT115=0,0,1),(BT115-BL115)/BL115)</f>
        <v>0</v>
      </c>
      <c r="CC115" s="32" t="n">
        <f aca="false">IF(BM115=0,IF(BU115=0,0,1),(BU115-BM115)/BM115)</f>
        <v>1</v>
      </c>
      <c r="CD115" s="32" t="n">
        <f aca="false">IF(BN115=0,IF(BV115=0,0,1),(BV115-BN115)/BN115)</f>
        <v>0</v>
      </c>
      <c r="CE115" s="32" t="n">
        <f aca="false">IF(BO115=0,IF(BW115=0,0,1),(BW115-BO115)/BO115)</f>
        <v>1</v>
      </c>
      <c r="CF115" s="32" t="n">
        <f aca="false">IF(BP115=0,IF(BX115=0,0,1),(BX115-BP115)/BP115)</f>
        <v>0</v>
      </c>
      <c r="CG115" s="32" t="n">
        <f aca="false">IF(BQ115=0,IF(BY115=0,0,1),(BY115-BQ115)/BQ115)</f>
        <v>1</v>
      </c>
      <c r="CH115" s="32" t="n">
        <f aca="false">MAX(MAX(BZ115:CG115),-MIN(BZ115:CG115))</f>
        <v>1</v>
      </c>
      <c r="CI115" s="31" t="n">
        <f aca="false">IF(CO115="","",SUMIFS($CJ$7:$CJ$696,$A$7:$A$696,CO115,$B$7:$B$696,B115))</f>
        <v>724754</v>
      </c>
      <c r="CJ115" s="31" t="n">
        <f aca="false">SUM(AY115:BI115)</f>
        <v>640003</v>
      </c>
      <c r="CK115" s="31" t="str">
        <f aca="false">IFERROR(INDEX(設定!$F$61:$F$106,MATCH(B115,設定!$B$61:$B$106,0)),"Y")</f>
        <v>N</v>
      </c>
      <c r="CL115" s="31" t="str">
        <f aca="false">IFERROR(INDEX(設定!$G$61:$G$106,MATCH(B115,設定!$B$61:$B$106,0)),"外郭型")</f>
        <v>外郭型</v>
      </c>
      <c r="CM115" s="33" t="str">
        <f aca="false">A115&amp;"|"&amp;B115</f>
        <v>2026-06 月例|産業振興センター</v>
      </c>
      <c r="CN115" s="34" t="str">
        <f aca="false">IFERROR(INDEX(設定!$D$61:$D$106,MATCH(B115,設定!$B$61:$B$106,0)),"Y")</f>
        <v>Y</v>
      </c>
      <c r="CO115" s="34" t="str">
        <f aca="false">IFERROR(INDEX(設定!$D$20:$D$34,MATCH(A115,設定!$A$20:$A$34,0))&amp;"","")</f>
        <v>2026-05 月例</v>
      </c>
    </row>
    <row r="116" customFormat="false" ht="15" hidden="true" customHeight="false" outlineLevel="0" collapsed="false">
      <c r="A116" s="22" t="s">
        <v>217</v>
      </c>
      <c r="B116" s="23" t="s">
        <v>186</v>
      </c>
      <c r="C116" s="10" t="str">
        <f aca="false">IF(G116="","未受領",IF(G116="なし","報告なし",IF(AL116="○","起票済",IF(OR(AK116="○",F116="一致",F116="入金不要"),"入金確認済","受領済"))))</f>
        <v>入金確認済</v>
      </c>
      <c r="D116" s="10" t="str">
        <f aca="false">IF(OR(G116="",G116="なし"),"―",IF(CN116="N","対象外",IF(AND(I116="",J116="",K116=""),"標報未入力",IF(CH116&gt;=設定!$B$4,"要確認","問題なし"))))</f>
        <v>標報未入力</v>
      </c>
      <c r="E116" s="24" t="str">
        <f aca="false">IF(OR(G116="",G116="なし",CI116="",CJ116=0),"―",IF(CJ116=CI116,"前月同額",IF(CI116=0,"―",IF(ABS(CJ116/CI116-1)&gt;=設定!$B$5,"変動大 "&amp;TEXT(CJ116/CI116-1,"+0%;-0%"),"〇"))))</f>
        <v>前月同額</v>
      </c>
      <c r="F116" s="10" t="str">
        <f aca="false">IF(OR(G116="",G116="なし"),"―",IF(CJ116=0,"入金不要",IF(COUNT(AD116,AF116,AH116,AJ116)=0,IF(AK116="○","手動確認","未入金"),IF(AND(N(AD116)=AC116,IF(AE116="",TRUE(),N(AF116)=AE116),IF(AG116="",TRUE(),N(AH116)=AG116),IF(AI116="",TRUE(),N(AJ116)=AI116)),"一致","不一致"))))</f>
        <v>手動確認</v>
      </c>
      <c r="G116" s="25" t="s">
        <v>167</v>
      </c>
      <c r="H116" s="26"/>
      <c r="I116" s="27"/>
      <c r="J116" s="27"/>
      <c r="K116" s="27"/>
      <c r="L116" s="27"/>
      <c r="M116" s="27"/>
      <c r="N116" s="27"/>
      <c r="O116" s="27"/>
      <c r="P116" s="27"/>
      <c r="Q116" s="27"/>
      <c r="R116" s="27"/>
      <c r="S116" s="27"/>
      <c r="T116" s="27" t="n">
        <v>40260</v>
      </c>
      <c r="U116" s="27" t="n">
        <v>3300</v>
      </c>
      <c r="V116" s="27" t="n">
        <v>38</v>
      </c>
      <c r="W116" s="27" t="n">
        <v>22840</v>
      </c>
      <c r="X116" s="27" t="n">
        <v>3476</v>
      </c>
      <c r="Y116" s="27" t="n">
        <v>506</v>
      </c>
      <c r="Z116" s="27"/>
      <c r="AA116" s="10" t="str">
        <f aca="false">IFERROR(INDEX(設定!$E$61:$E$106,MATCH(B116,設定!$B$61:$B$106,0)),"合算")</f>
        <v>合算</v>
      </c>
      <c r="AB116" s="28"/>
      <c r="AC116" s="29" t="n">
        <f aca="false">IF(OR(G116="",G116="なし"),"",IF(AA116="合算",CJ116+N(Z116),IF(AA116="掛金・負担金別",(AY116+AZ116+BD116+BF116+BH116),SUM(AY116:BC116))))</f>
        <v>70420</v>
      </c>
      <c r="AD116" s="27"/>
      <c r="AE116" s="29" t="str">
        <f aca="false">IF(OR(G116="",G116="なし"),"",IF(AA116="掛金・負担金別",(BA116+BB116+BC116+BE116+BG116+BI116+N(Z116)),IF(AA116="経理区分別",BD116+BE116,"")))</f>
        <v/>
      </c>
      <c r="AF116" s="27"/>
      <c r="AG116" s="29" t="str">
        <f aca="false">IF(OR(G116="",G116="なし"),"",IF(AA116="経理区分別",BF116+BG116,""))</f>
        <v/>
      </c>
      <c r="AH116" s="27"/>
      <c r="AI116" s="29" t="str">
        <f aca="false">IF(OR(G116="",G116="なし"),"",IF(AA116="経理区分別",BH116+BI116+N(Z116),""))</f>
        <v/>
      </c>
      <c r="AJ116" s="27"/>
      <c r="AK116" s="26" t="s">
        <v>168</v>
      </c>
      <c r="AL116" s="26"/>
      <c r="AM116" s="30"/>
      <c r="AN116" s="31"/>
      <c r="AO116" s="31"/>
      <c r="AP116" s="31"/>
      <c r="AQ116" s="31"/>
      <c r="AR116" s="31"/>
      <c r="AS116" s="31"/>
      <c r="AT116" s="31"/>
      <c r="AU116" s="31"/>
      <c r="AV116" s="31"/>
      <c r="AW116" s="31"/>
      <c r="AX116" s="31"/>
      <c r="AY116" s="31" t="n">
        <f aca="false">IF($G116="",AN116,O116)</f>
        <v>0</v>
      </c>
      <c r="AZ116" s="31" t="n">
        <f aca="false">IF($G116="",AO116,P116)</f>
        <v>0</v>
      </c>
      <c r="BA116" s="31" t="n">
        <f aca="false">IF($G116="",AP116,T116)</f>
        <v>40260</v>
      </c>
      <c r="BB116" s="31" t="n">
        <f aca="false">IF($G116="",AQ116,U116)</f>
        <v>3300</v>
      </c>
      <c r="BC116" s="31" t="n">
        <f aca="false">IF($G116="",AR116,V116)</f>
        <v>38</v>
      </c>
      <c r="BD116" s="31" t="n">
        <f aca="false">IF($G116="",AS116,Q116)</f>
        <v>0</v>
      </c>
      <c r="BE116" s="31" t="n">
        <f aca="false">IF($G116="",AT116,W116)</f>
        <v>22840</v>
      </c>
      <c r="BF116" s="31" t="n">
        <f aca="false">IF($G116="",AU116,R116)</f>
        <v>0</v>
      </c>
      <c r="BG116" s="31" t="n">
        <f aca="false">IF($G116="",AV116,X116)</f>
        <v>3476</v>
      </c>
      <c r="BH116" s="31" t="n">
        <f aca="false">IF($G116="",AW116,S116)</f>
        <v>0</v>
      </c>
      <c r="BI116" s="31" t="n">
        <f aca="false">IF($G116="",AX116,Y116)</f>
        <v>506</v>
      </c>
      <c r="BJ116" s="31" t="n">
        <f aca="false">IF(CK116="N",BR116,ROUNDDOWN((I116-L116)*設定!$B$10/1000,0)+ROUNDDOWN((I116-L116)*設定!$B$11/1000,0))</f>
        <v>0</v>
      </c>
      <c r="BK116" s="31" t="n">
        <f aca="false">ROUNDDOWN((I116-L116)*設定!$C$10/1000,0)+ROUNDDOWN((I116-L116)*設定!$C$11/1000,0)+ROUNDDOWN(I116*設定!$C$12/1000,0)+IF(CL116="市局型",ROUNDDOWN(I116*設定!$C$16/1000,0),0)</f>
        <v>0</v>
      </c>
      <c r="BL116" s="31" t="n">
        <f aca="false">IF(CK116="N",BT116,ROUNDDOWN((J116-M116)*設定!$B$13/1000,0))</f>
        <v>0</v>
      </c>
      <c r="BM116" s="31" t="n">
        <f aca="false">ROUNDDOWN((J116-M116)*設定!$C$13/1000,0)+IF(CL116="市局型",ROUNDDOWN(J116*設定!$C$17/1000,0),0)</f>
        <v>0</v>
      </c>
      <c r="BN116" s="31" t="n">
        <f aca="false">IF(CK116="N",BV116,ROUNDDOWN((K116-N116)*設定!$B$14/1000,0))</f>
        <v>0</v>
      </c>
      <c r="BO116" s="31" t="n">
        <f aca="false">ROUNDDOWN((K116-N116)*設定!$C$14/1000,0)</f>
        <v>0</v>
      </c>
      <c r="BP116" s="31" t="n">
        <f aca="false">IF(CK116="N",BX116,ROUNDDOWN((J116-M116)*設定!$B$15/1000,0))</f>
        <v>0</v>
      </c>
      <c r="BQ116" s="31" t="n">
        <f aca="false">ROUNDDOWN((J116-M116)*設定!$C$15/1000,0)</f>
        <v>0</v>
      </c>
      <c r="BR116" s="31" t="n">
        <f aca="false">O116+P116</f>
        <v>0</v>
      </c>
      <c r="BS116" s="31" t="n">
        <f aca="false">T116+U116+V116</f>
        <v>43598</v>
      </c>
      <c r="BT116" s="31" t="n">
        <f aca="false">Q116</f>
        <v>0</v>
      </c>
      <c r="BU116" s="31" t="n">
        <f aca="false">W116</f>
        <v>22840</v>
      </c>
      <c r="BV116" s="31" t="n">
        <f aca="false">R116</f>
        <v>0</v>
      </c>
      <c r="BW116" s="31" t="n">
        <f aca="false">X116</f>
        <v>3476</v>
      </c>
      <c r="BX116" s="31" t="n">
        <f aca="false">S116</f>
        <v>0</v>
      </c>
      <c r="BY116" s="31" t="n">
        <f aca="false">Y116</f>
        <v>506</v>
      </c>
      <c r="BZ116" s="32" t="n">
        <f aca="false">IF(BJ116=0,IF(BR116=0,0,1),(BR116-BJ116)/BJ116)</f>
        <v>0</v>
      </c>
      <c r="CA116" s="32" t="n">
        <f aca="false">IF(BK116=0,IF(BS116=0,0,1),(BS116-BK116)/BK116)</f>
        <v>1</v>
      </c>
      <c r="CB116" s="32" t="n">
        <f aca="false">IF(BL116=0,IF(BT116=0,0,1),(BT116-BL116)/BL116)</f>
        <v>0</v>
      </c>
      <c r="CC116" s="32" t="n">
        <f aca="false">IF(BM116=0,IF(BU116=0,0,1),(BU116-BM116)/BM116)</f>
        <v>1</v>
      </c>
      <c r="CD116" s="32" t="n">
        <f aca="false">IF(BN116=0,IF(BV116=0,0,1),(BV116-BN116)/BN116)</f>
        <v>0</v>
      </c>
      <c r="CE116" s="32" t="n">
        <f aca="false">IF(BO116=0,IF(BW116=0,0,1),(BW116-BO116)/BO116)</f>
        <v>1</v>
      </c>
      <c r="CF116" s="32" t="n">
        <f aca="false">IF(BP116=0,IF(BX116=0,0,1),(BX116-BP116)/BP116)</f>
        <v>0</v>
      </c>
      <c r="CG116" s="32" t="n">
        <f aca="false">IF(BQ116=0,IF(BY116=0,0,1),(BY116-BQ116)/BQ116)</f>
        <v>1</v>
      </c>
      <c r="CH116" s="32" t="n">
        <f aca="false">MAX(MAX(BZ116:CG116),-MIN(BZ116:CG116))</f>
        <v>1</v>
      </c>
      <c r="CI116" s="31" t="n">
        <f aca="false">IF(CO116="","",SUMIFS($CJ$7:$CJ$696,$A$7:$A$696,CO116,$B$7:$B$696,B116))</f>
        <v>70420</v>
      </c>
      <c r="CJ116" s="31" t="n">
        <f aca="false">SUM(AY116:BI116)</f>
        <v>70420</v>
      </c>
      <c r="CK116" s="31" t="str">
        <f aca="false">IFERROR(INDEX(設定!$F$61:$F$106,MATCH(B116,設定!$B$61:$B$106,0)),"Y")</f>
        <v>N</v>
      </c>
      <c r="CL116" s="31" t="str">
        <f aca="false">IFERROR(INDEX(設定!$G$61:$G$106,MATCH(B116,設定!$B$61:$B$106,0)),"外郭型")</f>
        <v>外郭型</v>
      </c>
      <c r="CM116" s="33" t="str">
        <f aca="false">A116&amp;"|"&amp;B116</f>
        <v>2026-06 月例|ひろしま産業振興</v>
      </c>
      <c r="CN116" s="34" t="str">
        <f aca="false">IFERROR(INDEX(設定!$D$61:$D$106,MATCH(B116,設定!$B$61:$B$106,0)),"Y")</f>
        <v>Y</v>
      </c>
      <c r="CO116" s="34" t="str">
        <f aca="false">IFERROR(INDEX(設定!$D$20:$D$34,MATCH(A116,設定!$A$20:$A$34,0))&amp;"","")</f>
        <v>2026-05 月例</v>
      </c>
    </row>
    <row r="117" customFormat="false" ht="15" hidden="true" customHeight="false" outlineLevel="0" collapsed="false">
      <c r="A117" s="22" t="s">
        <v>217</v>
      </c>
      <c r="B117" s="23" t="s">
        <v>187</v>
      </c>
      <c r="C117" s="10" t="str">
        <f aca="false">IF(G117="","未受領",IF(G117="なし","報告なし",IF(AL117="○","起票済",IF(OR(AK117="○",F117="一致",F117="入金不要"),"入金確認済","受領済"))))</f>
        <v>入金確認済</v>
      </c>
      <c r="D117" s="10" t="str">
        <f aca="false">IF(OR(G117="",G117="なし"),"―",IF(CN117="N","対象外",IF(AND(I117="",J117="",K117=""),"標報未入力",IF(CH117&gt;=設定!$B$4,"要確認","問題なし"))))</f>
        <v>標報未入力</v>
      </c>
      <c r="E117" s="24" t="str">
        <f aca="false">IF(OR(G117="",G117="なし",CI117="",CJ117=0),"―",IF(CJ117=CI117,"前月同額",IF(CI117=0,"―",IF(ABS(CJ117/CI117-1)&gt;=設定!$B$5,"変動大 "&amp;TEXT(CJ117/CI117-1,"+0%;-0%"),"〇"))))</f>
        <v>―</v>
      </c>
      <c r="F117" s="10" t="str">
        <f aca="false">IF(OR(G117="",G117="なし"),"―",IF(CJ117=0,"入金不要",IF(COUNT(AD117,AF117,AH117,AJ117)=0,IF(AK117="○","手動確認","未入金"),IF(AND(N(AD117)=AC117,IF(AE117="",TRUE(),N(AF117)=AE117),IF(AG117="",TRUE(),N(AH117)=AG117),IF(AI117="",TRUE(),N(AJ117)=AI117)),"一致","不一致"))))</f>
        <v>入金不要</v>
      </c>
      <c r="G117" s="25" t="s">
        <v>167</v>
      </c>
      <c r="H117" s="26"/>
      <c r="I117" s="27"/>
      <c r="J117" s="27"/>
      <c r="K117" s="27"/>
      <c r="L117" s="27"/>
      <c r="M117" s="27"/>
      <c r="N117" s="27"/>
      <c r="O117" s="27"/>
      <c r="P117" s="27"/>
      <c r="Q117" s="27"/>
      <c r="R117" s="27"/>
      <c r="S117" s="27"/>
      <c r="T117" s="27" t="n">
        <v>0</v>
      </c>
      <c r="U117" s="27" t="n">
        <v>0</v>
      </c>
      <c r="V117" s="27" t="n">
        <v>0</v>
      </c>
      <c r="W117" s="27" t="n">
        <v>0</v>
      </c>
      <c r="X117" s="27" t="n">
        <v>0</v>
      </c>
      <c r="Y117" s="27" t="n">
        <v>0</v>
      </c>
      <c r="Z117" s="27"/>
      <c r="AA117" s="10" t="str">
        <f aca="false">IFERROR(INDEX(設定!$E$61:$E$106,MATCH(B117,設定!$B$61:$B$106,0)),"合算")</f>
        <v>合算</v>
      </c>
      <c r="AB117" s="28"/>
      <c r="AC117" s="29" t="n">
        <f aca="false">IF(OR(G117="",G117="なし"),"",IF(AA117="合算",CJ117+N(Z117),IF(AA117="掛金・負担金別",(AY117+AZ117+BD117+BF117+BH117),SUM(AY117:BC117))))</f>
        <v>0</v>
      </c>
      <c r="AD117" s="27"/>
      <c r="AE117" s="29" t="str">
        <f aca="false">IF(OR(G117="",G117="なし"),"",IF(AA117="掛金・負担金別",(BA117+BB117+BC117+BE117+BG117+BI117+N(Z117)),IF(AA117="経理区分別",BD117+BE117,"")))</f>
        <v/>
      </c>
      <c r="AF117" s="27"/>
      <c r="AG117" s="29" t="str">
        <f aca="false">IF(OR(G117="",G117="なし"),"",IF(AA117="経理区分別",BF117+BG117,""))</f>
        <v/>
      </c>
      <c r="AH117" s="27"/>
      <c r="AI117" s="29" t="str">
        <f aca="false">IF(OR(G117="",G117="なし"),"",IF(AA117="経理区分別",BH117+BI117+N(Z117),""))</f>
        <v/>
      </c>
      <c r="AJ117" s="27"/>
      <c r="AK117" s="26" t="s">
        <v>168</v>
      </c>
      <c r="AL117" s="26"/>
      <c r="AM117" s="30"/>
      <c r="AN117" s="31"/>
      <c r="AO117" s="31"/>
      <c r="AP117" s="31"/>
      <c r="AQ117" s="31"/>
      <c r="AR117" s="31"/>
      <c r="AS117" s="31"/>
      <c r="AT117" s="31"/>
      <c r="AU117" s="31"/>
      <c r="AV117" s="31"/>
      <c r="AW117" s="31"/>
      <c r="AX117" s="31"/>
      <c r="AY117" s="31" t="n">
        <f aca="false">IF($G117="",AN117,O117)</f>
        <v>0</v>
      </c>
      <c r="AZ117" s="31" t="n">
        <f aca="false">IF($G117="",AO117,P117)</f>
        <v>0</v>
      </c>
      <c r="BA117" s="31" t="n">
        <f aca="false">IF($G117="",AP117,T117)</f>
        <v>0</v>
      </c>
      <c r="BB117" s="31" t="n">
        <f aca="false">IF($G117="",AQ117,U117)</f>
        <v>0</v>
      </c>
      <c r="BC117" s="31" t="n">
        <f aca="false">IF($G117="",AR117,V117)</f>
        <v>0</v>
      </c>
      <c r="BD117" s="31" t="n">
        <f aca="false">IF($G117="",AS117,Q117)</f>
        <v>0</v>
      </c>
      <c r="BE117" s="31" t="n">
        <f aca="false">IF($G117="",AT117,W117)</f>
        <v>0</v>
      </c>
      <c r="BF117" s="31" t="n">
        <f aca="false">IF($G117="",AU117,R117)</f>
        <v>0</v>
      </c>
      <c r="BG117" s="31" t="n">
        <f aca="false">IF($G117="",AV117,X117)</f>
        <v>0</v>
      </c>
      <c r="BH117" s="31" t="n">
        <f aca="false">IF($G117="",AW117,S117)</f>
        <v>0</v>
      </c>
      <c r="BI117" s="31" t="n">
        <f aca="false">IF($G117="",AX117,Y117)</f>
        <v>0</v>
      </c>
      <c r="BJ117" s="31" t="n">
        <f aca="false">IF(CK117="N",BR117,ROUNDDOWN((I117-L117)*設定!$B$10/1000,0)+ROUNDDOWN((I117-L117)*設定!$B$11/1000,0))</f>
        <v>0</v>
      </c>
      <c r="BK117" s="31" t="n">
        <f aca="false">ROUNDDOWN((I117-L117)*設定!$C$10/1000,0)+ROUNDDOWN((I117-L117)*設定!$C$11/1000,0)+ROUNDDOWN(I117*設定!$C$12/1000,0)+IF(CL117="市局型",ROUNDDOWN(I117*設定!$C$16/1000,0),0)</f>
        <v>0</v>
      </c>
      <c r="BL117" s="31" t="n">
        <f aca="false">IF(CK117="N",BT117,ROUNDDOWN((J117-M117)*設定!$B$13/1000,0))</f>
        <v>0</v>
      </c>
      <c r="BM117" s="31" t="n">
        <f aca="false">ROUNDDOWN((J117-M117)*設定!$C$13/1000,0)+IF(CL117="市局型",ROUNDDOWN(J117*設定!$C$17/1000,0),0)</f>
        <v>0</v>
      </c>
      <c r="BN117" s="31" t="n">
        <f aca="false">IF(CK117="N",BV117,ROUNDDOWN((K117-N117)*設定!$B$14/1000,0))</f>
        <v>0</v>
      </c>
      <c r="BO117" s="31" t="n">
        <f aca="false">ROUNDDOWN((K117-N117)*設定!$C$14/1000,0)</f>
        <v>0</v>
      </c>
      <c r="BP117" s="31" t="n">
        <f aca="false">IF(CK117="N",BX117,ROUNDDOWN((J117-M117)*設定!$B$15/1000,0))</f>
        <v>0</v>
      </c>
      <c r="BQ117" s="31" t="n">
        <f aca="false">ROUNDDOWN((J117-M117)*設定!$C$15/1000,0)</f>
        <v>0</v>
      </c>
      <c r="BR117" s="31" t="n">
        <f aca="false">O117+P117</f>
        <v>0</v>
      </c>
      <c r="BS117" s="31" t="n">
        <f aca="false">T117+U117+V117</f>
        <v>0</v>
      </c>
      <c r="BT117" s="31" t="n">
        <f aca="false">Q117</f>
        <v>0</v>
      </c>
      <c r="BU117" s="31" t="n">
        <f aca="false">W117</f>
        <v>0</v>
      </c>
      <c r="BV117" s="31" t="n">
        <f aca="false">R117</f>
        <v>0</v>
      </c>
      <c r="BW117" s="31" t="n">
        <f aca="false">X117</f>
        <v>0</v>
      </c>
      <c r="BX117" s="31" t="n">
        <f aca="false">S117</f>
        <v>0</v>
      </c>
      <c r="BY117" s="31" t="n">
        <f aca="false">Y117</f>
        <v>0</v>
      </c>
      <c r="BZ117" s="32" t="n">
        <f aca="false">IF(BJ117=0,IF(BR117=0,0,1),(BR117-BJ117)/BJ117)</f>
        <v>0</v>
      </c>
      <c r="CA117" s="32" t="n">
        <f aca="false">IF(BK117=0,IF(BS117=0,0,1),(BS117-BK117)/BK117)</f>
        <v>0</v>
      </c>
      <c r="CB117" s="32" t="n">
        <f aca="false">IF(BL117=0,IF(BT117=0,0,1),(BT117-BL117)/BL117)</f>
        <v>0</v>
      </c>
      <c r="CC117" s="32" t="n">
        <f aca="false">IF(BM117=0,IF(BU117=0,0,1),(BU117-BM117)/BM117)</f>
        <v>0</v>
      </c>
      <c r="CD117" s="32" t="n">
        <f aca="false">IF(BN117=0,IF(BV117=0,0,1),(BV117-BN117)/BN117)</f>
        <v>0</v>
      </c>
      <c r="CE117" s="32" t="n">
        <f aca="false">IF(BO117=0,IF(BW117=0,0,1),(BW117-BO117)/BO117)</f>
        <v>0</v>
      </c>
      <c r="CF117" s="32" t="n">
        <f aca="false">IF(BP117=0,IF(BX117=0,0,1),(BX117-BP117)/BP117)</f>
        <v>0</v>
      </c>
      <c r="CG117" s="32" t="n">
        <f aca="false">IF(BQ117=0,IF(BY117=0,0,1),(BY117-BQ117)/BQ117)</f>
        <v>0</v>
      </c>
      <c r="CH117" s="32" t="n">
        <f aca="false">MAX(MAX(BZ117:CG117),-MIN(BZ117:CG117))</f>
        <v>-0</v>
      </c>
      <c r="CI117" s="31" t="n">
        <f aca="false">IF(CO117="","",SUMIFS($CJ$7:$CJ$696,$A$7:$A$696,CO117,$B$7:$B$696,B117))</f>
        <v>0</v>
      </c>
      <c r="CJ117" s="31" t="n">
        <f aca="false">SUM(AY117:BI117)</f>
        <v>0</v>
      </c>
      <c r="CK117" s="31" t="str">
        <f aca="false">IFERROR(INDEX(設定!$F$61:$F$106,MATCH(B117,設定!$B$61:$B$106,0)),"Y")</f>
        <v>N</v>
      </c>
      <c r="CL117" s="31" t="str">
        <f aca="false">IFERROR(INDEX(設定!$G$61:$G$106,MATCH(B117,設定!$B$61:$B$106,0)),"外郭型")</f>
        <v>外郭型</v>
      </c>
      <c r="CM117" s="33" t="str">
        <f aca="false">A117&amp;"|"&amp;B117</f>
        <v>2026-06 月例|都市整備公社　市</v>
      </c>
      <c r="CN117" s="34" t="str">
        <f aca="false">IFERROR(INDEX(設定!$D$61:$D$106,MATCH(B117,設定!$B$61:$B$106,0)),"Y")</f>
        <v>Y</v>
      </c>
      <c r="CO117" s="34" t="str">
        <f aca="false">IFERROR(INDEX(設定!$D$20:$D$34,MATCH(A117,設定!$A$20:$A$34,0))&amp;"","")</f>
        <v>2026-05 月例</v>
      </c>
    </row>
    <row r="118" customFormat="false" ht="15" hidden="true" customHeight="false" outlineLevel="0" collapsed="false">
      <c r="A118" s="22" t="s">
        <v>217</v>
      </c>
      <c r="B118" s="23" t="s">
        <v>188</v>
      </c>
      <c r="C118" s="10" t="str">
        <f aca="false">IF(G118="","未受領",IF(G118="なし","報告なし",IF(AL118="○","起票済",IF(OR(AK118="○",F118="一致",F118="入金不要"),"入金確認済","受領済"))))</f>
        <v>入金確認済</v>
      </c>
      <c r="D118" s="10" t="str">
        <f aca="false">IF(OR(G118="",G118="なし"),"―",IF(CN118="N","対象外",IF(AND(I118="",J118="",K118=""),"標報未入力",IF(CH118&gt;=設定!$B$4,"要確認","問題なし"))))</f>
        <v>標報未入力</v>
      </c>
      <c r="E118" s="24" t="str">
        <f aca="false">IF(OR(G118="",G118="なし",CI118="",CJ118=0),"―",IF(CJ118=CI118,"前月同額",IF(CI118=0,"―",IF(ABS(CJ118/CI118-1)&gt;=設定!$B$5,"変動大 "&amp;TEXT(CJ118/CI118-1,"+0%;-0%"),"〇"))))</f>
        <v>前月同額</v>
      </c>
      <c r="F118" s="10" t="str">
        <f aca="false">IF(OR(G118="",G118="なし"),"―",IF(CJ118=0,"入金不要",IF(COUNT(AD118,AF118,AH118,AJ118)=0,IF(AK118="○","手動確認","未入金"),IF(AND(N(AD118)=AC118,IF(AE118="",TRUE(),N(AF118)=AE118),IF(AG118="",TRUE(),N(AH118)=AG118),IF(AI118="",TRUE(),N(AJ118)=AI118)),"一致","不一致"))))</f>
        <v>手動確認</v>
      </c>
      <c r="G118" s="25" t="s">
        <v>167</v>
      </c>
      <c r="H118" s="26"/>
      <c r="I118" s="27"/>
      <c r="J118" s="27"/>
      <c r="K118" s="27"/>
      <c r="L118" s="27"/>
      <c r="M118" s="27"/>
      <c r="N118" s="27"/>
      <c r="O118" s="27"/>
      <c r="P118" s="27"/>
      <c r="Q118" s="27"/>
      <c r="R118" s="27"/>
      <c r="S118" s="27"/>
      <c r="T118" s="27" t="n">
        <v>193065</v>
      </c>
      <c r="U118" s="27" t="n">
        <v>15825</v>
      </c>
      <c r="V118" s="27" t="n">
        <v>183</v>
      </c>
      <c r="W118" s="27" t="n">
        <v>109530</v>
      </c>
      <c r="X118" s="27" t="n">
        <v>12956</v>
      </c>
      <c r="Y118" s="27" t="n">
        <v>2426</v>
      </c>
      <c r="Z118" s="27"/>
      <c r="AA118" s="10" t="str">
        <f aca="false">IFERROR(INDEX(設定!$E$61:$E$106,MATCH(B118,設定!$B$61:$B$106,0)),"合算")</f>
        <v>合算</v>
      </c>
      <c r="AB118" s="28"/>
      <c r="AC118" s="29" t="n">
        <f aca="false">IF(OR(G118="",G118="なし"),"",IF(AA118="合算",CJ118+N(Z118),IF(AA118="掛金・負担金別",(AY118+AZ118+BD118+BF118+BH118),SUM(AY118:BC118))))</f>
        <v>333985</v>
      </c>
      <c r="AD118" s="27"/>
      <c r="AE118" s="29" t="str">
        <f aca="false">IF(OR(G118="",G118="なし"),"",IF(AA118="掛金・負担金別",(BA118+BB118+BC118+BE118+BG118+BI118+N(Z118)),IF(AA118="経理区分別",BD118+BE118,"")))</f>
        <v/>
      </c>
      <c r="AF118" s="27"/>
      <c r="AG118" s="29" t="str">
        <f aca="false">IF(OR(G118="",G118="なし"),"",IF(AA118="経理区分別",BF118+BG118,""))</f>
        <v/>
      </c>
      <c r="AH118" s="27"/>
      <c r="AI118" s="29" t="str">
        <f aca="false">IF(OR(G118="",G118="なし"),"",IF(AA118="経理区分別",BH118+BI118+N(Z118),""))</f>
        <v/>
      </c>
      <c r="AJ118" s="27"/>
      <c r="AK118" s="26" t="s">
        <v>168</v>
      </c>
      <c r="AL118" s="26"/>
      <c r="AM118" s="30"/>
      <c r="AN118" s="31"/>
      <c r="AO118" s="31"/>
      <c r="AP118" s="31"/>
      <c r="AQ118" s="31"/>
      <c r="AR118" s="31"/>
      <c r="AS118" s="31"/>
      <c r="AT118" s="31"/>
      <c r="AU118" s="31"/>
      <c r="AV118" s="31"/>
      <c r="AW118" s="31"/>
      <c r="AX118" s="31"/>
      <c r="AY118" s="31" t="n">
        <f aca="false">IF($G118="",AN118,O118)</f>
        <v>0</v>
      </c>
      <c r="AZ118" s="31" t="n">
        <f aca="false">IF($G118="",AO118,P118)</f>
        <v>0</v>
      </c>
      <c r="BA118" s="31" t="n">
        <f aca="false">IF($G118="",AP118,T118)</f>
        <v>193065</v>
      </c>
      <c r="BB118" s="31" t="n">
        <f aca="false">IF($G118="",AQ118,U118)</f>
        <v>15825</v>
      </c>
      <c r="BC118" s="31" t="n">
        <f aca="false">IF($G118="",AR118,V118)</f>
        <v>183</v>
      </c>
      <c r="BD118" s="31" t="n">
        <f aca="false">IF($G118="",AS118,Q118)</f>
        <v>0</v>
      </c>
      <c r="BE118" s="31" t="n">
        <f aca="false">IF($G118="",AT118,W118)</f>
        <v>109530</v>
      </c>
      <c r="BF118" s="31" t="n">
        <f aca="false">IF($G118="",AU118,R118)</f>
        <v>0</v>
      </c>
      <c r="BG118" s="31" t="n">
        <f aca="false">IF($G118="",AV118,X118)</f>
        <v>12956</v>
      </c>
      <c r="BH118" s="31" t="n">
        <f aca="false">IF($G118="",AW118,S118)</f>
        <v>0</v>
      </c>
      <c r="BI118" s="31" t="n">
        <f aca="false">IF($G118="",AX118,Y118)</f>
        <v>2426</v>
      </c>
      <c r="BJ118" s="31" t="n">
        <f aca="false">IF(CK118="N",BR118,ROUNDDOWN((I118-L118)*設定!$B$10/1000,0)+ROUNDDOWN((I118-L118)*設定!$B$11/1000,0))</f>
        <v>0</v>
      </c>
      <c r="BK118" s="31" t="n">
        <f aca="false">ROUNDDOWN((I118-L118)*設定!$C$10/1000,0)+ROUNDDOWN((I118-L118)*設定!$C$11/1000,0)+ROUNDDOWN(I118*設定!$C$12/1000,0)+IF(CL118="市局型",ROUNDDOWN(I118*設定!$C$16/1000,0),0)</f>
        <v>0</v>
      </c>
      <c r="BL118" s="31" t="n">
        <f aca="false">IF(CK118="N",BT118,ROUNDDOWN((J118-M118)*設定!$B$13/1000,0))</f>
        <v>0</v>
      </c>
      <c r="BM118" s="31" t="n">
        <f aca="false">ROUNDDOWN((J118-M118)*設定!$C$13/1000,0)+IF(CL118="市局型",ROUNDDOWN(J118*設定!$C$17/1000,0),0)</f>
        <v>0</v>
      </c>
      <c r="BN118" s="31" t="n">
        <f aca="false">IF(CK118="N",BV118,ROUNDDOWN((K118-N118)*設定!$B$14/1000,0))</f>
        <v>0</v>
      </c>
      <c r="BO118" s="31" t="n">
        <f aca="false">ROUNDDOWN((K118-N118)*設定!$C$14/1000,0)</f>
        <v>0</v>
      </c>
      <c r="BP118" s="31" t="n">
        <f aca="false">IF(CK118="N",BX118,ROUNDDOWN((J118-M118)*設定!$B$15/1000,0))</f>
        <v>0</v>
      </c>
      <c r="BQ118" s="31" t="n">
        <f aca="false">ROUNDDOWN((J118-M118)*設定!$C$15/1000,0)</f>
        <v>0</v>
      </c>
      <c r="BR118" s="31" t="n">
        <f aca="false">O118+P118</f>
        <v>0</v>
      </c>
      <c r="BS118" s="31" t="n">
        <f aca="false">T118+U118+V118</f>
        <v>209073</v>
      </c>
      <c r="BT118" s="31" t="n">
        <f aca="false">Q118</f>
        <v>0</v>
      </c>
      <c r="BU118" s="31" t="n">
        <f aca="false">W118</f>
        <v>109530</v>
      </c>
      <c r="BV118" s="31" t="n">
        <f aca="false">R118</f>
        <v>0</v>
      </c>
      <c r="BW118" s="31" t="n">
        <f aca="false">X118</f>
        <v>12956</v>
      </c>
      <c r="BX118" s="31" t="n">
        <f aca="false">S118</f>
        <v>0</v>
      </c>
      <c r="BY118" s="31" t="n">
        <f aca="false">Y118</f>
        <v>2426</v>
      </c>
      <c r="BZ118" s="32" t="n">
        <f aca="false">IF(BJ118=0,IF(BR118=0,0,1),(BR118-BJ118)/BJ118)</f>
        <v>0</v>
      </c>
      <c r="CA118" s="32" t="n">
        <f aca="false">IF(BK118=0,IF(BS118=0,0,1),(BS118-BK118)/BK118)</f>
        <v>1</v>
      </c>
      <c r="CB118" s="32" t="n">
        <f aca="false">IF(BL118=0,IF(BT118=0,0,1),(BT118-BL118)/BL118)</f>
        <v>0</v>
      </c>
      <c r="CC118" s="32" t="n">
        <f aca="false">IF(BM118=0,IF(BU118=0,0,1),(BU118-BM118)/BM118)</f>
        <v>1</v>
      </c>
      <c r="CD118" s="32" t="n">
        <f aca="false">IF(BN118=0,IF(BV118=0,0,1),(BV118-BN118)/BN118)</f>
        <v>0</v>
      </c>
      <c r="CE118" s="32" t="n">
        <f aca="false">IF(BO118=0,IF(BW118=0,0,1),(BW118-BO118)/BO118)</f>
        <v>1</v>
      </c>
      <c r="CF118" s="32" t="n">
        <f aca="false">IF(BP118=0,IF(BX118=0,0,1),(BX118-BP118)/BP118)</f>
        <v>0</v>
      </c>
      <c r="CG118" s="32" t="n">
        <f aca="false">IF(BQ118=0,IF(BY118=0,0,1),(BY118-BQ118)/BQ118)</f>
        <v>1</v>
      </c>
      <c r="CH118" s="32" t="n">
        <f aca="false">MAX(MAX(BZ118:CG118),-MIN(BZ118:CG118))</f>
        <v>1</v>
      </c>
      <c r="CI118" s="31" t="n">
        <f aca="false">IF(CO118="","",SUMIFS($CJ$7:$CJ$696,$A$7:$A$696,CO118,$B$7:$B$696,B118))</f>
        <v>333985</v>
      </c>
      <c r="CJ118" s="31" t="n">
        <f aca="false">SUM(AY118:BI118)</f>
        <v>333985</v>
      </c>
      <c r="CK118" s="31" t="str">
        <f aca="false">IFERROR(INDEX(設定!$F$61:$F$106,MATCH(B118,設定!$B$61:$B$106,0)),"Y")</f>
        <v>N</v>
      </c>
      <c r="CL118" s="31" t="str">
        <f aca="false">IFERROR(INDEX(設定!$G$61:$G$106,MATCH(B118,設定!$B$61:$B$106,0)),"外郭型")</f>
        <v>外郭型</v>
      </c>
      <c r="CM118" s="33" t="str">
        <f aca="false">A118&amp;"|"&amp;B118</f>
        <v>2026-06 月例|都市整備公社　消防</v>
      </c>
      <c r="CN118" s="34" t="str">
        <f aca="false">IFERROR(INDEX(設定!$D$61:$D$106,MATCH(B118,設定!$B$61:$B$106,0)),"Y")</f>
        <v>Y</v>
      </c>
      <c r="CO118" s="34" t="str">
        <f aca="false">IFERROR(INDEX(設定!$D$20:$D$34,MATCH(A118,設定!$A$20:$A$34,0))&amp;"","")</f>
        <v>2026-05 月例</v>
      </c>
    </row>
    <row r="119" customFormat="false" ht="15" hidden="true" customHeight="false" outlineLevel="0" collapsed="false">
      <c r="A119" s="22" t="s">
        <v>217</v>
      </c>
      <c r="B119" s="23" t="s">
        <v>189</v>
      </c>
      <c r="C119" s="10" t="str">
        <f aca="false">IF(G119="","未受領",IF(G119="なし","報告なし",IF(AL119="○","起票済",IF(OR(AK119="○",F119="一致",F119="入金不要"),"入金確認済","受領済"))))</f>
        <v>入金確認済</v>
      </c>
      <c r="D119" s="10" t="str">
        <f aca="false">IF(OR(G119="",G119="なし"),"―",IF(CN119="N","対象外",IF(AND(I119="",J119="",K119=""),"標報未入力",IF(CH119&gt;=設定!$B$4,"要確認","問題なし"))))</f>
        <v>標報未入力</v>
      </c>
      <c r="E119" s="24" t="str">
        <f aca="false">IF(OR(G119="",G119="なし",CI119="",CJ119=0),"―",IF(CJ119=CI119,"前月同額",IF(CI119=0,"―",IF(ABS(CJ119/CI119-1)&gt;=設定!$B$5,"変動大 "&amp;TEXT(CJ119/CI119-1,"+0%;-0%"),"〇"))))</f>
        <v>前月同額</v>
      </c>
      <c r="F119" s="10" t="str">
        <f aca="false">IF(OR(G119="",G119="なし"),"―",IF(CJ119=0,"入金不要",IF(COUNT(AD119,AF119,AH119,AJ119)=0,IF(AK119="○","手動確認","未入金"),IF(AND(N(AD119)=AC119,IF(AE119="",TRUE(),N(AF119)=AE119),IF(AG119="",TRUE(),N(AH119)=AG119),IF(AI119="",TRUE(),N(AJ119)=AI119)),"一致","不一致"))))</f>
        <v>手動確認</v>
      </c>
      <c r="G119" s="25" t="s">
        <v>167</v>
      </c>
      <c r="H119" s="26"/>
      <c r="I119" s="27"/>
      <c r="J119" s="27"/>
      <c r="K119" s="27"/>
      <c r="L119" s="27"/>
      <c r="M119" s="27"/>
      <c r="N119" s="27"/>
      <c r="O119" s="27" t="n">
        <v>237900</v>
      </c>
      <c r="P119" s="27" t="n">
        <v>19500</v>
      </c>
      <c r="Q119" s="27" t="n">
        <v>137945</v>
      </c>
      <c r="R119" s="27" t="n">
        <v>10744</v>
      </c>
      <c r="S119" s="27" t="n">
        <v>3058</v>
      </c>
      <c r="T119" s="27" t="n">
        <v>237900</v>
      </c>
      <c r="U119" s="27" t="n">
        <v>19500</v>
      </c>
      <c r="V119" s="27" t="n">
        <v>225</v>
      </c>
      <c r="W119" s="27" t="n">
        <v>138080</v>
      </c>
      <c r="X119" s="27" t="n">
        <v>10744</v>
      </c>
      <c r="Y119" s="27" t="n">
        <v>3059</v>
      </c>
      <c r="Z119" s="27"/>
      <c r="AA119" s="10" t="str">
        <f aca="false">IFERROR(INDEX(設定!$E$61:$E$106,MATCH(B119,設定!$B$61:$B$106,0)),"合算")</f>
        <v>合算</v>
      </c>
      <c r="AB119" s="28"/>
      <c r="AC119" s="29" t="n">
        <f aca="false">IF(OR(G119="",G119="なし"),"",IF(AA119="合算",CJ119+N(Z119),IF(AA119="掛金・負担金別",(AY119+AZ119+BD119+BF119+BH119),SUM(AY119:BC119))))</f>
        <v>818655</v>
      </c>
      <c r="AD119" s="27"/>
      <c r="AE119" s="29" t="str">
        <f aca="false">IF(OR(G119="",G119="なし"),"",IF(AA119="掛金・負担金別",(BA119+BB119+BC119+BE119+BG119+BI119+N(Z119)),IF(AA119="経理区分別",BD119+BE119,"")))</f>
        <v/>
      </c>
      <c r="AF119" s="27"/>
      <c r="AG119" s="29" t="str">
        <f aca="false">IF(OR(G119="",G119="なし"),"",IF(AA119="経理区分別",BF119+BG119,""))</f>
        <v/>
      </c>
      <c r="AH119" s="27"/>
      <c r="AI119" s="29" t="str">
        <f aca="false">IF(OR(G119="",G119="なし"),"",IF(AA119="経理区分別",BH119+BI119+N(Z119),""))</f>
        <v/>
      </c>
      <c r="AJ119" s="27"/>
      <c r="AK119" s="26" t="s">
        <v>168</v>
      </c>
      <c r="AL119" s="26"/>
      <c r="AM119" s="30"/>
      <c r="AN119" s="31"/>
      <c r="AO119" s="31"/>
      <c r="AP119" s="31"/>
      <c r="AQ119" s="31"/>
      <c r="AR119" s="31"/>
      <c r="AS119" s="31"/>
      <c r="AT119" s="31"/>
      <c r="AU119" s="31"/>
      <c r="AV119" s="31"/>
      <c r="AW119" s="31"/>
      <c r="AX119" s="31"/>
      <c r="AY119" s="31" t="n">
        <f aca="false">IF($G119="",AN119,O119)</f>
        <v>237900</v>
      </c>
      <c r="AZ119" s="31" t="n">
        <f aca="false">IF($G119="",AO119,P119)</f>
        <v>19500</v>
      </c>
      <c r="BA119" s="31" t="n">
        <f aca="false">IF($G119="",AP119,T119)</f>
        <v>237900</v>
      </c>
      <c r="BB119" s="31" t="n">
        <f aca="false">IF($G119="",AQ119,U119)</f>
        <v>19500</v>
      </c>
      <c r="BC119" s="31" t="n">
        <f aca="false">IF($G119="",AR119,V119)</f>
        <v>225</v>
      </c>
      <c r="BD119" s="31" t="n">
        <f aca="false">IF($G119="",AS119,Q119)</f>
        <v>137945</v>
      </c>
      <c r="BE119" s="31" t="n">
        <f aca="false">IF($G119="",AT119,W119)</f>
        <v>138080</v>
      </c>
      <c r="BF119" s="31" t="n">
        <f aca="false">IF($G119="",AU119,R119)</f>
        <v>10744</v>
      </c>
      <c r="BG119" s="31" t="n">
        <f aca="false">IF($G119="",AV119,X119)</f>
        <v>10744</v>
      </c>
      <c r="BH119" s="31" t="n">
        <f aca="false">IF($G119="",AW119,S119)</f>
        <v>3058</v>
      </c>
      <c r="BI119" s="31" t="n">
        <f aca="false">IF($G119="",AX119,Y119)</f>
        <v>3059</v>
      </c>
      <c r="BJ119" s="31" t="n">
        <f aca="false">IF(CK119="N",BR119,ROUNDDOWN((I119-L119)*設定!$B$10/1000,0)+ROUNDDOWN((I119-L119)*設定!$B$11/1000,0))</f>
        <v>0</v>
      </c>
      <c r="BK119" s="31" t="n">
        <f aca="false">ROUNDDOWN((I119-L119)*設定!$C$10/1000,0)+ROUNDDOWN((I119-L119)*設定!$C$11/1000,0)+ROUNDDOWN(I119*設定!$C$12/1000,0)+IF(CL119="市局型",ROUNDDOWN(I119*設定!$C$16/1000,0),0)</f>
        <v>0</v>
      </c>
      <c r="BL119" s="31" t="n">
        <f aca="false">IF(CK119="N",BT119,ROUNDDOWN((J119-M119)*設定!$B$13/1000,0))</f>
        <v>0</v>
      </c>
      <c r="BM119" s="31" t="n">
        <f aca="false">ROUNDDOWN((J119-M119)*設定!$C$13/1000,0)+IF(CL119="市局型",ROUNDDOWN(J119*設定!$C$17/1000,0),0)</f>
        <v>0</v>
      </c>
      <c r="BN119" s="31" t="n">
        <f aca="false">IF(CK119="N",BV119,ROUNDDOWN((K119-N119)*設定!$B$14/1000,0))</f>
        <v>0</v>
      </c>
      <c r="BO119" s="31" t="n">
        <f aca="false">ROUNDDOWN((K119-N119)*設定!$C$14/1000,0)</f>
        <v>0</v>
      </c>
      <c r="BP119" s="31" t="n">
        <f aca="false">IF(CK119="N",BX119,ROUNDDOWN((J119-M119)*設定!$B$15/1000,0))</f>
        <v>0</v>
      </c>
      <c r="BQ119" s="31" t="n">
        <f aca="false">ROUNDDOWN((J119-M119)*設定!$C$15/1000,0)</f>
        <v>0</v>
      </c>
      <c r="BR119" s="31" t="n">
        <f aca="false">O119+P119</f>
        <v>257400</v>
      </c>
      <c r="BS119" s="31" t="n">
        <f aca="false">T119+U119+V119</f>
        <v>257625</v>
      </c>
      <c r="BT119" s="31" t="n">
        <f aca="false">Q119</f>
        <v>137945</v>
      </c>
      <c r="BU119" s="31" t="n">
        <f aca="false">W119</f>
        <v>138080</v>
      </c>
      <c r="BV119" s="31" t="n">
        <f aca="false">R119</f>
        <v>10744</v>
      </c>
      <c r="BW119" s="31" t="n">
        <f aca="false">X119</f>
        <v>10744</v>
      </c>
      <c r="BX119" s="31" t="n">
        <f aca="false">S119</f>
        <v>3058</v>
      </c>
      <c r="BY119" s="31" t="n">
        <f aca="false">Y119</f>
        <v>3059</v>
      </c>
      <c r="BZ119" s="32" t="n">
        <f aca="false">IF(BJ119=0,IF(BR119=0,0,1),(BR119-BJ119)/BJ119)</f>
        <v>1</v>
      </c>
      <c r="CA119" s="32" t="n">
        <f aca="false">IF(BK119=0,IF(BS119=0,0,1),(BS119-BK119)/BK119)</f>
        <v>1</v>
      </c>
      <c r="CB119" s="32" t="n">
        <f aca="false">IF(BL119=0,IF(BT119=0,0,1),(BT119-BL119)/BL119)</f>
        <v>1</v>
      </c>
      <c r="CC119" s="32" t="n">
        <f aca="false">IF(BM119=0,IF(BU119=0,0,1),(BU119-BM119)/BM119)</f>
        <v>1</v>
      </c>
      <c r="CD119" s="32" t="n">
        <f aca="false">IF(BN119=0,IF(BV119=0,0,1),(BV119-BN119)/BN119)</f>
        <v>1</v>
      </c>
      <c r="CE119" s="32" t="n">
        <f aca="false">IF(BO119=0,IF(BW119=0,0,1),(BW119-BO119)/BO119)</f>
        <v>1</v>
      </c>
      <c r="CF119" s="32" t="n">
        <f aca="false">IF(BP119=0,IF(BX119=0,0,1),(BX119-BP119)/BP119)</f>
        <v>1</v>
      </c>
      <c r="CG119" s="32" t="n">
        <f aca="false">IF(BQ119=0,IF(BY119=0,0,1),(BY119-BQ119)/BQ119)</f>
        <v>1</v>
      </c>
      <c r="CH119" s="32" t="n">
        <f aca="false">MAX(MAX(BZ119:CG119),-MIN(BZ119:CG119))</f>
        <v>1</v>
      </c>
      <c r="CI119" s="31" t="n">
        <f aca="false">IF(CO119="","",SUMIFS($CJ$7:$CJ$696,$A$7:$A$696,CO119,$B$7:$B$696,B119))</f>
        <v>818655</v>
      </c>
      <c r="CJ119" s="31" t="n">
        <f aca="false">SUM(AY119:BI119)</f>
        <v>818655</v>
      </c>
      <c r="CK119" s="31" t="str">
        <f aca="false">IFERROR(INDEX(設定!$F$61:$F$106,MATCH(B119,設定!$B$61:$B$106,0)),"Y")</f>
        <v>Y</v>
      </c>
      <c r="CL119" s="31" t="str">
        <f aca="false">IFERROR(INDEX(設定!$G$61:$G$106,MATCH(B119,設定!$B$61:$B$106,0)),"外郭型")</f>
        <v>外郭型</v>
      </c>
      <c r="CM119" s="33" t="str">
        <f aca="false">A119&amp;"|"&amp;B119</f>
        <v>2026-06 月例|日本下水道事業団</v>
      </c>
      <c r="CN119" s="34" t="str">
        <f aca="false">IFERROR(INDEX(設定!$D$61:$D$106,MATCH(B119,設定!$B$61:$B$106,0)),"Y")</f>
        <v>Y</v>
      </c>
      <c r="CO119" s="34" t="str">
        <f aca="false">IFERROR(INDEX(設定!$D$20:$D$34,MATCH(A119,設定!$A$20:$A$34,0))&amp;"","")</f>
        <v>2026-05 月例</v>
      </c>
    </row>
    <row r="120" customFormat="false" ht="15" hidden="true" customHeight="false" outlineLevel="0" collapsed="false">
      <c r="A120" s="22" t="s">
        <v>217</v>
      </c>
      <c r="B120" s="23" t="s">
        <v>190</v>
      </c>
      <c r="C120" s="10" t="str">
        <f aca="false">IF(G120="","未受領",IF(G120="なし","報告なし",IF(AL120="○","起票済",IF(OR(AK120="○",F120="一致",F120="入金不要"),"入金確認済","受領済"))))</f>
        <v>入金確認済</v>
      </c>
      <c r="D120" s="10" t="str">
        <f aca="false">IF(OR(G120="",G120="なし"),"―",IF(CN120="N","対象外",IF(AND(I120="",J120="",K120=""),"標報未入力",IF(CH120&gt;=設定!$B$4,"要確認","問題なし"))))</f>
        <v>標報未入力</v>
      </c>
      <c r="E120" s="24" t="str">
        <f aca="false">IF(OR(G120="",G120="なし",CI120="",CJ120=0),"―",IF(CJ120=CI120,"前月同額",IF(CI120=0,"―",IF(ABS(CJ120/CI120-1)&gt;=設定!$B$5,"変動大 "&amp;TEXT(CJ120/CI120-1,"+0%;-0%"),"〇"))))</f>
        <v>前月同額</v>
      </c>
      <c r="F120" s="10" t="str">
        <f aca="false">IF(OR(G120="",G120="なし"),"―",IF(CJ120=0,"入金不要",IF(COUNT(AD120,AF120,AH120,AJ120)=0,IF(AK120="○","手動確認","未入金"),IF(AND(N(AD120)=AC120,IF(AE120="",TRUE(),N(AF120)=AE120),IF(AG120="",TRUE(),N(AH120)=AG120),IF(AI120="",TRUE(),N(AJ120)=AI120)),"一致","不一致"))))</f>
        <v>手動確認</v>
      </c>
      <c r="G120" s="25" t="s">
        <v>167</v>
      </c>
      <c r="H120" s="26"/>
      <c r="I120" s="27"/>
      <c r="J120" s="27"/>
      <c r="K120" s="27"/>
      <c r="L120" s="27"/>
      <c r="M120" s="27"/>
      <c r="N120" s="27"/>
      <c r="O120" s="27" t="n">
        <v>40260</v>
      </c>
      <c r="P120" s="27" t="n">
        <v>3300</v>
      </c>
      <c r="Q120" s="27" t="n">
        <v>22818</v>
      </c>
      <c r="R120" s="27" t="n">
        <v>0</v>
      </c>
      <c r="S120" s="27" t="n">
        <v>506</v>
      </c>
      <c r="T120" s="27" t="n">
        <v>40260</v>
      </c>
      <c r="U120" s="27" t="n">
        <v>3300</v>
      </c>
      <c r="V120" s="27" t="n">
        <v>38</v>
      </c>
      <c r="W120" s="27" t="n">
        <v>22840</v>
      </c>
      <c r="X120" s="27" t="n">
        <v>0</v>
      </c>
      <c r="Y120" s="27" t="n">
        <v>506</v>
      </c>
      <c r="Z120" s="27"/>
      <c r="AA120" s="10" t="str">
        <f aca="false">IFERROR(INDEX(設定!$E$61:$E$106,MATCH(B120,設定!$B$61:$B$106,0)),"合算")</f>
        <v>合算</v>
      </c>
      <c r="AB120" s="28"/>
      <c r="AC120" s="29" t="n">
        <f aca="false">IF(OR(G120="",G120="なし"),"",IF(AA120="合算",CJ120+N(Z120),IF(AA120="掛金・負担金別",(AY120+AZ120+BD120+BF120+BH120),SUM(AY120:BC120))))</f>
        <v>133828</v>
      </c>
      <c r="AD120" s="27"/>
      <c r="AE120" s="29" t="str">
        <f aca="false">IF(OR(G120="",G120="なし"),"",IF(AA120="掛金・負担金別",(BA120+BB120+BC120+BE120+BG120+BI120+N(Z120)),IF(AA120="経理区分別",BD120+BE120,"")))</f>
        <v/>
      </c>
      <c r="AF120" s="27"/>
      <c r="AG120" s="29" t="str">
        <f aca="false">IF(OR(G120="",G120="なし"),"",IF(AA120="経理区分別",BF120+BG120,""))</f>
        <v/>
      </c>
      <c r="AH120" s="27"/>
      <c r="AI120" s="29" t="str">
        <f aca="false">IF(OR(G120="",G120="なし"),"",IF(AA120="経理区分別",BH120+BI120+N(Z120),""))</f>
        <v/>
      </c>
      <c r="AJ120" s="27"/>
      <c r="AK120" s="26" t="s">
        <v>168</v>
      </c>
      <c r="AL120" s="26"/>
      <c r="AM120" s="30"/>
      <c r="AN120" s="31"/>
      <c r="AO120" s="31"/>
      <c r="AP120" s="31"/>
      <c r="AQ120" s="31"/>
      <c r="AR120" s="31"/>
      <c r="AS120" s="31"/>
      <c r="AT120" s="31"/>
      <c r="AU120" s="31"/>
      <c r="AV120" s="31"/>
      <c r="AW120" s="31"/>
      <c r="AX120" s="31"/>
      <c r="AY120" s="31" t="n">
        <f aca="false">IF($G120="",AN120,O120)</f>
        <v>40260</v>
      </c>
      <c r="AZ120" s="31" t="n">
        <f aca="false">IF($G120="",AO120,P120)</f>
        <v>3300</v>
      </c>
      <c r="BA120" s="31" t="n">
        <f aca="false">IF($G120="",AP120,T120)</f>
        <v>40260</v>
      </c>
      <c r="BB120" s="31" t="n">
        <f aca="false">IF($G120="",AQ120,U120)</f>
        <v>3300</v>
      </c>
      <c r="BC120" s="31" t="n">
        <f aca="false">IF($G120="",AR120,V120)</f>
        <v>38</v>
      </c>
      <c r="BD120" s="31" t="n">
        <f aca="false">IF($G120="",AS120,Q120)</f>
        <v>22818</v>
      </c>
      <c r="BE120" s="31" t="n">
        <f aca="false">IF($G120="",AT120,W120)</f>
        <v>22840</v>
      </c>
      <c r="BF120" s="31" t="n">
        <f aca="false">IF($G120="",AU120,R120)</f>
        <v>0</v>
      </c>
      <c r="BG120" s="31" t="n">
        <f aca="false">IF($G120="",AV120,X120)</f>
        <v>0</v>
      </c>
      <c r="BH120" s="31" t="n">
        <f aca="false">IF($G120="",AW120,S120)</f>
        <v>506</v>
      </c>
      <c r="BI120" s="31" t="n">
        <f aca="false">IF($G120="",AX120,Y120)</f>
        <v>506</v>
      </c>
      <c r="BJ120" s="31" t="n">
        <f aca="false">IF(CK120="N",BR120,ROUNDDOWN((I120-L120)*設定!$B$10/1000,0)+ROUNDDOWN((I120-L120)*設定!$B$11/1000,0))</f>
        <v>0</v>
      </c>
      <c r="BK120" s="31" t="n">
        <f aca="false">ROUNDDOWN((I120-L120)*設定!$C$10/1000,0)+ROUNDDOWN((I120-L120)*設定!$C$11/1000,0)+ROUNDDOWN(I120*設定!$C$12/1000,0)+IF(CL120="市局型",ROUNDDOWN(I120*設定!$C$16/1000,0),0)</f>
        <v>0</v>
      </c>
      <c r="BL120" s="31" t="n">
        <f aca="false">IF(CK120="N",BT120,ROUNDDOWN((J120-M120)*設定!$B$13/1000,0))</f>
        <v>0</v>
      </c>
      <c r="BM120" s="31" t="n">
        <f aca="false">ROUNDDOWN((J120-M120)*設定!$C$13/1000,0)+IF(CL120="市局型",ROUNDDOWN(J120*設定!$C$17/1000,0),0)</f>
        <v>0</v>
      </c>
      <c r="BN120" s="31" t="n">
        <f aca="false">IF(CK120="N",BV120,ROUNDDOWN((K120-N120)*設定!$B$14/1000,0))</f>
        <v>0</v>
      </c>
      <c r="BO120" s="31" t="n">
        <f aca="false">ROUNDDOWN((K120-N120)*設定!$C$14/1000,0)</f>
        <v>0</v>
      </c>
      <c r="BP120" s="31" t="n">
        <f aca="false">IF(CK120="N",BX120,ROUNDDOWN((J120-M120)*設定!$B$15/1000,0))</f>
        <v>0</v>
      </c>
      <c r="BQ120" s="31" t="n">
        <f aca="false">ROUNDDOWN((J120-M120)*設定!$C$15/1000,0)</f>
        <v>0</v>
      </c>
      <c r="BR120" s="31" t="n">
        <f aca="false">O120+P120</f>
        <v>43560</v>
      </c>
      <c r="BS120" s="31" t="n">
        <f aca="false">T120+U120+V120</f>
        <v>43598</v>
      </c>
      <c r="BT120" s="31" t="n">
        <f aca="false">Q120</f>
        <v>22818</v>
      </c>
      <c r="BU120" s="31" t="n">
        <f aca="false">W120</f>
        <v>22840</v>
      </c>
      <c r="BV120" s="31" t="n">
        <f aca="false">R120</f>
        <v>0</v>
      </c>
      <c r="BW120" s="31" t="n">
        <f aca="false">X120</f>
        <v>0</v>
      </c>
      <c r="BX120" s="31" t="n">
        <f aca="false">S120</f>
        <v>506</v>
      </c>
      <c r="BY120" s="31" t="n">
        <f aca="false">Y120</f>
        <v>506</v>
      </c>
      <c r="BZ120" s="32" t="n">
        <f aca="false">IF(BJ120=0,IF(BR120=0,0,1),(BR120-BJ120)/BJ120)</f>
        <v>1</v>
      </c>
      <c r="CA120" s="32" t="n">
        <f aca="false">IF(BK120=0,IF(BS120=0,0,1),(BS120-BK120)/BK120)</f>
        <v>1</v>
      </c>
      <c r="CB120" s="32" t="n">
        <f aca="false">IF(BL120=0,IF(BT120=0,0,1),(BT120-BL120)/BL120)</f>
        <v>1</v>
      </c>
      <c r="CC120" s="32" t="n">
        <f aca="false">IF(BM120=0,IF(BU120=0,0,1),(BU120-BM120)/BM120)</f>
        <v>1</v>
      </c>
      <c r="CD120" s="32" t="n">
        <f aca="false">IF(BN120=0,IF(BV120=0,0,1),(BV120-BN120)/BN120)</f>
        <v>0</v>
      </c>
      <c r="CE120" s="32" t="n">
        <f aca="false">IF(BO120=0,IF(BW120=0,0,1),(BW120-BO120)/BO120)</f>
        <v>0</v>
      </c>
      <c r="CF120" s="32" t="n">
        <f aca="false">IF(BP120=0,IF(BX120=0,0,1),(BX120-BP120)/BP120)</f>
        <v>1</v>
      </c>
      <c r="CG120" s="32" t="n">
        <f aca="false">IF(BQ120=0,IF(BY120=0,0,1),(BY120-BQ120)/BQ120)</f>
        <v>1</v>
      </c>
      <c r="CH120" s="32" t="n">
        <f aca="false">MAX(MAX(BZ120:CG120),-MIN(BZ120:CG120))</f>
        <v>1</v>
      </c>
      <c r="CI120" s="31" t="n">
        <f aca="false">IF(CO120="","",SUMIFS($CJ$7:$CJ$696,$A$7:$A$696,CO120,$B$7:$B$696,B120))</f>
        <v>133828</v>
      </c>
      <c r="CJ120" s="31" t="n">
        <f aca="false">SUM(AY120:BI120)</f>
        <v>133828</v>
      </c>
      <c r="CK120" s="31" t="str">
        <f aca="false">IFERROR(INDEX(設定!$F$61:$F$106,MATCH(B120,設定!$B$61:$B$106,0)),"Y")</f>
        <v>Y</v>
      </c>
      <c r="CL120" s="31" t="str">
        <f aca="false">IFERROR(INDEX(設定!$G$61:$G$106,MATCH(B120,設定!$B$61:$B$106,0)),"外郭型")</f>
        <v>外郭型</v>
      </c>
      <c r="CM120" s="33" t="str">
        <f aca="false">A120&amp;"|"&amp;B120</f>
        <v>2026-06 月例|地方公務員災害補償基金本部</v>
      </c>
      <c r="CN120" s="34" t="str">
        <f aca="false">IFERROR(INDEX(設定!$D$61:$D$106,MATCH(B120,設定!$B$61:$B$106,0)),"Y")</f>
        <v>Y</v>
      </c>
      <c r="CO120" s="34" t="str">
        <f aca="false">IFERROR(INDEX(設定!$D$20:$D$34,MATCH(A120,設定!$A$20:$A$34,0))&amp;"","")</f>
        <v>2026-05 月例</v>
      </c>
    </row>
    <row r="121" customFormat="false" ht="15" hidden="true" customHeight="false" outlineLevel="0" collapsed="false">
      <c r="A121" s="22" t="s">
        <v>217</v>
      </c>
      <c r="B121" s="23" t="s">
        <v>191</v>
      </c>
      <c r="C121" s="10" t="str">
        <f aca="false">IF(G121="","未受領",IF(G121="なし","報告なし",IF(AL121="○","起票済",IF(OR(AK121="○",F121="一致",F121="入金不要"),"入金確認済","受領済"))))</f>
        <v>入金確認済</v>
      </c>
      <c r="D121" s="10" t="str">
        <f aca="false">IF(OR(G121="",G121="なし"),"―",IF(CN121="N","対象外",IF(AND(I121="",J121="",K121=""),"標報未入力",IF(CH121&gt;=設定!$B$4,"要確認","問題なし"))))</f>
        <v>標報未入力</v>
      </c>
      <c r="E121" s="24" t="str">
        <f aca="false">IF(OR(G121="",G121="なし",CI121="",CJ121=0),"―",IF(CJ121=CI121,"前月同額",IF(CI121=0,"―",IF(ABS(CJ121/CI121-1)&gt;=設定!$B$5,"変動大 "&amp;TEXT(CJ121/CI121-1,"+0%;-0%"),"〇"))))</f>
        <v>前月同額</v>
      </c>
      <c r="F121" s="10" t="str">
        <f aca="false">IF(OR(G121="",G121="なし"),"―",IF(CJ121=0,"入金不要",IF(COUNT(AD121,AF121,AH121,AJ121)=0,IF(AK121="○","手動確認","未入金"),IF(AND(N(AD121)=AC121,IF(AE121="",TRUE(),N(AF121)=AE121),IF(AG121="",TRUE(),N(AH121)=AG121),IF(AI121="",TRUE(),N(AJ121)=AI121)),"一致","不一致"))))</f>
        <v>手動確認</v>
      </c>
      <c r="G121" s="25" t="s">
        <v>167</v>
      </c>
      <c r="H121" s="26"/>
      <c r="I121" s="27"/>
      <c r="J121" s="27"/>
      <c r="K121" s="27"/>
      <c r="L121" s="27"/>
      <c r="M121" s="27"/>
      <c r="N121" s="27"/>
      <c r="O121" s="27" t="n">
        <v>107970</v>
      </c>
      <c r="P121" s="27" t="n">
        <v>8850</v>
      </c>
      <c r="Q121" s="27" t="n">
        <v>61194</v>
      </c>
      <c r="R121" s="27" t="n">
        <v>9322</v>
      </c>
      <c r="S121" s="27" t="n">
        <v>1356</v>
      </c>
      <c r="T121" s="27" t="n">
        <v>107970</v>
      </c>
      <c r="U121" s="27" t="n">
        <v>8850</v>
      </c>
      <c r="V121" s="27" t="n">
        <v>102</v>
      </c>
      <c r="W121" s="27" t="n">
        <v>61253</v>
      </c>
      <c r="X121" s="27" t="n">
        <v>9322</v>
      </c>
      <c r="Y121" s="27" t="n">
        <v>1357</v>
      </c>
      <c r="Z121" s="27"/>
      <c r="AA121" s="10" t="str">
        <f aca="false">IFERROR(INDEX(設定!$E$61:$E$106,MATCH(B121,設定!$B$61:$B$106,0)),"合算")</f>
        <v>合算</v>
      </c>
      <c r="AB121" s="28"/>
      <c r="AC121" s="29" t="n">
        <f aca="false">IF(OR(G121="",G121="なし"),"",IF(AA121="合算",CJ121+N(Z121),IF(AA121="掛金・負担金別",(AY121+AZ121+BD121+BF121+BH121),SUM(AY121:BC121))))</f>
        <v>377546</v>
      </c>
      <c r="AD121" s="27"/>
      <c r="AE121" s="29" t="str">
        <f aca="false">IF(OR(G121="",G121="なし"),"",IF(AA121="掛金・負担金別",(BA121+BB121+BC121+BE121+BG121+BI121+N(Z121)),IF(AA121="経理区分別",BD121+BE121,"")))</f>
        <v/>
      </c>
      <c r="AF121" s="27"/>
      <c r="AG121" s="29" t="str">
        <f aca="false">IF(OR(G121="",G121="なし"),"",IF(AA121="経理区分別",BF121+BG121,""))</f>
        <v/>
      </c>
      <c r="AH121" s="27"/>
      <c r="AI121" s="29" t="str">
        <f aca="false">IF(OR(G121="",G121="なし"),"",IF(AA121="経理区分別",BH121+BI121+N(Z121),""))</f>
        <v/>
      </c>
      <c r="AJ121" s="27"/>
      <c r="AK121" s="26" t="s">
        <v>168</v>
      </c>
      <c r="AL121" s="26"/>
      <c r="AM121" s="30"/>
      <c r="AN121" s="31"/>
      <c r="AO121" s="31"/>
      <c r="AP121" s="31"/>
      <c r="AQ121" s="31"/>
      <c r="AR121" s="31"/>
      <c r="AS121" s="31"/>
      <c r="AT121" s="31"/>
      <c r="AU121" s="31"/>
      <c r="AV121" s="31"/>
      <c r="AW121" s="31"/>
      <c r="AX121" s="31"/>
      <c r="AY121" s="31" t="n">
        <f aca="false">IF($G121="",AN121,O121)</f>
        <v>107970</v>
      </c>
      <c r="AZ121" s="31" t="n">
        <f aca="false">IF($G121="",AO121,P121)</f>
        <v>8850</v>
      </c>
      <c r="BA121" s="31" t="n">
        <f aca="false">IF($G121="",AP121,T121)</f>
        <v>107970</v>
      </c>
      <c r="BB121" s="31" t="n">
        <f aca="false">IF($G121="",AQ121,U121)</f>
        <v>8850</v>
      </c>
      <c r="BC121" s="31" t="n">
        <f aca="false">IF($G121="",AR121,V121)</f>
        <v>102</v>
      </c>
      <c r="BD121" s="31" t="n">
        <f aca="false">IF($G121="",AS121,Q121)</f>
        <v>61194</v>
      </c>
      <c r="BE121" s="31" t="n">
        <f aca="false">IF($G121="",AT121,W121)</f>
        <v>61253</v>
      </c>
      <c r="BF121" s="31" t="n">
        <f aca="false">IF($G121="",AU121,R121)</f>
        <v>9322</v>
      </c>
      <c r="BG121" s="31" t="n">
        <f aca="false">IF($G121="",AV121,X121)</f>
        <v>9322</v>
      </c>
      <c r="BH121" s="31" t="n">
        <f aca="false">IF($G121="",AW121,S121)</f>
        <v>1356</v>
      </c>
      <c r="BI121" s="31" t="n">
        <f aca="false">IF($G121="",AX121,Y121)</f>
        <v>1357</v>
      </c>
      <c r="BJ121" s="31" t="n">
        <f aca="false">IF(CK121="N",BR121,ROUNDDOWN((I121-L121)*設定!$B$10/1000,0)+ROUNDDOWN((I121-L121)*設定!$B$11/1000,0))</f>
        <v>0</v>
      </c>
      <c r="BK121" s="31" t="n">
        <f aca="false">ROUNDDOWN((I121-L121)*設定!$C$10/1000,0)+ROUNDDOWN((I121-L121)*設定!$C$11/1000,0)+ROUNDDOWN(I121*設定!$C$12/1000,0)+IF(CL121="市局型",ROUNDDOWN(I121*設定!$C$16/1000,0),0)</f>
        <v>0</v>
      </c>
      <c r="BL121" s="31" t="n">
        <f aca="false">IF(CK121="N",BT121,ROUNDDOWN((J121-M121)*設定!$B$13/1000,0))</f>
        <v>0</v>
      </c>
      <c r="BM121" s="31" t="n">
        <f aca="false">ROUNDDOWN((J121-M121)*設定!$C$13/1000,0)+IF(CL121="市局型",ROUNDDOWN(J121*設定!$C$17/1000,0),0)</f>
        <v>0</v>
      </c>
      <c r="BN121" s="31" t="n">
        <f aca="false">IF(CK121="N",BV121,ROUNDDOWN((K121-N121)*設定!$B$14/1000,0))</f>
        <v>0</v>
      </c>
      <c r="BO121" s="31" t="n">
        <f aca="false">ROUNDDOWN((K121-N121)*設定!$C$14/1000,0)</f>
        <v>0</v>
      </c>
      <c r="BP121" s="31" t="n">
        <f aca="false">IF(CK121="N",BX121,ROUNDDOWN((J121-M121)*設定!$B$15/1000,0))</f>
        <v>0</v>
      </c>
      <c r="BQ121" s="31" t="n">
        <f aca="false">ROUNDDOWN((J121-M121)*設定!$C$15/1000,0)</f>
        <v>0</v>
      </c>
      <c r="BR121" s="31" t="n">
        <f aca="false">O121+P121</f>
        <v>116820</v>
      </c>
      <c r="BS121" s="31" t="n">
        <f aca="false">T121+U121+V121</f>
        <v>116922</v>
      </c>
      <c r="BT121" s="31" t="n">
        <f aca="false">Q121</f>
        <v>61194</v>
      </c>
      <c r="BU121" s="31" t="n">
        <f aca="false">W121</f>
        <v>61253</v>
      </c>
      <c r="BV121" s="31" t="n">
        <f aca="false">R121</f>
        <v>9322</v>
      </c>
      <c r="BW121" s="31" t="n">
        <f aca="false">X121</f>
        <v>9322</v>
      </c>
      <c r="BX121" s="31" t="n">
        <f aca="false">S121</f>
        <v>1356</v>
      </c>
      <c r="BY121" s="31" t="n">
        <f aca="false">Y121</f>
        <v>1357</v>
      </c>
      <c r="BZ121" s="32" t="n">
        <f aca="false">IF(BJ121=0,IF(BR121=0,0,1),(BR121-BJ121)/BJ121)</f>
        <v>1</v>
      </c>
      <c r="CA121" s="32" t="n">
        <f aca="false">IF(BK121=0,IF(BS121=0,0,1),(BS121-BK121)/BK121)</f>
        <v>1</v>
      </c>
      <c r="CB121" s="32" t="n">
        <f aca="false">IF(BL121=0,IF(BT121=0,0,1),(BT121-BL121)/BL121)</f>
        <v>1</v>
      </c>
      <c r="CC121" s="32" t="n">
        <f aca="false">IF(BM121=0,IF(BU121=0,0,1),(BU121-BM121)/BM121)</f>
        <v>1</v>
      </c>
      <c r="CD121" s="32" t="n">
        <f aca="false">IF(BN121=0,IF(BV121=0,0,1),(BV121-BN121)/BN121)</f>
        <v>1</v>
      </c>
      <c r="CE121" s="32" t="n">
        <f aca="false">IF(BO121=0,IF(BW121=0,0,1),(BW121-BO121)/BO121)</f>
        <v>1</v>
      </c>
      <c r="CF121" s="32" t="n">
        <f aca="false">IF(BP121=0,IF(BX121=0,0,1),(BX121-BP121)/BP121)</f>
        <v>1</v>
      </c>
      <c r="CG121" s="32" t="n">
        <f aca="false">IF(BQ121=0,IF(BY121=0,0,1),(BY121-BQ121)/BQ121)</f>
        <v>1</v>
      </c>
      <c r="CH121" s="32" t="n">
        <f aca="false">MAX(MAX(BZ121:CG121),-MIN(BZ121:CG121))</f>
        <v>1</v>
      </c>
      <c r="CI121" s="31" t="n">
        <f aca="false">IF(CO121="","",SUMIFS($CJ$7:$CJ$696,$A$7:$A$696,CO121,$B$7:$B$696,B121))</f>
        <v>377546</v>
      </c>
      <c r="CJ121" s="31" t="n">
        <f aca="false">SUM(AY121:BI121)</f>
        <v>377546</v>
      </c>
      <c r="CK121" s="31" t="str">
        <f aca="false">IFERROR(INDEX(設定!$F$61:$F$106,MATCH(B121,設定!$B$61:$B$106,0)),"Y")</f>
        <v>Y</v>
      </c>
      <c r="CL121" s="31" t="str">
        <f aca="false">IFERROR(INDEX(設定!$G$61:$G$106,MATCH(B121,設定!$B$61:$B$106,0)),"外郭型")</f>
        <v>外郭型</v>
      </c>
      <c r="CM121" s="33" t="str">
        <f aca="false">A121&amp;"|"&amp;B121</f>
        <v>2026-06 月例|救急振興財団</v>
      </c>
      <c r="CN121" s="34" t="str">
        <f aca="false">IFERROR(INDEX(設定!$D$61:$D$106,MATCH(B121,設定!$B$61:$B$106,0)),"Y")</f>
        <v>Y</v>
      </c>
      <c r="CO121" s="34" t="str">
        <f aca="false">IFERROR(INDEX(設定!$D$20:$D$34,MATCH(A121,設定!$A$20:$A$34,0))&amp;"","")</f>
        <v>2026-05 月例</v>
      </c>
    </row>
    <row r="122" customFormat="false" ht="15" hidden="true" customHeight="false" outlineLevel="0" collapsed="false">
      <c r="A122" s="22" t="s">
        <v>217</v>
      </c>
      <c r="B122" s="23" t="s">
        <v>192</v>
      </c>
      <c r="C122" s="10" t="str">
        <f aca="false">IF(G122="","未受領",IF(G122="なし","報告なし",IF(AL122="○","起票済",IF(OR(AK122="○",F122="一致",F122="入金不要"),"入金確認済","受領済"))))</f>
        <v>入金確認済</v>
      </c>
      <c r="D122" s="10" t="str">
        <f aca="false">IF(OR(G122="",G122="なし"),"―",IF(CN122="N","対象外",IF(AND(I122="",J122="",K122=""),"標報未入力",IF(CH122&gt;=設定!$B$4,"要確認","問題なし"))))</f>
        <v>標報未入力</v>
      </c>
      <c r="E122" s="24" t="str">
        <f aca="false">IF(OR(G122="",G122="なし",CI122="",CJ122=0),"―",IF(CJ122=CI122,"前月同額",IF(CI122=0,"―",IF(ABS(CJ122/CI122-1)&gt;=設定!$B$5,"変動大 "&amp;TEXT(CJ122/CI122-1,"+0%;-0%"),"〇"))))</f>
        <v>〇</v>
      </c>
      <c r="F122" s="10" t="str">
        <f aca="false">IF(OR(G122="",G122="なし"),"―",IF(CJ122=0,"入金不要",IF(COUNT(AD122,AF122,AH122,AJ122)=0,IF(AK122="○","手動確認","未入金"),IF(AND(N(AD122)=AC122,IF(AE122="",TRUE(),N(AF122)=AE122),IF(AG122="",TRUE(),N(AH122)=AG122),IF(AI122="",TRUE(),N(AJ122)=AI122)),"一致","不一致"))))</f>
        <v>手動確認</v>
      </c>
      <c r="G122" s="25" t="s">
        <v>167</v>
      </c>
      <c r="H122" s="26"/>
      <c r="I122" s="27"/>
      <c r="J122" s="27"/>
      <c r="K122" s="27"/>
      <c r="L122" s="27"/>
      <c r="M122" s="27"/>
      <c r="N122" s="27"/>
      <c r="O122" s="27" t="n">
        <v>746640</v>
      </c>
      <c r="P122" s="27" t="n">
        <v>61200</v>
      </c>
      <c r="Q122" s="27" t="n">
        <v>423172</v>
      </c>
      <c r="R122" s="27" t="n">
        <v>39342</v>
      </c>
      <c r="S122" s="27" t="n">
        <v>9380</v>
      </c>
      <c r="T122" s="27" t="n">
        <v>718038</v>
      </c>
      <c r="U122" s="27" t="n">
        <v>58125</v>
      </c>
      <c r="V122" s="27" t="n">
        <v>684</v>
      </c>
      <c r="W122" s="27" t="n">
        <v>393389</v>
      </c>
      <c r="X122" s="27" t="n">
        <v>39342</v>
      </c>
      <c r="Y122" s="27" t="n">
        <v>8913</v>
      </c>
      <c r="Z122" s="27"/>
      <c r="AA122" s="10" t="str">
        <f aca="false">IFERROR(INDEX(設定!$E$61:$E$106,MATCH(B122,設定!$B$61:$B$106,0)),"合算")</f>
        <v>合算</v>
      </c>
      <c r="AB122" s="28"/>
      <c r="AC122" s="29" t="n">
        <f aca="false">IF(OR(G122="",G122="なし"),"",IF(AA122="合算",CJ122+N(Z122),IF(AA122="掛金・負担金別",(AY122+AZ122+BD122+BF122+BH122),SUM(AY122:BC122))))</f>
        <v>2498225</v>
      </c>
      <c r="AD122" s="27"/>
      <c r="AE122" s="29" t="str">
        <f aca="false">IF(OR(G122="",G122="なし"),"",IF(AA122="掛金・負担金別",(BA122+BB122+BC122+BE122+BG122+BI122+N(Z122)),IF(AA122="経理区分別",BD122+BE122,"")))</f>
        <v/>
      </c>
      <c r="AF122" s="27"/>
      <c r="AG122" s="29" t="str">
        <f aca="false">IF(OR(G122="",G122="なし"),"",IF(AA122="経理区分別",BF122+BG122,""))</f>
        <v/>
      </c>
      <c r="AH122" s="27"/>
      <c r="AI122" s="29" t="str">
        <f aca="false">IF(OR(G122="",G122="なし"),"",IF(AA122="経理区分別",BH122+BI122+N(Z122),""))</f>
        <v/>
      </c>
      <c r="AJ122" s="27"/>
      <c r="AK122" s="26" t="s">
        <v>168</v>
      </c>
      <c r="AL122" s="26"/>
      <c r="AM122" s="30"/>
      <c r="AN122" s="31"/>
      <c r="AO122" s="31"/>
      <c r="AP122" s="31"/>
      <c r="AQ122" s="31"/>
      <c r="AR122" s="31"/>
      <c r="AS122" s="31"/>
      <c r="AT122" s="31"/>
      <c r="AU122" s="31"/>
      <c r="AV122" s="31"/>
      <c r="AW122" s="31"/>
      <c r="AX122" s="31"/>
      <c r="AY122" s="31" t="n">
        <f aca="false">IF($G122="",AN122,O122)</f>
        <v>746640</v>
      </c>
      <c r="AZ122" s="31" t="n">
        <f aca="false">IF($G122="",AO122,P122)</f>
        <v>61200</v>
      </c>
      <c r="BA122" s="31" t="n">
        <f aca="false">IF($G122="",AP122,T122)</f>
        <v>718038</v>
      </c>
      <c r="BB122" s="31" t="n">
        <f aca="false">IF($G122="",AQ122,U122)</f>
        <v>58125</v>
      </c>
      <c r="BC122" s="31" t="n">
        <f aca="false">IF($G122="",AR122,V122)</f>
        <v>684</v>
      </c>
      <c r="BD122" s="31" t="n">
        <f aca="false">IF($G122="",AS122,Q122)</f>
        <v>423172</v>
      </c>
      <c r="BE122" s="31" t="n">
        <f aca="false">IF($G122="",AT122,W122)</f>
        <v>393389</v>
      </c>
      <c r="BF122" s="31" t="n">
        <f aca="false">IF($G122="",AU122,R122)</f>
        <v>39342</v>
      </c>
      <c r="BG122" s="31" t="n">
        <f aca="false">IF($G122="",AV122,X122)</f>
        <v>39342</v>
      </c>
      <c r="BH122" s="31" t="n">
        <f aca="false">IF($G122="",AW122,S122)</f>
        <v>9380</v>
      </c>
      <c r="BI122" s="31" t="n">
        <f aca="false">IF($G122="",AX122,Y122)</f>
        <v>8913</v>
      </c>
      <c r="BJ122" s="31" t="n">
        <f aca="false">IF(CK122="N",BR122,ROUNDDOWN((I122-L122)*設定!$B$10/1000,0)+ROUNDDOWN((I122-L122)*設定!$B$11/1000,0))</f>
        <v>0</v>
      </c>
      <c r="BK122" s="31" t="n">
        <f aca="false">ROUNDDOWN((I122-L122)*設定!$C$10/1000,0)+ROUNDDOWN((I122-L122)*設定!$C$11/1000,0)+ROUNDDOWN(I122*設定!$C$12/1000,0)+IF(CL122="市局型",ROUNDDOWN(I122*設定!$C$16/1000,0),0)</f>
        <v>0</v>
      </c>
      <c r="BL122" s="31" t="n">
        <f aca="false">IF(CK122="N",BT122,ROUNDDOWN((J122-M122)*設定!$B$13/1000,0))</f>
        <v>0</v>
      </c>
      <c r="BM122" s="31" t="n">
        <f aca="false">ROUNDDOWN((J122-M122)*設定!$C$13/1000,0)+IF(CL122="市局型",ROUNDDOWN(J122*設定!$C$17/1000,0),0)</f>
        <v>0</v>
      </c>
      <c r="BN122" s="31" t="n">
        <f aca="false">IF(CK122="N",BV122,ROUNDDOWN((K122-N122)*設定!$B$14/1000,0))</f>
        <v>0</v>
      </c>
      <c r="BO122" s="31" t="n">
        <f aca="false">ROUNDDOWN((K122-N122)*設定!$C$14/1000,0)</f>
        <v>0</v>
      </c>
      <c r="BP122" s="31" t="n">
        <f aca="false">IF(CK122="N",BX122,ROUNDDOWN((J122-M122)*設定!$B$15/1000,0))</f>
        <v>0</v>
      </c>
      <c r="BQ122" s="31" t="n">
        <f aca="false">ROUNDDOWN((J122-M122)*設定!$C$15/1000,0)</f>
        <v>0</v>
      </c>
      <c r="BR122" s="31" t="n">
        <f aca="false">O122+P122</f>
        <v>807840</v>
      </c>
      <c r="BS122" s="31" t="n">
        <f aca="false">T122+U122+V122</f>
        <v>776847</v>
      </c>
      <c r="BT122" s="31" t="n">
        <f aca="false">Q122</f>
        <v>423172</v>
      </c>
      <c r="BU122" s="31" t="n">
        <f aca="false">W122</f>
        <v>393389</v>
      </c>
      <c r="BV122" s="31" t="n">
        <f aca="false">R122</f>
        <v>39342</v>
      </c>
      <c r="BW122" s="31" t="n">
        <f aca="false">X122</f>
        <v>39342</v>
      </c>
      <c r="BX122" s="31" t="n">
        <f aca="false">S122</f>
        <v>9380</v>
      </c>
      <c r="BY122" s="31" t="n">
        <f aca="false">Y122</f>
        <v>8913</v>
      </c>
      <c r="BZ122" s="32" t="n">
        <f aca="false">IF(BJ122=0,IF(BR122=0,0,1),(BR122-BJ122)/BJ122)</f>
        <v>1</v>
      </c>
      <c r="CA122" s="32" t="n">
        <f aca="false">IF(BK122=0,IF(BS122=0,0,1),(BS122-BK122)/BK122)</f>
        <v>1</v>
      </c>
      <c r="CB122" s="32" t="n">
        <f aca="false">IF(BL122=0,IF(BT122=0,0,1),(BT122-BL122)/BL122)</f>
        <v>1</v>
      </c>
      <c r="CC122" s="32" t="n">
        <f aca="false">IF(BM122=0,IF(BU122=0,0,1),(BU122-BM122)/BM122)</f>
        <v>1</v>
      </c>
      <c r="CD122" s="32" t="n">
        <f aca="false">IF(BN122=0,IF(BV122=0,0,1),(BV122-BN122)/BN122)</f>
        <v>1</v>
      </c>
      <c r="CE122" s="32" t="n">
        <f aca="false">IF(BO122=0,IF(BW122=0,0,1),(BW122-BO122)/BO122)</f>
        <v>1</v>
      </c>
      <c r="CF122" s="32" t="n">
        <f aca="false">IF(BP122=0,IF(BX122=0,0,1),(BX122-BP122)/BP122)</f>
        <v>1</v>
      </c>
      <c r="CG122" s="32" t="n">
        <f aca="false">IF(BQ122=0,IF(BY122=0,0,1),(BY122-BQ122)/BQ122)</f>
        <v>1</v>
      </c>
      <c r="CH122" s="32" t="n">
        <f aca="false">MAX(MAX(BZ122:CG122),-MIN(BZ122:CG122))</f>
        <v>1</v>
      </c>
      <c r="CI122" s="31" t="n">
        <f aca="false">IF(CO122="","",SUMIFS($CJ$7:$CJ$696,$A$7:$A$696,CO122,$B$7:$B$696,B122))</f>
        <v>2623033</v>
      </c>
      <c r="CJ122" s="31" t="n">
        <f aca="false">SUM(AY122:BI122)</f>
        <v>2498225</v>
      </c>
      <c r="CK122" s="31" t="str">
        <f aca="false">IFERROR(INDEX(設定!$F$61:$F$106,MATCH(B122,設定!$B$61:$B$106,0)),"Y")</f>
        <v>Y</v>
      </c>
      <c r="CL122" s="31" t="str">
        <f aca="false">IFERROR(INDEX(設定!$G$61:$G$106,MATCH(B122,設定!$B$61:$B$106,0)),"外郭型")</f>
        <v>外郭型</v>
      </c>
      <c r="CM122" s="33" t="str">
        <f aca="false">A122&amp;"|"&amp;B122</f>
        <v>2026-06 月例|高速道路公社</v>
      </c>
      <c r="CN122" s="34" t="str">
        <f aca="false">IFERROR(INDEX(設定!$D$61:$D$106,MATCH(B122,設定!$B$61:$B$106,0)),"Y")</f>
        <v>Y</v>
      </c>
      <c r="CO122" s="34" t="str">
        <f aca="false">IFERROR(INDEX(設定!$D$20:$D$34,MATCH(A122,設定!$A$20:$A$34,0))&amp;"","")</f>
        <v>2026-05 月例</v>
      </c>
    </row>
    <row r="123" customFormat="false" ht="15" hidden="true" customHeight="false" outlineLevel="0" collapsed="false">
      <c r="A123" s="22" t="s">
        <v>217</v>
      </c>
      <c r="B123" s="23" t="s">
        <v>193</v>
      </c>
      <c r="C123" s="10" t="str">
        <f aca="false">IF(G123="","未受領",IF(G123="なし","報告なし",IF(AL123="○","起票済",IF(OR(AK123="○",F123="一致",F123="入金不要"),"入金確認済","受領済"))))</f>
        <v>入金確認済</v>
      </c>
      <c r="D123" s="10" t="str">
        <f aca="false">IF(OR(G123="",G123="なし"),"―",IF(CN123="N","対象外",IF(AND(I123="",J123="",K123=""),"標報未入力",IF(CH123&gt;=設定!$B$4,"要確認","問題なし"))))</f>
        <v>標報未入力</v>
      </c>
      <c r="E123" s="24" t="str">
        <f aca="false">IF(OR(G123="",G123="なし",CI123="",CJ123=0),"―",IF(CJ123=CI123,"前月同額",IF(CI123=0,"―",IF(ABS(CJ123/CI123-1)&gt;=設定!$B$5,"変動大 "&amp;TEXT(CJ123/CI123-1,"+0%;-0%"),"〇"))))</f>
        <v>前月同額</v>
      </c>
      <c r="F123" s="10" t="str">
        <f aca="false">IF(OR(G123="",G123="なし"),"―",IF(CJ123=0,"入金不要",IF(COUNT(AD123,AF123,AH123,AJ123)=0,IF(AK123="○","手動確認","未入金"),IF(AND(N(AD123)=AC123,IF(AE123="",TRUE(),N(AF123)=AE123),IF(AG123="",TRUE(),N(AH123)=AG123),IF(AI123="",TRUE(),N(AJ123)=AI123)),"一致","不一致"))))</f>
        <v>手動確認</v>
      </c>
      <c r="G123" s="25" t="s">
        <v>167</v>
      </c>
      <c r="H123" s="26"/>
      <c r="I123" s="27"/>
      <c r="J123" s="27"/>
      <c r="K123" s="27"/>
      <c r="L123" s="27"/>
      <c r="M123" s="27"/>
      <c r="N123" s="27"/>
      <c r="O123" s="27"/>
      <c r="P123" s="27"/>
      <c r="Q123" s="27"/>
      <c r="R123" s="27"/>
      <c r="S123" s="27"/>
      <c r="T123" s="27" t="n">
        <v>607560</v>
      </c>
      <c r="U123" s="27" t="n">
        <v>49800</v>
      </c>
      <c r="V123" s="27" t="n">
        <v>603</v>
      </c>
      <c r="W123" s="27" t="n">
        <v>344697</v>
      </c>
      <c r="X123" s="27" t="n">
        <v>28203</v>
      </c>
      <c r="Y123" s="27" t="n">
        <v>7634</v>
      </c>
      <c r="Z123" s="27"/>
      <c r="AA123" s="10" t="str">
        <f aca="false">IFERROR(INDEX(設定!$E$61:$E$106,MATCH(B123,設定!$B$61:$B$106,0)),"合算")</f>
        <v>合算</v>
      </c>
      <c r="AB123" s="28"/>
      <c r="AC123" s="29" t="n">
        <f aca="false">IF(OR(G123="",G123="なし"),"",IF(AA123="合算",CJ123+N(Z123),IF(AA123="掛金・負担金別",(AY123+AZ123+BD123+BF123+BH123),SUM(AY123:BC123))))</f>
        <v>1038497</v>
      </c>
      <c r="AD123" s="27"/>
      <c r="AE123" s="29" t="str">
        <f aca="false">IF(OR(G123="",G123="なし"),"",IF(AA123="掛金・負担金別",(BA123+BB123+BC123+BE123+BG123+BI123+N(Z123)),IF(AA123="経理区分別",BD123+BE123,"")))</f>
        <v/>
      </c>
      <c r="AF123" s="27"/>
      <c r="AG123" s="29" t="str">
        <f aca="false">IF(OR(G123="",G123="なし"),"",IF(AA123="経理区分別",BF123+BG123,""))</f>
        <v/>
      </c>
      <c r="AH123" s="27"/>
      <c r="AI123" s="29" t="str">
        <f aca="false">IF(OR(G123="",G123="なし"),"",IF(AA123="経理区分別",BH123+BI123+N(Z123),""))</f>
        <v/>
      </c>
      <c r="AJ123" s="27"/>
      <c r="AK123" s="26" t="s">
        <v>168</v>
      </c>
      <c r="AL123" s="26"/>
      <c r="AM123" s="30"/>
      <c r="AN123" s="31"/>
      <c r="AO123" s="31"/>
      <c r="AP123" s="31"/>
      <c r="AQ123" s="31"/>
      <c r="AR123" s="31"/>
      <c r="AS123" s="31"/>
      <c r="AT123" s="31"/>
      <c r="AU123" s="31"/>
      <c r="AV123" s="31"/>
      <c r="AW123" s="31"/>
      <c r="AX123" s="31"/>
      <c r="AY123" s="31" t="n">
        <f aca="false">IF($G123="",AN123,O123)</f>
        <v>0</v>
      </c>
      <c r="AZ123" s="31" t="n">
        <f aca="false">IF($G123="",AO123,P123)</f>
        <v>0</v>
      </c>
      <c r="BA123" s="31" t="n">
        <f aca="false">IF($G123="",AP123,T123)</f>
        <v>607560</v>
      </c>
      <c r="BB123" s="31" t="n">
        <f aca="false">IF($G123="",AQ123,U123)</f>
        <v>49800</v>
      </c>
      <c r="BC123" s="31" t="n">
        <f aca="false">IF($G123="",AR123,V123)</f>
        <v>603</v>
      </c>
      <c r="BD123" s="31" t="n">
        <f aca="false">IF($G123="",AS123,Q123)</f>
        <v>0</v>
      </c>
      <c r="BE123" s="31" t="n">
        <f aca="false">IF($G123="",AT123,W123)</f>
        <v>344697</v>
      </c>
      <c r="BF123" s="31" t="n">
        <f aca="false">IF($G123="",AU123,R123)</f>
        <v>0</v>
      </c>
      <c r="BG123" s="31" t="n">
        <f aca="false">IF($G123="",AV123,X123)</f>
        <v>28203</v>
      </c>
      <c r="BH123" s="31" t="n">
        <f aca="false">IF($G123="",AW123,S123)</f>
        <v>0</v>
      </c>
      <c r="BI123" s="31" t="n">
        <f aca="false">IF($G123="",AX123,Y123)</f>
        <v>7634</v>
      </c>
      <c r="BJ123" s="31" t="n">
        <f aca="false">IF(CK123="N",BR123,ROUNDDOWN((I123-L123)*設定!$B$10/1000,0)+ROUNDDOWN((I123-L123)*設定!$B$11/1000,0))</f>
        <v>0</v>
      </c>
      <c r="BK123" s="31" t="n">
        <f aca="false">ROUNDDOWN((I123-L123)*設定!$C$10/1000,0)+ROUNDDOWN((I123-L123)*設定!$C$11/1000,0)+ROUNDDOWN(I123*設定!$C$12/1000,0)+IF(CL123="市局型",ROUNDDOWN(I123*設定!$C$16/1000,0),0)</f>
        <v>0</v>
      </c>
      <c r="BL123" s="31" t="n">
        <f aca="false">IF(CK123="N",BT123,ROUNDDOWN((J123-M123)*設定!$B$13/1000,0))</f>
        <v>0</v>
      </c>
      <c r="BM123" s="31" t="n">
        <f aca="false">ROUNDDOWN((J123-M123)*設定!$C$13/1000,0)+IF(CL123="市局型",ROUNDDOWN(J123*設定!$C$17/1000,0),0)</f>
        <v>0</v>
      </c>
      <c r="BN123" s="31" t="n">
        <f aca="false">IF(CK123="N",BV123,ROUNDDOWN((K123-N123)*設定!$B$14/1000,0))</f>
        <v>0</v>
      </c>
      <c r="BO123" s="31" t="n">
        <f aca="false">ROUNDDOWN((K123-N123)*設定!$C$14/1000,0)</f>
        <v>0</v>
      </c>
      <c r="BP123" s="31" t="n">
        <f aca="false">IF(CK123="N",BX123,ROUNDDOWN((J123-M123)*設定!$B$15/1000,0))</f>
        <v>0</v>
      </c>
      <c r="BQ123" s="31" t="n">
        <f aca="false">ROUNDDOWN((J123-M123)*設定!$C$15/1000,0)</f>
        <v>0</v>
      </c>
      <c r="BR123" s="31" t="n">
        <f aca="false">O123+P123</f>
        <v>0</v>
      </c>
      <c r="BS123" s="31" t="n">
        <f aca="false">T123+U123+V123</f>
        <v>657963</v>
      </c>
      <c r="BT123" s="31" t="n">
        <f aca="false">Q123</f>
        <v>0</v>
      </c>
      <c r="BU123" s="31" t="n">
        <f aca="false">W123</f>
        <v>344697</v>
      </c>
      <c r="BV123" s="31" t="n">
        <f aca="false">R123</f>
        <v>0</v>
      </c>
      <c r="BW123" s="31" t="n">
        <f aca="false">X123</f>
        <v>28203</v>
      </c>
      <c r="BX123" s="31" t="n">
        <f aca="false">S123</f>
        <v>0</v>
      </c>
      <c r="BY123" s="31" t="n">
        <f aca="false">Y123</f>
        <v>7634</v>
      </c>
      <c r="BZ123" s="32" t="n">
        <f aca="false">IF(BJ123=0,IF(BR123=0,0,1),(BR123-BJ123)/BJ123)</f>
        <v>0</v>
      </c>
      <c r="CA123" s="32" t="n">
        <f aca="false">IF(BK123=0,IF(BS123=0,0,1),(BS123-BK123)/BK123)</f>
        <v>1</v>
      </c>
      <c r="CB123" s="32" t="n">
        <f aca="false">IF(BL123=0,IF(BT123=0,0,1),(BT123-BL123)/BL123)</f>
        <v>0</v>
      </c>
      <c r="CC123" s="32" t="n">
        <f aca="false">IF(BM123=0,IF(BU123=0,0,1),(BU123-BM123)/BM123)</f>
        <v>1</v>
      </c>
      <c r="CD123" s="32" t="n">
        <f aca="false">IF(BN123=0,IF(BV123=0,0,1),(BV123-BN123)/BN123)</f>
        <v>0</v>
      </c>
      <c r="CE123" s="32" t="n">
        <f aca="false">IF(BO123=0,IF(BW123=0,0,1),(BW123-BO123)/BO123)</f>
        <v>1</v>
      </c>
      <c r="CF123" s="32" t="n">
        <f aca="false">IF(BP123=0,IF(BX123=0,0,1),(BX123-BP123)/BP123)</f>
        <v>0</v>
      </c>
      <c r="CG123" s="32" t="n">
        <f aca="false">IF(BQ123=0,IF(BY123=0,0,1),(BY123-BQ123)/BQ123)</f>
        <v>1</v>
      </c>
      <c r="CH123" s="32" t="n">
        <f aca="false">MAX(MAX(BZ123:CG123),-MIN(BZ123:CG123))</f>
        <v>1</v>
      </c>
      <c r="CI123" s="31" t="n">
        <f aca="false">IF(CO123="","",SUMIFS($CJ$7:$CJ$696,$A$7:$A$696,CO123,$B$7:$B$696,B123))</f>
        <v>1038497</v>
      </c>
      <c r="CJ123" s="31" t="n">
        <f aca="false">SUM(AY123:BI123)</f>
        <v>1038497</v>
      </c>
      <c r="CK123" s="31" t="str">
        <f aca="false">IFERROR(INDEX(設定!$F$61:$F$106,MATCH(B123,設定!$B$61:$B$106,0)),"Y")</f>
        <v>N</v>
      </c>
      <c r="CL123" s="31" t="str">
        <f aca="false">IFERROR(INDEX(設定!$G$61:$G$106,MATCH(B123,設定!$B$61:$B$106,0)),"外郭型")</f>
        <v>外郭型</v>
      </c>
      <c r="CM123" s="33" t="str">
        <f aca="false">A123&amp;"|"&amp;B123</f>
        <v>2026-06 月例|農林水産振興センタ</v>
      </c>
      <c r="CN123" s="34" t="str">
        <f aca="false">IFERROR(INDEX(設定!$D$61:$D$106,MATCH(B123,設定!$B$61:$B$106,0)),"Y")</f>
        <v>Y</v>
      </c>
      <c r="CO123" s="34" t="str">
        <f aca="false">IFERROR(INDEX(設定!$D$20:$D$34,MATCH(A123,設定!$A$20:$A$34,0))&amp;"","")</f>
        <v>2026-05 月例</v>
      </c>
    </row>
    <row r="124" customFormat="false" ht="15" hidden="true" customHeight="false" outlineLevel="0" collapsed="false">
      <c r="A124" s="22" t="s">
        <v>217</v>
      </c>
      <c r="B124" s="23" t="s">
        <v>194</v>
      </c>
      <c r="C124" s="10" t="str">
        <f aca="false">IF(G124="","未受領",IF(G124="なし","報告なし",IF(AL124="○","起票済",IF(OR(AK124="○",F124="一致",F124="入金不要"),"入金確認済","受領済"))))</f>
        <v>入金確認済</v>
      </c>
      <c r="D124" s="10" t="str">
        <f aca="false">IF(OR(G124="",G124="なし"),"―",IF(CN124="N","対象外",IF(AND(I124="",J124="",K124=""),"標報未入力",IF(CH124&gt;=設定!$B$4,"要確認","問題なし"))))</f>
        <v>標報未入力</v>
      </c>
      <c r="E124" s="24" t="str">
        <f aca="false">IF(OR(G124="",G124="なし",CI124="",CJ124=0),"―",IF(CJ124=CI124,"前月同額",IF(CI124=0,"―",IF(ABS(CJ124/CI124-1)&gt;=設定!$B$5,"変動大 "&amp;TEXT(CJ124/CI124-1,"+0%;-0%"),"〇"))))</f>
        <v>前月同額</v>
      </c>
      <c r="F124" s="10" t="str">
        <f aca="false">IF(OR(G124="",G124="なし"),"―",IF(CJ124=0,"入金不要",IF(COUNT(AD124,AF124,AH124,AJ124)=0,IF(AK124="○","手動確認","未入金"),IF(AND(N(AD124)=AC124,IF(AE124="",TRUE(),N(AF124)=AE124),IF(AG124="",TRUE(),N(AH124)=AG124),IF(AI124="",TRUE(),N(AJ124)=AI124)),"一致","不一致"))))</f>
        <v>手動確認</v>
      </c>
      <c r="G124" s="25" t="s">
        <v>167</v>
      </c>
      <c r="H124" s="26"/>
      <c r="I124" s="27"/>
      <c r="J124" s="27"/>
      <c r="K124" s="27"/>
      <c r="L124" s="27"/>
      <c r="M124" s="27"/>
      <c r="N124" s="27"/>
      <c r="O124" s="27"/>
      <c r="P124" s="27"/>
      <c r="Q124" s="27"/>
      <c r="R124" s="27"/>
      <c r="S124" s="27"/>
      <c r="T124" s="27" t="n">
        <v>1056825</v>
      </c>
      <c r="U124" s="27" t="n">
        <v>86625</v>
      </c>
      <c r="V124" s="27" t="n">
        <v>1000</v>
      </c>
      <c r="W124" s="27" t="n">
        <v>602672</v>
      </c>
      <c r="X124" s="27" t="n">
        <v>86347</v>
      </c>
      <c r="Y124" s="27" t="n">
        <v>13350</v>
      </c>
      <c r="Z124" s="27"/>
      <c r="AA124" s="10" t="str">
        <f aca="false">IFERROR(INDEX(設定!$E$61:$E$106,MATCH(B124,設定!$B$61:$B$106,0)),"合算")</f>
        <v>合算</v>
      </c>
      <c r="AB124" s="28"/>
      <c r="AC124" s="29" t="n">
        <f aca="false">IF(OR(G124="",G124="なし"),"",IF(AA124="合算",CJ124+N(Z124),IF(AA124="掛金・負担金別",(AY124+AZ124+BD124+BF124+BH124),SUM(AY124:BC124))))</f>
        <v>1846819</v>
      </c>
      <c r="AD124" s="27"/>
      <c r="AE124" s="29" t="str">
        <f aca="false">IF(OR(G124="",G124="なし"),"",IF(AA124="掛金・負担金別",(BA124+BB124+BC124+BE124+BG124+BI124+N(Z124)),IF(AA124="経理区分別",BD124+BE124,"")))</f>
        <v/>
      </c>
      <c r="AF124" s="27"/>
      <c r="AG124" s="29" t="str">
        <f aca="false">IF(OR(G124="",G124="なし"),"",IF(AA124="経理区分別",BF124+BG124,""))</f>
        <v/>
      </c>
      <c r="AH124" s="27"/>
      <c r="AI124" s="29" t="str">
        <f aca="false">IF(OR(G124="",G124="なし"),"",IF(AA124="経理区分別",BH124+BI124+N(Z124),""))</f>
        <v/>
      </c>
      <c r="AJ124" s="27"/>
      <c r="AK124" s="26" t="s">
        <v>168</v>
      </c>
      <c r="AL124" s="26"/>
      <c r="AM124" s="30"/>
      <c r="AN124" s="31"/>
      <c r="AO124" s="31"/>
      <c r="AP124" s="31"/>
      <c r="AQ124" s="31"/>
      <c r="AR124" s="31"/>
      <c r="AS124" s="31"/>
      <c r="AT124" s="31"/>
      <c r="AU124" s="31"/>
      <c r="AV124" s="31"/>
      <c r="AW124" s="31"/>
      <c r="AX124" s="31"/>
      <c r="AY124" s="31" t="n">
        <f aca="false">IF($G124="",AN124,O124)</f>
        <v>0</v>
      </c>
      <c r="AZ124" s="31" t="n">
        <f aca="false">IF($G124="",AO124,P124)</f>
        <v>0</v>
      </c>
      <c r="BA124" s="31" t="n">
        <f aca="false">IF($G124="",AP124,T124)</f>
        <v>1056825</v>
      </c>
      <c r="BB124" s="31" t="n">
        <f aca="false">IF($G124="",AQ124,U124)</f>
        <v>86625</v>
      </c>
      <c r="BC124" s="31" t="n">
        <f aca="false">IF($G124="",AR124,V124)</f>
        <v>1000</v>
      </c>
      <c r="BD124" s="31" t="n">
        <f aca="false">IF($G124="",AS124,Q124)</f>
        <v>0</v>
      </c>
      <c r="BE124" s="31" t="n">
        <f aca="false">IF($G124="",AT124,W124)</f>
        <v>602672</v>
      </c>
      <c r="BF124" s="31" t="n">
        <f aca="false">IF($G124="",AU124,R124)</f>
        <v>0</v>
      </c>
      <c r="BG124" s="31" t="n">
        <f aca="false">IF($G124="",AV124,X124)</f>
        <v>86347</v>
      </c>
      <c r="BH124" s="31" t="n">
        <f aca="false">IF($G124="",AW124,S124)</f>
        <v>0</v>
      </c>
      <c r="BI124" s="31" t="n">
        <f aca="false">IF($G124="",AX124,Y124)</f>
        <v>13350</v>
      </c>
      <c r="BJ124" s="31" t="n">
        <f aca="false">IF(CK124="N",BR124,ROUNDDOWN((I124-L124)*設定!$B$10/1000,0)+ROUNDDOWN((I124-L124)*設定!$B$11/1000,0))</f>
        <v>0</v>
      </c>
      <c r="BK124" s="31" t="n">
        <f aca="false">ROUNDDOWN((I124-L124)*設定!$C$10/1000,0)+ROUNDDOWN((I124-L124)*設定!$C$11/1000,0)+ROUNDDOWN(I124*設定!$C$12/1000,0)+IF(CL124="市局型",ROUNDDOWN(I124*設定!$C$16/1000,0),0)</f>
        <v>0</v>
      </c>
      <c r="BL124" s="31" t="n">
        <f aca="false">IF(CK124="N",BT124,ROUNDDOWN((J124-M124)*設定!$B$13/1000,0))</f>
        <v>0</v>
      </c>
      <c r="BM124" s="31" t="n">
        <f aca="false">ROUNDDOWN((J124-M124)*設定!$C$13/1000,0)+IF(CL124="市局型",ROUNDDOWN(J124*設定!$C$17/1000,0),0)</f>
        <v>0</v>
      </c>
      <c r="BN124" s="31" t="n">
        <f aca="false">IF(CK124="N",BV124,ROUNDDOWN((K124-N124)*設定!$B$14/1000,0))</f>
        <v>0</v>
      </c>
      <c r="BO124" s="31" t="n">
        <f aca="false">ROUNDDOWN((K124-N124)*設定!$C$14/1000,0)</f>
        <v>0</v>
      </c>
      <c r="BP124" s="31" t="n">
        <f aca="false">IF(CK124="N",BX124,ROUNDDOWN((J124-M124)*設定!$B$15/1000,0))</f>
        <v>0</v>
      </c>
      <c r="BQ124" s="31" t="n">
        <f aca="false">ROUNDDOWN((J124-M124)*設定!$C$15/1000,0)</f>
        <v>0</v>
      </c>
      <c r="BR124" s="31" t="n">
        <f aca="false">O124+P124</f>
        <v>0</v>
      </c>
      <c r="BS124" s="31" t="n">
        <f aca="false">T124+U124+V124</f>
        <v>1144450</v>
      </c>
      <c r="BT124" s="31" t="n">
        <f aca="false">Q124</f>
        <v>0</v>
      </c>
      <c r="BU124" s="31" t="n">
        <f aca="false">W124</f>
        <v>602672</v>
      </c>
      <c r="BV124" s="31" t="n">
        <f aca="false">R124</f>
        <v>0</v>
      </c>
      <c r="BW124" s="31" t="n">
        <f aca="false">X124</f>
        <v>86347</v>
      </c>
      <c r="BX124" s="31" t="n">
        <f aca="false">S124</f>
        <v>0</v>
      </c>
      <c r="BY124" s="31" t="n">
        <f aca="false">Y124</f>
        <v>13350</v>
      </c>
      <c r="BZ124" s="32" t="n">
        <f aca="false">IF(BJ124=0,IF(BR124=0,0,1),(BR124-BJ124)/BJ124)</f>
        <v>0</v>
      </c>
      <c r="CA124" s="32" t="n">
        <f aca="false">IF(BK124=0,IF(BS124=0,0,1),(BS124-BK124)/BK124)</f>
        <v>1</v>
      </c>
      <c r="CB124" s="32" t="n">
        <f aca="false">IF(BL124=0,IF(BT124=0,0,1),(BT124-BL124)/BL124)</f>
        <v>0</v>
      </c>
      <c r="CC124" s="32" t="n">
        <f aca="false">IF(BM124=0,IF(BU124=0,0,1),(BU124-BM124)/BM124)</f>
        <v>1</v>
      </c>
      <c r="CD124" s="32" t="n">
        <f aca="false">IF(BN124=0,IF(BV124=0,0,1),(BV124-BN124)/BN124)</f>
        <v>0</v>
      </c>
      <c r="CE124" s="32" t="n">
        <f aca="false">IF(BO124=0,IF(BW124=0,0,1),(BW124-BO124)/BO124)</f>
        <v>1</v>
      </c>
      <c r="CF124" s="32" t="n">
        <f aca="false">IF(BP124=0,IF(BX124=0,0,1),(BX124-BP124)/BP124)</f>
        <v>0</v>
      </c>
      <c r="CG124" s="32" t="n">
        <f aca="false">IF(BQ124=0,IF(BY124=0,0,1),(BY124-BQ124)/BQ124)</f>
        <v>1</v>
      </c>
      <c r="CH124" s="32" t="n">
        <f aca="false">MAX(MAX(BZ124:CG124),-MIN(BZ124:CG124))</f>
        <v>1</v>
      </c>
      <c r="CI124" s="31" t="n">
        <f aca="false">IF(CO124="","",SUMIFS($CJ$7:$CJ$696,$A$7:$A$696,CO124,$B$7:$B$696,B124))</f>
        <v>1846819</v>
      </c>
      <c r="CJ124" s="31" t="n">
        <f aca="false">SUM(AY124:BI124)</f>
        <v>1846819</v>
      </c>
      <c r="CK124" s="31" t="str">
        <f aca="false">IFERROR(INDEX(設定!$F$61:$F$106,MATCH(B124,設定!$B$61:$B$106,0)),"Y")</f>
        <v>N</v>
      </c>
      <c r="CL124" s="31" t="str">
        <f aca="false">IFERROR(INDEX(設定!$G$61:$G$106,MATCH(B124,設定!$B$61:$B$106,0)),"外郭型")</f>
        <v>外郭型</v>
      </c>
      <c r="CM124" s="33" t="str">
        <f aca="false">A124&amp;"|"&amp;B124</f>
        <v>2026-06 月例|文化財団　市長部局</v>
      </c>
      <c r="CN124" s="34" t="str">
        <f aca="false">IFERROR(INDEX(設定!$D$61:$D$106,MATCH(B124,設定!$B$61:$B$106,0)),"Y")</f>
        <v>Y</v>
      </c>
      <c r="CO124" s="34" t="str">
        <f aca="false">IFERROR(INDEX(設定!$D$20:$D$34,MATCH(A124,設定!$A$20:$A$34,0))&amp;"","")</f>
        <v>2026-05 月例</v>
      </c>
    </row>
    <row r="125" customFormat="false" ht="15" hidden="true" customHeight="false" outlineLevel="0" collapsed="false">
      <c r="A125" s="22" t="s">
        <v>217</v>
      </c>
      <c r="B125" s="23" t="s">
        <v>195</v>
      </c>
      <c r="C125" s="10" t="str">
        <f aca="false">IF(G125="","未受領",IF(G125="なし","報告なし",IF(AL125="○","起票済",IF(OR(AK125="○",F125="一致",F125="入金不要"),"入金確認済","受領済"))))</f>
        <v>入金確認済</v>
      </c>
      <c r="D125" s="10" t="str">
        <f aca="false">IF(OR(G125="",G125="なし"),"―",IF(CN125="N","対象外",IF(AND(I125="",J125="",K125=""),"標報未入力",IF(CH125&gt;=設定!$B$4,"要確認","問題なし"))))</f>
        <v>標報未入力</v>
      </c>
      <c r="E125" s="24" t="str">
        <f aca="false">IF(OR(G125="",G125="なし",CI125="",CJ125=0),"―",IF(CJ125=CI125,"前月同額",IF(CI125=0,"―",IF(ABS(CJ125/CI125-1)&gt;=設定!$B$5,"変動大 "&amp;TEXT(CJ125/CI125-1,"+0%;-0%"),"〇"))))</f>
        <v>―</v>
      </c>
      <c r="F125" s="10" t="str">
        <f aca="false">IF(OR(G125="",G125="なし"),"―",IF(CJ125=0,"入金不要",IF(COUNT(AD125,AF125,AH125,AJ125)=0,IF(AK125="○","手動確認","未入金"),IF(AND(N(AD125)=AC125,IF(AE125="",TRUE(),N(AF125)=AE125),IF(AG125="",TRUE(),N(AH125)=AG125),IF(AI125="",TRUE(),N(AJ125)=AI125)),"一致","不一致"))))</f>
        <v>入金不要</v>
      </c>
      <c r="G125" s="25" t="s">
        <v>167</v>
      </c>
      <c r="H125" s="26"/>
      <c r="I125" s="27"/>
      <c r="J125" s="27"/>
      <c r="K125" s="27"/>
      <c r="L125" s="27"/>
      <c r="M125" s="27"/>
      <c r="N125" s="27"/>
      <c r="O125" s="27"/>
      <c r="P125" s="27"/>
      <c r="Q125" s="27"/>
      <c r="R125" s="27"/>
      <c r="S125" s="27"/>
      <c r="T125" s="27" t="n">
        <v>0</v>
      </c>
      <c r="U125" s="27" t="n">
        <v>0</v>
      </c>
      <c r="V125" s="27" t="n">
        <v>0</v>
      </c>
      <c r="W125" s="27" t="n">
        <v>0</v>
      </c>
      <c r="X125" s="27" t="n">
        <v>0</v>
      </c>
      <c r="Y125" s="27" t="n">
        <v>0</v>
      </c>
      <c r="Z125" s="27"/>
      <c r="AA125" s="10" t="str">
        <f aca="false">IFERROR(INDEX(設定!$E$61:$E$106,MATCH(B125,設定!$B$61:$B$106,0)),"合算")</f>
        <v>合算</v>
      </c>
      <c r="AB125" s="28"/>
      <c r="AC125" s="29" t="n">
        <f aca="false">IF(OR(G125="",G125="なし"),"",IF(AA125="合算",CJ125+N(Z125),IF(AA125="掛金・負担金別",(AY125+AZ125+BD125+BF125+BH125),SUM(AY125:BC125))))</f>
        <v>0</v>
      </c>
      <c r="AD125" s="27"/>
      <c r="AE125" s="29" t="str">
        <f aca="false">IF(OR(G125="",G125="なし"),"",IF(AA125="掛金・負担金別",(BA125+BB125+BC125+BE125+BG125+BI125+N(Z125)),IF(AA125="経理区分別",BD125+BE125,"")))</f>
        <v/>
      </c>
      <c r="AF125" s="27"/>
      <c r="AG125" s="29" t="str">
        <f aca="false">IF(OR(G125="",G125="なし"),"",IF(AA125="経理区分別",BF125+BG125,""))</f>
        <v/>
      </c>
      <c r="AH125" s="27"/>
      <c r="AI125" s="29" t="str">
        <f aca="false">IF(OR(G125="",G125="なし"),"",IF(AA125="経理区分別",BH125+BI125+N(Z125),""))</f>
        <v/>
      </c>
      <c r="AJ125" s="27"/>
      <c r="AK125" s="26" t="s">
        <v>168</v>
      </c>
      <c r="AL125" s="26"/>
      <c r="AM125" s="30"/>
      <c r="AN125" s="31"/>
      <c r="AO125" s="31"/>
      <c r="AP125" s="31"/>
      <c r="AQ125" s="31"/>
      <c r="AR125" s="31"/>
      <c r="AS125" s="31"/>
      <c r="AT125" s="31"/>
      <c r="AU125" s="31"/>
      <c r="AV125" s="31"/>
      <c r="AW125" s="31"/>
      <c r="AX125" s="31"/>
      <c r="AY125" s="31" t="n">
        <f aca="false">IF($G125="",AN125,O125)</f>
        <v>0</v>
      </c>
      <c r="AZ125" s="31" t="n">
        <f aca="false">IF($G125="",AO125,P125)</f>
        <v>0</v>
      </c>
      <c r="BA125" s="31" t="n">
        <f aca="false">IF($G125="",AP125,T125)</f>
        <v>0</v>
      </c>
      <c r="BB125" s="31" t="n">
        <f aca="false">IF($G125="",AQ125,U125)</f>
        <v>0</v>
      </c>
      <c r="BC125" s="31" t="n">
        <f aca="false">IF($G125="",AR125,V125)</f>
        <v>0</v>
      </c>
      <c r="BD125" s="31" t="n">
        <f aca="false">IF($G125="",AS125,Q125)</f>
        <v>0</v>
      </c>
      <c r="BE125" s="31" t="n">
        <f aca="false">IF($G125="",AT125,W125)</f>
        <v>0</v>
      </c>
      <c r="BF125" s="31" t="n">
        <f aca="false">IF($G125="",AU125,R125)</f>
        <v>0</v>
      </c>
      <c r="BG125" s="31" t="n">
        <f aca="false">IF($G125="",AV125,X125)</f>
        <v>0</v>
      </c>
      <c r="BH125" s="31" t="n">
        <f aca="false">IF($G125="",AW125,S125)</f>
        <v>0</v>
      </c>
      <c r="BI125" s="31" t="n">
        <f aca="false">IF($G125="",AX125,Y125)</f>
        <v>0</v>
      </c>
      <c r="BJ125" s="31" t="n">
        <f aca="false">IF(CK125="N",BR125,ROUNDDOWN((I125-L125)*設定!$B$10/1000,0)+ROUNDDOWN((I125-L125)*設定!$B$11/1000,0))</f>
        <v>0</v>
      </c>
      <c r="BK125" s="31" t="n">
        <f aca="false">ROUNDDOWN((I125-L125)*設定!$C$10/1000,0)+ROUNDDOWN((I125-L125)*設定!$C$11/1000,0)+ROUNDDOWN(I125*設定!$C$12/1000,0)+IF(CL125="市局型",ROUNDDOWN(I125*設定!$C$16/1000,0),0)</f>
        <v>0</v>
      </c>
      <c r="BL125" s="31" t="n">
        <f aca="false">IF(CK125="N",BT125,ROUNDDOWN((J125-M125)*設定!$B$13/1000,0))</f>
        <v>0</v>
      </c>
      <c r="BM125" s="31" t="n">
        <f aca="false">ROUNDDOWN((J125-M125)*設定!$C$13/1000,0)+IF(CL125="市局型",ROUNDDOWN(J125*設定!$C$17/1000,0),0)</f>
        <v>0</v>
      </c>
      <c r="BN125" s="31" t="n">
        <f aca="false">IF(CK125="N",BV125,ROUNDDOWN((K125-N125)*設定!$B$14/1000,0))</f>
        <v>0</v>
      </c>
      <c r="BO125" s="31" t="n">
        <f aca="false">ROUNDDOWN((K125-N125)*設定!$C$14/1000,0)</f>
        <v>0</v>
      </c>
      <c r="BP125" s="31" t="n">
        <f aca="false">IF(CK125="N",BX125,ROUNDDOWN((J125-M125)*設定!$B$15/1000,0))</f>
        <v>0</v>
      </c>
      <c r="BQ125" s="31" t="n">
        <f aca="false">ROUNDDOWN((J125-M125)*設定!$C$15/1000,0)</f>
        <v>0</v>
      </c>
      <c r="BR125" s="31" t="n">
        <f aca="false">O125+P125</f>
        <v>0</v>
      </c>
      <c r="BS125" s="31" t="n">
        <f aca="false">T125+U125+V125</f>
        <v>0</v>
      </c>
      <c r="BT125" s="31" t="n">
        <f aca="false">Q125</f>
        <v>0</v>
      </c>
      <c r="BU125" s="31" t="n">
        <f aca="false">W125</f>
        <v>0</v>
      </c>
      <c r="BV125" s="31" t="n">
        <f aca="false">R125</f>
        <v>0</v>
      </c>
      <c r="BW125" s="31" t="n">
        <f aca="false">X125</f>
        <v>0</v>
      </c>
      <c r="BX125" s="31" t="n">
        <f aca="false">S125</f>
        <v>0</v>
      </c>
      <c r="BY125" s="31" t="n">
        <f aca="false">Y125</f>
        <v>0</v>
      </c>
      <c r="BZ125" s="32" t="n">
        <f aca="false">IF(BJ125=0,IF(BR125=0,0,1),(BR125-BJ125)/BJ125)</f>
        <v>0</v>
      </c>
      <c r="CA125" s="32" t="n">
        <f aca="false">IF(BK125=0,IF(BS125=0,0,1),(BS125-BK125)/BK125)</f>
        <v>0</v>
      </c>
      <c r="CB125" s="32" t="n">
        <f aca="false">IF(BL125=0,IF(BT125=0,0,1),(BT125-BL125)/BL125)</f>
        <v>0</v>
      </c>
      <c r="CC125" s="32" t="n">
        <f aca="false">IF(BM125=0,IF(BU125=0,0,1),(BU125-BM125)/BM125)</f>
        <v>0</v>
      </c>
      <c r="CD125" s="32" t="n">
        <f aca="false">IF(BN125=0,IF(BV125=0,0,1),(BV125-BN125)/BN125)</f>
        <v>0</v>
      </c>
      <c r="CE125" s="32" t="n">
        <f aca="false">IF(BO125=0,IF(BW125=0,0,1),(BW125-BO125)/BO125)</f>
        <v>0</v>
      </c>
      <c r="CF125" s="32" t="n">
        <f aca="false">IF(BP125=0,IF(BX125=0,0,1),(BX125-BP125)/BP125)</f>
        <v>0</v>
      </c>
      <c r="CG125" s="32" t="n">
        <f aca="false">IF(BQ125=0,IF(BY125=0,0,1),(BY125-BQ125)/BQ125)</f>
        <v>0</v>
      </c>
      <c r="CH125" s="32" t="n">
        <f aca="false">MAX(MAX(BZ125:CG125),-MIN(BZ125:CG125))</f>
        <v>-0</v>
      </c>
      <c r="CI125" s="31" t="n">
        <f aca="false">IF(CO125="","",SUMIFS($CJ$7:$CJ$696,$A$7:$A$696,CO125,$B$7:$B$696,B125))</f>
        <v>0</v>
      </c>
      <c r="CJ125" s="31" t="n">
        <f aca="false">SUM(AY125:BI125)</f>
        <v>0</v>
      </c>
      <c r="CK125" s="31" t="str">
        <f aca="false">IFERROR(INDEX(設定!$F$61:$F$106,MATCH(B125,設定!$B$61:$B$106,0)),"Y")</f>
        <v>N</v>
      </c>
      <c r="CL125" s="31" t="str">
        <f aca="false">IFERROR(INDEX(設定!$G$61:$G$106,MATCH(B125,設定!$B$61:$B$106,0)),"外郭型")</f>
        <v>外郭型</v>
      </c>
      <c r="CM125" s="33" t="str">
        <f aca="false">A125&amp;"|"&amp;B125</f>
        <v>2026-06 月例|文化財団　教育委員会</v>
      </c>
      <c r="CN125" s="34" t="str">
        <f aca="false">IFERROR(INDEX(設定!$D$61:$D$106,MATCH(B125,設定!$B$61:$B$106,0)),"Y")</f>
        <v>Y</v>
      </c>
      <c r="CO125" s="34" t="str">
        <f aca="false">IFERROR(INDEX(設定!$D$20:$D$34,MATCH(A125,設定!$A$20:$A$34,0))&amp;"","")</f>
        <v>2026-05 月例</v>
      </c>
    </row>
    <row r="126" customFormat="false" ht="15" hidden="true" customHeight="false" outlineLevel="0" collapsed="false">
      <c r="A126" s="22" t="s">
        <v>217</v>
      </c>
      <c r="B126" s="23" t="s">
        <v>196</v>
      </c>
      <c r="C126" s="10" t="str">
        <f aca="false">IF(G126="","未受領",IF(G126="なし","報告なし",IF(AL126="○","起票済",IF(OR(AK126="○",F126="一致",F126="入金不要"),"入金確認済","受領済"))))</f>
        <v>入金確認済</v>
      </c>
      <c r="D126" s="10" t="str">
        <f aca="false">IF(OR(G126="",G126="なし"),"―",IF(CN126="N","対象外",IF(AND(I126="",J126="",K126=""),"標報未入力",IF(CH126&gt;=設定!$B$4,"要確認","問題なし"))))</f>
        <v>標報未入力</v>
      </c>
      <c r="E126" s="24" t="str">
        <f aca="false">IF(OR(G126="",G126="なし",CI126="",CJ126=0),"―",IF(CJ126=CI126,"前月同額",IF(CI126=0,"―",IF(ABS(CJ126/CI126-1)&gt;=設定!$B$5,"変動大 "&amp;TEXT(CJ126/CI126-1,"+0%;-0%"),"〇"))))</f>
        <v>前月同額</v>
      </c>
      <c r="F126" s="10" t="str">
        <f aca="false">IF(OR(G126="",G126="なし"),"―",IF(CJ126=0,"入金不要",IF(COUNT(AD126,AF126,AH126,AJ126)=0,IF(AK126="○","手動確認","未入金"),IF(AND(N(AD126)=AC126,IF(AE126="",TRUE(),N(AF126)=AE126),IF(AG126="",TRUE(),N(AH126)=AG126),IF(AI126="",TRUE(),N(AJ126)=AI126)),"一致","不一致"))))</f>
        <v>手動確認</v>
      </c>
      <c r="G126" s="25" t="s">
        <v>167</v>
      </c>
      <c r="H126" s="26"/>
      <c r="I126" s="27"/>
      <c r="J126" s="27"/>
      <c r="K126" s="27"/>
      <c r="L126" s="27"/>
      <c r="M126" s="27"/>
      <c r="N126" s="27"/>
      <c r="O126" s="27"/>
      <c r="P126" s="27"/>
      <c r="Q126" s="27"/>
      <c r="R126" s="27"/>
      <c r="S126" s="27"/>
      <c r="T126" s="27" t="n">
        <v>405345</v>
      </c>
      <c r="U126" s="27" t="n">
        <v>33225</v>
      </c>
      <c r="V126" s="27" t="n">
        <v>383</v>
      </c>
      <c r="W126" s="27" t="n">
        <v>229959</v>
      </c>
      <c r="X126" s="27" t="n">
        <v>34997</v>
      </c>
      <c r="Y126" s="27" t="n">
        <v>5093</v>
      </c>
      <c r="Z126" s="27"/>
      <c r="AA126" s="10" t="str">
        <f aca="false">IFERROR(INDEX(設定!$E$61:$E$106,MATCH(B126,設定!$B$61:$B$106,0)),"合算")</f>
        <v>合算</v>
      </c>
      <c r="AB126" s="28"/>
      <c r="AC126" s="29" t="n">
        <f aca="false">IF(OR(G126="",G126="なし"),"",IF(AA126="合算",CJ126+N(Z126),IF(AA126="掛金・負担金別",(AY126+AZ126+BD126+BF126+BH126),SUM(AY126:BC126))))</f>
        <v>709002</v>
      </c>
      <c r="AD126" s="27"/>
      <c r="AE126" s="29" t="str">
        <f aca="false">IF(OR(G126="",G126="なし"),"",IF(AA126="掛金・負担金別",(BA126+BB126+BC126+BE126+BG126+BI126+N(Z126)),IF(AA126="経理区分別",BD126+BE126,"")))</f>
        <v/>
      </c>
      <c r="AF126" s="27"/>
      <c r="AG126" s="29" t="str">
        <f aca="false">IF(OR(G126="",G126="なし"),"",IF(AA126="経理区分別",BF126+BG126,""))</f>
        <v/>
      </c>
      <c r="AH126" s="27"/>
      <c r="AI126" s="29" t="str">
        <f aca="false">IF(OR(G126="",G126="なし"),"",IF(AA126="経理区分別",BH126+BI126+N(Z126),""))</f>
        <v/>
      </c>
      <c r="AJ126" s="27"/>
      <c r="AK126" s="26" t="s">
        <v>168</v>
      </c>
      <c r="AL126" s="26"/>
      <c r="AM126" s="30"/>
      <c r="AN126" s="31"/>
      <c r="AO126" s="31"/>
      <c r="AP126" s="31"/>
      <c r="AQ126" s="31"/>
      <c r="AR126" s="31"/>
      <c r="AS126" s="31"/>
      <c r="AT126" s="31"/>
      <c r="AU126" s="31"/>
      <c r="AV126" s="31"/>
      <c r="AW126" s="31"/>
      <c r="AX126" s="31"/>
      <c r="AY126" s="31" t="n">
        <f aca="false">IF($G126="",AN126,O126)</f>
        <v>0</v>
      </c>
      <c r="AZ126" s="31" t="n">
        <f aca="false">IF($G126="",AO126,P126)</f>
        <v>0</v>
      </c>
      <c r="BA126" s="31" t="n">
        <f aca="false">IF($G126="",AP126,T126)</f>
        <v>405345</v>
      </c>
      <c r="BB126" s="31" t="n">
        <f aca="false">IF($G126="",AQ126,U126)</f>
        <v>33225</v>
      </c>
      <c r="BC126" s="31" t="n">
        <f aca="false">IF($G126="",AR126,V126)</f>
        <v>383</v>
      </c>
      <c r="BD126" s="31" t="n">
        <f aca="false">IF($G126="",AS126,Q126)</f>
        <v>0</v>
      </c>
      <c r="BE126" s="31" t="n">
        <f aca="false">IF($G126="",AT126,W126)</f>
        <v>229959</v>
      </c>
      <c r="BF126" s="31" t="n">
        <f aca="false">IF($G126="",AU126,R126)</f>
        <v>0</v>
      </c>
      <c r="BG126" s="31" t="n">
        <f aca="false">IF($G126="",AV126,X126)</f>
        <v>34997</v>
      </c>
      <c r="BH126" s="31" t="n">
        <f aca="false">IF($G126="",AW126,S126)</f>
        <v>0</v>
      </c>
      <c r="BI126" s="31" t="n">
        <f aca="false">IF($G126="",AX126,Y126)</f>
        <v>5093</v>
      </c>
      <c r="BJ126" s="31" t="n">
        <f aca="false">IF(CK126="N",BR126,ROUNDDOWN((I126-L126)*設定!$B$10/1000,0)+ROUNDDOWN((I126-L126)*設定!$B$11/1000,0))</f>
        <v>0</v>
      </c>
      <c r="BK126" s="31" t="n">
        <f aca="false">ROUNDDOWN((I126-L126)*設定!$C$10/1000,0)+ROUNDDOWN((I126-L126)*設定!$C$11/1000,0)+ROUNDDOWN(I126*設定!$C$12/1000,0)+IF(CL126="市局型",ROUNDDOWN(I126*設定!$C$16/1000,0),0)</f>
        <v>0</v>
      </c>
      <c r="BL126" s="31" t="n">
        <f aca="false">IF(CK126="N",BT126,ROUNDDOWN((J126-M126)*設定!$B$13/1000,0))</f>
        <v>0</v>
      </c>
      <c r="BM126" s="31" t="n">
        <f aca="false">ROUNDDOWN((J126-M126)*設定!$C$13/1000,0)+IF(CL126="市局型",ROUNDDOWN(J126*設定!$C$17/1000,0),0)</f>
        <v>0</v>
      </c>
      <c r="BN126" s="31" t="n">
        <f aca="false">IF(CK126="N",BV126,ROUNDDOWN((K126-N126)*設定!$B$14/1000,0))</f>
        <v>0</v>
      </c>
      <c r="BO126" s="31" t="n">
        <f aca="false">ROUNDDOWN((K126-N126)*設定!$C$14/1000,0)</f>
        <v>0</v>
      </c>
      <c r="BP126" s="31" t="n">
        <f aca="false">IF(CK126="N",BX126,ROUNDDOWN((J126-M126)*設定!$B$15/1000,0))</f>
        <v>0</v>
      </c>
      <c r="BQ126" s="31" t="n">
        <f aca="false">ROUNDDOWN((J126-M126)*設定!$C$15/1000,0)</f>
        <v>0</v>
      </c>
      <c r="BR126" s="31" t="n">
        <f aca="false">O126+P126</f>
        <v>0</v>
      </c>
      <c r="BS126" s="31" t="n">
        <f aca="false">T126+U126+V126</f>
        <v>438953</v>
      </c>
      <c r="BT126" s="31" t="n">
        <f aca="false">Q126</f>
        <v>0</v>
      </c>
      <c r="BU126" s="31" t="n">
        <f aca="false">W126</f>
        <v>229959</v>
      </c>
      <c r="BV126" s="31" t="n">
        <f aca="false">R126</f>
        <v>0</v>
      </c>
      <c r="BW126" s="31" t="n">
        <f aca="false">X126</f>
        <v>34997</v>
      </c>
      <c r="BX126" s="31" t="n">
        <f aca="false">S126</f>
        <v>0</v>
      </c>
      <c r="BY126" s="31" t="n">
        <f aca="false">Y126</f>
        <v>5093</v>
      </c>
      <c r="BZ126" s="32" t="n">
        <f aca="false">IF(BJ126=0,IF(BR126=0,0,1),(BR126-BJ126)/BJ126)</f>
        <v>0</v>
      </c>
      <c r="CA126" s="32" t="n">
        <f aca="false">IF(BK126=0,IF(BS126=0,0,1),(BS126-BK126)/BK126)</f>
        <v>1</v>
      </c>
      <c r="CB126" s="32" t="n">
        <f aca="false">IF(BL126=0,IF(BT126=0,0,1),(BT126-BL126)/BL126)</f>
        <v>0</v>
      </c>
      <c r="CC126" s="32" t="n">
        <f aca="false">IF(BM126=0,IF(BU126=0,0,1),(BU126-BM126)/BM126)</f>
        <v>1</v>
      </c>
      <c r="CD126" s="32" t="n">
        <f aca="false">IF(BN126=0,IF(BV126=0,0,1),(BV126-BN126)/BN126)</f>
        <v>0</v>
      </c>
      <c r="CE126" s="32" t="n">
        <f aca="false">IF(BO126=0,IF(BW126=0,0,1),(BW126-BO126)/BO126)</f>
        <v>1</v>
      </c>
      <c r="CF126" s="32" t="n">
        <f aca="false">IF(BP126=0,IF(BX126=0,0,1),(BX126-BP126)/BP126)</f>
        <v>0</v>
      </c>
      <c r="CG126" s="32" t="n">
        <f aca="false">IF(BQ126=0,IF(BY126=0,0,1),(BY126-BQ126)/BQ126)</f>
        <v>1</v>
      </c>
      <c r="CH126" s="32" t="n">
        <f aca="false">MAX(MAX(BZ126:CG126),-MIN(BZ126:CG126))</f>
        <v>1</v>
      </c>
      <c r="CI126" s="31" t="n">
        <f aca="false">IF(CO126="","",SUMIFS($CJ$7:$CJ$696,$A$7:$A$696,CO126,$B$7:$B$696,B126))</f>
        <v>709002</v>
      </c>
      <c r="CJ126" s="31" t="n">
        <f aca="false">SUM(AY126:BI126)</f>
        <v>709002</v>
      </c>
      <c r="CK126" s="31" t="str">
        <f aca="false">IFERROR(INDEX(設定!$F$61:$F$106,MATCH(B126,設定!$B$61:$B$106,0)),"Y")</f>
        <v>N</v>
      </c>
      <c r="CL126" s="31" t="str">
        <f aca="false">IFERROR(INDEX(設定!$G$61:$G$106,MATCH(B126,設定!$B$61:$B$106,0)),"外郭型")</f>
        <v>外郭型</v>
      </c>
      <c r="CM126" s="33" t="str">
        <f aca="false">A126&amp;"|"&amp;B126</f>
        <v>2026-06 月例|みどり生きもの協会</v>
      </c>
      <c r="CN126" s="34" t="str">
        <f aca="false">IFERROR(INDEX(設定!$D$61:$D$106,MATCH(B126,設定!$B$61:$B$106,0)),"Y")</f>
        <v>Y</v>
      </c>
      <c r="CO126" s="34" t="str">
        <f aca="false">IFERROR(INDEX(設定!$D$20:$D$34,MATCH(A126,設定!$A$20:$A$34,0))&amp;"","")</f>
        <v>2026-05 月例</v>
      </c>
    </row>
    <row r="127" customFormat="false" ht="15" hidden="true" customHeight="false" outlineLevel="0" collapsed="false">
      <c r="A127" s="22" t="s">
        <v>217</v>
      </c>
      <c r="B127" s="23" t="s">
        <v>197</v>
      </c>
      <c r="C127" s="10" t="str">
        <f aca="false">IF(G127="","未受領",IF(G127="なし","報告なし",IF(AL127="○","起票済",IF(OR(AK127="○",F127="一致",F127="入金不要"),"入金確認済","受領済"))))</f>
        <v>入金確認済</v>
      </c>
      <c r="D127" s="10" t="str">
        <f aca="false">IF(OR(G127="",G127="なし"),"―",IF(CN127="N","対象外",IF(AND(I127="",J127="",K127=""),"標報未入力",IF(CH127&gt;=設定!$B$4,"要確認","問題なし"))))</f>
        <v>標報未入力</v>
      </c>
      <c r="E127" s="24" t="str">
        <f aca="false">IF(OR(G127="",G127="なし",CI127="",CJ127=0),"―",IF(CJ127=CI127,"前月同額",IF(CI127=0,"―",IF(ABS(CJ127/CI127-1)&gt;=設定!$B$5,"変動大 "&amp;TEXT(CJ127/CI127-1,"+0%;-0%"),"〇"))))</f>
        <v>前月同額</v>
      </c>
      <c r="F127" s="10" t="str">
        <f aca="false">IF(OR(G127="",G127="なし"),"―",IF(CJ127=0,"入金不要",IF(COUNT(AD127,AF127,AH127,AJ127)=0,IF(AK127="○","手動確認","未入金"),IF(AND(N(AD127)=AC127,IF(AE127="",TRUE(),N(AF127)=AE127),IF(AG127="",TRUE(),N(AH127)=AG127),IF(AI127="",TRUE(),N(AJ127)=AI127)),"一致","不一致"))))</f>
        <v>手動確認</v>
      </c>
      <c r="G127" s="25" t="s">
        <v>167</v>
      </c>
      <c r="H127" s="26"/>
      <c r="I127" s="27"/>
      <c r="J127" s="27"/>
      <c r="K127" s="27"/>
      <c r="L127" s="27"/>
      <c r="M127" s="27"/>
      <c r="N127" s="27"/>
      <c r="O127" s="27" t="n">
        <v>148230</v>
      </c>
      <c r="P127" s="27" t="n">
        <v>12150</v>
      </c>
      <c r="Q127" s="27" t="n">
        <v>87123</v>
      </c>
      <c r="R127" s="27" t="n">
        <v>10033</v>
      </c>
      <c r="S127" s="27" t="n">
        <v>1931</v>
      </c>
      <c r="T127" s="27" t="n">
        <v>148230</v>
      </c>
      <c r="U127" s="27" t="n">
        <v>12150</v>
      </c>
      <c r="V127" s="27" t="n">
        <v>140</v>
      </c>
      <c r="W127" s="27" t="n">
        <v>87208</v>
      </c>
      <c r="X127" s="27" t="n">
        <v>10033</v>
      </c>
      <c r="Y127" s="27" t="n">
        <v>1932</v>
      </c>
      <c r="Z127" s="27"/>
      <c r="AA127" s="10" t="str">
        <f aca="false">IFERROR(INDEX(設定!$E$61:$E$106,MATCH(B127,設定!$B$61:$B$106,0)),"合算")</f>
        <v>合算</v>
      </c>
      <c r="AB127" s="28"/>
      <c r="AC127" s="29" t="n">
        <f aca="false">IF(OR(G127="",G127="なし"),"",IF(AA127="合算",CJ127+N(Z127),IF(AA127="掛金・負担金別",(AY127+AZ127+BD127+BF127+BH127),SUM(AY127:BC127))))</f>
        <v>519160</v>
      </c>
      <c r="AD127" s="27"/>
      <c r="AE127" s="29" t="str">
        <f aca="false">IF(OR(G127="",G127="なし"),"",IF(AA127="掛金・負担金別",(BA127+BB127+BC127+BE127+BG127+BI127+N(Z127)),IF(AA127="経理区分別",BD127+BE127,"")))</f>
        <v/>
      </c>
      <c r="AF127" s="27"/>
      <c r="AG127" s="29" t="str">
        <f aca="false">IF(OR(G127="",G127="なし"),"",IF(AA127="経理区分別",BF127+BG127,""))</f>
        <v/>
      </c>
      <c r="AH127" s="27"/>
      <c r="AI127" s="29" t="str">
        <f aca="false">IF(OR(G127="",G127="なし"),"",IF(AA127="経理区分別",BH127+BI127+N(Z127),""))</f>
        <v/>
      </c>
      <c r="AJ127" s="27"/>
      <c r="AK127" s="26" t="s">
        <v>168</v>
      </c>
      <c r="AL127" s="26"/>
      <c r="AM127" s="30"/>
      <c r="AN127" s="31"/>
      <c r="AO127" s="31"/>
      <c r="AP127" s="31"/>
      <c r="AQ127" s="31"/>
      <c r="AR127" s="31"/>
      <c r="AS127" s="31"/>
      <c r="AT127" s="31"/>
      <c r="AU127" s="31"/>
      <c r="AV127" s="31"/>
      <c r="AW127" s="31"/>
      <c r="AX127" s="31"/>
      <c r="AY127" s="31" t="n">
        <f aca="false">IF($G127="",AN127,O127)</f>
        <v>148230</v>
      </c>
      <c r="AZ127" s="31" t="n">
        <f aca="false">IF($G127="",AO127,P127)</f>
        <v>12150</v>
      </c>
      <c r="BA127" s="31" t="n">
        <f aca="false">IF($G127="",AP127,T127)</f>
        <v>148230</v>
      </c>
      <c r="BB127" s="31" t="n">
        <f aca="false">IF($G127="",AQ127,U127)</f>
        <v>12150</v>
      </c>
      <c r="BC127" s="31" t="n">
        <f aca="false">IF($G127="",AR127,V127)</f>
        <v>140</v>
      </c>
      <c r="BD127" s="31" t="n">
        <f aca="false">IF($G127="",AS127,Q127)</f>
        <v>87123</v>
      </c>
      <c r="BE127" s="31" t="n">
        <f aca="false">IF($G127="",AT127,W127)</f>
        <v>87208</v>
      </c>
      <c r="BF127" s="31" t="n">
        <f aca="false">IF($G127="",AU127,R127)</f>
        <v>10033</v>
      </c>
      <c r="BG127" s="31" t="n">
        <f aca="false">IF($G127="",AV127,X127)</f>
        <v>10033</v>
      </c>
      <c r="BH127" s="31" t="n">
        <f aca="false">IF($G127="",AW127,S127)</f>
        <v>1931</v>
      </c>
      <c r="BI127" s="31" t="n">
        <f aca="false">IF($G127="",AX127,Y127)</f>
        <v>1932</v>
      </c>
      <c r="BJ127" s="31" t="n">
        <f aca="false">IF(CK127="N",BR127,ROUNDDOWN((I127-L127)*設定!$B$10/1000,0)+ROUNDDOWN((I127-L127)*設定!$B$11/1000,0))</f>
        <v>0</v>
      </c>
      <c r="BK127" s="31" t="n">
        <f aca="false">ROUNDDOWN((I127-L127)*設定!$C$10/1000,0)+ROUNDDOWN((I127-L127)*設定!$C$11/1000,0)+ROUNDDOWN(I127*設定!$C$12/1000,0)+IF(CL127="市局型",ROUNDDOWN(I127*設定!$C$16/1000,0),0)</f>
        <v>0</v>
      </c>
      <c r="BL127" s="31" t="n">
        <f aca="false">IF(CK127="N",BT127,ROUNDDOWN((J127-M127)*設定!$B$13/1000,0))</f>
        <v>0</v>
      </c>
      <c r="BM127" s="31" t="n">
        <f aca="false">ROUNDDOWN((J127-M127)*設定!$C$13/1000,0)+IF(CL127="市局型",ROUNDDOWN(J127*設定!$C$17/1000,0),0)</f>
        <v>0</v>
      </c>
      <c r="BN127" s="31" t="n">
        <f aca="false">IF(CK127="N",BV127,ROUNDDOWN((K127-N127)*設定!$B$14/1000,0))</f>
        <v>0</v>
      </c>
      <c r="BO127" s="31" t="n">
        <f aca="false">ROUNDDOWN((K127-N127)*設定!$C$14/1000,0)</f>
        <v>0</v>
      </c>
      <c r="BP127" s="31" t="n">
        <f aca="false">IF(CK127="N",BX127,ROUNDDOWN((J127-M127)*設定!$B$15/1000,0))</f>
        <v>0</v>
      </c>
      <c r="BQ127" s="31" t="n">
        <f aca="false">ROUNDDOWN((J127-M127)*設定!$C$15/1000,0)</f>
        <v>0</v>
      </c>
      <c r="BR127" s="31" t="n">
        <f aca="false">O127+P127</f>
        <v>160380</v>
      </c>
      <c r="BS127" s="31" t="n">
        <f aca="false">T127+U127+V127</f>
        <v>160520</v>
      </c>
      <c r="BT127" s="31" t="n">
        <f aca="false">Q127</f>
        <v>87123</v>
      </c>
      <c r="BU127" s="31" t="n">
        <f aca="false">W127</f>
        <v>87208</v>
      </c>
      <c r="BV127" s="31" t="n">
        <f aca="false">R127</f>
        <v>10033</v>
      </c>
      <c r="BW127" s="31" t="n">
        <f aca="false">X127</f>
        <v>10033</v>
      </c>
      <c r="BX127" s="31" t="n">
        <f aca="false">S127</f>
        <v>1931</v>
      </c>
      <c r="BY127" s="31" t="n">
        <f aca="false">Y127</f>
        <v>1932</v>
      </c>
      <c r="BZ127" s="32" t="n">
        <f aca="false">IF(BJ127=0,IF(BR127=0,0,1),(BR127-BJ127)/BJ127)</f>
        <v>1</v>
      </c>
      <c r="CA127" s="32" t="n">
        <f aca="false">IF(BK127=0,IF(BS127=0,0,1),(BS127-BK127)/BK127)</f>
        <v>1</v>
      </c>
      <c r="CB127" s="32" t="n">
        <f aca="false">IF(BL127=0,IF(BT127=0,0,1),(BT127-BL127)/BL127)</f>
        <v>1</v>
      </c>
      <c r="CC127" s="32" t="n">
        <f aca="false">IF(BM127=0,IF(BU127=0,0,1),(BU127-BM127)/BM127)</f>
        <v>1</v>
      </c>
      <c r="CD127" s="32" t="n">
        <f aca="false">IF(BN127=0,IF(BV127=0,0,1),(BV127-BN127)/BN127)</f>
        <v>1</v>
      </c>
      <c r="CE127" s="32" t="n">
        <f aca="false">IF(BO127=0,IF(BW127=0,0,1),(BW127-BO127)/BO127)</f>
        <v>1</v>
      </c>
      <c r="CF127" s="32" t="n">
        <f aca="false">IF(BP127=0,IF(BX127=0,0,1),(BX127-BP127)/BP127)</f>
        <v>1</v>
      </c>
      <c r="CG127" s="32" t="n">
        <f aca="false">IF(BQ127=0,IF(BY127=0,0,1),(BY127-BQ127)/BQ127)</f>
        <v>1</v>
      </c>
      <c r="CH127" s="32" t="n">
        <f aca="false">MAX(MAX(BZ127:CG127),-MIN(BZ127:CG127))</f>
        <v>1</v>
      </c>
      <c r="CI127" s="31" t="n">
        <f aca="false">IF(CO127="","",SUMIFS($CJ$7:$CJ$696,$A$7:$A$696,CO127,$B$7:$B$696,B127))</f>
        <v>519160</v>
      </c>
      <c r="CJ127" s="31" t="n">
        <f aca="false">SUM(AY127:BI127)</f>
        <v>519160</v>
      </c>
      <c r="CK127" s="31" t="str">
        <f aca="false">IFERROR(INDEX(設定!$F$61:$F$106,MATCH(B127,設定!$B$61:$B$106,0)),"Y")</f>
        <v>Y</v>
      </c>
      <c r="CL127" s="31" t="str">
        <f aca="false">IFERROR(INDEX(設定!$G$61:$G$106,MATCH(B127,設定!$B$61:$B$106,0)),"外郭型")</f>
        <v>外郭型</v>
      </c>
      <c r="CM127" s="33" t="str">
        <f aca="false">A127&amp;"|"&amp;B127</f>
        <v>2026-06 月例|県下水道公社</v>
      </c>
      <c r="CN127" s="34" t="str">
        <f aca="false">IFERROR(INDEX(設定!$D$61:$D$106,MATCH(B127,設定!$B$61:$B$106,0)),"Y")</f>
        <v>Y</v>
      </c>
      <c r="CO127" s="34" t="str">
        <f aca="false">IFERROR(INDEX(設定!$D$20:$D$34,MATCH(A127,設定!$A$20:$A$34,0))&amp;"","")</f>
        <v>2026-05 月例</v>
      </c>
    </row>
    <row r="128" customFormat="false" ht="26.85" hidden="true" customHeight="false" outlineLevel="0" collapsed="false">
      <c r="A128" s="22" t="s">
        <v>217</v>
      </c>
      <c r="B128" s="35" t="s">
        <v>198</v>
      </c>
      <c r="C128" s="10" t="str">
        <f aca="false">IF(G128="","未受領",IF(G128="なし","報告なし",IF(AL128="○","起票済",IF(OR(AK128="○",F128="一致",F128="入金不要"),"入金確認済","受領済"))))</f>
        <v>入金確認済</v>
      </c>
      <c r="D128" s="10" t="str">
        <f aca="false">IF(OR(G128="",G128="なし"),"―",IF(CN128="N","対象外",IF(AND(I128="",J128="",K128=""),"標報未入力",IF(CH128&gt;=設定!$B$4,"要確認","問題なし"))))</f>
        <v>標報未入力</v>
      </c>
      <c r="E128" s="24" t="str">
        <f aca="false">IF(OR(G128="",G128="なし",CI128="",CJ128=0),"―",IF(CJ128=CI128,"前月同額",IF(CI128=0,"―",IF(ABS(CJ128/CI128-1)&gt;=設定!$B$5,"変動大 "&amp;TEXT(CJ128/CI128-1,"+0%;-0%"),"〇"))))</f>
        <v>前月同額</v>
      </c>
      <c r="F128" s="10" t="str">
        <f aca="false">IF(OR(G128="",G128="なし"),"―",IF(CJ128=0,"入金不要",IF(COUNT(AD128,AF128,AH128,AJ128)=0,IF(AK128="○","手動確認","未入金"),IF(AND(N(AD128)=AC128,IF(AE128="",TRUE(),N(AF128)=AE128),IF(AG128="",TRUE(),N(AH128)=AG128),IF(AI128="",TRUE(),N(AJ128)=AI128)),"一致","不一致"))))</f>
        <v>手動確認</v>
      </c>
      <c r="G128" s="25" t="s">
        <v>167</v>
      </c>
      <c r="H128" s="26"/>
      <c r="I128" s="27"/>
      <c r="J128" s="27"/>
      <c r="K128" s="27"/>
      <c r="L128" s="27"/>
      <c r="M128" s="27"/>
      <c r="N128" s="27"/>
      <c r="O128" s="27"/>
      <c r="P128" s="27"/>
      <c r="Q128" s="27"/>
      <c r="R128" s="27"/>
      <c r="S128" s="27"/>
      <c r="T128" s="27" t="n">
        <v>455670</v>
      </c>
      <c r="U128" s="27" t="n">
        <v>37350</v>
      </c>
      <c r="V128" s="27" t="n">
        <v>432</v>
      </c>
      <c r="W128" s="27" t="n">
        <v>263702</v>
      </c>
      <c r="X128" s="27" t="n">
        <v>21093</v>
      </c>
      <c r="Y128" s="27" t="n">
        <v>5842</v>
      </c>
      <c r="Z128" s="27"/>
      <c r="AA128" s="10" t="str">
        <f aca="false">IFERROR(INDEX(設定!$E$61:$E$106,MATCH(B128,設定!$B$61:$B$106,0)),"合算")</f>
        <v>合算</v>
      </c>
      <c r="AB128" s="28"/>
      <c r="AC128" s="29" t="n">
        <f aca="false">IF(OR(G128="",G128="なし"),"",IF(AA128="合算",CJ128+N(Z128),IF(AA128="掛金・負担金別",(AY128+AZ128+BD128+BF128+BH128),SUM(AY128:BC128))))</f>
        <v>784089</v>
      </c>
      <c r="AD128" s="27"/>
      <c r="AE128" s="29" t="str">
        <f aca="false">IF(OR(G128="",G128="なし"),"",IF(AA128="掛金・負担金別",(BA128+BB128+BC128+BE128+BG128+BI128+N(Z128)),IF(AA128="経理区分別",BD128+BE128,"")))</f>
        <v/>
      </c>
      <c r="AF128" s="27"/>
      <c r="AG128" s="29" t="str">
        <f aca="false">IF(OR(G128="",G128="なし"),"",IF(AA128="経理区分別",BF128+BG128,""))</f>
        <v/>
      </c>
      <c r="AH128" s="27"/>
      <c r="AI128" s="29" t="str">
        <f aca="false">IF(OR(G128="",G128="なし"),"",IF(AA128="経理区分別",BH128+BI128+N(Z128),""))</f>
        <v/>
      </c>
      <c r="AJ128" s="27"/>
      <c r="AK128" s="26" t="s">
        <v>168</v>
      </c>
      <c r="AL128" s="26"/>
      <c r="AM128" s="30"/>
      <c r="AN128" s="31"/>
      <c r="AO128" s="31"/>
      <c r="AP128" s="31"/>
      <c r="AQ128" s="31"/>
      <c r="AR128" s="31"/>
      <c r="AS128" s="31"/>
      <c r="AT128" s="31"/>
      <c r="AU128" s="31"/>
      <c r="AV128" s="31"/>
      <c r="AW128" s="31"/>
      <c r="AX128" s="31"/>
      <c r="AY128" s="31" t="n">
        <f aca="false">IF($G128="",AN128,O128)</f>
        <v>0</v>
      </c>
      <c r="AZ128" s="31" t="n">
        <f aca="false">IF($G128="",AO128,P128)</f>
        <v>0</v>
      </c>
      <c r="BA128" s="31" t="n">
        <f aca="false">IF($G128="",AP128,T128)</f>
        <v>455670</v>
      </c>
      <c r="BB128" s="31" t="n">
        <f aca="false">IF($G128="",AQ128,U128)</f>
        <v>37350</v>
      </c>
      <c r="BC128" s="31" t="n">
        <f aca="false">IF($G128="",AR128,V128)</f>
        <v>432</v>
      </c>
      <c r="BD128" s="31" t="n">
        <f aca="false">IF($G128="",AS128,Q128)</f>
        <v>0</v>
      </c>
      <c r="BE128" s="31" t="n">
        <f aca="false">IF($G128="",AT128,W128)</f>
        <v>263702</v>
      </c>
      <c r="BF128" s="31" t="n">
        <f aca="false">IF($G128="",AU128,R128)</f>
        <v>0</v>
      </c>
      <c r="BG128" s="31" t="n">
        <f aca="false">IF($G128="",AV128,X128)</f>
        <v>21093</v>
      </c>
      <c r="BH128" s="31" t="n">
        <f aca="false">IF($G128="",AW128,S128)</f>
        <v>0</v>
      </c>
      <c r="BI128" s="31" t="n">
        <f aca="false">IF($G128="",AX128,Y128)</f>
        <v>5842</v>
      </c>
      <c r="BJ128" s="31" t="n">
        <f aca="false">IF(CK128="N",BR128,ROUNDDOWN((I128-L128)*設定!$B$10/1000,0)+ROUNDDOWN((I128-L128)*設定!$B$11/1000,0))</f>
        <v>0</v>
      </c>
      <c r="BK128" s="31" t="n">
        <f aca="false">ROUNDDOWN((I128-L128)*設定!$C$10/1000,0)+ROUNDDOWN((I128-L128)*設定!$C$11/1000,0)+ROUNDDOWN(I128*設定!$C$12/1000,0)+IF(CL128="市局型",ROUNDDOWN(I128*設定!$C$16/1000,0),0)</f>
        <v>0</v>
      </c>
      <c r="BL128" s="31" t="n">
        <f aca="false">IF(CK128="N",BT128,ROUNDDOWN((J128-M128)*設定!$B$13/1000,0))</f>
        <v>0</v>
      </c>
      <c r="BM128" s="31" t="n">
        <f aca="false">ROUNDDOWN((J128-M128)*設定!$C$13/1000,0)+IF(CL128="市局型",ROUNDDOWN(J128*設定!$C$17/1000,0),0)</f>
        <v>0</v>
      </c>
      <c r="BN128" s="31" t="n">
        <f aca="false">IF(CK128="N",BV128,ROUNDDOWN((K128-N128)*設定!$B$14/1000,0))</f>
        <v>0</v>
      </c>
      <c r="BO128" s="31" t="n">
        <f aca="false">ROUNDDOWN((K128-N128)*設定!$C$14/1000,0)</f>
        <v>0</v>
      </c>
      <c r="BP128" s="31" t="n">
        <f aca="false">IF(CK128="N",BX128,ROUNDDOWN((J128-M128)*設定!$B$15/1000,0))</f>
        <v>0</v>
      </c>
      <c r="BQ128" s="31" t="n">
        <f aca="false">ROUNDDOWN((J128-M128)*設定!$C$15/1000,0)</f>
        <v>0</v>
      </c>
      <c r="BR128" s="31" t="n">
        <f aca="false">O128+P128</f>
        <v>0</v>
      </c>
      <c r="BS128" s="31" t="n">
        <f aca="false">T128+U128+V128</f>
        <v>493452</v>
      </c>
      <c r="BT128" s="31" t="n">
        <f aca="false">Q128</f>
        <v>0</v>
      </c>
      <c r="BU128" s="31" t="n">
        <f aca="false">W128</f>
        <v>263702</v>
      </c>
      <c r="BV128" s="31" t="n">
        <f aca="false">R128</f>
        <v>0</v>
      </c>
      <c r="BW128" s="31" t="n">
        <f aca="false">X128</f>
        <v>21093</v>
      </c>
      <c r="BX128" s="31" t="n">
        <f aca="false">S128</f>
        <v>0</v>
      </c>
      <c r="BY128" s="31" t="n">
        <f aca="false">Y128</f>
        <v>5842</v>
      </c>
      <c r="BZ128" s="32" t="n">
        <f aca="false">IF(BJ128=0,IF(BR128=0,0,1),(BR128-BJ128)/BJ128)</f>
        <v>0</v>
      </c>
      <c r="CA128" s="32" t="n">
        <f aca="false">IF(BK128=0,IF(BS128=0,0,1),(BS128-BK128)/BK128)</f>
        <v>1</v>
      </c>
      <c r="CB128" s="32" t="n">
        <f aca="false">IF(BL128=0,IF(BT128=0,0,1),(BT128-BL128)/BL128)</f>
        <v>0</v>
      </c>
      <c r="CC128" s="32" t="n">
        <f aca="false">IF(BM128=0,IF(BU128=0,0,1),(BU128-BM128)/BM128)</f>
        <v>1</v>
      </c>
      <c r="CD128" s="32" t="n">
        <f aca="false">IF(BN128=0,IF(BV128=0,0,1),(BV128-BN128)/BN128)</f>
        <v>0</v>
      </c>
      <c r="CE128" s="32" t="n">
        <f aca="false">IF(BO128=0,IF(BW128=0,0,1),(BW128-BO128)/BO128)</f>
        <v>1</v>
      </c>
      <c r="CF128" s="32" t="n">
        <f aca="false">IF(BP128=0,IF(BX128=0,0,1),(BX128-BP128)/BP128)</f>
        <v>0</v>
      </c>
      <c r="CG128" s="32" t="n">
        <f aca="false">IF(BQ128=0,IF(BY128=0,0,1),(BY128-BQ128)/BQ128)</f>
        <v>1</v>
      </c>
      <c r="CH128" s="32" t="n">
        <f aca="false">MAX(MAX(BZ128:CG128),-MIN(BZ128:CG128))</f>
        <v>1</v>
      </c>
      <c r="CI128" s="31" t="n">
        <f aca="false">IF(CO128="","",SUMIFS($CJ$7:$CJ$696,$A$7:$A$696,CO128,$B$7:$B$696,B128))</f>
        <v>784089</v>
      </c>
      <c r="CJ128" s="31" t="n">
        <f aca="false">SUM(AY128:BI128)</f>
        <v>784089</v>
      </c>
      <c r="CK128" s="31" t="str">
        <f aca="false">IFERROR(INDEX(設定!$F$61:$F$106,MATCH(B128,設定!$B$61:$B$106,0)),"Y")</f>
        <v>N</v>
      </c>
      <c r="CL128" s="31" t="str">
        <f aca="false">IFERROR(INDEX(設定!$G$61:$G$106,MATCH(B128,設定!$B$61:$B$106,0)),"外郭型")</f>
        <v>外郭型</v>
      </c>
      <c r="CM128" s="36" t="str">
        <f aca="false">A128&amp;"|"&amp;B128</f>
        <v>2026-06 月例|バス協調・共創
プラットフォーム</v>
      </c>
      <c r="CN128" s="34" t="str">
        <f aca="false">IFERROR(INDEX(設定!$D$61:$D$106,MATCH(B128,設定!$B$61:$B$106,0)),"Y")</f>
        <v>Y</v>
      </c>
      <c r="CO128" s="34" t="str">
        <f aca="false">IFERROR(INDEX(設定!$D$20:$D$34,MATCH(A128,設定!$A$20:$A$34,0))&amp;"","")</f>
        <v>2026-05 月例</v>
      </c>
    </row>
    <row r="129" customFormat="false" ht="15" hidden="true" customHeight="false" outlineLevel="0" collapsed="false">
      <c r="A129" s="22" t="s">
        <v>217</v>
      </c>
      <c r="B129" s="23" t="s">
        <v>199</v>
      </c>
      <c r="C129" s="10" t="str">
        <f aca="false">IF(G129="","未受領",IF(G129="なし","報告なし",IF(AL129="○","起票済",IF(OR(AK129="○",F129="一致",F129="入金不要"),"入金確認済","受領済"))))</f>
        <v>入金確認済</v>
      </c>
      <c r="D129" s="10" t="str">
        <f aca="false">IF(OR(G129="",G129="なし"),"―",IF(CN129="N","対象外",IF(AND(I129="",J129="",K129=""),"標報未入力",IF(CH129&gt;=設定!$B$4,"要確認","問題なし"))))</f>
        <v>標報未入力</v>
      </c>
      <c r="E129" s="24" t="str">
        <f aca="false">IF(OR(G129="",G129="なし",CI129="",CJ129=0),"―",IF(CJ129=CI129,"前月同額",IF(CI129=0,"―",IF(ABS(CJ129/CI129-1)&gt;=設定!$B$5,"変動大 "&amp;TEXT(CJ129/CI129-1,"+0%;-0%"),"〇"))))</f>
        <v>前月同額</v>
      </c>
      <c r="F129" s="10" t="str">
        <f aca="false">IF(OR(G129="",G129="なし"),"―",IF(CJ129=0,"入金不要",IF(COUNT(AD129,AF129,AH129,AJ129)=0,IF(AK129="○","手動確認","未入金"),IF(AND(N(AD129)=AC129,IF(AE129="",TRUE(),N(AF129)=AE129),IF(AG129="",TRUE(),N(AH129)=AG129),IF(AI129="",TRUE(),N(AJ129)=AI129)),"一致","不一致"))))</f>
        <v>手動確認</v>
      </c>
      <c r="G129" s="25" t="s">
        <v>167</v>
      </c>
      <c r="H129" s="26"/>
      <c r="I129" s="27"/>
      <c r="J129" s="27"/>
      <c r="K129" s="27"/>
      <c r="L129" s="27"/>
      <c r="M129" s="27"/>
      <c r="N129" s="27"/>
      <c r="O129" s="27" t="n">
        <v>56730</v>
      </c>
      <c r="P129" s="27" t="n">
        <v>4650</v>
      </c>
      <c r="Q129" s="27" t="n">
        <v>32153</v>
      </c>
      <c r="R129" s="27" t="n">
        <v>4898</v>
      </c>
      <c r="S129" s="27" t="n">
        <v>713</v>
      </c>
      <c r="T129" s="27" t="n">
        <v>56730</v>
      </c>
      <c r="U129" s="27" t="n">
        <v>4650</v>
      </c>
      <c r="V129" s="27" t="n">
        <v>53</v>
      </c>
      <c r="W129" s="27" t="n">
        <v>32184</v>
      </c>
      <c r="X129" s="27" t="n">
        <v>4898</v>
      </c>
      <c r="Y129" s="27" t="n">
        <v>713</v>
      </c>
      <c r="Z129" s="27"/>
      <c r="AA129" s="10" t="str">
        <f aca="false">IFERROR(INDEX(設定!$E$61:$E$106,MATCH(B129,設定!$B$61:$B$106,0)),"合算")</f>
        <v>合算</v>
      </c>
      <c r="AB129" s="28"/>
      <c r="AC129" s="29" t="n">
        <f aca="false">IF(OR(G129="",G129="なし"),"",IF(AA129="合算",CJ129+N(Z129),IF(AA129="掛金・負担金別",(AY129+AZ129+BD129+BF129+BH129),SUM(AY129:BC129))))</f>
        <v>198372</v>
      </c>
      <c r="AD129" s="27"/>
      <c r="AE129" s="29" t="str">
        <f aca="false">IF(OR(G129="",G129="なし"),"",IF(AA129="掛金・負担金別",(BA129+BB129+BC129+BE129+BG129+BI129+N(Z129)),IF(AA129="経理区分別",BD129+BE129,"")))</f>
        <v/>
      </c>
      <c r="AF129" s="27"/>
      <c r="AG129" s="29" t="str">
        <f aca="false">IF(OR(G129="",G129="なし"),"",IF(AA129="経理区分別",BF129+BG129,""))</f>
        <v/>
      </c>
      <c r="AH129" s="27"/>
      <c r="AI129" s="29" t="str">
        <f aca="false">IF(OR(G129="",G129="なし"),"",IF(AA129="経理区分別",BH129+BI129+N(Z129),""))</f>
        <v/>
      </c>
      <c r="AJ129" s="27"/>
      <c r="AK129" s="26" t="s">
        <v>168</v>
      </c>
      <c r="AL129" s="26"/>
      <c r="AM129" s="30"/>
      <c r="AN129" s="31"/>
      <c r="AO129" s="31"/>
      <c r="AP129" s="31"/>
      <c r="AQ129" s="31"/>
      <c r="AR129" s="31"/>
      <c r="AS129" s="31"/>
      <c r="AT129" s="31"/>
      <c r="AU129" s="31"/>
      <c r="AV129" s="31"/>
      <c r="AW129" s="31"/>
      <c r="AX129" s="31"/>
      <c r="AY129" s="31" t="n">
        <f aca="false">IF($G129="",AN129,O129)</f>
        <v>56730</v>
      </c>
      <c r="AZ129" s="31" t="n">
        <f aca="false">IF($G129="",AO129,P129)</f>
        <v>4650</v>
      </c>
      <c r="BA129" s="31" t="n">
        <f aca="false">IF($G129="",AP129,T129)</f>
        <v>56730</v>
      </c>
      <c r="BB129" s="31" t="n">
        <f aca="false">IF($G129="",AQ129,U129)</f>
        <v>4650</v>
      </c>
      <c r="BC129" s="31" t="n">
        <f aca="false">IF($G129="",AR129,V129)</f>
        <v>53</v>
      </c>
      <c r="BD129" s="31" t="n">
        <f aca="false">IF($G129="",AS129,Q129)</f>
        <v>32153</v>
      </c>
      <c r="BE129" s="31" t="n">
        <f aca="false">IF($G129="",AT129,W129)</f>
        <v>32184</v>
      </c>
      <c r="BF129" s="31" t="n">
        <f aca="false">IF($G129="",AU129,R129)</f>
        <v>4898</v>
      </c>
      <c r="BG129" s="31" t="n">
        <f aca="false">IF($G129="",AV129,X129)</f>
        <v>4898</v>
      </c>
      <c r="BH129" s="31" t="n">
        <f aca="false">IF($G129="",AW129,S129)</f>
        <v>713</v>
      </c>
      <c r="BI129" s="31" t="n">
        <f aca="false">IF($G129="",AX129,Y129)</f>
        <v>713</v>
      </c>
      <c r="BJ129" s="31" t="n">
        <f aca="false">IF(CK129="N",BR129,ROUNDDOWN((I129-L129)*設定!$B$10/1000,0)+ROUNDDOWN((I129-L129)*設定!$B$11/1000,0))</f>
        <v>0</v>
      </c>
      <c r="BK129" s="31" t="n">
        <f aca="false">ROUNDDOWN((I129-L129)*設定!$C$10/1000,0)+ROUNDDOWN((I129-L129)*設定!$C$11/1000,0)+ROUNDDOWN(I129*設定!$C$12/1000,0)+IF(CL129="市局型",ROUNDDOWN(I129*設定!$C$16/1000,0),0)</f>
        <v>0</v>
      </c>
      <c r="BL129" s="31" t="n">
        <f aca="false">IF(CK129="N",BT129,ROUNDDOWN((J129-M129)*設定!$B$13/1000,0))</f>
        <v>0</v>
      </c>
      <c r="BM129" s="31" t="n">
        <f aca="false">ROUNDDOWN((J129-M129)*設定!$C$13/1000,0)+IF(CL129="市局型",ROUNDDOWN(J129*設定!$C$17/1000,0),0)</f>
        <v>0</v>
      </c>
      <c r="BN129" s="31" t="n">
        <f aca="false">IF(CK129="N",BV129,ROUNDDOWN((K129-N129)*設定!$B$14/1000,0))</f>
        <v>0</v>
      </c>
      <c r="BO129" s="31" t="n">
        <f aca="false">ROUNDDOWN((K129-N129)*設定!$C$14/1000,0)</f>
        <v>0</v>
      </c>
      <c r="BP129" s="31" t="n">
        <f aca="false">IF(CK129="N",BX129,ROUNDDOWN((J129-M129)*設定!$B$15/1000,0))</f>
        <v>0</v>
      </c>
      <c r="BQ129" s="31" t="n">
        <f aca="false">ROUNDDOWN((J129-M129)*設定!$C$15/1000,0)</f>
        <v>0</v>
      </c>
      <c r="BR129" s="31" t="n">
        <f aca="false">O129+P129</f>
        <v>61380</v>
      </c>
      <c r="BS129" s="31" t="n">
        <f aca="false">T129+U129+V129</f>
        <v>61433</v>
      </c>
      <c r="BT129" s="31" t="n">
        <f aca="false">Q129</f>
        <v>32153</v>
      </c>
      <c r="BU129" s="31" t="n">
        <f aca="false">W129</f>
        <v>32184</v>
      </c>
      <c r="BV129" s="31" t="n">
        <f aca="false">R129</f>
        <v>4898</v>
      </c>
      <c r="BW129" s="31" t="n">
        <f aca="false">X129</f>
        <v>4898</v>
      </c>
      <c r="BX129" s="31" t="n">
        <f aca="false">S129</f>
        <v>713</v>
      </c>
      <c r="BY129" s="31" t="n">
        <f aca="false">Y129</f>
        <v>713</v>
      </c>
      <c r="BZ129" s="32" t="n">
        <f aca="false">IF(BJ129=0,IF(BR129=0,0,1),(BR129-BJ129)/BJ129)</f>
        <v>1</v>
      </c>
      <c r="CA129" s="32" t="n">
        <f aca="false">IF(BK129=0,IF(BS129=0,0,1),(BS129-BK129)/BK129)</f>
        <v>1</v>
      </c>
      <c r="CB129" s="32" t="n">
        <f aca="false">IF(BL129=0,IF(BT129=0,0,1),(BT129-BL129)/BL129)</f>
        <v>1</v>
      </c>
      <c r="CC129" s="32" t="n">
        <f aca="false">IF(BM129=0,IF(BU129=0,0,1),(BU129-BM129)/BM129)</f>
        <v>1</v>
      </c>
      <c r="CD129" s="32" t="n">
        <f aca="false">IF(BN129=0,IF(BV129=0,0,1),(BV129-BN129)/BN129)</f>
        <v>1</v>
      </c>
      <c r="CE129" s="32" t="n">
        <f aca="false">IF(BO129=0,IF(BW129=0,0,1),(BW129-BO129)/BO129)</f>
        <v>1</v>
      </c>
      <c r="CF129" s="32" t="n">
        <f aca="false">IF(BP129=0,IF(BX129=0,0,1),(BX129-BP129)/BP129)</f>
        <v>1</v>
      </c>
      <c r="CG129" s="32" t="n">
        <f aca="false">IF(BQ129=0,IF(BY129=0,0,1),(BY129-BQ129)/BQ129)</f>
        <v>1</v>
      </c>
      <c r="CH129" s="32" t="n">
        <f aca="false">MAX(MAX(BZ129:CG129),-MIN(BZ129:CG129))</f>
        <v>1</v>
      </c>
      <c r="CI129" s="31" t="n">
        <f aca="false">IF(CO129="","",SUMIFS($CJ$7:$CJ$696,$A$7:$A$696,CO129,$B$7:$B$696,B129))</f>
        <v>198372</v>
      </c>
      <c r="CJ129" s="31" t="n">
        <f aca="false">SUM(AY129:BI129)</f>
        <v>198372</v>
      </c>
      <c r="CK129" s="31" t="str">
        <f aca="false">IFERROR(INDEX(設定!$F$61:$F$106,MATCH(B129,設定!$B$61:$B$106,0)),"Y")</f>
        <v>Y</v>
      </c>
      <c r="CL129" s="31" t="str">
        <f aca="false">IFERROR(INDEX(設定!$G$61:$G$106,MATCH(B129,設定!$B$61:$B$106,0)),"外郭型")</f>
        <v>外郭型</v>
      </c>
      <c r="CM129" s="33" t="str">
        <f aca="false">A129&amp;"|"&amp;B129</f>
        <v>2026-06 月例|広島県市長会</v>
      </c>
      <c r="CN129" s="34" t="str">
        <f aca="false">IFERROR(INDEX(設定!$D$61:$D$106,MATCH(B129,設定!$B$61:$B$106,0)),"Y")</f>
        <v>Y</v>
      </c>
      <c r="CO129" s="34" t="str">
        <f aca="false">IFERROR(INDEX(設定!$D$20:$D$34,MATCH(A129,設定!$A$20:$A$34,0))&amp;"","")</f>
        <v>2026-05 月例</v>
      </c>
    </row>
    <row r="130" customFormat="false" ht="15" hidden="true" customHeight="false" outlineLevel="0" collapsed="false">
      <c r="A130" s="22" t="s">
        <v>217</v>
      </c>
      <c r="B130" s="23" t="s">
        <v>200</v>
      </c>
      <c r="C130" s="10" t="str">
        <f aca="false">IF(G130="","未受領",IF(G130="なし","報告なし",IF(AL130="○","起票済",IF(OR(AK130="○",F130="一致",F130="入金不要"),"入金確認済","受領済"))))</f>
        <v>入金確認済</v>
      </c>
      <c r="D130" s="10" t="str">
        <f aca="false">IF(OR(G130="",G130="なし"),"―",IF(CN130="N","対象外",IF(AND(I130="",J130="",K130=""),"標報未入力",IF(CH130&gt;=設定!$B$4,"要確認","問題なし"))))</f>
        <v>標報未入力</v>
      </c>
      <c r="E130" s="24" t="str">
        <f aca="false">IF(OR(G130="",G130="なし",CI130="",CJ130=0),"―",IF(CJ130=CI130,"前月同額",IF(CI130=0,"―",IF(ABS(CJ130/CI130-1)&gt;=設定!$B$5,"変動大 "&amp;TEXT(CJ130/CI130-1,"+0%;-0%"),"〇"))))</f>
        <v>前月同額</v>
      </c>
      <c r="F130" s="10" t="str">
        <f aca="false">IF(OR(G130="",G130="なし"),"―",IF(CJ130=0,"入金不要",IF(COUNT(AD130,AF130,AH130,AJ130)=0,IF(AK130="○","手動確認","未入金"),IF(AND(N(AD130)=AC130,IF(AE130="",TRUE(),N(AF130)=AE130),IF(AG130="",TRUE(),N(AH130)=AG130),IF(AI130="",TRUE(),N(AJ130)=AI130)),"一致","不一致"))))</f>
        <v>手動確認</v>
      </c>
      <c r="G130" s="25" t="s">
        <v>167</v>
      </c>
      <c r="H130" s="26"/>
      <c r="I130" s="27"/>
      <c r="J130" s="27"/>
      <c r="K130" s="27"/>
      <c r="L130" s="27"/>
      <c r="M130" s="27"/>
      <c r="N130" s="27"/>
      <c r="O130" s="27" t="n">
        <v>59475</v>
      </c>
      <c r="P130" s="27" t="n">
        <v>4875</v>
      </c>
      <c r="Q130" s="27" t="n">
        <v>38895</v>
      </c>
      <c r="R130" s="27" t="n">
        <v>5925</v>
      </c>
      <c r="S130" s="27" t="n">
        <v>862</v>
      </c>
      <c r="T130" s="27" t="n">
        <v>59475</v>
      </c>
      <c r="U130" s="27" t="n">
        <v>4875</v>
      </c>
      <c r="V130" s="27" t="n">
        <v>56</v>
      </c>
      <c r="W130" s="27" t="n">
        <v>38932</v>
      </c>
      <c r="X130" s="27" t="n">
        <v>5925</v>
      </c>
      <c r="Y130" s="27" t="n">
        <v>862</v>
      </c>
      <c r="Z130" s="27"/>
      <c r="AA130" s="10" t="str">
        <f aca="false">IFERROR(INDEX(設定!$E$61:$E$106,MATCH(B130,設定!$B$61:$B$106,0)),"合算")</f>
        <v>合算</v>
      </c>
      <c r="AB130" s="28"/>
      <c r="AC130" s="29" t="n">
        <f aca="false">IF(OR(G130="",G130="なし"),"",IF(AA130="合算",CJ130+N(Z130),IF(AA130="掛金・負担金別",(AY130+AZ130+BD130+BF130+BH130),SUM(AY130:BC130))))</f>
        <v>220157</v>
      </c>
      <c r="AD130" s="27"/>
      <c r="AE130" s="29" t="str">
        <f aca="false">IF(OR(G130="",G130="なし"),"",IF(AA130="掛金・負担金別",(BA130+BB130+BC130+BE130+BG130+BI130+N(Z130)),IF(AA130="経理区分別",BD130+BE130,"")))</f>
        <v/>
      </c>
      <c r="AF130" s="27"/>
      <c r="AG130" s="29" t="str">
        <f aca="false">IF(OR(G130="",G130="なし"),"",IF(AA130="経理区分別",BF130+BG130,""))</f>
        <v/>
      </c>
      <c r="AH130" s="27"/>
      <c r="AI130" s="29" t="str">
        <f aca="false">IF(OR(G130="",G130="なし"),"",IF(AA130="経理区分別",BH130+BI130+N(Z130),""))</f>
        <v/>
      </c>
      <c r="AJ130" s="27"/>
      <c r="AK130" s="26" t="s">
        <v>168</v>
      </c>
      <c r="AL130" s="26"/>
      <c r="AM130" s="30"/>
      <c r="AN130" s="31"/>
      <c r="AO130" s="31"/>
      <c r="AP130" s="31"/>
      <c r="AQ130" s="31"/>
      <c r="AR130" s="31"/>
      <c r="AS130" s="31"/>
      <c r="AT130" s="31"/>
      <c r="AU130" s="31"/>
      <c r="AV130" s="31"/>
      <c r="AW130" s="31"/>
      <c r="AX130" s="31"/>
      <c r="AY130" s="31" t="n">
        <f aca="false">IF($G130="",AN130,O130)</f>
        <v>59475</v>
      </c>
      <c r="AZ130" s="31" t="n">
        <f aca="false">IF($G130="",AO130,P130)</f>
        <v>4875</v>
      </c>
      <c r="BA130" s="31" t="n">
        <f aca="false">IF($G130="",AP130,T130)</f>
        <v>59475</v>
      </c>
      <c r="BB130" s="31" t="n">
        <f aca="false">IF($G130="",AQ130,U130)</f>
        <v>4875</v>
      </c>
      <c r="BC130" s="31" t="n">
        <f aca="false">IF($G130="",AR130,V130)</f>
        <v>56</v>
      </c>
      <c r="BD130" s="31" t="n">
        <f aca="false">IF($G130="",AS130,Q130)</f>
        <v>38895</v>
      </c>
      <c r="BE130" s="31" t="n">
        <f aca="false">IF($G130="",AT130,W130)</f>
        <v>38932</v>
      </c>
      <c r="BF130" s="31" t="n">
        <f aca="false">IF($G130="",AU130,R130)</f>
        <v>5925</v>
      </c>
      <c r="BG130" s="31" t="n">
        <f aca="false">IF($G130="",AV130,X130)</f>
        <v>5925</v>
      </c>
      <c r="BH130" s="31" t="n">
        <f aca="false">IF($G130="",AW130,S130)</f>
        <v>862</v>
      </c>
      <c r="BI130" s="31" t="n">
        <f aca="false">IF($G130="",AX130,Y130)</f>
        <v>862</v>
      </c>
      <c r="BJ130" s="31" t="n">
        <f aca="false">IF(CK130="N",BR130,ROUNDDOWN((I130-L130)*設定!$B$10/1000,0)+ROUNDDOWN((I130-L130)*設定!$B$11/1000,0))</f>
        <v>0</v>
      </c>
      <c r="BK130" s="31" t="n">
        <f aca="false">ROUNDDOWN((I130-L130)*設定!$C$10/1000,0)+ROUNDDOWN((I130-L130)*設定!$C$11/1000,0)+ROUNDDOWN(I130*設定!$C$12/1000,0)+IF(CL130="市局型",ROUNDDOWN(I130*設定!$C$16/1000,0),0)</f>
        <v>0</v>
      </c>
      <c r="BL130" s="31" t="n">
        <f aca="false">IF(CK130="N",BT130,ROUNDDOWN((J130-M130)*設定!$B$13/1000,0))</f>
        <v>0</v>
      </c>
      <c r="BM130" s="31" t="n">
        <f aca="false">ROUNDDOWN((J130-M130)*設定!$C$13/1000,0)+IF(CL130="市局型",ROUNDDOWN(J130*設定!$C$17/1000,0),0)</f>
        <v>0</v>
      </c>
      <c r="BN130" s="31" t="n">
        <f aca="false">IF(CK130="N",BV130,ROUNDDOWN((K130-N130)*設定!$B$14/1000,0))</f>
        <v>0</v>
      </c>
      <c r="BO130" s="31" t="n">
        <f aca="false">ROUNDDOWN((K130-N130)*設定!$C$14/1000,0)</f>
        <v>0</v>
      </c>
      <c r="BP130" s="31" t="n">
        <f aca="false">IF(CK130="N",BX130,ROUNDDOWN((J130-M130)*設定!$B$15/1000,0))</f>
        <v>0</v>
      </c>
      <c r="BQ130" s="31" t="n">
        <f aca="false">ROUNDDOWN((J130-M130)*設定!$C$15/1000,0)</f>
        <v>0</v>
      </c>
      <c r="BR130" s="31" t="n">
        <f aca="false">O130+P130</f>
        <v>64350</v>
      </c>
      <c r="BS130" s="31" t="n">
        <f aca="false">T130+U130+V130</f>
        <v>64406</v>
      </c>
      <c r="BT130" s="31" t="n">
        <f aca="false">Q130</f>
        <v>38895</v>
      </c>
      <c r="BU130" s="31" t="n">
        <f aca="false">W130</f>
        <v>38932</v>
      </c>
      <c r="BV130" s="31" t="n">
        <f aca="false">R130</f>
        <v>5925</v>
      </c>
      <c r="BW130" s="31" t="n">
        <f aca="false">X130</f>
        <v>5925</v>
      </c>
      <c r="BX130" s="31" t="n">
        <f aca="false">S130</f>
        <v>862</v>
      </c>
      <c r="BY130" s="31" t="n">
        <f aca="false">Y130</f>
        <v>862</v>
      </c>
      <c r="BZ130" s="32" t="n">
        <f aca="false">IF(BJ130=0,IF(BR130=0,0,1),(BR130-BJ130)/BJ130)</f>
        <v>1</v>
      </c>
      <c r="CA130" s="32" t="n">
        <f aca="false">IF(BK130=0,IF(BS130=0,0,1),(BS130-BK130)/BK130)</f>
        <v>1</v>
      </c>
      <c r="CB130" s="32" t="n">
        <f aca="false">IF(BL130=0,IF(BT130=0,0,1),(BT130-BL130)/BL130)</f>
        <v>1</v>
      </c>
      <c r="CC130" s="32" t="n">
        <f aca="false">IF(BM130=0,IF(BU130=0,0,1),(BU130-BM130)/BM130)</f>
        <v>1</v>
      </c>
      <c r="CD130" s="32" t="n">
        <f aca="false">IF(BN130=0,IF(BV130=0,0,1),(BV130-BN130)/BN130)</f>
        <v>1</v>
      </c>
      <c r="CE130" s="32" t="n">
        <f aca="false">IF(BO130=0,IF(BW130=0,0,1),(BW130-BO130)/BO130)</f>
        <v>1</v>
      </c>
      <c r="CF130" s="32" t="n">
        <f aca="false">IF(BP130=0,IF(BX130=0,0,1),(BX130-BP130)/BP130)</f>
        <v>1</v>
      </c>
      <c r="CG130" s="32" t="n">
        <f aca="false">IF(BQ130=0,IF(BY130=0,0,1),(BY130-BQ130)/BQ130)</f>
        <v>1</v>
      </c>
      <c r="CH130" s="32" t="n">
        <f aca="false">MAX(MAX(BZ130:CG130),-MIN(BZ130:CG130))</f>
        <v>1</v>
      </c>
      <c r="CI130" s="31" t="n">
        <f aca="false">IF(CO130="","",SUMIFS($CJ$7:$CJ$696,$A$7:$A$696,CO130,$B$7:$B$696,B130))</f>
        <v>220157</v>
      </c>
      <c r="CJ130" s="31" t="n">
        <f aca="false">SUM(AY130:BI130)</f>
        <v>220157</v>
      </c>
      <c r="CK130" s="31" t="str">
        <f aca="false">IFERROR(INDEX(設定!$F$61:$F$106,MATCH(B130,設定!$B$61:$B$106,0)),"Y")</f>
        <v>Y</v>
      </c>
      <c r="CL130" s="31" t="str">
        <f aca="false">IFERROR(INDEX(設定!$G$61:$G$106,MATCH(B130,設定!$B$61:$B$106,0)),"外郭型")</f>
        <v>外郭型</v>
      </c>
      <c r="CM130" s="33" t="str">
        <f aca="false">A130&amp;"|"&amp;B130</f>
        <v>2026-06 月例|全国市町村研修財団</v>
      </c>
      <c r="CN130" s="34" t="str">
        <f aca="false">IFERROR(INDEX(設定!$D$61:$D$106,MATCH(B130,設定!$B$61:$B$106,0)),"Y")</f>
        <v>Y</v>
      </c>
      <c r="CO130" s="34" t="str">
        <f aca="false">IFERROR(INDEX(設定!$D$20:$D$34,MATCH(A130,設定!$A$20:$A$34,0))&amp;"","")</f>
        <v>2026-05 月例</v>
      </c>
    </row>
    <row r="131" customFormat="false" ht="15" hidden="true" customHeight="false" outlineLevel="0" collapsed="false">
      <c r="A131" s="22" t="s">
        <v>217</v>
      </c>
      <c r="B131" s="23" t="s">
        <v>201</v>
      </c>
      <c r="C131" s="10" t="str">
        <f aca="false">IF(G131="","未受領",IF(G131="なし","報告なし",IF(AL131="○","起票済",IF(OR(AK131="○",F131="一致",F131="入金不要"),"入金確認済","受領済"))))</f>
        <v>入金確認済</v>
      </c>
      <c r="D131" s="10" t="str">
        <f aca="false">IF(OR(G131="",G131="なし"),"―",IF(CN131="N","対象外",IF(AND(I131="",J131="",K131=""),"標報未入力",IF(CH131&gt;=設定!$B$4,"要確認","問題なし"))))</f>
        <v>標報未入力</v>
      </c>
      <c r="E131" s="24" t="str">
        <f aca="false">IF(OR(G131="",G131="なし",CI131="",CJ131=0),"―",IF(CJ131=CI131,"前月同額",IF(CI131=0,"―",IF(ABS(CJ131/CI131-1)&gt;=設定!$B$5,"変動大 "&amp;TEXT(CJ131/CI131-1,"+0%;-0%"),"〇"))))</f>
        <v>前月同額</v>
      </c>
      <c r="F131" s="10" t="str">
        <f aca="false">IF(OR(G131="",G131="なし"),"―",IF(CJ131=0,"入金不要",IF(COUNT(AD131,AF131,AH131,AJ131)=0,IF(AK131="○","手動確認","未入金"),IF(AND(N(AD131)=AC131,IF(AE131="",TRUE(),N(AF131)=AE131),IF(AG131="",TRUE(),N(AH131)=AG131),IF(AI131="",TRUE(),N(AJ131)=AI131)),"一致","不一致"))))</f>
        <v>手動確認</v>
      </c>
      <c r="G131" s="25" t="s">
        <v>167</v>
      </c>
      <c r="H131" s="26"/>
      <c r="I131" s="27"/>
      <c r="J131" s="27"/>
      <c r="K131" s="27"/>
      <c r="L131" s="27"/>
      <c r="M131" s="27"/>
      <c r="N131" s="27"/>
      <c r="O131" s="27" t="n">
        <v>37515</v>
      </c>
      <c r="P131" s="27" t="n">
        <v>3075</v>
      </c>
      <c r="Q131" s="27" t="n">
        <v>21262</v>
      </c>
      <c r="R131" s="27" t="n">
        <v>0</v>
      </c>
      <c r="S131" s="27" t="n">
        <v>471</v>
      </c>
      <c r="T131" s="27" t="n">
        <v>37515</v>
      </c>
      <c r="U131" s="27" t="n">
        <v>3075</v>
      </c>
      <c r="V131" s="27" t="n">
        <v>35</v>
      </c>
      <c r="W131" s="27" t="n">
        <v>21283</v>
      </c>
      <c r="X131" s="27" t="n">
        <v>0</v>
      </c>
      <c r="Y131" s="27" t="n">
        <v>471</v>
      </c>
      <c r="Z131" s="27"/>
      <c r="AA131" s="10" t="str">
        <f aca="false">IFERROR(INDEX(設定!$E$61:$E$106,MATCH(B131,設定!$B$61:$B$106,0)),"合算")</f>
        <v>合算</v>
      </c>
      <c r="AB131" s="28"/>
      <c r="AC131" s="29" t="n">
        <f aca="false">IF(OR(G131="",G131="なし"),"",IF(AA131="合算",CJ131+N(Z131),IF(AA131="掛金・負担金別",(AY131+AZ131+BD131+BF131+BH131),SUM(AY131:BC131))))</f>
        <v>124702</v>
      </c>
      <c r="AD131" s="27"/>
      <c r="AE131" s="29" t="str">
        <f aca="false">IF(OR(G131="",G131="なし"),"",IF(AA131="掛金・負担金別",(BA131+BB131+BC131+BE131+BG131+BI131+N(Z131)),IF(AA131="経理区分別",BD131+BE131,"")))</f>
        <v/>
      </c>
      <c r="AF131" s="27"/>
      <c r="AG131" s="29" t="str">
        <f aca="false">IF(OR(G131="",G131="なし"),"",IF(AA131="経理区分別",BF131+BG131,""))</f>
        <v/>
      </c>
      <c r="AH131" s="27"/>
      <c r="AI131" s="29" t="str">
        <f aca="false">IF(OR(G131="",G131="なし"),"",IF(AA131="経理区分別",BH131+BI131+N(Z131),""))</f>
        <v/>
      </c>
      <c r="AJ131" s="27"/>
      <c r="AK131" s="26" t="s">
        <v>168</v>
      </c>
      <c r="AL131" s="26"/>
      <c r="AM131" s="30"/>
      <c r="AN131" s="31"/>
      <c r="AO131" s="31"/>
      <c r="AP131" s="31"/>
      <c r="AQ131" s="31"/>
      <c r="AR131" s="31"/>
      <c r="AS131" s="31"/>
      <c r="AT131" s="31"/>
      <c r="AU131" s="31"/>
      <c r="AV131" s="31"/>
      <c r="AW131" s="31"/>
      <c r="AX131" s="31"/>
      <c r="AY131" s="31" t="n">
        <f aca="false">IF($G131="",AN131,O131)</f>
        <v>37515</v>
      </c>
      <c r="AZ131" s="31" t="n">
        <f aca="false">IF($G131="",AO131,P131)</f>
        <v>3075</v>
      </c>
      <c r="BA131" s="31" t="n">
        <f aca="false">IF($G131="",AP131,T131)</f>
        <v>37515</v>
      </c>
      <c r="BB131" s="31" t="n">
        <f aca="false">IF($G131="",AQ131,U131)</f>
        <v>3075</v>
      </c>
      <c r="BC131" s="31" t="n">
        <f aca="false">IF($G131="",AR131,V131)</f>
        <v>35</v>
      </c>
      <c r="BD131" s="31" t="n">
        <f aca="false">IF($G131="",AS131,Q131)</f>
        <v>21262</v>
      </c>
      <c r="BE131" s="31" t="n">
        <f aca="false">IF($G131="",AT131,W131)</f>
        <v>21283</v>
      </c>
      <c r="BF131" s="31" t="n">
        <f aca="false">IF($G131="",AU131,R131)</f>
        <v>0</v>
      </c>
      <c r="BG131" s="31" t="n">
        <f aca="false">IF($G131="",AV131,X131)</f>
        <v>0</v>
      </c>
      <c r="BH131" s="31" t="n">
        <f aca="false">IF($G131="",AW131,S131)</f>
        <v>471</v>
      </c>
      <c r="BI131" s="31" t="n">
        <f aca="false">IF($G131="",AX131,Y131)</f>
        <v>471</v>
      </c>
      <c r="BJ131" s="31" t="n">
        <f aca="false">IF(CK131="N",BR131,ROUNDDOWN((I131-L131)*設定!$B$10/1000,0)+ROUNDDOWN((I131-L131)*設定!$B$11/1000,0))</f>
        <v>0</v>
      </c>
      <c r="BK131" s="31" t="n">
        <f aca="false">ROUNDDOWN((I131-L131)*設定!$C$10/1000,0)+ROUNDDOWN((I131-L131)*設定!$C$11/1000,0)+ROUNDDOWN(I131*設定!$C$12/1000,0)+IF(CL131="市局型",ROUNDDOWN(I131*設定!$C$16/1000,0),0)</f>
        <v>0</v>
      </c>
      <c r="BL131" s="31" t="n">
        <f aca="false">IF(CK131="N",BT131,ROUNDDOWN((J131-M131)*設定!$B$13/1000,0))</f>
        <v>0</v>
      </c>
      <c r="BM131" s="31" t="n">
        <f aca="false">ROUNDDOWN((J131-M131)*設定!$C$13/1000,0)+IF(CL131="市局型",ROUNDDOWN(J131*設定!$C$17/1000,0),0)</f>
        <v>0</v>
      </c>
      <c r="BN131" s="31" t="n">
        <f aca="false">IF(CK131="N",BV131,ROUNDDOWN((K131-N131)*設定!$B$14/1000,0))</f>
        <v>0</v>
      </c>
      <c r="BO131" s="31" t="n">
        <f aca="false">ROUNDDOWN((K131-N131)*設定!$C$14/1000,0)</f>
        <v>0</v>
      </c>
      <c r="BP131" s="31" t="n">
        <f aca="false">IF(CK131="N",BX131,ROUNDDOWN((J131-M131)*設定!$B$15/1000,0))</f>
        <v>0</v>
      </c>
      <c r="BQ131" s="31" t="n">
        <f aca="false">ROUNDDOWN((J131-M131)*設定!$C$15/1000,0)</f>
        <v>0</v>
      </c>
      <c r="BR131" s="31" t="n">
        <f aca="false">O131+P131</f>
        <v>40590</v>
      </c>
      <c r="BS131" s="31" t="n">
        <f aca="false">T131+U131+V131</f>
        <v>40625</v>
      </c>
      <c r="BT131" s="31" t="n">
        <f aca="false">Q131</f>
        <v>21262</v>
      </c>
      <c r="BU131" s="31" t="n">
        <f aca="false">W131</f>
        <v>21283</v>
      </c>
      <c r="BV131" s="31" t="n">
        <f aca="false">R131</f>
        <v>0</v>
      </c>
      <c r="BW131" s="31" t="n">
        <f aca="false">X131</f>
        <v>0</v>
      </c>
      <c r="BX131" s="31" t="n">
        <f aca="false">S131</f>
        <v>471</v>
      </c>
      <c r="BY131" s="31" t="n">
        <f aca="false">Y131</f>
        <v>471</v>
      </c>
      <c r="BZ131" s="32" t="n">
        <f aca="false">IF(BJ131=0,IF(BR131=0,0,1),(BR131-BJ131)/BJ131)</f>
        <v>1</v>
      </c>
      <c r="CA131" s="32" t="n">
        <f aca="false">IF(BK131=0,IF(BS131=0,0,1),(BS131-BK131)/BK131)</f>
        <v>1</v>
      </c>
      <c r="CB131" s="32" t="n">
        <f aca="false">IF(BL131=0,IF(BT131=0,0,1),(BT131-BL131)/BL131)</f>
        <v>1</v>
      </c>
      <c r="CC131" s="32" t="n">
        <f aca="false">IF(BM131=0,IF(BU131=0,0,1),(BU131-BM131)/BM131)</f>
        <v>1</v>
      </c>
      <c r="CD131" s="32" t="n">
        <f aca="false">IF(BN131=0,IF(BV131=0,0,1),(BV131-BN131)/BN131)</f>
        <v>0</v>
      </c>
      <c r="CE131" s="32" t="n">
        <f aca="false">IF(BO131=0,IF(BW131=0,0,1),(BW131-BO131)/BO131)</f>
        <v>0</v>
      </c>
      <c r="CF131" s="32" t="n">
        <f aca="false">IF(BP131=0,IF(BX131=0,0,1),(BX131-BP131)/BP131)</f>
        <v>1</v>
      </c>
      <c r="CG131" s="32" t="n">
        <f aca="false">IF(BQ131=0,IF(BY131=0,0,1),(BY131-BQ131)/BQ131)</f>
        <v>1</v>
      </c>
      <c r="CH131" s="32" t="n">
        <f aca="false">MAX(MAX(BZ131:CG131),-MIN(BZ131:CG131))</f>
        <v>1</v>
      </c>
      <c r="CI131" s="31" t="n">
        <f aca="false">IF(CO131="","",SUMIFS($CJ$7:$CJ$696,$A$7:$A$696,CO131,$B$7:$B$696,B131))</f>
        <v>124702</v>
      </c>
      <c r="CJ131" s="31" t="n">
        <f aca="false">SUM(AY131:BI131)</f>
        <v>124702</v>
      </c>
      <c r="CK131" s="31" t="str">
        <f aca="false">IFERROR(INDEX(設定!$F$61:$F$106,MATCH(B131,設定!$B$61:$B$106,0)),"Y")</f>
        <v>Y</v>
      </c>
      <c r="CL131" s="31" t="str">
        <f aca="false">IFERROR(INDEX(設定!$G$61:$G$106,MATCH(B131,設定!$B$61:$B$106,0)),"外郭型")</f>
        <v>外郭型</v>
      </c>
      <c r="CM131" s="33" t="str">
        <f aca="false">A131&amp;"|"&amp;B131</f>
        <v>2026-06 月例|都市再生機構</v>
      </c>
      <c r="CN131" s="34" t="str">
        <f aca="false">IFERROR(INDEX(設定!$D$61:$D$106,MATCH(B131,設定!$B$61:$B$106,0)),"Y")</f>
        <v>Y</v>
      </c>
      <c r="CO131" s="34" t="str">
        <f aca="false">IFERROR(INDEX(設定!$D$20:$D$34,MATCH(A131,設定!$A$20:$A$34,0))&amp;"","")</f>
        <v>2026-05 月例</v>
      </c>
    </row>
    <row r="132" customFormat="false" ht="15" hidden="true" customHeight="false" outlineLevel="0" collapsed="false">
      <c r="A132" s="22" t="s">
        <v>217</v>
      </c>
      <c r="B132" s="23" t="s">
        <v>202</v>
      </c>
      <c r="C132" s="10" t="str">
        <f aca="false">IF(G132="","未受領",IF(G132="なし","報告なし",IF(AL132="○","起票済",IF(OR(AK132="○",F132="一致",F132="入金不要"),"入金確認済","受領済"))))</f>
        <v>入金確認済</v>
      </c>
      <c r="D132" s="10" t="str">
        <f aca="false">IF(OR(G132="",G132="なし"),"―",IF(CN132="N","対象外",IF(AND(I132="",J132="",K132=""),"標報未入力",IF(CH132&gt;=設定!$B$4,"要確認","問題なし"))))</f>
        <v>標報未入力</v>
      </c>
      <c r="E132" s="24" t="str">
        <f aca="false">IF(OR(G132="",G132="なし",CI132="",CJ132=0),"―",IF(CJ132=CI132,"前月同額",IF(CI132=0,"―",IF(ABS(CJ132/CI132-1)&gt;=設定!$B$5,"変動大 "&amp;TEXT(CJ132/CI132-1,"+0%;-0%"),"〇"))))</f>
        <v>前月同額</v>
      </c>
      <c r="F132" s="10" t="str">
        <f aca="false">IF(OR(G132="",G132="なし"),"―",IF(CJ132=0,"入金不要",IF(COUNT(AD132,AF132,AH132,AJ132)=0,IF(AK132="○","手動確認","未入金"),IF(AND(N(AD132)=AC132,IF(AE132="",TRUE(),N(AF132)=AE132),IF(AG132="",TRUE(),N(AH132)=AG132),IF(AI132="",TRUE(),N(AJ132)=AI132)),"一致","不一致"))))</f>
        <v>手動確認</v>
      </c>
      <c r="G132" s="25" t="s">
        <v>167</v>
      </c>
      <c r="H132" s="26"/>
      <c r="I132" s="27"/>
      <c r="J132" s="27"/>
      <c r="K132" s="27"/>
      <c r="L132" s="27"/>
      <c r="M132" s="27"/>
      <c r="N132" s="27"/>
      <c r="O132" s="27" t="n">
        <v>1201395</v>
      </c>
      <c r="P132" s="27" t="n">
        <v>98475</v>
      </c>
      <c r="Q132" s="27" t="n">
        <v>690245</v>
      </c>
      <c r="R132" s="27" t="n">
        <v>79632</v>
      </c>
      <c r="S132" s="27" t="n">
        <v>15300</v>
      </c>
      <c r="T132" s="27" t="n">
        <v>1201395</v>
      </c>
      <c r="U132" s="27" t="n">
        <v>98475</v>
      </c>
      <c r="V132" s="27" t="n">
        <v>1208</v>
      </c>
      <c r="W132" s="27" t="n">
        <v>690961</v>
      </c>
      <c r="X132" s="27" t="n">
        <v>79632</v>
      </c>
      <c r="Y132" s="27" t="n">
        <v>15306</v>
      </c>
      <c r="Z132" s="27"/>
      <c r="AA132" s="10" t="str">
        <f aca="false">IFERROR(INDEX(設定!$E$61:$E$106,MATCH(B132,設定!$B$61:$B$106,0)),"合算")</f>
        <v>合算</v>
      </c>
      <c r="AB132" s="28"/>
      <c r="AC132" s="29" t="n">
        <f aca="false">IF(OR(G132="",G132="なし"),"",IF(AA132="合算",CJ132+N(Z132),IF(AA132="掛金・負担金別",(AY132+AZ132+BD132+BF132+BH132),SUM(AY132:BC132))))</f>
        <v>4172024</v>
      </c>
      <c r="AD132" s="27"/>
      <c r="AE132" s="29" t="str">
        <f aca="false">IF(OR(G132="",G132="なし"),"",IF(AA132="掛金・負担金別",(BA132+BB132+BC132+BE132+BG132+BI132+N(Z132)),IF(AA132="経理区分別",BD132+BE132,"")))</f>
        <v/>
      </c>
      <c r="AF132" s="27"/>
      <c r="AG132" s="29" t="str">
        <f aca="false">IF(OR(G132="",G132="なし"),"",IF(AA132="経理区分別",BF132+BG132,""))</f>
        <v/>
      </c>
      <c r="AH132" s="27"/>
      <c r="AI132" s="29" t="str">
        <f aca="false">IF(OR(G132="",G132="なし"),"",IF(AA132="経理区分別",BH132+BI132+N(Z132),""))</f>
        <v/>
      </c>
      <c r="AJ132" s="27"/>
      <c r="AK132" s="26" t="s">
        <v>168</v>
      </c>
      <c r="AL132" s="26"/>
      <c r="AM132" s="30"/>
      <c r="AN132" s="31"/>
      <c r="AO132" s="31"/>
      <c r="AP132" s="31"/>
      <c r="AQ132" s="31"/>
      <c r="AR132" s="31"/>
      <c r="AS132" s="31"/>
      <c r="AT132" s="31"/>
      <c r="AU132" s="31"/>
      <c r="AV132" s="31"/>
      <c r="AW132" s="31"/>
      <c r="AX132" s="31"/>
      <c r="AY132" s="31" t="n">
        <f aca="false">IF($G132="",AN132,O132)</f>
        <v>1201395</v>
      </c>
      <c r="AZ132" s="31" t="n">
        <f aca="false">IF($G132="",AO132,P132)</f>
        <v>98475</v>
      </c>
      <c r="BA132" s="31" t="n">
        <f aca="false">IF($G132="",AP132,T132)</f>
        <v>1201395</v>
      </c>
      <c r="BB132" s="31" t="n">
        <f aca="false">IF($G132="",AQ132,U132)</f>
        <v>98475</v>
      </c>
      <c r="BC132" s="31" t="n">
        <f aca="false">IF($G132="",AR132,V132)</f>
        <v>1208</v>
      </c>
      <c r="BD132" s="31" t="n">
        <f aca="false">IF($G132="",AS132,Q132)</f>
        <v>690245</v>
      </c>
      <c r="BE132" s="31" t="n">
        <f aca="false">IF($G132="",AT132,W132)</f>
        <v>690961</v>
      </c>
      <c r="BF132" s="31" t="n">
        <f aca="false">IF($G132="",AU132,R132)</f>
        <v>79632</v>
      </c>
      <c r="BG132" s="31" t="n">
        <f aca="false">IF($G132="",AV132,X132)</f>
        <v>79632</v>
      </c>
      <c r="BH132" s="31" t="n">
        <f aca="false">IF($G132="",AW132,S132)</f>
        <v>15300</v>
      </c>
      <c r="BI132" s="31" t="n">
        <f aca="false">IF($G132="",AX132,Y132)</f>
        <v>15306</v>
      </c>
      <c r="BJ132" s="31" t="n">
        <f aca="false">IF(CK132="N",BR132,ROUNDDOWN((I132-L132)*設定!$B$10/1000,0)+ROUNDDOWN((I132-L132)*設定!$B$11/1000,0))</f>
        <v>0</v>
      </c>
      <c r="BK132" s="31" t="n">
        <f aca="false">ROUNDDOWN((I132-L132)*設定!$C$10/1000,0)+ROUNDDOWN((I132-L132)*設定!$C$11/1000,0)+ROUNDDOWN(I132*設定!$C$12/1000,0)+IF(CL132="市局型",ROUNDDOWN(I132*設定!$C$16/1000,0),0)</f>
        <v>0</v>
      </c>
      <c r="BL132" s="31" t="n">
        <f aca="false">IF(CK132="N",BT132,ROUNDDOWN((J132-M132)*設定!$B$13/1000,0))</f>
        <v>0</v>
      </c>
      <c r="BM132" s="31" t="n">
        <f aca="false">ROUNDDOWN((J132-M132)*設定!$C$13/1000,0)+IF(CL132="市局型",ROUNDDOWN(J132*設定!$C$17/1000,0),0)</f>
        <v>0</v>
      </c>
      <c r="BN132" s="31" t="n">
        <f aca="false">IF(CK132="N",BV132,ROUNDDOWN((K132-N132)*設定!$B$14/1000,0))</f>
        <v>0</v>
      </c>
      <c r="BO132" s="31" t="n">
        <f aca="false">ROUNDDOWN((K132-N132)*設定!$C$14/1000,0)</f>
        <v>0</v>
      </c>
      <c r="BP132" s="31" t="n">
        <f aca="false">IF(CK132="N",BX132,ROUNDDOWN((J132-M132)*設定!$B$15/1000,0))</f>
        <v>0</v>
      </c>
      <c r="BQ132" s="31" t="n">
        <f aca="false">ROUNDDOWN((J132-M132)*設定!$C$15/1000,0)</f>
        <v>0</v>
      </c>
      <c r="BR132" s="31" t="n">
        <f aca="false">O132+P132</f>
        <v>1299870</v>
      </c>
      <c r="BS132" s="31" t="n">
        <f aca="false">T132+U132+V132</f>
        <v>1301078</v>
      </c>
      <c r="BT132" s="31" t="n">
        <f aca="false">Q132</f>
        <v>690245</v>
      </c>
      <c r="BU132" s="31" t="n">
        <f aca="false">W132</f>
        <v>690961</v>
      </c>
      <c r="BV132" s="31" t="n">
        <f aca="false">R132</f>
        <v>79632</v>
      </c>
      <c r="BW132" s="31" t="n">
        <f aca="false">X132</f>
        <v>79632</v>
      </c>
      <c r="BX132" s="31" t="n">
        <f aca="false">S132</f>
        <v>15300</v>
      </c>
      <c r="BY132" s="31" t="n">
        <f aca="false">Y132</f>
        <v>15306</v>
      </c>
      <c r="BZ132" s="32" t="n">
        <f aca="false">IF(BJ132=0,IF(BR132=0,0,1),(BR132-BJ132)/BJ132)</f>
        <v>1</v>
      </c>
      <c r="CA132" s="32" t="n">
        <f aca="false">IF(BK132=0,IF(BS132=0,0,1),(BS132-BK132)/BK132)</f>
        <v>1</v>
      </c>
      <c r="CB132" s="32" t="n">
        <f aca="false">IF(BL132=0,IF(BT132=0,0,1),(BT132-BL132)/BL132)</f>
        <v>1</v>
      </c>
      <c r="CC132" s="32" t="n">
        <f aca="false">IF(BM132=0,IF(BU132=0,0,1),(BU132-BM132)/BM132)</f>
        <v>1</v>
      </c>
      <c r="CD132" s="32" t="n">
        <f aca="false">IF(BN132=0,IF(BV132=0,0,1),(BV132-BN132)/BN132)</f>
        <v>1</v>
      </c>
      <c r="CE132" s="32" t="n">
        <f aca="false">IF(BO132=0,IF(BW132=0,0,1),(BW132-BO132)/BO132)</f>
        <v>1</v>
      </c>
      <c r="CF132" s="32" t="n">
        <f aca="false">IF(BP132=0,IF(BX132=0,0,1),(BX132-BP132)/BP132)</f>
        <v>1</v>
      </c>
      <c r="CG132" s="32" t="n">
        <f aca="false">IF(BQ132=0,IF(BY132=0,0,1),(BY132-BQ132)/BQ132)</f>
        <v>1</v>
      </c>
      <c r="CH132" s="32" t="n">
        <f aca="false">MAX(MAX(BZ132:CG132),-MIN(BZ132:CG132))</f>
        <v>1</v>
      </c>
      <c r="CI132" s="31" t="n">
        <f aca="false">IF(CO132="","",SUMIFS($CJ$7:$CJ$696,$A$7:$A$696,CO132,$B$7:$B$696,B132))</f>
        <v>4172024</v>
      </c>
      <c r="CJ132" s="31" t="n">
        <f aca="false">SUM(AY132:BI132)</f>
        <v>4172024</v>
      </c>
      <c r="CK132" s="31" t="str">
        <f aca="false">IFERROR(INDEX(設定!$F$61:$F$106,MATCH(B132,設定!$B$61:$B$106,0)),"Y")</f>
        <v>Y</v>
      </c>
      <c r="CL132" s="31" t="str">
        <f aca="false">IFERROR(INDEX(設定!$G$61:$G$106,MATCH(B132,設定!$B$61:$B$106,0)),"外郭型")</f>
        <v>外郭型</v>
      </c>
      <c r="CM132" s="33" t="str">
        <f aca="false">A132&amp;"|"&amp;B132</f>
        <v>2026-06 月例|広島市立大学</v>
      </c>
      <c r="CN132" s="34" t="str">
        <f aca="false">IFERROR(INDEX(設定!$D$61:$D$106,MATCH(B132,設定!$B$61:$B$106,0)),"Y")</f>
        <v>Y</v>
      </c>
      <c r="CO132" s="34" t="str">
        <f aca="false">IFERROR(INDEX(設定!$D$20:$D$34,MATCH(A132,設定!$A$20:$A$34,0))&amp;"","")</f>
        <v>2026-05 月例</v>
      </c>
    </row>
    <row r="133" customFormat="false" ht="15" hidden="true" customHeight="false" outlineLevel="0" collapsed="false">
      <c r="A133" s="22" t="s">
        <v>217</v>
      </c>
      <c r="B133" s="23" t="s">
        <v>203</v>
      </c>
      <c r="C133" s="10" t="str">
        <f aca="false">IF(G133="","未受領",IF(G133="なし","報告なし",IF(AL133="○","起票済",IF(OR(AK133="○",F133="一致",F133="入金不要"),"入金確認済","受領済"))))</f>
        <v>入金確認済</v>
      </c>
      <c r="D133" s="10" t="str">
        <f aca="false">IF(OR(G133="",G133="なし"),"―",IF(CN133="N","対象外",IF(AND(I133="",J133="",K133=""),"標報未入力",IF(CH133&gt;=設定!$B$4,"要確認","問題なし"))))</f>
        <v>標報未入力</v>
      </c>
      <c r="E133" s="24" t="str">
        <f aca="false">IF(OR(G133="",G133="なし",CI133="",CJ133=0),"―",IF(CJ133=CI133,"前月同額",IF(CI133=0,"―",IF(ABS(CJ133/CI133-1)&gt;=設定!$B$5,"変動大 "&amp;TEXT(CJ133/CI133-1,"+0%;-0%"),"〇"))))</f>
        <v>前月同額</v>
      </c>
      <c r="F133" s="10" t="str">
        <f aca="false">IF(OR(G133="",G133="なし"),"―",IF(CJ133=0,"入金不要",IF(COUNT(AD133,AF133,AH133,AJ133)=0,IF(AK133="○","手動確認","未入金"),IF(AND(N(AD133)=AC133,IF(AE133="",TRUE(),N(AF133)=AE133),IF(AG133="",TRUE(),N(AH133)=AG133),IF(AI133="",TRUE(),N(AJ133)=AI133)),"一致","不一致"))))</f>
        <v>手動確認</v>
      </c>
      <c r="G133" s="25" t="s">
        <v>167</v>
      </c>
      <c r="H133" s="26"/>
      <c r="I133" s="27"/>
      <c r="J133" s="27"/>
      <c r="K133" s="27"/>
      <c r="L133" s="27"/>
      <c r="M133" s="27"/>
      <c r="N133" s="27"/>
      <c r="O133" s="27"/>
      <c r="P133" s="27"/>
      <c r="Q133" s="27"/>
      <c r="R133" s="27"/>
      <c r="S133" s="27"/>
      <c r="T133" s="27" t="n">
        <v>242475</v>
      </c>
      <c r="U133" s="27" t="n">
        <v>19875</v>
      </c>
      <c r="V133" s="27" t="n">
        <v>230</v>
      </c>
      <c r="W133" s="27" t="n">
        <v>140676</v>
      </c>
      <c r="X133" s="27" t="n">
        <v>10507</v>
      </c>
      <c r="Y133" s="27" t="n">
        <v>3116</v>
      </c>
      <c r="Z133" s="27"/>
      <c r="AA133" s="10" t="str">
        <f aca="false">IFERROR(INDEX(設定!$E$61:$E$106,MATCH(B133,設定!$B$61:$B$106,0)),"合算")</f>
        <v>合算</v>
      </c>
      <c r="AB133" s="28"/>
      <c r="AC133" s="29" t="n">
        <f aca="false">IF(OR(G133="",G133="なし"),"",IF(AA133="合算",CJ133+N(Z133),IF(AA133="掛金・負担金別",(AY133+AZ133+BD133+BF133+BH133),SUM(AY133:BC133))))</f>
        <v>416879</v>
      </c>
      <c r="AD133" s="27"/>
      <c r="AE133" s="29" t="str">
        <f aca="false">IF(OR(G133="",G133="なし"),"",IF(AA133="掛金・負担金別",(BA133+BB133+BC133+BE133+BG133+BI133+N(Z133)),IF(AA133="経理区分別",BD133+BE133,"")))</f>
        <v/>
      </c>
      <c r="AF133" s="27"/>
      <c r="AG133" s="29" t="str">
        <f aca="false">IF(OR(G133="",G133="なし"),"",IF(AA133="経理区分別",BF133+BG133,""))</f>
        <v/>
      </c>
      <c r="AH133" s="27"/>
      <c r="AI133" s="29" t="str">
        <f aca="false">IF(OR(G133="",G133="なし"),"",IF(AA133="経理区分別",BH133+BI133+N(Z133),""))</f>
        <v/>
      </c>
      <c r="AJ133" s="27"/>
      <c r="AK133" s="26" t="s">
        <v>168</v>
      </c>
      <c r="AL133" s="26"/>
      <c r="AM133" s="30"/>
      <c r="AN133" s="31"/>
      <c r="AO133" s="31"/>
      <c r="AP133" s="31"/>
      <c r="AQ133" s="31"/>
      <c r="AR133" s="31"/>
      <c r="AS133" s="31"/>
      <c r="AT133" s="31"/>
      <c r="AU133" s="31"/>
      <c r="AV133" s="31"/>
      <c r="AW133" s="31"/>
      <c r="AX133" s="31"/>
      <c r="AY133" s="31" t="n">
        <f aca="false">IF($G133="",AN133,O133)</f>
        <v>0</v>
      </c>
      <c r="AZ133" s="31" t="n">
        <f aca="false">IF($G133="",AO133,P133)</f>
        <v>0</v>
      </c>
      <c r="BA133" s="31" t="n">
        <f aca="false">IF($G133="",AP133,T133)</f>
        <v>242475</v>
      </c>
      <c r="BB133" s="31" t="n">
        <f aca="false">IF($G133="",AQ133,U133)</f>
        <v>19875</v>
      </c>
      <c r="BC133" s="31" t="n">
        <f aca="false">IF($G133="",AR133,V133)</f>
        <v>230</v>
      </c>
      <c r="BD133" s="31" t="n">
        <f aca="false">IF($G133="",AS133,Q133)</f>
        <v>0</v>
      </c>
      <c r="BE133" s="31" t="n">
        <f aca="false">IF($G133="",AT133,W133)</f>
        <v>140676</v>
      </c>
      <c r="BF133" s="31" t="n">
        <f aca="false">IF($G133="",AU133,R133)</f>
        <v>0</v>
      </c>
      <c r="BG133" s="31" t="n">
        <f aca="false">IF($G133="",AV133,X133)</f>
        <v>10507</v>
      </c>
      <c r="BH133" s="31" t="n">
        <f aca="false">IF($G133="",AW133,S133)</f>
        <v>0</v>
      </c>
      <c r="BI133" s="31" t="n">
        <f aca="false">IF($G133="",AX133,Y133)</f>
        <v>3116</v>
      </c>
      <c r="BJ133" s="31" t="n">
        <f aca="false">IF(CK133="N",BR133,ROUNDDOWN((I133-L133)*設定!$B$10/1000,0)+ROUNDDOWN((I133-L133)*設定!$B$11/1000,0))</f>
        <v>0</v>
      </c>
      <c r="BK133" s="31" t="n">
        <f aca="false">ROUNDDOWN((I133-L133)*設定!$C$10/1000,0)+ROUNDDOWN((I133-L133)*設定!$C$11/1000,0)+ROUNDDOWN(I133*設定!$C$12/1000,0)+IF(CL133="市局型",ROUNDDOWN(I133*設定!$C$16/1000,0),0)</f>
        <v>0</v>
      </c>
      <c r="BL133" s="31" t="n">
        <f aca="false">IF(CK133="N",BT133,ROUNDDOWN((J133-M133)*設定!$B$13/1000,0))</f>
        <v>0</v>
      </c>
      <c r="BM133" s="31" t="n">
        <f aca="false">ROUNDDOWN((J133-M133)*設定!$C$13/1000,0)+IF(CL133="市局型",ROUNDDOWN(J133*設定!$C$17/1000,0),0)</f>
        <v>0</v>
      </c>
      <c r="BN133" s="31" t="n">
        <f aca="false">IF(CK133="N",BV133,ROUNDDOWN((K133-N133)*設定!$B$14/1000,0))</f>
        <v>0</v>
      </c>
      <c r="BO133" s="31" t="n">
        <f aca="false">ROUNDDOWN((K133-N133)*設定!$C$14/1000,0)</f>
        <v>0</v>
      </c>
      <c r="BP133" s="31" t="n">
        <f aca="false">IF(CK133="N",BX133,ROUNDDOWN((J133-M133)*設定!$B$15/1000,0))</f>
        <v>0</v>
      </c>
      <c r="BQ133" s="31" t="n">
        <f aca="false">ROUNDDOWN((J133-M133)*設定!$C$15/1000,0)</f>
        <v>0</v>
      </c>
      <c r="BR133" s="31" t="n">
        <f aca="false">O133+P133</f>
        <v>0</v>
      </c>
      <c r="BS133" s="31" t="n">
        <f aca="false">T133+U133+V133</f>
        <v>262580</v>
      </c>
      <c r="BT133" s="31" t="n">
        <f aca="false">Q133</f>
        <v>0</v>
      </c>
      <c r="BU133" s="31" t="n">
        <f aca="false">W133</f>
        <v>140676</v>
      </c>
      <c r="BV133" s="31" t="n">
        <f aca="false">R133</f>
        <v>0</v>
      </c>
      <c r="BW133" s="31" t="n">
        <f aca="false">X133</f>
        <v>10507</v>
      </c>
      <c r="BX133" s="31" t="n">
        <f aca="false">S133</f>
        <v>0</v>
      </c>
      <c r="BY133" s="31" t="n">
        <f aca="false">Y133</f>
        <v>3116</v>
      </c>
      <c r="BZ133" s="32" t="n">
        <f aca="false">IF(BJ133=0,IF(BR133=0,0,1),(BR133-BJ133)/BJ133)</f>
        <v>0</v>
      </c>
      <c r="CA133" s="32" t="n">
        <f aca="false">IF(BK133=0,IF(BS133=0,0,1),(BS133-BK133)/BK133)</f>
        <v>1</v>
      </c>
      <c r="CB133" s="32" t="n">
        <f aca="false">IF(BL133=0,IF(BT133=0,0,1),(BT133-BL133)/BL133)</f>
        <v>0</v>
      </c>
      <c r="CC133" s="32" t="n">
        <f aca="false">IF(BM133=0,IF(BU133=0,0,1),(BU133-BM133)/BM133)</f>
        <v>1</v>
      </c>
      <c r="CD133" s="32" t="n">
        <f aca="false">IF(BN133=0,IF(BV133=0,0,1),(BV133-BN133)/BN133)</f>
        <v>0</v>
      </c>
      <c r="CE133" s="32" t="n">
        <f aca="false">IF(BO133=0,IF(BW133=0,0,1),(BW133-BO133)/BO133)</f>
        <v>1</v>
      </c>
      <c r="CF133" s="32" t="n">
        <f aca="false">IF(BP133=0,IF(BX133=0,0,1),(BX133-BP133)/BP133)</f>
        <v>0</v>
      </c>
      <c r="CG133" s="32" t="n">
        <f aca="false">IF(BQ133=0,IF(BY133=0,0,1),(BY133-BQ133)/BQ133)</f>
        <v>1</v>
      </c>
      <c r="CH133" s="32" t="n">
        <f aca="false">MAX(MAX(BZ133:CG133),-MIN(BZ133:CG133))</f>
        <v>1</v>
      </c>
      <c r="CI133" s="31" t="n">
        <f aca="false">IF(CO133="","",SUMIFS($CJ$7:$CJ$696,$A$7:$A$696,CO133,$B$7:$B$696,B133))</f>
        <v>416879</v>
      </c>
      <c r="CJ133" s="31" t="n">
        <f aca="false">SUM(AY133:BI133)</f>
        <v>416879</v>
      </c>
      <c r="CK133" s="31" t="str">
        <f aca="false">IFERROR(INDEX(設定!$F$61:$F$106,MATCH(B133,設定!$B$61:$B$106,0)),"Y")</f>
        <v>N</v>
      </c>
      <c r="CL133" s="31" t="str">
        <f aca="false">IFERROR(INDEX(設定!$G$61:$G$106,MATCH(B133,設定!$B$61:$B$106,0)),"外郭型")</f>
        <v>外郭型</v>
      </c>
      <c r="CM133" s="33" t="str">
        <f aca="false">A133&amp;"|"&amp;B133</f>
        <v>2026-06 月例|社会福祉協議会</v>
      </c>
      <c r="CN133" s="34" t="str">
        <f aca="false">IFERROR(INDEX(設定!$D$61:$D$106,MATCH(B133,設定!$B$61:$B$106,0)),"Y")</f>
        <v>Y</v>
      </c>
      <c r="CO133" s="34" t="str">
        <f aca="false">IFERROR(INDEX(設定!$D$20:$D$34,MATCH(A133,設定!$A$20:$A$34,0))&amp;"","")</f>
        <v>2026-05 月例</v>
      </c>
    </row>
    <row r="134" customFormat="false" ht="15" hidden="true" customHeight="false" outlineLevel="0" collapsed="false">
      <c r="A134" s="22" t="s">
        <v>217</v>
      </c>
      <c r="B134" s="23" t="s">
        <v>204</v>
      </c>
      <c r="C134" s="10" t="str">
        <f aca="false">IF(G134="","未受領",IF(G134="なし","報告なし",IF(AL134="○","起票済",IF(OR(AK134="○",F134="一致",F134="入金不要"),"入金確認済","受領済"))))</f>
        <v>入金確認済</v>
      </c>
      <c r="D134" s="10" t="str">
        <f aca="false">IF(OR(G134="",G134="なし"),"―",IF(CN134="N","対象外",IF(AND(I134="",J134="",K134=""),"標報未入力",IF(CH134&gt;=設定!$B$4,"要確認","問題なし"))))</f>
        <v>対象外</v>
      </c>
      <c r="E134" s="24" t="str">
        <f aca="false">IF(OR(G134="",G134="なし",CI134="",CJ134=0),"―",IF(CJ134=CI134,"前月同額",IF(CI134=0,"―",IF(ABS(CJ134/CI134-1)&gt;=設定!$B$5,"変動大 "&amp;TEXT(CJ134/CI134-1,"+0%;-0%"),"〇"))))</f>
        <v>〇</v>
      </c>
      <c r="F134" s="10" t="str">
        <f aca="false">IF(OR(G134="",G134="なし"),"―",IF(CJ134=0,"入金不要",IF(COUNT(AD134,AF134,AH134,AJ134)=0,IF(AK134="○","手動確認","未入金"),IF(AND(N(AD134)=AC134,IF(AE134="",TRUE(),N(AF134)=AE134),IF(AG134="",TRUE(),N(AH134)=AG134),IF(AI134="",TRUE(),N(AJ134)=AI134)),"一致","不一致"))))</f>
        <v>手動確認</v>
      </c>
      <c r="G134" s="25" t="s">
        <v>167</v>
      </c>
      <c r="H134" s="26"/>
      <c r="I134" s="27"/>
      <c r="J134" s="27"/>
      <c r="K134" s="27"/>
      <c r="L134" s="27"/>
      <c r="M134" s="27"/>
      <c r="N134" s="27"/>
      <c r="O134" s="27" t="n">
        <v>127369830</v>
      </c>
      <c r="P134" s="27" t="n">
        <v>10437000</v>
      </c>
      <c r="Q134" s="27" t="n">
        <v>94159487</v>
      </c>
      <c r="R134" s="27" t="n">
        <v>7969836</v>
      </c>
      <c r="S134" s="27" t="n">
        <v>2086588</v>
      </c>
      <c r="T134" s="27" t="n">
        <v>185771486</v>
      </c>
      <c r="U134" s="27" t="n">
        <v>10437000</v>
      </c>
      <c r="V134" s="27" t="n">
        <v>126968</v>
      </c>
      <c r="W134" s="27" t="n">
        <v>94264854</v>
      </c>
      <c r="X134" s="27" t="n">
        <v>7975700</v>
      </c>
      <c r="Y134" s="27" t="n">
        <v>2086587</v>
      </c>
      <c r="Z134" s="27"/>
      <c r="AA134" s="10" t="str">
        <f aca="false">IFERROR(INDEX(設定!$E$61:$E$106,MATCH(B134,設定!$B$61:$B$106,0)),"合算")</f>
        <v>合算</v>
      </c>
      <c r="AB134" s="28"/>
      <c r="AC134" s="29" t="n">
        <f aca="false">IF(OR(G134="",G134="なし"),"",IF(AA134="合算",CJ134+N(Z134),IF(AA134="掛金・負担金別",(AY134+AZ134+BD134+BF134+BH134),SUM(AY134:BC134))))</f>
        <v>542685336</v>
      </c>
      <c r="AD134" s="27"/>
      <c r="AE134" s="29" t="str">
        <f aca="false">IF(OR(G134="",G134="なし"),"",IF(AA134="掛金・負担金別",(BA134+BB134+BC134+BE134+BG134+BI134+N(Z134)),IF(AA134="経理区分別",BD134+BE134,"")))</f>
        <v/>
      </c>
      <c r="AF134" s="27"/>
      <c r="AG134" s="29" t="str">
        <f aca="false">IF(OR(G134="",G134="なし"),"",IF(AA134="経理区分別",BF134+BG134,""))</f>
        <v/>
      </c>
      <c r="AH134" s="27"/>
      <c r="AI134" s="29" t="str">
        <f aca="false">IF(OR(G134="",G134="なし"),"",IF(AA134="経理区分別",BH134+BI134+N(Z134),""))</f>
        <v/>
      </c>
      <c r="AJ134" s="27"/>
      <c r="AK134" s="26" t="s">
        <v>168</v>
      </c>
      <c r="AL134" s="26"/>
      <c r="AM134" s="30"/>
      <c r="AN134" s="31"/>
      <c r="AO134" s="31"/>
      <c r="AP134" s="31"/>
      <c r="AQ134" s="31"/>
      <c r="AR134" s="31"/>
      <c r="AS134" s="31"/>
      <c r="AT134" s="31"/>
      <c r="AU134" s="31"/>
      <c r="AV134" s="31"/>
      <c r="AW134" s="31"/>
      <c r="AX134" s="31"/>
      <c r="AY134" s="31" t="n">
        <f aca="false">IF($G134="",AN134,O134)</f>
        <v>127369830</v>
      </c>
      <c r="AZ134" s="31" t="n">
        <f aca="false">IF($G134="",AO134,P134)</f>
        <v>10437000</v>
      </c>
      <c r="BA134" s="31" t="n">
        <f aca="false">IF($G134="",AP134,T134)</f>
        <v>185771486</v>
      </c>
      <c r="BB134" s="31" t="n">
        <f aca="false">IF($G134="",AQ134,U134)</f>
        <v>10437000</v>
      </c>
      <c r="BC134" s="31" t="n">
        <f aca="false">IF($G134="",AR134,V134)</f>
        <v>126968</v>
      </c>
      <c r="BD134" s="31" t="n">
        <f aca="false">IF($G134="",AS134,Q134)</f>
        <v>94159487</v>
      </c>
      <c r="BE134" s="31" t="n">
        <f aca="false">IF($G134="",AT134,W134)</f>
        <v>94264854</v>
      </c>
      <c r="BF134" s="31" t="n">
        <f aca="false">IF($G134="",AU134,R134)</f>
        <v>7969836</v>
      </c>
      <c r="BG134" s="31" t="n">
        <f aca="false">IF($G134="",AV134,X134)</f>
        <v>7975700</v>
      </c>
      <c r="BH134" s="31" t="n">
        <f aca="false">IF($G134="",AW134,S134)</f>
        <v>2086588</v>
      </c>
      <c r="BI134" s="31" t="n">
        <f aca="false">IF($G134="",AX134,Y134)</f>
        <v>2086587</v>
      </c>
      <c r="BJ134" s="31" t="n">
        <f aca="false">IF(CK134="N",BR134,ROUNDDOWN((I134-L134)*設定!$B$10/1000,0)+ROUNDDOWN((I134-L134)*設定!$B$11/1000,0))</f>
        <v>0</v>
      </c>
      <c r="BK134" s="31" t="n">
        <f aca="false">ROUNDDOWN((I134-L134)*設定!$C$10/1000,0)+ROUNDDOWN((I134-L134)*設定!$C$11/1000,0)+ROUNDDOWN(I134*設定!$C$12/1000,0)+IF(CL134="市局型",ROUNDDOWN(I134*設定!$C$16/1000,0),0)</f>
        <v>0</v>
      </c>
      <c r="BL134" s="31" t="n">
        <f aca="false">IF(CK134="N",BT134,ROUNDDOWN((J134-M134)*設定!$B$13/1000,0))</f>
        <v>0</v>
      </c>
      <c r="BM134" s="31" t="n">
        <f aca="false">ROUNDDOWN((J134-M134)*設定!$C$13/1000,0)+IF(CL134="市局型",ROUNDDOWN(J134*設定!$C$17/1000,0),0)</f>
        <v>0</v>
      </c>
      <c r="BN134" s="31" t="n">
        <f aca="false">IF(CK134="N",BV134,ROUNDDOWN((K134-N134)*設定!$B$14/1000,0))</f>
        <v>0</v>
      </c>
      <c r="BO134" s="31" t="n">
        <f aca="false">ROUNDDOWN((K134-N134)*設定!$C$14/1000,0)</f>
        <v>0</v>
      </c>
      <c r="BP134" s="31" t="n">
        <f aca="false">IF(CK134="N",BX134,ROUNDDOWN((J134-M134)*設定!$B$15/1000,0))</f>
        <v>0</v>
      </c>
      <c r="BQ134" s="31" t="n">
        <f aca="false">ROUNDDOWN((J134-M134)*設定!$C$15/1000,0)</f>
        <v>0</v>
      </c>
      <c r="BR134" s="31" t="n">
        <f aca="false">O134+P134</f>
        <v>137806830</v>
      </c>
      <c r="BS134" s="31" t="n">
        <f aca="false">T134+U134+V134</f>
        <v>196335454</v>
      </c>
      <c r="BT134" s="31" t="n">
        <f aca="false">Q134</f>
        <v>94159487</v>
      </c>
      <c r="BU134" s="31" t="n">
        <f aca="false">W134</f>
        <v>94264854</v>
      </c>
      <c r="BV134" s="31" t="n">
        <f aca="false">R134</f>
        <v>7969836</v>
      </c>
      <c r="BW134" s="31" t="n">
        <f aca="false">X134</f>
        <v>7975700</v>
      </c>
      <c r="BX134" s="31" t="n">
        <f aca="false">S134</f>
        <v>2086588</v>
      </c>
      <c r="BY134" s="31" t="n">
        <f aca="false">Y134</f>
        <v>2086587</v>
      </c>
      <c r="BZ134" s="32" t="n">
        <f aca="false">IF(BJ134=0,IF(BR134=0,0,1),(BR134-BJ134)/BJ134)</f>
        <v>1</v>
      </c>
      <c r="CA134" s="32" t="n">
        <f aca="false">IF(BK134=0,IF(BS134=0,0,1),(BS134-BK134)/BK134)</f>
        <v>1</v>
      </c>
      <c r="CB134" s="32" t="n">
        <f aca="false">IF(BL134=0,IF(BT134=0,0,1),(BT134-BL134)/BL134)</f>
        <v>1</v>
      </c>
      <c r="CC134" s="32" t="n">
        <f aca="false">IF(BM134=0,IF(BU134=0,0,1),(BU134-BM134)/BM134)</f>
        <v>1</v>
      </c>
      <c r="CD134" s="32" t="n">
        <f aca="false">IF(BN134=0,IF(BV134=0,0,1),(BV134-BN134)/BN134)</f>
        <v>1</v>
      </c>
      <c r="CE134" s="32" t="n">
        <f aca="false">IF(BO134=0,IF(BW134=0,0,1),(BW134-BO134)/BO134)</f>
        <v>1</v>
      </c>
      <c r="CF134" s="32" t="n">
        <f aca="false">IF(BP134=0,IF(BX134=0,0,1),(BX134-BP134)/BP134)</f>
        <v>1</v>
      </c>
      <c r="CG134" s="32" t="n">
        <f aca="false">IF(BQ134=0,IF(BY134=0,0,1),(BY134-BQ134)/BQ134)</f>
        <v>1</v>
      </c>
      <c r="CH134" s="32" t="n">
        <f aca="false">MAX(MAX(BZ134:CG134),-MIN(BZ134:CG134))</f>
        <v>1</v>
      </c>
      <c r="CI134" s="31" t="n">
        <f aca="false">IF(CO134="","",SUMIFS($CJ$7:$CJ$696,$A$7:$A$696,CO134,$B$7:$B$696,B134))</f>
        <v>543313426</v>
      </c>
      <c r="CJ134" s="31" t="n">
        <f aca="false">SUM(AY134:BI134)</f>
        <v>542685336</v>
      </c>
      <c r="CK134" s="31" t="str">
        <f aca="false">IFERROR(INDEX(設定!$F$61:$F$106,MATCH(B134,設定!$B$61:$B$106,0)),"Y")</f>
        <v>Y</v>
      </c>
      <c r="CL134" s="31" t="str">
        <f aca="false">IFERROR(INDEX(設定!$G$61:$G$106,MATCH(B134,設定!$B$61:$B$106,0)),"外郭型")</f>
        <v>外郭型</v>
      </c>
      <c r="CM134" s="33" t="str">
        <f aca="false">A134&amp;"|"&amp;B134</f>
        <v>2026-06 月例|市立病院機構</v>
      </c>
      <c r="CN134" s="34" t="str">
        <f aca="false">IFERROR(INDEX(設定!$D$61:$D$106,MATCH(B134,設定!$B$61:$B$106,0)),"Y")</f>
        <v>N</v>
      </c>
      <c r="CO134" s="34" t="str">
        <f aca="false">IFERROR(INDEX(設定!$D$20:$D$34,MATCH(A134,設定!$A$20:$A$34,0))&amp;"","")</f>
        <v>2026-05 月例</v>
      </c>
    </row>
    <row r="135" customFormat="false" ht="15" hidden="true" customHeight="false" outlineLevel="0" collapsed="false">
      <c r="A135" s="22" t="s">
        <v>217</v>
      </c>
      <c r="B135" s="23" t="s">
        <v>205</v>
      </c>
      <c r="C135" s="10" t="str">
        <f aca="false">IF(G135="","未受領",IF(G135="なし","報告なし",IF(AL135="○","起票済",IF(OR(AK135="○",F135="一致",F135="入金不要"),"入金確認済","受領済"))))</f>
        <v>入金確認済</v>
      </c>
      <c r="D135" s="10" t="str">
        <f aca="false">IF(OR(G135="",G135="なし"),"―",IF(CN135="N","対象外",IF(AND(I135="",J135="",K135=""),"標報未入力",IF(CH135&gt;=設定!$B$4,"要確認","問題なし"))))</f>
        <v>対象外</v>
      </c>
      <c r="E135" s="24" t="str">
        <f aca="false">IF(OR(G135="",G135="なし",CI135="",CJ135=0),"―",IF(CJ135=CI135,"前月同額",IF(CI135=0,"―",IF(ABS(CJ135/CI135-1)&gt;=設定!$B$5,"変動大 "&amp;TEXT(CJ135/CI135-1,"+0%;-0%"),"〇"))))</f>
        <v>〇</v>
      </c>
      <c r="F135" s="10" t="str">
        <f aca="false">IF(OR(G135="",G135="なし"),"―",IF(CJ135=0,"入金不要",IF(COUNT(AD135,AF135,AH135,AJ135)=0,IF(AK135="○","手動確認","未入金"),IF(AND(N(AD135)=AC135,IF(AE135="",TRUE(),N(AF135)=AE135),IF(AG135="",TRUE(),N(AH135)=AG135),IF(AI135="",TRUE(),N(AJ135)=AI135)),"一致","不一致"))))</f>
        <v>手動確認</v>
      </c>
      <c r="G135" s="25" t="s">
        <v>167</v>
      </c>
      <c r="H135" s="26"/>
      <c r="I135" s="27"/>
      <c r="J135" s="27"/>
      <c r="K135" s="27"/>
      <c r="L135" s="27"/>
      <c r="M135" s="27"/>
      <c r="N135" s="27"/>
      <c r="O135" s="27"/>
      <c r="P135" s="27"/>
      <c r="Q135" s="27" t="n">
        <v>104755</v>
      </c>
      <c r="R135" s="27" t="n">
        <v>11060</v>
      </c>
      <c r="S135" s="27" t="n">
        <v>2321</v>
      </c>
      <c r="T135" s="27" t="n">
        <v>0</v>
      </c>
      <c r="U135" s="27" t="n">
        <v>0</v>
      </c>
      <c r="V135" s="27" t="n">
        <v>0</v>
      </c>
      <c r="W135" s="27" t="n">
        <v>104857</v>
      </c>
      <c r="X135" s="27" t="n">
        <v>11060</v>
      </c>
      <c r="Y135" s="27" t="n">
        <v>2322</v>
      </c>
      <c r="Z135" s="27"/>
      <c r="AA135" s="10" t="str">
        <f aca="false">IFERROR(INDEX(設定!$E$61:$E$106,MATCH(B135,設定!$B$61:$B$106,0)),"合算")</f>
        <v>合算</v>
      </c>
      <c r="AB135" s="28"/>
      <c r="AC135" s="29" t="n">
        <f aca="false">IF(OR(G135="",G135="なし"),"",IF(AA135="合算",CJ135+N(Z135),IF(AA135="掛金・負担金別",(AY135+AZ135+BD135+BF135+BH135),SUM(AY135:BC135))))</f>
        <v>236375</v>
      </c>
      <c r="AD135" s="27"/>
      <c r="AE135" s="29" t="str">
        <f aca="false">IF(OR(G135="",G135="なし"),"",IF(AA135="掛金・負担金別",(BA135+BB135+BC135+BE135+BG135+BI135+N(Z135)),IF(AA135="経理区分別",BD135+BE135,"")))</f>
        <v/>
      </c>
      <c r="AF135" s="27"/>
      <c r="AG135" s="29" t="str">
        <f aca="false">IF(OR(G135="",G135="なし"),"",IF(AA135="経理区分別",BF135+BG135,""))</f>
        <v/>
      </c>
      <c r="AH135" s="27"/>
      <c r="AI135" s="29" t="str">
        <f aca="false">IF(OR(G135="",G135="なし"),"",IF(AA135="経理区分別",BH135+BI135+N(Z135),""))</f>
        <v/>
      </c>
      <c r="AJ135" s="27"/>
      <c r="AK135" s="26" t="s">
        <v>168</v>
      </c>
      <c r="AL135" s="26"/>
      <c r="AM135" s="30"/>
      <c r="AN135" s="31"/>
      <c r="AO135" s="31"/>
      <c r="AP135" s="31"/>
      <c r="AQ135" s="31"/>
      <c r="AR135" s="31"/>
      <c r="AS135" s="31"/>
      <c r="AT135" s="31"/>
      <c r="AU135" s="31"/>
      <c r="AV135" s="31"/>
      <c r="AW135" s="31"/>
      <c r="AX135" s="31"/>
      <c r="AY135" s="31" t="n">
        <f aca="false">IF($G135="",AN135,O135)</f>
        <v>0</v>
      </c>
      <c r="AZ135" s="31" t="n">
        <f aca="false">IF($G135="",AO135,P135)</f>
        <v>0</v>
      </c>
      <c r="BA135" s="31" t="n">
        <f aca="false">IF($G135="",AP135,T135)</f>
        <v>0</v>
      </c>
      <c r="BB135" s="31" t="n">
        <f aca="false">IF($G135="",AQ135,U135)</f>
        <v>0</v>
      </c>
      <c r="BC135" s="31" t="n">
        <f aca="false">IF($G135="",AR135,V135)</f>
        <v>0</v>
      </c>
      <c r="BD135" s="31" t="n">
        <f aca="false">IF($G135="",AS135,Q135)</f>
        <v>104755</v>
      </c>
      <c r="BE135" s="31" t="n">
        <f aca="false">IF($G135="",AT135,W135)</f>
        <v>104857</v>
      </c>
      <c r="BF135" s="31" t="n">
        <f aca="false">IF($G135="",AU135,R135)</f>
        <v>11060</v>
      </c>
      <c r="BG135" s="31" t="n">
        <f aca="false">IF($G135="",AV135,X135)</f>
        <v>11060</v>
      </c>
      <c r="BH135" s="31" t="n">
        <f aca="false">IF($G135="",AW135,S135)</f>
        <v>2321</v>
      </c>
      <c r="BI135" s="31" t="n">
        <f aca="false">IF($G135="",AX135,Y135)</f>
        <v>2322</v>
      </c>
      <c r="BJ135" s="31" t="n">
        <f aca="false">IF(CK135="N",BR135,ROUNDDOWN((I135-L135)*設定!$B$10/1000,0)+ROUNDDOWN((I135-L135)*設定!$B$11/1000,0))</f>
        <v>0</v>
      </c>
      <c r="BK135" s="31" t="n">
        <f aca="false">ROUNDDOWN((I135-L135)*設定!$C$10/1000,0)+ROUNDDOWN((I135-L135)*設定!$C$11/1000,0)+ROUNDDOWN(I135*設定!$C$12/1000,0)+IF(CL135="市局型",ROUNDDOWN(I135*設定!$C$16/1000,0),0)</f>
        <v>0</v>
      </c>
      <c r="BL135" s="31" t="n">
        <f aca="false">IF(CK135="N",BT135,ROUNDDOWN((J135-M135)*設定!$B$13/1000,0))</f>
        <v>0</v>
      </c>
      <c r="BM135" s="31" t="n">
        <f aca="false">ROUNDDOWN((J135-M135)*設定!$C$13/1000,0)+IF(CL135="市局型",ROUNDDOWN(J135*設定!$C$17/1000,0),0)</f>
        <v>0</v>
      </c>
      <c r="BN135" s="31" t="n">
        <f aca="false">IF(CK135="N",BV135,ROUNDDOWN((K135-N135)*設定!$B$14/1000,0))</f>
        <v>0</v>
      </c>
      <c r="BO135" s="31" t="n">
        <f aca="false">ROUNDDOWN((K135-N135)*設定!$C$14/1000,0)</f>
        <v>0</v>
      </c>
      <c r="BP135" s="31" t="n">
        <f aca="false">IF(CK135="N",BX135,ROUNDDOWN((J135-M135)*設定!$B$15/1000,0))</f>
        <v>0</v>
      </c>
      <c r="BQ135" s="31" t="n">
        <f aca="false">ROUNDDOWN((J135-M135)*設定!$C$15/1000,0)</f>
        <v>0</v>
      </c>
      <c r="BR135" s="31" t="n">
        <f aca="false">O135+P135</f>
        <v>0</v>
      </c>
      <c r="BS135" s="31" t="n">
        <f aca="false">T135+U135+V135</f>
        <v>0</v>
      </c>
      <c r="BT135" s="31" t="n">
        <f aca="false">Q135</f>
        <v>104755</v>
      </c>
      <c r="BU135" s="31" t="n">
        <f aca="false">W135</f>
        <v>104857</v>
      </c>
      <c r="BV135" s="31" t="n">
        <f aca="false">R135</f>
        <v>11060</v>
      </c>
      <c r="BW135" s="31" t="n">
        <f aca="false">X135</f>
        <v>11060</v>
      </c>
      <c r="BX135" s="31" t="n">
        <f aca="false">S135</f>
        <v>2321</v>
      </c>
      <c r="BY135" s="31" t="n">
        <f aca="false">Y135</f>
        <v>2322</v>
      </c>
      <c r="BZ135" s="32" t="n">
        <f aca="false">IF(BJ135=0,IF(BR135=0,0,1),(BR135-BJ135)/BJ135)</f>
        <v>0</v>
      </c>
      <c r="CA135" s="32" t="n">
        <f aca="false">IF(BK135=0,IF(BS135=0,0,1),(BS135-BK135)/BK135)</f>
        <v>0</v>
      </c>
      <c r="CB135" s="32" t="n">
        <f aca="false">IF(BL135=0,IF(BT135=0,0,1),(BT135-BL135)/BL135)</f>
        <v>1</v>
      </c>
      <c r="CC135" s="32" t="n">
        <f aca="false">IF(BM135=0,IF(BU135=0,0,1),(BU135-BM135)/BM135)</f>
        <v>1</v>
      </c>
      <c r="CD135" s="32" t="n">
        <f aca="false">IF(BN135=0,IF(BV135=0,0,1),(BV135-BN135)/BN135)</f>
        <v>1</v>
      </c>
      <c r="CE135" s="32" t="n">
        <f aca="false">IF(BO135=0,IF(BW135=0,0,1),(BW135-BO135)/BO135)</f>
        <v>1</v>
      </c>
      <c r="CF135" s="32" t="n">
        <f aca="false">IF(BP135=0,IF(BX135=0,0,1),(BX135-BP135)/BP135)</f>
        <v>1</v>
      </c>
      <c r="CG135" s="32" t="n">
        <f aca="false">IF(BQ135=0,IF(BY135=0,0,1),(BY135-BQ135)/BQ135)</f>
        <v>1</v>
      </c>
      <c r="CH135" s="32" t="n">
        <f aca="false">MAX(MAX(BZ135:CG135),-MIN(BZ135:CG135))</f>
        <v>1</v>
      </c>
      <c r="CI135" s="31" t="n">
        <f aca="false">IF(CO135="","",SUMIFS($CJ$7:$CJ$696,$A$7:$A$696,CO135,$B$7:$B$696,B135))</f>
        <v>257579</v>
      </c>
      <c r="CJ135" s="31" t="n">
        <f aca="false">SUM(AY135:BI135)</f>
        <v>236375</v>
      </c>
      <c r="CK135" s="31" t="str">
        <f aca="false">IFERROR(INDEX(設定!$F$61:$F$106,MATCH(B135,設定!$B$61:$B$106,0)),"Y")</f>
        <v>Y</v>
      </c>
      <c r="CL135" s="31" t="str">
        <f aca="false">IFERROR(INDEX(設定!$G$61:$G$106,MATCH(B135,設定!$B$61:$B$106,0)),"外郭型")</f>
        <v>外郭型</v>
      </c>
      <c r="CM135" s="33" t="str">
        <f aca="false">A135&amp;"|"&amp;B135</f>
        <v>2026-06 月例|職員共済組合</v>
      </c>
      <c r="CN135" s="34" t="str">
        <f aca="false">IFERROR(INDEX(設定!$D$61:$D$106,MATCH(B135,設定!$B$61:$B$106,0)),"Y")</f>
        <v>N</v>
      </c>
      <c r="CO135" s="34" t="str">
        <f aca="false">IFERROR(INDEX(設定!$D$20:$D$34,MATCH(A135,設定!$A$20:$A$34,0))&amp;"","")</f>
        <v>2026-05 月例</v>
      </c>
    </row>
    <row r="136" customFormat="false" ht="26.85" hidden="true" customHeight="false" outlineLevel="0" collapsed="false">
      <c r="A136" s="22" t="s">
        <v>217</v>
      </c>
      <c r="B136" s="35" t="s">
        <v>216</v>
      </c>
      <c r="C136" s="10" t="str">
        <f aca="false">IF(G136="","未受領",IF(G136="なし","報告なし",IF(AL136="○","起票済",IF(OR(AK136="○",F136="一致",F136="入金不要"),"入金確認済","受領済"))))</f>
        <v>報告なし</v>
      </c>
      <c r="D136" s="10" t="str">
        <f aca="false">IF(OR(G136="",G136="なし"),"―",IF(CN136="N","対象外",IF(AND(I136="",J136="",K136=""),"標報未入力",IF(CH136&gt;=設定!$B$4,"要確認","問題なし"))))</f>
        <v>―</v>
      </c>
      <c r="E136" s="24" t="str">
        <f aca="false">IF(OR(G136="",G136="なし",CI136="",CJ136=0),"―",IF(CJ136=CI136,"前月同額",IF(CI136=0,"―",IF(ABS(CJ136/CI136-1)&gt;=設定!$B$5,"変動大 "&amp;TEXT(CJ136/CI136-1,"+0%;-0%"),"〇"))))</f>
        <v>―</v>
      </c>
      <c r="F136" s="10" t="str">
        <f aca="false">IF(OR(G136="",G136="なし"),"―",IF(CJ136=0,"入金不要",IF(COUNT(AD136,AF136,AH136,AJ136)=0,IF(AK136="○","手動確認","未入金"),IF(AND(N(AD136)=AC136,IF(AE136="",TRUE(),N(AF136)=AE136),IF(AG136="",TRUE(),N(AH136)=AG136),IF(AI136="",TRUE(),N(AJ136)=AI136)),"一致","不一致"))))</f>
        <v>―</v>
      </c>
      <c r="G136" s="25" t="s">
        <v>181</v>
      </c>
      <c r="H136" s="26"/>
      <c r="I136" s="27"/>
      <c r="J136" s="27"/>
      <c r="K136" s="27"/>
      <c r="L136" s="27"/>
      <c r="M136" s="27"/>
      <c r="N136" s="27"/>
      <c r="O136" s="27"/>
      <c r="P136" s="27"/>
      <c r="Q136" s="27"/>
      <c r="R136" s="27"/>
      <c r="S136" s="27"/>
      <c r="T136" s="27"/>
      <c r="U136" s="27"/>
      <c r="V136" s="27"/>
      <c r="W136" s="27"/>
      <c r="X136" s="27"/>
      <c r="Y136" s="27"/>
      <c r="Z136" s="27"/>
      <c r="AA136" s="10" t="str">
        <f aca="false">IFERROR(INDEX(設定!$E$61:$E$106,MATCH(B136,設定!$B$61:$B$106,0)),"合算")</f>
        <v>合算</v>
      </c>
      <c r="AB136" s="28"/>
      <c r="AC136" s="29" t="str">
        <f aca="false">IF(OR(G136="",G136="なし"),"",IF(AA136="合算",CJ136+N(Z136),IF(AA136="掛金・負担金別",(AY136+AZ136+BD136+BF136+BH136),SUM(AY136:BC136))))</f>
        <v/>
      </c>
      <c r="AD136" s="27"/>
      <c r="AE136" s="29" t="str">
        <f aca="false">IF(OR(G136="",G136="なし"),"",IF(AA136="掛金・負担金別",(BA136+BB136+BC136+BE136+BG136+BI136+N(Z136)),IF(AA136="経理区分別",BD136+BE136,"")))</f>
        <v/>
      </c>
      <c r="AF136" s="27"/>
      <c r="AG136" s="29" t="str">
        <f aca="false">IF(OR(G136="",G136="なし"),"",IF(AA136="経理区分別",BF136+BG136,""))</f>
        <v/>
      </c>
      <c r="AH136" s="27"/>
      <c r="AI136" s="29" t="str">
        <f aca="false">IF(OR(G136="",G136="なし"),"",IF(AA136="経理区分別",BH136+BI136+N(Z136),""))</f>
        <v/>
      </c>
      <c r="AJ136" s="27"/>
      <c r="AK136" s="26"/>
      <c r="AL136" s="26"/>
      <c r="AM136" s="30"/>
      <c r="AN136" s="31"/>
      <c r="AO136" s="31"/>
      <c r="AP136" s="31"/>
      <c r="AQ136" s="31"/>
      <c r="AR136" s="31"/>
      <c r="AS136" s="31"/>
      <c r="AT136" s="31"/>
      <c r="AU136" s="31"/>
      <c r="AV136" s="31"/>
      <c r="AW136" s="31"/>
      <c r="AX136" s="31"/>
      <c r="AY136" s="31" t="n">
        <f aca="false">IF($G136="",AN136,O136)</f>
        <v>0</v>
      </c>
      <c r="AZ136" s="31" t="n">
        <f aca="false">IF($G136="",AO136,P136)</f>
        <v>0</v>
      </c>
      <c r="BA136" s="31" t="n">
        <f aca="false">IF($G136="",AP136,T136)</f>
        <v>0</v>
      </c>
      <c r="BB136" s="31" t="n">
        <f aca="false">IF($G136="",AQ136,U136)</f>
        <v>0</v>
      </c>
      <c r="BC136" s="31" t="n">
        <f aca="false">IF($G136="",AR136,V136)</f>
        <v>0</v>
      </c>
      <c r="BD136" s="31" t="n">
        <f aca="false">IF($G136="",AS136,Q136)</f>
        <v>0</v>
      </c>
      <c r="BE136" s="31" t="n">
        <f aca="false">IF($G136="",AT136,W136)</f>
        <v>0</v>
      </c>
      <c r="BF136" s="31" t="n">
        <f aca="false">IF($G136="",AU136,R136)</f>
        <v>0</v>
      </c>
      <c r="BG136" s="31" t="n">
        <f aca="false">IF($G136="",AV136,X136)</f>
        <v>0</v>
      </c>
      <c r="BH136" s="31" t="n">
        <f aca="false">IF($G136="",AW136,S136)</f>
        <v>0</v>
      </c>
      <c r="BI136" s="31" t="n">
        <f aca="false">IF($G136="",AX136,Y136)</f>
        <v>0</v>
      </c>
      <c r="BJ136" s="31" t="n">
        <f aca="false">IF(CK136="N",BR136,ROUNDDOWN((I136-L136)*設定!$B$10/1000,0)+ROUNDDOWN((I136-L136)*設定!$B$11/1000,0))</f>
        <v>0</v>
      </c>
      <c r="BK136" s="31" t="n">
        <f aca="false">ROUNDDOWN((I136-L136)*設定!$C$10/1000,0)+ROUNDDOWN((I136-L136)*設定!$C$11/1000,0)+ROUNDDOWN(I136*設定!$C$12/1000,0)+IF(CL136="市局型",ROUNDDOWN(I136*設定!$C$16/1000,0),0)</f>
        <v>0</v>
      </c>
      <c r="BL136" s="31" t="n">
        <f aca="false">IF(CK136="N",BT136,ROUNDDOWN((J136-M136)*設定!$B$13/1000,0))</f>
        <v>0</v>
      </c>
      <c r="BM136" s="31" t="n">
        <f aca="false">ROUNDDOWN((J136-M136)*設定!$C$13/1000,0)+IF(CL136="市局型",ROUNDDOWN(J136*設定!$C$17/1000,0),0)</f>
        <v>0</v>
      </c>
      <c r="BN136" s="31" t="n">
        <f aca="false">IF(CK136="N",BV136,ROUNDDOWN((K136-N136)*設定!$B$14/1000,0))</f>
        <v>0</v>
      </c>
      <c r="BO136" s="31" t="n">
        <f aca="false">ROUNDDOWN((K136-N136)*設定!$C$14/1000,0)</f>
        <v>0</v>
      </c>
      <c r="BP136" s="31" t="n">
        <f aca="false">IF(CK136="N",BX136,ROUNDDOWN((J136-M136)*設定!$B$15/1000,0))</f>
        <v>0</v>
      </c>
      <c r="BQ136" s="31" t="n">
        <f aca="false">ROUNDDOWN((J136-M136)*設定!$C$15/1000,0)</f>
        <v>0</v>
      </c>
      <c r="BR136" s="31" t="n">
        <f aca="false">O136+P136</f>
        <v>0</v>
      </c>
      <c r="BS136" s="31" t="n">
        <f aca="false">T136+U136+V136</f>
        <v>0</v>
      </c>
      <c r="BT136" s="31" t="n">
        <f aca="false">Q136</f>
        <v>0</v>
      </c>
      <c r="BU136" s="31" t="n">
        <f aca="false">W136</f>
        <v>0</v>
      </c>
      <c r="BV136" s="31" t="n">
        <f aca="false">R136</f>
        <v>0</v>
      </c>
      <c r="BW136" s="31" t="n">
        <f aca="false">X136</f>
        <v>0</v>
      </c>
      <c r="BX136" s="31" t="n">
        <f aca="false">S136</f>
        <v>0</v>
      </c>
      <c r="BY136" s="31" t="n">
        <f aca="false">Y136</f>
        <v>0</v>
      </c>
      <c r="BZ136" s="32" t="n">
        <f aca="false">IF(BJ136=0,IF(BR136=0,0,1),(BR136-BJ136)/BJ136)</f>
        <v>0</v>
      </c>
      <c r="CA136" s="32" t="n">
        <f aca="false">IF(BK136=0,IF(BS136=0,0,1),(BS136-BK136)/BK136)</f>
        <v>0</v>
      </c>
      <c r="CB136" s="32" t="n">
        <f aca="false">IF(BL136=0,IF(BT136=0,0,1),(BT136-BL136)/BL136)</f>
        <v>0</v>
      </c>
      <c r="CC136" s="32" t="n">
        <f aca="false">IF(BM136=0,IF(BU136=0,0,1),(BU136-BM136)/BM136)</f>
        <v>0</v>
      </c>
      <c r="CD136" s="32" t="n">
        <f aca="false">IF(BN136=0,IF(BV136=0,0,1),(BV136-BN136)/BN136)</f>
        <v>0</v>
      </c>
      <c r="CE136" s="32" t="n">
        <f aca="false">IF(BO136=0,IF(BW136=0,0,1),(BW136-BO136)/BO136)</f>
        <v>0</v>
      </c>
      <c r="CF136" s="32" t="n">
        <f aca="false">IF(BP136=0,IF(BX136=0,0,1),(BX136-BP136)/BP136)</f>
        <v>0</v>
      </c>
      <c r="CG136" s="32" t="n">
        <f aca="false">IF(BQ136=0,IF(BY136=0,0,1),(BY136-BQ136)/BQ136)</f>
        <v>0</v>
      </c>
      <c r="CH136" s="32" t="n">
        <f aca="false">MAX(MAX(BZ136:CG136),-MIN(BZ136:CG136))</f>
        <v>-0</v>
      </c>
      <c r="CI136" s="31" t="n">
        <f aca="false">IF(CO136="","",SUMIFS($CJ$7:$CJ$696,$A$7:$A$696,CO136,$B$7:$B$696,B136))</f>
        <v>0</v>
      </c>
      <c r="CJ136" s="31" t="n">
        <f aca="false">SUM(AY136:BI136)</f>
        <v>0</v>
      </c>
      <c r="CK136" s="31" t="str">
        <f aca="false">IFERROR(INDEX(設定!$F$61:$F$106,MATCH(B136,設定!$B$61:$B$106,0)),"Y")</f>
        <v>N</v>
      </c>
      <c r="CL136" s="31" t="str">
        <f aca="false">IFERROR(INDEX(設定!$G$61:$G$106,MATCH(B136,設定!$B$61:$B$106,0)),"外郭型")</f>
        <v>外郭型</v>
      </c>
      <c r="CM136" s="36" t="str">
        <f aca="false">A136&amp;"|"&amp;B136</f>
        <v>2026-06 月例|地方公共団体
情報システム機構</v>
      </c>
      <c r="CN136" s="34" t="str">
        <f aca="false">IFERROR(INDEX(設定!$D$61:$D$106,MATCH(B136,設定!$B$61:$B$106,0)),"Y")</f>
        <v>Y</v>
      </c>
      <c r="CO136" s="34" t="str">
        <f aca="false">IFERROR(INDEX(設定!$D$20:$D$34,MATCH(A136,設定!$A$20:$A$34,0))&amp;"","")</f>
        <v>2026-05 月例</v>
      </c>
    </row>
    <row r="137" customFormat="false" ht="15" hidden="true" customHeight="false" outlineLevel="0" collapsed="false">
      <c r="A137" s="22" t="s">
        <v>217</v>
      </c>
      <c r="B137" s="23" t="s">
        <v>207</v>
      </c>
      <c r="C137" s="10" t="str">
        <f aca="false">IF(G137="","未受領",IF(G137="なし","報告なし",IF(AL137="○","起票済",IF(OR(AK137="○",F137="一致",F137="入金不要"),"入金確認済","受領済"))))</f>
        <v>入金確認済</v>
      </c>
      <c r="D137" s="10" t="str">
        <f aca="false">IF(OR(G137="",G137="なし"),"―",IF(CN137="N","対象外",IF(AND(I137="",J137="",K137=""),"標報未入力",IF(CH137&gt;=設定!$B$4,"要確認","問題なし"))))</f>
        <v>標報未入力</v>
      </c>
      <c r="E137" s="24" t="str">
        <f aca="false">IF(OR(G137="",G137="なし",CI137="",CJ137=0),"―",IF(CJ137=CI137,"前月同額",IF(CI137=0,"―",IF(ABS(CJ137/CI137-1)&gt;=設定!$B$5,"変動大 "&amp;TEXT(CJ137/CI137-1,"+0%;-0%"),"〇"))))</f>
        <v>〇</v>
      </c>
      <c r="F137" s="10" t="str">
        <f aca="false">IF(OR(G137="",G137="なし"),"―",IF(CJ137=0,"入金不要",IF(COUNT(AD137,AF137,AH137,AJ137)=0,IF(AK137="○","手動確認","未入金"),IF(AND(N(AD137)=AC137,IF(AE137="",TRUE(),N(AF137)=AE137),IF(AG137="",TRUE(),N(AH137)=AG137),IF(AI137="",TRUE(),N(AJ137)=AI137)),"一致","不一致"))))</f>
        <v>手動確認</v>
      </c>
      <c r="G137" s="25" t="s">
        <v>167</v>
      </c>
      <c r="H137" s="26"/>
      <c r="I137" s="27"/>
      <c r="J137" s="27"/>
      <c r="K137" s="27"/>
      <c r="L137" s="27"/>
      <c r="M137" s="27"/>
      <c r="N137" s="27"/>
      <c r="O137" s="27" t="n">
        <v>118950</v>
      </c>
      <c r="P137" s="27" t="n">
        <v>9750</v>
      </c>
      <c r="Q137" s="27" t="n">
        <v>84531</v>
      </c>
      <c r="R137" s="27" t="n">
        <v>12877</v>
      </c>
      <c r="S137" s="27" t="n">
        <v>1874</v>
      </c>
      <c r="T137" s="27" t="n">
        <v>118950</v>
      </c>
      <c r="U137" s="27" t="n">
        <v>9750</v>
      </c>
      <c r="V137" s="27" t="n">
        <v>112</v>
      </c>
      <c r="W137" s="27" t="n">
        <v>84613</v>
      </c>
      <c r="X137" s="27" t="n">
        <v>12877</v>
      </c>
      <c r="Y137" s="27" t="n">
        <v>1874</v>
      </c>
      <c r="Z137" s="27"/>
      <c r="AA137" s="10" t="str">
        <f aca="false">IFERROR(INDEX(設定!$E$61:$E$106,MATCH(B137,設定!$B$61:$B$106,0)),"合算")</f>
        <v>合算</v>
      </c>
      <c r="AB137" s="28"/>
      <c r="AC137" s="29" t="n">
        <f aca="false">IF(OR(G137="",G137="なし"),"",IF(AA137="合算",CJ137+N(Z137),IF(AA137="掛金・負担金別",(AY137+AZ137+BD137+BF137+BH137),SUM(AY137:BC137))))</f>
        <v>456158</v>
      </c>
      <c r="AD137" s="27"/>
      <c r="AE137" s="29" t="str">
        <f aca="false">IF(OR(G137="",G137="なし"),"",IF(AA137="掛金・負担金別",(BA137+BB137+BC137+BE137+BG137+BI137+N(Z137)),IF(AA137="経理区分別",BD137+BE137,"")))</f>
        <v/>
      </c>
      <c r="AF137" s="27"/>
      <c r="AG137" s="29" t="str">
        <f aca="false">IF(OR(G137="",G137="なし"),"",IF(AA137="経理区分別",BF137+BG137,""))</f>
        <v/>
      </c>
      <c r="AH137" s="27"/>
      <c r="AI137" s="29" t="str">
        <f aca="false">IF(OR(G137="",G137="なし"),"",IF(AA137="経理区分別",BH137+BI137+N(Z137),""))</f>
        <v/>
      </c>
      <c r="AJ137" s="27"/>
      <c r="AK137" s="26" t="s">
        <v>168</v>
      </c>
      <c r="AL137" s="26"/>
      <c r="AM137" s="30"/>
      <c r="AN137" s="31"/>
      <c r="AO137" s="31"/>
      <c r="AP137" s="31"/>
      <c r="AQ137" s="31"/>
      <c r="AR137" s="31"/>
      <c r="AS137" s="31"/>
      <c r="AT137" s="31"/>
      <c r="AU137" s="31"/>
      <c r="AV137" s="31"/>
      <c r="AW137" s="31"/>
      <c r="AX137" s="31"/>
      <c r="AY137" s="31" t="n">
        <f aca="false">IF($G137="",AN137,O137)</f>
        <v>118950</v>
      </c>
      <c r="AZ137" s="31" t="n">
        <f aca="false">IF($G137="",AO137,P137)</f>
        <v>9750</v>
      </c>
      <c r="BA137" s="31" t="n">
        <f aca="false">IF($G137="",AP137,T137)</f>
        <v>118950</v>
      </c>
      <c r="BB137" s="31" t="n">
        <f aca="false">IF($G137="",AQ137,U137)</f>
        <v>9750</v>
      </c>
      <c r="BC137" s="31" t="n">
        <f aca="false">IF($G137="",AR137,V137)</f>
        <v>112</v>
      </c>
      <c r="BD137" s="31" t="n">
        <f aca="false">IF($G137="",AS137,Q137)</f>
        <v>84531</v>
      </c>
      <c r="BE137" s="31" t="n">
        <f aca="false">IF($G137="",AT137,W137)</f>
        <v>84613</v>
      </c>
      <c r="BF137" s="31" t="n">
        <f aca="false">IF($G137="",AU137,R137)</f>
        <v>12877</v>
      </c>
      <c r="BG137" s="31" t="n">
        <f aca="false">IF($G137="",AV137,X137)</f>
        <v>12877</v>
      </c>
      <c r="BH137" s="31" t="n">
        <f aca="false">IF($G137="",AW137,S137)</f>
        <v>1874</v>
      </c>
      <c r="BI137" s="31" t="n">
        <f aca="false">IF($G137="",AX137,Y137)</f>
        <v>1874</v>
      </c>
      <c r="BJ137" s="31" t="n">
        <f aca="false">IF(CK137="N",BR137,ROUNDDOWN((I137-L137)*設定!$B$10/1000,0)+ROUNDDOWN((I137-L137)*設定!$B$11/1000,0))</f>
        <v>0</v>
      </c>
      <c r="BK137" s="31" t="n">
        <f aca="false">ROUNDDOWN((I137-L137)*設定!$C$10/1000,0)+ROUNDDOWN((I137-L137)*設定!$C$11/1000,0)+ROUNDDOWN(I137*設定!$C$12/1000,0)+IF(CL137="市局型",ROUNDDOWN(I137*設定!$C$16/1000,0),0)</f>
        <v>0</v>
      </c>
      <c r="BL137" s="31" t="n">
        <f aca="false">IF(CK137="N",BT137,ROUNDDOWN((J137-M137)*設定!$B$13/1000,0))</f>
        <v>0</v>
      </c>
      <c r="BM137" s="31" t="n">
        <f aca="false">ROUNDDOWN((J137-M137)*設定!$C$13/1000,0)+IF(CL137="市局型",ROUNDDOWN(J137*設定!$C$17/1000,0),0)</f>
        <v>0</v>
      </c>
      <c r="BN137" s="31" t="n">
        <f aca="false">IF(CK137="N",BV137,ROUNDDOWN((K137-N137)*設定!$B$14/1000,0))</f>
        <v>0</v>
      </c>
      <c r="BO137" s="31" t="n">
        <f aca="false">ROUNDDOWN((K137-N137)*設定!$C$14/1000,0)</f>
        <v>0</v>
      </c>
      <c r="BP137" s="31" t="n">
        <f aca="false">IF(CK137="N",BX137,ROUNDDOWN((J137-M137)*設定!$B$15/1000,0))</f>
        <v>0</v>
      </c>
      <c r="BQ137" s="31" t="n">
        <f aca="false">ROUNDDOWN((J137-M137)*設定!$C$15/1000,0)</f>
        <v>0</v>
      </c>
      <c r="BR137" s="31" t="n">
        <f aca="false">O137+P137</f>
        <v>128700</v>
      </c>
      <c r="BS137" s="31" t="n">
        <f aca="false">T137+U137+V137</f>
        <v>128812</v>
      </c>
      <c r="BT137" s="31" t="n">
        <f aca="false">Q137</f>
        <v>84531</v>
      </c>
      <c r="BU137" s="31" t="n">
        <f aca="false">W137</f>
        <v>84613</v>
      </c>
      <c r="BV137" s="31" t="n">
        <f aca="false">R137</f>
        <v>12877</v>
      </c>
      <c r="BW137" s="31" t="n">
        <f aca="false">X137</f>
        <v>12877</v>
      </c>
      <c r="BX137" s="31" t="n">
        <f aca="false">S137</f>
        <v>1874</v>
      </c>
      <c r="BY137" s="31" t="n">
        <f aca="false">Y137</f>
        <v>1874</v>
      </c>
      <c r="BZ137" s="32" t="n">
        <f aca="false">IF(BJ137=0,IF(BR137=0,0,1),(BR137-BJ137)/BJ137)</f>
        <v>1</v>
      </c>
      <c r="CA137" s="32" t="n">
        <f aca="false">IF(BK137=0,IF(BS137=0,0,1),(BS137-BK137)/BK137)</f>
        <v>1</v>
      </c>
      <c r="CB137" s="32" t="n">
        <f aca="false">IF(BL137=0,IF(BT137=0,0,1),(BT137-BL137)/BL137)</f>
        <v>1</v>
      </c>
      <c r="CC137" s="32" t="n">
        <f aca="false">IF(BM137=0,IF(BU137=0,0,1),(BU137-BM137)/BM137)</f>
        <v>1</v>
      </c>
      <c r="CD137" s="32" t="n">
        <f aca="false">IF(BN137=0,IF(BV137=0,0,1),(BV137-BN137)/BN137)</f>
        <v>1</v>
      </c>
      <c r="CE137" s="32" t="n">
        <f aca="false">IF(BO137=0,IF(BW137=0,0,1),(BW137-BO137)/BO137)</f>
        <v>1</v>
      </c>
      <c r="CF137" s="32" t="n">
        <f aca="false">IF(BP137=0,IF(BX137=0,0,1),(BX137-BP137)/BP137)</f>
        <v>1</v>
      </c>
      <c r="CG137" s="32" t="n">
        <f aca="false">IF(BQ137=0,IF(BY137=0,0,1),(BY137-BQ137)/BQ137)</f>
        <v>1</v>
      </c>
      <c r="CH137" s="32" t="n">
        <f aca="false">MAX(MAX(BZ137:CG137),-MIN(BZ137:CG137))</f>
        <v>1</v>
      </c>
      <c r="CI137" s="31" t="n">
        <f aca="false">IF(CO137="","",SUMIFS($CJ$7:$CJ$696,$A$7:$A$696,CO137,$B$7:$B$696,B137))</f>
        <v>462252</v>
      </c>
      <c r="CJ137" s="31" t="n">
        <f aca="false">SUM(AY137:BI137)</f>
        <v>456158</v>
      </c>
      <c r="CK137" s="31" t="str">
        <f aca="false">IFERROR(INDEX(設定!$F$61:$F$106,MATCH(B137,設定!$B$61:$B$106,0)),"Y")</f>
        <v>Y</v>
      </c>
      <c r="CL137" s="31" t="str">
        <f aca="false">IFERROR(INDEX(設定!$G$61:$G$106,MATCH(B137,設定!$B$61:$B$106,0)),"外郭型")</f>
        <v>外郭型</v>
      </c>
      <c r="CM137" s="33" t="str">
        <f aca="false">A137&amp;"|"&amp;B137</f>
        <v>2026-06 月例|全国市長会</v>
      </c>
      <c r="CN137" s="34" t="str">
        <f aca="false">IFERROR(INDEX(設定!$D$61:$D$106,MATCH(B137,設定!$B$61:$B$106,0)),"Y")</f>
        <v>Y</v>
      </c>
      <c r="CO137" s="34" t="str">
        <f aca="false">IFERROR(INDEX(設定!$D$20:$D$34,MATCH(A137,設定!$A$20:$A$34,0))&amp;"","")</f>
        <v>2026-05 月例</v>
      </c>
    </row>
    <row r="138" customFormat="false" ht="15" hidden="true" customHeight="false" outlineLevel="0" collapsed="false">
      <c r="A138" s="22" t="s">
        <v>217</v>
      </c>
      <c r="B138" s="23" t="s">
        <v>208</v>
      </c>
      <c r="C138" s="10" t="str">
        <f aca="false">IF(G138="","未受領",IF(G138="なし","報告なし",IF(AL138="○","起票済",IF(OR(AK138="○",F138="一致",F138="入金不要"),"入金確認済","受領済"))))</f>
        <v>入金確認済</v>
      </c>
      <c r="D138" s="10" t="str">
        <f aca="false">IF(OR(G138="",G138="なし"),"―",IF(CN138="N","対象外",IF(AND(I138="",J138="",K138=""),"標報未入力",IF(CH138&gt;=設定!$B$4,"要確認","問題なし"))))</f>
        <v>標報未入力</v>
      </c>
      <c r="E138" s="24" t="str">
        <f aca="false">IF(OR(G138="",G138="なし",CI138="",CJ138=0),"―",IF(CJ138=CI138,"前月同額",IF(CI138=0,"―",IF(ABS(CJ138/CI138-1)&gt;=設定!$B$5,"変動大 "&amp;TEXT(CJ138/CI138-1,"+0%;-0%"),"〇"))))</f>
        <v>前月同額</v>
      </c>
      <c r="F138" s="10" t="str">
        <f aca="false">IF(OR(G138="",G138="なし"),"―",IF(CJ138=0,"入金不要",IF(COUNT(AD138,AF138,AH138,AJ138)=0,IF(AK138="○","手動確認","未入金"),IF(AND(N(AD138)=AC138,IF(AE138="",TRUE(),N(AF138)=AE138),IF(AG138="",TRUE(),N(AH138)=AG138),IF(AI138="",TRUE(),N(AJ138)=AI138)),"一致","不一致"))))</f>
        <v>手動確認</v>
      </c>
      <c r="G138" s="25" t="s">
        <v>167</v>
      </c>
      <c r="H138" s="26"/>
      <c r="I138" s="27"/>
      <c r="J138" s="27"/>
      <c r="K138" s="27"/>
      <c r="L138" s="27"/>
      <c r="M138" s="27"/>
      <c r="N138" s="27"/>
      <c r="O138" s="27" t="n">
        <v>145485</v>
      </c>
      <c r="P138" s="27" t="n">
        <v>11925</v>
      </c>
      <c r="Q138" s="27"/>
      <c r="R138" s="27"/>
      <c r="S138" s="27"/>
      <c r="T138" s="27" t="n">
        <v>145485</v>
      </c>
      <c r="U138" s="27" t="n">
        <v>11925</v>
      </c>
      <c r="V138" s="27" t="n">
        <v>138</v>
      </c>
      <c r="W138" s="27"/>
      <c r="X138" s="27"/>
      <c r="Y138" s="27"/>
      <c r="Z138" s="27"/>
      <c r="AA138" s="10" t="str">
        <f aca="false">IFERROR(INDEX(設定!$E$61:$E$106,MATCH(B138,設定!$B$61:$B$106,0)),"合算")</f>
        <v>合算</v>
      </c>
      <c r="AB138" s="28"/>
      <c r="AC138" s="29" t="n">
        <f aca="false">IF(OR(G138="",G138="なし"),"",IF(AA138="合算",CJ138+N(Z138),IF(AA138="掛金・負担金別",(AY138+AZ138+BD138+BF138+BH138),SUM(AY138:BC138))))</f>
        <v>314958</v>
      </c>
      <c r="AD138" s="27"/>
      <c r="AE138" s="29" t="str">
        <f aca="false">IF(OR(G138="",G138="なし"),"",IF(AA138="掛金・負担金別",(BA138+BB138+BC138+BE138+BG138+BI138+N(Z138)),IF(AA138="経理区分別",BD138+BE138,"")))</f>
        <v/>
      </c>
      <c r="AF138" s="27"/>
      <c r="AG138" s="29" t="str">
        <f aca="false">IF(OR(G138="",G138="なし"),"",IF(AA138="経理区分別",BF138+BG138,""))</f>
        <v/>
      </c>
      <c r="AH138" s="27"/>
      <c r="AI138" s="29" t="str">
        <f aca="false">IF(OR(G138="",G138="なし"),"",IF(AA138="経理区分別",BH138+BI138+N(Z138),""))</f>
        <v/>
      </c>
      <c r="AJ138" s="27"/>
      <c r="AK138" s="26" t="s">
        <v>168</v>
      </c>
      <c r="AL138" s="26"/>
      <c r="AM138" s="30"/>
      <c r="AN138" s="31"/>
      <c r="AO138" s="31"/>
      <c r="AP138" s="31"/>
      <c r="AQ138" s="31"/>
      <c r="AR138" s="31"/>
      <c r="AS138" s="31"/>
      <c r="AT138" s="31"/>
      <c r="AU138" s="31"/>
      <c r="AV138" s="31"/>
      <c r="AW138" s="31"/>
      <c r="AX138" s="31"/>
      <c r="AY138" s="31" t="n">
        <f aca="false">IF($G138="",AN138,O138)</f>
        <v>145485</v>
      </c>
      <c r="AZ138" s="31" t="n">
        <f aca="false">IF($G138="",AO138,P138)</f>
        <v>11925</v>
      </c>
      <c r="BA138" s="31" t="n">
        <f aca="false">IF($G138="",AP138,T138)</f>
        <v>145485</v>
      </c>
      <c r="BB138" s="31" t="n">
        <f aca="false">IF($G138="",AQ138,U138)</f>
        <v>11925</v>
      </c>
      <c r="BC138" s="31" t="n">
        <f aca="false">IF($G138="",AR138,V138)</f>
        <v>138</v>
      </c>
      <c r="BD138" s="31" t="n">
        <f aca="false">IF($G138="",AS138,Q138)</f>
        <v>0</v>
      </c>
      <c r="BE138" s="31" t="n">
        <f aca="false">IF($G138="",AT138,W138)</f>
        <v>0</v>
      </c>
      <c r="BF138" s="31" t="n">
        <f aca="false">IF($G138="",AU138,R138)</f>
        <v>0</v>
      </c>
      <c r="BG138" s="31" t="n">
        <f aca="false">IF($G138="",AV138,X138)</f>
        <v>0</v>
      </c>
      <c r="BH138" s="31" t="n">
        <f aca="false">IF($G138="",AW138,S138)</f>
        <v>0</v>
      </c>
      <c r="BI138" s="31" t="n">
        <f aca="false">IF($G138="",AX138,Y138)</f>
        <v>0</v>
      </c>
      <c r="BJ138" s="31" t="n">
        <f aca="false">IF(CK138="N",BR138,ROUNDDOWN((I138-L138)*設定!$B$10/1000,0)+ROUNDDOWN((I138-L138)*設定!$B$11/1000,0))</f>
        <v>0</v>
      </c>
      <c r="BK138" s="31" t="n">
        <f aca="false">ROUNDDOWN((I138-L138)*設定!$C$10/1000,0)+ROUNDDOWN((I138-L138)*設定!$C$11/1000,0)+ROUNDDOWN(I138*設定!$C$12/1000,0)+IF(CL138="市局型",ROUNDDOWN(I138*設定!$C$16/1000,0),0)</f>
        <v>0</v>
      </c>
      <c r="BL138" s="31" t="n">
        <f aca="false">IF(CK138="N",BT138,ROUNDDOWN((J138-M138)*設定!$B$13/1000,0))</f>
        <v>0</v>
      </c>
      <c r="BM138" s="31" t="n">
        <f aca="false">ROUNDDOWN((J138-M138)*設定!$C$13/1000,0)+IF(CL138="市局型",ROUNDDOWN(J138*設定!$C$17/1000,0),0)</f>
        <v>0</v>
      </c>
      <c r="BN138" s="31" t="n">
        <f aca="false">IF(CK138="N",BV138,ROUNDDOWN((K138-N138)*設定!$B$14/1000,0))</f>
        <v>0</v>
      </c>
      <c r="BO138" s="31" t="n">
        <f aca="false">ROUNDDOWN((K138-N138)*設定!$C$14/1000,0)</f>
        <v>0</v>
      </c>
      <c r="BP138" s="31" t="n">
        <f aca="false">IF(CK138="N",BX138,ROUNDDOWN((J138-M138)*設定!$B$15/1000,0))</f>
        <v>0</v>
      </c>
      <c r="BQ138" s="31" t="n">
        <f aca="false">ROUNDDOWN((J138-M138)*設定!$C$15/1000,0)</f>
        <v>0</v>
      </c>
      <c r="BR138" s="31" t="n">
        <f aca="false">O138+P138</f>
        <v>157410</v>
      </c>
      <c r="BS138" s="31" t="n">
        <f aca="false">T138+U138+V138</f>
        <v>157548</v>
      </c>
      <c r="BT138" s="31" t="n">
        <f aca="false">Q138</f>
        <v>0</v>
      </c>
      <c r="BU138" s="31" t="n">
        <f aca="false">W138</f>
        <v>0</v>
      </c>
      <c r="BV138" s="31" t="n">
        <f aca="false">R138</f>
        <v>0</v>
      </c>
      <c r="BW138" s="31" t="n">
        <f aca="false">X138</f>
        <v>0</v>
      </c>
      <c r="BX138" s="31" t="n">
        <f aca="false">S138</f>
        <v>0</v>
      </c>
      <c r="BY138" s="31" t="n">
        <f aca="false">Y138</f>
        <v>0</v>
      </c>
      <c r="BZ138" s="32" t="n">
        <f aca="false">IF(BJ138=0,IF(BR138=0,0,1),(BR138-BJ138)/BJ138)</f>
        <v>1</v>
      </c>
      <c r="CA138" s="32" t="n">
        <f aca="false">IF(BK138=0,IF(BS138=0,0,1),(BS138-BK138)/BK138)</f>
        <v>1</v>
      </c>
      <c r="CB138" s="32" t="n">
        <f aca="false">IF(BL138=0,IF(BT138=0,0,1),(BT138-BL138)/BL138)</f>
        <v>0</v>
      </c>
      <c r="CC138" s="32" t="n">
        <f aca="false">IF(BM138=0,IF(BU138=0,0,1),(BU138-BM138)/BM138)</f>
        <v>0</v>
      </c>
      <c r="CD138" s="32" t="n">
        <f aca="false">IF(BN138=0,IF(BV138=0,0,1),(BV138-BN138)/BN138)</f>
        <v>0</v>
      </c>
      <c r="CE138" s="32" t="n">
        <f aca="false">IF(BO138=0,IF(BW138=0,0,1),(BW138-BO138)/BO138)</f>
        <v>0</v>
      </c>
      <c r="CF138" s="32" t="n">
        <f aca="false">IF(BP138=0,IF(BX138=0,0,1),(BX138-BP138)/BP138)</f>
        <v>0</v>
      </c>
      <c r="CG138" s="32" t="n">
        <f aca="false">IF(BQ138=0,IF(BY138=0,0,1),(BY138-BQ138)/BQ138)</f>
        <v>0</v>
      </c>
      <c r="CH138" s="32" t="n">
        <f aca="false">MAX(MAX(BZ138:CG138),-MIN(BZ138:CG138))</f>
        <v>1</v>
      </c>
      <c r="CI138" s="31" t="n">
        <f aca="false">IF(CO138="","",SUMIFS($CJ$7:$CJ$696,$A$7:$A$696,CO138,$B$7:$B$696,B138))</f>
        <v>314958</v>
      </c>
      <c r="CJ138" s="31" t="n">
        <f aca="false">SUM(AY138:BI138)</f>
        <v>314958</v>
      </c>
      <c r="CK138" s="31" t="str">
        <f aca="false">IFERROR(INDEX(設定!$F$61:$F$106,MATCH(B138,設定!$B$61:$B$106,0)),"Y")</f>
        <v>Y</v>
      </c>
      <c r="CL138" s="31" t="str">
        <f aca="false">IFERROR(INDEX(設定!$G$61:$G$106,MATCH(B138,設定!$B$61:$B$106,0)),"外郭型")</f>
        <v>外郭型</v>
      </c>
      <c r="CM138" s="33" t="str">
        <f aca="false">A138&amp;"|"&amp;B138</f>
        <v>2026-06 月例|高速交通（株）</v>
      </c>
      <c r="CN138" s="34" t="str">
        <f aca="false">IFERROR(INDEX(設定!$D$61:$D$106,MATCH(B138,設定!$B$61:$B$106,0)),"Y")</f>
        <v>Y</v>
      </c>
      <c r="CO138" s="34" t="str">
        <f aca="false">IFERROR(INDEX(設定!$D$20:$D$34,MATCH(A138,設定!$A$20:$A$34,0))&amp;"","")</f>
        <v>2026-05 月例</v>
      </c>
    </row>
    <row r="139" customFormat="false" ht="15" hidden="true" customHeight="false" outlineLevel="0" collapsed="false">
      <c r="A139" s="22" t="s">
        <v>217</v>
      </c>
      <c r="B139" s="23" t="s">
        <v>209</v>
      </c>
      <c r="C139" s="10" t="str">
        <f aca="false">IF(G139="","未受領",IF(G139="なし","報告なし",IF(AL139="○","起票済",IF(OR(AK139="○",F139="一致",F139="入金不要"),"入金確認済","受領済"))))</f>
        <v>入金確認済</v>
      </c>
      <c r="D139" s="10" t="str">
        <f aca="false">IF(OR(G139="",G139="なし"),"―",IF(CN139="N","対象外",IF(AND(I139="",J139="",K139=""),"標報未入力",IF(CH139&gt;=設定!$B$4,"要確認","問題なし"))))</f>
        <v>標報未入力</v>
      </c>
      <c r="E139" s="24" t="str">
        <f aca="false">IF(OR(G139="",G139="なし",CI139="",CJ139=0),"―",IF(CJ139=CI139,"前月同額",IF(CI139=0,"―",IF(ABS(CJ139/CI139-1)&gt;=設定!$B$5,"変動大 "&amp;TEXT(CJ139/CI139-1,"+0%;-0%"),"〇"))))</f>
        <v>前月同額</v>
      </c>
      <c r="F139" s="10" t="str">
        <f aca="false">IF(OR(G139="",G139="なし"),"―",IF(CJ139=0,"入金不要",IF(COUNT(AD139,AF139,AH139,AJ139)=0,IF(AK139="○","手動確認","未入金"),IF(AND(N(AD139)=AC139,IF(AE139="",TRUE(),N(AF139)=AE139),IF(AG139="",TRUE(),N(AH139)=AG139),IF(AI139="",TRUE(),N(AJ139)=AI139)),"一致","不一致"))))</f>
        <v>手動確認</v>
      </c>
      <c r="G139" s="25" t="s">
        <v>167</v>
      </c>
      <c r="H139" s="26"/>
      <c r="I139" s="27"/>
      <c r="J139" s="27"/>
      <c r="K139" s="27"/>
      <c r="L139" s="27"/>
      <c r="M139" s="27"/>
      <c r="N139" s="27"/>
      <c r="O139" s="27" t="n">
        <v>45750</v>
      </c>
      <c r="P139" s="27" t="n">
        <v>3750</v>
      </c>
      <c r="Q139" s="27"/>
      <c r="R139" s="27"/>
      <c r="S139" s="27"/>
      <c r="T139" s="27" t="n">
        <v>45750</v>
      </c>
      <c r="U139" s="27" t="n">
        <v>3750</v>
      </c>
      <c r="V139" s="27" t="n">
        <v>43</v>
      </c>
      <c r="W139" s="27"/>
      <c r="X139" s="27"/>
      <c r="Y139" s="27"/>
      <c r="Z139" s="27"/>
      <c r="AA139" s="10" t="str">
        <f aca="false">IFERROR(INDEX(設定!$E$61:$E$106,MATCH(B139,設定!$B$61:$B$106,0)),"合算")</f>
        <v>合算</v>
      </c>
      <c r="AB139" s="28"/>
      <c r="AC139" s="29" t="n">
        <f aca="false">IF(OR(G139="",G139="なし"),"",IF(AA139="合算",CJ139+N(Z139),IF(AA139="掛金・負担金別",(AY139+AZ139+BD139+BF139+BH139),SUM(AY139:BC139))))</f>
        <v>99043</v>
      </c>
      <c r="AD139" s="27"/>
      <c r="AE139" s="29" t="str">
        <f aca="false">IF(OR(G139="",G139="なし"),"",IF(AA139="掛金・負担金別",(BA139+BB139+BC139+BE139+BG139+BI139+N(Z139)),IF(AA139="経理区分別",BD139+BE139,"")))</f>
        <v/>
      </c>
      <c r="AF139" s="27"/>
      <c r="AG139" s="29" t="str">
        <f aca="false">IF(OR(G139="",G139="なし"),"",IF(AA139="経理区分別",BF139+BG139,""))</f>
        <v/>
      </c>
      <c r="AH139" s="27"/>
      <c r="AI139" s="29" t="str">
        <f aca="false">IF(OR(G139="",G139="なし"),"",IF(AA139="経理区分別",BH139+BI139+N(Z139),""))</f>
        <v/>
      </c>
      <c r="AJ139" s="27"/>
      <c r="AK139" s="26" t="s">
        <v>168</v>
      </c>
      <c r="AL139" s="26"/>
      <c r="AM139" s="30"/>
      <c r="AN139" s="31"/>
      <c r="AO139" s="31"/>
      <c r="AP139" s="31"/>
      <c r="AQ139" s="31"/>
      <c r="AR139" s="31"/>
      <c r="AS139" s="31"/>
      <c r="AT139" s="31"/>
      <c r="AU139" s="31"/>
      <c r="AV139" s="31"/>
      <c r="AW139" s="31"/>
      <c r="AX139" s="31"/>
      <c r="AY139" s="31" t="n">
        <f aca="false">IF($G139="",AN139,O139)</f>
        <v>45750</v>
      </c>
      <c r="AZ139" s="31" t="n">
        <f aca="false">IF($G139="",AO139,P139)</f>
        <v>3750</v>
      </c>
      <c r="BA139" s="31" t="n">
        <f aca="false">IF($G139="",AP139,T139)</f>
        <v>45750</v>
      </c>
      <c r="BB139" s="31" t="n">
        <f aca="false">IF($G139="",AQ139,U139)</f>
        <v>3750</v>
      </c>
      <c r="BC139" s="31" t="n">
        <f aca="false">IF($G139="",AR139,V139)</f>
        <v>43</v>
      </c>
      <c r="BD139" s="31" t="n">
        <f aca="false">IF($G139="",AS139,Q139)</f>
        <v>0</v>
      </c>
      <c r="BE139" s="31" t="n">
        <f aca="false">IF($G139="",AT139,W139)</f>
        <v>0</v>
      </c>
      <c r="BF139" s="31" t="n">
        <f aca="false">IF($G139="",AU139,R139)</f>
        <v>0</v>
      </c>
      <c r="BG139" s="31" t="n">
        <f aca="false">IF($G139="",AV139,X139)</f>
        <v>0</v>
      </c>
      <c r="BH139" s="31" t="n">
        <f aca="false">IF($G139="",AW139,S139)</f>
        <v>0</v>
      </c>
      <c r="BI139" s="31" t="n">
        <f aca="false">IF($G139="",AX139,Y139)</f>
        <v>0</v>
      </c>
      <c r="BJ139" s="31" t="n">
        <f aca="false">IF(CK139="N",BR139,ROUNDDOWN((I139-L139)*設定!$B$10/1000,0)+ROUNDDOWN((I139-L139)*設定!$B$11/1000,0))</f>
        <v>0</v>
      </c>
      <c r="BK139" s="31" t="n">
        <f aca="false">ROUNDDOWN((I139-L139)*設定!$C$10/1000,0)+ROUNDDOWN((I139-L139)*設定!$C$11/1000,0)+ROUNDDOWN(I139*設定!$C$12/1000,0)+IF(CL139="市局型",ROUNDDOWN(I139*設定!$C$16/1000,0),0)</f>
        <v>0</v>
      </c>
      <c r="BL139" s="31" t="n">
        <f aca="false">IF(CK139="N",BT139,ROUNDDOWN((J139-M139)*設定!$B$13/1000,0))</f>
        <v>0</v>
      </c>
      <c r="BM139" s="31" t="n">
        <f aca="false">ROUNDDOWN((J139-M139)*設定!$C$13/1000,0)+IF(CL139="市局型",ROUNDDOWN(J139*設定!$C$17/1000,0),0)</f>
        <v>0</v>
      </c>
      <c r="BN139" s="31" t="n">
        <f aca="false">IF(CK139="N",BV139,ROUNDDOWN((K139-N139)*設定!$B$14/1000,0))</f>
        <v>0</v>
      </c>
      <c r="BO139" s="31" t="n">
        <f aca="false">ROUNDDOWN((K139-N139)*設定!$C$14/1000,0)</f>
        <v>0</v>
      </c>
      <c r="BP139" s="31" t="n">
        <f aca="false">IF(CK139="N",BX139,ROUNDDOWN((J139-M139)*設定!$B$15/1000,0))</f>
        <v>0</v>
      </c>
      <c r="BQ139" s="31" t="n">
        <f aca="false">ROUNDDOWN((J139-M139)*設定!$C$15/1000,0)</f>
        <v>0</v>
      </c>
      <c r="BR139" s="31" t="n">
        <f aca="false">O139+P139</f>
        <v>49500</v>
      </c>
      <c r="BS139" s="31" t="n">
        <f aca="false">T139+U139+V139</f>
        <v>49543</v>
      </c>
      <c r="BT139" s="31" t="n">
        <f aca="false">Q139</f>
        <v>0</v>
      </c>
      <c r="BU139" s="31" t="n">
        <f aca="false">W139</f>
        <v>0</v>
      </c>
      <c r="BV139" s="31" t="n">
        <f aca="false">R139</f>
        <v>0</v>
      </c>
      <c r="BW139" s="31" t="n">
        <f aca="false">X139</f>
        <v>0</v>
      </c>
      <c r="BX139" s="31" t="n">
        <f aca="false">S139</f>
        <v>0</v>
      </c>
      <c r="BY139" s="31" t="n">
        <f aca="false">Y139</f>
        <v>0</v>
      </c>
      <c r="BZ139" s="32" t="n">
        <f aca="false">IF(BJ139=0,IF(BR139=0,0,1),(BR139-BJ139)/BJ139)</f>
        <v>1</v>
      </c>
      <c r="CA139" s="32" t="n">
        <f aca="false">IF(BK139=0,IF(BS139=0,0,1),(BS139-BK139)/BK139)</f>
        <v>1</v>
      </c>
      <c r="CB139" s="32" t="n">
        <f aca="false">IF(BL139=0,IF(BT139=0,0,1),(BT139-BL139)/BL139)</f>
        <v>0</v>
      </c>
      <c r="CC139" s="32" t="n">
        <f aca="false">IF(BM139=0,IF(BU139=0,0,1),(BU139-BM139)/BM139)</f>
        <v>0</v>
      </c>
      <c r="CD139" s="32" t="n">
        <f aca="false">IF(BN139=0,IF(BV139=0,0,1),(BV139-BN139)/BN139)</f>
        <v>0</v>
      </c>
      <c r="CE139" s="32" t="n">
        <f aca="false">IF(BO139=0,IF(BW139=0,0,1),(BW139-BO139)/BO139)</f>
        <v>0</v>
      </c>
      <c r="CF139" s="32" t="n">
        <f aca="false">IF(BP139=0,IF(BX139=0,0,1),(BX139-BP139)/BP139)</f>
        <v>0</v>
      </c>
      <c r="CG139" s="32" t="n">
        <f aca="false">IF(BQ139=0,IF(BY139=0,0,1),(BY139-BQ139)/BQ139)</f>
        <v>0</v>
      </c>
      <c r="CH139" s="32" t="n">
        <f aca="false">MAX(MAX(BZ139:CG139),-MIN(BZ139:CG139))</f>
        <v>1</v>
      </c>
      <c r="CI139" s="31" t="n">
        <f aca="false">IF(CO139="","",SUMIFS($CJ$7:$CJ$696,$A$7:$A$696,CO139,$B$7:$B$696,B139))</f>
        <v>99043</v>
      </c>
      <c r="CJ139" s="31" t="n">
        <f aca="false">SUM(AY139:BI139)</f>
        <v>99043</v>
      </c>
      <c r="CK139" s="31" t="str">
        <f aca="false">IFERROR(INDEX(設定!$F$61:$F$106,MATCH(B139,設定!$B$61:$B$106,0)),"Y")</f>
        <v>Y</v>
      </c>
      <c r="CL139" s="31" t="str">
        <f aca="false">IFERROR(INDEX(設定!$G$61:$G$106,MATCH(B139,設定!$B$61:$B$106,0)),"外郭型")</f>
        <v>外郭型</v>
      </c>
      <c r="CM139" s="33" t="str">
        <f aca="false">A139&amp;"|"&amp;B139</f>
        <v>2026-06 月例|広島駅南口開発（株）</v>
      </c>
      <c r="CN139" s="34" t="str">
        <f aca="false">IFERROR(INDEX(設定!$D$61:$D$106,MATCH(B139,設定!$B$61:$B$106,0)),"Y")</f>
        <v>Y</v>
      </c>
      <c r="CO139" s="34" t="str">
        <f aca="false">IFERROR(INDEX(設定!$D$20:$D$34,MATCH(A139,設定!$A$20:$A$34,0))&amp;"","")</f>
        <v>2026-05 月例</v>
      </c>
    </row>
    <row r="140" customFormat="false" ht="15" hidden="true" customHeight="false" outlineLevel="0" collapsed="false">
      <c r="A140" s="22" t="s">
        <v>217</v>
      </c>
      <c r="B140" s="23" t="s">
        <v>210</v>
      </c>
      <c r="C140" s="10" t="str">
        <f aca="false">IF(G140="","未受領",IF(G140="なし","報告なし",IF(AL140="○","起票済",IF(OR(AK140="○",F140="一致",F140="入金不要"),"入金確認済","受領済"))))</f>
        <v>入金確認済</v>
      </c>
      <c r="D140" s="10" t="str">
        <f aca="false">IF(OR(G140="",G140="なし"),"―",IF(CN140="N","対象外",IF(AND(I140="",J140="",K140=""),"標報未入力",IF(CH140&gt;=設定!$B$4,"要確認","問題なし"))))</f>
        <v>標報未入力</v>
      </c>
      <c r="E140" s="24" t="str">
        <f aca="false">IF(OR(G140="",G140="なし",CI140="",CJ140=0),"―",IF(CJ140=CI140,"前月同額",IF(CI140=0,"―",IF(ABS(CJ140/CI140-1)&gt;=設定!$B$5,"変動大 "&amp;TEXT(CJ140/CI140-1,"+0%;-0%"),"〇"))))</f>
        <v>〇</v>
      </c>
      <c r="F140" s="10" t="str">
        <f aca="false">IF(OR(G140="",G140="なし"),"―",IF(CJ140=0,"入金不要",IF(COUNT(AD140,AF140,AH140,AJ140)=0,IF(AK140="○","手動確認","未入金"),IF(AND(N(AD140)=AC140,IF(AE140="",TRUE(),N(AF140)=AE140),IF(AG140="",TRUE(),N(AH140)=AG140),IF(AI140="",TRUE(),N(AJ140)=AI140)),"一致","不一致"))))</f>
        <v>手動確認</v>
      </c>
      <c r="G140" s="25" t="s">
        <v>167</v>
      </c>
      <c r="H140" s="26"/>
      <c r="I140" s="27"/>
      <c r="J140" s="27"/>
      <c r="K140" s="27"/>
      <c r="L140" s="27"/>
      <c r="M140" s="27"/>
      <c r="N140" s="27"/>
      <c r="O140" s="27" t="n">
        <v>29280</v>
      </c>
      <c r="P140" s="27" t="n">
        <v>2400</v>
      </c>
      <c r="Q140" s="27" t="n">
        <v>16595</v>
      </c>
      <c r="R140" s="27" t="n">
        <v>2528</v>
      </c>
      <c r="S140" s="27" t="n">
        <v>368</v>
      </c>
      <c r="T140" s="27" t="n">
        <v>29280</v>
      </c>
      <c r="U140" s="27" t="n">
        <v>2400</v>
      </c>
      <c r="V140" s="27"/>
      <c r="W140" s="27" t="n">
        <v>17907</v>
      </c>
      <c r="X140" s="27" t="n">
        <v>2528</v>
      </c>
      <c r="Y140" s="27" t="n">
        <v>368</v>
      </c>
      <c r="Z140" s="27"/>
      <c r="AA140" s="10" t="str">
        <f aca="false">IFERROR(INDEX(設定!$E$61:$E$106,MATCH(B140,設定!$B$61:$B$106,0)),"合算")</f>
        <v>合算</v>
      </c>
      <c r="AB140" s="28"/>
      <c r="AC140" s="29" t="n">
        <f aca="false">IF(OR(G140="",G140="なし"),"",IF(AA140="合算",CJ140+N(Z140),IF(AA140="掛金・負担金別",(AY140+AZ140+BD140+BF140+BH140),SUM(AY140:BC140))))</f>
        <v>103654</v>
      </c>
      <c r="AD140" s="27"/>
      <c r="AE140" s="29" t="str">
        <f aca="false">IF(OR(G140="",G140="なし"),"",IF(AA140="掛金・負担金別",(BA140+BB140+BC140+BE140+BG140+BI140+N(Z140)),IF(AA140="経理区分別",BD140+BE140,"")))</f>
        <v/>
      </c>
      <c r="AF140" s="27"/>
      <c r="AG140" s="29" t="str">
        <f aca="false">IF(OR(G140="",G140="なし"),"",IF(AA140="経理区分別",BF140+BG140,""))</f>
        <v/>
      </c>
      <c r="AH140" s="27"/>
      <c r="AI140" s="29" t="str">
        <f aca="false">IF(OR(G140="",G140="なし"),"",IF(AA140="経理区分別",BH140+BI140+N(Z140),""))</f>
        <v/>
      </c>
      <c r="AJ140" s="27"/>
      <c r="AK140" s="26" t="s">
        <v>168</v>
      </c>
      <c r="AL140" s="26"/>
      <c r="AM140" s="30"/>
      <c r="AN140" s="31"/>
      <c r="AO140" s="31"/>
      <c r="AP140" s="31"/>
      <c r="AQ140" s="31"/>
      <c r="AR140" s="31"/>
      <c r="AS140" s="31"/>
      <c r="AT140" s="31"/>
      <c r="AU140" s="31"/>
      <c r="AV140" s="31"/>
      <c r="AW140" s="31"/>
      <c r="AX140" s="31"/>
      <c r="AY140" s="31" t="n">
        <f aca="false">IF($G140="",AN140,O140)</f>
        <v>29280</v>
      </c>
      <c r="AZ140" s="31" t="n">
        <f aca="false">IF($G140="",AO140,P140)</f>
        <v>2400</v>
      </c>
      <c r="BA140" s="31" t="n">
        <f aca="false">IF($G140="",AP140,T140)</f>
        <v>29280</v>
      </c>
      <c r="BB140" s="31" t="n">
        <f aca="false">IF($G140="",AQ140,U140)</f>
        <v>2400</v>
      </c>
      <c r="BC140" s="31" t="n">
        <f aca="false">IF($G140="",AR140,V140)</f>
        <v>0</v>
      </c>
      <c r="BD140" s="31" t="n">
        <f aca="false">IF($G140="",AS140,Q140)</f>
        <v>16595</v>
      </c>
      <c r="BE140" s="31" t="n">
        <f aca="false">IF($G140="",AT140,W140)</f>
        <v>17907</v>
      </c>
      <c r="BF140" s="31" t="n">
        <f aca="false">IF($G140="",AU140,R140)</f>
        <v>2528</v>
      </c>
      <c r="BG140" s="31" t="n">
        <f aca="false">IF($G140="",AV140,X140)</f>
        <v>2528</v>
      </c>
      <c r="BH140" s="31" t="n">
        <f aca="false">IF($G140="",AW140,S140)</f>
        <v>368</v>
      </c>
      <c r="BI140" s="31" t="n">
        <f aca="false">IF($G140="",AX140,Y140)</f>
        <v>368</v>
      </c>
      <c r="BJ140" s="31" t="n">
        <f aca="false">IF(CK140="N",BR140,ROUNDDOWN((I140-L140)*設定!$B$10/1000,0)+ROUNDDOWN((I140-L140)*設定!$B$11/1000,0))</f>
        <v>0</v>
      </c>
      <c r="BK140" s="31" t="n">
        <f aca="false">ROUNDDOWN((I140-L140)*設定!$C$10/1000,0)+ROUNDDOWN((I140-L140)*設定!$C$11/1000,0)+ROUNDDOWN(I140*設定!$C$12/1000,0)+IF(CL140="市局型",ROUNDDOWN(I140*設定!$C$16/1000,0),0)</f>
        <v>0</v>
      </c>
      <c r="BL140" s="31" t="n">
        <f aca="false">IF(CK140="N",BT140,ROUNDDOWN((J140-M140)*設定!$B$13/1000,0))</f>
        <v>0</v>
      </c>
      <c r="BM140" s="31" t="n">
        <f aca="false">ROUNDDOWN((J140-M140)*設定!$C$13/1000,0)+IF(CL140="市局型",ROUNDDOWN(J140*設定!$C$17/1000,0),0)</f>
        <v>0</v>
      </c>
      <c r="BN140" s="31" t="n">
        <f aca="false">IF(CK140="N",BV140,ROUNDDOWN((K140-N140)*設定!$B$14/1000,0))</f>
        <v>0</v>
      </c>
      <c r="BO140" s="31" t="n">
        <f aca="false">ROUNDDOWN((K140-N140)*設定!$C$14/1000,0)</f>
        <v>0</v>
      </c>
      <c r="BP140" s="31" t="n">
        <f aca="false">IF(CK140="N",BX140,ROUNDDOWN((J140-M140)*設定!$B$15/1000,0))</f>
        <v>0</v>
      </c>
      <c r="BQ140" s="31" t="n">
        <f aca="false">ROUNDDOWN((J140-M140)*設定!$C$15/1000,0)</f>
        <v>0</v>
      </c>
      <c r="BR140" s="31" t="n">
        <f aca="false">O140+P140</f>
        <v>31680</v>
      </c>
      <c r="BS140" s="31" t="n">
        <f aca="false">T140+U140+V140</f>
        <v>31680</v>
      </c>
      <c r="BT140" s="31" t="n">
        <f aca="false">Q140</f>
        <v>16595</v>
      </c>
      <c r="BU140" s="31" t="n">
        <f aca="false">W140</f>
        <v>17907</v>
      </c>
      <c r="BV140" s="31" t="n">
        <f aca="false">R140</f>
        <v>2528</v>
      </c>
      <c r="BW140" s="31" t="n">
        <f aca="false">X140</f>
        <v>2528</v>
      </c>
      <c r="BX140" s="31" t="n">
        <f aca="false">S140</f>
        <v>368</v>
      </c>
      <c r="BY140" s="31" t="n">
        <f aca="false">Y140</f>
        <v>368</v>
      </c>
      <c r="BZ140" s="32" t="n">
        <f aca="false">IF(BJ140=0,IF(BR140=0,0,1),(BR140-BJ140)/BJ140)</f>
        <v>1</v>
      </c>
      <c r="CA140" s="32" t="n">
        <f aca="false">IF(BK140=0,IF(BS140=0,0,1),(BS140-BK140)/BK140)</f>
        <v>1</v>
      </c>
      <c r="CB140" s="32" t="n">
        <f aca="false">IF(BL140=0,IF(BT140=0,0,1),(BT140-BL140)/BL140)</f>
        <v>1</v>
      </c>
      <c r="CC140" s="32" t="n">
        <f aca="false">IF(BM140=0,IF(BU140=0,0,1),(BU140-BM140)/BM140)</f>
        <v>1</v>
      </c>
      <c r="CD140" s="32" t="n">
        <f aca="false">IF(BN140=0,IF(BV140=0,0,1),(BV140-BN140)/BN140)</f>
        <v>1</v>
      </c>
      <c r="CE140" s="32" t="n">
        <f aca="false">IF(BO140=0,IF(BW140=0,0,1),(BW140-BO140)/BO140)</f>
        <v>1</v>
      </c>
      <c r="CF140" s="32" t="n">
        <f aca="false">IF(BP140=0,IF(BX140=0,0,1),(BX140-BP140)/BP140)</f>
        <v>1</v>
      </c>
      <c r="CG140" s="32" t="n">
        <f aca="false">IF(BQ140=0,IF(BY140=0,0,1),(BY140-BQ140)/BQ140)</f>
        <v>1</v>
      </c>
      <c r="CH140" s="32" t="n">
        <f aca="false">MAX(MAX(BZ140:CG140),-MIN(BZ140:CG140))</f>
        <v>1</v>
      </c>
      <c r="CI140" s="31" t="n">
        <f aca="false">IF(CO140="","",SUMIFS($CJ$7:$CJ$696,$A$7:$A$696,CO140,$B$7:$B$696,B140))</f>
        <v>102358</v>
      </c>
      <c r="CJ140" s="31" t="n">
        <f aca="false">SUM(AY140:BI140)</f>
        <v>103654</v>
      </c>
      <c r="CK140" s="31" t="str">
        <f aca="false">IFERROR(INDEX(設定!$F$61:$F$106,MATCH(B140,設定!$B$61:$B$106,0)),"Y")</f>
        <v>Y</v>
      </c>
      <c r="CL140" s="31" t="str">
        <f aca="false">IFERROR(INDEX(設定!$G$61:$G$106,MATCH(B140,設定!$B$61:$B$106,0)),"外郭型")</f>
        <v>外郭型</v>
      </c>
      <c r="CM140" s="33" t="str">
        <f aca="false">A140&amp;"|"&amp;B140</f>
        <v>2026-06 月例|市職員労働組合</v>
      </c>
      <c r="CN140" s="34" t="str">
        <f aca="false">IFERROR(INDEX(設定!$D$61:$D$106,MATCH(B140,設定!$B$61:$B$106,0)),"Y")</f>
        <v>Y</v>
      </c>
      <c r="CO140" s="34" t="str">
        <f aca="false">IFERROR(INDEX(設定!$D$20:$D$34,MATCH(A140,設定!$A$20:$A$34,0))&amp;"","")</f>
        <v>2026-05 月例</v>
      </c>
    </row>
    <row r="141" customFormat="false" ht="15" hidden="true" customHeight="false" outlineLevel="0" collapsed="false">
      <c r="A141" s="22" t="s">
        <v>217</v>
      </c>
      <c r="B141" s="23" t="s">
        <v>211</v>
      </c>
      <c r="C141" s="10" t="str">
        <f aca="false">IF(G141="","未受領",IF(G141="なし","報告なし",IF(AL141="○","起票済",IF(OR(AK141="○",F141="一致",F141="入金不要"),"入金確認済","受領済"))))</f>
        <v>未受領</v>
      </c>
      <c r="D141" s="10" t="str">
        <f aca="false">IF(OR(G141="",G141="なし"),"―",IF(CN141="N","対象外",IF(AND(I141="",J141="",K141=""),"標報未入力",IF(CH141&gt;=設定!$B$4,"要確認","問題なし"))))</f>
        <v>―</v>
      </c>
      <c r="E141" s="24" t="str">
        <f aca="false">IF(OR(G141="",G141="なし",CI141="",CJ141=0),"―",IF(CJ141=CI141,"前月同額",IF(CI141=0,"―",IF(ABS(CJ141/CI141-1)&gt;=設定!$B$5,"変動大 "&amp;TEXT(CJ141/CI141-1,"+0%;-0%"),"〇"))))</f>
        <v>―</v>
      </c>
      <c r="F141" s="10" t="str">
        <f aca="false">IF(OR(G141="",G141="なし"),"―",IF(CJ141=0,"入金不要",IF(COUNT(AD141,AF141,AH141,AJ141)=0,IF(AK141="○","手動確認","未入金"),IF(AND(N(AD141)=AC141,IF(AE141="",TRUE(),N(AF141)=AE141),IF(AG141="",TRUE(),N(AH141)=AG141),IF(AI141="",TRUE(),N(AJ141)=AI141)),"一致","不一致"))))</f>
        <v>―</v>
      </c>
      <c r="G141" s="25"/>
      <c r="H141" s="26"/>
      <c r="I141" s="27"/>
      <c r="J141" s="27"/>
      <c r="K141" s="27"/>
      <c r="L141" s="27"/>
      <c r="M141" s="27"/>
      <c r="N141" s="27"/>
      <c r="O141" s="27"/>
      <c r="P141" s="27"/>
      <c r="Q141" s="27"/>
      <c r="R141" s="27"/>
      <c r="S141" s="27"/>
      <c r="T141" s="27"/>
      <c r="U141" s="27"/>
      <c r="V141" s="27"/>
      <c r="W141" s="27"/>
      <c r="X141" s="27"/>
      <c r="Y141" s="27"/>
      <c r="Z141" s="27"/>
      <c r="AA141" s="10" t="str">
        <f aca="false">IFERROR(INDEX(設定!$E$61:$E$106,MATCH(B141,設定!$B$61:$B$106,0)),"合算")</f>
        <v>合算</v>
      </c>
      <c r="AB141" s="28"/>
      <c r="AC141" s="29" t="str">
        <f aca="false">IF(OR(G141="",G141="なし"),"",IF(AA141="合算",CJ141+N(Z141),IF(AA141="掛金・負担金別",(AY141+AZ141+BD141+BF141+BH141),SUM(AY141:BC141))))</f>
        <v/>
      </c>
      <c r="AD141" s="27"/>
      <c r="AE141" s="29" t="str">
        <f aca="false">IF(OR(G141="",G141="なし"),"",IF(AA141="掛金・負担金別",(BA141+BB141+BC141+BE141+BG141+BI141+N(Z141)),IF(AA141="経理区分別",BD141+BE141,"")))</f>
        <v/>
      </c>
      <c r="AF141" s="27"/>
      <c r="AG141" s="29" t="str">
        <f aca="false">IF(OR(G141="",G141="なし"),"",IF(AA141="経理区分別",BF141+BG141,""))</f>
        <v/>
      </c>
      <c r="AH141" s="27"/>
      <c r="AI141" s="29" t="str">
        <f aca="false">IF(OR(G141="",G141="なし"),"",IF(AA141="経理区分別",BH141+BI141+N(Z141),""))</f>
        <v/>
      </c>
      <c r="AJ141" s="27"/>
      <c r="AK141" s="26"/>
      <c r="AL141" s="26"/>
      <c r="AM141" s="30"/>
      <c r="AN141" s="31" t="n">
        <v>0</v>
      </c>
      <c r="AO141" s="31" t="n">
        <v>0</v>
      </c>
      <c r="AP141" s="31" t="n">
        <v>0</v>
      </c>
      <c r="AQ141" s="31" t="n">
        <v>0</v>
      </c>
      <c r="AR141" s="31"/>
      <c r="AS141" s="31" t="n">
        <v>0</v>
      </c>
      <c r="AT141" s="31" t="n">
        <v>0</v>
      </c>
      <c r="AU141" s="31" t="n">
        <v>0</v>
      </c>
      <c r="AV141" s="31" t="n">
        <v>0</v>
      </c>
      <c r="AW141" s="31" t="n">
        <v>0</v>
      </c>
      <c r="AX141" s="31" t="n">
        <v>0</v>
      </c>
      <c r="AY141" s="31" t="n">
        <f aca="false">IF($G141="",AN141,O141)</f>
        <v>0</v>
      </c>
      <c r="AZ141" s="31" t="n">
        <f aca="false">IF($G141="",AO141,P141)</f>
        <v>0</v>
      </c>
      <c r="BA141" s="31" t="n">
        <f aca="false">IF($G141="",AP141,T141)</f>
        <v>0</v>
      </c>
      <c r="BB141" s="31" t="n">
        <f aca="false">IF($G141="",AQ141,U141)</f>
        <v>0</v>
      </c>
      <c r="BC141" s="31" t="n">
        <f aca="false">IF($G141="",AR141,V141)</f>
        <v>0</v>
      </c>
      <c r="BD141" s="31" t="n">
        <f aca="false">IF($G141="",AS141,Q141)</f>
        <v>0</v>
      </c>
      <c r="BE141" s="31" t="n">
        <f aca="false">IF($G141="",AT141,W141)</f>
        <v>0</v>
      </c>
      <c r="BF141" s="31" t="n">
        <f aca="false">IF($G141="",AU141,R141)</f>
        <v>0</v>
      </c>
      <c r="BG141" s="31" t="n">
        <f aca="false">IF($G141="",AV141,X141)</f>
        <v>0</v>
      </c>
      <c r="BH141" s="31" t="n">
        <f aca="false">IF($G141="",AW141,S141)</f>
        <v>0</v>
      </c>
      <c r="BI141" s="31" t="n">
        <f aca="false">IF($G141="",AX141,Y141)</f>
        <v>0</v>
      </c>
      <c r="BJ141" s="31" t="n">
        <f aca="false">IF(CK141="N",BR141,ROUNDDOWN((I141-L141)*設定!$B$10/1000,0)+ROUNDDOWN((I141-L141)*設定!$B$11/1000,0))</f>
        <v>0</v>
      </c>
      <c r="BK141" s="31" t="n">
        <f aca="false">ROUNDDOWN((I141-L141)*設定!$C$10/1000,0)+ROUNDDOWN((I141-L141)*設定!$C$11/1000,0)+ROUNDDOWN(I141*設定!$C$12/1000,0)+IF(CL141="市局型",ROUNDDOWN(I141*設定!$C$16/1000,0),0)</f>
        <v>0</v>
      </c>
      <c r="BL141" s="31" t="n">
        <f aca="false">IF(CK141="N",BT141,ROUNDDOWN((J141-M141)*設定!$B$13/1000,0))</f>
        <v>0</v>
      </c>
      <c r="BM141" s="31" t="n">
        <f aca="false">ROUNDDOWN((J141-M141)*設定!$C$13/1000,0)+IF(CL141="市局型",ROUNDDOWN(J141*設定!$C$17/1000,0),0)</f>
        <v>0</v>
      </c>
      <c r="BN141" s="31" t="n">
        <f aca="false">IF(CK141="N",BV141,ROUNDDOWN((K141-N141)*設定!$B$14/1000,0))</f>
        <v>0</v>
      </c>
      <c r="BO141" s="31" t="n">
        <f aca="false">ROUNDDOWN((K141-N141)*設定!$C$14/1000,0)</f>
        <v>0</v>
      </c>
      <c r="BP141" s="31" t="n">
        <f aca="false">IF(CK141="N",BX141,ROUNDDOWN((J141-M141)*設定!$B$15/1000,0))</f>
        <v>0</v>
      </c>
      <c r="BQ141" s="31" t="n">
        <f aca="false">ROUNDDOWN((J141-M141)*設定!$C$15/1000,0)</f>
        <v>0</v>
      </c>
      <c r="BR141" s="31" t="n">
        <f aca="false">O141+P141</f>
        <v>0</v>
      </c>
      <c r="BS141" s="31" t="n">
        <f aca="false">T141+U141+V141</f>
        <v>0</v>
      </c>
      <c r="BT141" s="31" t="n">
        <f aca="false">Q141</f>
        <v>0</v>
      </c>
      <c r="BU141" s="31" t="n">
        <f aca="false">W141</f>
        <v>0</v>
      </c>
      <c r="BV141" s="31" t="n">
        <f aca="false">R141</f>
        <v>0</v>
      </c>
      <c r="BW141" s="31" t="n">
        <f aca="false">X141</f>
        <v>0</v>
      </c>
      <c r="BX141" s="31" t="n">
        <f aca="false">S141</f>
        <v>0</v>
      </c>
      <c r="BY141" s="31" t="n">
        <f aca="false">Y141</f>
        <v>0</v>
      </c>
      <c r="BZ141" s="32" t="n">
        <f aca="false">IF(BJ141=0,IF(BR141=0,0,1),(BR141-BJ141)/BJ141)</f>
        <v>0</v>
      </c>
      <c r="CA141" s="32" t="n">
        <f aca="false">IF(BK141=0,IF(BS141=0,0,1),(BS141-BK141)/BK141)</f>
        <v>0</v>
      </c>
      <c r="CB141" s="32" t="n">
        <f aca="false">IF(BL141=0,IF(BT141=0,0,1),(BT141-BL141)/BL141)</f>
        <v>0</v>
      </c>
      <c r="CC141" s="32" t="n">
        <f aca="false">IF(BM141=0,IF(BU141=0,0,1),(BU141-BM141)/BM141)</f>
        <v>0</v>
      </c>
      <c r="CD141" s="32" t="n">
        <f aca="false">IF(BN141=0,IF(BV141=0,0,1),(BV141-BN141)/BN141)</f>
        <v>0</v>
      </c>
      <c r="CE141" s="32" t="n">
        <f aca="false">IF(BO141=0,IF(BW141=0,0,1),(BW141-BO141)/BO141)</f>
        <v>0</v>
      </c>
      <c r="CF141" s="32" t="n">
        <f aca="false">IF(BP141=0,IF(BX141=0,0,1),(BX141-BP141)/BP141)</f>
        <v>0</v>
      </c>
      <c r="CG141" s="32" t="n">
        <f aca="false">IF(BQ141=0,IF(BY141=0,0,1),(BY141-BQ141)/BQ141)</f>
        <v>0</v>
      </c>
      <c r="CH141" s="32" t="n">
        <f aca="false">MAX(MAX(BZ141:CG141),-MIN(BZ141:CG141))</f>
        <v>-0</v>
      </c>
      <c r="CI141" s="31" t="n">
        <f aca="false">IF(CO141="","",SUMIFS($CJ$7:$CJ$696,$A$7:$A$696,CO141,$B$7:$B$696,B141))</f>
        <v>0</v>
      </c>
      <c r="CJ141" s="31" t="n">
        <f aca="false">SUM(AY141:BI141)</f>
        <v>0</v>
      </c>
      <c r="CK141" s="31" t="str">
        <f aca="false">IFERROR(INDEX(設定!$F$61:$F$106,MATCH(B141,設定!$B$61:$B$106,0)),"Y")</f>
        <v>N</v>
      </c>
      <c r="CL141" s="31" t="str">
        <f aca="false">IFERROR(INDEX(設定!$G$61:$G$106,MATCH(B141,設定!$B$61:$B$106,0)),"外郭型")</f>
        <v>外郭型</v>
      </c>
      <c r="CM141" s="33" t="str">
        <f aca="false">A141&amp;"|"&amp;B141</f>
        <v>2026-06 月例|自治労労働組合</v>
      </c>
      <c r="CN141" s="34" t="str">
        <f aca="false">IFERROR(INDEX(設定!$D$61:$D$106,MATCH(B141,設定!$B$61:$B$106,0)),"Y")</f>
        <v>Y</v>
      </c>
      <c r="CO141" s="34" t="str">
        <f aca="false">IFERROR(INDEX(設定!$D$20:$D$34,MATCH(A141,設定!$A$20:$A$34,0))&amp;"","")</f>
        <v>2026-05 月例</v>
      </c>
    </row>
    <row r="142" customFormat="false" ht="15" hidden="true" customHeight="false" outlineLevel="0" collapsed="false">
      <c r="A142" s="22" t="s">
        <v>217</v>
      </c>
      <c r="B142" s="23" t="s">
        <v>212</v>
      </c>
      <c r="C142" s="10" t="str">
        <f aca="false">IF(G142="","未受領",IF(G142="なし","報告なし",IF(AL142="○","起票済",IF(OR(AK142="○",F142="一致",F142="入金不要"),"入金確認済","受領済"))))</f>
        <v>入金確認済</v>
      </c>
      <c r="D142" s="10" t="str">
        <f aca="false">IF(OR(G142="",G142="なし"),"―",IF(CN142="N","対象外",IF(AND(I142="",J142="",K142=""),"標報未入力",IF(CH142&gt;=設定!$B$4,"要確認","問題なし"))))</f>
        <v>標報未入力</v>
      </c>
      <c r="E142" s="24" t="str">
        <f aca="false">IF(OR(G142="",G142="なし",CI142="",CJ142=0),"―",IF(CJ142=CI142,"前月同額",IF(CI142=0,"―",IF(ABS(CJ142/CI142-1)&gt;=設定!$B$5,"変動大 "&amp;TEXT(CJ142/CI142-1,"+0%;-0%"),"〇"))))</f>
        <v>前月同額</v>
      </c>
      <c r="F142" s="10" t="str">
        <f aca="false">IF(OR(G142="",G142="なし"),"―",IF(CJ142=0,"入金不要",IF(COUNT(AD142,AF142,AH142,AJ142)=0,IF(AK142="○","手動確認","未入金"),IF(AND(N(AD142)=AC142,IF(AE142="",TRUE(),N(AF142)=AE142),IF(AG142="",TRUE(),N(AH142)=AG142),IF(AI142="",TRUE(),N(AJ142)=AI142)),"一致","不一致"))))</f>
        <v>手動確認</v>
      </c>
      <c r="G142" s="25" t="s">
        <v>167</v>
      </c>
      <c r="H142" s="26"/>
      <c r="I142" s="27"/>
      <c r="J142" s="27"/>
      <c r="K142" s="27"/>
      <c r="L142" s="27"/>
      <c r="M142" s="27"/>
      <c r="N142" s="27"/>
      <c r="O142" s="27" t="n">
        <v>27450</v>
      </c>
      <c r="P142" s="27" t="n">
        <v>2250</v>
      </c>
      <c r="Q142" s="27" t="n">
        <v>31116</v>
      </c>
      <c r="R142" s="27" t="n">
        <v>2370</v>
      </c>
      <c r="S142" s="27" t="n">
        <v>690</v>
      </c>
      <c r="T142" s="27" t="n">
        <v>27450</v>
      </c>
      <c r="U142" s="27" t="n">
        <v>2250</v>
      </c>
      <c r="V142" s="27"/>
      <c r="W142" s="27" t="n">
        <v>31146</v>
      </c>
      <c r="X142" s="27" t="n">
        <v>2370</v>
      </c>
      <c r="Y142" s="27" t="n">
        <v>690</v>
      </c>
      <c r="Z142" s="27"/>
      <c r="AA142" s="10" t="str">
        <f aca="false">IFERROR(INDEX(設定!$E$61:$E$106,MATCH(B142,設定!$B$61:$B$106,0)),"合算")</f>
        <v>合算</v>
      </c>
      <c r="AB142" s="28"/>
      <c r="AC142" s="29" t="n">
        <f aca="false">IF(OR(G142="",G142="なし"),"",IF(AA142="合算",CJ142+N(Z142),IF(AA142="掛金・負担金別",(AY142+AZ142+BD142+BF142+BH142),SUM(AY142:BC142))))</f>
        <v>127782</v>
      </c>
      <c r="AD142" s="27"/>
      <c r="AE142" s="29" t="str">
        <f aca="false">IF(OR(G142="",G142="なし"),"",IF(AA142="掛金・負担金別",(BA142+BB142+BC142+BE142+BG142+BI142+N(Z142)),IF(AA142="経理区分別",BD142+BE142,"")))</f>
        <v/>
      </c>
      <c r="AF142" s="27"/>
      <c r="AG142" s="29" t="str">
        <f aca="false">IF(OR(G142="",G142="なし"),"",IF(AA142="経理区分別",BF142+BG142,""))</f>
        <v/>
      </c>
      <c r="AH142" s="27"/>
      <c r="AI142" s="29" t="str">
        <f aca="false">IF(OR(G142="",G142="なし"),"",IF(AA142="経理区分別",BH142+BI142+N(Z142),""))</f>
        <v/>
      </c>
      <c r="AJ142" s="27"/>
      <c r="AK142" s="26" t="s">
        <v>168</v>
      </c>
      <c r="AL142" s="26"/>
      <c r="AM142" s="30"/>
      <c r="AN142" s="31"/>
      <c r="AO142" s="31"/>
      <c r="AP142" s="31"/>
      <c r="AQ142" s="31"/>
      <c r="AR142" s="31"/>
      <c r="AS142" s="31"/>
      <c r="AT142" s="31"/>
      <c r="AU142" s="31"/>
      <c r="AV142" s="31"/>
      <c r="AW142" s="31"/>
      <c r="AX142" s="31"/>
      <c r="AY142" s="31" t="n">
        <f aca="false">IF($G142="",AN142,O142)</f>
        <v>27450</v>
      </c>
      <c r="AZ142" s="31" t="n">
        <f aca="false">IF($G142="",AO142,P142)</f>
        <v>2250</v>
      </c>
      <c r="BA142" s="31" t="n">
        <f aca="false">IF($G142="",AP142,T142)</f>
        <v>27450</v>
      </c>
      <c r="BB142" s="31" t="n">
        <f aca="false">IF($G142="",AQ142,U142)</f>
        <v>2250</v>
      </c>
      <c r="BC142" s="31" t="n">
        <f aca="false">IF($G142="",AR142,V142)</f>
        <v>0</v>
      </c>
      <c r="BD142" s="31" t="n">
        <f aca="false">IF($G142="",AS142,Q142)</f>
        <v>31116</v>
      </c>
      <c r="BE142" s="31" t="n">
        <f aca="false">IF($G142="",AT142,W142)</f>
        <v>31146</v>
      </c>
      <c r="BF142" s="31" t="n">
        <f aca="false">IF($G142="",AU142,R142)</f>
        <v>2370</v>
      </c>
      <c r="BG142" s="31" t="n">
        <f aca="false">IF($G142="",AV142,X142)</f>
        <v>2370</v>
      </c>
      <c r="BH142" s="31" t="n">
        <f aca="false">IF($G142="",AW142,S142)</f>
        <v>690</v>
      </c>
      <c r="BI142" s="31" t="n">
        <f aca="false">IF($G142="",AX142,Y142)</f>
        <v>690</v>
      </c>
      <c r="BJ142" s="31" t="n">
        <f aca="false">IF(CK142="N",BR142,ROUNDDOWN((I142-L142)*設定!$B$10/1000,0)+ROUNDDOWN((I142-L142)*設定!$B$11/1000,0))</f>
        <v>0</v>
      </c>
      <c r="BK142" s="31" t="n">
        <f aca="false">ROUNDDOWN((I142-L142)*設定!$C$10/1000,0)+ROUNDDOWN((I142-L142)*設定!$C$11/1000,0)+ROUNDDOWN(I142*設定!$C$12/1000,0)+IF(CL142="市局型",ROUNDDOWN(I142*設定!$C$16/1000,0),0)</f>
        <v>0</v>
      </c>
      <c r="BL142" s="31" t="n">
        <f aca="false">IF(CK142="N",BT142,ROUNDDOWN((J142-M142)*設定!$B$13/1000,0))</f>
        <v>0</v>
      </c>
      <c r="BM142" s="31" t="n">
        <f aca="false">ROUNDDOWN((J142-M142)*設定!$C$13/1000,0)+IF(CL142="市局型",ROUNDDOWN(J142*設定!$C$17/1000,0),0)</f>
        <v>0</v>
      </c>
      <c r="BN142" s="31" t="n">
        <f aca="false">IF(CK142="N",BV142,ROUNDDOWN((K142-N142)*設定!$B$14/1000,0))</f>
        <v>0</v>
      </c>
      <c r="BO142" s="31" t="n">
        <f aca="false">ROUNDDOWN((K142-N142)*設定!$C$14/1000,0)</f>
        <v>0</v>
      </c>
      <c r="BP142" s="31" t="n">
        <f aca="false">IF(CK142="N",BX142,ROUNDDOWN((J142-M142)*設定!$B$15/1000,0))</f>
        <v>0</v>
      </c>
      <c r="BQ142" s="31" t="n">
        <f aca="false">ROUNDDOWN((J142-M142)*設定!$C$15/1000,0)</f>
        <v>0</v>
      </c>
      <c r="BR142" s="31" t="n">
        <f aca="false">O142+P142</f>
        <v>29700</v>
      </c>
      <c r="BS142" s="31" t="n">
        <f aca="false">T142+U142+V142</f>
        <v>29700</v>
      </c>
      <c r="BT142" s="31" t="n">
        <f aca="false">Q142</f>
        <v>31116</v>
      </c>
      <c r="BU142" s="31" t="n">
        <f aca="false">W142</f>
        <v>31146</v>
      </c>
      <c r="BV142" s="31" t="n">
        <f aca="false">R142</f>
        <v>2370</v>
      </c>
      <c r="BW142" s="31" t="n">
        <f aca="false">X142</f>
        <v>2370</v>
      </c>
      <c r="BX142" s="31" t="n">
        <f aca="false">S142</f>
        <v>690</v>
      </c>
      <c r="BY142" s="31" t="n">
        <f aca="false">Y142</f>
        <v>690</v>
      </c>
      <c r="BZ142" s="32" t="n">
        <f aca="false">IF(BJ142=0,IF(BR142=0,0,1),(BR142-BJ142)/BJ142)</f>
        <v>1</v>
      </c>
      <c r="CA142" s="32" t="n">
        <f aca="false">IF(BK142=0,IF(BS142=0,0,1),(BS142-BK142)/BK142)</f>
        <v>1</v>
      </c>
      <c r="CB142" s="32" t="n">
        <f aca="false">IF(BL142=0,IF(BT142=0,0,1),(BT142-BL142)/BL142)</f>
        <v>1</v>
      </c>
      <c r="CC142" s="32" t="n">
        <f aca="false">IF(BM142=0,IF(BU142=0,0,1),(BU142-BM142)/BM142)</f>
        <v>1</v>
      </c>
      <c r="CD142" s="32" t="n">
        <f aca="false">IF(BN142=0,IF(BV142=0,0,1),(BV142-BN142)/BN142)</f>
        <v>1</v>
      </c>
      <c r="CE142" s="32" t="n">
        <f aca="false">IF(BO142=0,IF(BW142=0,0,1),(BW142-BO142)/BO142)</f>
        <v>1</v>
      </c>
      <c r="CF142" s="32" t="n">
        <f aca="false">IF(BP142=0,IF(BX142=0,0,1),(BX142-BP142)/BP142)</f>
        <v>1</v>
      </c>
      <c r="CG142" s="32" t="n">
        <f aca="false">IF(BQ142=0,IF(BY142=0,0,1),(BY142-BQ142)/BQ142)</f>
        <v>1</v>
      </c>
      <c r="CH142" s="32" t="n">
        <f aca="false">MAX(MAX(BZ142:CG142),-MIN(BZ142:CG142))</f>
        <v>1</v>
      </c>
      <c r="CI142" s="31" t="n">
        <f aca="false">IF(CO142="","",SUMIFS($CJ$7:$CJ$696,$A$7:$A$696,CO142,$B$7:$B$696,B142))</f>
        <v>127782</v>
      </c>
      <c r="CJ142" s="31" t="n">
        <f aca="false">SUM(AY142:BI142)</f>
        <v>127782</v>
      </c>
      <c r="CK142" s="31" t="str">
        <f aca="false">IFERROR(INDEX(設定!$F$61:$F$106,MATCH(B142,設定!$B$61:$B$106,0)),"Y")</f>
        <v>Y</v>
      </c>
      <c r="CL142" s="31" t="str">
        <f aca="false">IFERROR(INDEX(設定!$G$61:$G$106,MATCH(B142,設定!$B$61:$B$106,0)),"外郭型")</f>
        <v>外郭型</v>
      </c>
      <c r="CM142" s="33" t="str">
        <f aca="false">A142&amp;"|"&amp;B142</f>
        <v>2026-06 月例|病院労働組合</v>
      </c>
      <c r="CN142" s="34" t="str">
        <f aca="false">IFERROR(INDEX(設定!$D$61:$D$106,MATCH(B142,設定!$B$61:$B$106,0)),"Y")</f>
        <v>Y</v>
      </c>
      <c r="CO142" s="34" t="str">
        <f aca="false">IFERROR(INDEX(設定!$D$20:$D$34,MATCH(A142,設定!$A$20:$A$34,0))&amp;"","")</f>
        <v>2026-05 月例</v>
      </c>
    </row>
    <row r="143" customFormat="false" ht="15" hidden="true" customHeight="false" outlineLevel="0" collapsed="false">
      <c r="A143" s="22" t="s">
        <v>217</v>
      </c>
      <c r="B143" s="23" t="s">
        <v>213</v>
      </c>
      <c r="C143" s="10" t="str">
        <f aca="false">IF(G143="","未受領",IF(G143="なし","報告なし",IF(AL143="○","起票済",IF(OR(AK143="○",F143="一致",F143="入金不要"),"入金確認済","受領済"))))</f>
        <v>報告なし</v>
      </c>
      <c r="D143" s="10" t="str">
        <f aca="false">IF(OR(G143="",G143="なし"),"―",IF(CN143="N","対象外",IF(AND(I143="",J143="",K143=""),"標報未入力",IF(CH143&gt;=設定!$B$4,"要確認","問題なし"))))</f>
        <v>―</v>
      </c>
      <c r="E143" s="24" t="str">
        <f aca="false">IF(OR(G143="",G143="なし",CI143="",CJ143=0),"―",IF(CJ143=CI143,"前月同額",IF(CI143=0,"―",IF(ABS(CJ143/CI143-1)&gt;=設定!$B$5,"変動大 "&amp;TEXT(CJ143/CI143-1,"+0%;-0%"),"〇"))))</f>
        <v>―</v>
      </c>
      <c r="F143" s="10" t="str">
        <f aca="false">IF(OR(G143="",G143="なし"),"―",IF(CJ143=0,"入金不要",IF(COUNT(AD143,AF143,AH143,AJ143)=0,IF(AK143="○","手動確認","未入金"),IF(AND(N(AD143)=AC143,IF(AE143="",TRUE(),N(AF143)=AE143),IF(AG143="",TRUE(),N(AH143)=AG143),IF(AI143="",TRUE(),N(AJ143)=AI143)),"一致","不一致"))))</f>
        <v>―</v>
      </c>
      <c r="G143" s="25" t="s">
        <v>181</v>
      </c>
      <c r="H143" s="26"/>
      <c r="I143" s="27"/>
      <c r="J143" s="27"/>
      <c r="K143" s="27"/>
      <c r="L143" s="27"/>
      <c r="M143" s="27"/>
      <c r="N143" s="27"/>
      <c r="O143" s="27"/>
      <c r="P143" s="27"/>
      <c r="Q143" s="27"/>
      <c r="R143" s="27"/>
      <c r="S143" s="27"/>
      <c r="T143" s="27"/>
      <c r="U143" s="27"/>
      <c r="V143" s="27"/>
      <c r="W143" s="27"/>
      <c r="X143" s="27"/>
      <c r="Y143" s="27"/>
      <c r="Z143" s="27"/>
      <c r="AA143" s="10" t="str">
        <f aca="false">IFERROR(INDEX(設定!$E$61:$E$106,MATCH(B143,設定!$B$61:$B$106,0)),"合算")</f>
        <v>合算</v>
      </c>
      <c r="AB143" s="28"/>
      <c r="AC143" s="29" t="str">
        <f aca="false">IF(OR(G143="",G143="なし"),"",IF(AA143="合算",CJ143+N(Z143),IF(AA143="掛金・負担金別",(AY143+AZ143+BD143+BF143+BH143),SUM(AY143:BC143))))</f>
        <v/>
      </c>
      <c r="AD143" s="27"/>
      <c r="AE143" s="29" t="str">
        <f aca="false">IF(OR(G143="",G143="なし"),"",IF(AA143="掛金・負担金別",(BA143+BB143+BC143+BE143+BG143+BI143+N(Z143)),IF(AA143="経理区分別",BD143+BE143,"")))</f>
        <v/>
      </c>
      <c r="AF143" s="27"/>
      <c r="AG143" s="29" t="str">
        <f aca="false">IF(OR(G143="",G143="なし"),"",IF(AA143="経理区分別",BF143+BG143,""))</f>
        <v/>
      </c>
      <c r="AH143" s="27"/>
      <c r="AI143" s="29" t="str">
        <f aca="false">IF(OR(G143="",G143="なし"),"",IF(AA143="経理区分別",BH143+BI143+N(Z143),""))</f>
        <v/>
      </c>
      <c r="AJ143" s="27"/>
      <c r="AK143" s="26"/>
      <c r="AL143" s="26"/>
      <c r="AM143" s="30"/>
      <c r="AN143" s="31"/>
      <c r="AO143" s="31"/>
      <c r="AP143" s="31"/>
      <c r="AQ143" s="31"/>
      <c r="AR143" s="31"/>
      <c r="AS143" s="31"/>
      <c r="AT143" s="31"/>
      <c r="AU143" s="31"/>
      <c r="AV143" s="31"/>
      <c r="AW143" s="31"/>
      <c r="AX143" s="31"/>
      <c r="AY143" s="31" t="n">
        <f aca="false">IF($G143="",AN143,O143)</f>
        <v>0</v>
      </c>
      <c r="AZ143" s="31" t="n">
        <f aca="false">IF($G143="",AO143,P143)</f>
        <v>0</v>
      </c>
      <c r="BA143" s="31" t="n">
        <f aca="false">IF($G143="",AP143,T143)</f>
        <v>0</v>
      </c>
      <c r="BB143" s="31" t="n">
        <f aca="false">IF($G143="",AQ143,U143)</f>
        <v>0</v>
      </c>
      <c r="BC143" s="31" t="n">
        <f aca="false">IF($G143="",AR143,V143)</f>
        <v>0</v>
      </c>
      <c r="BD143" s="31" t="n">
        <f aca="false">IF($G143="",AS143,Q143)</f>
        <v>0</v>
      </c>
      <c r="BE143" s="31" t="n">
        <f aca="false">IF($G143="",AT143,W143)</f>
        <v>0</v>
      </c>
      <c r="BF143" s="31" t="n">
        <f aca="false">IF($G143="",AU143,R143)</f>
        <v>0</v>
      </c>
      <c r="BG143" s="31" t="n">
        <f aca="false">IF($G143="",AV143,X143)</f>
        <v>0</v>
      </c>
      <c r="BH143" s="31" t="n">
        <f aca="false">IF($G143="",AW143,S143)</f>
        <v>0</v>
      </c>
      <c r="BI143" s="31" t="n">
        <f aca="false">IF($G143="",AX143,Y143)</f>
        <v>0</v>
      </c>
      <c r="BJ143" s="31" t="n">
        <f aca="false">IF(CK143="N",BR143,ROUNDDOWN((I143-L143)*設定!$B$10/1000,0)+ROUNDDOWN((I143-L143)*設定!$B$11/1000,0))</f>
        <v>0</v>
      </c>
      <c r="BK143" s="31" t="n">
        <f aca="false">ROUNDDOWN((I143-L143)*設定!$C$10/1000,0)+ROUNDDOWN((I143-L143)*設定!$C$11/1000,0)+ROUNDDOWN(I143*設定!$C$12/1000,0)+IF(CL143="市局型",ROUNDDOWN(I143*設定!$C$16/1000,0),0)</f>
        <v>0</v>
      </c>
      <c r="BL143" s="31" t="n">
        <f aca="false">IF(CK143="N",BT143,ROUNDDOWN((J143-M143)*設定!$B$13/1000,0))</f>
        <v>0</v>
      </c>
      <c r="BM143" s="31" t="n">
        <f aca="false">ROUNDDOWN((J143-M143)*設定!$C$13/1000,0)+IF(CL143="市局型",ROUNDDOWN(J143*設定!$C$17/1000,0),0)</f>
        <v>0</v>
      </c>
      <c r="BN143" s="31" t="n">
        <f aca="false">IF(CK143="N",BV143,ROUNDDOWN((K143-N143)*設定!$B$14/1000,0))</f>
        <v>0</v>
      </c>
      <c r="BO143" s="31" t="n">
        <f aca="false">ROUNDDOWN((K143-N143)*設定!$C$14/1000,0)</f>
        <v>0</v>
      </c>
      <c r="BP143" s="31" t="n">
        <f aca="false">IF(CK143="N",BX143,ROUNDDOWN((J143-M143)*設定!$B$15/1000,0))</f>
        <v>0</v>
      </c>
      <c r="BQ143" s="31" t="n">
        <f aca="false">ROUNDDOWN((J143-M143)*設定!$C$15/1000,0)</f>
        <v>0</v>
      </c>
      <c r="BR143" s="31" t="n">
        <f aca="false">O143+P143</f>
        <v>0</v>
      </c>
      <c r="BS143" s="31" t="n">
        <f aca="false">T143+U143+V143</f>
        <v>0</v>
      </c>
      <c r="BT143" s="31" t="n">
        <f aca="false">Q143</f>
        <v>0</v>
      </c>
      <c r="BU143" s="31" t="n">
        <f aca="false">W143</f>
        <v>0</v>
      </c>
      <c r="BV143" s="31" t="n">
        <f aca="false">R143</f>
        <v>0</v>
      </c>
      <c r="BW143" s="31" t="n">
        <f aca="false">X143</f>
        <v>0</v>
      </c>
      <c r="BX143" s="31" t="n">
        <f aca="false">S143</f>
        <v>0</v>
      </c>
      <c r="BY143" s="31" t="n">
        <f aca="false">Y143</f>
        <v>0</v>
      </c>
      <c r="BZ143" s="32" t="n">
        <f aca="false">IF(BJ143=0,IF(BR143=0,0,1),(BR143-BJ143)/BJ143)</f>
        <v>0</v>
      </c>
      <c r="CA143" s="32" t="n">
        <f aca="false">IF(BK143=0,IF(BS143=0,0,1),(BS143-BK143)/BK143)</f>
        <v>0</v>
      </c>
      <c r="CB143" s="32" t="n">
        <f aca="false">IF(BL143=0,IF(BT143=0,0,1),(BT143-BL143)/BL143)</f>
        <v>0</v>
      </c>
      <c r="CC143" s="32" t="n">
        <f aca="false">IF(BM143=0,IF(BU143=0,0,1),(BU143-BM143)/BM143)</f>
        <v>0</v>
      </c>
      <c r="CD143" s="32" t="n">
        <f aca="false">IF(BN143=0,IF(BV143=0,0,1),(BV143-BN143)/BN143)</f>
        <v>0</v>
      </c>
      <c r="CE143" s="32" t="n">
        <f aca="false">IF(BO143=0,IF(BW143=0,0,1),(BW143-BO143)/BO143)</f>
        <v>0</v>
      </c>
      <c r="CF143" s="32" t="n">
        <f aca="false">IF(BP143=0,IF(BX143=0,0,1),(BX143-BP143)/BP143)</f>
        <v>0</v>
      </c>
      <c r="CG143" s="32" t="n">
        <f aca="false">IF(BQ143=0,IF(BY143=0,0,1),(BY143-BQ143)/BQ143)</f>
        <v>0</v>
      </c>
      <c r="CH143" s="32" t="n">
        <f aca="false">MAX(MAX(BZ143:CG143),-MIN(BZ143:CG143))</f>
        <v>-0</v>
      </c>
      <c r="CI143" s="31" t="n">
        <f aca="false">IF(CO143="","",SUMIFS($CJ$7:$CJ$696,$A$7:$A$696,CO143,$B$7:$B$696,B143))</f>
        <v>0</v>
      </c>
      <c r="CJ143" s="31" t="n">
        <f aca="false">SUM(AY143:BI143)</f>
        <v>0</v>
      </c>
      <c r="CK143" s="31" t="str">
        <f aca="false">IFERROR(INDEX(設定!$F$61:$F$106,MATCH(B143,設定!$B$61:$B$106,0)),"Y")</f>
        <v>N</v>
      </c>
      <c r="CL143" s="31" t="str">
        <f aca="false">IFERROR(INDEX(設定!$G$61:$G$106,MATCH(B143,設定!$B$61:$B$106,0)),"外郭型")</f>
        <v>外郭型</v>
      </c>
      <c r="CM143" s="33" t="str">
        <f aca="false">A143&amp;"|"&amp;B143</f>
        <v>2026-06 月例|水道労働組合</v>
      </c>
      <c r="CN143" s="34" t="str">
        <f aca="false">IFERROR(INDEX(設定!$D$61:$D$106,MATCH(B143,設定!$B$61:$B$106,0)),"Y")</f>
        <v>Y</v>
      </c>
      <c r="CO143" s="34" t="str">
        <f aca="false">IFERROR(INDEX(設定!$D$20:$D$34,MATCH(A143,設定!$A$20:$A$34,0))&amp;"","")</f>
        <v>2026-05 月例</v>
      </c>
    </row>
    <row r="144" customFormat="false" ht="15" hidden="true" customHeight="false" outlineLevel="0" collapsed="false">
      <c r="A144" s="22" t="s">
        <v>217</v>
      </c>
      <c r="B144" s="23" t="s">
        <v>214</v>
      </c>
      <c r="C144" s="10" t="str">
        <f aca="false">IF(G144="","未受領",IF(G144="なし","報告なし",IF(AL144="○","起票済",IF(OR(AK144="○",F144="一致",F144="入金不要"),"入金確認済","受領済"))))</f>
        <v>受領済</v>
      </c>
      <c r="D144" s="10" t="str">
        <f aca="false">IF(OR(G144="",G144="なし"),"―",IF(CN144="N","対象外",IF(AND(I144="",J144="",K144=""),"標報未入力",IF(CH144&gt;=設定!$B$4,"要確認","問題なし"))))</f>
        <v>対象外</v>
      </c>
      <c r="E144" s="24" t="str">
        <f aca="false">IF(OR(G144="",G144="なし",CI144="",CJ144=0),"―",IF(CJ144=CI144,"前月同額",IF(CI144=0,"―",IF(ABS(CJ144/CI144-1)&gt;=設定!$B$5,"変動大 "&amp;TEXT(CJ144/CI144-1,"+0%;-0%"),"〇"))))</f>
        <v>〇</v>
      </c>
      <c r="F144" s="10" t="str">
        <f aca="false">IF(OR(G144="",G144="なし"),"―",IF(CJ144=0,"入金不要",IF(COUNT(AD144,AF144,AH144,AJ144)=0,IF(AK144="○","手動確認","未入金"),IF(AND(N(AD144)=AC144,IF(AE144="",TRUE(),N(AF144)=AE144),IF(AG144="",TRUE(),N(AH144)=AG144),IF(AI144="",TRUE(),N(AJ144)=AI144)),"一致","不一致"))))</f>
        <v>未入金</v>
      </c>
      <c r="G144" s="25" t="s">
        <v>167</v>
      </c>
      <c r="H144" s="26"/>
      <c r="I144" s="27"/>
      <c r="J144" s="27"/>
      <c r="K144" s="27"/>
      <c r="L144" s="27"/>
      <c r="M144" s="27"/>
      <c r="N144" s="27"/>
      <c r="O144" s="27"/>
      <c r="P144" s="27"/>
      <c r="Q144" s="27" t="n">
        <v>2880046</v>
      </c>
      <c r="R144" s="27" t="n">
        <v>227024</v>
      </c>
      <c r="S144" s="27" t="n">
        <v>63859</v>
      </c>
      <c r="T144" s="27"/>
      <c r="U144" s="27"/>
      <c r="V144" s="27"/>
      <c r="W144" s="27"/>
      <c r="X144" s="27"/>
      <c r="Y144" s="27"/>
      <c r="Z144" s="27"/>
      <c r="AA144" s="10" t="str">
        <f aca="false">IFERROR(INDEX(設定!$E$61:$E$106,MATCH(B144,設定!$B$61:$B$106,0)),"合算")</f>
        <v>合算</v>
      </c>
      <c r="AB144" s="28"/>
      <c r="AC144" s="29" t="n">
        <f aca="false">IF(OR(G144="",G144="なし"),"",IF(AA144="合算",CJ144+N(Z144),IF(AA144="掛金・負担金別",(AY144+AZ144+BD144+BF144+BH144),SUM(AY144:BC144))))</f>
        <v>3170929</v>
      </c>
      <c r="AD144" s="27"/>
      <c r="AE144" s="29" t="str">
        <f aca="false">IF(OR(G144="",G144="なし"),"",IF(AA144="掛金・負担金別",(BA144+BB144+BC144+BE144+BG144+BI144+N(Z144)),IF(AA144="経理区分別",BD144+BE144,"")))</f>
        <v/>
      </c>
      <c r="AF144" s="27"/>
      <c r="AG144" s="29" t="str">
        <f aca="false">IF(OR(G144="",G144="なし"),"",IF(AA144="経理区分別",BF144+BG144,""))</f>
        <v/>
      </c>
      <c r="AH144" s="27"/>
      <c r="AI144" s="29" t="str">
        <f aca="false">IF(OR(G144="",G144="なし"),"",IF(AA144="経理区分別",BH144+BI144+N(Z144),""))</f>
        <v/>
      </c>
      <c r="AJ144" s="27"/>
      <c r="AK144" s="26"/>
      <c r="AL144" s="26"/>
      <c r="AM144" s="30"/>
      <c r="AN144" s="31"/>
      <c r="AO144" s="31"/>
      <c r="AP144" s="31"/>
      <c r="AQ144" s="31"/>
      <c r="AR144" s="31"/>
      <c r="AS144" s="31"/>
      <c r="AT144" s="31"/>
      <c r="AU144" s="31"/>
      <c r="AV144" s="31"/>
      <c r="AW144" s="31"/>
      <c r="AX144" s="31"/>
      <c r="AY144" s="31" t="n">
        <f aca="false">IF($G144="",AN144,O144)</f>
        <v>0</v>
      </c>
      <c r="AZ144" s="31" t="n">
        <f aca="false">IF($G144="",AO144,P144)</f>
        <v>0</v>
      </c>
      <c r="BA144" s="31" t="n">
        <f aca="false">IF($G144="",AP144,T144)</f>
        <v>0</v>
      </c>
      <c r="BB144" s="31" t="n">
        <f aca="false">IF($G144="",AQ144,U144)</f>
        <v>0</v>
      </c>
      <c r="BC144" s="31" t="n">
        <f aca="false">IF($G144="",AR144,V144)</f>
        <v>0</v>
      </c>
      <c r="BD144" s="31" t="n">
        <f aca="false">IF($G144="",AS144,Q144)</f>
        <v>2880046</v>
      </c>
      <c r="BE144" s="31" t="n">
        <f aca="false">IF($G144="",AT144,W144)</f>
        <v>0</v>
      </c>
      <c r="BF144" s="31" t="n">
        <f aca="false">IF($G144="",AU144,R144)</f>
        <v>227024</v>
      </c>
      <c r="BG144" s="31" t="n">
        <f aca="false">IF($G144="",AV144,X144)</f>
        <v>0</v>
      </c>
      <c r="BH144" s="31" t="n">
        <f aca="false">IF($G144="",AW144,S144)</f>
        <v>63859</v>
      </c>
      <c r="BI144" s="31" t="n">
        <f aca="false">IF($G144="",AX144,Y144)</f>
        <v>0</v>
      </c>
      <c r="BJ144" s="31" t="n">
        <f aca="false">IF(CK144="N",BR144,ROUNDDOWN((I144-L144)*設定!$B$10/1000,0)+ROUNDDOWN((I144-L144)*設定!$B$11/1000,0))</f>
        <v>0</v>
      </c>
      <c r="BK144" s="31" t="n">
        <f aca="false">ROUNDDOWN((I144-L144)*設定!$C$10/1000,0)+ROUNDDOWN((I144-L144)*設定!$C$11/1000,0)+ROUNDDOWN(I144*設定!$C$12/1000,0)+IF(CL144="市局型",ROUNDDOWN(I144*設定!$C$16/1000,0),0)</f>
        <v>0</v>
      </c>
      <c r="BL144" s="31" t="n">
        <f aca="false">IF(CK144="N",BT144,ROUNDDOWN((J144-M144)*設定!$B$13/1000,0))</f>
        <v>0</v>
      </c>
      <c r="BM144" s="31" t="n">
        <f aca="false">ROUNDDOWN((J144-M144)*設定!$C$13/1000,0)+IF(CL144="市局型",ROUNDDOWN(J144*設定!$C$17/1000,0),0)</f>
        <v>0</v>
      </c>
      <c r="BN144" s="31" t="n">
        <f aca="false">IF(CK144="N",BV144,ROUNDDOWN((K144-N144)*設定!$B$14/1000,0))</f>
        <v>0</v>
      </c>
      <c r="BO144" s="31" t="n">
        <f aca="false">ROUNDDOWN((K144-N144)*設定!$C$14/1000,0)</f>
        <v>0</v>
      </c>
      <c r="BP144" s="31" t="n">
        <f aca="false">IF(CK144="N",BX144,ROUNDDOWN((J144-M144)*設定!$B$15/1000,0))</f>
        <v>0</v>
      </c>
      <c r="BQ144" s="31" t="n">
        <f aca="false">ROUNDDOWN((J144-M144)*設定!$C$15/1000,0)</f>
        <v>0</v>
      </c>
      <c r="BR144" s="31" t="n">
        <f aca="false">O144+P144</f>
        <v>0</v>
      </c>
      <c r="BS144" s="31" t="n">
        <f aca="false">T144+U144+V144</f>
        <v>0</v>
      </c>
      <c r="BT144" s="31" t="n">
        <f aca="false">Q144</f>
        <v>2880046</v>
      </c>
      <c r="BU144" s="31" t="n">
        <f aca="false">W144</f>
        <v>0</v>
      </c>
      <c r="BV144" s="31" t="n">
        <f aca="false">R144</f>
        <v>227024</v>
      </c>
      <c r="BW144" s="31" t="n">
        <f aca="false">X144</f>
        <v>0</v>
      </c>
      <c r="BX144" s="31" t="n">
        <f aca="false">S144</f>
        <v>63859</v>
      </c>
      <c r="BY144" s="31" t="n">
        <f aca="false">Y144</f>
        <v>0</v>
      </c>
      <c r="BZ144" s="32" t="n">
        <f aca="false">IF(BJ144=0,IF(BR144=0,0,1),(BR144-BJ144)/BJ144)</f>
        <v>0</v>
      </c>
      <c r="CA144" s="32" t="n">
        <f aca="false">IF(BK144=0,IF(BS144=0,0,1),(BS144-BK144)/BK144)</f>
        <v>0</v>
      </c>
      <c r="CB144" s="32" t="n">
        <f aca="false">IF(BL144=0,IF(BT144=0,0,1),(BT144-BL144)/BL144)</f>
        <v>1</v>
      </c>
      <c r="CC144" s="32" t="n">
        <f aca="false">IF(BM144=0,IF(BU144=0,0,1),(BU144-BM144)/BM144)</f>
        <v>0</v>
      </c>
      <c r="CD144" s="32" t="n">
        <f aca="false">IF(BN144=0,IF(BV144=0,0,1),(BV144-BN144)/BN144)</f>
        <v>1</v>
      </c>
      <c r="CE144" s="32" t="n">
        <f aca="false">IF(BO144=0,IF(BW144=0,0,1),(BW144-BO144)/BO144)</f>
        <v>0</v>
      </c>
      <c r="CF144" s="32" t="n">
        <f aca="false">IF(BP144=0,IF(BX144=0,0,1),(BX144-BP144)/BP144)</f>
        <v>1</v>
      </c>
      <c r="CG144" s="32" t="n">
        <f aca="false">IF(BQ144=0,IF(BY144=0,0,1),(BY144-BQ144)/BQ144)</f>
        <v>0</v>
      </c>
      <c r="CH144" s="32" t="n">
        <f aca="false">MAX(MAX(BZ144:CG144),-MIN(BZ144:CG144))</f>
        <v>1</v>
      </c>
      <c r="CI144" s="31" t="n">
        <f aca="false">IF(CO144="","",SUMIFS($CJ$7:$CJ$696,$A$7:$A$696,CO144,$B$7:$B$696,B144))</f>
        <v>3130689</v>
      </c>
      <c r="CJ144" s="31" t="n">
        <f aca="false">SUM(AY144:BI144)</f>
        <v>3170929</v>
      </c>
      <c r="CK144" s="31" t="str">
        <f aca="false">IFERROR(INDEX(設定!$F$61:$F$106,MATCH(B144,設定!$B$61:$B$106,0)),"Y")</f>
        <v>Y</v>
      </c>
      <c r="CL144" s="31" t="str">
        <f aca="false">IFERROR(INDEX(設定!$G$61:$G$106,MATCH(B144,設定!$B$61:$B$106,0)),"外郭型")</f>
        <v>外郭型</v>
      </c>
      <c r="CM144" s="33" t="str">
        <f aca="false">A144&amp;"|"&amp;B144</f>
        <v>2026-06 月例|任意継続組合員</v>
      </c>
      <c r="CN144" s="34" t="str">
        <f aca="false">IFERROR(INDEX(設定!$D$61:$D$106,MATCH(B144,設定!$B$61:$B$106,0)),"Y")</f>
        <v>N</v>
      </c>
      <c r="CO144" s="34" t="str">
        <f aca="false">IFERROR(INDEX(設定!$D$20:$D$34,MATCH(A144,設定!$A$20:$A$34,0))&amp;"","")</f>
        <v>2026-05 月例</v>
      </c>
    </row>
    <row r="145" customFormat="false" ht="15" hidden="true" customHeight="false" outlineLevel="0" collapsed="false">
      <c r="A145" s="22" t="s">
        <v>218</v>
      </c>
      <c r="B145" s="23" t="s">
        <v>166</v>
      </c>
      <c r="C145" s="10" t="str">
        <f aca="false">IF(G145="","未受領",IF(G145="なし","報告なし",IF(AL145="○","起票済",IF(OR(AK145="○",F145="一致",F145="入金不要"),"入金確認済","受領済"))))</f>
        <v>入金確認済</v>
      </c>
      <c r="D145" s="10" t="str">
        <f aca="false">IF(OR(G145="",G145="なし"),"―",IF(CN145="N","対象外",IF(AND(I145="",J145="",K145=""),"標報未入力",IF(CH145&gt;=設定!$B$4,"要確認","問題なし"))))</f>
        <v>対象外</v>
      </c>
      <c r="E145" s="24" t="str">
        <f aca="false">IF(OR(G145="",G145="なし",CI145="",CJ145=0),"―",IF(CJ145=CI145,"前月同額",IF(CI145=0,"―",IF(ABS(CJ145/CI145-1)&gt;=設定!$B$5,"変動大 "&amp;TEXT(CJ145/CI145-1,"+0%;-0%"),"〇"))))</f>
        <v>―</v>
      </c>
      <c r="F145" s="10" t="str">
        <f aca="false">IF(OR(G145="",G145="なし"),"―",IF(CJ145=0,"入金不要",IF(COUNT(AD145,AF145,AH145,AJ145)=0,IF(AK145="○","手動確認","未入金"),IF(AND(N(AD145)=AC145,IF(AE145="",TRUE(),N(AF145)=AE145),IF(AG145="",TRUE(),N(AH145)=AG145),IF(AI145="",TRUE(),N(AJ145)=AI145)),"一致","不一致"))))</f>
        <v>手動確認</v>
      </c>
      <c r="G145" s="25" t="s">
        <v>167</v>
      </c>
      <c r="H145" s="26"/>
      <c r="I145" s="27"/>
      <c r="J145" s="27"/>
      <c r="K145" s="27"/>
      <c r="L145" s="27"/>
      <c r="M145" s="27"/>
      <c r="N145" s="27"/>
      <c r="O145" s="27" t="n">
        <v>455608135</v>
      </c>
      <c r="P145" s="27" t="n">
        <v>37354825</v>
      </c>
      <c r="Q145" s="27" t="n">
        <v>329922975</v>
      </c>
      <c r="R145" s="27" t="n">
        <v>31461358</v>
      </c>
      <c r="S145" s="27" t="n">
        <v>7311253</v>
      </c>
      <c r="T145" s="27" t="n">
        <v>647860052</v>
      </c>
      <c r="U145" s="27" t="n">
        <v>36359511</v>
      </c>
      <c r="V145" s="27" t="n">
        <v>428110</v>
      </c>
      <c r="W145" s="27" t="n">
        <v>328612946</v>
      </c>
      <c r="X145" s="27" t="n">
        <v>30627469</v>
      </c>
      <c r="Y145" s="27" t="n">
        <v>7161439</v>
      </c>
      <c r="Z145" s="27"/>
      <c r="AA145" s="10" t="str">
        <f aca="false">IFERROR(INDEX(設定!$E$61:$E$106,MATCH(B145,設定!$B$61:$B$106,0)),"合算")</f>
        <v>合算</v>
      </c>
      <c r="AB145" s="28"/>
      <c r="AC145" s="29" t="n">
        <f aca="false">IF(OR(G145="",G145="なし"),"",IF(AA145="合算",CJ145+N(Z145),IF(AA145="掛金・負担金別",(AY145+AZ145+BD145+BF145+BH145),SUM(AY145:BC145))))</f>
        <v>1912708073</v>
      </c>
      <c r="AD145" s="27"/>
      <c r="AE145" s="29" t="str">
        <f aca="false">IF(OR(G145="",G145="なし"),"",IF(AA145="掛金・負担金別",(BA145+BB145+BC145+BE145+BG145+BI145+N(Z145)),IF(AA145="経理区分別",BD145+BE145,"")))</f>
        <v/>
      </c>
      <c r="AF145" s="27"/>
      <c r="AG145" s="29" t="str">
        <f aca="false">IF(OR(G145="",G145="なし"),"",IF(AA145="経理区分別",BF145+BG145,""))</f>
        <v/>
      </c>
      <c r="AH145" s="27"/>
      <c r="AI145" s="29" t="str">
        <f aca="false">IF(OR(G145="",G145="なし"),"",IF(AA145="経理区分別",BH145+BI145+N(Z145),""))</f>
        <v/>
      </c>
      <c r="AJ145" s="27"/>
      <c r="AK145" s="26" t="s">
        <v>168</v>
      </c>
      <c r="AL145" s="26"/>
      <c r="AM145" s="30"/>
      <c r="AN145" s="31"/>
      <c r="AO145" s="31"/>
      <c r="AP145" s="31"/>
      <c r="AQ145" s="31"/>
      <c r="AR145" s="31"/>
      <c r="AS145" s="31"/>
      <c r="AT145" s="31"/>
      <c r="AU145" s="31"/>
      <c r="AV145" s="31"/>
      <c r="AW145" s="31"/>
      <c r="AX145" s="31"/>
      <c r="AY145" s="31" t="n">
        <f aca="false">IF($G145="",AN145,O145)</f>
        <v>455608135</v>
      </c>
      <c r="AZ145" s="31" t="n">
        <f aca="false">IF($G145="",AO145,P145)</f>
        <v>37354825</v>
      </c>
      <c r="BA145" s="31" t="n">
        <f aca="false">IF($G145="",AP145,T145)</f>
        <v>647860052</v>
      </c>
      <c r="BB145" s="31" t="n">
        <f aca="false">IF($G145="",AQ145,U145)</f>
        <v>36359511</v>
      </c>
      <c r="BC145" s="31" t="n">
        <f aca="false">IF($G145="",AR145,V145)</f>
        <v>428110</v>
      </c>
      <c r="BD145" s="31" t="n">
        <f aca="false">IF($G145="",AS145,Q145)</f>
        <v>329922975</v>
      </c>
      <c r="BE145" s="31" t="n">
        <f aca="false">IF($G145="",AT145,W145)</f>
        <v>328612946</v>
      </c>
      <c r="BF145" s="31" t="n">
        <f aca="false">IF($G145="",AU145,R145)</f>
        <v>31461358</v>
      </c>
      <c r="BG145" s="31" t="n">
        <f aca="false">IF($G145="",AV145,X145)</f>
        <v>30627469</v>
      </c>
      <c r="BH145" s="31" t="n">
        <f aca="false">IF($G145="",AW145,S145)</f>
        <v>7311253</v>
      </c>
      <c r="BI145" s="31" t="n">
        <f aca="false">IF($G145="",AX145,Y145)</f>
        <v>7161439</v>
      </c>
      <c r="BJ145" s="31" t="n">
        <f aca="false">IF(CK145="N",BR145,ROUNDDOWN((I145-L145)*設定!$B$10/1000,0)+ROUNDDOWN((I145-L145)*設定!$B$11/1000,0))</f>
        <v>0</v>
      </c>
      <c r="BK145" s="31" t="n">
        <f aca="false">ROUNDDOWN((I145-L145)*設定!$C$10/1000,0)+ROUNDDOWN((I145-L145)*設定!$C$11/1000,0)+ROUNDDOWN(I145*設定!$C$12/1000,0)+IF(CL145="市局型",ROUNDDOWN(I145*設定!$C$16/1000,0),0)</f>
        <v>0</v>
      </c>
      <c r="BL145" s="31" t="n">
        <f aca="false">IF(CK145="N",BT145,ROUNDDOWN((J145-M145)*設定!$B$13/1000,0))</f>
        <v>0</v>
      </c>
      <c r="BM145" s="31" t="n">
        <f aca="false">ROUNDDOWN((J145-M145)*設定!$C$13/1000,0)+IF(CL145="市局型",ROUNDDOWN(J145*設定!$C$17/1000,0),0)</f>
        <v>0</v>
      </c>
      <c r="BN145" s="31" t="n">
        <f aca="false">IF(CK145="N",BV145,ROUNDDOWN((K145-N145)*設定!$B$14/1000,0))</f>
        <v>0</v>
      </c>
      <c r="BO145" s="31" t="n">
        <f aca="false">ROUNDDOWN((K145-N145)*設定!$C$14/1000,0)</f>
        <v>0</v>
      </c>
      <c r="BP145" s="31" t="n">
        <f aca="false">IF(CK145="N",BX145,ROUNDDOWN((J145-M145)*設定!$B$15/1000,0))</f>
        <v>0</v>
      </c>
      <c r="BQ145" s="31" t="n">
        <f aca="false">ROUNDDOWN((J145-M145)*設定!$C$15/1000,0)</f>
        <v>0</v>
      </c>
      <c r="BR145" s="31" t="n">
        <f aca="false">O145+P145</f>
        <v>492962960</v>
      </c>
      <c r="BS145" s="31" t="n">
        <f aca="false">T145+U145+V145</f>
        <v>684647673</v>
      </c>
      <c r="BT145" s="31" t="n">
        <f aca="false">Q145</f>
        <v>329922975</v>
      </c>
      <c r="BU145" s="31" t="n">
        <f aca="false">W145</f>
        <v>328612946</v>
      </c>
      <c r="BV145" s="31" t="n">
        <f aca="false">R145</f>
        <v>31461358</v>
      </c>
      <c r="BW145" s="31" t="n">
        <f aca="false">X145</f>
        <v>30627469</v>
      </c>
      <c r="BX145" s="31" t="n">
        <f aca="false">S145</f>
        <v>7311253</v>
      </c>
      <c r="BY145" s="31" t="n">
        <f aca="false">Y145</f>
        <v>7161439</v>
      </c>
      <c r="BZ145" s="32" t="n">
        <f aca="false">IF(BJ145=0,IF(BR145=0,0,1),(BR145-BJ145)/BJ145)</f>
        <v>1</v>
      </c>
      <c r="CA145" s="32" t="n">
        <f aca="false">IF(BK145=0,IF(BS145=0,0,1),(BS145-BK145)/BK145)</f>
        <v>1</v>
      </c>
      <c r="CB145" s="32" t="n">
        <f aca="false">IF(BL145=0,IF(BT145=0,0,1),(BT145-BL145)/BL145)</f>
        <v>1</v>
      </c>
      <c r="CC145" s="32" t="n">
        <f aca="false">IF(BM145=0,IF(BU145=0,0,1),(BU145-BM145)/BM145)</f>
        <v>1</v>
      </c>
      <c r="CD145" s="32" t="n">
        <f aca="false">IF(BN145=0,IF(BV145=0,0,1),(BV145-BN145)/BN145)</f>
        <v>1</v>
      </c>
      <c r="CE145" s="32" t="n">
        <f aca="false">IF(BO145=0,IF(BW145=0,0,1),(BW145-BO145)/BO145)</f>
        <v>1</v>
      </c>
      <c r="CF145" s="32" t="n">
        <f aca="false">IF(BP145=0,IF(BX145=0,0,1),(BX145-BP145)/BP145)</f>
        <v>1</v>
      </c>
      <c r="CG145" s="32" t="n">
        <f aca="false">IF(BQ145=0,IF(BY145=0,0,1),(BY145-BQ145)/BQ145)</f>
        <v>1</v>
      </c>
      <c r="CH145" s="32" t="n">
        <f aca="false">MAX(MAX(BZ145:CG145),-MIN(BZ145:CG145))</f>
        <v>1</v>
      </c>
      <c r="CI145" s="31" t="str">
        <f aca="false">IF(CO145="","",SUMIFS($CJ$7:$CJ$696,$A$7:$A$696,CO145,$B$7:$B$696,B145))</f>
        <v/>
      </c>
      <c r="CJ145" s="31" t="n">
        <f aca="false">SUM(AY145:BI145)</f>
        <v>1912708073</v>
      </c>
      <c r="CK145" s="31" t="str">
        <f aca="false">IFERROR(INDEX(設定!$F$61:$F$106,MATCH(B145,設定!$B$61:$B$106,0)),"Y")</f>
        <v>Y</v>
      </c>
      <c r="CL145" s="31" t="str">
        <f aca="false">IFERROR(INDEX(設定!$G$61:$G$106,MATCH(B145,設定!$B$61:$B$106,0)),"外郭型")</f>
        <v>市局型</v>
      </c>
      <c r="CM145" s="33" t="str">
        <f aca="false">A145&amp;"|"&amp;B145</f>
        <v>2026-06 賞与|市長部局</v>
      </c>
      <c r="CN145" s="34" t="str">
        <f aca="false">IFERROR(INDEX(設定!$D$61:$D$106,MATCH(B145,設定!$B$61:$B$106,0)),"Y")</f>
        <v>N</v>
      </c>
      <c r="CO145" s="34" t="str">
        <f aca="false">IFERROR(INDEX(設定!$D$20:$D$34,MATCH(A145,設定!$A$20:$A$34,0))&amp;"","")</f>
        <v/>
      </c>
    </row>
    <row r="146" customFormat="false" ht="15" hidden="true" customHeight="false" outlineLevel="0" collapsed="false">
      <c r="A146" s="22" t="s">
        <v>218</v>
      </c>
      <c r="B146" s="23" t="s">
        <v>169</v>
      </c>
      <c r="C146" s="10" t="str">
        <f aca="false">IF(G146="","未受領",IF(G146="なし","報告なし",IF(AL146="○","起票済",IF(OR(AK146="○",F146="一致",F146="入金不要"),"入金確認済","受領済"))))</f>
        <v>入金確認済</v>
      </c>
      <c r="D146" s="10" t="str">
        <f aca="false">IF(OR(G146="",G146="なし"),"―",IF(CN146="N","対象外",IF(AND(I146="",J146="",K146=""),"標報未入力",IF(CH146&gt;=設定!$B$4,"要確認","問題なし"))))</f>
        <v>標報未入力</v>
      </c>
      <c r="E146" s="24" t="str">
        <f aca="false">IF(OR(G146="",G146="なし",CI146="",CJ146=0),"―",IF(CJ146=CI146,"前月同額",IF(CI146=0,"―",IF(ABS(CJ146/CI146-1)&gt;=設定!$B$5,"変動大 "&amp;TEXT(CJ146/CI146-1,"+0%;-0%"),"〇"))))</f>
        <v>―</v>
      </c>
      <c r="F146" s="10" t="str">
        <f aca="false">IF(OR(G146="",G146="なし"),"―",IF(CJ146=0,"入金不要",IF(COUNT(AD146,AF146,AH146,AJ146)=0,IF(AK146="○","手動確認","未入金"),IF(AND(N(AD146)=AC146,IF(AE146="",TRUE(),N(AF146)=AE146),IF(AG146="",TRUE(),N(AH146)=AG146),IF(AI146="",TRUE(),N(AJ146)=AI146)),"一致","不一致"))))</f>
        <v>手動確認</v>
      </c>
      <c r="G146" s="25" t="s">
        <v>167</v>
      </c>
      <c r="H146" s="26"/>
      <c r="I146" s="27"/>
      <c r="J146" s="27"/>
      <c r="K146" s="27"/>
      <c r="L146" s="27"/>
      <c r="M146" s="27"/>
      <c r="N146" s="27"/>
      <c r="O146" s="27" t="n">
        <v>30049885</v>
      </c>
      <c r="P146" s="27" t="n">
        <v>2463025</v>
      </c>
      <c r="Q146" s="27" t="n">
        <v>17587186</v>
      </c>
      <c r="R146" s="27" t="n">
        <v>1915098</v>
      </c>
      <c r="S146" s="27" t="n">
        <v>389813</v>
      </c>
      <c r="T146" s="27" t="n">
        <v>43316678</v>
      </c>
      <c r="U146" s="27" t="n">
        <v>2463110</v>
      </c>
      <c r="V146" s="27" t="n">
        <v>28886</v>
      </c>
      <c r="W146" s="27" t="n">
        <v>17885974</v>
      </c>
      <c r="X146" s="27" t="n">
        <v>1915206</v>
      </c>
      <c r="Y146" s="27" t="n">
        <v>389997</v>
      </c>
      <c r="Z146" s="27"/>
      <c r="AA146" s="10" t="str">
        <f aca="false">IFERROR(INDEX(設定!$E$61:$E$106,MATCH(B146,設定!$B$61:$B$106,0)),"合算")</f>
        <v>合算</v>
      </c>
      <c r="AB146" s="28"/>
      <c r="AC146" s="29" t="n">
        <f aca="false">IF(OR(G146="",G146="なし"),"",IF(AA146="合算",CJ146+N(Z146),IF(AA146="掛金・負担金別",(AY146+AZ146+BD146+BF146+BH146),SUM(AY146:BC146))))</f>
        <v>118404858</v>
      </c>
      <c r="AD146" s="27"/>
      <c r="AE146" s="29" t="str">
        <f aca="false">IF(OR(G146="",G146="なし"),"",IF(AA146="掛金・負担金別",(BA146+BB146+BC146+BE146+BG146+BI146+N(Z146)),IF(AA146="経理区分別",BD146+BE146,"")))</f>
        <v/>
      </c>
      <c r="AF146" s="27"/>
      <c r="AG146" s="29" t="str">
        <f aca="false">IF(OR(G146="",G146="なし"),"",IF(AA146="経理区分別",BF146+BG146,""))</f>
        <v/>
      </c>
      <c r="AH146" s="27"/>
      <c r="AI146" s="29" t="str">
        <f aca="false">IF(OR(G146="",G146="なし"),"",IF(AA146="経理区分別",BH146+BI146+N(Z146),""))</f>
        <v/>
      </c>
      <c r="AJ146" s="27"/>
      <c r="AK146" s="26" t="s">
        <v>168</v>
      </c>
      <c r="AL146" s="26"/>
      <c r="AM146" s="30"/>
      <c r="AN146" s="31"/>
      <c r="AO146" s="31"/>
      <c r="AP146" s="31"/>
      <c r="AQ146" s="31"/>
      <c r="AR146" s="31"/>
      <c r="AS146" s="31"/>
      <c r="AT146" s="31"/>
      <c r="AU146" s="31"/>
      <c r="AV146" s="31"/>
      <c r="AW146" s="31"/>
      <c r="AX146" s="31"/>
      <c r="AY146" s="31" t="n">
        <f aca="false">IF($G146="",AN146,O146)</f>
        <v>30049885</v>
      </c>
      <c r="AZ146" s="31" t="n">
        <f aca="false">IF($G146="",AO146,P146)</f>
        <v>2463025</v>
      </c>
      <c r="BA146" s="31" t="n">
        <f aca="false">IF($G146="",AP146,T146)</f>
        <v>43316678</v>
      </c>
      <c r="BB146" s="31" t="n">
        <f aca="false">IF($G146="",AQ146,U146)</f>
        <v>2463110</v>
      </c>
      <c r="BC146" s="31" t="n">
        <f aca="false">IF($G146="",AR146,V146)</f>
        <v>28886</v>
      </c>
      <c r="BD146" s="31" t="n">
        <f aca="false">IF($G146="",AS146,Q146)</f>
        <v>17587186</v>
      </c>
      <c r="BE146" s="31" t="n">
        <f aca="false">IF($G146="",AT146,W146)</f>
        <v>17885974</v>
      </c>
      <c r="BF146" s="31" t="n">
        <f aca="false">IF($G146="",AU146,R146)</f>
        <v>1915098</v>
      </c>
      <c r="BG146" s="31" t="n">
        <f aca="false">IF($G146="",AV146,X146)</f>
        <v>1915206</v>
      </c>
      <c r="BH146" s="31" t="n">
        <f aca="false">IF($G146="",AW146,S146)</f>
        <v>389813</v>
      </c>
      <c r="BI146" s="31" t="n">
        <f aca="false">IF($G146="",AX146,Y146)</f>
        <v>389997</v>
      </c>
      <c r="BJ146" s="31" t="n">
        <f aca="false">IF(CK146="N",BR146,ROUNDDOWN((I146-L146)*設定!$B$10/1000,0)+ROUNDDOWN((I146-L146)*設定!$B$11/1000,0))</f>
        <v>0</v>
      </c>
      <c r="BK146" s="31" t="n">
        <f aca="false">ROUNDDOWN((I146-L146)*設定!$C$10/1000,0)+ROUNDDOWN((I146-L146)*設定!$C$11/1000,0)+ROUNDDOWN(I146*設定!$C$12/1000,0)+IF(CL146="市局型",ROUNDDOWN(I146*設定!$C$16/1000,0),0)</f>
        <v>0</v>
      </c>
      <c r="BL146" s="31" t="n">
        <f aca="false">IF(CK146="N",BT146,ROUNDDOWN((J146-M146)*設定!$B$13/1000,0))</f>
        <v>0</v>
      </c>
      <c r="BM146" s="31" t="n">
        <f aca="false">ROUNDDOWN((J146-M146)*設定!$C$13/1000,0)+IF(CL146="市局型",ROUNDDOWN(J146*設定!$C$17/1000,0),0)</f>
        <v>0</v>
      </c>
      <c r="BN146" s="31" t="n">
        <f aca="false">IF(CK146="N",BV146,ROUNDDOWN((K146-N146)*設定!$B$14/1000,0))</f>
        <v>0</v>
      </c>
      <c r="BO146" s="31" t="n">
        <f aca="false">ROUNDDOWN((K146-N146)*設定!$C$14/1000,0)</f>
        <v>0</v>
      </c>
      <c r="BP146" s="31" t="n">
        <f aca="false">IF(CK146="N",BX146,ROUNDDOWN((J146-M146)*設定!$B$15/1000,0))</f>
        <v>0</v>
      </c>
      <c r="BQ146" s="31" t="n">
        <f aca="false">ROUNDDOWN((J146-M146)*設定!$C$15/1000,0)</f>
        <v>0</v>
      </c>
      <c r="BR146" s="31" t="n">
        <f aca="false">O146+P146</f>
        <v>32512910</v>
      </c>
      <c r="BS146" s="31" t="n">
        <f aca="false">T146+U146+V146</f>
        <v>45808674</v>
      </c>
      <c r="BT146" s="31" t="n">
        <f aca="false">Q146</f>
        <v>17587186</v>
      </c>
      <c r="BU146" s="31" t="n">
        <f aca="false">W146</f>
        <v>17885974</v>
      </c>
      <c r="BV146" s="31" t="n">
        <f aca="false">R146</f>
        <v>1915098</v>
      </c>
      <c r="BW146" s="31" t="n">
        <f aca="false">X146</f>
        <v>1915206</v>
      </c>
      <c r="BX146" s="31" t="n">
        <f aca="false">S146</f>
        <v>389813</v>
      </c>
      <c r="BY146" s="31" t="n">
        <f aca="false">Y146</f>
        <v>389997</v>
      </c>
      <c r="BZ146" s="32" t="n">
        <f aca="false">IF(BJ146=0,IF(BR146=0,0,1),(BR146-BJ146)/BJ146)</f>
        <v>1</v>
      </c>
      <c r="CA146" s="32" t="n">
        <f aca="false">IF(BK146=0,IF(BS146=0,0,1),(BS146-BK146)/BK146)</f>
        <v>1</v>
      </c>
      <c r="CB146" s="32" t="n">
        <f aca="false">IF(BL146=0,IF(BT146=0,0,1),(BT146-BL146)/BL146)</f>
        <v>1</v>
      </c>
      <c r="CC146" s="32" t="n">
        <f aca="false">IF(BM146=0,IF(BU146=0,0,1),(BU146-BM146)/BM146)</f>
        <v>1</v>
      </c>
      <c r="CD146" s="32" t="n">
        <f aca="false">IF(BN146=0,IF(BV146=0,0,1),(BV146-BN146)/BN146)</f>
        <v>1</v>
      </c>
      <c r="CE146" s="32" t="n">
        <f aca="false">IF(BO146=0,IF(BW146=0,0,1),(BW146-BO146)/BO146)</f>
        <v>1</v>
      </c>
      <c r="CF146" s="32" t="n">
        <f aca="false">IF(BP146=0,IF(BX146=0,0,1),(BX146-BP146)/BP146)</f>
        <v>1</v>
      </c>
      <c r="CG146" s="32" t="n">
        <f aca="false">IF(BQ146=0,IF(BY146=0,0,1),(BY146-BQ146)/BQ146)</f>
        <v>1</v>
      </c>
      <c r="CH146" s="32" t="n">
        <f aca="false">MAX(MAX(BZ146:CG146),-MIN(BZ146:CG146))</f>
        <v>1</v>
      </c>
      <c r="CI146" s="31" t="str">
        <f aca="false">IF(CO146="","",SUMIFS($CJ$7:$CJ$696,$A$7:$A$696,CO146,$B$7:$B$696,B146))</f>
        <v/>
      </c>
      <c r="CJ146" s="31" t="n">
        <f aca="false">SUM(AY146:BI146)</f>
        <v>118404858</v>
      </c>
      <c r="CK146" s="31" t="str">
        <f aca="false">IFERROR(INDEX(設定!$F$61:$F$106,MATCH(B146,設定!$B$61:$B$106,0)),"Y")</f>
        <v>Y</v>
      </c>
      <c r="CL146" s="31" t="str">
        <f aca="false">IFERROR(INDEX(設定!$G$61:$G$106,MATCH(B146,設定!$B$61:$B$106,0)),"外郭型")</f>
        <v>市局型</v>
      </c>
      <c r="CM146" s="33" t="str">
        <f aca="false">A146&amp;"|"&amp;B146</f>
        <v>2026-06 賞与|下水道局</v>
      </c>
      <c r="CN146" s="34" t="str">
        <f aca="false">IFERROR(INDEX(設定!$D$61:$D$106,MATCH(B146,設定!$B$61:$B$106,0)),"Y")</f>
        <v>Y</v>
      </c>
      <c r="CO146" s="34" t="str">
        <f aca="false">IFERROR(INDEX(設定!$D$20:$D$34,MATCH(A146,設定!$A$20:$A$34,0))&amp;"","")</f>
        <v/>
      </c>
    </row>
    <row r="147" customFormat="false" ht="15" hidden="true" customHeight="false" outlineLevel="0" collapsed="false">
      <c r="A147" s="22" t="s">
        <v>218</v>
      </c>
      <c r="B147" s="23" t="s">
        <v>170</v>
      </c>
      <c r="C147" s="10" t="str">
        <f aca="false">IF(G147="","未受領",IF(G147="なし","報告なし",IF(AL147="○","起票済",IF(OR(AK147="○",F147="一致",F147="入金不要"),"入金確認済","受領済"))))</f>
        <v>入金確認済</v>
      </c>
      <c r="D147" s="10" t="str">
        <f aca="false">IF(OR(G147="",G147="なし"),"―",IF(CN147="N","対象外",IF(AND(I147="",J147="",K147=""),"標報未入力",IF(CH147&gt;=設定!$B$4,"要確認","問題なし"))))</f>
        <v>対象外</v>
      </c>
      <c r="E147" s="24" t="str">
        <f aca="false">IF(OR(G147="",G147="なし",CI147="",CJ147=0),"―",IF(CJ147=CI147,"前月同額",IF(CI147=0,"―",IF(ABS(CJ147/CI147-1)&gt;=設定!$B$5,"変動大 "&amp;TEXT(CJ147/CI147-1,"+0%;-0%"),"〇"))))</f>
        <v>―</v>
      </c>
      <c r="F147" s="10" t="str">
        <f aca="false">IF(OR(G147="",G147="なし"),"―",IF(CJ147=0,"入金不要",IF(COUNT(AD147,AF147,AH147,AJ147)=0,IF(AK147="○","手動確認","未入金"),IF(AND(N(AD147)=AC147,IF(AE147="",TRUE(),N(AF147)=AE147),IF(AG147="",TRUE(),N(AH147)=AG147),IF(AI147="",TRUE(),N(AJ147)=AI147)),"一致","不一致"))))</f>
        <v>手動確認</v>
      </c>
      <c r="G147" s="25" t="s">
        <v>167</v>
      </c>
      <c r="H147" s="26"/>
      <c r="I147" s="27"/>
      <c r="J147" s="27"/>
      <c r="K147" s="27"/>
      <c r="L147" s="27"/>
      <c r="M147" s="27"/>
      <c r="N147" s="27"/>
      <c r="O147" s="27" t="n">
        <v>99026244</v>
      </c>
      <c r="P147" s="27" t="n">
        <v>8116572</v>
      </c>
      <c r="Q147" s="27" t="n">
        <v>57373599</v>
      </c>
      <c r="R147" s="27" t="n">
        <v>3928389</v>
      </c>
      <c r="S147" s="27" t="n">
        <v>1271613</v>
      </c>
      <c r="T147" s="27" t="n">
        <v>142153458</v>
      </c>
      <c r="U147" s="27" t="n">
        <v>8083623</v>
      </c>
      <c r="V147" s="27" t="n">
        <v>94244</v>
      </c>
      <c r="W147" s="27" t="n">
        <v>58113751</v>
      </c>
      <c r="X147" s="27" t="n">
        <v>3900877</v>
      </c>
      <c r="Y147" s="27" t="n">
        <v>1267175</v>
      </c>
      <c r="Z147" s="27"/>
      <c r="AA147" s="10" t="str">
        <f aca="false">IFERROR(INDEX(設定!$E$61:$E$106,MATCH(B147,設定!$B$61:$B$106,0)),"合算")</f>
        <v>合算</v>
      </c>
      <c r="AB147" s="28"/>
      <c r="AC147" s="29" t="n">
        <f aca="false">IF(OR(G147="",G147="なし"),"",IF(AA147="合算",CJ147+N(Z147),IF(AA147="掛金・負担金別",(AY147+AZ147+BD147+BF147+BH147),SUM(AY147:BC147))))</f>
        <v>383329545</v>
      </c>
      <c r="AD147" s="27"/>
      <c r="AE147" s="29" t="str">
        <f aca="false">IF(OR(G147="",G147="なし"),"",IF(AA147="掛金・負担金別",(BA147+BB147+BC147+BE147+BG147+BI147+N(Z147)),IF(AA147="経理区分別",BD147+BE147,"")))</f>
        <v/>
      </c>
      <c r="AF147" s="27"/>
      <c r="AG147" s="29" t="str">
        <f aca="false">IF(OR(G147="",G147="なし"),"",IF(AA147="経理区分別",BF147+BG147,""))</f>
        <v/>
      </c>
      <c r="AH147" s="27"/>
      <c r="AI147" s="29" t="str">
        <f aca="false">IF(OR(G147="",G147="なし"),"",IF(AA147="経理区分別",BH147+BI147+N(Z147),""))</f>
        <v/>
      </c>
      <c r="AJ147" s="27"/>
      <c r="AK147" s="26" t="s">
        <v>168</v>
      </c>
      <c r="AL147" s="26"/>
      <c r="AM147" s="30"/>
      <c r="AN147" s="31"/>
      <c r="AO147" s="31"/>
      <c r="AP147" s="31"/>
      <c r="AQ147" s="31"/>
      <c r="AR147" s="31"/>
      <c r="AS147" s="31"/>
      <c r="AT147" s="31"/>
      <c r="AU147" s="31"/>
      <c r="AV147" s="31"/>
      <c r="AW147" s="31"/>
      <c r="AX147" s="31"/>
      <c r="AY147" s="31" t="n">
        <f aca="false">IF($G147="",AN147,O147)</f>
        <v>99026244</v>
      </c>
      <c r="AZ147" s="31" t="n">
        <f aca="false">IF($G147="",AO147,P147)</f>
        <v>8116572</v>
      </c>
      <c r="BA147" s="31" t="n">
        <f aca="false">IF($G147="",AP147,T147)</f>
        <v>142153458</v>
      </c>
      <c r="BB147" s="31" t="n">
        <f aca="false">IF($G147="",AQ147,U147)</f>
        <v>8083623</v>
      </c>
      <c r="BC147" s="31" t="n">
        <f aca="false">IF($G147="",AR147,V147)</f>
        <v>94244</v>
      </c>
      <c r="BD147" s="31" t="n">
        <f aca="false">IF($G147="",AS147,Q147)</f>
        <v>57373599</v>
      </c>
      <c r="BE147" s="31" t="n">
        <f aca="false">IF($G147="",AT147,W147)</f>
        <v>58113751</v>
      </c>
      <c r="BF147" s="31" t="n">
        <f aca="false">IF($G147="",AU147,R147)</f>
        <v>3928389</v>
      </c>
      <c r="BG147" s="31" t="n">
        <f aca="false">IF($G147="",AV147,X147)</f>
        <v>3900877</v>
      </c>
      <c r="BH147" s="31" t="n">
        <f aca="false">IF($G147="",AW147,S147)</f>
        <v>1271613</v>
      </c>
      <c r="BI147" s="31" t="n">
        <f aca="false">IF($G147="",AX147,Y147)</f>
        <v>1267175</v>
      </c>
      <c r="BJ147" s="31" t="n">
        <f aca="false">IF(CK147="N",BR147,ROUNDDOWN((I147-L147)*設定!$B$10/1000,0)+ROUNDDOWN((I147-L147)*設定!$B$11/1000,0))</f>
        <v>0</v>
      </c>
      <c r="BK147" s="31" t="n">
        <f aca="false">ROUNDDOWN((I147-L147)*設定!$C$10/1000,0)+ROUNDDOWN((I147-L147)*設定!$C$11/1000,0)+ROUNDDOWN(I147*設定!$C$12/1000,0)+IF(CL147="市局型",ROUNDDOWN(I147*設定!$C$16/1000,0),0)</f>
        <v>0</v>
      </c>
      <c r="BL147" s="31" t="n">
        <f aca="false">IF(CK147="N",BT147,ROUNDDOWN((J147-M147)*設定!$B$13/1000,0))</f>
        <v>0</v>
      </c>
      <c r="BM147" s="31" t="n">
        <f aca="false">ROUNDDOWN((J147-M147)*設定!$C$13/1000,0)+IF(CL147="市局型",ROUNDDOWN(J147*設定!$C$17/1000,0),0)</f>
        <v>0</v>
      </c>
      <c r="BN147" s="31" t="n">
        <f aca="false">IF(CK147="N",BV147,ROUNDDOWN((K147-N147)*設定!$B$14/1000,0))</f>
        <v>0</v>
      </c>
      <c r="BO147" s="31" t="n">
        <f aca="false">ROUNDDOWN((K147-N147)*設定!$C$14/1000,0)</f>
        <v>0</v>
      </c>
      <c r="BP147" s="31" t="n">
        <f aca="false">IF(CK147="N",BX147,ROUNDDOWN((J147-M147)*設定!$B$15/1000,0))</f>
        <v>0</v>
      </c>
      <c r="BQ147" s="31" t="n">
        <f aca="false">ROUNDDOWN((J147-M147)*設定!$C$15/1000,0)</f>
        <v>0</v>
      </c>
      <c r="BR147" s="31" t="n">
        <f aca="false">O147+P147</f>
        <v>107142816</v>
      </c>
      <c r="BS147" s="31" t="n">
        <f aca="false">T147+U147+V147</f>
        <v>150331325</v>
      </c>
      <c r="BT147" s="31" t="n">
        <f aca="false">Q147</f>
        <v>57373599</v>
      </c>
      <c r="BU147" s="31" t="n">
        <f aca="false">W147</f>
        <v>58113751</v>
      </c>
      <c r="BV147" s="31" t="n">
        <f aca="false">R147</f>
        <v>3928389</v>
      </c>
      <c r="BW147" s="31" t="n">
        <f aca="false">X147</f>
        <v>3900877</v>
      </c>
      <c r="BX147" s="31" t="n">
        <f aca="false">S147</f>
        <v>1271613</v>
      </c>
      <c r="BY147" s="31" t="n">
        <f aca="false">Y147</f>
        <v>1267175</v>
      </c>
      <c r="BZ147" s="32" t="n">
        <f aca="false">IF(BJ147=0,IF(BR147=0,0,1),(BR147-BJ147)/BJ147)</f>
        <v>1</v>
      </c>
      <c r="CA147" s="32" t="n">
        <f aca="false">IF(BK147=0,IF(BS147=0,0,1),(BS147-BK147)/BK147)</f>
        <v>1</v>
      </c>
      <c r="CB147" s="32" t="n">
        <f aca="false">IF(BL147=0,IF(BT147=0,0,1),(BT147-BL147)/BL147)</f>
        <v>1</v>
      </c>
      <c r="CC147" s="32" t="n">
        <f aca="false">IF(BM147=0,IF(BU147=0,0,1),(BU147-BM147)/BM147)</f>
        <v>1</v>
      </c>
      <c r="CD147" s="32" t="n">
        <f aca="false">IF(BN147=0,IF(BV147=0,0,1),(BV147-BN147)/BN147)</f>
        <v>1</v>
      </c>
      <c r="CE147" s="32" t="n">
        <f aca="false">IF(BO147=0,IF(BW147=0,0,1),(BW147-BO147)/BO147)</f>
        <v>1</v>
      </c>
      <c r="CF147" s="32" t="n">
        <f aca="false">IF(BP147=0,IF(BX147=0,0,1),(BX147-BP147)/BP147)</f>
        <v>1</v>
      </c>
      <c r="CG147" s="32" t="n">
        <f aca="false">IF(BQ147=0,IF(BY147=0,0,1),(BY147-BQ147)/BQ147)</f>
        <v>1</v>
      </c>
      <c r="CH147" s="32" t="n">
        <f aca="false">MAX(MAX(BZ147:CG147),-MIN(BZ147:CG147))</f>
        <v>1</v>
      </c>
      <c r="CI147" s="31" t="str">
        <f aca="false">IF(CO147="","",SUMIFS($CJ$7:$CJ$696,$A$7:$A$696,CO147,$B$7:$B$696,B147))</f>
        <v/>
      </c>
      <c r="CJ147" s="31" t="n">
        <f aca="false">SUM(AY147:BI147)</f>
        <v>383329545</v>
      </c>
      <c r="CK147" s="31" t="str">
        <f aca="false">IFERROR(INDEX(設定!$F$61:$F$106,MATCH(B147,設定!$B$61:$B$106,0)),"Y")</f>
        <v>Y</v>
      </c>
      <c r="CL147" s="31" t="str">
        <f aca="false">IFERROR(INDEX(設定!$G$61:$G$106,MATCH(B147,設定!$B$61:$B$106,0)),"外郭型")</f>
        <v>市局型</v>
      </c>
      <c r="CM147" s="33" t="str">
        <f aca="false">A147&amp;"|"&amp;B147</f>
        <v>2026-06 賞与|消防局</v>
      </c>
      <c r="CN147" s="34" t="str">
        <f aca="false">IFERROR(INDEX(設定!$D$61:$D$106,MATCH(B147,設定!$B$61:$B$106,0)),"Y")</f>
        <v>N</v>
      </c>
      <c r="CO147" s="34" t="str">
        <f aca="false">IFERROR(INDEX(設定!$D$20:$D$34,MATCH(A147,設定!$A$20:$A$34,0))&amp;"","")</f>
        <v/>
      </c>
    </row>
    <row r="148" customFormat="false" ht="15" hidden="true" customHeight="false" outlineLevel="0" collapsed="false">
      <c r="A148" s="22" t="s">
        <v>218</v>
      </c>
      <c r="B148" s="23" t="s">
        <v>171</v>
      </c>
      <c r="C148" s="10" t="str">
        <f aca="false">IF(G148="","未受領",IF(G148="なし","報告なし",IF(AL148="○","起票済",IF(OR(AK148="○",F148="一致",F148="入金不要"),"入金確認済","受領済"))))</f>
        <v>入金確認済</v>
      </c>
      <c r="D148" s="10" t="str">
        <f aca="false">IF(OR(G148="",G148="なし"),"―",IF(CN148="N","対象外",IF(AND(I148="",J148="",K148=""),"標報未入力",IF(CH148&gt;=設定!$B$4,"要確認","問題なし"))))</f>
        <v>標報未入力</v>
      </c>
      <c r="E148" s="24" t="str">
        <f aca="false">IF(OR(G148="",G148="なし",CI148="",CJ148=0),"―",IF(CJ148=CI148,"前月同額",IF(CI148=0,"―",IF(ABS(CJ148/CI148-1)&gt;=設定!$B$5,"変動大 "&amp;TEXT(CJ148/CI148-1,"+0%;-0%"),"〇"))))</f>
        <v>―</v>
      </c>
      <c r="F148" s="10" t="str">
        <f aca="false">IF(OR(G148="",G148="なし"),"―",IF(CJ148=0,"入金不要",IF(COUNT(AD148,AF148,AH148,AJ148)=0,IF(AK148="○","手動確認","未入金"),IF(AND(N(AD148)=AC148,IF(AE148="",TRUE(),N(AF148)=AE148),IF(AG148="",TRUE(),N(AH148)=AG148),IF(AI148="",TRUE(),N(AJ148)=AI148)),"一致","不一致"))))</f>
        <v>手動確認</v>
      </c>
      <c r="G148" s="25" t="s">
        <v>167</v>
      </c>
      <c r="H148" s="26"/>
      <c r="I148" s="27"/>
      <c r="J148" s="27"/>
      <c r="K148" s="27"/>
      <c r="L148" s="27"/>
      <c r="M148" s="27"/>
      <c r="N148" s="27"/>
      <c r="O148" s="27" t="n">
        <v>3574348</v>
      </c>
      <c r="P148" s="27" t="n">
        <v>292972</v>
      </c>
      <c r="Q148" s="27" t="n">
        <v>2038752</v>
      </c>
      <c r="R148" s="27" t="n">
        <v>205225</v>
      </c>
      <c r="S148" s="27" t="n">
        <v>45191</v>
      </c>
      <c r="T148" s="27" t="n">
        <v>5142387</v>
      </c>
      <c r="U148" s="27" t="n">
        <v>292980</v>
      </c>
      <c r="V148" s="27" t="n">
        <v>3415</v>
      </c>
      <c r="W148" s="27" t="n">
        <v>2073179</v>
      </c>
      <c r="X148" s="27" t="n">
        <v>205234</v>
      </c>
      <c r="Y148" s="27" t="n">
        <v>45210</v>
      </c>
      <c r="Z148" s="27"/>
      <c r="AA148" s="10" t="str">
        <f aca="false">IFERROR(INDEX(設定!$E$61:$E$106,MATCH(B148,設定!$B$61:$B$106,0)),"合算")</f>
        <v>合算</v>
      </c>
      <c r="AB148" s="28"/>
      <c r="AC148" s="29" t="n">
        <f aca="false">IF(OR(G148="",G148="なし"),"",IF(AA148="合算",CJ148+N(Z148),IF(AA148="掛金・負担金別",(AY148+AZ148+BD148+BF148+BH148),SUM(AY148:BC148))))</f>
        <v>13918893</v>
      </c>
      <c r="AD148" s="27"/>
      <c r="AE148" s="29" t="str">
        <f aca="false">IF(OR(G148="",G148="なし"),"",IF(AA148="掛金・負担金別",(BA148+BB148+BC148+BE148+BG148+BI148+N(Z148)),IF(AA148="経理区分別",BD148+BE148,"")))</f>
        <v/>
      </c>
      <c r="AF148" s="27"/>
      <c r="AG148" s="29" t="str">
        <f aca="false">IF(OR(G148="",G148="なし"),"",IF(AA148="経理区分別",BF148+BG148,""))</f>
        <v/>
      </c>
      <c r="AH148" s="27"/>
      <c r="AI148" s="29" t="str">
        <f aca="false">IF(OR(G148="",G148="なし"),"",IF(AA148="経理区分別",BH148+BI148+N(Z148),""))</f>
        <v/>
      </c>
      <c r="AJ148" s="27"/>
      <c r="AK148" s="26" t="s">
        <v>168</v>
      </c>
      <c r="AL148" s="26"/>
      <c r="AM148" s="30"/>
      <c r="AN148" s="31"/>
      <c r="AO148" s="31"/>
      <c r="AP148" s="31"/>
      <c r="AQ148" s="31"/>
      <c r="AR148" s="31"/>
      <c r="AS148" s="31"/>
      <c r="AT148" s="31"/>
      <c r="AU148" s="31"/>
      <c r="AV148" s="31"/>
      <c r="AW148" s="31"/>
      <c r="AX148" s="31"/>
      <c r="AY148" s="31" t="n">
        <f aca="false">IF($G148="",AN148,O148)</f>
        <v>3574348</v>
      </c>
      <c r="AZ148" s="31" t="n">
        <f aca="false">IF($G148="",AO148,P148)</f>
        <v>292972</v>
      </c>
      <c r="BA148" s="31" t="n">
        <f aca="false">IF($G148="",AP148,T148)</f>
        <v>5142387</v>
      </c>
      <c r="BB148" s="31" t="n">
        <f aca="false">IF($G148="",AQ148,U148)</f>
        <v>292980</v>
      </c>
      <c r="BC148" s="31" t="n">
        <f aca="false">IF($G148="",AR148,V148)</f>
        <v>3415</v>
      </c>
      <c r="BD148" s="31" t="n">
        <f aca="false">IF($G148="",AS148,Q148)</f>
        <v>2038752</v>
      </c>
      <c r="BE148" s="31" t="n">
        <f aca="false">IF($G148="",AT148,W148)</f>
        <v>2073179</v>
      </c>
      <c r="BF148" s="31" t="n">
        <f aca="false">IF($G148="",AU148,R148)</f>
        <v>205225</v>
      </c>
      <c r="BG148" s="31" t="n">
        <f aca="false">IF($G148="",AV148,X148)</f>
        <v>205234</v>
      </c>
      <c r="BH148" s="31" t="n">
        <f aca="false">IF($G148="",AW148,S148)</f>
        <v>45191</v>
      </c>
      <c r="BI148" s="31" t="n">
        <f aca="false">IF($G148="",AX148,Y148)</f>
        <v>45210</v>
      </c>
      <c r="BJ148" s="31" t="n">
        <f aca="false">IF(CK148="N",BR148,ROUNDDOWN((I148-L148)*設定!$B$10/1000,0)+ROUNDDOWN((I148-L148)*設定!$B$11/1000,0))</f>
        <v>0</v>
      </c>
      <c r="BK148" s="31" t="n">
        <f aca="false">ROUNDDOWN((I148-L148)*設定!$C$10/1000,0)+ROUNDDOWN((I148-L148)*設定!$C$11/1000,0)+ROUNDDOWN(I148*設定!$C$12/1000,0)+IF(CL148="市局型",ROUNDDOWN(I148*設定!$C$16/1000,0),0)</f>
        <v>0</v>
      </c>
      <c r="BL148" s="31" t="n">
        <f aca="false">IF(CK148="N",BT148,ROUNDDOWN((J148-M148)*設定!$B$13/1000,0))</f>
        <v>0</v>
      </c>
      <c r="BM148" s="31" t="n">
        <f aca="false">ROUNDDOWN((J148-M148)*設定!$C$13/1000,0)+IF(CL148="市局型",ROUNDDOWN(J148*設定!$C$17/1000,0),0)</f>
        <v>0</v>
      </c>
      <c r="BN148" s="31" t="n">
        <f aca="false">IF(CK148="N",BV148,ROUNDDOWN((K148-N148)*設定!$B$14/1000,0))</f>
        <v>0</v>
      </c>
      <c r="BO148" s="31" t="n">
        <f aca="false">ROUNDDOWN((K148-N148)*設定!$C$14/1000,0)</f>
        <v>0</v>
      </c>
      <c r="BP148" s="31" t="n">
        <f aca="false">IF(CK148="N",BX148,ROUNDDOWN((J148-M148)*設定!$B$15/1000,0))</f>
        <v>0</v>
      </c>
      <c r="BQ148" s="31" t="n">
        <f aca="false">ROUNDDOWN((J148-M148)*設定!$C$15/1000,0)</f>
        <v>0</v>
      </c>
      <c r="BR148" s="31" t="n">
        <f aca="false">O148+P148</f>
        <v>3867320</v>
      </c>
      <c r="BS148" s="31" t="n">
        <f aca="false">T148+U148+V148</f>
        <v>5438782</v>
      </c>
      <c r="BT148" s="31" t="n">
        <f aca="false">Q148</f>
        <v>2038752</v>
      </c>
      <c r="BU148" s="31" t="n">
        <f aca="false">W148</f>
        <v>2073179</v>
      </c>
      <c r="BV148" s="31" t="n">
        <f aca="false">R148</f>
        <v>205225</v>
      </c>
      <c r="BW148" s="31" t="n">
        <f aca="false">X148</f>
        <v>205234</v>
      </c>
      <c r="BX148" s="31" t="n">
        <f aca="false">S148</f>
        <v>45191</v>
      </c>
      <c r="BY148" s="31" t="n">
        <f aca="false">Y148</f>
        <v>45210</v>
      </c>
      <c r="BZ148" s="32" t="n">
        <f aca="false">IF(BJ148=0,IF(BR148=0,0,1),(BR148-BJ148)/BJ148)</f>
        <v>1</v>
      </c>
      <c r="CA148" s="32" t="n">
        <f aca="false">IF(BK148=0,IF(BS148=0,0,1),(BS148-BK148)/BK148)</f>
        <v>1</v>
      </c>
      <c r="CB148" s="32" t="n">
        <f aca="false">IF(BL148=0,IF(BT148=0,0,1),(BT148-BL148)/BL148)</f>
        <v>1</v>
      </c>
      <c r="CC148" s="32" t="n">
        <f aca="false">IF(BM148=0,IF(BU148=0,0,1),(BU148-BM148)/BM148)</f>
        <v>1</v>
      </c>
      <c r="CD148" s="32" t="n">
        <f aca="false">IF(BN148=0,IF(BV148=0,0,1),(BV148-BN148)/BN148)</f>
        <v>1</v>
      </c>
      <c r="CE148" s="32" t="n">
        <f aca="false">IF(BO148=0,IF(BW148=0,0,1),(BW148-BO148)/BO148)</f>
        <v>1</v>
      </c>
      <c r="CF148" s="32" t="n">
        <f aca="false">IF(BP148=0,IF(BX148=0,0,1),(BX148-BP148)/BP148)</f>
        <v>1</v>
      </c>
      <c r="CG148" s="32" t="n">
        <f aca="false">IF(BQ148=0,IF(BY148=0,0,1),(BY148-BQ148)/BQ148)</f>
        <v>1</v>
      </c>
      <c r="CH148" s="32" t="n">
        <f aca="false">MAX(MAX(BZ148:CG148),-MIN(BZ148:CG148))</f>
        <v>1</v>
      </c>
      <c r="CI148" s="31" t="str">
        <f aca="false">IF(CO148="","",SUMIFS($CJ$7:$CJ$696,$A$7:$A$696,CO148,$B$7:$B$696,B148))</f>
        <v/>
      </c>
      <c r="CJ148" s="31" t="n">
        <f aca="false">SUM(AY148:BI148)</f>
        <v>13918893</v>
      </c>
      <c r="CK148" s="31" t="str">
        <f aca="false">IFERROR(INDEX(設定!$F$61:$F$106,MATCH(B148,設定!$B$61:$B$106,0)),"Y")</f>
        <v>Y</v>
      </c>
      <c r="CL148" s="31" t="str">
        <f aca="false">IFERROR(INDEX(設定!$G$61:$G$106,MATCH(B148,設定!$B$61:$B$106,0)),"外郭型")</f>
        <v>市局型</v>
      </c>
      <c r="CM148" s="33" t="str">
        <f aca="false">A148&amp;"|"&amp;B148</f>
        <v>2026-06 賞与|議会事務局</v>
      </c>
      <c r="CN148" s="34" t="str">
        <f aca="false">IFERROR(INDEX(設定!$D$61:$D$106,MATCH(B148,設定!$B$61:$B$106,0)),"Y")</f>
        <v>Y</v>
      </c>
      <c r="CO148" s="34" t="str">
        <f aca="false">IFERROR(INDEX(設定!$D$20:$D$34,MATCH(A148,設定!$A$20:$A$34,0))&amp;"","")</f>
        <v/>
      </c>
    </row>
    <row r="149" customFormat="false" ht="15" hidden="true" customHeight="false" outlineLevel="0" collapsed="false">
      <c r="A149" s="22" t="s">
        <v>218</v>
      </c>
      <c r="B149" s="23" t="s">
        <v>172</v>
      </c>
      <c r="C149" s="10" t="str">
        <f aca="false">IF(G149="","未受領",IF(G149="なし","報告なし",IF(AL149="○","起票済",IF(OR(AK149="○",F149="一致",F149="入金不要"),"入金確認済","受領済"))))</f>
        <v>入金確認済</v>
      </c>
      <c r="D149" s="10" t="str">
        <f aca="false">IF(OR(G149="",G149="なし"),"―",IF(CN149="N","対象外",IF(AND(I149="",J149="",K149=""),"標報未入力",IF(CH149&gt;=設定!$B$4,"要確認","問題なし"))))</f>
        <v>対象外</v>
      </c>
      <c r="E149" s="24" t="str">
        <f aca="false">IF(OR(G149="",G149="なし",CI149="",CJ149=0),"―",IF(CJ149=CI149,"前月同額",IF(CI149=0,"―",IF(ABS(CJ149/CI149-1)&gt;=設定!$B$5,"変動大 "&amp;TEXT(CJ149/CI149-1,"+0%;-0%"),"〇"))))</f>
        <v>―</v>
      </c>
      <c r="F149" s="10" t="str">
        <f aca="false">IF(OR(G149="",G149="なし"),"―",IF(CJ149=0,"入金不要",IF(COUNT(AD149,AF149,AH149,AJ149)=0,IF(AK149="○","手動確認","未入金"),IF(AND(N(AD149)=AC149,IF(AE149="",TRUE(),N(AF149)=AE149),IF(AG149="",TRUE(),N(AH149)=AG149),IF(AI149="",TRUE(),N(AJ149)=AI149)),"一致","不一致"))))</f>
        <v>手動確認</v>
      </c>
      <c r="G149" s="25" t="s">
        <v>167</v>
      </c>
      <c r="H149" s="26"/>
      <c r="I149" s="27"/>
      <c r="J149" s="27"/>
      <c r="K149" s="27"/>
      <c r="L149" s="27"/>
      <c r="M149" s="27"/>
      <c r="N149" s="27"/>
      <c r="O149" s="27" t="n">
        <v>48022328</v>
      </c>
      <c r="P149" s="27" t="n">
        <v>3936104</v>
      </c>
      <c r="Q149" s="27" t="n">
        <v>45278832</v>
      </c>
      <c r="R149" s="27" t="n">
        <v>5364033</v>
      </c>
      <c r="S149" s="27" t="n">
        <v>1003307</v>
      </c>
      <c r="T149" s="27" t="n">
        <v>69053418</v>
      </c>
      <c r="U149" s="27" t="n">
        <v>3936268</v>
      </c>
      <c r="V149" s="27" t="n">
        <v>45799</v>
      </c>
      <c r="W149" s="27" t="n">
        <v>46042286</v>
      </c>
      <c r="X149" s="27" t="n">
        <v>5364524</v>
      </c>
      <c r="Y149" s="27" t="n">
        <v>1003988</v>
      </c>
      <c r="Z149" s="27"/>
      <c r="AA149" s="10" t="str">
        <f aca="false">IFERROR(INDEX(設定!$E$61:$E$106,MATCH(B149,設定!$B$61:$B$106,0)),"合算")</f>
        <v>合算</v>
      </c>
      <c r="AB149" s="28"/>
      <c r="AC149" s="29" t="n">
        <f aca="false">IF(OR(G149="",G149="なし"),"",IF(AA149="合算",CJ149+N(Z149),IF(AA149="掛金・負担金別",(AY149+AZ149+BD149+BF149+BH149),SUM(AY149:BC149))))</f>
        <v>229050887</v>
      </c>
      <c r="AD149" s="27"/>
      <c r="AE149" s="29" t="str">
        <f aca="false">IF(OR(G149="",G149="なし"),"",IF(AA149="掛金・負担金別",(BA149+BB149+BC149+BE149+BG149+BI149+N(Z149)),IF(AA149="経理区分別",BD149+BE149,"")))</f>
        <v/>
      </c>
      <c r="AF149" s="27"/>
      <c r="AG149" s="29" t="str">
        <f aca="false">IF(OR(G149="",G149="なし"),"",IF(AA149="経理区分別",BF149+BG149,""))</f>
        <v/>
      </c>
      <c r="AH149" s="27"/>
      <c r="AI149" s="29" t="str">
        <f aca="false">IF(OR(G149="",G149="なし"),"",IF(AA149="経理区分別",BH149+BI149+N(Z149),""))</f>
        <v/>
      </c>
      <c r="AJ149" s="27"/>
      <c r="AK149" s="26" t="s">
        <v>168</v>
      </c>
      <c r="AL149" s="26"/>
      <c r="AM149" s="30"/>
      <c r="AN149" s="31"/>
      <c r="AO149" s="31"/>
      <c r="AP149" s="31"/>
      <c r="AQ149" s="31"/>
      <c r="AR149" s="31"/>
      <c r="AS149" s="31"/>
      <c r="AT149" s="31"/>
      <c r="AU149" s="31"/>
      <c r="AV149" s="31"/>
      <c r="AW149" s="31"/>
      <c r="AX149" s="31"/>
      <c r="AY149" s="31" t="n">
        <f aca="false">IF($G149="",AN149,O149)</f>
        <v>48022328</v>
      </c>
      <c r="AZ149" s="31" t="n">
        <f aca="false">IF($G149="",AO149,P149)</f>
        <v>3936104</v>
      </c>
      <c r="BA149" s="31" t="n">
        <f aca="false">IF($G149="",AP149,T149)</f>
        <v>69053418</v>
      </c>
      <c r="BB149" s="31" t="n">
        <f aca="false">IF($G149="",AQ149,U149)</f>
        <v>3936268</v>
      </c>
      <c r="BC149" s="31" t="n">
        <f aca="false">IF($G149="",AR149,V149)</f>
        <v>45799</v>
      </c>
      <c r="BD149" s="31" t="n">
        <f aca="false">IF($G149="",AS149,Q149)</f>
        <v>45278832</v>
      </c>
      <c r="BE149" s="31" t="n">
        <f aca="false">IF($G149="",AT149,W149)</f>
        <v>46042286</v>
      </c>
      <c r="BF149" s="31" t="n">
        <f aca="false">IF($G149="",AU149,R149)</f>
        <v>5364033</v>
      </c>
      <c r="BG149" s="31" t="n">
        <f aca="false">IF($G149="",AV149,X149)</f>
        <v>5364524</v>
      </c>
      <c r="BH149" s="31" t="n">
        <f aca="false">IF($G149="",AW149,S149)</f>
        <v>1003307</v>
      </c>
      <c r="BI149" s="31" t="n">
        <f aca="false">IF($G149="",AX149,Y149)</f>
        <v>1003988</v>
      </c>
      <c r="BJ149" s="31" t="n">
        <f aca="false">IF(CK149="N",BR149,ROUNDDOWN((I149-L149)*設定!$B$10/1000,0)+ROUNDDOWN((I149-L149)*設定!$B$11/1000,0))</f>
        <v>0</v>
      </c>
      <c r="BK149" s="31" t="n">
        <f aca="false">ROUNDDOWN((I149-L149)*設定!$C$10/1000,0)+ROUNDDOWN((I149-L149)*設定!$C$11/1000,0)+ROUNDDOWN(I149*設定!$C$12/1000,0)+IF(CL149="市局型",ROUNDDOWN(I149*設定!$C$16/1000,0),0)</f>
        <v>0</v>
      </c>
      <c r="BL149" s="31" t="n">
        <f aca="false">IF(CK149="N",BT149,ROUNDDOWN((J149-M149)*設定!$B$13/1000,0))</f>
        <v>0</v>
      </c>
      <c r="BM149" s="31" t="n">
        <f aca="false">ROUNDDOWN((J149-M149)*設定!$C$13/1000,0)+IF(CL149="市局型",ROUNDDOWN(J149*設定!$C$17/1000,0),0)</f>
        <v>0</v>
      </c>
      <c r="BN149" s="31" t="n">
        <f aca="false">IF(CK149="N",BV149,ROUNDDOWN((K149-N149)*設定!$B$14/1000,0))</f>
        <v>0</v>
      </c>
      <c r="BO149" s="31" t="n">
        <f aca="false">ROUNDDOWN((K149-N149)*設定!$C$14/1000,0)</f>
        <v>0</v>
      </c>
      <c r="BP149" s="31" t="n">
        <f aca="false">IF(CK149="N",BX149,ROUNDDOWN((J149-M149)*設定!$B$15/1000,0))</f>
        <v>0</v>
      </c>
      <c r="BQ149" s="31" t="n">
        <f aca="false">ROUNDDOWN((J149-M149)*設定!$C$15/1000,0)</f>
        <v>0</v>
      </c>
      <c r="BR149" s="31" t="n">
        <f aca="false">O149+P149</f>
        <v>51958432</v>
      </c>
      <c r="BS149" s="31" t="n">
        <f aca="false">T149+U149+V149</f>
        <v>73035485</v>
      </c>
      <c r="BT149" s="31" t="n">
        <f aca="false">Q149</f>
        <v>45278832</v>
      </c>
      <c r="BU149" s="31" t="n">
        <f aca="false">W149</f>
        <v>46042286</v>
      </c>
      <c r="BV149" s="31" t="n">
        <f aca="false">R149</f>
        <v>5364033</v>
      </c>
      <c r="BW149" s="31" t="n">
        <f aca="false">X149</f>
        <v>5364524</v>
      </c>
      <c r="BX149" s="31" t="n">
        <f aca="false">S149</f>
        <v>1003307</v>
      </c>
      <c r="BY149" s="31" t="n">
        <f aca="false">Y149</f>
        <v>1003988</v>
      </c>
      <c r="BZ149" s="32" t="n">
        <f aca="false">IF(BJ149=0,IF(BR149=0,0,1),(BR149-BJ149)/BJ149)</f>
        <v>1</v>
      </c>
      <c r="CA149" s="32" t="n">
        <f aca="false">IF(BK149=0,IF(BS149=0,0,1),(BS149-BK149)/BK149)</f>
        <v>1</v>
      </c>
      <c r="CB149" s="32" t="n">
        <f aca="false">IF(BL149=0,IF(BT149=0,0,1),(BT149-BL149)/BL149)</f>
        <v>1</v>
      </c>
      <c r="CC149" s="32" t="n">
        <f aca="false">IF(BM149=0,IF(BU149=0,0,1),(BU149-BM149)/BM149)</f>
        <v>1</v>
      </c>
      <c r="CD149" s="32" t="n">
        <f aca="false">IF(BN149=0,IF(BV149=0,0,1),(BV149-BN149)/BN149)</f>
        <v>1</v>
      </c>
      <c r="CE149" s="32" t="n">
        <f aca="false">IF(BO149=0,IF(BW149=0,0,1),(BW149-BO149)/BO149)</f>
        <v>1</v>
      </c>
      <c r="CF149" s="32" t="n">
        <f aca="false">IF(BP149=0,IF(BX149=0,0,1),(BX149-BP149)/BP149)</f>
        <v>1</v>
      </c>
      <c r="CG149" s="32" t="n">
        <f aca="false">IF(BQ149=0,IF(BY149=0,0,1),(BY149-BQ149)/BQ149)</f>
        <v>1</v>
      </c>
      <c r="CH149" s="32" t="n">
        <f aca="false">MAX(MAX(BZ149:CG149),-MIN(BZ149:CG149))</f>
        <v>1</v>
      </c>
      <c r="CI149" s="31" t="str">
        <f aca="false">IF(CO149="","",SUMIFS($CJ$7:$CJ$696,$A$7:$A$696,CO149,$B$7:$B$696,B149))</f>
        <v/>
      </c>
      <c r="CJ149" s="31" t="n">
        <f aca="false">SUM(AY149:BI149)</f>
        <v>229050887</v>
      </c>
      <c r="CK149" s="31" t="str">
        <f aca="false">IFERROR(INDEX(設定!$F$61:$F$106,MATCH(B149,設定!$B$61:$B$106,0)),"Y")</f>
        <v>Y</v>
      </c>
      <c r="CL149" s="31" t="str">
        <f aca="false">IFERROR(INDEX(設定!$G$61:$G$106,MATCH(B149,設定!$B$61:$B$106,0)),"外郭型")</f>
        <v>市局型</v>
      </c>
      <c r="CM149" s="33" t="str">
        <f aca="false">A149&amp;"|"&amp;B149</f>
        <v>2026-06 賞与|教育委員会（総務課）</v>
      </c>
      <c r="CN149" s="34" t="str">
        <f aca="false">IFERROR(INDEX(設定!$D$61:$D$106,MATCH(B149,設定!$B$61:$B$106,0)),"Y")</f>
        <v>N</v>
      </c>
      <c r="CO149" s="34" t="str">
        <f aca="false">IFERROR(INDEX(設定!$D$20:$D$34,MATCH(A149,設定!$A$20:$A$34,0))&amp;"","")</f>
        <v/>
      </c>
    </row>
    <row r="150" customFormat="false" ht="15" hidden="true" customHeight="false" outlineLevel="0" collapsed="false">
      <c r="A150" s="22" t="s">
        <v>218</v>
      </c>
      <c r="B150" s="23" t="s">
        <v>173</v>
      </c>
      <c r="C150" s="10" t="str">
        <f aca="false">IF(G150="","未受領",IF(G150="なし","報告なし",IF(AL150="○","起票済",IF(OR(AK150="○",F150="一致",F150="入金不要"),"入金確認済","受領済"))))</f>
        <v>入金確認済</v>
      </c>
      <c r="D150" s="10" t="str">
        <f aca="false">IF(OR(G150="",G150="なし"),"―",IF(CN150="N","対象外",IF(AND(I150="",J150="",K150=""),"標報未入力",IF(CH150&gt;=設定!$B$4,"要確認","問題なし"))))</f>
        <v>標報未入力</v>
      </c>
      <c r="E150" s="24" t="str">
        <f aca="false">IF(OR(G150="",G150="なし",CI150="",CJ150=0),"―",IF(CJ150=CI150,"前月同額",IF(CI150=0,"―",IF(ABS(CJ150/CI150-1)&gt;=設定!$B$5,"変動大 "&amp;TEXT(CJ150/CI150-1,"+0%;-0%"),"〇"))))</f>
        <v>―</v>
      </c>
      <c r="F150" s="10" t="str">
        <f aca="false">IF(OR(G150="",G150="なし"),"―",IF(CJ150=0,"入金不要",IF(COUNT(AD150,AF150,AH150,AJ150)=0,IF(AK150="○","手動確認","未入金"),IF(AND(N(AD150)=AC150,IF(AE150="",TRUE(),N(AF150)=AE150),IF(AG150="",TRUE(),N(AH150)=AG150),IF(AI150="",TRUE(),N(AJ150)=AI150)),"一致","不一致"))))</f>
        <v>手動確認</v>
      </c>
      <c r="G150" s="25" t="s">
        <v>167</v>
      </c>
      <c r="H150" s="26"/>
      <c r="I150" s="27"/>
      <c r="J150" s="27"/>
      <c r="K150" s="27"/>
      <c r="L150" s="27"/>
      <c r="M150" s="27"/>
      <c r="N150" s="27"/>
      <c r="O150" s="27" t="n">
        <v>578461</v>
      </c>
      <c r="P150" s="27" t="n">
        <v>47413</v>
      </c>
      <c r="Q150" s="27" t="n">
        <v>366231</v>
      </c>
      <c r="R150" s="27" t="n">
        <v>33305</v>
      </c>
      <c r="S150" s="27" t="n">
        <v>8117</v>
      </c>
      <c r="T150" s="27" t="n">
        <v>830710</v>
      </c>
      <c r="U150" s="27" t="n">
        <v>47415</v>
      </c>
      <c r="V150" s="27" t="n">
        <v>549</v>
      </c>
      <c r="W150" s="27" t="n">
        <v>372379</v>
      </c>
      <c r="X150" s="27" t="n">
        <v>33306</v>
      </c>
      <c r="Y150" s="27" t="n">
        <v>8121</v>
      </c>
      <c r="Z150" s="27"/>
      <c r="AA150" s="10" t="str">
        <f aca="false">IFERROR(INDEX(設定!$E$61:$E$106,MATCH(B150,設定!$B$61:$B$106,0)),"合算")</f>
        <v>合算</v>
      </c>
      <c r="AB150" s="28"/>
      <c r="AC150" s="29" t="n">
        <f aca="false">IF(OR(G150="",G150="なし"),"",IF(AA150="合算",CJ150+N(Z150),IF(AA150="掛金・負担金別",(AY150+AZ150+BD150+BF150+BH150),SUM(AY150:BC150))))</f>
        <v>2326007</v>
      </c>
      <c r="AD150" s="27"/>
      <c r="AE150" s="29" t="str">
        <f aca="false">IF(OR(G150="",G150="なし"),"",IF(AA150="掛金・負担金別",(BA150+BB150+BC150+BE150+BG150+BI150+N(Z150)),IF(AA150="経理区分別",BD150+BE150,"")))</f>
        <v/>
      </c>
      <c r="AF150" s="27"/>
      <c r="AG150" s="29" t="str">
        <f aca="false">IF(OR(G150="",G150="なし"),"",IF(AA150="経理区分別",BF150+BG150,""))</f>
        <v/>
      </c>
      <c r="AH150" s="27"/>
      <c r="AI150" s="29" t="str">
        <f aca="false">IF(OR(G150="",G150="なし"),"",IF(AA150="経理区分別",BH150+BI150+N(Z150),""))</f>
        <v/>
      </c>
      <c r="AJ150" s="27"/>
      <c r="AK150" s="26" t="s">
        <v>168</v>
      </c>
      <c r="AL150" s="26"/>
      <c r="AM150" s="30"/>
      <c r="AN150" s="31"/>
      <c r="AO150" s="31"/>
      <c r="AP150" s="31"/>
      <c r="AQ150" s="31"/>
      <c r="AR150" s="31"/>
      <c r="AS150" s="31"/>
      <c r="AT150" s="31"/>
      <c r="AU150" s="31"/>
      <c r="AV150" s="31"/>
      <c r="AW150" s="31"/>
      <c r="AX150" s="31"/>
      <c r="AY150" s="31" t="n">
        <f aca="false">IF($G150="",AN150,O150)</f>
        <v>578461</v>
      </c>
      <c r="AZ150" s="31" t="n">
        <f aca="false">IF($G150="",AO150,P150)</f>
        <v>47413</v>
      </c>
      <c r="BA150" s="31" t="n">
        <f aca="false">IF($G150="",AP150,T150)</f>
        <v>830710</v>
      </c>
      <c r="BB150" s="31" t="n">
        <f aca="false">IF($G150="",AQ150,U150)</f>
        <v>47415</v>
      </c>
      <c r="BC150" s="31" t="n">
        <f aca="false">IF($G150="",AR150,V150)</f>
        <v>549</v>
      </c>
      <c r="BD150" s="31" t="n">
        <f aca="false">IF($G150="",AS150,Q150)</f>
        <v>366231</v>
      </c>
      <c r="BE150" s="31" t="n">
        <f aca="false">IF($G150="",AT150,W150)</f>
        <v>372379</v>
      </c>
      <c r="BF150" s="31" t="n">
        <f aca="false">IF($G150="",AU150,R150)</f>
        <v>33305</v>
      </c>
      <c r="BG150" s="31" t="n">
        <f aca="false">IF($G150="",AV150,X150)</f>
        <v>33306</v>
      </c>
      <c r="BH150" s="31" t="n">
        <f aca="false">IF($G150="",AW150,S150)</f>
        <v>8117</v>
      </c>
      <c r="BI150" s="31" t="n">
        <f aca="false">IF($G150="",AX150,Y150)</f>
        <v>8121</v>
      </c>
      <c r="BJ150" s="31" t="n">
        <f aca="false">IF(CK150="N",BR150,ROUNDDOWN((I150-L150)*設定!$B$10/1000,0)+ROUNDDOWN((I150-L150)*設定!$B$11/1000,0))</f>
        <v>0</v>
      </c>
      <c r="BK150" s="31" t="n">
        <f aca="false">ROUNDDOWN((I150-L150)*設定!$C$10/1000,0)+ROUNDDOWN((I150-L150)*設定!$C$11/1000,0)+ROUNDDOWN(I150*設定!$C$12/1000,0)+IF(CL150="市局型",ROUNDDOWN(I150*設定!$C$16/1000,0),0)</f>
        <v>0</v>
      </c>
      <c r="BL150" s="31" t="n">
        <f aca="false">IF(CK150="N",BT150,ROUNDDOWN((J150-M150)*設定!$B$13/1000,0))</f>
        <v>0</v>
      </c>
      <c r="BM150" s="31" t="n">
        <f aca="false">ROUNDDOWN((J150-M150)*設定!$C$13/1000,0)+IF(CL150="市局型",ROUNDDOWN(J150*設定!$C$17/1000,0),0)</f>
        <v>0</v>
      </c>
      <c r="BN150" s="31" t="n">
        <f aca="false">IF(CK150="N",BV150,ROUNDDOWN((K150-N150)*設定!$B$14/1000,0))</f>
        <v>0</v>
      </c>
      <c r="BO150" s="31" t="n">
        <f aca="false">ROUNDDOWN((K150-N150)*設定!$C$14/1000,0)</f>
        <v>0</v>
      </c>
      <c r="BP150" s="31" t="n">
        <f aca="false">IF(CK150="N",BX150,ROUNDDOWN((J150-M150)*設定!$B$15/1000,0))</f>
        <v>0</v>
      </c>
      <c r="BQ150" s="31" t="n">
        <f aca="false">ROUNDDOWN((J150-M150)*設定!$C$15/1000,0)</f>
        <v>0</v>
      </c>
      <c r="BR150" s="31" t="n">
        <f aca="false">O150+P150</f>
        <v>625874</v>
      </c>
      <c r="BS150" s="31" t="n">
        <f aca="false">T150+U150+V150</f>
        <v>878674</v>
      </c>
      <c r="BT150" s="31" t="n">
        <f aca="false">Q150</f>
        <v>366231</v>
      </c>
      <c r="BU150" s="31" t="n">
        <f aca="false">W150</f>
        <v>372379</v>
      </c>
      <c r="BV150" s="31" t="n">
        <f aca="false">R150</f>
        <v>33305</v>
      </c>
      <c r="BW150" s="31" t="n">
        <f aca="false">X150</f>
        <v>33306</v>
      </c>
      <c r="BX150" s="31" t="n">
        <f aca="false">S150</f>
        <v>8117</v>
      </c>
      <c r="BY150" s="31" t="n">
        <f aca="false">Y150</f>
        <v>8121</v>
      </c>
      <c r="BZ150" s="32" t="n">
        <f aca="false">IF(BJ150=0,IF(BR150=0,0,1),(BR150-BJ150)/BJ150)</f>
        <v>1</v>
      </c>
      <c r="CA150" s="32" t="n">
        <f aca="false">IF(BK150=0,IF(BS150=0,0,1),(BS150-BK150)/BK150)</f>
        <v>1</v>
      </c>
      <c r="CB150" s="32" t="n">
        <f aca="false">IF(BL150=0,IF(BT150=0,0,1),(BT150-BL150)/BL150)</f>
        <v>1</v>
      </c>
      <c r="CC150" s="32" t="n">
        <f aca="false">IF(BM150=0,IF(BU150=0,0,1),(BU150-BM150)/BM150)</f>
        <v>1</v>
      </c>
      <c r="CD150" s="32" t="n">
        <f aca="false">IF(BN150=0,IF(BV150=0,0,1),(BV150-BN150)/BN150)</f>
        <v>1</v>
      </c>
      <c r="CE150" s="32" t="n">
        <f aca="false">IF(BO150=0,IF(BW150=0,0,1),(BW150-BO150)/BO150)</f>
        <v>1</v>
      </c>
      <c r="CF150" s="32" t="n">
        <f aca="false">IF(BP150=0,IF(BX150=0,0,1),(BX150-BP150)/BP150)</f>
        <v>1</v>
      </c>
      <c r="CG150" s="32" t="n">
        <f aca="false">IF(BQ150=0,IF(BY150=0,0,1),(BY150-BQ150)/BQ150)</f>
        <v>1</v>
      </c>
      <c r="CH150" s="32" t="n">
        <f aca="false">MAX(MAX(BZ150:CG150),-MIN(BZ150:CG150))</f>
        <v>1</v>
      </c>
      <c r="CI150" s="31" t="str">
        <f aca="false">IF(CO150="","",SUMIFS($CJ$7:$CJ$696,$A$7:$A$696,CO150,$B$7:$B$696,B150))</f>
        <v/>
      </c>
      <c r="CJ150" s="31" t="n">
        <f aca="false">SUM(AY150:BI150)</f>
        <v>2326007</v>
      </c>
      <c r="CK150" s="31" t="str">
        <f aca="false">IFERROR(INDEX(設定!$F$61:$F$106,MATCH(B150,設定!$B$61:$B$106,0)),"Y")</f>
        <v>Y</v>
      </c>
      <c r="CL150" s="31" t="str">
        <f aca="false">IFERROR(INDEX(設定!$G$61:$G$106,MATCH(B150,設定!$B$61:$B$106,0)),"外郭型")</f>
        <v>市局型</v>
      </c>
      <c r="CM150" s="33" t="str">
        <f aca="false">A150&amp;"|"&amp;B150</f>
        <v>2026-06 賞与|選挙管理委員会</v>
      </c>
      <c r="CN150" s="34" t="str">
        <f aca="false">IFERROR(INDEX(設定!$D$61:$D$106,MATCH(B150,設定!$B$61:$B$106,0)),"Y")</f>
        <v>Y</v>
      </c>
      <c r="CO150" s="34" t="str">
        <f aca="false">IFERROR(INDEX(設定!$D$20:$D$34,MATCH(A150,設定!$A$20:$A$34,0))&amp;"","")</f>
        <v/>
      </c>
    </row>
    <row r="151" customFormat="false" ht="15" hidden="true" customHeight="false" outlineLevel="0" collapsed="false">
      <c r="A151" s="22" t="s">
        <v>218</v>
      </c>
      <c r="B151" s="23" t="s">
        <v>174</v>
      </c>
      <c r="C151" s="10" t="str">
        <f aca="false">IF(G151="","未受領",IF(G151="なし","報告なし",IF(AL151="○","起票済",IF(OR(AK151="○",F151="一致",F151="入金不要"),"入金確認済","受領済"))))</f>
        <v>入金確認済</v>
      </c>
      <c r="D151" s="10" t="str">
        <f aca="false">IF(OR(G151="",G151="なし"),"―",IF(CN151="N","対象外",IF(AND(I151="",J151="",K151=""),"標報未入力",IF(CH151&gt;=設定!$B$4,"要確認","問題なし"))))</f>
        <v>標報未入力</v>
      </c>
      <c r="E151" s="24" t="str">
        <f aca="false">IF(OR(G151="",G151="なし",CI151="",CJ151=0),"―",IF(CJ151=CI151,"前月同額",IF(CI151=0,"―",IF(ABS(CJ151/CI151-1)&gt;=設定!$B$5,"変動大 "&amp;TEXT(CJ151/CI151-1,"+0%;-0%"),"〇"))))</f>
        <v>―</v>
      </c>
      <c r="F151" s="10" t="str">
        <f aca="false">IF(OR(G151="",G151="なし"),"―",IF(CJ151=0,"入金不要",IF(COUNT(AD151,AF151,AH151,AJ151)=0,IF(AK151="○","手動確認","未入金"),IF(AND(N(AD151)=AC151,IF(AE151="",TRUE(),N(AF151)=AE151),IF(AG151="",TRUE(),N(AH151)=AG151),IF(AI151="",TRUE(),N(AJ151)=AI151)),"一致","不一致"))))</f>
        <v>手動確認</v>
      </c>
      <c r="G151" s="25" t="s">
        <v>167</v>
      </c>
      <c r="H151" s="26"/>
      <c r="I151" s="27"/>
      <c r="J151" s="27"/>
      <c r="K151" s="27"/>
      <c r="L151" s="27"/>
      <c r="M151" s="27"/>
      <c r="N151" s="27"/>
      <c r="O151" s="27" t="n">
        <v>1213286</v>
      </c>
      <c r="P151" s="27" t="n">
        <v>99446</v>
      </c>
      <c r="Q151" s="27" t="n">
        <v>704926</v>
      </c>
      <c r="R151" s="27" t="n">
        <v>62454</v>
      </c>
      <c r="S151" s="27" t="n">
        <v>15625</v>
      </c>
      <c r="T151" s="27" t="n">
        <v>1742364</v>
      </c>
      <c r="U151" s="27" t="n">
        <v>99450</v>
      </c>
      <c r="V151" s="27" t="n">
        <v>1152</v>
      </c>
      <c r="W151" s="27" t="n">
        <v>716758</v>
      </c>
      <c r="X151" s="27" t="n">
        <v>62456</v>
      </c>
      <c r="Y151" s="27" t="n">
        <v>15631</v>
      </c>
      <c r="Z151" s="27"/>
      <c r="AA151" s="10" t="str">
        <f aca="false">IFERROR(INDEX(設定!$E$61:$E$106,MATCH(B151,設定!$B$61:$B$106,0)),"合算")</f>
        <v>合算</v>
      </c>
      <c r="AB151" s="28"/>
      <c r="AC151" s="29" t="n">
        <f aca="false">IF(OR(G151="",G151="なし"),"",IF(AA151="合算",CJ151+N(Z151),IF(AA151="掛金・負担金別",(AY151+AZ151+BD151+BF151+BH151),SUM(AY151:BC151))))</f>
        <v>4733548</v>
      </c>
      <c r="AD151" s="27"/>
      <c r="AE151" s="29" t="str">
        <f aca="false">IF(OR(G151="",G151="なし"),"",IF(AA151="掛金・負担金別",(BA151+BB151+BC151+BE151+BG151+BI151+N(Z151)),IF(AA151="経理区分別",BD151+BE151,"")))</f>
        <v/>
      </c>
      <c r="AF151" s="27"/>
      <c r="AG151" s="29" t="str">
        <f aca="false">IF(OR(G151="",G151="なし"),"",IF(AA151="経理区分別",BF151+BG151,""))</f>
        <v/>
      </c>
      <c r="AH151" s="27"/>
      <c r="AI151" s="29" t="str">
        <f aca="false">IF(OR(G151="",G151="なし"),"",IF(AA151="経理区分別",BH151+BI151+N(Z151),""))</f>
        <v/>
      </c>
      <c r="AJ151" s="27"/>
      <c r="AK151" s="26" t="s">
        <v>168</v>
      </c>
      <c r="AL151" s="26"/>
      <c r="AM151" s="30"/>
      <c r="AN151" s="31"/>
      <c r="AO151" s="31"/>
      <c r="AP151" s="31"/>
      <c r="AQ151" s="31"/>
      <c r="AR151" s="31"/>
      <c r="AS151" s="31"/>
      <c r="AT151" s="31"/>
      <c r="AU151" s="31"/>
      <c r="AV151" s="31"/>
      <c r="AW151" s="31"/>
      <c r="AX151" s="31"/>
      <c r="AY151" s="31" t="n">
        <f aca="false">IF($G151="",AN151,O151)</f>
        <v>1213286</v>
      </c>
      <c r="AZ151" s="31" t="n">
        <f aca="false">IF($G151="",AO151,P151)</f>
        <v>99446</v>
      </c>
      <c r="BA151" s="31" t="n">
        <f aca="false">IF($G151="",AP151,T151)</f>
        <v>1742364</v>
      </c>
      <c r="BB151" s="31" t="n">
        <f aca="false">IF($G151="",AQ151,U151)</f>
        <v>99450</v>
      </c>
      <c r="BC151" s="31" t="n">
        <f aca="false">IF($G151="",AR151,V151)</f>
        <v>1152</v>
      </c>
      <c r="BD151" s="31" t="n">
        <f aca="false">IF($G151="",AS151,Q151)</f>
        <v>704926</v>
      </c>
      <c r="BE151" s="31" t="n">
        <f aca="false">IF($G151="",AT151,W151)</f>
        <v>716758</v>
      </c>
      <c r="BF151" s="31" t="n">
        <f aca="false">IF($G151="",AU151,R151)</f>
        <v>62454</v>
      </c>
      <c r="BG151" s="31" t="n">
        <f aca="false">IF($G151="",AV151,X151)</f>
        <v>62456</v>
      </c>
      <c r="BH151" s="31" t="n">
        <f aca="false">IF($G151="",AW151,S151)</f>
        <v>15625</v>
      </c>
      <c r="BI151" s="31" t="n">
        <f aca="false">IF($G151="",AX151,Y151)</f>
        <v>15631</v>
      </c>
      <c r="BJ151" s="31" t="n">
        <f aca="false">IF(CK151="N",BR151,ROUNDDOWN((I151-L151)*設定!$B$10/1000,0)+ROUNDDOWN((I151-L151)*設定!$B$11/1000,0))</f>
        <v>0</v>
      </c>
      <c r="BK151" s="31" t="n">
        <f aca="false">ROUNDDOWN((I151-L151)*設定!$C$10/1000,0)+ROUNDDOWN((I151-L151)*設定!$C$11/1000,0)+ROUNDDOWN(I151*設定!$C$12/1000,0)+IF(CL151="市局型",ROUNDDOWN(I151*設定!$C$16/1000,0),0)</f>
        <v>0</v>
      </c>
      <c r="BL151" s="31" t="n">
        <f aca="false">IF(CK151="N",BT151,ROUNDDOWN((J151-M151)*設定!$B$13/1000,0))</f>
        <v>0</v>
      </c>
      <c r="BM151" s="31" t="n">
        <f aca="false">ROUNDDOWN((J151-M151)*設定!$C$13/1000,0)+IF(CL151="市局型",ROUNDDOWN(J151*設定!$C$17/1000,0),0)</f>
        <v>0</v>
      </c>
      <c r="BN151" s="31" t="n">
        <f aca="false">IF(CK151="N",BV151,ROUNDDOWN((K151-N151)*設定!$B$14/1000,0))</f>
        <v>0</v>
      </c>
      <c r="BO151" s="31" t="n">
        <f aca="false">ROUNDDOWN((K151-N151)*設定!$C$14/1000,0)</f>
        <v>0</v>
      </c>
      <c r="BP151" s="31" t="n">
        <f aca="false">IF(CK151="N",BX151,ROUNDDOWN((J151-M151)*設定!$B$15/1000,0))</f>
        <v>0</v>
      </c>
      <c r="BQ151" s="31" t="n">
        <f aca="false">ROUNDDOWN((J151-M151)*設定!$C$15/1000,0)</f>
        <v>0</v>
      </c>
      <c r="BR151" s="31" t="n">
        <f aca="false">O151+P151</f>
        <v>1312732</v>
      </c>
      <c r="BS151" s="31" t="n">
        <f aca="false">T151+U151+V151</f>
        <v>1842966</v>
      </c>
      <c r="BT151" s="31" t="n">
        <f aca="false">Q151</f>
        <v>704926</v>
      </c>
      <c r="BU151" s="31" t="n">
        <f aca="false">W151</f>
        <v>716758</v>
      </c>
      <c r="BV151" s="31" t="n">
        <f aca="false">R151</f>
        <v>62454</v>
      </c>
      <c r="BW151" s="31" t="n">
        <f aca="false">X151</f>
        <v>62456</v>
      </c>
      <c r="BX151" s="31" t="n">
        <f aca="false">S151</f>
        <v>15625</v>
      </c>
      <c r="BY151" s="31" t="n">
        <f aca="false">Y151</f>
        <v>15631</v>
      </c>
      <c r="BZ151" s="32" t="n">
        <f aca="false">IF(BJ151=0,IF(BR151=0,0,1),(BR151-BJ151)/BJ151)</f>
        <v>1</v>
      </c>
      <c r="CA151" s="32" t="n">
        <f aca="false">IF(BK151=0,IF(BS151=0,0,1),(BS151-BK151)/BK151)</f>
        <v>1</v>
      </c>
      <c r="CB151" s="32" t="n">
        <f aca="false">IF(BL151=0,IF(BT151=0,0,1),(BT151-BL151)/BL151)</f>
        <v>1</v>
      </c>
      <c r="CC151" s="32" t="n">
        <f aca="false">IF(BM151=0,IF(BU151=0,0,1),(BU151-BM151)/BM151)</f>
        <v>1</v>
      </c>
      <c r="CD151" s="32" t="n">
        <f aca="false">IF(BN151=0,IF(BV151=0,0,1),(BV151-BN151)/BN151)</f>
        <v>1</v>
      </c>
      <c r="CE151" s="32" t="n">
        <f aca="false">IF(BO151=0,IF(BW151=0,0,1),(BW151-BO151)/BO151)</f>
        <v>1</v>
      </c>
      <c r="CF151" s="32" t="n">
        <f aca="false">IF(BP151=0,IF(BX151=0,0,1),(BX151-BP151)/BP151)</f>
        <v>1</v>
      </c>
      <c r="CG151" s="32" t="n">
        <f aca="false">IF(BQ151=0,IF(BY151=0,0,1),(BY151-BQ151)/BQ151)</f>
        <v>1</v>
      </c>
      <c r="CH151" s="32" t="n">
        <f aca="false">MAX(MAX(BZ151:CG151),-MIN(BZ151:CG151))</f>
        <v>1</v>
      </c>
      <c r="CI151" s="31" t="str">
        <f aca="false">IF(CO151="","",SUMIFS($CJ$7:$CJ$696,$A$7:$A$696,CO151,$B$7:$B$696,B151))</f>
        <v/>
      </c>
      <c r="CJ151" s="31" t="n">
        <f aca="false">SUM(AY151:BI151)</f>
        <v>4733548</v>
      </c>
      <c r="CK151" s="31" t="str">
        <f aca="false">IFERROR(INDEX(設定!$F$61:$F$106,MATCH(B151,設定!$B$61:$B$106,0)),"Y")</f>
        <v>Y</v>
      </c>
      <c r="CL151" s="31" t="str">
        <f aca="false">IFERROR(INDEX(設定!$G$61:$G$106,MATCH(B151,設定!$B$61:$B$106,0)),"外郭型")</f>
        <v>市局型</v>
      </c>
      <c r="CM151" s="33" t="str">
        <f aca="false">A151&amp;"|"&amp;B151</f>
        <v>2026-06 賞与|人事委員会</v>
      </c>
      <c r="CN151" s="34" t="str">
        <f aca="false">IFERROR(INDEX(設定!$D$61:$D$106,MATCH(B151,設定!$B$61:$B$106,0)),"Y")</f>
        <v>Y</v>
      </c>
      <c r="CO151" s="34" t="str">
        <f aca="false">IFERROR(INDEX(設定!$D$20:$D$34,MATCH(A151,設定!$A$20:$A$34,0))&amp;"","")</f>
        <v/>
      </c>
    </row>
    <row r="152" customFormat="false" ht="15" hidden="true" customHeight="false" outlineLevel="0" collapsed="false">
      <c r="A152" s="22" t="s">
        <v>218</v>
      </c>
      <c r="B152" s="23" t="s">
        <v>175</v>
      </c>
      <c r="C152" s="10" t="str">
        <f aca="false">IF(G152="","未受領",IF(G152="なし","報告なし",IF(AL152="○","起票済",IF(OR(AK152="○",F152="一致",F152="入金不要"),"入金確認済","受領済"))))</f>
        <v>入金確認済</v>
      </c>
      <c r="D152" s="10" t="str">
        <f aca="false">IF(OR(G152="",G152="なし"),"―",IF(CN152="N","対象外",IF(AND(I152="",J152="",K152=""),"標報未入力",IF(CH152&gt;=設定!$B$4,"要確認","問題なし"))))</f>
        <v>標報未入力</v>
      </c>
      <c r="E152" s="24" t="str">
        <f aca="false">IF(OR(G152="",G152="なし",CI152="",CJ152=0),"―",IF(CJ152=CI152,"前月同額",IF(CI152=0,"―",IF(ABS(CJ152/CI152-1)&gt;=設定!$B$5,"変動大 "&amp;TEXT(CJ152/CI152-1,"+0%;-0%"),"〇"))))</f>
        <v>―</v>
      </c>
      <c r="F152" s="10" t="str">
        <f aca="false">IF(OR(G152="",G152="なし"),"―",IF(CJ152=0,"入金不要",IF(COUNT(AD152,AF152,AH152,AJ152)=0,IF(AK152="○","手動確認","未入金"),IF(AND(N(AD152)=AC152,IF(AE152="",TRUE(),N(AF152)=AE152),IF(AG152="",TRUE(),N(AH152)=AG152),IF(AI152="",TRUE(),N(AJ152)=AI152)),"一致","不一致"))))</f>
        <v>手動確認</v>
      </c>
      <c r="G152" s="25" t="s">
        <v>167</v>
      </c>
      <c r="H152" s="26"/>
      <c r="I152" s="27"/>
      <c r="J152" s="27"/>
      <c r="K152" s="27"/>
      <c r="L152" s="27"/>
      <c r="M152" s="27"/>
      <c r="N152" s="27"/>
      <c r="O152" s="27" t="n">
        <v>2716629</v>
      </c>
      <c r="P152" s="27" t="n">
        <v>222669</v>
      </c>
      <c r="Q152" s="27" t="n">
        <v>1597685</v>
      </c>
      <c r="R152" s="27" t="n">
        <v>221526</v>
      </c>
      <c r="S152" s="27" t="n">
        <v>35416</v>
      </c>
      <c r="T152" s="27" t="n">
        <v>3901266</v>
      </c>
      <c r="U152" s="27" t="n">
        <v>222675</v>
      </c>
      <c r="V152" s="27" t="n">
        <v>2579</v>
      </c>
      <c r="W152" s="27" t="n">
        <v>1624505</v>
      </c>
      <c r="X152" s="27" t="n">
        <v>221538</v>
      </c>
      <c r="Y152" s="27" t="n">
        <v>35428</v>
      </c>
      <c r="Z152" s="27"/>
      <c r="AA152" s="10" t="str">
        <f aca="false">IFERROR(INDEX(設定!$E$61:$E$106,MATCH(B152,設定!$B$61:$B$106,0)),"合算")</f>
        <v>合算</v>
      </c>
      <c r="AB152" s="28"/>
      <c r="AC152" s="29" t="n">
        <f aca="false">IF(OR(G152="",G152="なし"),"",IF(AA152="合算",CJ152+N(Z152),IF(AA152="掛金・負担金別",(AY152+AZ152+BD152+BF152+BH152),SUM(AY152:BC152))))</f>
        <v>10801916</v>
      </c>
      <c r="AD152" s="27"/>
      <c r="AE152" s="29" t="str">
        <f aca="false">IF(OR(G152="",G152="なし"),"",IF(AA152="掛金・負担金別",(BA152+BB152+BC152+BE152+BG152+BI152+N(Z152)),IF(AA152="経理区分別",BD152+BE152,"")))</f>
        <v/>
      </c>
      <c r="AF152" s="27"/>
      <c r="AG152" s="29" t="str">
        <f aca="false">IF(OR(G152="",G152="なし"),"",IF(AA152="経理区分別",BF152+BG152,""))</f>
        <v/>
      </c>
      <c r="AH152" s="27"/>
      <c r="AI152" s="29" t="str">
        <f aca="false">IF(OR(G152="",G152="なし"),"",IF(AA152="経理区分別",BH152+BI152+N(Z152),""))</f>
        <v/>
      </c>
      <c r="AJ152" s="27"/>
      <c r="AK152" s="26" t="s">
        <v>168</v>
      </c>
      <c r="AL152" s="26"/>
      <c r="AM152" s="30"/>
      <c r="AN152" s="31"/>
      <c r="AO152" s="31"/>
      <c r="AP152" s="31"/>
      <c r="AQ152" s="31"/>
      <c r="AR152" s="31"/>
      <c r="AS152" s="31"/>
      <c r="AT152" s="31"/>
      <c r="AU152" s="31"/>
      <c r="AV152" s="31"/>
      <c r="AW152" s="31"/>
      <c r="AX152" s="31"/>
      <c r="AY152" s="31" t="n">
        <f aca="false">IF($G152="",AN152,O152)</f>
        <v>2716629</v>
      </c>
      <c r="AZ152" s="31" t="n">
        <f aca="false">IF($G152="",AO152,P152)</f>
        <v>222669</v>
      </c>
      <c r="BA152" s="31" t="n">
        <f aca="false">IF($G152="",AP152,T152)</f>
        <v>3901266</v>
      </c>
      <c r="BB152" s="31" t="n">
        <f aca="false">IF($G152="",AQ152,U152)</f>
        <v>222675</v>
      </c>
      <c r="BC152" s="31" t="n">
        <f aca="false">IF($G152="",AR152,V152)</f>
        <v>2579</v>
      </c>
      <c r="BD152" s="31" t="n">
        <f aca="false">IF($G152="",AS152,Q152)</f>
        <v>1597685</v>
      </c>
      <c r="BE152" s="31" t="n">
        <f aca="false">IF($G152="",AT152,W152)</f>
        <v>1624505</v>
      </c>
      <c r="BF152" s="31" t="n">
        <f aca="false">IF($G152="",AU152,R152)</f>
        <v>221526</v>
      </c>
      <c r="BG152" s="31" t="n">
        <f aca="false">IF($G152="",AV152,X152)</f>
        <v>221538</v>
      </c>
      <c r="BH152" s="31" t="n">
        <f aca="false">IF($G152="",AW152,S152)</f>
        <v>35416</v>
      </c>
      <c r="BI152" s="31" t="n">
        <f aca="false">IF($G152="",AX152,Y152)</f>
        <v>35428</v>
      </c>
      <c r="BJ152" s="31" t="n">
        <f aca="false">IF(CK152="N",BR152,ROUNDDOWN((I152-L152)*設定!$B$10/1000,0)+ROUNDDOWN((I152-L152)*設定!$B$11/1000,0))</f>
        <v>0</v>
      </c>
      <c r="BK152" s="31" t="n">
        <f aca="false">ROUNDDOWN((I152-L152)*設定!$C$10/1000,0)+ROUNDDOWN((I152-L152)*設定!$C$11/1000,0)+ROUNDDOWN(I152*設定!$C$12/1000,0)+IF(CL152="市局型",ROUNDDOWN(I152*設定!$C$16/1000,0),0)</f>
        <v>0</v>
      </c>
      <c r="BL152" s="31" t="n">
        <f aca="false">IF(CK152="N",BT152,ROUNDDOWN((J152-M152)*設定!$B$13/1000,0))</f>
        <v>0</v>
      </c>
      <c r="BM152" s="31" t="n">
        <f aca="false">ROUNDDOWN((J152-M152)*設定!$C$13/1000,0)+IF(CL152="市局型",ROUNDDOWN(J152*設定!$C$17/1000,0),0)</f>
        <v>0</v>
      </c>
      <c r="BN152" s="31" t="n">
        <f aca="false">IF(CK152="N",BV152,ROUNDDOWN((K152-N152)*設定!$B$14/1000,0))</f>
        <v>0</v>
      </c>
      <c r="BO152" s="31" t="n">
        <f aca="false">ROUNDDOWN((K152-N152)*設定!$C$14/1000,0)</f>
        <v>0</v>
      </c>
      <c r="BP152" s="31" t="n">
        <f aca="false">IF(CK152="N",BX152,ROUNDDOWN((J152-M152)*設定!$B$15/1000,0))</f>
        <v>0</v>
      </c>
      <c r="BQ152" s="31" t="n">
        <f aca="false">ROUNDDOWN((J152-M152)*設定!$C$15/1000,0)</f>
        <v>0</v>
      </c>
      <c r="BR152" s="31" t="n">
        <f aca="false">O152+P152</f>
        <v>2939298</v>
      </c>
      <c r="BS152" s="31" t="n">
        <f aca="false">T152+U152+V152</f>
        <v>4126520</v>
      </c>
      <c r="BT152" s="31" t="n">
        <f aca="false">Q152</f>
        <v>1597685</v>
      </c>
      <c r="BU152" s="31" t="n">
        <f aca="false">W152</f>
        <v>1624505</v>
      </c>
      <c r="BV152" s="31" t="n">
        <f aca="false">R152</f>
        <v>221526</v>
      </c>
      <c r="BW152" s="31" t="n">
        <f aca="false">X152</f>
        <v>221538</v>
      </c>
      <c r="BX152" s="31" t="n">
        <f aca="false">S152</f>
        <v>35416</v>
      </c>
      <c r="BY152" s="31" t="n">
        <f aca="false">Y152</f>
        <v>35428</v>
      </c>
      <c r="BZ152" s="32" t="n">
        <f aca="false">IF(BJ152=0,IF(BR152=0,0,1),(BR152-BJ152)/BJ152)</f>
        <v>1</v>
      </c>
      <c r="CA152" s="32" t="n">
        <f aca="false">IF(BK152=0,IF(BS152=0,0,1),(BS152-BK152)/BK152)</f>
        <v>1</v>
      </c>
      <c r="CB152" s="32" t="n">
        <f aca="false">IF(BL152=0,IF(BT152=0,0,1),(BT152-BL152)/BL152)</f>
        <v>1</v>
      </c>
      <c r="CC152" s="32" t="n">
        <f aca="false">IF(BM152=0,IF(BU152=0,0,1),(BU152-BM152)/BM152)</f>
        <v>1</v>
      </c>
      <c r="CD152" s="32" t="n">
        <f aca="false">IF(BN152=0,IF(BV152=0,0,1),(BV152-BN152)/BN152)</f>
        <v>1</v>
      </c>
      <c r="CE152" s="32" t="n">
        <f aca="false">IF(BO152=0,IF(BW152=0,0,1),(BW152-BO152)/BO152)</f>
        <v>1</v>
      </c>
      <c r="CF152" s="32" t="n">
        <f aca="false">IF(BP152=0,IF(BX152=0,0,1),(BX152-BP152)/BP152)</f>
        <v>1</v>
      </c>
      <c r="CG152" s="32" t="n">
        <f aca="false">IF(BQ152=0,IF(BY152=0,0,1),(BY152-BQ152)/BQ152)</f>
        <v>1</v>
      </c>
      <c r="CH152" s="32" t="n">
        <f aca="false">MAX(MAX(BZ152:CG152),-MIN(BZ152:CG152))</f>
        <v>1</v>
      </c>
      <c r="CI152" s="31" t="str">
        <f aca="false">IF(CO152="","",SUMIFS($CJ$7:$CJ$696,$A$7:$A$696,CO152,$B$7:$B$696,B152))</f>
        <v/>
      </c>
      <c r="CJ152" s="31" t="n">
        <f aca="false">SUM(AY152:BI152)</f>
        <v>10801916</v>
      </c>
      <c r="CK152" s="31" t="str">
        <f aca="false">IFERROR(INDEX(設定!$F$61:$F$106,MATCH(B152,設定!$B$61:$B$106,0)),"Y")</f>
        <v>Y</v>
      </c>
      <c r="CL152" s="31" t="str">
        <f aca="false">IFERROR(INDEX(設定!$G$61:$G$106,MATCH(B152,設定!$B$61:$B$106,0)),"外郭型")</f>
        <v>市局型</v>
      </c>
      <c r="CM152" s="33" t="str">
        <f aca="false">A152&amp;"|"&amp;B152</f>
        <v>2026-06 賞与|監査事務局</v>
      </c>
      <c r="CN152" s="34" t="str">
        <f aca="false">IFERROR(INDEX(設定!$D$61:$D$106,MATCH(B152,設定!$B$61:$B$106,0)),"Y")</f>
        <v>Y</v>
      </c>
      <c r="CO152" s="34" t="str">
        <f aca="false">IFERROR(INDEX(設定!$D$20:$D$34,MATCH(A152,設定!$A$20:$A$34,0))&amp;"","")</f>
        <v/>
      </c>
    </row>
    <row r="153" customFormat="false" ht="15" hidden="true" customHeight="false" outlineLevel="0" collapsed="false">
      <c r="A153" s="22" t="s">
        <v>218</v>
      </c>
      <c r="B153" s="23" t="s">
        <v>176</v>
      </c>
      <c r="C153" s="10" t="str">
        <f aca="false">IF(G153="","未受領",IF(G153="なし","報告なし",IF(AL153="○","起票済",IF(OR(AK153="○",F153="一致",F153="入金不要"),"入金確認済","受領済"))))</f>
        <v>入金確認済</v>
      </c>
      <c r="D153" s="10" t="str">
        <f aca="false">IF(OR(G153="",G153="なし"),"―",IF(CN153="N","対象外",IF(AND(I153="",J153="",K153=""),"標報未入力",IF(CH153&gt;=設定!$B$4,"要確認","問題なし"))))</f>
        <v>標報未入力</v>
      </c>
      <c r="E153" s="24" t="str">
        <f aca="false">IF(OR(G153="",G153="なし",CI153="",CJ153=0),"―",IF(CJ153=CI153,"前月同額",IF(CI153=0,"―",IF(ABS(CJ153/CI153-1)&gt;=設定!$B$5,"変動大 "&amp;TEXT(CJ153/CI153-1,"+0%;-0%"),"〇"))))</f>
        <v>―</v>
      </c>
      <c r="F153" s="10" t="str">
        <f aca="false">IF(OR(G153="",G153="なし"),"―",IF(CJ153=0,"入金不要",IF(COUNT(AD153,AF153,AH153,AJ153)=0,IF(AK153="○","手動確認","未入金"),IF(AND(N(AD153)=AC153,IF(AE153="",TRUE(),N(AF153)=AE153),IF(AG153="",TRUE(),N(AH153)=AG153),IF(AI153="",TRUE(),N(AJ153)=AI153)),"一致","不一致"))))</f>
        <v>手動確認</v>
      </c>
      <c r="G153" s="25" t="s">
        <v>167</v>
      </c>
      <c r="H153" s="26"/>
      <c r="I153" s="27"/>
      <c r="J153" s="27"/>
      <c r="K153" s="27"/>
      <c r="L153" s="27"/>
      <c r="M153" s="27"/>
      <c r="N153" s="27"/>
      <c r="O153" s="27" t="n">
        <v>753501</v>
      </c>
      <c r="P153" s="27" t="n">
        <v>61761</v>
      </c>
      <c r="Q153" s="27" t="n">
        <v>587876</v>
      </c>
      <c r="R153" s="27" t="n">
        <v>66458</v>
      </c>
      <c r="S153" s="27" t="n">
        <v>13029</v>
      </c>
      <c r="T153" s="27" t="n">
        <v>1082078</v>
      </c>
      <c r="U153" s="27" t="n">
        <v>61762</v>
      </c>
      <c r="V153" s="27" t="n">
        <v>715</v>
      </c>
      <c r="W153" s="27" t="n">
        <v>597746</v>
      </c>
      <c r="X153" s="27" t="n">
        <v>66462</v>
      </c>
      <c r="Y153" s="27" t="n">
        <v>13036</v>
      </c>
      <c r="Z153" s="27"/>
      <c r="AA153" s="10" t="str">
        <f aca="false">IFERROR(INDEX(設定!$E$61:$E$106,MATCH(B153,設定!$B$61:$B$106,0)),"合算")</f>
        <v>合算</v>
      </c>
      <c r="AB153" s="28"/>
      <c r="AC153" s="29" t="n">
        <f aca="false">IF(OR(G153="",G153="なし"),"",IF(AA153="合算",CJ153+N(Z153),IF(AA153="掛金・負担金別",(AY153+AZ153+BD153+BF153+BH153),SUM(AY153:BC153))))</f>
        <v>3304424</v>
      </c>
      <c r="AD153" s="27"/>
      <c r="AE153" s="29" t="str">
        <f aca="false">IF(OR(G153="",G153="なし"),"",IF(AA153="掛金・負担金別",(BA153+BB153+BC153+BE153+BG153+BI153+N(Z153)),IF(AA153="経理区分別",BD153+BE153,"")))</f>
        <v/>
      </c>
      <c r="AF153" s="27"/>
      <c r="AG153" s="29" t="str">
        <f aca="false">IF(OR(G153="",G153="なし"),"",IF(AA153="経理区分別",BF153+BG153,""))</f>
        <v/>
      </c>
      <c r="AH153" s="27"/>
      <c r="AI153" s="29" t="str">
        <f aca="false">IF(OR(G153="",G153="なし"),"",IF(AA153="経理区分別",BH153+BI153+N(Z153),""))</f>
        <v/>
      </c>
      <c r="AJ153" s="27"/>
      <c r="AK153" s="26" t="s">
        <v>168</v>
      </c>
      <c r="AL153" s="26"/>
      <c r="AM153" s="30"/>
      <c r="AN153" s="31"/>
      <c r="AO153" s="31"/>
      <c r="AP153" s="31"/>
      <c r="AQ153" s="31"/>
      <c r="AR153" s="31"/>
      <c r="AS153" s="31"/>
      <c r="AT153" s="31"/>
      <c r="AU153" s="31"/>
      <c r="AV153" s="31"/>
      <c r="AW153" s="31"/>
      <c r="AX153" s="31"/>
      <c r="AY153" s="31" t="n">
        <f aca="false">IF($G153="",AN153,O153)</f>
        <v>753501</v>
      </c>
      <c r="AZ153" s="31" t="n">
        <f aca="false">IF($G153="",AO153,P153)</f>
        <v>61761</v>
      </c>
      <c r="BA153" s="31" t="n">
        <f aca="false">IF($G153="",AP153,T153)</f>
        <v>1082078</v>
      </c>
      <c r="BB153" s="31" t="n">
        <f aca="false">IF($G153="",AQ153,U153)</f>
        <v>61762</v>
      </c>
      <c r="BC153" s="31" t="n">
        <f aca="false">IF($G153="",AR153,V153)</f>
        <v>715</v>
      </c>
      <c r="BD153" s="31" t="n">
        <f aca="false">IF($G153="",AS153,Q153)</f>
        <v>587876</v>
      </c>
      <c r="BE153" s="31" t="n">
        <f aca="false">IF($G153="",AT153,W153)</f>
        <v>597746</v>
      </c>
      <c r="BF153" s="31" t="n">
        <f aca="false">IF($G153="",AU153,R153)</f>
        <v>66458</v>
      </c>
      <c r="BG153" s="31" t="n">
        <f aca="false">IF($G153="",AV153,X153)</f>
        <v>66462</v>
      </c>
      <c r="BH153" s="31" t="n">
        <f aca="false">IF($G153="",AW153,S153)</f>
        <v>13029</v>
      </c>
      <c r="BI153" s="31" t="n">
        <f aca="false">IF($G153="",AX153,Y153)</f>
        <v>13036</v>
      </c>
      <c r="BJ153" s="31" t="n">
        <f aca="false">IF(CK153="N",BR153,ROUNDDOWN((I153-L153)*設定!$B$10/1000,0)+ROUNDDOWN((I153-L153)*設定!$B$11/1000,0))</f>
        <v>0</v>
      </c>
      <c r="BK153" s="31" t="n">
        <f aca="false">ROUNDDOWN((I153-L153)*設定!$C$10/1000,0)+ROUNDDOWN((I153-L153)*設定!$C$11/1000,0)+ROUNDDOWN(I153*設定!$C$12/1000,0)+IF(CL153="市局型",ROUNDDOWN(I153*設定!$C$16/1000,0),0)</f>
        <v>0</v>
      </c>
      <c r="BL153" s="31" t="n">
        <f aca="false">IF(CK153="N",BT153,ROUNDDOWN((J153-M153)*設定!$B$13/1000,0))</f>
        <v>0</v>
      </c>
      <c r="BM153" s="31" t="n">
        <f aca="false">ROUNDDOWN((J153-M153)*設定!$C$13/1000,0)+IF(CL153="市局型",ROUNDDOWN(J153*設定!$C$17/1000,0),0)</f>
        <v>0</v>
      </c>
      <c r="BN153" s="31" t="n">
        <f aca="false">IF(CK153="N",BV153,ROUNDDOWN((K153-N153)*設定!$B$14/1000,0))</f>
        <v>0</v>
      </c>
      <c r="BO153" s="31" t="n">
        <f aca="false">ROUNDDOWN((K153-N153)*設定!$C$14/1000,0)</f>
        <v>0</v>
      </c>
      <c r="BP153" s="31" t="n">
        <f aca="false">IF(CK153="N",BX153,ROUNDDOWN((J153-M153)*設定!$B$15/1000,0))</f>
        <v>0</v>
      </c>
      <c r="BQ153" s="31" t="n">
        <f aca="false">ROUNDDOWN((J153-M153)*設定!$C$15/1000,0)</f>
        <v>0</v>
      </c>
      <c r="BR153" s="31" t="n">
        <f aca="false">O153+P153</f>
        <v>815262</v>
      </c>
      <c r="BS153" s="31" t="n">
        <f aca="false">T153+U153+V153</f>
        <v>1144555</v>
      </c>
      <c r="BT153" s="31" t="n">
        <f aca="false">Q153</f>
        <v>587876</v>
      </c>
      <c r="BU153" s="31" t="n">
        <f aca="false">W153</f>
        <v>597746</v>
      </c>
      <c r="BV153" s="31" t="n">
        <f aca="false">R153</f>
        <v>66458</v>
      </c>
      <c r="BW153" s="31" t="n">
        <f aca="false">X153</f>
        <v>66462</v>
      </c>
      <c r="BX153" s="31" t="n">
        <f aca="false">S153</f>
        <v>13029</v>
      </c>
      <c r="BY153" s="31" t="n">
        <f aca="false">Y153</f>
        <v>13036</v>
      </c>
      <c r="BZ153" s="32" t="n">
        <f aca="false">IF(BJ153=0,IF(BR153=0,0,1),(BR153-BJ153)/BJ153)</f>
        <v>1</v>
      </c>
      <c r="CA153" s="32" t="n">
        <f aca="false">IF(BK153=0,IF(BS153=0,0,1),(BS153-BK153)/BK153)</f>
        <v>1</v>
      </c>
      <c r="CB153" s="32" t="n">
        <f aca="false">IF(BL153=0,IF(BT153=0,0,1),(BT153-BL153)/BL153)</f>
        <v>1</v>
      </c>
      <c r="CC153" s="32" t="n">
        <f aca="false">IF(BM153=0,IF(BU153=0,0,1),(BU153-BM153)/BM153)</f>
        <v>1</v>
      </c>
      <c r="CD153" s="32" t="n">
        <f aca="false">IF(BN153=0,IF(BV153=0,0,1),(BV153-BN153)/BN153)</f>
        <v>1</v>
      </c>
      <c r="CE153" s="32" t="n">
        <f aca="false">IF(BO153=0,IF(BW153=0,0,1),(BW153-BO153)/BO153)</f>
        <v>1</v>
      </c>
      <c r="CF153" s="32" t="n">
        <f aca="false">IF(BP153=0,IF(BX153=0,0,1),(BX153-BP153)/BP153)</f>
        <v>1</v>
      </c>
      <c r="CG153" s="32" t="n">
        <f aca="false">IF(BQ153=0,IF(BY153=0,0,1),(BY153-BQ153)/BQ153)</f>
        <v>1</v>
      </c>
      <c r="CH153" s="32" t="n">
        <f aca="false">MAX(MAX(BZ153:CG153),-MIN(BZ153:CG153))</f>
        <v>1</v>
      </c>
      <c r="CI153" s="31" t="str">
        <f aca="false">IF(CO153="","",SUMIFS($CJ$7:$CJ$696,$A$7:$A$696,CO153,$B$7:$B$696,B153))</f>
        <v/>
      </c>
      <c r="CJ153" s="31" t="n">
        <f aca="false">SUM(AY153:BI153)</f>
        <v>3304424</v>
      </c>
      <c r="CK153" s="31" t="str">
        <f aca="false">IFERROR(INDEX(設定!$F$61:$F$106,MATCH(B153,設定!$B$61:$B$106,0)),"Y")</f>
        <v>Y</v>
      </c>
      <c r="CL153" s="31" t="str">
        <f aca="false">IFERROR(INDEX(設定!$G$61:$G$106,MATCH(B153,設定!$B$61:$B$106,0)),"外郭型")</f>
        <v>市局型</v>
      </c>
      <c r="CM153" s="33" t="str">
        <f aca="false">A153&amp;"|"&amp;B153</f>
        <v>2026-06 賞与|農業委員会</v>
      </c>
      <c r="CN153" s="34" t="str">
        <f aca="false">IFERROR(INDEX(設定!$D$61:$D$106,MATCH(B153,設定!$B$61:$B$106,0)),"Y")</f>
        <v>Y</v>
      </c>
      <c r="CO153" s="34" t="str">
        <f aca="false">IFERROR(INDEX(設定!$D$20:$D$34,MATCH(A153,設定!$A$20:$A$34,0))&amp;"","")</f>
        <v/>
      </c>
    </row>
    <row r="154" customFormat="false" ht="15" hidden="true" customHeight="false" outlineLevel="0" collapsed="false">
      <c r="A154" s="22" t="s">
        <v>218</v>
      </c>
      <c r="B154" s="23" t="s">
        <v>177</v>
      </c>
      <c r="C154" s="10" t="str">
        <f aca="false">IF(G154="","未受領",IF(G154="なし","報告なし",IF(AL154="○","起票済",IF(OR(AK154="○",F154="一致",F154="入金不要"),"入金確認済","受領済"))))</f>
        <v>入金確認済</v>
      </c>
      <c r="D154" s="10" t="str">
        <f aca="false">IF(OR(G154="",G154="なし"),"―",IF(CN154="N","対象外",IF(AND(I154="",J154="",K154=""),"標報未入力",IF(CH154&gt;=設定!$B$4,"要確認","問題なし"))))</f>
        <v>対象外</v>
      </c>
      <c r="E154" s="24" t="str">
        <f aca="false">IF(OR(G154="",G154="なし",CI154="",CJ154=0),"―",IF(CJ154=CI154,"前月同額",IF(CI154=0,"―",IF(ABS(CJ154/CI154-1)&gt;=設定!$B$5,"変動大 "&amp;TEXT(CJ154/CI154-1,"+0%;-0%"),"〇"))))</f>
        <v>―</v>
      </c>
      <c r="F154" s="10" t="str">
        <f aca="false">IF(OR(G154="",G154="なし"),"―",IF(CJ154=0,"入金不要",IF(COUNT(AD154,AF154,AH154,AJ154)=0,IF(AK154="○","手動確認","未入金"),IF(AND(N(AD154)=AC154,IF(AE154="",TRUE(),N(AF154)=AE154),IF(AG154="",TRUE(),N(AH154)=AG154),IF(AI154="",TRUE(),N(AJ154)=AI154)),"一致","不一致"))))</f>
        <v>手動確認</v>
      </c>
      <c r="G154" s="25" t="s">
        <v>167</v>
      </c>
      <c r="H154" s="26"/>
      <c r="I154" s="27"/>
      <c r="J154" s="27"/>
      <c r="K154" s="27"/>
      <c r="L154" s="27"/>
      <c r="M154" s="27"/>
      <c r="N154" s="27"/>
      <c r="O154" s="27" t="n">
        <v>46126839</v>
      </c>
      <c r="P154" s="27" t="n">
        <v>3780759</v>
      </c>
      <c r="Q154" s="27" t="n">
        <v>27231622</v>
      </c>
      <c r="R154" s="27" t="n">
        <v>2844074</v>
      </c>
      <c r="S154" s="27" t="n">
        <v>603556</v>
      </c>
      <c r="T154" s="27" t="n">
        <v>66545746</v>
      </c>
      <c r="U154" s="27" t="n">
        <v>3780898</v>
      </c>
      <c r="V154" s="27" t="n">
        <v>44463</v>
      </c>
      <c r="W154" s="27" t="n">
        <v>27695421</v>
      </c>
      <c r="X154" s="27" t="n">
        <v>2844233</v>
      </c>
      <c r="Y154" s="27" t="n">
        <v>603873</v>
      </c>
      <c r="Z154" s="27"/>
      <c r="AA154" s="10" t="str">
        <f aca="false">IFERROR(INDEX(設定!$E$61:$E$106,MATCH(B154,設定!$B$61:$B$106,0)),"合算")</f>
        <v>合算</v>
      </c>
      <c r="AB154" s="28"/>
      <c r="AC154" s="29" t="n">
        <f aca="false">IF(OR(G154="",G154="なし"),"",IF(AA154="合算",CJ154+N(Z154),IF(AA154="掛金・負担金別",(AY154+AZ154+BD154+BF154+BH154),SUM(AY154:BC154))))</f>
        <v>182101484</v>
      </c>
      <c r="AD154" s="27"/>
      <c r="AE154" s="29" t="str">
        <f aca="false">IF(OR(G154="",G154="なし"),"",IF(AA154="掛金・負担金別",(BA154+BB154+BC154+BE154+BG154+BI154+N(Z154)),IF(AA154="経理区分別",BD154+BE154,"")))</f>
        <v/>
      </c>
      <c r="AF154" s="27"/>
      <c r="AG154" s="29" t="str">
        <f aca="false">IF(OR(G154="",G154="なし"),"",IF(AA154="経理区分別",BF154+BG154,""))</f>
        <v/>
      </c>
      <c r="AH154" s="27"/>
      <c r="AI154" s="29" t="str">
        <f aca="false">IF(OR(G154="",G154="なし"),"",IF(AA154="経理区分別",BH154+BI154+N(Z154),""))</f>
        <v/>
      </c>
      <c r="AJ154" s="27"/>
      <c r="AK154" s="26" t="s">
        <v>168</v>
      </c>
      <c r="AL154" s="26"/>
      <c r="AM154" s="30"/>
      <c r="AN154" s="31"/>
      <c r="AO154" s="31"/>
      <c r="AP154" s="31"/>
      <c r="AQ154" s="31"/>
      <c r="AR154" s="31"/>
      <c r="AS154" s="31"/>
      <c r="AT154" s="31"/>
      <c r="AU154" s="31"/>
      <c r="AV154" s="31"/>
      <c r="AW154" s="31"/>
      <c r="AX154" s="31"/>
      <c r="AY154" s="31" t="n">
        <f aca="false">IF($G154="",AN154,O154)</f>
        <v>46126839</v>
      </c>
      <c r="AZ154" s="31" t="n">
        <f aca="false">IF($G154="",AO154,P154)</f>
        <v>3780759</v>
      </c>
      <c r="BA154" s="31" t="n">
        <f aca="false">IF($G154="",AP154,T154)</f>
        <v>66545746</v>
      </c>
      <c r="BB154" s="31" t="n">
        <f aca="false">IF($G154="",AQ154,U154)</f>
        <v>3780898</v>
      </c>
      <c r="BC154" s="31" t="n">
        <f aca="false">IF($G154="",AR154,V154)</f>
        <v>44463</v>
      </c>
      <c r="BD154" s="31" t="n">
        <f aca="false">IF($G154="",AS154,Q154)</f>
        <v>27231622</v>
      </c>
      <c r="BE154" s="31" t="n">
        <f aca="false">IF($G154="",AT154,W154)</f>
        <v>27695421</v>
      </c>
      <c r="BF154" s="31" t="n">
        <f aca="false">IF($G154="",AU154,R154)</f>
        <v>2844074</v>
      </c>
      <c r="BG154" s="31" t="n">
        <f aca="false">IF($G154="",AV154,X154)</f>
        <v>2844233</v>
      </c>
      <c r="BH154" s="31" t="n">
        <f aca="false">IF($G154="",AW154,S154)</f>
        <v>603556</v>
      </c>
      <c r="BI154" s="31" t="n">
        <f aca="false">IF($G154="",AX154,Y154)</f>
        <v>603873</v>
      </c>
      <c r="BJ154" s="31" t="n">
        <f aca="false">IF(CK154="N",BR154,ROUNDDOWN((I154-L154)*設定!$B$10/1000,0)+ROUNDDOWN((I154-L154)*設定!$B$11/1000,0))</f>
        <v>0</v>
      </c>
      <c r="BK154" s="31" t="n">
        <f aca="false">ROUNDDOWN((I154-L154)*設定!$C$10/1000,0)+ROUNDDOWN((I154-L154)*設定!$C$11/1000,0)+ROUNDDOWN(I154*設定!$C$12/1000,0)+IF(CL154="市局型",ROUNDDOWN(I154*設定!$C$16/1000,0),0)</f>
        <v>0</v>
      </c>
      <c r="BL154" s="31" t="n">
        <f aca="false">IF(CK154="N",BT154,ROUNDDOWN((J154-M154)*設定!$B$13/1000,0))</f>
        <v>0</v>
      </c>
      <c r="BM154" s="31" t="n">
        <f aca="false">ROUNDDOWN((J154-M154)*設定!$C$13/1000,0)+IF(CL154="市局型",ROUNDDOWN(J154*設定!$C$17/1000,0),0)</f>
        <v>0</v>
      </c>
      <c r="BN154" s="31" t="n">
        <f aca="false">IF(CK154="N",BV154,ROUNDDOWN((K154-N154)*設定!$B$14/1000,0))</f>
        <v>0</v>
      </c>
      <c r="BO154" s="31" t="n">
        <f aca="false">ROUNDDOWN((K154-N154)*設定!$C$14/1000,0)</f>
        <v>0</v>
      </c>
      <c r="BP154" s="31" t="n">
        <f aca="false">IF(CK154="N",BX154,ROUNDDOWN((J154-M154)*設定!$B$15/1000,0))</f>
        <v>0</v>
      </c>
      <c r="BQ154" s="31" t="n">
        <f aca="false">ROUNDDOWN((J154-M154)*設定!$C$15/1000,0)</f>
        <v>0</v>
      </c>
      <c r="BR154" s="31" t="n">
        <f aca="false">O154+P154</f>
        <v>49907598</v>
      </c>
      <c r="BS154" s="31" t="n">
        <f aca="false">T154+U154+V154</f>
        <v>70371107</v>
      </c>
      <c r="BT154" s="31" t="n">
        <f aca="false">Q154</f>
        <v>27231622</v>
      </c>
      <c r="BU154" s="31" t="n">
        <f aca="false">W154</f>
        <v>27695421</v>
      </c>
      <c r="BV154" s="31" t="n">
        <f aca="false">R154</f>
        <v>2844074</v>
      </c>
      <c r="BW154" s="31" t="n">
        <f aca="false">X154</f>
        <v>2844233</v>
      </c>
      <c r="BX154" s="31" t="n">
        <f aca="false">S154</f>
        <v>603556</v>
      </c>
      <c r="BY154" s="31" t="n">
        <f aca="false">Y154</f>
        <v>603873</v>
      </c>
      <c r="BZ154" s="32" t="n">
        <f aca="false">IF(BJ154=0,IF(BR154=0,0,1),(BR154-BJ154)/BJ154)</f>
        <v>1</v>
      </c>
      <c r="CA154" s="32" t="n">
        <f aca="false">IF(BK154=0,IF(BS154=0,0,1),(BS154-BK154)/BK154)</f>
        <v>1</v>
      </c>
      <c r="CB154" s="32" t="n">
        <f aca="false">IF(BL154=0,IF(BT154=0,0,1),(BT154-BL154)/BL154)</f>
        <v>1</v>
      </c>
      <c r="CC154" s="32" t="n">
        <f aca="false">IF(BM154=0,IF(BU154=0,0,1),(BU154-BM154)/BM154)</f>
        <v>1</v>
      </c>
      <c r="CD154" s="32" t="n">
        <f aca="false">IF(BN154=0,IF(BV154=0,0,1),(BV154-BN154)/BN154)</f>
        <v>1</v>
      </c>
      <c r="CE154" s="32" t="n">
        <f aca="false">IF(BO154=0,IF(BW154=0,0,1),(BW154-BO154)/BO154)</f>
        <v>1</v>
      </c>
      <c r="CF154" s="32" t="n">
        <f aca="false">IF(BP154=0,IF(BX154=0,0,1),(BX154-BP154)/BP154)</f>
        <v>1</v>
      </c>
      <c r="CG154" s="32" t="n">
        <f aca="false">IF(BQ154=0,IF(BY154=0,0,1),(BY154-BQ154)/BQ154)</f>
        <v>1</v>
      </c>
      <c r="CH154" s="32" t="n">
        <f aca="false">MAX(MAX(BZ154:CG154),-MIN(BZ154:CG154))</f>
        <v>1</v>
      </c>
      <c r="CI154" s="31" t="str">
        <f aca="false">IF(CO154="","",SUMIFS($CJ$7:$CJ$696,$A$7:$A$696,CO154,$B$7:$B$696,B154))</f>
        <v/>
      </c>
      <c r="CJ154" s="31" t="n">
        <f aca="false">SUM(AY154:BI154)</f>
        <v>182101484</v>
      </c>
      <c r="CK154" s="31" t="str">
        <f aca="false">IFERROR(INDEX(設定!$F$61:$F$106,MATCH(B154,設定!$B$61:$B$106,0)),"Y")</f>
        <v>Y</v>
      </c>
      <c r="CL154" s="31" t="str">
        <f aca="false">IFERROR(INDEX(設定!$G$61:$G$106,MATCH(B154,設定!$B$61:$B$106,0)),"外郭型")</f>
        <v>市局型</v>
      </c>
      <c r="CM154" s="33" t="str">
        <f aca="false">A154&amp;"|"&amp;B154</f>
        <v>2026-06 賞与|水道局</v>
      </c>
      <c r="CN154" s="34" t="str">
        <f aca="false">IFERROR(INDEX(設定!$D$61:$D$106,MATCH(B154,設定!$B$61:$B$106,0)),"Y")</f>
        <v>N</v>
      </c>
      <c r="CO154" s="34" t="str">
        <f aca="false">IFERROR(INDEX(設定!$D$20:$D$34,MATCH(A154,設定!$A$20:$A$34,0))&amp;"","")</f>
        <v/>
      </c>
    </row>
    <row r="155" customFormat="false" ht="15" hidden="true" customHeight="false" outlineLevel="0" collapsed="false">
      <c r="A155" s="22" t="s">
        <v>218</v>
      </c>
      <c r="B155" s="23" t="s">
        <v>178</v>
      </c>
      <c r="C155" s="10" t="str">
        <f aca="false">IF(G155="","未受領",IF(G155="なし","報告なし",IF(AL155="○","起票済",IF(OR(AK155="○",F155="一致",F155="入金不要"),"入金確認済","受領済"))))</f>
        <v>入金確認済</v>
      </c>
      <c r="D155" s="10" t="str">
        <f aca="false">IF(OR(G155="",G155="なし"),"―",IF(CN155="N","対象外",IF(AND(I155="",J155="",K155=""),"標報未入力",IF(CH155&gt;=設定!$B$4,"要確認","問題なし"))))</f>
        <v>標報未入力</v>
      </c>
      <c r="E155" s="24" t="str">
        <f aca="false">IF(OR(G155="",G155="なし",CI155="",CJ155=0),"―",IF(CJ155=CI155,"前月同額",IF(CI155=0,"―",IF(ABS(CJ155/CI155-1)&gt;=設定!$B$5,"変動大 "&amp;TEXT(CJ155/CI155-1,"+0%;-0%"),"〇"))))</f>
        <v>―</v>
      </c>
      <c r="F155" s="10" t="str">
        <f aca="false">IF(OR(G155="",G155="なし"),"―",IF(CJ155=0,"入金不要",IF(COUNT(AD155,AF155,AH155,AJ155)=0,IF(AK155="○","手動確認","未入金"),IF(AND(N(AD155)=AC155,IF(AE155="",TRUE(),N(AF155)=AE155),IF(AG155="",TRUE(),N(AH155)=AG155),IF(AI155="",TRUE(),N(AJ155)=AI155)),"一致","不一致"))))</f>
        <v>手動確認</v>
      </c>
      <c r="G155" s="25" t="s">
        <v>167</v>
      </c>
      <c r="H155" s="26"/>
      <c r="I155" s="27"/>
      <c r="J155" s="27"/>
      <c r="K155" s="27"/>
      <c r="L155" s="27"/>
      <c r="M155" s="27"/>
      <c r="N155" s="27"/>
      <c r="O155" s="27" t="n">
        <v>74115</v>
      </c>
      <c r="P155" s="27" t="n">
        <v>6075</v>
      </c>
      <c r="Q155" s="27" t="n">
        <v>42006</v>
      </c>
      <c r="R155" s="27" t="n">
        <v>6399</v>
      </c>
      <c r="S155" s="27" t="n">
        <v>931</v>
      </c>
      <c r="T155" s="27" t="n">
        <v>106434</v>
      </c>
      <c r="U155" s="27" t="n">
        <v>6075</v>
      </c>
      <c r="V155" s="27" t="n">
        <v>70</v>
      </c>
      <c r="W155" s="27" t="n">
        <v>42711</v>
      </c>
      <c r="X155" s="27" t="n">
        <v>6399</v>
      </c>
      <c r="Y155" s="27" t="n">
        <v>931</v>
      </c>
      <c r="Z155" s="27"/>
      <c r="AA155" s="10" t="str">
        <f aca="false">IFERROR(INDEX(設定!$E$61:$E$106,MATCH(B155,設定!$B$61:$B$106,0)),"合算")</f>
        <v>合算</v>
      </c>
      <c r="AB155" s="28"/>
      <c r="AC155" s="29" t="n">
        <f aca="false">IF(OR(G155="",G155="なし"),"",IF(AA155="合算",CJ155+N(Z155),IF(AA155="掛金・負担金別",(AY155+AZ155+BD155+BF155+BH155),SUM(AY155:BC155))))</f>
        <v>292146</v>
      </c>
      <c r="AD155" s="27"/>
      <c r="AE155" s="29" t="str">
        <f aca="false">IF(OR(G155="",G155="なし"),"",IF(AA155="掛金・負担金別",(BA155+BB155+BC155+BE155+BG155+BI155+N(Z155)),IF(AA155="経理区分別",BD155+BE155,"")))</f>
        <v/>
      </c>
      <c r="AF155" s="27"/>
      <c r="AG155" s="29" t="str">
        <f aca="false">IF(OR(G155="",G155="なし"),"",IF(AA155="経理区分別",BF155+BG155,""))</f>
        <v/>
      </c>
      <c r="AH155" s="27"/>
      <c r="AI155" s="29" t="str">
        <f aca="false">IF(OR(G155="",G155="なし"),"",IF(AA155="経理区分別",BH155+BI155+N(Z155),""))</f>
        <v/>
      </c>
      <c r="AJ155" s="27"/>
      <c r="AK155" s="26" t="s">
        <v>168</v>
      </c>
      <c r="AL155" s="26"/>
      <c r="AM155" s="30"/>
      <c r="AN155" s="31"/>
      <c r="AO155" s="31"/>
      <c r="AP155" s="31"/>
      <c r="AQ155" s="31"/>
      <c r="AR155" s="31"/>
      <c r="AS155" s="31"/>
      <c r="AT155" s="31"/>
      <c r="AU155" s="31"/>
      <c r="AV155" s="31"/>
      <c r="AW155" s="31"/>
      <c r="AX155" s="31"/>
      <c r="AY155" s="31" t="n">
        <f aca="false">IF($G155="",AN155,O155)</f>
        <v>74115</v>
      </c>
      <c r="AZ155" s="31" t="n">
        <f aca="false">IF($G155="",AO155,P155)</f>
        <v>6075</v>
      </c>
      <c r="BA155" s="31" t="n">
        <f aca="false">IF($G155="",AP155,T155)</f>
        <v>106434</v>
      </c>
      <c r="BB155" s="31" t="n">
        <f aca="false">IF($G155="",AQ155,U155)</f>
        <v>6075</v>
      </c>
      <c r="BC155" s="31" t="n">
        <f aca="false">IF($G155="",AR155,V155)</f>
        <v>70</v>
      </c>
      <c r="BD155" s="31" t="n">
        <f aca="false">IF($G155="",AS155,Q155)</f>
        <v>42006</v>
      </c>
      <c r="BE155" s="31" t="n">
        <f aca="false">IF($G155="",AT155,W155)</f>
        <v>42711</v>
      </c>
      <c r="BF155" s="31" t="n">
        <f aca="false">IF($G155="",AU155,R155)</f>
        <v>6399</v>
      </c>
      <c r="BG155" s="31" t="n">
        <f aca="false">IF($G155="",AV155,X155)</f>
        <v>6399</v>
      </c>
      <c r="BH155" s="31" t="n">
        <f aca="false">IF($G155="",AW155,S155)</f>
        <v>931</v>
      </c>
      <c r="BI155" s="31" t="n">
        <f aca="false">IF($G155="",AX155,Y155)</f>
        <v>931</v>
      </c>
      <c r="BJ155" s="31" t="n">
        <f aca="false">IF(CK155="N",BR155,ROUNDDOWN((I155-L155)*設定!$B$10/1000,0)+ROUNDDOWN((I155-L155)*設定!$B$11/1000,0))</f>
        <v>0</v>
      </c>
      <c r="BK155" s="31" t="n">
        <f aca="false">ROUNDDOWN((I155-L155)*設定!$C$10/1000,0)+ROUNDDOWN((I155-L155)*設定!$C$11/1000,0)+ROUNDDOWN(I155*設定!$C$12/1000,0)+IF(CL155="市局型",ROUNDDOWN(I155*設定!$C$16/1000,0),0)</f>
        <v>0</v>
      </c>
      <c r="BL155" s="31" t="n">
        <f aca="false">IF(CK155="N",BT155,ROUNDDOWN((J155-M155)*設定!$B$13/1000,0))</f>
        <v>0</v>
      </c>
      <c r="BM155" s="31" t="n">
        <f aca="false">ROUNDDOWN((J155-M155)*設定!$C$13/1000,0)+IF(CL155="市局型",ROUNDDOWN(J155*設定!$C$17/1000,0),0)</f>
        <v>0</v>
      </c>
      <c r="BN155" s="31" t="n">
        <f aca="false">IF(CK155="N",BV155,ROUNDDOWN((K155-N155)*設定!$B$14/1000,0))</f>
        <v>0</v>
      </c>
      <c r="BO155" s="31" t="n">
        <f aca="false">ROUNDDOWN((K155-N155)*設定!$C$14/1000,0)</f>
        <v>0</v>
      </c>
      <c r="BP155" s="31" t="n">
        <f aca="false">IF(CK155="N",BX155,ROUNDDOWN((J155-M155)*設定!$B$15/1000,0))</f>
        <v>0</v>
      </c>
      <c r="BQ155" s="31" t="n">
        <f aca="false">ROUNDDOWN((J155-M155)*設定!$C$15/1000,0)</f>
        <v>0</v>
      </c>
      <c r="BR155" s="31" t="n">
        <f aca="false">O155+P155</f>
        <v>80190</v>
      </c>
      <c r="BS155" s="31" t="n">
        <f aca="false">T155+U155+V155</f>
        <v>112579</v>
      </c>
      <c r="BT155" s="31" t="n">
        <f aca="false">Q155</f>
        <v>42006</v>
      </c>
      <c r="BU155" s="31" t="n">
        <f aca="false">W155</f>
        <v>42711</v>
      </c>
      <c r="BV155" s="31" t="n">
        <f aca="false">R155</f>
        <v>6399</v>
      </c>
      <c r="BW155" s="31" t="n">
        <f aca="false">X155</f>
        <v>6399</v>
      </c>
      <c r="BX155" s="31" t="n">
        <f aca="false">S155</f>
        <v>931</v>
      </c>
      <c r="BY155" s="31" t="n">
        <f aca="false">Y155</f>
        <v>931</v>
      </c>
      <c r="BZ155" s="32" t="n">
        <f aca="false">IF(BJ155=0,IF(BR155=0,0,1),(BR155-BJ155)/BJ155)</f>
        <v>1</v>
      </c>
      <c r="CA155" s="32" t="n">
        <f aca="false">IF(BK155=0,IF(BS155=0,0,1),(BS155-BK155)/BK155)</f>
        <v>1</v>
      </c>
      <c r="CB155" s="32" t="n">
        <f aca="false">IF(BL155=0,IF(BT155=0,0,1),(BT155-BL155)/BL155)</f>
        <v>1</v>
      </c>
      <c r="CC155" s="32" t="n">
        <f aca="false">IF(BM155=0,IF(BU155=0,0,1),(BU155-BM155)/BM155)</f>
        <v>1</v>
      </c>
      <c r="CD155" s="32" t="n">
        <f aca="false">IF(BN155=0,IF(BV155=0,0,1),(BV155-BN155)/BN155)</f>
        <v>1</v>
      </c>
      <c r="CE155" s="32" t="n">
        <f aca="false">IF(BO155=0,IF(BW155=0,0,1),(BW155-BO155)/BO155)</f>
        <v>1</v>
      </c>
      <c r="CF155" s="32" t="n">
        <f aca="false">IF(BP155=0,IF(BX155=0,0,1),(BX155-BP155)/BP155)</f>
        <v>1</v>
      </c>
      <c r="CG155" s="32" t="n">
        <f aca="false">IF(BQ155=0,IF(BY155=0,0,1),(BY155-BQ155)/BQ155)</f>
        <v>1</v>
      </c>
      <c r="CH155" s="32" t="n">
        <f aca="false">MAX(MAX(BZ155:CG155),-MIN(BZ155:CG155))</f>
        <v>1</v>
      </c>
      <c r="CI155" s="31" t="str">
        <f aca="false">IF(CO155="","",SUMIFS($CJ$7:$CJ$696,$A$7:$A$696,CO155,$B$7:$B$696,B155))</f>
        <v/>
      </c>
      <c r="CJ155" s="31" t="n">
        <f aca="false">SUM(AY155:BI155)</f>
        <v>292146</v>
      </c>
      <c r="CK155" s="31" t="str">
        <f aca="false">IFERROR(INDEX(設定!$F$61:$F$106,MATCH(B155,設定!$B$61:$B$106,0)),"Y")</f>
        <v>Y</v>
      </c>
      <c r="CL155" s="31" t="str">
        <f aca="false">IFERROR(INDEX(設定!$G$61:$G$106,MATCH(B155,設定!$B$61:$B$106,0)),"外郭型")</f>
        <v>市局型</v>
      </c>
      <c r="CM155" s="33" t="str">
        <f aca="false">A155&amp;"|"&amp;B155</f>
        <v>2026-06 賞与|医療政策課(安芸市民)</v>
      </c>
      <c r="CN155" s="34" t="str">
        <f aca="false">IFERROR(INDEX(設定!$D$61:$D$106,MATCH(B155,設定!$B$61:$B$106,0)),"Y")</f>
        <v>Y</v>
      </c>
      <c r="CO155" s="34" t="str">
        <f aca="false">IFERROR(INDEX(設定!$D$20:$D$34,MATCH(A155,設定!$A$20:$A$34,0))&amp;"","")</f>
        <v/>
      </c>
    </row>
    <row r="156" customFormat="false" ht="15" hidden="true" customHeight="false" outlineLevel="0" collapsed="false">
      <c r="A156" s="22" t="s">
        <v>218</v>
      </c>
      <c r="B156" s="23" t="s">
        <v>179</v>
      </c>
      <c r="C156" s="10" t="str">
        <f aca="false">IF(G156="","未受領",IF(G156="なし","報告なし",IF(AL156="○","起票済",IF(OR(AK156="○",F156="一致",F156="入金不要"),"入金確認済","受領済"))))</f>
        <v>入金確認済</v>
      </c>
      <c r="D156" s="10" t="str">
        <f aca="false">IF(OR(G156="",G156="なし"),"―",IF(CN156="N","対象外",IF(AND(I156="",J156="",K156=""),"標報未入力",IF(CH156&gt;=設定!$B$4,"要確認","問題なし"))))</f>
        <v>標報未入力</v>
      </c>
      <c r="E156" s="24" t="str">
        <f aca="false">IF(OR(G156="",G156="なし",CI156="",CJ156=0),"―",IF(CJ156=CI156,"前月同額",IF(CI156=0,"―",IF(ABS(CJ156/CI156-1)&gt;=設定!$B$5,"変動大 "&amp;TEXT(CJ156/CI156-1,"+0%;-0%"),"〇"))))</f>
        <v>―</v>
      </c>
      <c r="F156" s="10" t="str">
        <f aca="false">IF(OR(G156="",G156="なし"),"―",IF(CJ156=0,"入金不要",IF(COUNT(AD156,AF156,AH156,AJ156)=0,IF(AK156="○","手動確認","未入金"),IF(AND(N(AD156)=AC156,IF(AE156="",TRUE(),N(AF156)=AE156),IF(AG156="",TRUE(),N(AH156)=AG156),IF(AI156="",TRUE(),N(AJ156)=AI156)),"一致","不一致"))))</f>
        <v>手動確認</v>
      </c>
      <c r="G156" s="25" t="s">
        <v>167</v>
      </c>
      <c r="H156" s="26"/>
      <c r="I156" s="27"/>
      <c r="J156" s="27"/>
      <c r="K156" s="27"/>
      <c r="L156" s="27"/>
      <c r="M156" s="27"/>
      <c r="N156" s="27"/>
      <c r="O156" s="27" t="n">
        <v>0</v>
      </c>
      <c r="P156" s="27" t="n">
        <v>0</v>
      </c>
      <c r="Q156" s="27" t="n">
        <v>352375</v>
      </c>
      <c r="R156" s="27" t="n">
        <v>12083</v>
      </c>
      <c r="S156" s="27" t="n">
        <v>7804</v>
      </c>
      <c r="T156" s="27"/>
      <c r="U156" s="27"/>
      <c r="V156" s="27" t="n">
        <v>0</v>
      </c>
      <c r="W156" s="27" t="n">
        <v>358299</v>
      </c>
      <c r="X156" s="27" t="n">
        <v>12086</v>
      </c>
      <c r="Y156" s="27" t="n">
        <v>7813</v>
      </c>
      <c r="Z156" s="27"/>
      <c r="AA156" s="10" t="str">
        <f aca="false">IFERROR(INDEX(設定!$E$61:$E$106,MATCH(B156,設定!$B$61:$B$106,0)),"合算")</f>
        <v>合算</v>
      </c>
      <c r="AB156" s="28"/>
      <c r="AC156" s="29" t="n">
        <f aca="false">IF(OR(G156="",G156="なし"),"",IF(AA156="合算",CJ156+N(Z156),IF(AA156="掛金・負担金別",(AY156+AZ156+BD156+BF156+BH156),SUM(AY156:BC156))))</f>
        <v>750460</v>
      </c>
      <c r="AD156" s="27"/>
      <c r="AE156" s="29" t="str">
        <f aca="false">IF(OR(G156="",G156="なし"),"",IF(AA156="掛金・負担金別",(BA156+BB156+BC156+BE156+BG156+BI156+N(Z156)),IF(AA156="経理区分別",BD156+BE156,"")))</f>
        <v/>
      </c>
      <c r="AF156" s="27"/>
      <c r="AG156" s="29" t="str">
        <f aca="false">IF(OR(G156="",G156="なし"),"",IF(AA156="経理区分別",BF156+BG156,""))</f>
        <v/>
      </c>
      <c r="AH156" s="27"/>
      <c r="AI156" s="29" t="str">
        <f aca="false">IF(OR(G156="",G156="なし"),"",IF(AA156="経理区分別",BH156+BI156+N(Z156),""))</f>
        <v/>
      </c>
      <c r="AJ156" s="27"/>
      <c r="AK156" s="26" t="s">
        <v>168</v>
      </c>
      <c r="AL156" s="26"/>
      <c r="AM156" s="30"/>
      <c r="AN156" s="31"/>
      <c r="AO156" s="31"/>
      <c r="AP156" s="31"/>
      <c r="AQ156" s="31"/>
      <c r="AR156" s="31"/>
      <c r="AS156" s="31"/>
      <c r="AT156" s="31"/>
      <c r="AU156" s="31"/>
      <c r="AV156" s="31"/>
      <c r="AW156" s="31"/>
      <c r="AX156" s="31"/>
      <c r="AY156" s="31" t="n">
        <f aca="false">IF($G156="",AN156,O156)</f>
        <v>0</v>
      </c>
      <c r="AZ156" s="31" t="n">
        <f aca="false">IF($G156="",AO156,P156)</f>
        <v>0</v>
      </c>
      <c r="BA156" s="31" t="n">
        <f aca="false">IF($G156="",AP156,T156)</f>
        <v>0</v>
      </c>
      <c r="BB156" s="31" t="n">
        <f aca="false">IF($G156="",AQ156,U156)</f>
        <v>0</v>
      </c>
      <c r="BC156" s="31" t="n">
        <f aca="false">IF($G156="",AR156,V156)</f>
        <v>0</v>
      </c>
      <c r="BD156" s="31" t="n">
        <f aca="false">IF($G156="",AS156,Q156)</f>
        <v>352375</v>
      </c>
      <c r="BE156" s="31" t="n">
        <f aca="false">IF($G156="",AT156,W156)</f>
        <v>358299</v>
      </c>
      <c r="BF156" s="31" t="n">
        <f aca="false">IF($G156="",AU156,R156)</f>
        <v>12083</v>
      </c>
      <c r="BG156" s="31" t="n">
        <f aca="false">IF($G156="",AV156,X156)</f>
        <v>12086</v>
      </c>
      <c r="BH156" s="31" t="n">
        <f aca="false">IF($G156="",AW156,S156)</f>
        <v>7804</v>
      </c>
      <c r="BI156" s="31" t="n">
        <f aca="false">IF($G156="",AX156,Y156)</f>
        <v>7813</v>
      </c>
      <c r="BJ156" s="31" t="n">
        <f aca="false">IF(CK156="N",BR156,ROUNDDOWN((I156-L156)*設定!$B$10/1000,0)+ROUNDDOWN((I156-L156)*設定!$B$11/1000,0))</f>
        <v>0</v>
      </c>
      <c r="BK156" s="31" t="n">
        <f aca="false">ROUNDDOWN((I156-L156)*設定!$C$10/1000,0)+ROUNDDOWN((I156-L156)*設定!$C$11/1000,0)+ROUNDDOWN(I156*設定!$C$12/1000,0)+IF(CL156="市局型",ROUNDDOWN(I156*設定!$C$16/1000,0),0)</f>
        <v>0</v>
      </c>
      <c r="BL156" s="31" t="n">
        <f aca="false">IF(CK156="N",BT156,ROUNDDOWN((J156-M156)*設定!$B$13/1000,0))</f>
        <v>0</v>
      </c>
      <c r="BM156" s="31" t="n">
        <f aca="false">ROUNDDOWN((J156-M156)*設定!$C$13/1000,0)+IF(CL156="市局型",ROUNDDOWN(J156*設定!$C$17/1000,0),0)</f>
        <v>0</v>
      </c>
      <c r="BN156" s="31" t="n">
        <f aca="false">IF(CK156="N",BV156,ROUNDDOWN((K156-N156)*設定!$B$14/1000,0))</f>
        <v>0</v>
      </c>
      <c r="BO156" s="31" t="n">
        <f aca="false">ROUNDDOWN((K156-N156)*設定!$C$14/1000,0)</f>
        <v>0</v>
      </c>
      <c r="BP156" s="31" t="n">
        <f aca="false">IF(CK156="N",BX156,ROUNDDOWN((J156-M156)*設定!$B$15/1000,0))</f>
        <v>0</v>
      </c>
      <c r="BQ156" s="31" t="n">
        <f aca="false">ROUNDDOWN((J156-M156)*設定!$C$15/1000,0)</f>
        <v>0</v>
      </c>
      <c r="BR156" s="31" t="n">
        <f aca="false">O156+P156</f>
        <v>0</v>
      </c>
      <c r="BS156" s="31" t="n">
        <f aca="false">T156+U156+V156</f>
        <v>0</v>
      </c>
      <c r="BT156" s="31" t="n">
        <f aca="false">Q156</f>
        <v>352375</v>
      </c>
      <c r="BU156" s="31" t="n">
        <f aca="false">W156</f>
        <v>358299</v>
      </c>
      <c r="BV156" s="31" t="n">
        <f aca="false">R156</f>
        <v>12083</v>
      </c>
      <c r="BW156" s="31" t="n">
        <f aca="false">X156</f>
        <v>12086</v>
      </c>
      <c r="BX156" s="31" t="n">
        <f aca="false">S156</f>
        <v>7804</v>
      </c>
      <c r="BY156" s="31" t="n">
        <f aca="false">Y156</f>
        <v>7813</v>
      </c>
      <c r="BZ156" s="32" t="n">
        <f aca="false">IF(BJ156=0,IF(BR156=0,0,1),(BR156-BJ156)/BJ156)</f>
        <v>0</v>
      </c>
      <c r="CA156" s="32" t="n">
        <f aca="false">IF(BK156=0,IF(BS156=0,0,1),(BS156-BK156)/BK156)</f>
        <v>0</v>
      </c>
      <c r="CB156" s="32" t="n">
        <f aca="false">IF(BL156=0,IF(BT156=0,0,1),(BT156-BL156)/BL156)</f>
        <v>1</v>
      </c>
      <c r="CC156" s="32" t="n">
        <f aca="false">IF(BM156=0,IF(BU156=0,0,1),(BU156-BM156)/BM156)</f>
        <v>1</v>
      </c>
      <c r="CD156" s="32" t="n">
        <f aca="false">IF(BN156=0,IF(BV156=0,0,1),(BV156-BN156)/BN156)</f>
        <v>1</v>
      </c>
      <c r="CE156" s="32" t="n">
        <f aca="false">IF(BO156=0,IF(BW156=0,0,1),(BW156-BO156)/BO156)</f>
        <v>1</v>
      </c>
      <c r="CF156" s="32" t="n">
        <f aca="false">IF(BP156=0,IF(BX156=0,0,1),(BX156-BP156)/BP156)</f>
        <v>1</v>
      </c>
      <c r="CG156" s="32" t="n">
        <f aca="false">IF(BQ156=0,IF(BY156=0,0,1),(BY156-BQ156)/BQ156)</f>
        <v>1</v>
      </c>
      <c r="CH156" s="32" t="n">
        <f aca="false">MAX(MAX(BZ156:CG156),-MIN(BZ156:CG156))</f>
        <v>1</v>
      </c>
      <c r="CI156" s="31" t="str">
        <f aca="false">IF(CO156="","",SUMIFS($CJ$7:$CJ$696,$A$7:$A$696,CO156,$B$7:$B$696,B156))</f>
        <v/>
      </c>
      <c r="CJ156" s="31" t="n">
        <f aca="false">SUM(AY156:BI156)</f>
        <v>750460</v>
      </c>
      <c r="CK156" s="31" t="str">
        <f aca="false">IFERROR(INDEX(設定!$F$61:$F$106,MATCH(B156,設定!$B$61:$B$106,0)),"Y")</f>
        <v>Y</v>
      </c>
      <c r="CL156" s="31" t="str">
        <f aca="false">IFERROR(INDEX(設定!$G$61:$G$106,MATCH(B156,設定!$B$61:$B$106,0)),"外郭型")</f>
        <v>市局型</v>
      </c>
      <c r="CM156" s="33" t="str">
        <f aca="false">A156&amp;"|"&amp;B156</f>
        <v>2026-06 賞与|教育委員会（教育給与課）</v>
      </c>
      <c r="CN156" s="34" t="str">
        <f aca="false">IFERROR(INDEX(設定!$D$61:$D$106,MATCH(B156,設定!$B$61:$B$106,0)),"Y")</f>
        <v>Y</v>
      </c>
      <c r="CO156" s="34" t="str">
        <f aca="false">IFERROR(INDEX(設定!$D$20:$D$34,MATCH(A156,設定!$A$20:$A$34,0))&amp;"","")</f>
        <v/>
      </c>
    </row>
    <row r="157" customFormat="false" ht="15" hidden="true" customHeight="false" outlineLevel="0" collapsed="false">
      <c r="A157" s="22" t="s">
        <v>218</v>
      </c>
      <c r="B157" s="23" t="s">
        <v>180</v>
      </c>
      <c r="C157" s="10" t="str">
        <f aca="false">IF(G157="","未受領",IF(G157="なし","報告なし",IF(AL157="○","起票済",IF(OR(AK157="○",F157="一致",F157="入金不要"),"入金確認済","受領済"))))</f>
        <v>報告なし</v>
      </c>
      <c r="D157" s="10" t="str">
        <f aca="false">IF(OR(G157="",G157="なし"),"―",IF(CN157="N","対象外",IF(AND(I157="",J157="",K157=""),"標報未入力",IF(CH157&gt;=設定!$B$4,"要確認","問題なし"))))</f>
        <v>―</v>
      </c>
      <c r="E157" s="24" t="str">
        <f aca="false">IF(OR(G157="",G157="なし",CI157="",CJ157=0),"―",IF(CJ157=CI157,"前月同額",IF(CI157=0,"―",IF(ABS(CJ157/CI157-1)&gt;=設定!$B$5,"変動大 "&amp;TEXT(CJ157/CI157-1,"+0%;-0%"),"〇"))))</f>
        <v>―</v>
      </c>
      <c r="F157" s="10" t="str">
        <f aca="false">IF(OR(G157="",G157="なし"),"―",IF(CJ157=0,"入金不要",IF(COUNT(AD157,AF157,AH157,AJ157)=0,IF(AK157="○","手動確認","未入金"),IF(AND(N(AD157)=AC157,IF(AE157="",TRUE(),N(AF157)=AE157),IF(AG157="",TRUE(),N(AH157)=AG157),IF(AI157="",TRUE(),N(AJ157)=AI157)),"一致","不一致"))))</f>
        <v>―</v>
      </c>
      <c r="G157" s="25" t="s">
        <v>181</v>
      </c>
      <c r="H157" s="26"/>
      <c r="I157" s="27"/>
      <c r="J157" s="27"/>
      <c r="K157" s="27"/>
      <c r="L157" s="27"/>
      <c r="M157" s="27"/>
      <c r="N157" s="27"/>
      <c r="O157" s="27"/>
      <c r="P157" s="27"/>
      <c r="Q157" s="27"/>
      <c r="R157" s="27"/>
      <c r="S157" s="27"/>
      <c r="T157" s="27"/>
      <c r="U157" s="27"/>
      <c r="V157" s="27"/>
      <c r="W157" s="27"/>
      <c r="X157" s="27"/>
      <c r="Y157" s="27"/>
      <c r="Z157" s="27"/>
      <c r="AA157" s="10" t="str">
        <f aca="false">IFERROR(INDEX(設定!$E$61:$E$106,MATCH(B157,設定!$B$61:$B$106,0)),"合算")</f>
        <v>合算</v>
      </c>
      <c r="AB157" s="28"/>
      <c r="AC157" s="29" t="str">
        <f aca="false">IF(OR(G157="",G157="なし"),"",IF(AA157="合算",CJ157+N(Z157),IF(AA157="掛金・負担金別",(AY157+AZ157+BD157+BF157+BH157),SUM(AY157:BC157))))</f>
        <v/>
      </c>
      <c r="AD157" s="27"/>
      <c r="AE157" s="29" t="str">
        <f aca="false">IF(OR(G157="",G157="なし"),"",IF(AA157="掛金・負担金別",(BA157+BB157+BC157+BE157+BG157+BI157+N(Z157)),IF(AA157="経理区分別",BD157+BE157,"")))</f>
        <v/>
      </c>
      <c r="AF157" s="27"/>
      <c r="AG157" s="29" t="str">
        <f aca="false">IF(OR(G157="",G157="なし"),"",IF(AA157="経理区分別",BF157+BG157,""))</f>
        <v/>
      </c>
      <c r="AH157" s="27"/>
      <c r="AI157" s="29" t="str">
        <f aca="false">IF(OR(G157="",G157="なし"),"",IF(AA157="経理区分別",BH157+BI157+N(Z157),""))</f>
        <v/>
      </c>
      <c r="AJ157" s="27"/>
      <c r="AK157" s="26"/>
      <c r="AL157" s="26"/>
      <c r="AM157" s="30"/>
      <c r="AN157" s="31"/>
      <c r="AO157" s="31"/>
      <c r="AP157" s="31"/>
      <c r="AQ157" s="31"/>
      <c r="AR157" s="31"/>
      <c r="AS157" s="31"/>
      <c r="AT157" s="31"/>
      <c r="AU157" s="31"/>
      <c r="AV157" s="31"/>
      <c r="AW157" s="31"/>
      <c r="AX157" s="31"/>
      <c r="AY157" s="31" t="n">
        <f aca="false">IF($G157="",AN157,O157)</f>
        <v>0</v>
      </c>
      <c r="AZ157" s="31" t="n">
        <f aca="false">IF($G157="",AO157,P157)</f>
        <v>0</v>
      </c>
      <c r="BA157" s="31" t="n">
        <f aca="false">IF($G157="",AP157,T157)</f>
        <v>0</v>
      </c>
      <c r="BB157" s="31" t="n">
        <f aca="false">IF($G157="",AQ157,U157)</f>
        <v>0</v>
      </c>
      <c r="BC157" s="31" t="n">
        <f aca="false">IF($G157="",AR157,V157)</f>
        <v>0</v>
      </c>
      <c r="BD157" s="31" t="n">
        <f aca="false">IF($G157="",AS157,Q157)</f>
        <v>0</v>
      </c>
      <c r="BE157" s="31" t="n">
        <f aca="false">IF($G157="",AT157,W157)</f>
        <v>0</v>
      </c>
      <c r="BF157" s="31" t="n">
        <f aca="false">IF($G157="",AU157,R157)</f>
        <v>0</v>
      </c>
      <c r="BG157" s="31" t="n">
        <f aca="false">IF($G157="",AV157,X157)</f>
        <v>0</v>
      </c>
      <c r="BH157" s="31" t="n">
        <f aca="false">IF($G157="",AW157,S157)</f>
        <v>0</v>
      </c>
      <c r="BI157" s="31" t="n">
        <f aca="false">IF($G157="",AX157,Y157)</f>
        <v>0</v>
      </c>
      <c r="BJ157" s="31" t="n">
        <f aca="false">IF(CK157="N",BR157,ROUNDDOWN((I157-L157)*設定!$B$10/1000,0)+ROUNDDOWN((I157-L157)*設定!$B$11/1000,0))</f>
        <v>0</v>
      </c>
      <c r="BK157" s="31" t="n">
        <f aca="false">ROUNDDOWN((I157-L157)*設定!$C$10/1000,0)+ROUNDDOWN((I157-L157)*設定!$C$11/1000,0)+ROUNDDOWN(I157*設定!$C$12/1000,0)+IF(CL157="市局型",ROUNDDOWN(I157*設定!$C$16/1000,0),0)</f>
        <v>0</v>
      </c>
      <c r="BL157" s="31" t="n">
        <f aca="false">IF(CK157="N",BT157,ROUNDDOWN((J157-M157)*設定!$B$13/1000,0))</f>
        <v>0</v>
      </c>
      <c r="BM157" s="31" t="n">
        <f aca="false">ROUNDDOWN((J157-M157)*設定!$C$13/1000,0)+IF(CL157="市局型",ROUNDDOWN(J157*設定!$C$17/1000,0),0)</f>
        <v>0</v>
      </c>
      <c r="BN157" s="31" t="n">
        <f aca="false">IF(CK157="N",BV157,ROUNDDOWN((K157-N157)*設定!$B$14/1000,0))</f>
        <v>0</v>
      </c>
      <c r="BO157" s="31" t="n">
        <f aca="false">ROUNDDOWN((K157-N157)*設定!$C$14/1000,0)</f>
        <v>0</v>
      </c>
      <c r="BP157" s="31" t="n">
        <f aca="false">IF(CK157="N",BX157,ROUNDDOWN((J157-M157)*設定!$B$15/1000,0))</f>
        <v>0</v>
      </c>
      <c r="BQ157" s="31" t="n">
        <f aca="false">ROUNDDOWN((J157-M157)*設定!$C$15/1000,0)</f>
        <v>0</v>
      </c>
      <c r="BR157" s="31" t="n">
        <f aca="false">O157+P157</f>
        <v>0</v>
      </c>
      <c r="BS157" s="31" t="n">
        <f aca="false">T157+U157+V157</f>
        <v>0</v>
      </c>
      <c r="BT157" s="31" t="n">
        <f aca="false">Q157</f>
        <v>0</v>
      </c>
      <c r="BU157" s="31" t="n">
        <f aca="false">W157</f>
        <v>0</v>
      </c>
      <c r="BV157" s="31" t="n">
        <f aca="false">R157</f>
        <v>0</v>
      </c>
      <c r="BW157" s="31" t="n">
        <f aca="false">X157</f>
        <v>0</v>
      </c>
      <c r="BX157" s="31" t="n">
        <f aca="false">S157</f>
        <v>0</v>
      </c>
      <c r="BY157" s="31" t="n">
        <f aca="false">Y157</f>
        <v>0</v>
      </c>
      <c r="BZ157" s="32" t="n">
        <f aca="false">IF(BJ157=0,IF(BR157=0,0,1),(BR157-BJ157)/BJ157)</f>
        <v>0</v>
      </c>
      <c r="CA157" s="32" t="n">
        <f aca="false">IF(BK157=0,IF(BS157=0,0,1),(BS157-BK157)/BK157)</f>
        <v>0</v>
      </c>
      <c r="CB157" s="32" t="n">
        <f aca="false">IF(BL157=0,IF(BT157=0,0,1),(BT157-BL157)/BL157)</f>
        <v>0</v>
      </c>
      <c r="CC157" s="32" t="n">
        <f aca="false">IF(BM157=0,IF(BU157=0,0,1),(BU157-BM157)/BM157)</f>
        <v>0</v>
      </c>
      <c r="CD157" s="32" t="n">
        <f aca="false">IF(BN157=0,IF(BV157=0,0,1),(BV157-BN157)/BN157)</f>
        <v>0</v>
      </c>
      <c r="CE157" s="32" t="n">
        <f aca="false">IF(BO157=0,IF(BW157=0,0,1),(BW157-BO157)/BO157)</f>
        <v>0</v>
      </c>
      <c r="CF157" s="32" t="n">
        <f aca="false">IF(BP157=0,IF(BX157=0,0,1),(BX157-BP157)/BP157)</f>
        <v>0</v>
      </c>
      <c r="CG157" s="32" t="n">
        <f aca="false">IF(BQ157=0,IF(BY157=0,0,1),(BY157-BQ157)/BQ157)</f>
        <v>0</v>
      </c>
      <c r="CH157" s="32" t="n">
        <f aca="false">MAX(MAX(BZ157:CG157),-MIN(BZ157:CG157))</f>
        <v>-0</v>
      </c>
      <c r="CI157" s="31" t="str">
        <f aca="false">IF(CO157="","",SUMIFS($CJ$7:$CJ$696,$A$7:$A$696,CO157,$B$7:$B$696,B157))</f>
        <v/>
      </c>
      <c r="CJ157" s="31" t="n">
        <f aca="false">SUM(AY157:BI157)</f>
        <v>0</v>
      </c>
      <c r="CK157" s="31" t="str">
        <f aca="false">IFERROR(INDEX(設定!$F$61:$F$106,MATCH(B157,設定!$B$61:$B$106,0)),"Y")</f>
        <v>N</v>
      </c>
      <c r="CL157" s="31" t="str">
        <f aca="false">IFERROR(INDEX(設定!$G$61:$G$106,MATCH(B157,設定!$B$61:$B$106,0)),"外郭型")</f>
        <v>外郭型</v>
      </c>
      <c r="CM157" s="33" t="str">
        <f aca="false">A157&amp;"|"&amp;B157</f>
        <v>2026-06 賞与|地方税共同機構</v>
      </c>
      <c r="CN157" s="34" t="str">
        <f aca="false">IFERROR(INDEX(設定!$D$61:$D$106,MATCH(B157,設定!$B$61:$B$106,0)),"Y")</f>
        <v>Y</v>
      </c>
      <c r="CO157" s="34" t="str">
        <f aca="false">IFERROR(INDEX(設定!$D$20:$D$34,MATCH(A157,設定!$A$20:$A$34,0))&amp;"","")</f>
        <v/>
      </c>
    </row>
    <row r="158" customFormat="false" ht="15" hidden="true" customHeight="false" outlineLevel="0" collapsed="false">
      <c r="A158" s="22" t="s">
        <v>218</v>
      </c>
      <c r="B158" s="23" t="s">
        <v>182</v>
      </c>
      <c r="C158" s="10" t="str">
        <f aca="false">IF(G158="","未受領",IF(G158="なし","報告なし",IF(AL158="○","起票済",IF(OR(AK158="○",F158="一致",F158="入金不要"),"入金確認済","受領済"))))</f>
        <v>入金確認済</v>
      </c>
      <c r="D158" s="10" t="str">
        <f aca="false">IF(OR(G158="",G158="なし"),"―",IF(CN158="N","対象外",IF(AND(I158="",J158="",K158=""),"標報未入力",IF(CH158&gt;=設定!$B$4,"要確認","問題なし"))))</f>
        <v>標報未入力</v>
      </c>
      <c r="E158" s="24" t="str">
        <f aca="false">IF(OR(G158="",G158="なし",CI158="",CJ158=0),"―",IF(CJ158=CI158,"前月同額",IF(CI158=0,"―",IF(ABS(CJ158/CI158-1)&gt;=設定!$B$5,"変動大 "&amp;TEXT(CJ158/CI158-1,"+0%;-0%"),"〇"))))</f>
        <v>―</v>
      </c>
      <c r="F158" s="10" t="str">
        <f aca="false">IF(OR(G158="",G158="なし"),"―",IF(CJ158=0,"入金不要",IF(COUNT(AD158,AF158,AH158,AJ158)=0,IF(AK158="○","手動確認","未入金"),IF(AND(N(AD158)=AC158,IF(AE158="",TRUE(),N(AF158)=AE158),IF(AG158="",TRUE(),N(AH158)=AG158),IF(AI158="",TRUE(),N(AJ158)=AI158)),"一致","不一致"))))</f>
        <v>手動確認</v>
      </c>
      <c r="G158" s="25" t="s">
        <v>167</v>
      </c>
      <c r="H158" s="26"/>
      <c r="I158" s="27"/>
      <c r="J158" s="27"/>
      <c r="K158" s="27"/>
      <c r="L158" s="27"/>
      <c r="M158" s="27"/>
      <c r="N158" s="27"/>
      <c r="O158" s="27" t="n">
        <v>0</v>
      </c>
      <c r="P158" s="27" t="n">
        <v>0</v>
      </c>
      <c r="Q158" s="27" t="n">
        <v>0</v>
      </c>
      <c r="R158" s="27" t="n">
        <v>0</v>
      </c>
      <c r="S158" s="27" t="n">
        <v>0</v>
      </c>
      <c r="T158" s="27" t="n">
        <v>1500878</v>
      </c>
      <c r="U158" s="27" t="n">
        <v>123022</v>
      </c>
      <c r="V158" s="27" t="n">
        <v>1425</v>
      </c>
      <c r="W158" s="27" t="n">
        <v>851479</v>
      </c>
      <c r="X158" s="27" t="n">
        <v>108719</v>
      </c>
      <c r="Y158" s="27" t="n">
        <v>18863</v>
      </c>
      <c r="Z158" s="27"/>
      <c r="AA158" s="10" t="str">
        <f aca="false">IFERROR(INDEX(設定!$E$61:$E$106,MATCH(B158,設定!$B$61:$B$106,0)),"合算")</f>
        <v>合算</v>
      </c>
      <c r="AB158" s="28"/>
      <c r="AC158" s="29" t="n">
        <f aca="false">IF(OR(G158="",G158="なし"),"",IF(AA158="合算",CJ158+N(Z158),IF(AA158="掛金・負担金別",(AY158+AZ158+BD158+BF158+BH158),SUM(AY158:BC158))))</f>
        <v>2604386</v>
      </c>
      <c r="AD158" s="27"/>
      <c r="AE158" s="29" t="str">
        <f aca="false">IF(OR(G158="",G158="なし"),"",IF(AA158="掛金・負担金別",(BA158+BB158+BC158+BE158+BG158+BI158+N(Z158)),IF(AA158="経理区分別",BD158+BE158,"")))</f>
        <v/>
      </c>
      <c r="AF158" s="27"/>
      <c r="AG158" s="29" t="str">
        <f aca="false">IF(OR(G158="",G158="なし"),"",IF(AA158="経理区分別",BF158+BG158,""))</f>
        <v/>
      </c>
      <c r="AH158" s="27"/>
      <c r="AI158" s="29" t="str">
        <f aca="false">IF(OR(G158="",G158="なし"),"",IF(AA158="経理区分別",BH158+BI158+N(Z158),""))</f>
        <v/>
      </c>
      <c r="AJ158" s="27"/>
      <c r="AK158" s="26" t="s">
        <v>168</v>
      </c>
      <c r="AL158" s="26"/>
      <c r="AM158" s="30"/>
      <c r="AN158" s="31"/>
      <c r="AO158" s="31"/>
      <c r="AP158" s="31"/>
      <c r="AQ158" s="31"/>
      <c r="AR158" s="31"/>
      <c r="AS158" s="31"/>
      <c r="AT158" s="31"/>
      <c r="AU158" s="31"/>
      <c r="AV158" s="31"/>
      <c r="AW158" s="31"/>
      <c r="AX158" s="31"/>
      <c r="AY158" s="31" t="n">
        <f aca="false">IF($G158="",AN158,O158)</f>
        <v>0</v>
      </c>
      <c r="AZ158" s="31" t="n">
        <f aca="false">IF($G158="",AO158,P158)</f>
        <v>0</v>
      </c>
      <c r="BA158" s="31" t="n">
        <f aca="false">IF($G158="",AP158,T158)</f>
        <v>1500878</v>
      </c>
      <c r="BB158" s="31" t="n">
        <f aca="false">IF($G158="",AQ158,U158)</f>
        <v>123022</v>
      </c>
      <c r="BC158" s="31" t="n">
        <f aca="false">IF($G158="",AR158,V158)</f>
        <v>1425</v>
      </c>
      <c r="BD158" s="31" t="n">
        <f aca="false">IF($G158="",AS158,Q158)</f>
        <v>0</v>
      </c>
      <c r="BE158" s="31" t="n">
        <f aca="false">IF($G158="",AT158,W158)</f>
        <v>851479</v>
      </c>
      <c r="BF158" s="31" t="n">
        <f aca="false">IF($G158="",AU158,R158)</f>
        <v>0</v>
      </c>
      <c r="BG158" s="31" t="n">
        <f aca="false">IF($G158="",AV158,X158)</f>
        <v>108719</v>
      </c>
      <c r="BH158" s="31" t="n">
        <f aca="false">IF($G158="",AW158,S158)</f>
        <v>0</v>
      </c>
      <c r="BI158" s="31" t="n">
        <f aca="false">IF($G158="",AX158,Y158)</f>
        <v>18863</v>
      </c>
      <c r="BJ158" s="31" t="n">
        <f aca="false">IF(CK158="N",BR158,ROUNDDOWN((I158-L158)*設定!$B$10/1000,0)+ROUNDDOWN((I158-L158)*設定!$B$11/1000,0))</f>
        <v>0</v>
      </c>
      <c r="BK158" s="31" t="n">
        <f aca="false">ROUNDDOWN((I158-L158)*設定!$C$10/1000,0)+ROUNDDOWN((I158-L158)*設定!$C$11/1000,0)+ROUNDDOWN(I158*設定!$C$12/1000,0)+IF(CL158="市局型",ROUNDDOWN(I158*設定!$C$16/1000,0),0)</f>
        <v>0</v>
      </c>
      <c r="BL158" s="31" t="n">
        <f aca="false">IF(CK158="N",BT158,ROUNDDOWN((J158-M158)*設定!$B$13/1000,0))</f>
        <v>0</v>
      </c>
      <c r="BM158" s="31" t="n">
        <f aca="false">ROUNDDOWN((J158-M158)*設定!$C$13/1000,0)+IF(CL158="市局型",ROUNDDOWN(J158*設定!$C$17/1000,0),0)</f>
        <v>0</v>
      </c>
      <c r="BN158" s="31" t="n">
        <f aca="false">IF(CK158="N",BV158,ROUNDDOWN((K158-N158)*設定!$B$14/1000,0))</f>
        <v>0</v>
      </c>
      <c r="BO158" s="31" t="n">
        <f aca="false">ROUNDDOWN((K158-N158)*設定!$C$14/1000,0)</f>
        <v>0</v>
      </c>
      <c r="BP158" s="31" t="n">
        <f aca="false">IF(CK158="N",BX158,ROUNDDOWN((J158-M158)*設定!$B$15/1000,0))</f>
        <v>0</v>
      </c>
      <c r="BQ158" s="31" t="n">
        <f aca="false">ROUNDDOWN((J158-M158)*設定!$C$15/1000,0)</f>
        <v>0</v>
      </c>
      <c r="BR158" s="31" t="n">
        <f aca="false">O158+P158</f>
        <v>0</v>
      </c>
      <c r="BS158" s="31" t="n">
        <f aca="false">T158+U158+V158</f>
        <v>1625325</v>
      </c>
      <c r="BT158" s="31" t="n">
        <f aca="false">Q158</f>
        <v>0</v>
      </c>
      <c r="BU158" s="31" t="n">
        <f aca="false">W158</f>
        <v>851479</v>
      </c>
      <c r="BV158" s="31" t="n">
        <f aca="false">R158</f>
        <v>0</v>
      </c>
      <c r="BW158" s="31" t="n">
        <f aca="false">X158</f>
        <v>108719</v>
      </c>
      <c r="BX158" s="31" t="n">
        <f aca="false">S158</f>
        <v>0</v>
      </c>
      <c r="BY158" s="31" t="n">
        <f aca="false">Y158</f>
        <v>18863</v>
      </c>
      <c r="BZ158" s="32" t="n">
        <f aca="false">IF(BJ158=0,IF(BR158=0,0,1),(BR158-BJ158)/BJ158)</f>
        <v>0</v>
      </c>
      <c r="CA158" s="32" t="n">
        <f aca="false">IF(BK158=0,IF(BS158=0,0,1),(BS158-BK158)/BK158)</f>
        <v>1</v>
      </c>
      <c r="CB158" s="32" t="n">
        <f aca="false">IF(BL158=0,IF(BT158=0,0,1),(BT158-BL158)/BL158)</f>
        <v>0</v>
      </c>
      <c r="CC158" s="32" t="n">
        <f aca="false">IF(BM158=0,IF(BU158=0,0,1),(BU158-BM158)/BM158)</f>
        <v>1</v>
      </c>
      <c r="CD158" s="32" t="n">
        <f aca="false">IF(BN158=0,IF(BV158=0,0,1),(BV158-BN158)/BN158)</f>
        <v>0</v>
      </c>
      <c r="CE158" s="32" t="n">
        <f aca="false">IF(BO158=0,IF(BW158=0,0,1),(BW158-BO158)/BO158)</f>
        <v>1</v>
      </c>
      <c r="CF158" s="32" t="n">
        <f aca="false">IF(BP158=0,IF(BX158=0,0,1),(BX158-BP158)/BP158)</f>
        <v>0</v>
      </c>
      <c r="CG158" s="32" t="n">
        <f aca="false">IF(BQ158=0,IF(BY158=0,0,1),(BY158-BQ158)/BQ158)</f>
        <v>1</v>
      </c>
      <c r="CH158" s="32" t="n">
        <f aca="false">MAX(MAX(BZ158:CG158),-MIN(BZ158:CG158))</f>
        <v>1</v>
      </c>
      <c r="CI158" s="31" t="str">
        <f aca="false">IF(CO158="","",SUMIFS($CJ$7:$CJ$696,$A$7:$A$696,CO158,$B$7:$B$696,B158))</f>
        <v/>
      </c>
      <c r="CJ158" s="31" t="n">
        <f aca="false">SUM(AY158:BI158)</f>
        <v>2604386</v>
      </c>
      <c r="CK158" s="31" t="str">
        <f aca="false">IFERROR(INDEX(設定!$F$61:$F$106,MATCH(B158,設定!$B$61:$B$106,0)),"Y")</f>
        <v>Y</v>
      </c>
      <c r="CL158" s="31" t="str">
        <f aca="false">IFERROR(INDEX(設定!$G$61:$G$106,MATCH(B158,設定!$B$61:$B$106,0)),"外郭型")</f>
        <v>外郭型</v>
      </c>
      <c r="CM158" s="33" t="str">
        <f aca="false">A158&amp;"|"&amp;B158</f>
        <v>2026-06 賞与|平和文化センター</v>
      </c>
      <c r="CN158" s="34" t="str">
        <f aca="false">IFERROR(INDEX(設定!$D$61:$D$106,MATCH(B158,設定!$B$61:$B$106,0)),"Y")</f>
        <v>Y</v>
      </c>
      <c r="CO158" s="34" t="str">
        <f aca="false">IFERROR(INDEX(設定!$D$20:$D$34,MATCH(A158,設定!$A$20:$A$34,0))&amp;"","")</f>
        <v/>
      </c>
    </row>
    <row r="159" customFormat="false" ht="15" hidden="true" customHeight="false" outlineLevel="0" collapsed="false">
      <c r="A159" s="22" t="s">
        <v>218</v>
      </c>
      <c r="B159" s="23" t="s">
        <v>183</v>
      </c>
      <c r="C159" s="10" t="str">
        <f aca="false">IF(G159="","未受領",IF(G159="なし","報告なし",IF(AL159="○","起票済",IF(OR(AK159="○",F159="一致",F159="入金不要"),"入金確認済","受領済"))))</f>
        <v>入金確認済</v>
      </c>
      <c r="D159" s="10" t="str">
        <f aca="false">IF(OR(G159="",G159="なし"),"―",IF(CN159="N","対象外",IF(AND(I159="",J159="",K159=""),"標報未入力",IF(CH159&gt;=設定!$B$4,"要確認","問題なし"))))</f>
        <v>標報未入力</v>
      </c>
      <c r="E159" s="24" t="str">
        <f aca="false">IF(OR(G159="",G159="なし",CI159="",CJ159=0),"―",IF(CJ159=CI159,"前月同額",IF(CI159=0,"―",IF(ABS(CJ159/CI159-1)&gt;=設定!$B$5,"変動大 "&amp;TEXT(CJ159/CI159-1,"+0%;-0%"),"〇"))))</f>
        <v>―</v>
      </c>
      <c r="F159" s="10" t="str">
        <f aca="false">IF(OR(G159="",G159="なし"),"―",IF(CJ159=0,"入金不要",IF(COUNT(AD159,AF159,AH159,AJ159)=0,IF(AK159="○","手動確認","未入金"),IF(AND(N(AD159)=AC159,IF(AE159="",TRUE(),N(AF159)=AE159),IF(AG159="",TRUE(),N(AH159)=AG159),IF(AI159="",TRUE(),N(AJ159)=AI159)),"一致","不一致"))))</f>
        <v>手動確認</v>
      </c>
      <c r="G159" s="25" t="s">
        <v>167</v>
      </c>
      <c r="H159" s="26"/>
      <c r="I159" s="27"/>
      <c r="J159" s="27"/>
      <c r="K159" s="27"/>
      <c r="L159" s="27"/>
      <c r="M159" s="27"/>
      <c r="N159" s="27"/>
      <c r="O159" s="27"/>
      <c r="P159" s="27"/>
      <c r="Q159" s="27"/>
      <c r="R159" s="27"/>
      <c r="S159" s="27"/>
      <c r="T159" s="27" t="n">
        <v>4100217</v>
      </c>
      <c r="U159" s="27" t="n">
        <v>336079</v>
      </c>
      <c r="V159" s="27" t="n">
        <v>4035</v>
      </c>
      <c r="W159" s="27" t="n">
        <v>2386276</v>
      </c>
      <c r="X159" s="27" t="n">
        <v>271657</v>
      </c>
      <c r="Y159" s="27" t="n">
        <v>52855</v>
      </c>
      <c r="Z159" s="27"/>
      <c r="AA159" s="10" t="str">
        <f aca="false">IFERROR(INDEX(設定!$E$61:$E$106,MATCH(B159,設定!$B$61:$B$106,0)),"合算")</f>
        <v>合算</v>
      </c>
      <c r="AB159" s="28"/>
      <c r="AC159" s="29" t="n">
        <f aca="false">IF(OR(G159="",G159="なし"),"",IF(AA159="合算",CJ159+N(Z159),IF(AA159="掛金・負担金別",(AY159+AZ159+BD159+BF159+BH159),SUM(AY159:BC159))))</f>
        <v>7151119</v>
      </c>
      <c r="AD159" s="27"/>
      <c r="AE159" s="29" t="str">
        <f aca="false">IF(OR(G159="",G159="なし"),"",IF(AA159="掛金・負担金別",(BA159+BB159+BC159+BE159+BG159+BI159+N(Z159)),IF(AA159="経理区分別",BD159+BE159,"")))</f>
        <v/>
      </c>
      <c r="AF159" s="27"/>
      <c r="AG159" s="29" t="str">
        <f aca="false">IF(OR(G159="",G159="なし"),"",IF(AA159="経理区分別",BF159+BG159,""))</f>
        <v/>
      </c>
      <c r="AH159" s="27"/>
      <c r="AI159" s="29" t="str">
        <f aca="false">IF(OR(G159="",G159="なし"),"",IF(AA159="経理区分別",BH159+BI159+N(Z159),""))</f>
        <v/>
      </c>
      <c r="AJ159" s="27"/>
      <c r="AK159" s="26" t="s">
        <v>168</v>
      </c>
      <c r="AL159" s="26"/>
      <c r="AM159" s="30"/>
      <c r="AN159" s="31"/>
      <c r="AO159" s="31"/>
      <c r="AP159" s="31"/>
      <c r="AQ159" s="31"/>
      <c r="AR159" s="31"/>
      <c r="AS159" s="31"/>
      <c r="AT159" s="31"/>
      <c r="AU159" s="31"/>
      <c r="AV159" s="31"/>
      <c r="AW159" s="31"/>
      <c r="AX159" s="31"/>
      <c r="AY159" s="31" t="n">
        <f aca="false">IF($G159="",AN159,O159)</f>
        <v>0</v>
      </c>
      <c r="AZ159" s="31" t="n">
        <f aca="false">IF($G159="",AO159,P159)</f>
        <v>0</v>
      </c>
      <c r="BA159" s="31" t="n">
        <f aca="false">IF($G159="",AP159,T159)</f>
        <v>4100217</v>
      </c>
      <c r="BB159" s="31" t="n">
        <f aca="false">IF($G159="",AQ159,U159)</f>
        <v>336079</v>
      </c>
      <c r="BC159" s="31" t="n">
        <f aca="false">IF($G159="",AR159,V159)</f>
        <v>4035</v>
      </c>
      <c r="BD159" s="31" t="n">
        <f aca="false">IF($G159="",AS159,Q159)</f>
        <v>0</v>
      </c>
      <c r="BE159" s="31" t="n">
        <f aca="false">IF($G159="",AT159,W159)</f>
        <v>2386276</v>
      </c>
      <c r="BF159" s="31" t="n">
        <f aca="false">IF($G159="",AU159,R159)</f>
        <v>0</v>
      </c>
      <c r="BG159" s="31" t="n">
        <f aca="false">IF($G159="",AV159,X159)</f>
        <v>271657</v>
      </c>
      <c r="BH159" s="31" t="n">
        <f aca="false">IF($G159="",AW159,S159)</f>
        <v>0</v>
      </c>
      <c r="BI159" s="31" t="n">
        <f aca="false">IF($G159="",AX159,Y159)</f>
        <v>52855</v>
      </c>
      <c r="BJ159" s="31" t="n">
        <f aca="false">IF(CK159="N",BR159,ROUNDDOWN((I159-L159)*設定!$B$10/1000,0)+ROUNDDOWN((I159-L159)*設定!$B$11/1000,0))</f>
        <v>0</v>
      </c>
      <c r="BK159" s="31" t="n">
        <f aca="false">ROUNDDOWN((I159-L159)*設定!$C$10/1000,0)+ROUNDDOWN((I159-L159)*設定!$C$11/1000,0)+ROUNDDOWN(I159*設定!$C$12/1000,0)+IF(CL159="市局型",ROUNDDOWN(I159*設定!$C$16/1000,0),0)</f>
        <v>0</v>
      </c>
      <c r="BL159" s="31" t="n">
        <f aca="false">IF(CK159="N",BT159,ROUNDDOWN((J159-M159)*設定!$B$13/1000,0))</f>
        <v>0</v>
      </c>
      <c r="BM159" s="31" t="n">
        <f aca="false">ROUNDDOWN((J159-M159)*設定!$C$13/1000,0)+IF(CL159="市局型",ROUNDDOWN(J159*設定!$C$17/1000,0),0)</f>
        <v>0</v>
      </c>
      <c r="BN159" s="31" t="n">
        <f aca="false">IF(CK159="N",BV159,ROUNDDOWN((K159-N159)*設定!$B$14/1000,0))</f>
        <v>0</v>
      </c>
      <c r="BO159" s="31" t="n">
        <f aca="false">ROUNDDOWN((K159-N159)*設定!$C$14/1000,0)</f>
        <v>0</v>
      </c>
      <c r="BP159" s="31" t="n">
        <f aca="false">IF(CK159="N",BX159,ROUNDDOWN((J159-M159)*設定!$B$15/1000,0))</f>
        <v>0</v>
      </c>
      <c r="BQ159" s="31" t="n">
        <f aca="false">ROUNDDOWN((J159-M159)*設定!$C$15/1000,0)</f>
        <v>0</v>
      </c>
      <c r="BR159" s="31" t="n">
        <f aca="false">O159+P159</f>
        <v>0</v>
      </c>
      <c r="BS159" s="31" t="n">
        <f aca="false">T159+U159+V159</f>
        <v>4440331</v>
      </c>
      <c r="BT159" s="31" t="n">
        <f aca="false">Q159</f>
        <v>0</v>
      </c>
      <c r="BU159" s="31" t="n">
        <f aca="false">W159</f>
        <v>2386276</v>
      </c>
      <c r="BV159" s="31" t="n">
        <f aca="false">R159</f>
        <v>0</v>
      </c>
      <c r="BW159" s="31" t="n">
        <f aca="false">X159</f>
        <v>271657</v>
      </c>
      <c r="BX159" s="31" t="n">
        <f aca="false">S159</f>
        <v>0</v>
      </c>
      <c r="BY159" s="31" t="n">
        <f aca="false">Y159</f>
        <v>52855</v>
      </c>
      <c r="BZ159" s="32" t="n">
        <f aca="false">IF(BJ159=0,IF(BR159=0,0,1),(BR159-BJ159)/BJ159)</f>
        <v>0</v>
      </c>
      <c r="CA159" s="32" t="n">
        <f aca="false">IF(BK159=0,IF(BS159=0,0,1),(BS159-BK159)/BK159)</f>
        <v>1</v>
      </c>
      <c r="CB159" s="32" t="n">
        <f aca="false">IF(BL159=0,IF(BT159=0,0,1),(BT159-BL159)/BL159)</f>
        <v>0</v>
      </c>
      <c r="CC159" s="32" t="n">
        <f aca="false">IF(BM159=0,IF(BU159=0,0,1),(BU159-BM159)/BM159)</f>
        <v>1</v>
      </c>
      <c r="CD159" s="32" t="n">
        <f aca="false">IF(BN159=0,IF(BV159=0,0,1),(BV159-BN159)/BN159)</f>
        <v>0</v>
      </c>
      <c r="CE159" s="32" t="n">
        <f aca="false">IF(BO159=0,IF(BW159=0,0,1),(BW159-BO159)/BO159)</f>
        <v>1</v>
      </c>
      <c r="CF159" s="32" t="n">
        <f aca="false">IF(BP159=0,IF(BX159=0,0,1),(BX159-BP159)/BP159)</f>
        <v>0</v>
      </c>
      <c r="CG159" s="32" t="n">
        <f aca="false">IF(BQ159=0,IF(BY159=0,0,1),(BY159-BQ159)/BQ159)</f>
        <v>1</v>
      </c>
      <c r="CH159" s="32" t="n">
        <f aca="false">MAX(MAX(BZ159:CG159),-MIN(BZ159:CG159))</f>
        <v>1</v>
      </c>
      <c r="CI159" s="31" t="str">
        <f aca="false">IF(CO159="","",SUMIFS($CJ$7:$CJ$696,$A$7:$A$696,CO159,$B$7:$B$696,B159))</f>
        <v/>
      </c>
      <c r="CJ159" s="31" t="n">
        <f aca="false">SUM(AY159:BI159)</f>
        <v>7151119</v>
      </c>
      <c r="CK159" s="31" t="str">
        <f aca="false">IFERROR(INDEX(設定!$F$61:$F$106,MATCH(B159,設定!$B$61:$B$106,0)),"Y")</f>
        <v>N</v>
      </c>
      <c r="CL159" s="31" t="str">
        <f aca="false">IFERROR(INDEX(設定!$G$61:$G$106,MATCH(B159,設定!$B$61:$B$106,0)),"外郭型")</f>
        <v>外郭型</v>
      </c>
      <c r="CM159" s="33" t="str">
        <f aca="false">A159&amp;"|"&amp;B159</f>
        <v>2026-06 賞与|社会福祉事業団</v>
      </c>
      <c r="CN159" s="34" t="str">
        <f aca="false">IFERROR(INDEX(設定!$D$61:$D$106,MATCH(B159,設定!$B$61:$B$106,0)),"Y")</f>
        <v>Y</v>
      </c>
      <c r="CO159" s="34" t="str">
        <f aca="false">IFERROR(INDEX(設定!$D$20:$D$34,MATCH(A159,設定!$A$20:$A$34,0))&amp;"","")</f>
        <v/>
      </c>
    </row>
    <row r="160" customFormat="false" ht="15" hidden="true" customHeight="false" outlineLevel="0" collapsed="false">
      <c r="A160" s="22" t="s">
        <v>218</v>
      </c>
      <c r="B160" s="23" t="s">
        <v>184</v>
      </c>
      <c r="C160" s="10" t="str">
        <f aca="false">IF(G160="","未受領",IF(G160="なし","報告なし",IF(AL160="○","起票済",IF(OR(AK160="○",F160="一致",F160="入金不要"),"入金確認済","受領済"))))</f>
        <v>入金確認済</v>
      </c>
      <c r="D160" s="10" t="str">
        <f aca="false">IF(OR(G160="",G160="なし"),"―",IF(CN160="N","対象外",IF(AND(I160="",J160="",K160=""),"標報未入力",IF(CH160&gt;=設定!$B$4,"要確認","問題なし"))))</f>
        <v>標報未入力</v>
      </c>
      <c r="E160" s="24" t="str">
        <f aca="false">IF(OR(G160="",G160="なし",CI160="",CJ160=0),"―",IF(CJ160=CI160,"前月同額",IF(CI160=0,"―",IF(ABS(CJ160/CI160-1)&gt;=設定!$B$5,"変動大 "&amp;TEXT(CJ160/CI160-1,"+0%;-0%"),"〇"))))</f>
        <v>―</v>
      </c>
      <c r="F160" s="10" t="str">
        <f aca="false">IF(OR(G160="",G160="なし"),"―",IF(CJ160=0,"入金不要",IF(COUNT(AD160,AF160,AH160,AJ160)=0,IF(AK160="○","手動確認","未入金"),IF(AND(N(AD160)=AC160,IF(AE160="",TRUE(),N(AF160)=AE160),IF(AG160="",TRUE(),N(AH160)=AG160),IF(AI160="",TRUE(),N(AJ160)=AI160)),"一致","不一致"))))</f>
        <v>手動確認</v>
      </c>
      <c r="G160" s="25" t="s">
        <v>167</v>
      </c>
      <c r="H160" s="26"/>
      <c r="I160" s="27"/>
      <c r="J160" s="27"/>
      <c r="K160" s="27"/>
      <c r="L160" s="27"/>
      <c r="M160" s="27"/>
      <c r="N160" s="27"/>
      <c r="O160" s="27"/>
      <c r="P160" s="27"/>
      <c r="Q160" s="27"/>
      <c r="R160" s="27"/>
      <c r="S160" s="27"/>
      <c r="T160" s="27" t="n">
        <v>100467</v>
      </c>
      <c r="U160" s="27" t="n">
        <v>8235</v>
      </c>
      <c r="V160" s="27" t="n">
        <v>95</v>
      </c>
      <c r="W160" s="27" t="n">
        <v>56997</v>
      </c>
      <c r="X160" s="27" t="n">
        <v>8674</v>
      </c>
      <c r="Y160" s="27" t="n">
        <v>1262</v>
      </c>
      <c r="Z160" s="27"/>
      <c r="AA160" s="10" t="str">
        <f aca="false">IFERROR(INDEX(設定!$E$61:$E$106,MATCH(B160,設定!$B$61:$B$106,0)),"合算")</f>
        <v>合算</v>
      </c>
      <c r="AB160" s="28"/>
      <c r="AC160" s="29" t="n">
        <f aca="false">IF(OR(G160="",G160="なし"),"",IF(AA160="合算",CJ160+N(Z160),IF(AA160="掛金・負担金別",(AY160+AZ160+BD160+BF160+BH160),SUM(AY160:BC160))))</f>
        <v>175730</v>
      </c>
      <c r="AD160" s="27"/>
      <c r="AE160" s="29" t="str">
        <f aca="false">IF(OR(G160="",G160="なし"),"",IF(AA160="掛金・負担金別",(BA160+BB160+BC160+BE160+BG160+BI160+N(Z160)),IF(AA160="経理区分別",BD160+BE160,"")))</f>
        <v/>
      </c>
      <c r="AF160" s="27"/>
      <c r="AG160" s="29" t="str">
        <f aca="false">IF(OR(G160="",G160="なし"),"",IF(AA160="経理区分別",BF160+BG160,""))</f>
        <v/>
      </c>
      <c r="AH160" s="27"/>
      <c r="AI160" s="29" t="str">
        <f aca="false">IF(OR(G160="",G160="なし"),"",IF(AA160="経理区分別",BH160+BI160+N(Z160),""))</f>
        <v/>
      </c>
      <c r="AJ160" s="27"/>
      <c r="AK160" s="26" t="s">
        <v>168</v>
      </c>
      <c r="AL160" s="26"/>
      <c r="AM160" s="30"/>
      <c r="AN160" s="31"/>
      <c r="AO160" s="31"/>
      <c r="AP160" s="31"/>
      <c r="AQ160" s="31"/>
      <c r="AR160" s="31"/>
      <c r="AS160" s="31"/>
      <c r="AT160" s="31"/>
      <c r="AU160" s="31"/>
      <c r="AV160" s="31"/>
      <c r="AW160" s="31"/>
      <c r="AX160" s="31"/>
      <c r="AY160" s="31" t="n">
        <f aca="false">IF($G160="",AN160,O160)</f>
        <v>0</v>
      </c>
      <c r="AZ160" s="31" t="n">
        <f aca="false">IF($G160="",AO160,P160)</f>
        <v>0</v>
      </c>
      <c r="BA160" s="31" t="n">
        <f aca="false">IF($G160="",AP160,T160)</f>
        <v>100467</v>
      </c>
      <c r="BB160" s="31" t="n">
        <f aca="false">IF($G160="",AQ160,U160)</f>
        <v>8235</v>
      </c>
      <c r="BC160" s="31" t="n">
        <f aca="false">IF($G160="",AR160,V160)</f>
        <v>95</v>
      </c>
      <c r="BD160" s="31" t="n">
        <f aca="false">IF($G160="",AS160,Q160)</f>
        <v>0</v>
      </c>
      <c r="BE160" s="31" t="n">
        <f aca="false">IF($G160="",AT160,W160)</f>
        <v>56997</v>
      </c>
      <c r="BF160" s="31" t="n">
        <f aca="false">IF($G160="",AU160,R160)</f>
        <v>0</v>
      </c>
      <c r="BG160" s="31" t="n">
        <f aca="false">IF($G160="",AV160,X160)</f>
        <v>8674</v>
      </c>
      <c r="BH160" s="31" t="n">
        <f aca="false">IF($G160="",AW160,S160)</f>
        <v>0</v>
      </c>
      <c r="BI160" s="31" t="n">
        <f aca="false">IF($G160="",AX160,Y160)</f>
        <v>1262</v>
      </c>
      <c r="BJ160" s="31" t="n">
        <f aca="false">IF(CK160="N",BR160,ROUNDDOWN((I160-L160)*設定!$B$10/1000,0)+ROUNDDOWN((I160-L160)*設定!$B$11/1000,0))</f>
        <v>0</v>
      </c>
      <c r="BK160" s="31" t="n">
        <f aca="false">ROUNDDOWN((I160-L160)*設定!$C$10/1000,0)+ROUNDDOWN((I160-L160)*設定!$C$11/1000,0)+ROUNDDOWN(I160*設定!$C$12/1000,0)+IF(CL160="市局型",ROUNDDOWN(I160*設定!$C$16/1000,0),0)</f>
        <v>0</v>
      </c>
      <c r="BL160" s="31" t="n">
        <f aca="false">IF(CK160="N",BT160,ROUNDDOWN((J160-M160)*設定!$B$13/1000,0))</f>
        <v>0</v>
      </c>
      <c r="BM160" s="31" t="n">
        <f aca="false">ROUNDDOWN((J160-M160)*設定!$C$13/1000,0)+IF(CL160="市局型",ROUNDDOWN(J160*設定!$C$17/1000,0),0)</f>
        <v>0</v>
      </c>
      <c r="BN160" s="31" t="n">
        <f aca="false">IF(CK160="N",BV160,ROUNDDOWN((K160-N160)*設定!$B$14/1000,0))</f>
        <v>0</v>
      </c>
      <c r="BO160" s="31" t="n">
        <f aca="false">ROUNDDOWN((K160-N160)*設定!$C$14/1000,0)</f>
        <v>0</v>
      </c>
      <c r="BP160" s="31" t="n">
        <f aca="false">IF(CK160="N",BX160,ROUNDDOWN((J160-M160)*設定!$B$15/1000,0))</f>
        <v>0</v>
      </c>
      <c r="BQ160" s="31" t="n">
        <f aca="false">ROUNDDOWN((J160-M160)*設定!$C$15/1000,0)</f>
        <v>0</v>
      </c>
      <c r="BR160" s="31" t="n">
        <f aca="false">O160+P160</f>
        <v>0</v>
      </c>
      <c r="BS160" s="31" t="n">
        <f aca="false">T160+U160+V160</f>
        <v>108797</v>
      </c>
      <c r="BT160" s="31" t="n">
        <f aca="false">Q160</f>
        <v>0</v>
      </c>
      <c r="BU160" s="31" t="n">
        <f aca="false">W160</f>
        <v>56997</v>
      </c>
      <c r="BV160" s="31" t="n">
        <f aca="false">R160</f>
        <v>0</v>
      </c>
      <c r="BW160" s="31" t="n">
        <f aca="false">X160</f>
        <v>8674</v>
      </c>
      <c r="BX160" s="31" t="n">
        <f aca="false">S160</f>
        <v>0</v>
      </c>
      <c r="BY160" s="31" t="n">
        <f aca="false">Y160</f>
        <v>1262</v>
      </c>
      <c r="BZ160" s="32" t="n">
        <f aca="false">IF(BJ160=0,IF(BR160=0,0,1),(BR160-BJ160)/BJ160)</f>
        <v>0</v>
      </c>
      <c r="CA160" s="32" t="n">
        <f aca="false">IF(BK160=0,IF(BS160=0,0,1),(BS160-BK160)/BK160)</f>
        <v>1</v>
      </c>
      <c r="CB160" s="32" t="n">
        <f aca="false">IF(BL160=0,IF(BT160=0,0,1),(BT160-BL160)/BL160)</f>
        <v>0</v>
      </c>
      <c r="CC160" s="32" t="n">
        <f aca="false">IF(BM160=0,IF(BU160=0,0,1),(BU160-BM160)/BM160)</f>
        <v>1</v>
      </c>
      <c r="CD160" s="32" t="n">
        <f aca="false">IF(BN160=0,IF(BV160=0,0,1),(BV160-BN160)/BN160)</f>
        <v>0</v>
      </c>
      <c r="CE160" s="32" t="n">
        <f aca="false">IF(BO160=0,IF(BW160=0,0,1),(BW160-BO160)/BO160)</f>
        <v>1</v>
      </c>
      <c r="CF160" s="32" t="n">
        <f aca="false">IF(BP160=0,IF(BX160=0,0,1),(BX160-BP160)/BP160)</f>
        <v>0</v>
      </c>
      <c r="CG160" s="32" t="n">
        <f aca="false">IF(BQ160=0,IF(BY160=0,0,1),(BY160-BQ160)/BQ160)</f>
        <v>1</v>
      </c>
      <c r="CH160" s="32" t="n">
        <f aca="false">MAX(MAX(BZ160:CG160),-MIN(BZ160:CG160))</f>
        <v>1</v>
      </c>
      <c r="CI160" s="31" t="str">
        <f aca="false">IF(CO160="","",SUMIFS($CJ$7:$CJ$696,$A$7:$A$696,CO160,$B$7:$B$696,B160))</f>
        <v/>
      </c>
      <c r="CJ160" s="31" t="n">
        <f aca="false">SUM(AY160:BI160)</f>
        <v>175730</v>
      </c>
      <c r="CK160" s="31" t="str">
        <f aca="false">IFERROR(INDEX(設定!$F$61:$F$106,MATCH(B160,設定!$B$61:$B$106,0)),"Y")</f>
        <v>N</v>
      </c>
      <c r="CL160" s="31" t="str">
        <f aca="false">IFERROR(INDEX(設定!$G$61:$G$106,MATCH(B160,設定!$B$61:$B$106,0)),"外郭型")</f>
        <v>外郭型</v>
      </c>
      <c r="CM160" s="33" t="str">
        <f aca="false">A160&amp;"|"&amp;B160</f>
        <v>2026-06 賞与|原爆障害対策協議会</v>
      </c>
      <c r="CN160" s="34" t="str">
        <f aca="false">IFERROR(INDEX(設定!$D$61:$D$106,MATCH(B160,設定!$B$61:$B$106,0)),"Y")</f>
        <v>Y</v>
      </c>
      <c r="CO160" s="34" t="str">
        <f aca="false">IFERROR(INDEX(設定!$D$20:$D$34,MATCH(A160,設定!$A$20:$A$34,0))&amp;"","")</f>
        <v/>
      </c>
    </row>
    <row r="161" customFormat="false" ht="15" hidden="true" customHeight="false" outlineLevel="0" collapsed="false">
      <c r="A161" s="22" t="s">
        <v>218</v>
      </c>
      <c r="B161" s="23" t="s">
        <v>185</v>
      </c>
      <c r="C161" s="10" t="str">
        <f aca="false">IF(G161="","未受領",IF(G161="なし","報告なし",IF(AL161="○","起票済",IF(OR(AK161="○",F161="一致",F161="入金不要"),"入金確認済","受領済"))))</f>
        <v>入金確認済</v>
      </c>
      <c r="D161" s="10" t="str">
        <f aca="false">IF(OR(G161="",G161="なし"),"―",IF(CN161="N","対象外",IF(AND(I161="",J161="",K161=""),"標報未入力",IF(CH161&gt;=設定!$B$4,"要確認","問題なし"))))</f>
        <v>標報未入力</v>
      </c>
      <c r="E161" s="24" t="str">
        <f aca="false">IF(OR(G161="",G161="なし",CI161="",CJ161=0),"―",IF(CJ161=CI161,"前月同額",IF(CI161=0,"―",IF(ABS(CJ161/CI161-1)&gt;=設定!$B$5,"変動大 "&amp;TEXT(CJ161/CI161-1,"+0%;-0%"),"〇"))))</f>
        <v>―</v>
      </c>
      <c r="F161" s="10" t="str">
        <f aca="false">IF(OR(G161="",G161="なし"),"―",IF(CJ161=0,"入金不要",IF(COUNT(AD161,AF161,AH161,AJ161)=0,IF(AK161="○","手動確認","未入金"),IF(AND(N(AD161)=AC161,IF(AE161="",TRUE(),N(AF161)=AE161),IF(AG161="",TRUE(),N(AH161)=AG161),IF(AI161="",TRUE(),N(AJ161)=AI161)),"一致","不一致"))))</f>
        <v>手動確認</v>
      </c>
      <c r="G161" s="25" t="s">
        <v>167</v>
      </c>
      <c r="H161" s="26"/>
      <c r="I161" s="27"/>
      <c r="J161" s="27"/>
      <c r="K161" s="27"/>
      <c r="L161" s="27"/>
      <c r="M161" s="27"/>
      <c r="N161" s="27"/>
      <c r="O161" s="27"/>
      <c r="P161" s="27"/>
      <c r="Q161" s="27"/>
      <c r="R161" s="27"/>
      <c r="S161" s="27"/>
      <c r="T161" s="27" t="n">
        <v>761008</v>
      </c>
      <c r="U161" s="27" t="n">
        <v>62378</v>
      </c>
      <c r="V161" s="27" t="n">
        <v>817</v>
      </c>
      <c r="W161" s="27" t="n">
        <v>431790</v>
      </c>
      <c r="X161" s="27" t="n">
        <v>55725</v>
      </c>
      <c r="Y161" s="27" t="n">
        <v>9563</v>
      </c>
      <c r="Z161" s="27"/>
      <c r="AA161" s="10" t="str">
        <f aca="false">IFERROR(INDEX(設定!$E$61:$E$106,MATCH(B161,設定!$B$61:$B$106,0)),"合算")</f>
        <v>合算</v>
      </c>
      <c r="AB161" s="28"/>
      <c r="AC161" s="29" t="n">
        <f aca="false">IF(OR(G161="",G161="なし"),"",IF(AA161="合算",CJ161+N(Z161),IF(AA161="掛金・負担金別",(AY161+AZ161+BD161+BF161+BH161),SUM(AY161:BC161))))</f>
        <v>1321281</v>
      </c>
      <c r="AD161" s="27"/>
      <c r="AE161" s="29" t="str">
        <f aca="false">IF(OR(G161="",G161="なし"),"",IF(AA161="掛金・負担金別",(BA161+BB161+BC161+BE161+BG161+BI161+N(Z161)),IF(AA161="経理区分別",BD161+BE161,"")))</f>
        <v/>
      </c>
      <c r="AF161" s="27"/>
      <c r="AG161" s="29" t="str">
        <f aca="false">IF(OR(G161="",G161="なし"),"",IF(AA161="経理区分別",BF161+BG161,""))</f>
        <v/>
      </c>
      <c r="AH161" s="27"/>
      <c r="AI161" s="29" t="str">
        <f aca="false">IF(OR(G161="",G161="なし"),"",IF(AA161="経理区分別",BH161+BI161+N(Z161),""))</f>
        <v/>
      </c>
      <c r="AJ161" s="27"/>
      <c r="AK161" s="26" t="s">
        <v>168</v>
      </c>
      <c r="AL161" s="26"/>
      <c r="AM161" s="30"/>
      <c r="AN161" s="31"/>
      <c r="AO161" s="31"/>
      <c r="AP161" s="31"/>
      <c r="AQ161" s="31"/>
      <c r="AR161" s="31"/>
      <c r="AS161" s="31"/>
      <c r="AT161" s="31"/>
      <c r="AU161" s="31"/>
      <c r="AV161" s="31"/>
      <c r="AW161" s="31"/>
      <c r="AX161" s="31"/>
      <c r="AY161" s="31" t="n">
        <f aca="false">IF($G161="",AN161,O161)</f>
        <v>0</v>
      </c>
      <c r="AZ161" s="31" t="n">
        <f aca="false">IF($G161="",AO161,P161)</f>
        <v>0</v>
      </c>
      <c r="BA161" s="31" t="n">
        <f aca="false">IF($G161="",AP161,T161)</f>
        <v>761008</v>
      </c>
      <c r="BB161" s="31" t="n">
        <f aca="false">IF($G161="",AQ161,U161)</f>
        <v>62378</v>
      </c>
      <c r="BC161" s="31" t="n">
        <f aca="false">IF($G161="",AR161,V161)</f>
        <v>817</v>
      </c>
      <c r="BD161" s="31" t="n">
        <f aca="false">IF($G161="",AS161,Q161)</f>
        <v>0</v>
      </c>
      <c r="BE161" s="31" t="n">
        <f aca="false">IF($G161="",AT161,W161)</f>
        <v>431790</v>
      </c>
      <c r="BF161" s="31" t="n">
        <f aca="false">IF($G161="",AU161,R161)</f>
        <v>0</v>
      </c>
      <c r="BG161" s="31" t="n">
        <f aca="false">IF($G161="",AV161,X161)</f>
        <v>55725</v>
      </c>
      <c r="BH161" s="31" t="n">
        <f aca="false">IF($G161="",AW161,S161)</f>
        <v>0</v>
      </c>
      <c r="BI161" s="31" t="n">
        <f aca="false">IF($G161="",AX161,Y161)</f>
        <v>9563</v>
      </c>
      <c r="BJ161" s="31" t="n">
        <f aca="false">IF(CK161="N",BR161,ROUNDDOWN((I161-L161)*設定!$B$10/1000,0)+ROUNDDOWN((I161-L161)*設定!$B$11/1000,0))</f>
        <v>0</v>
      </c>
      <c r="BK161" s="31" t="n">
        <f aca="false">ROUNDDOWN((I161-L161)*設定!$C$10/1000,0)+ROUNDDOWN((I161-L161)*設定!$C$11/1000,0)+ROUNDDOWN(I161*設定!$C$12/1000,0)+IF(CL161="市局型",ROUNDDOWN(I161*設定!$C$16/1000,0),0)</f>
        <v>0</v>
      </c>
      <c r="BL161" s="31" t="n">
        <f aca="false">IF(CK161="N",BT161,ROUNDDOWN((J161-M161)*設定!$B$13/1000,0))</f>
        <v>0</v>
      </c>
      <c r="BM161" s="31" t="n">
        <f aca="false">ROUNDDOWN((J161-M161)*設定!$C$13/1000,0)+IF(CL161="市局型",ROUNDDOWN(J161*設定!$C$17/1000,0),0)</f>
        <v>0</v>
      </c>
      <c r="BN161" s="31" t="n">
        <f aca="false">IF(CK161="N",BV161,ROUNDDOWN((K161-N161)*設定!$B$14/1000,0))</f>
        <v>0</v>
      </c>
      <c r="BO161" s="31" t="n">
        <f aca="false">ROUNDDOWN((K161-N161)*設定!$C$14/1000,0)</f>
        <v>0</v>
      </c>
      <c r="BP161" s="31" t="n">
        <f aca="false">IF(CK161="N",BX161,ROUNDDOWN((J161-M161)*設定!$B$15/1000,0))</f>
        <v>0</v>
      </c>
      <c r="BQ161" s="31" t="n">
        <f aca="false">ROUNDDOWN((J161-M161)*設定!$C$15/1000,0)</f>
        <v>0</v>
      </c>
      <c r="BR161" s="31" t="n">
        <f aca="false">O161+P161</f>
        <v>0</v>
      </c>
      <c r="BS161" s="31" t="n">
        <f aca="false">T161+U161+V161</f>
        <v>824203</v>
      </c>
      <c r="BT161" s="31" t="n">
        <f aca="false">Q161</f>
        <v>0</v>
      </c>
      <c r="BU161" s="31" t="n">
        <f aca="false">W161</f>
        <v>431790</v>
      </c>
      <c r="BV161" s="31" t="n">
        <f aca="false">R161</f>
        <v>0</v>
      </c>
      <c r="BW161" s="31" t="n">
        <f aca="false">X161</f>
        <v>55725</v>
      </c>
      <c r="BX161" s="31" t="n">
        <f aca="false">S161</f>
        <v>0</v>
      </c>
      <c r="BY161" s="31" t="n">
        <f aca="false">Y161</f>
        <v>9563</v>
      </c>
      <c r="BZ161" s="32" t="n">
        <f aca="false">IF(BJ161=0,IF(BR161=0,0,1),(BR161-BJ161)/BJ161)</f>
        <v>0</v>
      </c>
      <c r="CA161" s="32" t="n">
        <f aca="false">IF(BK161=0,IF(BS161=0,0,1),(BS161-BK161)/BK161)</f>
        <v>1</v>
      </c>
      <c r="CB161" s="32" t="n">
        <f aca="false">IF(BL161=0,IF(BT161=0,0,1),(BT161-BL161)/BL161)</f>
        <v>0</v>
      </c>
      <c r="CC161" s="32" t="n">
        <f aca="false">IF(BM161=0,IF(BU161=0,0,1),(BU161-BM161)/BM161)</f>
        <v>1</v>
      </c>
      <c r="CD161" s="32" t="n">
        <f aca="false">IF(BN161=0,IF(BV161=0,0,1),(BV161-BN161)/BN161)</f>
        <v>0</v>
      </c>
      <c r="CE161" s="32" t="n">
        <f aca="false">IF(BO161=0,IF(BW161=0,0,1),(BW161-BO161)/BO161)</f>
        <v>1</v>
      </c>
      <c r="CF161" s="32" t="n">
        <f aca="false">IF(BP161=0,IF(BX161=0,0,1),(BX161-BP161)/BP161)</f>
        <v>0</v>
      </c>
      <c r="CG161" s="32" t="n">
        <f aca="false">IF(BQ161=0,IF(BY161=0,0,1),(BY161-BQ161)/BQ161)</f>
        <v>1</v>
      </c>
      <c r="CH161" s="32" t="n">
        <f aca="false">MAX(MAX(BZ161:CG161),-MIN(BZ161:CG161))</f>
        <v>1</v>
      </c>
      <c r="CI161" s="31" t="str">
        <f aca="false">IF(CO161="","",SUMIFS($CJ$7:$CJ$696,$A$7:$A$696,CO161,$B$7:$B$696,B161))</f>
        <v/>
      </c>
      <c r="CJ161" s="31" t="n">
        <f aca="false">SUM(AY161:BI161)</f>
        <v>1321281</v>
      </c>
      <c r="CK161" s="31" t="str">
        <f aca="false">IFERROR(INDEX(設定!$F$61:$F$106,MATCH(B161,設定!$B$61:$B$106,0)),"Y")</f>
        <v>N</v>
      </c>
      <c r="CL161" s="31" t="str">
        <f aca="false">IFERROR(INDEX(設定!$G$61:$G$106,MATCH(B161,設定!$B$61:$B$106,0)),"外郭型")</f>
        <v>外郭型</v>
      </c>
      <c r="CM161" s="33" t="str">
        <f aca="false">A161&amp;"|"&amp;B161</f>
        <v>2026-06 賞与|産業振興センター</v>
      </c>
      <c r="CN161" s="34" t="str">
        <f aca="false">IFERROR(INDEX(設定!$D$61:$D$106,MATCH(B161,設定!$B$61:$B$106,0)),"Y")</f>
        <v>Y</v>
      </c>
      <c r="CO161" s="34" t="str">
        <f aca="false">IFERROR(INDEX(設定!$D$20:$D$34,MATCH(A161,設定!$A$20:$A$34,0))&amp;"","")</f>
        <v/>
      </c>
    </row>
    <row r="162" customFormat="false" ht="15" hidden="true" customHeight="false" outlineLevel="0" collapsed="false">
      <c r="A162" s="22" t="s">
        <v>218</v>
      </c>
      <c r="B162" s="23" t="s">
        <v>186</v>
      </c>
      <c r="C162" s="10" t="str">
        <f aca="false">IF(G162="","未受領",IF(G162="なし","報告なし",IF(AL162="○","起票済",IF(OR(AK162="○",F162="一致",F162="入金不要"),"入金確認済","受領済"))))</f>
        <v>入金確認済</v>
      </c>
      <c r="D162" s="10" t="str">
        <f aca="false">IF(OR(G162="",G162="なし"),"―",IF(CN162="N","対象外",IF(AND(I162="",J162="",K162=""),"標報未入力",IF(CH162&gt;=設定!$B$4,"要確認","問題なし"))))</f>
        <v>標報未入力</v>
      </c>
      <c r="E162" s="24" t="str">
        <f aca="false">IF(OR(G162="",G162="なし",CI162="",CJ162=0),"―",IF(CJ162=CI162,"前月同額",IF(CI162=0,"―",IF(ABS(CJ162/CI162-1)&gt;=設定!$B$5,"変動大 "&amp;TEXT(CJ162/CI162-1,"+0%;-0%"),"〇"))))</f>
        <v>―</v>
      </c>
      <c r="F162" s="10" t="str">
        <f aca="false">IF(OR(G162="",G162="なし"),"―",IF(CJ162=0,"入金不要",IF(COUNT(AD162,AF162,AH162,AJ162)=0,IF(AK162="○","手動確認","未入金"),IF(AND(N(AD162)=AC162,IF(AE162="",TRUE(),N(AF162)=AE162),IF(AG162="",TRUE(),N(AH162)=AG162),IF(AI162="",TRUE(),N(AJ162)=AI162)),"一致","不一致"))))</f>
        <v>手動確認</v>
      </c>
      <c r="G162" s="25" t="s">
        <v>167</v>
      </c>
      <c r="H162" s="26"/>
      <c r="I162" s="27"/>
      <c r="J162" s="27"/>
      <c r="K162" s="27"/>
      <c r="L162" s="27"/>
      <c r="M162" s="27"/>
      <c r="N162" s="27"/>
      <c r="O162" s="27"/>
      <c r="P162" s="27"/>
      <c r="Q162" s="27"/>
      <c r="R162" s="27"/>
      <c r="S162" s="27"/>
      <c r="T162" s="27" t="n">
        <v>97264</v>
      </c>
      <c r="U162" s="27" t="n">
        <v>7972</v>
      </c>
      <c r="V162" s="27" t="n">
        <v>92</v>
      </c>
      <c r="W162" s="27" t="n">
        <v>55180</v>
      </c>
      <c r="X162" s="27" t="n">
        <v>8397</v>
      </c>
      <c r="Y162" s="27" t="n">
        <v>1222</v>
      </c>
      <c r="Z162" s="27"/>
      <c r="AA162" s="10" t="str">
        <f aca="false">IFERROR(INDEX(設定!$E$61:$E$106,MATCH(B162,設定!$B$61:$B$106,0)),"合算")</f>
        <v>合算</v>
      </c>
      <c r="AB162" s="28"/>
      <c r="AC162" s="29" t="n">
        <f aca="false">IF(OR(G162="",G162="なし"),"",IF(AA162="合算",CJ162+N(Z162),IF(AA162="掛金・負担金別",(AY162+AZ162+BD162+BF162+BH162),SUM(AY162:BC162))))</f>
        <v>170127</v>
      </c>
      <c r="AD162" s="27"/>
      <c r="AE162" s="29" t="str">
        <f aca="false">IF(OR(G162="",G162="なし"),"",IF(AA162="掛金・負担金別",(BA162+BB162+BC162+BE162+BG162+BI162+N(Z162)),IF(AA162="経理区分別",BD162+BE162,"")))</f>
        <v/>
      </c>
      <c r="AF162" s="27"/>
      <c r="AG162" s="29" t="str">
        <f aca="false">IF(OR(G162="",G162="なし"),"",IF(AA162="経理区分別",BF162+BG162,""))</f>
        <v/>
      </c>
      <c r="AH162" s="27"/>
      <c r="AI162" s="29" t="str">
        <f aca="false">IF(OR(G162="",G162="なし"),"",IF(AA162="経理区分別",BH162+BI162+N(Z162),""))</f>
        <v/>
      </c>
      <c r="AJ162" s="27"/>
      <c r="AK162" s="26" t="s">
        <v>168</v>
      </c>
      <c r="AL162" s="26"/>
      <c r="AM162" s="30"/>
      <c r="AN162" s="31"/>
      <c r="AO162" s="31"/>
      <c r="AP162" s="31"/>
      <c r="AQ162" s="31"/>
      <c r="AR162" s="31"/>
      <c r="AS162" s="31"/>
      <c r="AT162" s="31"/>
      <c r="AU162" s="31"/>
      <c r="AV162" s="31"/>
      <c r="AW162" s="31"/>
      <c r="AX162" s="31"/>
      <c r="AY162" s="31" t="n">
        <f aca="false">IF($G162="",AN162,O162)</f>
        <v>0</v>
      </c>
      <c r="AZ162" s="31" t="n">
        <f aca="false">IF($G162="",AO162,P162)</f>
        <v>0</v>
      </c>
      <c r="BA162" s="31" t="n">
        <f aca="false">IF($G162="",AP162,T162)</f>
        <v>97264</v>
      </c>
      <c r="BB162" s="31" t="n">
        <f aca="false">IF($G162="",AQ162,U162)</f>
        <v>7972</v>
      </c>
      <c r="BC162" s="31" t="n">
        <f aca="false">IF($G162="",AR162,V162)</f>
        <v>92</v>
      </c>
      <c r="BD162" s="31" t="n">
        <f aca="false">IF($G162="",AS162,Q162)</f>
        <v>0</v>
      </c>
      <c r="BE162" s="31" t="n">
        <f aca="false">IF($G162="",AT162,W162)</f>
        <v>55180</v>
      </c>
      <c r="BF162" s="31" t="n">
        <f aca="false">IF($G162="",AU162,R162)</f>
        <v>0</v>
      </c>
      <c r="BG162" s="31" t="n">
        <f aca="false">IF($G162="",AV162,X162)</f>
        <v>8397</v>
      </c>
      <c r="BH162" s="31" t="n">
        <f aca="false">IF($G162="",AW162,S162)</f>
        <v>0</v>
      </c>
      <c r="BI162" s="31" t="n">
        <f aca="false">IF($G162="",AX162,Y162)</f>
        <v>1222</v>
      </c>
      <c r="BJ162" s="31" t="n">
        <f aca="false">IF(CK162="N",BR162,ROUNDDOWN((I162-L162)*設定!$B$10/1000,0)+ROUNDDOWN((I162-L162)*設定!$B$11/1000,0))</f>
        <v>0</v>
      </c>
      <c r="BK162" s="31" t="n">
        <f aca="false">ROUNDDOWN((I162-L162)*設定!$C$10/1000,0)+ROUNDDOWN((I162-L162)*設定!$C$11/1000,0)+ROUNDDOWN(I162*設定!$C$12/1000,0)+IF(CL162="市局型",ROUNDDOWN(I162*設定!$C$16/1000,0),0)</f>
        <v>0</v>
      </c>
      <c r="BL162" s="31" t="n">
        <f aca="false">IF(CK162="N",BT162,ROUNDDOWN((J162-M162)*設定!$B$13/1000,0))</f>
        <v>0</v>
      </c>
      <c r="BM162" s="31" t="n">
        <f aca="false">ROUNDDOWN((J162-M162)*設定!$C$13/1000,0)+IF(CL162="市局型",ROUNDDOWN(J162*設定!$C$17/1000,0),0)</f>
        <v>0</v>
      </c>
      <c r="BN162" s="31" t="n">
        <f aca="false">IF(CK162="N",BV162,ROUNDDOWN((K162-N162)*設定!$B$14/1000,0))</f>
        <v>0</v>
      </c>
      <c r="BO162" s="31" t="n">
        <f aca="false">ROUNDDOWN((K162-N162)*設定!$C$14/1000,0)</f>
        <v>0</v>
      </c>
      <c r="BP162" s="31" t="n">
        <f aca="false">IF(CK162="N",BX162,ROUNDDOWN((J162-M162)*設定!$B$15/1000,0))</f>
        <v>0</v>
      </c>
      <c r="BQ162" s="31" t="n">
        <f aca="false">ROUNDDOWN((J162-M162)*設定!$C$15/1000,0)</f>
        <v>0</v>
      </c>
      <c r="BR162" s="31" t="n">
        <f aca="false">O162+P162</f>
        <v>0</v>
      </c>
      <c r="BS162" s="31" t="n">
        <f aca="false">T162+U162+V162</f>
        <v>105328</v>
      </c>
      <c r="BT162" s="31" t="n">
        <f aca="false">Q162</f>
        <v>0</v>
      </c>
      <c r="BU162" s="31" t="n">
        <f aca="false">W162</f>
        <v>55180</v>
      </c>
      <c r="BV162" s="31" t="n">
        <f aca="false">R162</f>
        <v>0</v>
      </c>
      <c r="BW162" s="31" t="n">
        <f aca="false">X162</f>
        <v>8397</v>
      </c>
      <c r="BX162" s="31" t="n">
        <f aca="false">S162</f>
        <v>0</v>
      </c>
      <c r="BY162" s="31" t="n">
        <f aca="false">Y162</f>
        <v>1222</v>
      </c>
      <c r="BZ162" s="32" t="n">
        <f aca="false">IF(BJ162=0,IF(BR162=0,0,1),(BR162-BJ162)/BJ162)</f>
        <v>0</v>
      </c>
      <c r="CA162" s="32" t="n">
        <f aca="false">IF(BK162=0,IF(BS162=0,0,1),(BS162-BK162)/BK162)</f>
        <v>1</v>
      </c>
      <c r="CB162" s="32" t="n">
        <f aca="false">IF(BL162=0,IF(BT162=0,0,1),(BT162-BL162)/BL162)</f>
        <v>0</v>
      </c>
      <c r="CC162" s="32" t="n">
        <f aca="false">IF(BM162=0,IF(BU162=0,0,1),(BU162-BM162)/BM162)</f>
        <v>1</v>
      </c>
      <c r="CD162" s="32" t="n">
        <f aca="false">IF(BN162=0,IF(BV162=0,0,1),(BV162-BN162)/BN162)</f>
        <v>0</v>
      </c>
      <c r="CE162" s="32" t="n">
        <f aca="false">IF(BO162=0,IF(BW162=0,0,1),(BW162-BO162)/BO162)</f>
        <v>1</v>
      </c>
      <c r="CF162" s="32" t="n">
        <f aca="false">IF(BP162=0,IF(BX162=0,0,1),(BX162-BP162)/BP162)</f>
        <v>0</v>
      </c>
      <c r="CG162" s="32" t="n">
        <f aca="false">IF(BQ162=0,IF(BY162=0,0,1),(BY162-BQ162)/BQ162)</f>
        <v>1</v>
      </c>
      <c r="CH162" s="32" t="n">
        <f aca="false">MAX(MAX(BZ162:CG162),-MIN(BZ162:CG162))</f>
        <v>1</v>
      </c>
      <c r="CI162" s="31" t="str">
        <f aca="false">IF(CO162="","",SUMIFS($CJ$7:$CJ$696,$A$7:$A$696,CO162,$B$7:$B$696,B162))</f>
        <v/>
      </c>
      <c r="CJ162" s="31" t="n">
        <f aca="false">SUM(AY162:BI162)</f>
        <v>170127</v>
      </c>
      <c r="CK162" s="31" t="str">
        <f aca="false">IFERROR(INDEX(設定!$F$61:$F$106,MATCH(B162,設定!$B$61:$B$106,0)),"Y")</f>
        <v>N</v>
      </c>
      <c r="CL162" s="31" t="str">
        <f aca="false">IFERROR(INDEX(設定!$G$61:$G$106,MATCH(B162,設定!$B$61:$B$106,0)),"外郭型")</f>
        <v>外郭型</v>
      </c>
      <c r="CM162" s="33" t="str">
        <f aca="false">A162&amp;"|"&amp;B162</f>
        <v>2026-06 賞与|ひろしま産業振興</v>
      </c>
      <c r="CN162" s="34" t="str">
        <f aca="false">IFERROR(INDEX(設定!$D$61:$D$106,MATCH(B162,設定!$B$61:$B$106,0)),"Y")</f>
        <v>Y</v>
      </c>
      <c r="CO162" s="34" t="str">
        <f aca="false">IFERROR(INDEX(設定!$D$20:$D$34,MATCH(A162,設定!$A$20:$A$34,0))&amp;"","")</f>
        <v/>
      </c>
    </row>
    <row r="163" customFormat="false" ht="15" hidden="true" customHeight="false" outlineLevel="0" collapsed="false">
      <c r="A163" s="22" t="s">
        <v>218</v>
      </c>
      <c r="B163" s="23" t="s">
        <v>187</v>
      </c>
      <c r="C163" s="10" t="str">
        <f aca="false">IF(G163="","未受領",IF(G163="なし","報告なし",IF(AL163="○","起票済",IF(OR(AK163="○",F163="一致",F163="入金不要"),"入金確認済","受領済"))))</f>
        <v>入金確認済</v>
      </c>
      <c r="D163" s="10" t="str">
        <f aca="false">IF(OR(G163="",G163="なし"),"―",IF(CN163="N","対象外",IF(AND(I163="",J163="",K163=""),"標報未入力",IF(CH163&gt;=設定!$B$4,"要確認","問題なし"))))</f>
        <v>標報未入力</v>
      </c>
      <c r="E163" s="24" t="str">
        <f aca="false">IF(OR(G163="",G163="なし",CI163="",CJ163=0),"―",IF(CJ163=CI163,"前月同額",IF(CI163=0,"―",IF(ABS(CJ163/CI163-1)&gt;=設定!$B$5,"変動大 "&amp;TEXT(CJ163/CI163-1,"+0%;-0%"),"〇"))))</f>
        <v>―</v>
      </c>
      <c r="F163" s="10" t="str">
        <f aca="false">IF(OR(G163="",G163="なし"),"―",IF(CJ163=0,"入金不要",IF(COUNT(AD163,AF163,AH163,AJ163)=0,IF(AK163="○","手動確認","未入金"),IF(AND(N(AD163)=AC163,IF(AE163="",TRUE(),N(AF163)=AE163),IF(AG163="",TRUE(),N(AH163)=AG163),IF(AI163="",TRUE(),N(AJ163)=AI163)),"一致","不一致"))))</f>
        <v>入金不要</v>
      </c>
      <c r="G163" s="25" t="s">
        <v>167</v>
      </c>
      <c r="H163" s="26"/>
      <c r="I163" s="27"/>
      <c r="J163" s="27"/>
      <c r="K163" s="27"/>
      <c r="L163" s="27"/>
      <c r="M163" s="27"/>
      <c r="N163" s="27"/>
      <c r="O163" s="27"/>
      <c r="P163" s="27"/>
      <c r="Q163" s="27"/>
      <c r="R163" s="27"/>
      <c r="S163" s="27"/>
      <c r="T163" s="27" t="n">
        <v>0</v>
      </c>
      <c r="U163" s="27" t="n">
        <v>0</v>
      </c>
      <c r="V163" s="27" t="n">
        <v>0</v>
      </c>
      <c r="W163" s="27" t="n">
        <v>0</v>
      </c>
      <c r="X163" s="27" t="n">
        <v>0</v>
      </c>
      <c r="Y163" s="27" t="n">
        <v>0</v>
      </c>
      <c r="Z163" s="27"/>
      <c r="AA163" s="10" t="str">
        <f aca="false">IFERROR(INDEX(設定!$E$61:$E$106,MATCH(B163,設定!$B$61:$B$106,0)),"合算")</f>
        <v>合算</v>
      </c>
      <c r="AB163" s="28"/>
      <c r="AC163" s="29" t="n">
        <f aca="false">IF(OR(G163="",G163="なし"),"",IF(AA163="合算",CJ163+N(Z163),IF(AA163="掛金・負担金別",(AY163+AZ163+BD163+BF163+BH163),SUM(AY163:BC163))))</f>
        <v>0</v>
      </c>
      <c r="AD163" s="27"/>
      <c r="AE163" s="29" t="str">
        <f aca="false">IF(OR(G163="",G163="なし"),"",IF(AA163="掛金・負担金別",(BA163+BB163+BC163+BE163+BG163+BI163+N(Z163)),IF(AA163="経理区分別",BD163+BE163,"")))</f>
        <v/>
      </c>
      <c r="AF163" s="27"/>
      <c r="AG163" s="29" t="str">
        <f aca="false">IF(OR(G163="",G163="なし"),"",IF(AA163="経理区分別",BF163+BG163,""))</f>
        <v/>
      </c>
      <c r="AH163" s="27"/>
      <c r="AI163" s="29" t="str">
        <f aca="false">IF(OR(G163="",G163="なし"),"",IF(AA163="経理区分別",BH163+BI163+N(Z163),""))</f>
        <v/>
      </c>
      <c r="AJ163" s="27"/>
      <c r="AK163" s="26" t="s">
        <v>168</v>
      </c>
      <c r="AL163" s="26"/>
      <c r="AM163" s="30"/>
      <c r="AN163" s="31"/>
      <c r="AO163" s="31"/>
      <c r="AP163" s="31"/>
      <c r="AQ163" s="31"/>
      <c r="AR163" s="31"/>
      <c r="AS163" s="31"/>
      <c r="AT163" s="31"/>
      <c r="AU163" s="31"/>
      <c r="AV163" s="31"/>
      <c r="AW163" s="31"/>
      <c r="AX163" s="31"/>
      <c r="AY163" s="31" t="n">
        <f aca="false">IF($G163="",AN163,O163)</f>
        <v>0</v>
      </c>
      <c r="AZ163" s="31" t="n">
        <f aca="false">IF($G163="",AO163,P163)</f>
        <v>0</v>
      </c>
      <c r="BA163" s="31" t="n">
        <f aca="false">IF($G163="",AP163,T163)</f>
        <v>0</v>
      </c>
      <c r="BB163" s="31" t="n">
        <f aca="false">IF($G163="",AQ163,U163)</f>
        <v>0</v>
      </c>
      <c r="BC163" s="31" t="n">
        <f aca="false">IF($G163="",AR163,V163)</f>
        <v>0</v>
      </c>
      <c r="BD163" s="31" t="n">
        <f aca="false">IF($G163="",AS163,Q163)</f>
        <v>0</v>
      </c>
      <c r="BE163" s="31" t="n">
        <f aca="false">IF($G163="",AT163,W163)</f>
        <v>0</v>
      </c>
      <c r="BF163" s="31" t="n">
        <f aca="false">IF($G163="",AU163,R163)</f>
        <v>0</v>
      </c>
      <c r="BG163" s="31" t="n">
        <f aca="false">IF($G163="",AV163,X163)</f>
        <v>0</v>
      </c>
      <c r="BH163" s="31" t="n">
        <f aca="false">IF($G163="",AW163,S163)</f>
        <v>0</v>
      </c>
      <c r="BI163" s="31" t="n">
        <f aca="false">IF($G163="",AX163,Y163)</f>
        <v>0</v>
      </c>
      <c r="BJ163" s="31" t="n">
        <f aca="false">IF(CK163="N",BR163,ROUNDDOWN((I163-L163)*設定!$B$10/1000,0)+ROUNDDOWN((I163-L163)*設定!$B$11/1000,0))</f>
        <v>0</v>
      </c>
      <c r="BK163" s="31" t="n">
        <f aca="false">ROUNDDOWN((I163-L163)*設定!$C$10/1000,0)+ROUNDDOWN((I163-L163)*設定!$C$11/1000,0)+ROUNDDOWN(I163*設定!$C$12/1000,0)+IF(CL163="市局型",ROUNDDOWN(I163*設定!$C$16/1000,0),0)</f>
        <v>0</v>
      </c>
      <c r="BL163" s="31" t="n">
        <f aca="false">IF(CK163="N",BT163,ROUNDDOWN((J163-M163)*設定!$B$13/1000,0))</f>
        <v>0</v>
      </c>
      <c r="BM163" s="31" t="n">
        <f aca="false">ROUNDDOWN((J163-M163)*設定!$C$13/1000,0)+IF(CL163="市局型",ROUNDDOWN(J163*設定!$C$17/1000,0),0)</f>
        <v>0</v>
      </c>
      <c r="BN163" s="31" t="n">
        <f aca="false">IF(CK163="N",BV163,ROUNDDOWN((K163-N163)*設定!$B$14/1000,0))</f>
        <v>0</v>
      </c>
      <c r="BO163" s="31" t="n">
        <f aca="false">ROUNDDOWN((K163-N163)*設定!$C$14/1000,0)</f>
        <v>0</v>
      </c>
      <c r="BP163" s="31" t="n">
        <f aca="false">IF(CK163="N",BX163,ROUNDDOWN((J163-M163)*設定!$B$15/1000,0))</f>
        <v>0</v>
      </c>
      <c r="BQ163" s="31" t="n">
        <f aca="false">ROUNDDOWN((J163-M163)*設定!$C$15/1000,0)</f>
        <v>0</v>
      </c>
      <c r="BR163" s="31" t="n">
        <f aca="false">O163+P163</f>
        <v>0</v>
      </c>
      <c r="BS163" s="31" t="n">
        <f aca="false">T163+U163+V163</f>
        <v>0</v>
      </c>
      <c r="BT163" s="31" t="n">
        <f aca="false">Q163</f>
        <v>0</v>
      </c>
      <c r="BU163" s="31" t="n">
        <f aca="false">W163</f>
        <v>0</v>
      </c>
      <c r="BV163" s="31" t="n">
        <f aca="false">R163</f>
        <v>0</v>
      </c>
      <c r="BW163" s="31" t="n">
        <f aca="false">X163</f>
        <v>0</v>
      </c>
      <c r="BX163" s="31" t="n">
        <f aca="false">S163</f>
        <v>0</v>
      </c>
      <c r="BY163" s="31" t="n">
        <f aca="false">Y163</f>
        <v>0</v>
      </c>
      <c r="BZ163" s="32" t="n">
        <f aca="false">IF(BJ163=0,IF(BR163=0,0,1),(BR163-BJ163)/BJ163)</f>
        <v>0</v>
      </c>
      <c r="CA163" s="32" t="n">
        <f aca="false">IF(BK163=0,IF(BS163=0,0,1),(BS163-BK163)/BK163)</f>
        <v>0</v>
      </c>
      <c r="CB163" s="32" t="n">
        <f aca="false">IF(BL163=0,IF(BT163=0,0,1),(BT163-BL163)/BL163)</f>
        <v>0</v>
      </c>
      <c r="CC163" s="32" t="n">
        <f aca="false">IF(BM163=0,IF(BU163=0,0,1),(BU163-BM163)/BM163)</f>
        <v>0</v>
      </c>
      <c r="CD163" s="32" t="n">
        <f aca="false">IF(BN163=0,IF(BV163=0,0,1),(BV163-BN163)/BN163)</f>
        <v>0</v>
      </c>
      <c r="CE163" s="32" t="n">
        <f aca="false">IF(BO163=0,IF(BW163=0,0,1),(BW163-BO163)/BO163)</f>
        <v>0</v>
      </c>
      <c r="CF163" s="32" t="n">
        <f aca="false">IF(BP163=0,IF(BX163=0,0,1),(BX163-BP163)/BP163)</f>
        <v>0</v>
      </c>
      <c r="CG163" s="32" t="n">
        <f aca="false">IF(BQ163=0,IF(BY163=0,0,1),(BY163-BQ163)/BQ163)</f>
        <v>0</v>
      </c>
      <c r="CH163" s="32" t="n">
        <f aca="false">MAX(MAX(BZ163:CG163),-MIN(BZ163:CG163))</f>
        <v>-0</v>
      </c>
      <c r="CI163" s="31" t="str">
        <f aca="false">IF(CO163="","",SUMIFS($CJ$7:$CJ$696,$A$7:$A$696,CO163,$B$7:$B$696,B163))</f>
        <v/>
      </c>
      <c r="CJ163" s="31" t="n">
        <f aca="false">SUM(AY163:BI163)</f>
        <v>0</v>
      </c>
      <c r="CK163" s="31" t="str">
        <f aca="false">IFERROR(INDEX(設定!$F$61:$F$106,MATCH(B163,設定!$B$61:$B$106,0)),"Y")</f>
        <v>N</v>
      </c>
      <c r="CL163" s="31" t="str">
        <f aca="false">IFERROR(INDEX(設定!$G$61:$G$106,MATCH(B163,設定!$B$61:$B$106,0)),"外郭型")</f>
        <v>外郭型</v>
      </c>
      <c r="CM163" s="33" t="str">
        <f aca="false">A163&amp;"|"&amp;B163</f>
        <v>2026-06 賞与|都市整備公社　市</v>
      </c>
      <c r="CN163" s="34" t="str">
        <f aca="false">IFERROR(INDEX(設定!$D$61:$D$106,MATCH(B163,設定!$B$61:$B$106,0)),"Y")</f>
        <v>Y</v>
      </c>
      <c r="CO163" s="34" t="str">
        <f aca="false">IFERROR(INDEX(設定!$D$20:$D$34,MATCH(A163,設定!$A$20:$A$34,0))&amp;"","")</f>
        <v/>
      </c>
    </row>
    <row r="164" customFormat="false" ht="15" hidden="true" customHeight="false" outlineLevel="0" collapsed="false">
      <c r="A164" s="22" t="s">
        <v>218</v>
      </c>
      <c r="B164" s="23" t="s">
        <v>188</v>
      </c>
      <c r="C164" s="10" t="str">
        <f aca="false">IF(G164="","未受領",IF(G164="なし","報告なし",IF(AL164="○","起票済",IF(OR(AK164="○",F164="一致",F164="入金不要"),"入金確認済","受領済"))))</f>
        <v>入金確認済</v>
      </c>
      <c r="D164" s="10" t="str">
        <f aca="false">IF(OR(G164="",G164="なし"),"―",IF(CN164="N","対象外",IF(AND(I164="",J164="",K164=""),"標報未入力",IF(CH164&gt;=設定!$B$4,"要確認","問題なし"))))</f>
        <v>標報未入力</v>
      </c>
      <c r="E164" s="24" t="str">
        <f aca="false">IF(OR(G164="",G164="なし",CI164="",CJ164=0),"―",IF(CJ164=CI164,"前月同額",IF(CI164=0,"―",IF(ABS(CJ164/CI164-1)&gt;=設定!$B$5,"変動大 "&amp;TEXT(CJ164/CI164-1,"+0%;-0%"),"〇"))))</f>
        <v>―</v>
      </c>
      <c r="F164" s="10" t="str">
        <f aca="false">IF(OR(G164="",G164="なし"),"―",IF(CJ164=0,"入金不要",IF(COUNT(AD164,AF164,AH164,AJ164)=0,IF(AK164="○","手動確認","未入金"),IF(AND(N(AD164)=AC164,IF(AE164="",TRUE(),N(AF164)=AE164),IF(AG164="",TRUE(),N(AH164)=AG164),IF(AI164="",TRUE(),N(AJ164)=AI164)),"一致","不一致"))))</f>
        <v>手動確認</v>
      </c>
      <c r="G164" s="25" t="s">
        <v>167</v>
      </c>
      <c r="H164" s="26"/>
      <c r="I164" s="27"/>
      <c r="J164" s="27"/>
      <c r="K164" s="27"/>
      <c r="L164" s="27"/>
      <c r="M164" s="27"/>
      <c r="N164" s="27"/>
      <c r="O164" s="27"/>
      <c r="P164" s="27"/>
      <c r="Q164" s="27"/>
      <c r="R164" s="27"/>
      <c r="S164" s="27"/>
      <c r="T164" s="27" t="n">
        <v>406444</v>
      </c>
      <c r="U164" s="27" t="n">
        <v>33315</v>
      </c>
      <c r="V164" s="27" t="n">
        <v>386</v>
      </c>
      <c r="W164" s="27" t="n">
        <v>230584</v>
      </c>
      <c r="X164" s="27" t="n">
        <v>27744</v>
      </c>
      <c r="Y164" s="27" t="n">
        <v>5108</v>
      </c>
      <c r="Z164" s="27"/>
      <c r="AA164" s="10" t="str">
        <f aca="false">IFERROR(INDEX(設定!$E$61:$E$106,MATCH(B164,設定!$B$61:$B$106,0)),"合算")</f>
        <v>合算</v>
      </c>
      <c r="AB164" s="28"/>
      <c r="AC164" s="29" t="n">
        <f aca="false">IF(OR(G164="",G164="なし"),"",IF(AA164="合算",CJ164+N(Z164),IF(AA164="掛金・負担金別",(AY164+AZ164+BD164+BF164+BH164),SUM(AY164:BC164))))</f>
        <v>703581</v>
      </c>
      <c r="AD164" s="27"/>
      <c r="AE164" s="29" t="str">
        <f aca="false">IF(OR(G164="",G164="なし"),"",IF(AA164="掛金・負担金別",(BA164+BB164+BC164+BE164+BG164+BI164+N(Z164)),IF(AA164="経理区分別",BD164+BE164,"")))</f>
        <v/>
      </c>
      <c r="AF164" s="27"/>
      <c r="AG164" s="29" t="str">
        <f aca="false">IF(OR(G164="",G164="なし"),"",IF(AA164="経理区分別",BF164+BG164,""))</f>
        <v/>
      </c>
      <c r="AH164" s="27"/>
      <c r="AI164" s="29" t="str">
        <f aca="false">IF(OR(G164="",G164="なし"),"",IF(AA164="経理区分別",BH164+BI164+N(Z164),""))</f>
        <v/>
      </c>
      <c r="AJ164" s="27"/>
      <c r="AK164" s="26" t="s">
        <v>168</v>
      </c>
      <c r="AL164" s="26"/>
      <c r="AM164" s="30"/>
      <c r="AN164" s="31"/>
      <c r="AO164" s="31"/>
      <c r="AP164" s="31"/>
      <c r="AQ164" s="31"/>
      <c r="AR164" s="31"/>
      <c r="AS164" s="31"/>
      <c r="AT164" s="31"/>
      <c r="AU164" s="31"/>
      <c r="AV164" s="31"/>
      <c r="AW164" s="31"/>
      <c r="AX164" s="31"/>
      <c r="AY164" s="31" t="n">
        <f aca="false">IF($G164="",AN164,O164)</f>
        <v>0</v>
      </c>
      <c r="AZ164" s="31" t="n">
        <f aca="false">IF($G164="",AO164,P164)</f>
        <v>0</v>
      </c>
      <c r="BA164" s="31" t="n">
        <f aca="false">IF($G164="",AP164,T164)</f>
        <v>406444</v>
      </c>
      <c r="BB164" s="31" t="n">
        <f aca="false">IF($G164="",AQ164,U164)</f>
        <v>33315</v>
      </c>
      <c r="BC164" s="31" t="n">
        <f aca="false">IF($G164="",AR164,V164)</f>
        <v>386</v>
      </c>
      <c r="BD164" s="31" t="n">
        <f aca="false">IF($G164="",AS164,Q164)</f>
        <v>0</v>
      </c>
      <c r="BE164" s="31" t="n">
        <f aca="false">IF($G164="",AT164,W164)</f>
        <v>230584</v>
      </c>
      <c r="BF164" s="31" t="n">
        <f aca="false">IF($G164="",AU164,R164)</f>
        <v>0</v>
      </c>
      <c r="BG164" s="31" t="n">
        <f aca="false">IF($G164="",AV164,X164)</f>
        <v>27744</v>
      </c>
      <c r="BH164" s="31" t="n">
        <f aca="false">IF($G164="",AW164,S164)</f>
        <v>0</v>
      </c>
      <c r="BI164" s="31" t="n">
        <f aca="false">IF($G164="",AX164,Y164)</f>
        <v>5108</v>
      </c>
      <c r="BJ164" s="31" t="n">
        <f aca="false">IF(CK164="N",BR164,ROUNDDOWN((I164-L164)*設定!$B$10/1000,0)+ROUNDDOWN((I164-L164)*設定!$B$11/1000,0))</f>
        <v>0</v>
      </c>
      <c r="BK164" s="31" t="n">
        <f aca="false">ROUNDDOWN((I164-L164)*設定!$C$10/1000,0)+ROUNDDOWN((I164-L164)*設定!$C$11/1000,0)+ROUNDDOWN(I164*設定!$C$12/1000,0)+IF(CL164="市局型",ROUNDDOWN(I164*設定!$C$16/1000,0),0)</f>
        <v>0</v>
      </c>
      <c r="BL164" s="31" t="n">
        <f aca="false">IF(CK164="N",BT164,ROUNDDOWN((J164-M164)*設定!$B$13/1000,0))</f>
        <v>0</v>
      </c>
      <c r="BM164" s="31" t="n">
        <f aca="false">ROUNDDOWN((J164-M164)*設定!$C$13/1000,0)+IF(CL164="市局型",ROUNDDOWN(J164*設定!$C$17/1000,0),0)</f>
        <v>0</v>
      </c>
      <c r="BN164" s="31" t="n">
        <f aca="false">IF(CK164="N",BV164,ROUNDDOWN((K164-N164)*設定!$B$14/1000,0))</f>
        <v>0</v>
      </c>
      <c r="BO164" s="31" t="n">
        <f aca="false">ROUNDDOWN((K164-N164)*設定!$C$14/1000,0)</f>
        <v>0</v>
      </c>
      <c r="BP164" s="31" t="n">
        <f aca="false">IF(CK164="N",BX164,ROUNDDOWN((J164-M164)*設定!$B$15/1000,0))</f>
        <v>0</v>
      </c>
      <c r="BQ164" s="31" t="n">
        <f aca="false">ROUNDDOWN((J164-M164)*設定!$C$15/1000,0)</f>
        <v>0</v>
      </c>
      <c r="BR164" s="31" t="n">
        <f aca="false">O164+P164</f>
        <v>0</v>
      </c>
      <c r="BS164" s="31" t="n">
        <f aca="false">T164+U164+V164</f>
        <v>440145</v>
      </c>
      <c r="BT164" s="31" t="n">
        <f aca="false">Q164</f>
        <v>0</v>
      </c>
      <c r="BU164" s="31" t="n">
        <f aca="false">W164</f>
        <v>230584</v>
      </c>
      <c r="BV164" s="31" t="n">
        <f aca="false">R164</f>
        <v>0</v>
      </c>
      <c r="BW164" s="31" t="n">
        <f aca="false">X164</f>
        <v>27744</v>
      </c>
      <c r="BX164" s="31" t="n">
        <f aca="false">S164</f>
        <v>0</v>
      </c>
      <c r="BY164" s="31" t="n">
        <f aca="false">Y164</f>
        <v>5108</v>
      </c>
      <c r="BZ164" s="32" t="n">
        <f aca="false">IF(BJ164=0,IF(BR164=0,0,1),(BR164-BJ164)/BJ164)</f>
        <v>0</v>
      </c>
      <c r="CA164" s="32" t="n">
        <f aca="false">IF(BK164=0,IF(BS164=0,0,1),(BS164-BK164)/BK164)</f>
        <v>1</v>
      </c>
      <c r="CB164" s="32" t="n">
        <f aca="false">IF(BL164=0,IF(BT164=0,0,1),(BT164-BL164)/BL164)</f>
        <v>0</v>
      </c>
      <c r="CC164" s="32" t="n">
        <f aca="false">IF(BM164=0,IF(BU164=0,0,1),(BU164-BM164)/BM164)</f>
        <v>1</v>
      </c>
      <c r="CD164" s="32" t="n">
        <f aca="false">IF(BN164=0,IF(BV164=0,0,1),(BV164-BN164)/BN164)</f>
        <v>0</v>
      </c>
      <c r="CE164" s="32" t="n">
        <f aca="false">IF(BO164=0,IF(BW164=0,0,1),(BW164-BO164)/BO164)</f>
        <v>1</v>
      </c>
      <c r="CF164" s="32" t="n">
        <f aca="false">IF(BP164=0,IF(BX164=0,0,1),(BX164-BP164)/BP164)</f>
        <v>0</v>
      </c>
      <c r="CG164" s="32" t="n">
        <f aca="false">IF(BQ164=0,IF(BY164=0,0,1),(BY164-BQ164)/BQ164)</f>
        <v>1</v>
      </c>
      <c r="CH164" s="32" t="n">
        <f aca="false">MAX(MAX(BZ164:CG164),-MIN(BZ164:CG164))</f>
        <v>1</v>
      </c>
      <c r="CI164" s="31" t="str">
        <f aca="false">IF(CO164="","",SUMIFS($CJ$7:$CJ$696,$A$7:$A$696,CO164,$B$7:$B$696,B164))</f>
        <v/>
      </c>
      <c r="CJ164" s="31" t="n">
        <f aca="false">SUM(AY164:BI164)</f>
        <v>703581</v>
      </c>
      <c r="CK164" s="31" t="str">
        <f aca="false">IFERROR(INDEX(設定!$F$61:$F$106,MATCH(B164,設定!$B$61:$B$106,0)),"Y")</f>
        <v>N</v>
      </c>
      <c r="CL164" s="31" t="str">
        <f aca="false">IFERROR(INDEX(設定!$G$61:$G$106,MATCH(B164,設定!$B$61:$B$106,0)),"外郭型")</f>
        <v>外郭型</v>
      </c>
      <c r="CM164" s="33" t="str">
        <f aca="false">A164&amp;"|"&amp;B164</f>
        <v>2026-06 賞与|都市整備公社　消防</v>
      </c>
      <c r="CN164" s="34" t="str">
        <f aca="false">IFERROR(INDEX(設定!$D$61:$D$106,MATCH(B164,設定!$B$61:$B$106,0)),"Y")</f>
        <v>Y</v>
      </c>
      <c r="CO164" s="34" t="str">
        <f aca="false">IFERROR(INDEX(設定!$D$20:$D$34,MATCH(A164,設定!$A$20:$A$34,0))&amp;"","")</f>
        <v/>
      </c>
    </row>
    <row r="165" customFormat="false" ht="15" hidden="true" customHeight="false" outlineLevel="0" collapsed="false">
      <c r="A165" s="22" t="s">
        <v>218</v>
      </c>
      <c r="B165" s="23" t="s">
        <v>189</v>
      </c>
      <c r="C165" s="10" t="str">
        <f aca="false">IF(G165="","未受領",IF(G165="なし","報告なし",IF(AL165="○","起票済",IF(OR(AK165="○",F165="一致",F165="入金不要"),"入金確認済","受領済"))))</f>
        <v>入金確認済</v>
      </c>
      <c r="D165" s="10" t="str">
        <f aca="false">IF(OR(G165="",G165="なし"),"―",IF(CN165="N","対象外",IF(AND(I165="",J165="",K165=""),"標報未入力",IF(CH165&gt;=設定!$B$4,"要確認","問題なし"))))</f>
        <v>標報未入力</v>
      </c>
      <c r="E165" s="24" t="str">
        <f aca="false">IF(OR(G165="",G165="なし",CI165="",CJ165=0),"―",IF(CJ165=CI165,"前月同額",IF(CI165=0,"―",IF(ABS(CJ165/CI165-1)&gt;=設定!$B$5,"変動大 "&amp;TEXT(CJ165/CI165-1,"+0%;-0%"),"〇"))))</f>
        <v>―</v>
      </c>
      <c r="F165" s="10" t="str">
        <f aca="false">IF(OR(G165="",G165="なし"),"―",IF(CJ165=0,"入金不要",IF(COUNT(AD165,AF165,AH165,AJ165)=0,IF(AK165="○","手動確認","未入金"),IF(AND(N(AD165)=AC165,IF(AE165="",TRUE(),N(AF165)=AE165),IF(AG165="",TRUE(),N(AH165)=AG165),IF(AI165="",TRUE(),N(AJ165)=AI165)),"一致","不一致"))))</f>
        <v>手動確認</v>
      </c>
      <c r="G165" s="25" t="s">
        <v>167</v>
      </c>
      <c r="H165" s="26"/>
      <c r="I165" s="27"/>
      <c r="J165" s="27"/>
      <c r="K165" s="27"/>
      <c r="L165" s="27"/>
      <c r="M165" s="27"/>
      <c r="N165" s="27"/>
      <c r="O165" s="27" t="n">
        <v>472780</v>
      </c>
      <c r="P165" s="27" t="n">
        <v>38752</v>
      </c>
      <c r="Q165" s="27" t="n">
        <v>267959</v>
      </c>
      <c r="R165" s="27" t="n">
        <v>19702</v>
      </c>
      <c r="S165" s="27" t="n">
        <v>5940</v>
      </c>
      <c r="T165" s="27" t="n">
        <v>472781</v>
      </c>
      <c r="U165" s="27" t="n">
        <v>38752</v>
      </c>
      <c r="V165" s="27" t="n">
        <v>449</v>
      </c>
      <c r="W165" s="27" t="n">
        <v>268218</v>
      </c>
      <c r="X165" s="27" t="n">
        <v>19702</v>
      </c>
      <c r="Y165" s="27" t="n">
        <v>5942</v>
      </c>
      <c r="Z165" s="27"/>
      <c r="AA165" s="10" t="str">
        <f aca="false">IFERROR(INDEX(設定!$E$61:$E$106,MATCH(B165,設定!$B$61:$B$106,0)),"合算")</f>
        <v>合算</v>
      </c>
      <c r="AB165" s="28"/>
      <c r="AC165" s="29" t="n">
        <f aca="false">IF(OR(G165="",G165="なし"),"",IF(AA165="合算",CJ165+N(Z165),IF(AA165="掛金・負担金別",(AY165+AZ165+BD165+BF165+BH165),SUM(AY165:BC165))))</f>
        <v>1610977</v>
      </c>
      <c r="AD165" s="27"/>
      <c r="AE165" s="29" t="str">
        <f aca="false">IF(OR(G165="",G165="なし"),"",IF(AA165="掛金・負担金別",(BA165+BB165+BC165+BE165+BG165+BI165+N(Z165)),IF(AA165="経理区分別",BD165+BE165,"")))</f>
        <v/>
      </c>
      <c r="AF165" s="27"/>
      <c r="AG165" s="29" t="str">
        <f aca="false">IF(OR(G165="",G165="なし"),"",IF(AA165="経理区分別",BF165+BG165,""))</f>
        <v/>
      </c>
      <c r="AH165" s="27"/>
      <c r="AI165" s="29" t="str">
        <f aca="false">IF(OR(G165="",G165="なし"),"",IF(AA165="経理区分別",BH165+BI165+N(Z165),""))</f>
        <v/>
      </c>
      <c r="AJ165" s="27"/>
      <c r="AK165" s="26" t="s">
        <v>168</v>
      </c>
      <c r="AL165" s="26"/>
      <c r="AM165" s="30"/>
      <c r="AN165" s="31"/>
      <c r="AO165" s="31"/>
      <c r="AP165" s="31"/>
      <c r="AQ165" s="31"/>
      <c r="AR165" s="31"/>
      <c r="AS165" s="31"/>
      <c r="AT165" s="31"/>
      <c r="AU165" s="31"/>
      <c r="AV165" s="31"/>
      <c r="AW165" s="31"/>
      <c r="AX165" s="31"/>
      <c r="AY165" s="31" t="n">
        <f aca="false">IF($G165="",AN165,O165)</f>
        <v>472780</v>
      </c>
      <c r="AZ165" s="31" t="n">
        <f aca="false">IF($G165="",AO165,P165)</f>
        <v>38752</v>
      </c>
      <c r="BA165" s="31" t="n">
        <f aca="false">IF($G165="",AP165,T165)</f>
        <v>472781</v>
      </c>
      <c r="BB165" s="31" t="n">
        <f aca="false">IF($G165="",AQ165,U165)</f>
        <v>38752</v>
      </c>
      <c r="BC165" s="31" t="n">
        <f aca="false">IF($G165="",AR165,V165)</f>
        <v>449</v>
      </c>
      <c r="BD165" s="31" t="n">
        <f aca="false">IF($G165="",AS165,Q165)</f>
        <v>267959</v>
      </c>
      <c r="BE165" s="31" t="n">
        <f aca="false">IF($G165="",AT165,W165)</f>
        <v>268218</v>
      </c>
      <c r="BF165" s="31" t="n">
        <f aca="false">IF($G165="",AU165,R165)</f>
        <v>19702</v>
      </c>
      <c r="BG165" s="31" t="n">
        <f aca="false">IF($G165="",AV165,X165)</f>
        <v>19702</v>
      </c>
      <c r="BH165" s="31" t="n">
        <f aca="false">IF($G165="",AW165,S165)</f>
        <v>5940</v>
      </c>
      <c r="BI165" s="31" t="n">
        <f aca="false">IF($G165="",AX165,Y165)</f>
        <v>5942</v>
      </c>
      <c r="BJ165" s="31" t="n">
        <f aca="false">IF(CK165="N",BR165,ROUNDDOWN((I165-L165)*設定!$B$10/1000,0)+ROUNDDOWN((I165-L165)*設定!$B$11/1000,0))</f>
        <v>0</v>
      </c>
      <c r="BK165" s="31" t="n">
        <f aca="false">ROUNDDOWN((I165-L165)*設定!$C$10/1000,0)+ROUNDDOWN((I165-L165)*設定!$C$11/1000,0)+ROUNDDOWN(I165*設定!$C$12/1000,0)+IF(CL165="市局型",ROUNDDOWN(I165*設定!$C$16/1000,0),0)</f>
        <v>0</v>
      </c>
      <c r="BL165" s="31" t="n">
        <f aca="false">IF(CK165="N",BT165,ROUNDDOWN((J165-M165)*設定!$B$13/1000,0))</f>
        <v>0</v>
      </c>
      <c r="BM165" s="31" t="n">
        <f aca="false">ROUNDDOWN((J165-M165)*設定!$C$13/1000,0)+IF(CL165="市局型",ROUNDDOWN(J165*設定!$C$17/1000,0),0)</f>
        <v>0</v>
      </c>
      <c r="BN165" s="31" t="n">
        <f aca="false">IF(CK165="N",BV165,ROUNDDOWN((K165-N165)*設定!$B$14/1000,0))</f>
        <v>0</v>
      </c>
      <c r="BO165" s="31" t="n">
        <f aca="false">ROUNDDOWN((K165-N165)*設定!$C$14/1000,0)</f>
        <v>0</v>
      </c>
      <c r="BP165" s="31" t="n">
        <f aca="false">IF(CK165="N",BX165,ROUNDDOWN((J165-M165)*設定!$B$15/1000,0))</f>
        <v>0</v>
      </c>
      <c r="BQ165" s="31" t="n">
        <f aca="false">ROUNDDOWN((J165-M165)*設定!$C$15/1000,0)</f>
        <v>0</v>
      </c>
      <c r="BR165" s="31" t="n">
        <f aca="false">O165+P165</f>
        <v>511532</v>
      </c>
      <c r="BS165" s="31" t="n">
        <f aca="false">T165+U165+V165</f>
        <v>511982</v>
      </c>
      <c r="BT165" s="31" t="n">
        <f aca="false">Q165</f>
        <v>267959</v>
      </c>
      <c r="BU165" s="31" t="n">
        <f aca="false">W165</f>
        <v>268218</v>
      </c>
      <c r="BV165" s="31" t="n">
        <f aca="false">R165</f>
        <v>19702</v>
      </c>
      <c r="BW165" s="31" t="n">
        <f aca="false">X165</f>
        <v>19702</v>
      </c>
      <c r="BX165" s="31" t="n">
        <f aca="false">S165</f>
        <v>5940</v>
      </c>
      <c r="BY165" s="31" t="n">
        <f aca="false">Y165</f>
        <v>5942</v>
      </c>
      <c r="BZ165" s="32" t="n">
        <f aca="false">IF(BJ165=0,IF(BR165=0,0,1),(BR165-BJ165)/BJ165)</f>
        <v>1</v>
      </c>
      <c r="CA165" s="32" t="n">
        <f aca="false">IF(BK165=0,IF(BS165=0,0,1),(BS165-BK165)/BK165)</f>
        <v>1</v>
      </c>
      <c r="CB165" s="32" t="n">
        <f aca="false">IF(BL165=0,IF(BT165=0,0,1),(BT165-BL165)/BL165)</f>
        <v>1</v>
      </c>
      <c r="CC165" s="32" t="n">
        <f aca="false">IF(BM165=0,IF(BU165=0,0,1),(BU165-BM165)/BM165)</f>
        <v>1</v>
      </c>
      <c r="CD165" s="32" t="n">
        <f aca="false">IF(BN165=0,IF(BV165=0,0,1),(BV165-BN165)/BN165)</f>
        <v>1</v>
      </c>
      <c r="CE165" s="32" t="n">
        <f aca="false">IF(BO165=0,IF(BW165=0,0,1),(BW165-BO165)/BO165)</f>
        <v>1</v>
      </c>
      <c r="CF165" s="32" t="n">
        <f aca="false">IF(BP165=0,IF(BX165=0,0,1),(BX165-BP165)/BP165)</f>
        <v>1</v>
      </c>
      <c r="CG165" s="32" t="n">
        <f aca="false">IF(BQ165=0,IF(BY165=0,0,1),(BY165-BQ165)/BQ165)</f>
        <v>1</v>
      </c>
      <c r="CH165" s="32" t="n">
        <f aca="false">MAX(MAX(BZ165:CG165),-MIN(BZ165:CG165))</f>
        <v>1</v>
      </c>
      <c r="CI165" s="31" t="str">
        <f aca="false">IF(CO165="","",SUMIFS($CJ$7:$CJ$696,$A$7:$A$696,CO165,$B$7:$B$696,B165))</f>
        <v/>
      </c>
      <c r="CJ165" s="31" t="n">
        <f aca="false">SUM(AY165:BI165)</f>
        <v>1610977</v>
      </c>
      <c r="CK165" s="31" t="str">
        <f aca="false">IFERROR(INDEX(設定!$F$61:$F$106,MATCH(B165,設定!$B$61:$B$106,0)),"Y")</f>
        <v>Y</v>
      </c>
      <c r="CL165" s="31" t="str">
        <f aca="false">IFERROR(INDEX(設定!$G$61:$G$106,MATCH(B165,設定!$B$61:$B$106,0)),"外郭型")</f>
        <v>外郭型</v>
      </c>
      <c r="CM165" s="33" t="str">
        <f aca="false">A165&amp;"|"&amp;B165</f>
        <v>2026-06 賞与|日本下水道事業団</v>
      </c>
      <c r="CN165" s="34" t="str">
        <f aca="false">IFERROR(INDEX(設定!$D$61:$D$106,MATCH(B165,設定!$B$61:$B$106,0)),"Y")</f>
        <v>Y</v>
      </c>
      <c r="CO165" s="34" t="str">
        <f aca="false">IFERROR(INDEX(設定!$D$20:$D$34,MATCH(A165,設定!$A$20:$A$34,0))&amp;"","")</f>
        <v/>
      </c>
    </row>
    <row r="166" customFormat="false" ht="15" hidden="true" customHeight="false" outlineLevel="0" collapsed="false">
      <c r="A166" s="22" t="s">
        <v>218</v>
      </c>
      <c r="B166" s="23" t="s">
        <v>190</v>
      </c>
      <c r="C166" s="10" t="str">
        <f aca="false">IF(G166="","未受領",IF(G166="なし","報告なし",IF(AL166="○","起票済",IF(OR(AK166="○",F166="一致",F166="入金不要"),"入金確認済","受領済"))))</f>
        <v>入金確認済</v>
      </c>
      <c r="D166" s="10" t="str">
        <f aca="false">IF(OR(G166="",G166="なし"),"―",IF(CN166="N","対象外",IF(AND(I166="",J166="",K166=""),"標報未入力",IF(CH166&gt;=設定!$B$4,"要確認","問題なし"))))</f>
        <v>標報未入力</v>
      </c>
      <c r="E166" s="24" t="str">
        <f aca="false">IF(OR(G166="",G166="なし",CI166="",CJ166=0),"―",IF(CJ166=CI166,"前月同額",IF(CI166=0,"―",IF(ABS(CJ166/CI166-1)&gt;=設定!$B$5,"変動大 "&amp;TEXT(CJ166/CI166-1,"+0%;-0%"),"〇"))))</f>
        <v>―</v>
      </c>
      <c r="F166" s="10" t="str">
        <f aca="false">IF(OR(G166="",G166="なし"),"―",IF(CJ166=0,"入金不要",IF(COUNT(AD166,AF166,AH166,AJ166)=0,IF(AK166="○","手動確認","未入金"),IF(AND(N(AD166)=AC166,IF(AE166="",TRUE(),N(AF166)=AE166),IF(AG166="",TRUE(),N(AH166)=AG166),IF(AI166="",TRUE(),N(AJ166)=AI166)),"一致","不一致"))))</f>
        <v>手動確認</v>
      </c>
      <c r="G166" s="25" t="s">
        <v>167</v>
      </c>
      <c r="H166" s="26"/>
      <c r="I166" s="27"/>
      <c r="J166" s="27"/>
      <c r="K166" s="27"/>
      <c r="L166" s="27"/>
      <c r="M166" s="27"/>
      <c r="N166" s="27"/>
      <c r="O166" s="27" t="n">
        <v>73474</v>
      </c>
      <c r="P166" s="27" t="n">
        <v>6022</v>
      </c>
      <c r="Q166" s="27" t="n">
        <v>41643</v>
      </c>
      <c r="R166" s="27" t="n">
        <v>0</v>
      </c>
      <c r="S166" s="27" t="n">
        <v>923</v>
      </c>
      <c r="T166" s="27" t="n">
        <v>73475</v>
      </c>
      <c r="U166" s="27" t="n">
        <v>6022</v>
      </c>
      <c r="V166" s="27" t="n">
        <v>69</v>
      </c>
      <c r="W166" s="27" t="n">
        <v>41683</v>
      </c>
      <c r="X166" s="27" t="n">
        <v>0</v>
      </c>
      <c r="Y166" s="27" t="n">
        <v>923</v>
      </c>
      <c r="Z166" s="27"/>
      <c r="AA166" s="10" t="str">
        <f aca="false">IFERROR(INDEX(設定!$E$61:$E$106,MATCH(B166,設定!$B$61:$B$106,0)),"合算")</f>
        <v>合算</v>
      </c>
      <c r="AB166" s="28"/>
      <c r="AC166" s="29" t="n">
        <f aca="false">IF(OR(G166="",G166="なし"),"",IF(AA166="合算",CJ166+N(Z166),IF(AA166="掛金・負担金別",(AY166+AZ166+BD166+BF166+BH166),SUM(AY166:BC166))))</f>
        <v>244234</v>
      </c>
      <c r="AD166" s="27"/>
      <c r="AE166" s="29" t="str">
        <f aca="false">IF(OR(G166="",G166="なし"),"",IF(AA166="掛金・負担金別",(BA166+BB166+BC166+BE166+BG166+BI166+N(Z166)),IF(AA166="経理区分別",BD166+BE166,"")))</f>
        <v/>
      </c>
      <c r="AF166" s="27"/>
      <c r="AG166" s="29" t="str">
        <f aca="false">IF(OR(G166="",G166="なし"),"",IF(AA166="経理区分別",BF166+BG166,""))</f>
        <v/>
      </c>
      <c r="AH166" s="27"/>
      <c r="AI166" s="29" t="str">
        <f aca="false">IF(OR(G166="",G166="なし"),"",IF(AA166="経理区分別",BH166+BI166+N(Z166),""))</f>
        <v/>
      </c>
      <c r="AJ166" s="27"/>
      <c r="AK166" s="26" t="s">
        <v>168</v>
      </c>
      <c r="AL166" s="26"/>
      <c r="AM166" s="30"/>
      <c r="AN166" s="31"/>
      <c r="AO166" s="31"/>
      <c r="AP166" s="31"/>
      <c r="AQ166" s="31"/>
      <c r="AR166" s="31"/>
      <c r="AS166" s="31"/>
      <c r="AT166" s="31"/>
      <c r="AU166" s="31"/>
      <c r="AV166" s="31"/>
      <c r="AW166" s="31"/>
      <c r="AX166" s="31"/>
      <c r="AY166" s="31" t="n">
        <f aca="false">IF($G166="",AN166,O166)</f>
        <v>73474</v>
      </c>
      <c r="AZ166" s="31" t="n">
        <f aca="false">IF($G166="",AO166,P166)</f>
        <v>6022</v>
      </c>
      <c r="BA166" s="31" t="n">
        <f aca="false">IF($G166="",AP166,T166)</f>
        <v>73475</v>
      </c>
      <c r="BB166" s="31" t="n">
        <f aca="false">IF($G166="",AQ166,U166)</f>
        <v>6022</v>
      </c>
      <c r="BC166" s="31" t="n">
        <f aca="false">IF($G166="",AR166,V166)</f>
        <v>69</v>
      </c>
      <c r="BD166" s="31" t="n">
        <f aca="false">IF($G166="",AS166,Q166)</f>
        <v>41643</v>
      </c>
      <c r="BE166" s="31" t="n">
        <f aca="false">IF($G166="",AT166,W166)</f>
        <v>41683</v>
      </c>
      <c r="BF166" s="31" t="n">
        <f aca="false">IF($G166="",AU166,R166)</f>
        <v>0</v>
      </c>
      <c r="BG166" s="31" t="n">
        <f aca="false">IF($G166="",AV166,X166)</f>
        <v>0</v>
      </c>
      <c r="BH166" s="31" t="n">
        <f aca="false">IF($G166="",AW166,S166)</f>
        <v>923</v>
      </c>
      <c r="BI166" s="31" t="n">
        <f aca="false">IF($G166="",AX166,Y166)</f>
        <v>923</v>
      </c>
      <c r="BJ166" s="31" t="n">
        <f aca="false">IF(CK166="N",BR166,ROUNDDOWN((I166-L166)*設定!$B$10/1000,0)+ROUNDDOWN((I166-L166)*設定!$B$11/1000,0))</f>
        <v>0</v>
      </c>
      <c r="BK166" s="31" t="n">
        <f aca="false">ROUNDDOWN((I166-L166)*設定!$C$10/1000,0)+ROUNDDOWN((I166-L166)*設定!$C$11/1000,0)+ROUNDDOWN(I166*設定!$C$12/1000,0)+IF(CL166="市局型",ROUNDDOWN(I166*設定!$C$16/1000,0),0)</f>
        <v>0</v>
      </c>
      <c r="BL166" s="31" t="n">
        <f aca="false">IF(CK166="N",BT166,ROUNDDOWN((J166-M166)*設定!$B$13/1000,0))</f>
        <v>0</v>
      </c>
      <c r="BM166" s="31" t="n">
        <f aca="false">ROUNDDOWN((J166-M166)*設定!$C$13/1000,0)+IF(CL166="市局型",ROUNDDOWN(J166*設定!$C$17/1000,0),0)</f>
        <v>0</v>
      </c>
      <c r="BN166" s="31" t="n">
        <f aca="false">IF(CK166="N",BV166,ROUNDDOWN((K166-N166)*設定!$B$14/1000,0))</f>
        <v>0</v>
      </c>
      <c r="BO166" s="31" t="n">
        <f aca="false">ROUNDDOWN((K166-N166)*設定!$C$14/1000,0)</f>
        <v>0</v>
      </c>
      <c r="BP166" s="31" t="n">
        <f aca="false">IF(CK166="N",BX166,ROUNDDOWN((J166-M166)*設定!$B$15/1000,0))</f>
        <v>0</v>
      </c>
      <c r="BQ166" s="31" t="n">
        <f aca="false">ROUNDDOWN((J166-M166)*設定!$C$15/1000,0)</f>
        <v>0</v>
      </c>
      <c r="BR166" s="31" t="n">
        <f aca="false">O166+P166</f>
        <v>79496</v>
      </c>
      <c r="BS166" s="31" t="n">
        <f aca="false">T166+U166+V166</f>
        <v>79566</v>
      </c>
      <c r="BT166" s="31" t="n">
        <f aca="false">Q166</f>
        <v>41643</v>
      </c>
      <c r="BU166" s="31" t="n">
        <f aca="false">W166</f>
        <v>41683</v>
      </c>
      <c r="BV166" s="31" t="n">
        <f aca="false">R166</f>
        <v>0</v>
      </c>
      <c r="BW166" s="31" t="n">
        <f aca="false">X166</f>
        <v>0</v>
      </c>
      <c r="BX166" s="31" t="n">
        <f aca="false">S166</f>
        <v>923</v>
      </c>
      <c r="BY166" s="31" t="n">
        <f aca="false">Y166</f>
        <v>923</v>
      </c>
      <c r="BZ166" s="32" t="n">
        <f aca="false">IF(BJ166=0,IF(BR166=0,0,1),(BR166-BJ166)/BJ166)</f>
        <v>1</v>
      </c>
      <c r="CA166" s="32" t="n">
        <f aca="false">IF(BK166=0,IF(BS166=0,0,1),(BS166-BK166)/BK166)</f>
        <v>1</v>
      </c>
      <c r="CB166" s="32" t="n">
        <f aca="false">IF(BL166=0,IF(BT166=0,0,1),(BT166-BL166)/BL166)</f>
        <v>1</v>
      </c>
      <c r="CC166" s="32" t="n">
        <f aca="false">IF(BM166=0,IF(BU166=0,0,1),(BU166-BM166)/BM166)</f>
        <v>1</v>
      </c>
      <c r="CD166" s="32" t="n">
        <f aca="false">IF(BN166=0,IF(BV166=0,0,1),(BV166-BN166)/BN166)</f>
        <v>0</v>
      </c>
      <c r="CE166" s="32" t="n">
        <f aca="false">IF(BO166=0,IF(BW166=0,0,1),(BW166-BO166)/BO166)</f>
        <v>0</v>
      </c>
      <c r="CF166" s="32" t="n">
        <f aca="false">IF(BP166=0,IF(BX166=0,0,1),(BX166-BP166)/BP166)</f>
        <v>1</v>
      </c>
      <c r="CG166" s="32" t="n">
        <f aca="false">IF(BQ166=0,IF(BY166=0,0,1),(BY166-BQ166)/BQ166)</f>
        <v>1</v>
      </c>
      <c r="CH166" s="32" t="n">
        <f aca="false">MAX(MAX(BZ166:CG166),-MIN(BZ166:CG166))</f>
        <v>1</v>
      </c>
      <c r="CI166" s="31" t="str">
        <f aca="false">IF(CO166="","",SUMIFS($CJ$7:$CJ$696,$A$7:$A$696,CO166,$B$7:$B$696,B166))</f>
        <v/>
      </c>
      <c r="CJ166" s="31" t="n">
        <f aca="false">SUM(AY166:BI166)</f>
        <v>244234</v>
      </c>
      <c r="CK166" s="31" t="str">
        <f aca="false">IFERROR(INDEX(設定!$F$61:$F$106,MATCH(B166,設定!$B$61:$B$106,0)),"Y")</f>
        <v>Y</v>
      </c>
      <c r="CL166" s="31" t="str">
        <f aca="false">IFERROR(INDEX(設定!$G$61:$G$106,MATCH(B166,設定!$B$61:$B$106,0)),"外郭型")</f>
        <v>外郭型</v>
      </c>
      <c r="CM166" s="33" t="str">
        <f aca="false">A166&amp;"|"&amp;B166</f>
        <v>2026-06 賞与|地方公務員災害補償基金本部</v>
      </c>
      <c r="CN166" s="34" t="str">
        <f aca="false">IFERROR(INDEX(設定!$D$61:$D$106,MATCH(B166,設定!$B$61:$B$106,0)),"Y")</f>
        <v>Y</v>
      </c>
      <c r="CO166" s="34" t="str">
        <f aca="false">IFERROR(INDEX(設定!$D$20:$D$34,MATCH(A166,設定!$A$20:$A$34,0))&amp;"","")</f>
        <v/>
      </c>
    </row>
    <row r="167" customFormat="false" ht="15" hidden="true" customHeight="false" outlineLevel="0" collapsed="false">
      <c r="A167" s="22" t="s">
        <v>218</v>
      </c>
      <c r="B167" s="23" t="s">
        <v>191</v>
      </c>
      <c r="C167" s="10" t="str">
        <f aca="false">IF(G167="","未受領",IF(G167="なし","報告なし",IF(AL167="○","起票済",IF(OR(AK167="○",F167="一致",F167="入金不要"),"入金確認済","受領済"))))</f>
        <v>入金確認済</v>
      </c>
      <c r="D167" s="10" t="str">
        <f aca="false">IF(OR(G167="",G167="なし"),"―",IF(CN167="N","対象外",IF(AND(I167="",J167="",K167=""),"標報未入力",IF(CH167&gt;=設定!$B$4,"要確認","問題なし"))))</f>
        <v>標報未入力</v>
      </c>
      <c r="E167" s="24" t="str">
        <f aca="false">IF(OR(G167="",G167="なし",CI167="",CJ167=0),"―",IF(CJ167=CI167,"前月同額",IF(CI167=0,"―",IF(ABS(CJ167/CI167-1)&gt;=設定!$B$5,"変動大 "&amp;TEXT(CJ167/CI167-1,"+0%;-0%"),"〇"))))</f>
        <v>―</v>
      </c>
      <c r="F167" s="10" t="str">
        <f aca="false">IF(OR(G167="",G167="なし"),"―",IF(CJ167=0,"入金不要",IF(COUNT(AD167,AF167,AH167,AJ167)=0,IF(AK167="○","手動確認","未入金"),IF(AND(N(AD167)=AC167,IF(AE167="",TRUE(),N(AF167)=AE167),IF(AG167="",TRUE(),N(AH167)=AG167),IF(AI167="",TRUE(),N(AJ167)=AI167)),"一致","不一致"))))</f>
        <v>手動確認</v>
      </c>
      <c r="G167" s="25" t="s">
        <v>167</v>
      </c>
      <c r="H167" s="26"/>
      <c r="I167" s="27"/>
      <c r="J167" s="27"/>
      <c r="K167" s="27"/>
      <c r="L167" s="27"/>
      <c r="M167" s="27"/>
      <c r="N167" s="27"/>
      <c r="O167" s="27" t="n">
        <v>191783</v>
      </c>
      <c r="P167" s="27" t="n">
        <v>15719</v>
      </c>
      <c r="Q167" s="27" t="n">
        <v>108698</v>
      </c>
      <c r="R167" s="27" t="n">
        <v>16558</v>
      </c>
      <c r="S167" s="27" t="n">
        <v>2410</v>
      </c>
      <c r="T167" s="27" t="n">
        <v>191785</v>
      </c>
      <c r="U167" s="27" t="n">
        <v>15720</v>
      </c>
      <c r="V167" s="27" t="n">
        <v>182</v>
      </c>
      <c r="W167" s="27" t="n">
        <v>108803</v>
      </c>
      <c r="X167" s="27" t="n">
        <v>16558</v>
      </c>
      <c r="Y167" s="27" t="n">
        <v>2410</v>
      </c>
      <c r="Z167" s="27"/>
      <c r="AA167" s="10" t="str">
        <f aca="false">IFERROR(INDEX(設定!$E$61:$E$106,MATCH(B167,設定!$B$61:$B$106,0)),"合算")</f>
        <v>合算</v>
      </c>
      <c r="AB167" s="28"/>
      <c r="AC167" s="29" t="n">
        <f aca="false">IF(OR(G167="",G167="なし"),"",IF(AA167="合算",CJ167+N(Z167),IF(AA167="掛金・負担金別",(AY167+AZ167+BD167+BF167+BH167),SUM(AY167:BC167))))</f>
        <v>670626</v>
      </c>
      <c r="AD167" s="27"/>
      <c r="AE167" s="29" t="str">
        <f aca="false">IF(OR(G167="",G167="なし"),"",IF(AA167="掛金・負担金別",(BA167+BB167+BC167+BE167+BG167+BI167+N(Z167)),IF(AA167="経理区分別",BD167+BE167,"")))</f>
        <v/>
      </c>
      <c r="AF167" s="27"/>
      <c r="AG167" s="29" t="str">
        <f aca="false">IF(OR(G167="",G167="なし"),"",IF(AA167="経理区分別",BF167+BG167,""))</f>
        <v/>
      </c>
      <c r="AH167" s="27"/>
      <c r="AI167" s="29" t="str">
        <f aca="false">IF(OR(G167="",G167="なし"),"",IF(AA167="経理区分別",BH167+BI167+N(Z167),""))</f>
        <v/>
      </c>
      <c r="AJ167" s="27"/>
      <c r="AK167" s="26" t="s">
        <v>168</v>
      </c>
      <c r="AL167" s="26"/>
      <c r="AM167" s="30"/>
      <c r="AN167" s="31"/>
      <c r="AO167" s="31"/>
      <c r="AP167" s="31"/>
      <c r="AQ167" s="31"/>
      <c r="AR167" s="31"/>
      <c r="AS167" s="31"/>
      <c r="AT167" s="31"/>
      <c r="AU167" s="31"/>
      <c r="AV167" s="31"/>
      <c r="AW167" s="31"/>
      <c r="AX167" s="31"/>
      <c r="AY167" s="31" t="n">
        <f aca="false">IF($G167="",AN167,O167)</f>
        <v>191783</v>
      </c>
      <c r="AZ167" s="31" t="n">
        <f aca="false">IF($G167="",AO167,P167)</f>
        <v>15719</v>
      </c>
      <c r="BA167" s="31" t="n">
        <f aca="false">IF($G167="",AP167,T167)</f>
        <v>191785</v>
      </c>
      <c r="BB167" s="31" t="n">
        <f aca="false">IF($G167="",AQ167,U167)</f>
        <v>15720</v>
      </c>
      <c r="BC167" s="31" t="n">
        <f aca="false">IF($G167="",AR167,V167)</f>
        <v>182</v>
      </c>
      <c r="BD167" s="31" t="n">
        <f aca="false">IF($G167="",AS167,Q167)</f>
        <v>108698</v>
      </c>
      <c r="BE167" s="31" t="n">
        <f aca="false">IF($G167="",AT167,W167)</f>
        <v>108803</v>
      </c>
      <c r="BF167" s="31" t="n">
        <f aca="false">IF($G167="",AU167,R167)</f>
        <v>16558</v>
      </c>
      <c r="BG167" s="31" t="n">
        <f aca="false">IF($G167="",AV167,X167)</f>
        <v>16558</v>
      </c>
      <c r="BH167" s="31" t="n">
        <f aca="false">IF($G167="",AW167,S167)</f>
        <v>2410</v>
      </c>
      <c r="BI167" s="31" t="n">
        <f aca="false">IF($G167="",AX167,Y167)</f>
        <v>2410</v>
      </c>
      <c r="BJ167" s="31" t="n">
        <f aca="false">IF(CK167="N",BR167,ROUNDDOWN((I167-L167)*設定!$B$10/1000,0)+ROUNDDOWN((I167-L167)*設定!$B$11/1000,0))</f>
        <v>0</v>
      </c>
      <c r="BK167" s="31" t="n">
        <f aca="false">ROUNDDOWN((I167-L167)*設定!$C$10/1000,0)+ROUNDDOWN((I167-L167)*設定!$C$11/1000,0)+ROUNDDOWN(I167*設定!$C$12/1000,0)+IF(CL167="市局型",ROUNDDOWN(I167*設定!$C$16/1000,0),0)</f>
        <v>0</v>
      </c>
      <c r="BL167" s="31" t="n">
        <f aca="false">IF(CK167="N",BT167,ROUNDDOWN((J167-M167)*設定!$B$13/1000,0))</f>
        <v>0</v>
      </c>
      <c r="BM167" s="31" t="n">
        <f aca="false">ROUNDDOWN((J167-M167)*設定!$C$13/1000,0)+IF(CL167="市局型",ROUNDDOWN(J167*設定!$C$17/1000,0),0)</f>
        <v>0</v>
      </c>
      <c r="BN167" s="31" t="n">
        <f aca="false">IF(CK167="N",BV167,ROUNDDOWN((K167-N167)*設定!$B$14/1000,0))</f>
        <v>0</v>
      </c>
      <c r="BO167" s="31" t="n">
        <f aca="false">ROUNDDOWN((K167-N167)*設定!$C$14/1000,0)</f>
        <v>0</v>
      </c>
      <c r="BP167" s="31" t="n">
        <f aca="false">IF(CK167="N",BX167,ROUNDDOWN((J167-M167)*設定!$B$15/1000,0))</f>
        <v>0</v>
      </c>
      <c r="BQ167" s="31" t="n">
        <f aca="false">ROUNDDOWN((J167-M167)*設定!$C$15/1000,0)</f>
        <v>0</v>
      </c>
      <c r="BR167" s="31" t="n">
        <f aca="false">O167+P167</f>
        <v>207502</v>
      </c>
      <c r="BS167" s="31" t="n">
        <f aca="false">T167+U167+V167</f>
        <v>207687</v>
      </c>
      <c r="BT167" s="31" t="n">
        <f aca="false">Q167</f>
        <v>108698</v>
      </c>
      <c r="BU167" s="31" t="n">
        <f aca="false">W167</f>
        <v>108803</v>
      </c>
      <c r="BV167" s="31" t="n">
        <f aca="false">R167</f>
        <v>16558</v>
      </c>
      <c r="BW167" s="31" t="n">
        <f aca="false">X167</f>
        <v>16558</v>
      </c>
      <c r="BX167" s="31" t="n">
        <f aca="false">S167</f>
        <v>2410</v>
      </c>
      <c r="BY167" s="31" t="n">
        <f aca="false">Y167</f>
        <v>2410</v>
      </c>
      <c r="BZ167" s="32" t="n">
        <f aca="false">IF(BJ167=0,IF(BR167=0,0,1),(BR167-BJ167)/BJ167)</f>
        <v>1</v>
      </c>
      <c r="CA167" s="32" t="n">
        <f aca="false">IF(BK167=0,IF(BS167=0,0,1),(BS167-BK167)/BK167)</f>
        <v>1</v>
      </c>
      <c r="CB167" s="32" t="n">
        <f aca="false">IF(BL167=0,IF(BT167=0,0,1),(BT167-BL167)/BL167)</f>
        <v>1</v>
      </c>
      <c r="CC167" s="32" t="n">
        <f aca="false">IF(BM167=0,IF(BU167=0,0,1),(BU167-BM167)/BM167)</f>
        <v>1</v>
      </c>
      <c r="CD167" s="32" t="n">
        <f aca="false">IF(BN167=0,IF(BV167=0,0,1),(BV167-BN167)/BN167)</f>
        <v>1</v>
      </c>
      <c r="CE167" s="32" t="n">
        <f aca="false">IF(BO167=0,IF(BW167=0,0,1),(BW167-BO167)/BO167)</f>
        <v>1</v>
      </c>
      <c r="CF167" s="32" t="n">
        <f aca="false">IF(BP167=0,IF(BX167=0,0,1),(BX167-BP167)/BP167)</f>
        <v>1</v>
      </c>
      <c r="CG167" s="32" t="n">
        <f aca="false">IF(BQ167=0,IF(BY167=0,0,1),(BY167-BQ167)/BQ167)</f>
        <v>1</v>
      </c>
      <c r="CH167" s="32" t="n">
        <f aca="false">MAX(MAX(BZ167:CG167),-MIN(BZ167:CG167))</f>
        <v>1</v>
      </c>
      <c r="CI167" s="31" t="str">
        <f aca="false">IF(CO167="","",SUMIFS($CJ$7:$CJ$696,$A$7:$A$696,CO167,$B$7:$B$696,B167))</f>
        <v/>
      </c>
      <c r="CJ167" s="31" t="n">
        <f aca="false">SUM(AY167:BI167)</f>
        <v>670626</v>
      </c>
      <c r="CK167" s="31" t="str">
        <f aca="false">IFERROR(INDEX(設定!$F$61:$F$106,MATCH(B167,設定!$B$61:$B$106,0)),"Y")</f>
        <v>Y</v>
      </c>
      <c r="CL167" s="31" t="str">
        <f aca="false">IFERROR(INDEX(設定!$G$61:$G$106,MATCH(B167,設定!$B$61:$B$106,0)),"外郭型")</f>
        <v>外郭型</v>
      </c>
      <c r="CM167" s="33" t="str">
        <f aca="false">A167&amp;"|"&amp;B167</f>
        <v>2026-06 賞与|救急振興財団</v>
      </c>
      <c r="CN167" s="34" t="str">
        <f aca="false">IFERROR(INDEX(設定!$D$61:$D$106,MATCH(B167,設定!$B$61:$B$106,0)),"Y")</f>
        <v>Y</v>
      </c>
      <c r="CO167" s="34" t="str">
        <f aca="false">IFERROR(INDEX(設定!$D$20:$D$34,MATCH(A167,設定!$A$20:$A$34,0))&amp;"","")</f>
        <v/>
      </c>
    </row>
    <row r="168" customFormat="false" ht="15" hidden="true" customHeight="false" outlineLevel="0" collapsed="false">
      <c r="A168" s="22" t="s">
        <v>218</v>
      </c>
      <c r="B168" s="23" t="s">
        <v>192</v>
      </c>
      <c r="C168" s="10" t="str">
        <f aca="false">IF(G168="","未受領",IF(G168="なし","報告なし",IF(AL168="○","起票済",IF(OR(AK168="○",F168="一致",F168="入金不要"),"入金確認済","受領済"))))</f>
        <v>入金確認済</v>
      </c>
      <c r="D168" s="10" t="str">
        <f aca="false">IF(OR(G168="",G168="なし"),"―",IF(CN168="N","対象外",IF(AND(I168="",J168="",K168=""),"標報未入力",IF(CH168&gt;=設定!$B$4,"要確認","問題なし"))))</f>
        <v>標報未入力</v>
      </c>
      <c r="E168" s="24" t="str">
        <f aca="false">IF(OR(G168="",G168="なし",CI168="",CJ168=0),"―",IF(CJ168=CI168,"前月同額",IF(CI168=0,"―",IF(ABS(CJ168/CI168-1)&gt;=設定!$B$5,"変動大 "&amp;TEXT(CJ168/CI168-1,"+0%;-0%"),"〇"))))</f>
        <v>―</v>
      </c>
      <c r="F168" s="10" t="str">
        <f aca="false">IF(OR(G168="",G168="なし"),"―",IF(CJ168=0,"入金不要",IF(COUNT(AD168,AF168,AH168,AJ168)=0,IF(AK168="○","手動確認","未入金"),IF(AND(N(AD168)=AC168,IF(AE168="",TRUE(),N(AF168)=AE168),IF(AG168="",TRUE(),N(AH168)=AG168),IF(AI168="",TRUE(),N(AJ168)=AI168)),"一致","不一致"))))</f>
        <v>手動確認</v>
      </c>
      <c r="G168" s="25" t="s">
        <v>167</v>
      </c>
      <c r="H168" s="26"/>
      <c r="I168" s="27"/>
      <c r="J168" s="27"/>
      <c r="K168" s="27"/>
      <c r="L168" s="27"/>
      <c r="M168" s="27"/>
      <c r="N168" s="27"/>
      <c r="O168" s="27" t="n">
        <v>1493001</v>
      </c>
      <c r="P168" s="27" t="n">
        <v>122373</v>
      </c>
      <c r="Q168" s="27" t="n">
        <v>846191</v>
      </c>
      <c r="R168" s="27" t="n">
        <v>85096</v>
      </c>
      <c r="S168" s="27" t="n">
        <v>18756</v>
      </c>
      <c r="T168" s="27" t="n">
        <v>1493006</v>
      </c>
      <c r="U168" s="27" t="n">
        <v>122378</v>
      </c>
      <c r="V168" s="27" t="n">
        <v>1474</v>
      </c>
      <c r="W168" s="27" t="n">
        <v>847048</v>
      </c>
      <c r="X168" s="27" t="n">
        <v>85098</v>
      </c>
      <c r="Y168" s="27" t="n">
        <v>18765</v>
      </c>
      <c r="Z168" s="27"/>
      <c r="AA168" s="10" t="str">
        <f aca="false">IFERROR(INDEX(設定!$E$61:$E$106,MATCH(B168,設定!$B$61:$B$106,0)),"合算")</f>
        <v>合算</v>
      </c>
      <c r="AB168" s="28"/>
      <c r="AC168" s="29" t="n">
        <f aca="false">IF(OR(G168="",G168="なし"),"",IF(AA168="合算",CJ168+N(Z168),IF(AA168="掛金・負担金別",(AY168+AZ168+BD168+BF168+BH168),SUM(AY168:BC168))))</f>
        <v>5133186</v>
      </c>
      <c r="AD168" s="27"/>
      <c r="AE168" s="29" t="str">
        <f aca="false">IF(OR(G168="",G168="なし"),"",IF(AA168="掛金・負担金別",(BA168+BB168+BC168+BE168+BG168+BI168+N(Z168)),IF(AA168="経理区分別",BD168+BE168,"")))</f>
        <v/>
      </c>
      <c r="AF168" s="27"/>
      <c r="AG168" s="29" t="str">
        <f aca="false">IF(OR(G168="",G168="なし"),"",IF(AA168="経理区分別",BF168+BG168,""))</f>
        <v/>
      </c>
      <c r="AH168" s="27"/>
      <c r="AI168" s="29" t="str">
        <f aca="false">IF(OR(G168="",G168="なし"),"",IF(AA168="経理区分別",BH168+BI168+N(Z168),""))</f>
        <v/>
      </c>
      <c r="AJ168" s="27"/>
      <c r="AK168" s="26" t="s">
        <v>168</v>
      </c>
      <c r="AL168" s="26"/>
      <c r="AM168" s="30"/>
      <c r="AN168" s="31"/>
      <c r="AO168" s="31"/>
      <c r="AP168" s="31"/>
      <c r="AQ168" s="31"/>
      <c r="AR168" s="31"/>
      <c r="AS168" s="31"/>
      <c r="AT168" s="31"/>
      <c r="AU168" s="31"/>
      <c r="AV168" s="31"/>
      <c r="AW168" s="31"/>
      <c r="AX168" s="31"/>
      <c r="AY168" s="31" t="n">
        <f aca="false">IF($G168="",AN168,O168)</f>
        <v>1493001</v>
      </c>
      <c r="AZ168" s="31" t="n">
        <f aca="false">IF($G168="",AO168,P168)</f>
        <v>122373</v>
      </c>
      <c r="BA168" s="31" t="n">
        <f aca="false">IF($G168="",AP168,T168)</f>
        <v>1493006</v>
      </c>
      <c r="BB168" s="31" t="n">
        <f aca="false">IF($G168="",AQ168,U168)</f>
        <v>122378</v>
      </c>
      <c r="BC168" s="31" t="n">
        <f aca="false">IF($G168="",AR168,V168)</f>
        <v>1474</v>
      </c>
      <c r="BD168" s="31" t="n">
        <f aca="false">IF($G168="",AS168,Q168)</f>
        <v>846191</v>
      </c>
      <c r="BE168" s="31" t="n">
        <f aca="false">IF($G168="",AT168,W168)</f>
        <v>847048</v>
      </c>
      <c r="BF168" s="31" t="n">
        <f aca="false">IF($G168="",AU168,R168)</f>
        <v>85096</v>
      </c>
      <c r="BG168" s="31" t="n">
        <f aca="false">IF($G168="",AV168,X168)</f>
        <v>85098</v>
      </c>
      <c r="BH168" s="31" t="n">
        <f aca="false">IF($G168="",AW168,S168)</f>
        <v>18756</v>
      </c>
      <c r="BI168" s="31" t="n">
        <f aca="false">IF($G168="",AX168,Y168)</f>
        <v>18765</v>
      </c>
      <c r="BJ168" s="31" t="n">
        <f aca="false">IF(CK168="N",BR168,ROUNDDOWN((I168-L168)*設定!$B$10/1000,0)+ROUNDDOWN((I168-L168)*設定!$B$11/1000,0))</f>
        <v>0</v>
      </c>
      <c r="BK168" s="31" t="n">
        <f aca="false">ROUNDDOWN((I168-L168)*設定!$C$10/1000,0)+ROUNDDOWN((I168-L168)*設定!$C$11/1000,0)+ROUNDDOWN(I168*設定!$C$12/1000,0)+IF(CL168="市局型",ROUNDDOWN(I168*設定!$C$16/1000,0),0)</f>
        <v>0</v>
      </c>
      <c r="BL168" s="31" t="n">
        <f aca="false">IF(CK168="N",BT168,ROUNDDOWN((J168-M168)*設定!$B$13/1000,0))</f>
        <v>0</v>
      </c>
      <c r="BM168" s="31" t="n">
        <f aca="false">ROUNDDOWN((J168-M168)*設定!$C$13/1000,0)+IF(CL168="市局型",ROUNDDOWN(J168*設定!$C$17/1000,0),0)</f>
        <v>0</v>
      </c>
      <c r="BN168" s="31" t="n">
        <f aca="false">IF(CK168="N",BV168,ROUNDDOWN((K168-N168)*設定!$B$14/1000,0))</f>
        <v>0</v>
      </c>
      <c r="BO168" s="31" t="n">
        <f aca="false">ROUNDDOWN((K168-N168)*設定!$C$14/1000,0)</f>
        <v>0</v>
      </c>
      <c r="BP168" s="31" t="n">
        <f aca="false">IF(CK168="N",BX168,ROUNDDOWN((J168-M168)*設定!$B$15/1000,0))</f>
        <v>0</v>
      </c>
      <c r="BQ168" s="31" t="n">
        <f aca="false">ROUNDDOWN((J168-M168)*設定!$C$15/1000,0)</f>
        <v>0</v>
      </c>
      <c r="BR168" s="31" t="n">
        <f aca="false">O168+P168</f>
        <v>1615374</v>
      </c>
      <c r="BS168" s="31" t="n">
        <f aca="false">T168+U168+V168</f>
        <v>1616858</v>
      </c>
      <c r="BT168" s="31" t="n">
        <f aca="false">Q168</f>
        <v>846191</v>
      </c>
      <c r="BU168" s="31" t="n">
        <f aca="false">W168</f>
        <v>847048</v>
      </c>
      <c r="BV168" s="31" t="n">
        <f aca="false">R168</f>
        <v>85096</v>
      </c>
      <c r="BW168" s="31" t="n">
        <f aca="false">X168</f>
        <v>85098</v>
      </c>
      <c r="BX168" s="31" t="n">
        <f aca="false">S168</f>
        <v>18756</v>
      </c>
      <c r="BY168" s="31" t="n">
        <f aca="false">Y168</f>
        <v>18765</v>
      </c>
      <c r="BZ168" s="32" t="n">
        <f aca="false">IF(BJ168=0,IF(BR168=0,0,1),(BR168-BJ168)/BJ168)</f>
        <v>1</v>
      </c>
      <c r="CA168" s="32" t="n">
        <f aca="false">IF(BK168=0,IF(BS168=0,0,1),(BS168-BK168)/BK168)</f>
        <v>1</v>
      </c>
      <c r="CB168" s="32" t="n">
        <f aca="false">IF(BL168=0,IF(BT168=0,0,1),(BT168-BL168)/BL168)</f>
        <v>1</v>
      </c>
      <c r="CC168" s="32" t="n">
        <f aca="false">IF(BM168=0,IF(BU168=0,0,1),(BU168-BM168)/BM168)</f>
        <v>1</v>
      </c>
      <c r="CD168" s="32" t="n">
        <f aca="false">IF(BN168=0,IF(BV168=0,0,1),(BV168-BN168)/BN168)</f>
        <v>1</v>
      </c>
      <c r="CE168" s="32" t="n">
        <f aca="false">IF(BO168=0,IF(BW168=0,0,1),(BW168-BO168)/BO168)</f>
        <v>1</v>
      </c>
      <c r="CF168" s="32" t="n">
        <f aca="false">IF(BP168=0,IF(BX168=0,0,1),(BX168-BP168)/BP168)</f>
        <v>1</v>
      </c>
      <c r="CG168" s="32" t="n">
        <f aca="false">IF(BQ168=0,IF(BY168=0,0,1),(BY168-BQ168)/BQ168)</f>
        <v>1</v>
      </c>
      <c r="CH168" s="32" t="n">
        <f aca="false">MAX(MAX(BZ168:CG168),-MIN(BZ168:CG168))</f>
        <v>1</v>
      </c>
      <c r="CI168" s="31" t="str">
        <f aca="false">IF(CO168="","",SUMIFS($CJ$7:$CJ$696,$A$7:$A$696,CO168,$B$7:$B$696,B168))</f>
        <v/>
      </c>
      <c r="CJ168" s="31" t="n">
        <f aca="false">SUM(AY168:BI168)</f>
        <v>5133186</v>
      </c>
      <c r="CK168" s="31" t="str">
        <f aca="false">IFERROR(INDEX(設定!$F$61:$F$106,MATCH(B168,設定!$B$61:$B$106,0)),"Y")</f>
        <v>Y</v>
      </c>
      <c r="CL168" s="31" t="str">
        <f aca="false">IFERROR(INDEX(設定!$G$61:$G$106,MATCH(B168,設定!$B$61:$B$106,0)),"外郭型")</f>
        <v>外郭型</v>
      </c>
      <c r="CM168" s="33" t="str">
        <f aca="false">A168&amp;"|"&amp;B168</f>
        <v>2026-06 賞与|高速道路公社</v>
      </c>
      <c r="CN168" s="34" t="str">
        <f aca="false">IFERROR(INDEX(設定!$D$61:$D$106,MATCH(B168,設定!$B$61:$B$106,0)),"Y")</f>
        <v>Y</v>
      </c>
      <c r="CO168" s="34" t="str">
        <f aca="false">IFERROR(INDEX(設定!$D$20:$D$34,MATCH(A168,設定!$A$20:$A$34,0))&amp;"","")</f>
        <v/>
      </c>
    </row>
    <row r="169" customFormat="false" ht="15" hidden="true" customHeight="false" outlineLevel="0" collapsed="false">
      <c r="A169" s="22" t="s">
        <v>218</v>
      </c>
      <c r="B169" s="23" t="s">
        <v>193</v>
      </c>
      <c r="C169" s="10" t="str">
        <f aca="false">IF(G169="","未受領",IF(G169="なし","報告なし",IF(AL169="○","起票済",IF(OR(AK169="○",F169="一致",F169="入金不要"),"入金確認済","受領済"))))</f>
        <v>入金確認済</v>
      </c>
      <c r="D169" s="10" t="str">
        <f aca="false">IF(OR(G169="",G169="なし"),"―",IF(CN169="N","対象外",IF(AND(I169="",J169="",K169=""),"標報未入力",IF(CH169&gt;=設定!$B$4,"要確認","問題なし"))))</f>
        <v>標報未入力</v>
      </c>
      <c r="E169" s="24" t="str">
        <f aca="false">IF(OR(G169="",G169="なし",CI169="",CJ169=0),"―",IF(CJ169=CI169,"前月同額",IF(CI169=0,"―",IF(ABS(CJ169/CI169-1)&gt;=設定!$B$5,"変動大 "&amp;TEXT(CJ169/CI169-1,"+0%;-0%"),"〇"))))</f>
        <v>―</v>
      </c>
      <c r="F169" s="10" t="str">
        <f aca="false">IF(OR(G169="",G169="なし"),"―",IF(CJ169=0,"入金不要",IF(COUNT(AD169,AF169,AH169,AJ169)=0,IF(AK169="○","手動確認","未入金"),IF(AND(N(AD169)=AC169,IF(AE169="",TRUE(),N(AF169)=AE169),IF(AG169="",TRUE(),N(AH169)=AG169),IF(AI169="",TRUE(),N(AJ169)=AI169)),"一致","不一致"))))</f>
        <v>手動確認</v>
      </c>
      <c r="G169" s="25" t="s">
        <v>167</v>
      </c>
      <c r="H169" s="26"/>
      <c r="I169" s="27"/>
      <c r="J169" s="27"/>
      <c r="K169" s="27"/>
      <c r="L169" s="27"/>
      <c r="M169" s="27"/>
      <c r="N169" s="27"/>
      <c r="O169" s="27"/>
      <c r="P169" s="27"/>
      <c r="Q169" s="27"/>
      <c r="R169" s="27"/>
      <c r="S169" s="27"/>
      <c r="T169" s="27" t="n">
        <v>1167447</v>
      </c>
      <c r="U169" s="27" t="n">
        <v>95691</v>
      </c>
      <c r="V169" s="27" t="n">
        <v>1105</v>
      </c>
      <c r="W169" s="27" t="n">
        <v>662316</v>
      </c>
      <c r="X169" s="27" t="n">
        <v>56658</v>
      </c>
      <c r="Y169" s="27" t="n">
        <v>14669</v>
      </c>
      <c r="Z169" s="27"/>
      <c r="AA169" s="10" t="str">
        <f aca="false">IFERROR(INDEX(設定!$E$61:$E$106,MATCH(B169,設定!$B$61:$B$106,0)),"合算")</f>
        <v>合算</v>
      </c>
      <c r="AB169" s="28"/>
      <c r="AC169" s="29" t="n">
        <f aca="false">IF(OR(G169="",G169="なし"),"",IF(AA169="合算",CJ169+N(Z169),IF(AA169="掛金・負担金別",(AY169+AZ169+BD169+BF169+BH169),SUM(AY169:BC169))))</f>
        <v>1997886</v>
      </c>
      <c r="AD169" s="27"/>
      <c r="AE169" s="29" t="str">
        <f aca="false">IF(OR(G169="",G169="なし"),"",IF(AA169="掛金・負担金別",(BA169+BB169+BC169+BE169+BG169+BI169+N(Z169)),IF(AA169="経理区分別",BD169+BE169,"")))</f>
        <v/>
      </c>
      <c r="AF169" s="27"/>
      <c r="AG169" s="29" t="str">
        <f aca="false">IF(OR(G169="",G169="なし"),"",IF(AA169="経理区分別",BF169+BG169,""))</f>
        <v/>
      </c>
      <c r="AH169" s="27"/>
      <c r="AI169" s="29" t="str">
        <f aca="false">IF(OR(G169="",G169="なし"),"",IF(AA169="経理区分別",BH169+BI169+N(Z169),""))</f>
        <v/>
      </c>
      <c r="AJ169" s="27"/>
      <c r="AK169" s="26" t="s">
        <v>168</v>
      </c>
      <c r="AL169" s="26"/>
      <c r="AM169" s="30"/>
      <c r="AN169" s="31"/>
      <c r="AO169" s="31"/>
      <c r="AP169" s="31"/>
      <c r="AQ169" s="31"/>
      <c r="AR169" s="31"/>
      <c r="AS169" s="31"/>
      <c r="AT169" s="31"/>
      <c r="AU169" s="31"/>
      <c r="AV169" s="31"/>
      <c r="AW169" s="31"/>
      <c r="AX169" s="31"/>
      <c r="AY169" s="31" t="n">
        <f aca="false">IF($G169="",AN169,O169)</f>
        <v>0</v>
      </c>
      <c r="AZ169" s="31" t="n">
        <f aca="false">IF($G169="",AO169,P169)</f>
        <v>0</v>
      </c>
      <c r="BA169" s="31" t="n">
        <f aca="false">IF($G169="",AP169,T169)</f>
        <v>1167447</v>
      </c>
      <c r="BB169" s="31" t="n">
        <f aca="false">IF($G169="",AQ169,U169)</f>
        <v>95691</v>
      </c>
      <c r="BC169" s="31" t="n">
        <f aca="false">IF($G169="",AR169,V169)</f>
        <v>1105</v>
      </c>
      <c r="BD169" s="31" t="n">
        <f aca="false">IF($G169="",AS169,Q169)</f>
        <v>0</v>
      </c>
      <c r="BE169" s="31" t="n">
        <f aca="false">IF($G169="",AT169,W169)</f>
        <v>662316</v>
      </c>
      <c r="BF169" s="31" t="n">
        <f aca="false">IF($G169="",AU169,R169)</f>
        <v>0</v>
      </c>
      <c r="BG169" s="31" t="n">
        <f aca="false">IF($G169="",AV169,X169)</f>
        <v>56658</v>
      </c>
      <c r="BH169" s="31" t="n">
        <f aca="false">IF($G169="",AW169,S169)</f>
        <v>0</v>
      </c>
      <c r="BI169" s="31" t="n">
        <f aca="false">IF($G169="",AX169,Y169)</f>
        <v>14669</v>
      </c>
      <c r="BJ169" s="31" t="n">
        <f aca="false">IF(CK169="N",BR169,ROUNDDOWN((I169-L169)*設定!$B$10/1000,0)+ROUNDDOWN((I169-L169)*設定!$B$11/1000,0))</f>
        <v>0</v>
      </c>
      <c r="BK169" s="31" t="n">
        <f aca="false">ROUNDDOWN((I169-L169)*設定!$C$10/1000,0)+ROUNDDOWN((I169-L169)*設定!$C$11/1000,0)+ROUNDDOWN(I169*設定!$C$12/1000,0)+IF(CL169="市局型",ROUNDDOWN(I169*設定!$C$16/1000,0),0)</f>
        <v>0</v>
      </c>
      <c r="BL169" s="31" t="n">
        <f aca="false">IF(CK169="N",BT169,ROUNDDOWN((J169-M169)*設定!$B$13/1000,0))</f>
        <v>0</v>
      </c>
      <c r="BM169" s="31" t="n">
        <f aca="false">ROUNDDOWN((J169-M169)*設定!$C$13/1000,0)+IF(CL169="市局型",ROUNDDOWN(J169*設定!$C$17/1000,0),0)</f>
        <v>0</v>
      </c>
      <c r="BN169" s="31" t="n">
        <f aca="false">IF(CK169="N",BV169,ROUNDDOWN((K169-N169)*設定!$B$14/1000,0))</f>
        <v>0</v>
      </c>
      <c r="BO169" s="31" t="n">
        <f aca="false">ROUNDDOWN((K169-N169)*設定!$C$14/1000,0)</f>
        <v>0</v>
      </c>
      <c r="BP169" s="31" t="n">
        <f aca="false">IF(CK169="N",BX169,ROUNDDOWN((J169-M169)*設定!$B$15/1000,0))</f>
        <v>0</v>
      </c>
      <c r="BQ169" s="31" t="n">
        <f aca="false">ROUNDDOWN((J169-M169)*設定!$C$15/1000,0)</f>
        <v>0</v>
      </c>
      <c r="BR169" s="31" t="n">
        <f aca="false">O169+P169</f>
        <v>0</v>
      </c>
      <c r="BS169" s="31" t="n">
        <f aca="false">T169+U169+V169</f>
        <v>1264243</v>
      </c>
      <c r="BT169" s="31" t="n">
        <f aca="false">Q169</f>
        <v>0</v>
      </c>
      <c r="BU169" s="31" t="n">
        <f aca="false">W169</f>
        <v>662316</v>
      </c>
      <c r="BV169" s="31" t="n">
        <f aca="false">R169</f>
        <v>0</v>
      </c>
      <c r="BW169" s="31" t="n">
        <f aca="false">X169</f>
        <v>56658</v>
      </c>
      <c r="BX169" s="31" t="n">
        <f aca="false">S169</f>
        <v>0</v>
      </c>
      <c r="BY169" s="31" t="n">
        <f aca="false">Y169</f>
        <v>14669</v>
      </c>
      <c r="BZ169" s="32" t="n">
        <f aca="false">IF(BJ169=0,IF(BR169=0,0,1),(BR169-BJ169)/BJ169)</f>
        <v>0</v>
      </c>
      <c r="CA169" s="32" t="n">
        <f aca="false">IF(BK169=0,IF(BS169=0,0,1),(BS169-BK169)/BK169)</f>
        <v>1</v>
      </c>
      <c r="CB169" s="32" t="n">
        <f aca="false">IF(BL169=0,IF(BT169=0,0,1),(BT169-BL169)/BL169)</f>
        <v>0</v>
      </c>
      <c r="CC169" s="32" t="n">
        <f aca="false">IF(BM169=0,IF(BU169=0,0,1),(BU169-BM169)/BM169)</f>
        <v>1</v>
      </c>
      <c r="CD169" s="32" t="n">
        <f aca="false">IF(BN169=0,IF(BV169=0,0,1),(BV169-BN169)/BN169)</f>
        <v>0</v>
      </c>
      <c r="CE169" s="32" t="n">
        <f aca="false">IF(BO169=0,IF(BW169=0,0,1),(BW169-BO169)/BO169)</f>
        <v>1</v>
      </c>
      <c r="CF169" s="32" t="n">
        <f aca="false">IF(BP169=0,IF(BX169=0,0,1),(BX169-BP169)/BP169)</f>
        <v>0</v>
      </c>
      <c r="CG169" s="32" t="n">
        <f aca="false">IF(BQ169=0,IF(BY169=0,0,1),(BY169-BQ169)/BQ169)</f>
        <v>1</v>
      </c>
      <c r="CH169" s="32" t="n">
        <f aca="false">MAX(MAX(BZ169:CG169),-MIN(BZ169:CG169))</f>
        <v>1</v>
      </c>
      <c r="CI169" s="31" t="str">
        <f aca="false">IF(CO169="","",SUMIFS($CJ$7:$CJ$696,$A$7:$A$696,CO169,$B$7:$B$696,B169))</f>
        <v/>
      </c>
      <c r="CJ169" s="31" t="n">
        <f aca="false">SUM(AY169:BI169)</f>
        <v>1997886</v>
      </c>
      <c r="CK169" s="31" t="str">
        <f aca="false">IFERROR(INDEX(設定!$F$61:$F$106,MATCH(B169,設定!$B$61:$B$106,0)),"Y")</f>
        <v>N</v>
      </c>
      <c r="CL169" s="31" t="str">
        <f aca="false">IFERROR(INDEX(設定!$G$61:$G$106,MATCH(B169,設定!$B$61:$B$106,0)),"外郭型")</f>
        <v>外郭型</v>
      </c>
      <c r="CM169" s="33" t="str">
        <f aca="false">A169&amp;"|"&amp;B169</f>
        <v>2026-06 賞与|農林水産振興センタ</v>
      </c>
      <c r="CN169" s="34" t="str">
        <f aca="false">IFERROR(INDEX(設定!$D$61:$D$106,MATCH(B169,設定!$B$61:$B$106,0)),"Y")</f>
        <v>Y</v>
      </c>
      <c r="CO169" s="34" t="str">
        <f aca="false">IFERROR(INDEX(設定!$D$20:$D$34,MATCH(A169,設定!$A$20:$A$34,0))&amp;"","")</f>
        <v/>
      </c>
    </row>
    <row r="170" customFormat="false" ht="15" hidden="true" customHeight="false" outlineLevel="0" collapsed="false">
      <c r="A170" s="22" t="s">
        <v>218</v>
      </c>
      <c r="B170" s="23" t="s">
        <v>194</v>
      </c>
      <c r="C170" s="10" t="str">
        <f aca="false">IF(G170="","未受領",IF(G170="なし","報告なし",IF(AL170="○","起票済",IF(OR(AK170="○",F170="一致",F170="入金不要"),"入金確認済","受領済"))))</f>
        <v>入金確認済</v>
      </c>
      <c r="D170" s="10" t="str">
        <f aca="false">IF(OR(G170="",G170="なし"),"―",IF(CN170="N","対象外",IF(AND(I170="",J170="",K170=""),"標報未入力",IF(CH170&gt;=設定!$B$4,"要確認","問題なし"))))</f>
        <v>標報未入力</v>
      </c>
      <c r="E170" s="24" t="str">
        <f aca="false">IF(OR(G170="",G170="なし",CI170="",CJ170=0),"―",IF(CJ170=CI170,"前月同額",IF(CI170=0,"―",IF(ABS(CJ170/CI170-1)&gt;=設定!$B$5,"変動大 "&amp;TEXT(CJ170/CI170-1,"+0%;-0%"),"〇"))))</f>
        <v>―</v>
      </c>
      <c r="F170" s="10" t="str">
        <f aca="false">IF(OR(G170="",G170="なし"),"―",IF(CJ170=0,"入金不要",IF(COUNT(AD170,AF170,AH170,AJ170)=0,IF(AK170="○","手動確認","未入金"),IF(AND(N(AD170)=AC170,IF(AE170="",TRUE(),N(AF170)=AE170),IF(AG170="",TRUE(),N(AH170)=AG170),IF(AI170="",TRUE(),N(AJ170)=AI170)),"一致","不一致"))))</f>
        <v>手動確認</v>
      </c>
      <c r="G170" s="25" t="s">
        <v>167</v>
      </c>
      <c r="H170" s="26"/>
      <c r="I170" s="27"/>
      <c r="J170" s="27"/>
      <c r="K170" s="27"/>
      <c r="L170" s="27"/>
      <c r="M170" s="27"/>
      <c r="N170" s="27"/>
      <c r="O170" s="27"/>
      <c r="P170" s="27"/>
      <c r="Q170" s="27"/>
      <c r="R170" s="27"/>
      <c r="S170" s="27"/>
      <c r="T170" s="27" t="n">
        <v>2185941</v>
      </c>
      <c r="U170" s="27" t="n">
        <v>179172</v>
      </c>
      <c r="V170" s="27" t="n">
        <v>2073</v>
      </c>
      <c r="W170" s="27" t="n">
        <v>1240127</v>
      </c>
      <c r="X170" s="27" t="n">
        <v>181974</v>
      </c>
      <c r="Y170" s="27" t="n">
        <v>27471</v>
      </c>
      <c r="Z170" s="27"/>
      <c r="AA170" s="10" t="str">
        <f aca="false">IFERROR(INDEX(設定!$E$61:$E$106,MATCH(B170,設定!$B$61:$B$106,0)),"合算")</f>
        <v>合算</v>
      </c>
      <c r="AB170" s="28"/>
      <c r="AC170" s="29" t="n">
        <f aca="false">IF(OR(G170="",G170="なし"),"",IF(AA170="合算",CJ170+N(Z170),IF(AA170="掛金・負担金別",(AY170+AZ170+BD170+BF170+BH170),SUM(AY170:BC170))))</f>
        <v>3816758</v>
      </c>
      <c r="AD170" s="27"/>
      <c r="AE170" s="29" t="str">
        <f aca="false">IF(OR(G170="",G170="なし"),"",IF(AA170="掛金・負担金別",(BA170+BB170+BC170+BE170+BG170+BI170+N(Z170)),IF(AA170="経理区分別",BD170+BE170,"")))</f>
        <v/>
      </c>
      <c r="AF170" s="27"/>
      <c r="AG170" s="29" t="str">
        <f aca="false">IF(OR(G170="",G170="なし"),"",IF(AA170="経理区分別",BF170+BG170,""))</f>
        <v/>
      </c>
      <c r="AH170" s="27"/>
      <c r="AI170" s="29" t="str">
        <f aca="false">IF(OR(G170="",G170="なし"),"",IF(AA170="経理区分別",BH170+BI170+N(Z170),""))</f>
        <v/>
      </c>
      <c r="AJ170" s="27"/>
      <c r="AK170" s="26" t="s">
        <v>168</v>
      </c>
      <c r="AL170" s="26"/>
      <c r="AM170" s="30"/>
      <c r="AN170" s="31"/>
      <c r="AO170" s="31"/>
      <c r="AP170" s="31"/>
      <c r="AQ170" s="31"/>
      <c r="AR170" s="31"/>
      <c r="AS170" s="31"/>
      <c r="AT170" s="31"/>
      <c r="AU170" s="31"/>
      <c r="AV170" s="31"/>
      <c r="AW170" s="31"/>
      <c r="AX170" s="31"/>
      <c r="AY170" s="31" t="n">
        <f aca="false">IF($G170="",AN170,O170)</f>
        <v>0</v>
      </c>
      <c r="AZ170" s="31" t="n">
        <f aca="false">IF($G170="",AO170,P170)</f>
        <v>0</v>
      </c>
      <c r="BA170" s="31" t="n">
        <f aca="false">IF($G170="",AP170,T170)</f>
        <v>2185941</v>
      </c>
      <c r="BB170" s="31" t="n">
        <f aca="false">IF($G170="",AQ170,U170)</f>
        <v>179172</v>
      </c>
      <c r="BC170" s="31" t="n">
        <f aca="false">IF($G170="",AR170,V170)</f>
        <v>2073</v>
      </c>
      <c r="BD170" s="31" t="n">
        <f aca="false">IF($G170="",AS170,Q170)</f>
        <v>0</v>
      </c>
      <c r="BE170" s="31" t="n">
        <f aca="false">IF($G170="",AT170,W170)</f>
        <v>1240127</v>
      </c>
      <c r="BF170" s="31" t="n">
        <f aca="false">IF($G170="",AU170,R170)</f>
        <v>0</v>
      </c>
      <c r="BG170" s="31" t="n">
        <f aca="false">IF($G170="",AV170,X170)</f>
        <v>181974</v>
      </c>
      <c r="BH170" s="31" t="n">
        <f aca="false">IF($G170="",AW170,S170)</f>
        <v>0</v>
      </c>
      <c r="BI170" s="31" t="n">
        <f aca="false">IF($G170="",AX170,Y170)</f>
        <v>27471</v>
      </c>
      <c r="BJ170" s="31" t="n">
        <f aca="false">IF(CK170="N",BR170,ROUNDDOWN((I170-L170)*設定!$B$10/1000,0)+ROUNDDOWN((I170-L170)*設定!$B$11/1000,0))</f>
        <v>0</v>
      </c>
      <c r="BK170" s="31" t="n">
        <f aca="false">ROUNDDOWN((I170-L170)*設定!$C$10/1000,0)+ROUNDDOWN((I170-L170)*設定!$C$11/1000,0)+ROUNDDOWN(I170*設定!$C$12/1000,0)+IF(CL170="市局型",ROUNDDOWN(I170*設定!$C$16/1000,0),0)</f>
        <v>0</v>
      </c>
      <c r="BL170" s="31" t="n">
        <f aca="false">IF(CK170="N",BT170,ROUNDDOWN((J170-M170)*設定!$B$13/1000,0))</f>
        <v>0</v>
      </c>
      <c r="BM170" s="31" t="n">
        <f aca="false">ROUNDDOWN((J170-M170)*設定!$C$13/1000,0)+IF(CL170="市局型",ROUNDDOWN(J170*設定!$C$17/1000,0),0)</f>
        <v>0</v>
      </c>
      <c r="BN170" s="31" t="n">
        <f aca="false">IF(CK170="N",BV170,ROUNDDOWN((K170-N170)*設定!$B$14/1000,0))</f>
        <v>0</v>
      </c>
      <c r="BO170" s="31" t="n">
        <f aca="false">ROUNDDOWN((K170-N170)*設定!$C$14/1000,0)</f>
        <v>0</v>
      </c>
      <c r="BP170" s="31" t="n">
        <f aca="false">IF(CK170="N",BX170,ROUNDDOWN((J170-M170)*設定!$B$15/1000,0))</f>
        <v>0</v>
      </c>
      <c r="BQ170" s="31" t="n">
        <f aca="false">ROUNDDOWN((J170-M170)*設定!$C$15/1000,0)</f>
        <v>0</v>
      </c>
      <c r="BR170" s="31" t="n">
        <f aca="false">O170+P170</f>
        <v>0</v>
      </c>
      <c r="BS170" s="31" t="n">
        <f aca="false">T170+U170+V170</f>
        <v>2367186</v>
      </c>
      <c r="BT170" s="31" t="n">
        <f aca="false">Q170</f>
        <v>0</v>
      </c>
      <c r="BU170" s="31" t="n">
        <f aca="false">W170</f>
        <v>1240127</v>
      </c>
      <c r="BV170" s="31" t="n">
        <f aca="false">R170</f>
        <v>0</v>
      </c>
      <c r="BW170" s="31" t="n">
        <f aca="false">X170</f>
        <v>181974</v>
      </c>
      <c r="BX170" s="31" t="n">
        <f aca="false">S170</f>
        <v>0</v>
      </c>
      <c r="BY170" s="31" t="n">
        <f aca="false">Y170</f>
        <v>27471</v>
      </c>
      <c r="BZ170" s="32" t="n">
        <f aca="false">IF(BJ170=0,IF(BR170=0,0,1),(BR170-BJ170)/BJ170)</f>
        <v>0</v>
      </c>
      <c r="CA170" s="32" t="n">
        <f aca="false">IF(BK170=0,IF(BS170=0,0,1),(BS170-BK170)/BK170)</f>
        <v>1</v>
      </c>
      <c r="CB170" s="32" t="n">
        <f aca="false">IF(BL170=0,IF(BT170=0,0,1),(BT170-BL170)/BL170)</f>
        <v>0</v>
      </c>
      <c r="CC170" s="32" t="n">
        <f aca="false">IF(BM170=0,IF(BU170=0,0,1),(BU170-BM170)/BM170)</f>
        <v>1</v>
      </c>
      <c r="CD170" s="32" t="n">
        <f aca="false">IF(BN170=0,IF(BV170=0,0,1),(BV170-BN170)/BN170)</f>
        <v>0</v>
      </c>
      <c r="CE170" s="32" t="n">
        <f aca="false">IF(BO170=0,IF(BW170=0,0,1),(BW170-BO170)/BO170)</f>
        <v>1</v>
      </c>
      <c r="CF170" s="32" t="n">
        <f aca="false">IF(BP170=0,IF(BX170=0,0,1),(BX170-BP170)/BP170)</f>
        <v>0</v>
      </c>
      <c r="CG170" s="32" t="n">
        <f aca="false">IF(BQ170=0,IF(BY170=0,0,1),(BY170-BQ170)/BQ170)</f>
        <v>1</v>
      </c>
      <c r="CH170" s="32" t="n">
        <f aca="false">MAX(MAX(BZ170:CG170),-MIN(BZ170:CG170))</f>
        <v>1</v>
      </c>
      <c r="CI170" s="31" t="str">
        <f aca="false">IF(CO170="","",SUMIFS($CJ$7:$CJ$696,$A$7:$A$696,CO170,$B$7:$B$696,B170))</f>
        <v/>
      </c>
      <c r="CJ170" s="31" t="n">
        <f aca="false">SUM(AY170:BI170)</f>
        <v>3816758</v>
      </c>
      <c r="CK170" s="31" t="str">
        <f aca="false">IFERROR(INDEX(設定!$F$61:$F$106,MATCH(B170,設定!$B$61:$B$106,0)),"Y")</f>
        <v>N</v>
      </c>
      <c r="CL170" s="31" t="str">
        <f aca="false">IFERROR(INDEX(設定!$G$61:$G$106,MATCH(B170,設定!$B$61:$B$106,0)),"外郭型")</f>
        <v>外郭型</v>
      </c>
      <c r="CM170" s="33" t="str">
        <f aca="false">A170&amp;"|"&amp;B170</f>
        <v>2026-06 賞与|文化財団　市長部局</v>
      </c>
      <c r="CN170" s="34" t="str">
        <f aca="false">IFERROR(INDEX(設定!$D$61:$D$106,MATCH(B170,設定!$B$61:$B$106,0)),"Y")</f>
        <v>Y</v>
      </c>
      <c r="CO170" s="34" t="str">
        <f aca="false">IFERROR(INDEX(設定!$D$20:$D$34,MATCH(A170,設定!$A$20:$A$34,0))&amp;"","")</f>
        <v/>
      </c>
    </row>
    <row r="171" customFormat="false" ht="15" hidden="true" customHeight="false" outlineLevel="0" collapsed="false">
      <c r="A171" s="22" t="s">
        <v>218</v>
      </c>
      <c r="B171" s="23" t="s">
        <v>195</v>
      </c>
      <c r="C171" s="10" t="str">
        <f aca="false">IF(G171="","未受領",IF(G171="なし","報告なし",IF(AL171="○","起票済",IF(OR(AK171="○",F171="一致",F171="入金不要"),"入金確認済","受領済"))))</f>
        <v>入金確認済</v>
      </c>
      <c r="D171" s="10" t="str">
        <f aca="false">IF(OR(G171="",G171="なし"),"―",IF(CN171="N","対象外",IF(AND(I171="",J171="",K171=""),"標報未入力",IF(CH171&gt;=設定!$B$4,"要確認","問題なし"))))</f>
        <v>標報未入力</v>
      </c>
      <c r="E171" s="24" t="str">
        <f aca="false">IF(OR(G171="",G171="なし",CI171="",CJ171=0),"―",IF(CJ171=CI171,"前月同額",IF(CI171=0,"―",IF(ABS(CJ171/CI171-1)&gt;=設定!$B$5,"変動大 "&amp;TEXT(CJ171/CI171-1,"+0%;-0%"),"〇"))))</f>
        <v>―</v>
      </c>
      <c r="F171" s="10" t="str">
        <f aca="false">IF(OR(G171="",G171="なし"),"―",IF(CJ171=0,"入金不要",IF(COUNT(AD171,AF171,AH171,AJ171)=0,IF(AK171="○","手動確認","未入金"),IF(AND(N(AD171)=AC171,IF(AE171="",TRUE(),N(AF171)=AE171),IF(AG171="",TRUE(),N(AH171)=AG171),IF(AI171="",TRUE(),N(AJ171)=AI171)),"一致","不一致"))))</f>
        <v>入金不要</v>
      </c>
      <c r="G171" s="25" t="s">
        <v>167</v>
      </c>
      <c r="H171" s="26"/>
      <c r="I171" s="27"/>
      <c r="J171" s="27"/>
      <c r="K171" s="27"/>
      <c r="L171" s="27"/>
      <c r="M171" s="27"/>
      <c r="N171" s="27"/>
      <c r="O171" s="27"/>
      <c r="P171" s="27"/>
      <c r="Q171" s="27"/>
      <c r="R171" s="27"/>
      <c r="S171" s="27"/>
      <c r="T171" s="27" t="n">
        <v>0</v>
      </c>
      <c r="U171" s="27" t="n">
        <v>0</v>
      </c>
      <c r="V171" s="27" t="n">
        <v>0</v>
      </c>
      <c r="W171" s="27" t="n">
        <v>0</v>
      </c>
      <c r="X171" s="27" t="n">
        <v>0</v>
      </c>
      <c r="Y171" s="27" t="n">
        <v>0</v>
      </c>
      <c r="Z171" s="27"/>
      <c r="AA171" s="10" t="str">
        <f aca="false">IFERROR(INDEX(設定!$E$61:$E$106,MATCH(B171,設定!$B$61:$B$106,0)),"合算")</f>
        <v>合算</v>
      </c>
      <c r="AB171" s="28"/>
      <c r="AC171" s="29" t="n">
        <f aca="false">IF(OR(G171="",G171="なし"),"",IF(AA171="合算",CJ171+N(Z171),IF(AA171="掛金・負担金別",(AY171+AZ171+BD171+BF171+BH171),SUM(AY171:BC171))))</f>
        <v>0</v>
      </c>
      <c r="AD171" s="27"/>
      <c r="AE171" s="29" t="str">
        <f aca="false">IF(OR(G171="",G171="なし"),"",IF(AA171="掛金・負担金別",(BA171+BB171+BC171+BE171+BG171+BI171+N(Z171)),IF(AA171="経理区分別",BD171+BE171,"")))</f>
        <v/>
      </c>
      <c r="AF171" s="27"/>
      <c r="AG171" s="29" t="str">
        <f aca="false">IF(OR(G171="",G171="なし"),"",IF(AA171="経理区分別",BF171+BG171,""))</f>
        <v/>
      </c>
      <c r="AH171" s="27"/>
      <c r="AI171" s="29" t="str">
        <f aca="false">IF(OR(G171="",G171="なし"),"",IF(AA171="経理区分別",BH171+BI171+N(Z171),""))</f>
        <v/>
      </c>
      <c r="AJ171" s="27"/>
      <c r="AK171" s="26" t="s">
        <v>168</v>
      </c>
      <c r="AL171" s="26"/>
      <c r="AM171" s="30"/>
      <c r="AN171" s="31"/>
      <c r="AO171" s="31"/>
      <c r="AP171" s="31"/>
      <c r="AQ171" s="31"/>
      <c r="AR171" s="31"/>
      <c r="AS171" s="31"/>
      <c r="AT171" s="31"/>
      <c r="AU171" s="31"/>
      <c r="AV171" s="31"/>
      <c r="AW171" s="31"/>
      <c r="AX171" s="31"/>
      <c r="AY171" s="31" t="n">
        <f aca="false">IF($G171="",AN171,O171)</f>
        <v>0</v>
      </c>
      <c r="AZ171" s="31" t="n">
        <f aca="false">IF($G171="",AO171,P171)</f>
        <v>0</v>
      </c>
      <c r="BA171" s="31" t="n">
        <f aca="false">IF($G171="",AP171,T171)</f>
        <v>0</v>
      </c>
      <c r="BB171" s="31" t="n">
        <f aca="false">IF($G171="",AQ171,U171)</f>
        <v>0</v>
      </c>
      <c r="BC171" s="31" t="n">
        <f aca="false">IF($G171="",AR171,V171)</f>
        <v>0</v>
      </c>
      <c r="BD171" s="31" t="n">
        <f aca="false">IF($G171="",AS171,Q171)</f>
        <v>0</v>
      </c>
      <c r="BE171" s="31" t="n">
        <f aca="false">IF($G171="",AT171,W171)</f>
        <v>0</v>
      </c>
      <c r="BF171" s="31" t="n">
        <f aca="false">IF($G171="",AU171,R171)</f>
        <v>0</v>
      </c>
      <c r="BG171" s="31" t="n">
        <f aca="false">IF($G171="",AV171,X171)</f>
        <v>0</v>
      </c>
      <c r="BH171" s="31" t="n">
        <f aca="false">IF($G171="",AW171,S171)</f>
        <v>0</v>
      </c>
      <c r="BI171" s="31" t="n">
        <f aca="false">IF($G171="",AX171,Y171)</f>
        <v>0</v>
      </c>
      <c r="BJ171" s="31" t="n">
        <f aca="false">IF(CK171="N",BR171,ROUNDDOWN((I171-L171)*設定!$B$10/1000,0)+ROUNDDOWN((I171-L171)*設定!$B$11/1000,0))</f>
        <v>0</v>
      </c>
      <c r="BK171" s="31" t="n">
        <f aca="false">ROUNDDOWN((I171-L171)*設定!$C$10/1000,0)+ROUNDDOWN((I171-L171)*設定!$C$11/1000,0)+ROUNDDOWN(I171*設定!$C$12/1000,0)+IF(CL171="市局型",ROUNDDOWN(I171*設定!$C$16/1000,0),0)</f>
        <v>0</v>
      </c>
      <c r="BL171" s="31" t="n">
        <f aca="false">IF(CK171="N",BT171,ROUNDDOWN((J171-M171)*設定!$B$13/1000,0))</f>
        <v>0</v>
      </c>
      <c r="BM171" s="31" t="n">
        <f aca="false">ROUNDDOWN((J171-M171)*設定!$C$13/1000,0)+IF(CL171="市局型",ROUNDDOWN(J171*設定!$C$17/1000,0),0)</f>
        <v>0</v>
      </c>
      <c r="BN171" s="31" t="n">
        <f aca="false">IF(CK171="N",BV171,ROUNDDOWN((K171-N171)*設定!$B$14/1000,0))</f>
        <v>0</v>
      </c>
      <c r="BO171" s="31" t="n">
        <f aca="false">ROUNDDOWN((K171-N171)*設定!$C$14/1000,0)</f>
        <v>0</v>
      </c>
      <c r="BP171" s="31" t="n">
        <f aca="false">IF(CK171="N",BX171,ROUNDDOWN((J171-M171)*設定!$B$15/1000,0))</f>
        <v>0</v>
      </c>
      <c r="BQ171" s="31" t="n">
        <f aca="false">ROUNDDOWN((J171-M171)*設定!$C$15/1000,0)</f>
        <v>0</v>
      </c>
      <c r="BR171" s="31" t="n">
        <f aca="false">O171+P171</f>
        <v>0</v>
      </c>
      <c r="BS171" s="31" t="n">
        <f aca="false">T171+U171+V171</f>
        <v>0</v>
      </c>
      <c r="BT171" s="31" t="n">
        <f aca="false">Q171</f>
        <v>0</v>
      </c>
      <c r="BU171" s="31" t="n">
        <f aca="false">W171</f>
        <v>0</v>
      </c>
      <c r="BV171" s="31" t="n">
        <f aca="false">R171</f>
        <v>0</v>
      </c>
      <c r="BW171" s="31" t="n">
        <f aca="false">X171</f>
        <v>0</v>
      </c>
      <c r="BX171" s="31" t="n">
        <f aca="false">S171</f>
        <v>0</v>
      </c>
      <c r="BY171" s="31" t="n">
        <f aca="false">Y171</f>
        <v>0</v>
      </c>
      <c r="BZ171" s="32" t="n">
        <f aca="false">IF(BJ171=0,IF(BR171=0,0,1),(BR171-BJ171)/BJ171)</f>
        <v>0</v>
      </c>
      <c r="CA171" s="32" t="n">
        <f aca="false">IF(BK171=0,IF(BS171=0,0,1),(BS171-BK171)/BK171)</f>
        <v>0</v>
      </c>
      <c r="CB171" s="32" t="n">
        <f aca="false">IF(BL171=0,IF(BT171=0,0,1),(BT171-BL171)/BL171)</f>
        <v>0</v>
      </c>
      <c r="CC171" s="32" t="n">
        <f aca="false">IF(BM171=0,IF(BU171=0,0,1),(BU171-BM171)/BM171)</f>
        <v>0</v>
      </c>
      <c r="CD171" s="32" t="n">
        <f aca="false">IF(BN171=0,IF(BV171=0,0,1),(BV171-BN171)/BN171)</f>
        <v>0</v>
      </c>
      <c r="CE171" s="32" t="n">
        <f aca="false">IF(BO171=0,IF(BW171=0,0,1),(BW171-BO171)/BO171)</f>
        <v>0</v>
      </c>
      <c r="CF171" s="32" t="n">
        <f aca="false">IF(BP171=0,IF(BX171=0,0,1),(BX171-BP171)/BP171)</f>
        <v>0</v>
      </c>
      <c r="CG171" s="32" t="n">
        <f aca="false">IF(BQ171=0,IF(BY171=0,0,1),(BY171-BQ171)/BQ171)</f>
        <v>0</v>
      </c>
      <c r="CH171" s="32" t="n">
        <f aca="false">MAX(MAX(BZ171:CG171),-MIN(BZ171:CG171))</f>
        <v>-0</v>
      </c>
      <c r="CI171" s="31" t="str">
        <f aca="false">IF(CO171="","",SUMIFS($CJ$7:$CJ$696,$A$7:$A$696,CO171,$B$7:$B$696,B171))</f>
        <v/>
      </c>
      <c r="CJ171" s="31" t="n">
        <f aca="false">SUM(AY171:BI171)</f>
        <v>0</v>
      </c>
      <c r="CK171" s="31" t="str">
        <f aca="false">IFERROR(INDEX(設定!$F$61:$F$106,MATCH(B171,設定!$B$61:$B$106,0)),"Y")</f>
        <v>N</v>
      </c>
      <c r="CL171" s="31" t="str">
        <f aca="false">IFERROR(INDEX(設定!$G$61:$G$106,MATCH(B171,設定!$B$61:$B$106,0)),"外郭型")</f>
        <v>外郭型</v>
      </c>
      <c r="CM171" s="33" t="str">
        <f aca="false">A171&amp;"|"&amp;B171</f>
        <v>2026-06 賞与|文化財団　教育委員会</v>
      </c>
      <c r="CN171" s="34" t="str">
        <f aca="false">IFERROR(INDEX(設定!$D$61:$D$106,MATCH(B171,設定!$B$61:$B$106,0)),"Y")</f>
        <v>Y</v>
      </c>
      <c r="CO171" s="34" t="str">
        <f aca="false">IFERROR(INDEX(設定!$D$20:$D$34,MATCH(A171,設定!$A$20:$A$34,0))&amp;"","")</f>
        <v/>
      </c>
    </row>
    <row r="172" customFormat="false" ht="15" hidden="true" customHeight="false" outlineLevel="0" collapsed="false">
      <c r="A172" s="22" t="s">
        <v>218</v>
      </c>
      <c r="B172" s="23" t="s">
        <v>196</v>
      </c>
      <c r="C172" s="10" t="str">
        <f aca="false">IF(G172="","未受領",IF(G172="なし","報告なし",IF(AL172="○","起票済",IF(OR(AK172="○",F172="一致",F172="入金不要"),"入金確認済","受領済"))))</f>
        <v>入金確認済</v>
      </c>
      <c r="D172" s="10" t="str">
        <f aca="false">IF(OR(G172="",G172="なし"),"―",IF(CN172="N","対象外",IF(AND(I172="",J172="",K172=""),"標報未入力",IF(CH172&gt;=設定!$B$4,"要確認","問題なし"))))</f>
        <v>標報未入力</v>
      </c>
      <c r="E172" s="24" t="str">
        <f aca="false">IF(OR(G172="",G172="なし",CI172="",CJ172=0),"―",IF(CJ172=CI172,"前月同額",IF(CI172=0,"―",IF(ABS(CJ172/CI172-1)&gt;=設定!$B$5,"変動大 "&amp;TEXT(CJ172/CI172-1,"+0%;-0%"),"〇"))))</f>
        <v>―</v>
      </c>
      <c r="F172" s="10" t="str">
        <f aca="false">IF(OR(G172="",G172="なし"),"―",IF(CJ172=0,"入金不要",IF(COUNT(AD172,AF172,AH172,AJ172)=0,IF(AK172="○","手動確認","未入金"),IF(AND(N(AD172)=AC172,IF(AE172="",TRUE(),N(AF172)=AE172),IF(AG172="",TRUE(),N(AH172)=AG172),IF(AI172="",TRUE(),N(AJ172)=AI172)),"一致","不一致"))))</f>
        <v>手動確認</v>
      </c>
      <c r="G172" s="25" t="s">
        <v>167</v>
      </c>
      <c r="H172" s="26"/>
      <c r="I172" s="27"/>
      <c r="J172" s="27"/>
      <c r="K172" s="27"/>
      <c r="L172" s="27"/>
      <c r="M172" s="27"/>
      <c r="N172" s="27"/>
      <c r="O172" s="27"/>
      <c r="P172" s="27"/>
      <c r="Q172" s="27"/>
      <c r="R172" s="27"/>
      <c r="S172" s="27"/>
      <c r="T172" s="27" t="n">
        <v>917199</v>
      </c>
      <c r="U172" s="27" t="n">
        <v>75179</v>
      </c>
      <c r="V172" s="27" t="n">
        <v>869</v>
      </c>
      <c r="W172" s="27" t="n">
        <v>520344</v>
      </c>
      <c r="X172" s="27" t="n">
        <v>79187</v>
      </c>
      <c r="Y172" s="27" t="n">
        <v>11526</v>
      </c>
      <c r="Z172" s="27"/>
      <c r="AA172" s="10" t="str">
        <f aca="false">IFERROR(INDEX(設定!$E$61:$E$106,MATCH(B172,設定!$B$61:$B$106,0)),"合算")</f>
        <v>合算</v>
      </c>
      <c r="AB172" s="28"/>
      <c r="AC172" s="29" t="n">
        <f aca="false">IF(OR(G172="",G172="なし"),"",IF(AA172="合算",CJ172+N(Z172),IF(AA172="掛金・負担金別",(AY172+AZ172+BD172+BF172+BH172),SUM(AY172:BC172))))</f>
        <v>1604304</v>
      </c>
      <c r="AD172" s="27"/>
      <c r="AE172" s="29" t="str">
        <f aca="false">IF(OR(G172="",G172="なし"),"",IF(AA172="掛金・負担金別",(BA172+BB172+BC172+BE172+BG172+BI172+N(Z172)),IF(AA172="経理区分別",BD172+BE172,"")))</f>
        <v/>
      </c>
      <c r="AF172" s="27"/>
      <c r="AG172" s="29" t="str">
        <f aca="false">IF(OR(G172="",G172="なし"),"",IF(AA172="経理区分別",BF172+BG172,""))</f>
        <v/>
      </c>
      <c r="AH172" s="27"/>
      <c r="AI172" s="29" t="str">
        <f aca="false">IF(OR(G172="",G172="なし"),"",IF(AA172="経理区分別",BH172+BI172+N(Z172),""))</f>
        <v/>
      </c>
      <c r="AJ172" s="27"/>
      <c r="AK172" s="26" t="s">
        <v>168</v>
      </c>
      <c r="AL172" s="26"/>
      <c r="AM172" s="30"/>
      <c r="AN172" s="31"/>
      <c r="AO172" s="31"/>
      <c r="AP172" s="31"/>
      <c r="AQ172" s="31"/>
      <c r="AR172" s="31"/>
      <c r="AS172" s="31"/>
      <c r="AT172" s="31"/>
      <c r="AU172" s="31"/>
      <c r="AV172" s="31"/>
      <c r="AW172" s="31"/>
      <c r="AX172" s="31"/>
      <c r="AY172" s="31" t="n">
        <f aca="false">IF($G172="",AN172,O172)</f>
        <v>0</v>
      </c>
      <c r="AZ172" s="31" t="n">
        <f aca="false">IF($G172="",AO172,P172)</f>
        <v>0</v>
      </c>
      <c r="BA172" s="31" t="n">
        <f aca="false">IF($G172="",AP172,T172)</f>
        <v>917199</v>
      </c>
      <c r="BB172" s="31" t="n">
        <f aca="false">IF($G172="",AQ172,U172)</f>
        <v>75179</v>
      </c>
      <c r="BC172" s="31" t="n">
        <f aca="false">IF($G172="",AR172,V172)</f>
        <v>869</v>
      </c>
      <c r="BD172" s="31" t="n">
        <f aca="false">IF($G172="",AS172,Q172)</f>
        <v>0</v>
      </c>
      <c r="BE172" s="31" t="n">
        <f aca="false">IF($G172="",AT172,W172)</f>
        <v>520344</v>
      </c>
      <c r="BF172" s="31" t="n">
        <f aca="false">IF($G172="",AU172,R172)</f>
        <v>0</v>
      </c>
      <c r="BG172" s="31" t="n">
        <f aca="false">IF($G172="",AV172,X172)</f>
        <v>79187</v>
      </c>
      <c r="BH172" s="31" t="n">
        <f aca="false">IF($G172="",AW172,S172)</f>
        <v>0</v>
      </c>
      <c r="BI172" s="31" t="n">
        <f aca="false">IF($G172="",AX172,Y172)</f>
        <v>11526</v>
      </c>
      <c r="BJ172" s="31" t="n">
        <f aca="false">IF(CK172="N",BR172,ROUNDDOWN((I172-L172)*設定!$B$10/1000,0)+ROUNDDOWN((I172-L172)*設定!$B$11/1000,0))</f>
        <v>0</v>
      </c>
      <c r="BK172" s="31" t="n">
        <f aca="false">ROUNDDOWN((I172-L172)*設定!$C$10/1000,0)+ROUNDDOWN((I172-L172)*設定!$C$11/1000,0)+ROUNDDOWN(I172*設定!$C$12/1000,0)+IF(CL172="市局型",ROUNDDOWN(I172*設定!$C$16/1000,0),0)</f>
        <v>0</v>
      </c>
      <c r="BL172" s="31" t="n">
        <f aca="false">IF(CK172="N",BT172,ROUNDDOWN((J172-M172)*設定!$B$13/1000,0))</f>
        <v>0</v>
      </c>
      <c r="BM172" s="31" t="n">
        <f aca="false">ROUNDDOWN((J172-M172)*設定!$C$13/1000,0)+IF(CL172="市局型",ROUNDDOWN(J172*設定!$C$17/1000,0),0)</f>
        <v>0</v>
      </c>
      <c r="BN172" s="31" t="n">
        <f aca="false">IF(CK172="N",BV172,ROUNDDOWN((K172-N172)*設定!$B$14/1000,0))</f>
        <v>0</v>
      </c>
      <c r="BO172" s="31" t="n">
        <f aca="false">ROUNDDOWN((K172-N172)*設定!$C$14/1000,0)</f>
        <v>0</v>
      </c>
      <c r="BP172" s="31" t="n">
        <f aca="false">IF(CK172="N",BX172,ROUNDDOWN((J172-M172)*設定!$B$15/1000,0))</f>
        <v>0</v>
      </c>
      <c r="BQ172" s="31" t="n">
        <f aca="false">ROUNDDOWN((J172-M172)*設定!$C$15/1000,0)</f>
        <v>0</v>
      </c>
      <c r="BR172" s="31" t="n">
        <f aca="false">O172+P172</f>
        <v>0</v>
      </c>
      <c r="BS172" s="31" t="n">
        <f aca="false">T172+U172+V172</f>
        <v>993247</v>
      </c>
      <c r="BT172" s="31" t="n">
        <f aca="false">Q172</f>
        <v>0</v>
      </c>
      <c r="BU172" s="31" t="n">
        <f aca="false">W172</f>
        <v>520344</v>
      </c>
      <c r="BV172" s="31" t="n">
        <f aca="false">R172</f>
        <v>0</v>
      </c>
      <c r="BW172" s="31" t="n">
        <f aca="false">X172</f>
        <v>79187</v>
      </c>
      <c r="BX172" s="31" t="n">
        <f aca="false">S172</f>
        <v>0</v>
      </c>
      <c r="BY172" s="31" t="n">
        <f aca="false">Y172</f>
        <v>11526</v>
      </c>
      <c r="BZ172" s="32" t="n">
        <f aca="false">IF(BJ172=0,IF(BR172=0,0,1),(BR172-BJ172)/BJ172)</f>
        <v>0</v>
      </c>
      <c r="CA172" s="32" t="n">
        <f aca="false">IF(BK172=0,IF(BS172=0,0,1),(BS172-BK172)/BK172)</f>
        <v>1</v>
      </c>
      <c r="CB172" s="32" t="n">
        <f aca="false">IF(BL172=0,IF(BT172=0,0,1),(BT172-BL172)/BL172)</f>
        <v>0</v>
      </c>
      <c r="CC172" s="32" t="n">
        <f aca="false">IF(BM172=0,IF(BU172=0,0,1),(BU172-BM172)/BM172)</f>
        <v>1</v>
      </c>
      <c r="CD172" s="32" t="n">
        <f aca="false">IF(BN172=0,IF(BV172=0,0,1),(BV172-BN172)/BN172)</f>
        <v>0</v>
      </c>
      <c r="CE172" s="32" t="n">
        <f aca="false">IF(BO172=0,IF(BW172=0,0,1),(BW172-BO172)/BO172)</f>
        <v>1</v>
      </c>
      <c r="CF172" s="32" t="n">
        <f aca="false">IF(BP172=0,IF(BX172=0,0,1),(BX172-BP172)/BP172)</f>
        <v>0</v>
      </c>
      <c r="CG172" s="32" t="n">
        <f aca="false">IF(BQ172=0,IF(BY172=0,0,1),(BY172-BQ172)/BQ172)</f>
        <v>1</v>
      </c>
      <c r="CH172" s="32" t="n">
        <f aca="false">MAX(MAX(BZ172:CG172),-MIN(BZ172:CG172))</f>
        <v>1</v>
      </c>
      <c r="CI172" s="31" t="str">
        <f aca="false">IF(CO172="","",SUMIFS($CJ$7:$CJ$696,$A$7:$A$696,CO172,$B$7:$B$696,B172))</f>
        <v/>
      </c>
      <c r="CJ172" s="31" t="n">
        <f aca="false">SUM(AY172:BI172)</f>
        <v>1604304</v>
      </c>
      <c r="CK172" s="31" t="str">
        <f aca="false">IFERROR(INDEX(設定!$F$61:$F$106,MATCH(B172,設定!$B$61:$B$106,0)),"Y")</f>
        <v>N</v>
      </c>
      <c r="CL172" s="31" t="str">
        <f aca="false">IFERROR(INDEX(設定!$G$61:$G$106,MATCH(B172,設定!$B$61:$B$106,0)),"外郭型")</f>
        <v>外郭型</v>
      </c>
      <c r="CM172" s="33" t="str">
        <f aca="false">A172&amp;"|"&amp;B172</f>
        <v>2026-06 賞与|みどり生きもの協会</v>
      </c>
      <c r="CN172" s="34" t="str">
        <f aca="false">IFERROR(INDEX(設定!$D$61:$D$106,MATCH(B172,設定!$B$61:$B$106,0)),"Y")</f>
        <v>Y</v>
      </c>
      <c r="CO172" s="34" t="str">
        <f aca="false">IFERROR(INDEX(設定!$D$20:$D$34,MATCH(A172,設定!$A$20:$A$34,0))&amp;"","")</f>
        <v/>
      </c>
    </row>
    <row r="173" customFormat="false" ht="15" hidden="true" customHeight="false" outlineLevel="0" collapsed="false">
      <c r="A173" s="22" t="s">
        <v>218</v>
      </c>
      <c r="B173" s="23" t="s">
        <v>197</v>
      </c>
      <c r="C173" s="10" t="str">
        <f aca="false">IF(G173="","未受領",IF(G173="なし","報告なし",IF(AL173="○","起票済",IF(OR(AK173="○",F173="一致",F173="入金不要"),"入金確認済","受領済"))))</f>
        <v>入金確認済</v>
      </c>
      <c r="D173" s="10" t="str">
        <f aca="false">IF(OR(G173="",G173="なし"),"―",IF(CN173="N","対象外",IF(AND(I173="",J173="",K173=""),"標報未入力",IF(CH173&gt;=設定!$B$4,"要確認","問題なし"))))</f>
        <v>標報未入力</v>
      </c>
      <c r="E173" s="24" t="str">
        <f aca="false">IF(OR(G173="",G173="なし",CI173="",CJ173=0),"―",IF(CJ173=CI173,"前月同額",IF(CI173=0,"―",IF(ABS(CJ173/CI173-1)&gt;=設定!$B$5,"変動大 "&amp;TEXT(CJ173/CI173-1,"+0%;-0%"),"〇"))))</f>
        <v>―</v>
      </c>
      <c r="F173" s="10" t="str">
        <f aca="false">IF(OR(G173="",G173="なし"),"―",IF(CJ173=0,"入金不要",IF(COUNT(AD173,AF173,AH173,AJ173)=0,IF(AK173="○","手動確認","未入金"),IF(AND(N(AD173)=AC173,IF(AE173="",TRUE(),N(AF173)=AE173),IF(AG173="",TRUE(),N(AH173)=AG173),IF(AI173="",TRUE(),N(AJ173)=AI173)),"一致","不一致"))))</f>
        <v>手動確認</v>
      </c>
      <c r="G173" s="25" t="s">
        <v>167</v>
      </c>
      <c r="H173" s="26"/>
      <c r="I173" s="27"/>
      <c r="J173" s="27"/>
      <c r="K173" s="27"/>
      <c r="L173" s="27"/>
      <c r="M173" s="27"/>
      <c r="N173" s="27"/>
      <c r="O173" s="27" t="n">
        <v>295178</v>
      </c>
      <c r="P173" s="27" t="n">
        <v>24194</v>
      </c>
      <c r="Q173" s="27" t="n">
        <v>167299</v>
      </c>
      <c r="R173" s="27" t="n">
        <v>18983</v>
      </c>
      <c r="S173" s="27" t="n">
        <v>3709</v>
      </c>
      <c r="T173" s="27" t="n">
        <v>295180</v>
      </c>
      <c r="U173" s="27" t="n">
        <v>24195</v>
      </c>
      <c r="V173" s="27" t="n">
        <v>280</v>
      </c>
      <c r="W173" s="27" t="n">
        <v>167461</v>
      </c>
      <c r="X173" s="27" t="n">
        <v>18983</v>
      </c>
      <c r="Y173" s="27" t="n">
        <v>3709</v>
      </c>
      <c r="Z173" s="27"/>
      <c r="AA173" s="10" t="str">
        <f aca="false">IFERROR(INDEX(設定!$E$61:$E$106,MATCH(B173,設定!$B$61:$B$106,0)),"合算")</f>
        <v>合算</v>
      </c>
      <c r="AB173" s="28"/>
      <c r="AC173" s="29" t="n">
        <f aca="false">IF(OR(G173="",G173="なし"),"",IF(AA173="合算",CJ173+N(Z173),IF(AA173="掛金・負担金別",(AY173+AZ173+BD173+BF173+BH173),SUM(AY173:BC173))))</f>
        <v>1019171</v>
      </c>
      <c r="AD173" s="27"/>
      <c r="AE173" s="29" t="str">
        <f aca="false">IF(OR(G173="",G173="なし"),"",IF(AA173="掛金・負担金別",(BA173+BB173+BC173+BE173+BG173+BI173+N(Z173)),IF(AA173="経理区分別",BD173+BE173,"")))</f>
        <v/>
      </c>
      <c r="AF173" s="27"/>
      <c r="AG173" s="29" t="str">
        <f aca="false">IF(OR(G173="",G173="なし"),"",IF(AA173="経理区分別",BF173+BG173,""))</f>
        <v/>
      </c>
      <c r="AH173" s="27"/>
      <c r="AI173" s="29" t="str">
        <f aca="false">IF(OR(G173="",G173="なし"),"",IF(AA173="経理区分別",BH173+BI173+N(Z173),""))</f>
        <v/>
      </c>
      <c r="AJ173" s="27"/>
      <c r="AK173" s="26" t="s">
        <v>168</v>
      </c>
      <c r="AL173" s="26"/>
      <c r="AM173" s="30"/>
      <c r="AN173" s="31"/>
      <c r="AO173" s="31"/>
      <c r="AP173" s="31"/>
      <c r="AQ173" s="31"/>
      <c r="AR173" s="31"/>
      <c r="AS173" s="31"/>
      <c r="AT173" s="31"/>
      <c r="AU173" s="31"/>
      <c r="AV173" s="31"/>
      <c r="AW173" s="31"/>
      <c r="AX173" s="31"/>
      <c r="AY173" s="31" t="n">
        <f aca="false">IF($G173="",AN173,O173)</f>
        <v>295178</v>
      </c>
      <c r="AZ173" s="31" t="n">
        <f aca="false">IF($G173="",AO173,P173)</f>
        <v>24194</v>
      </c>
      <c r="BA173" s="31" t="n">
        <f aca="false">IF($G173="",AP173,T173)</f>
        <v>295180</v>
      </c>
      <c r="BB173" s="31" t="n">
        <f aca="false">IF($G173="",AQ173,U173)</f>
        <v>24195</v>
      </c>
      <c r="BC173" s="31" t="n">
        <f aca="false">IF($G173="",AR173,V173)</f>
        <v>280</v>
      </c>
      <c r="BD173" s="31" t="n">
        <f aca="false">IF($G173="",AS173,Q173)</f>
        <v>167299</v>
      </c>
      <c r="BE173" s="31" t="n">
        <f aca="false">IF($G173="",AT173,W173)</f>
        <v>167461</v>
      </c>
      <c r="BF173" s="31" t="n">
        <f aca="false">IF($G173="",AU173,R173)</f>
        <v>18983</v>
      </c>
      <c r="BG173" s="31" t="n">
        <f aca="false">IF($G173="",AV173,X173)</f>
        <v>18983</v>
      </c>
      <c r="BH173" s="31" t="n">
        <f aca="false">IF($G173="",AW173,S173)</f>
        <v>3709</v>
      </c>
      <c r="BI173" s="31" t="n">
        <f aca="false">IF($G173="",AX173,Y173)</f>
        <v>3709</v>
      </c>
      <c r="BJ173" s="31" t="n">
        <f aca="false">IF(CK173="N",BR173,ROUNDDOWN((I173-L173)*設定!$B$10/1000,0)+ROUNDDOWN((I173-L173)*設定!$B$11/1000,0))</f>
        <v>0</v>
      </c>
      <c r="BK173" s="31" t="n">
        <f aca="false">ROUNDDOWN((I173-L173)*設定!$C$10/1000,0)+ROUNDDOWN((I173-L173)*設定!$C$11/1000,0)+ROUNDDOWN(I173*設定!$C$12/1000,0)+IF(CL173="市局型",ROUNDDOWN(I173*設定!$C$16/1000,0),0)</f>
        <v>0</v>
      </c>
      <c r="BL173" s="31" t="n">
        <f aca="false">IF(CK173="N",BT173,ROUNDDOWN((J173-M173)*設定!$B$13/1000,0))</f>
        <v>0</v>
      </c>
      <c r="BM173" s="31" t="n">
        <f aca="false">ROUNDDOWN((J173-M173)*設定!$C$13/1000,0)+IF(CL173="市局型",ROUNDDOWN(J173*設定!$C$17/1000,0),0)</f>
        <v>0</v>
      </c>
      <c r="BN173" s="31" t="n">
        <f aca="false">IF(CK173="N",BV173,ROUNDDOWN((K173-N173)*設定!$B$14/1000,0))</f>
        <v>0</v>
      </c>
      <c r="BO173" s="31" t="n">
        <f aca="false">ROUNDDOWN((K173-N173)*設定!$C$14/1000,0)</f>
        <v>0</v>
      </c>
      <c r="BP173" s="31" t="n">
        <f aca="false">IF(CK173="N",BX173,ROUNDDOWN((J173-M173)*設定!$B$15/1000,0))</f>
        <v>0</v>
      </c>
      <c r="BQ173" s="31" t="n">
        <f aca="false">ROUNDDOWN((J173-M173)*設定!$C$15/1000,0)</f>
        <v>0</v>
      </c>
      <c r="BR173" s="31" t="n">
        <f aca="false">O173+P173</f>
        <v>319372</v>
      </c>
      <c r="BS173" s="31" t="n">
        <f aca="false">T173+U173+V173</f>
        <v>319655</v>
      </c>
      <c r="BT173" s="31" t="n">
        <f aca="false">Q173</f>
        <v>167299</v>
      </c>
      <c r="BU173" s="31" t="n">
        <f aca="false">W173</f>
        <v>167461</v>
      </c>
      <c r="BV173" s="31" t="n">
        <f aca="false">R173</f>
        <v>18983</v>
      </c>
      <c r="BW173" s="31" t="n">
        <f aca="false">X173</f>
        <v>18983</v>
      </c>
      <c r="BX173" s="31" t="n">
        <f aca="false">S173</f>
        <v>3709</v>
      </c>
      <c r="BY173" s="31" t="n">
        <f aca="false">Y173</f>
        <v>3709</v>
      </c>
      <c r="BZ173" s="32" t="n">
        <f aca="false">IF(BJ173=0,IF(BR173=0,0,1),(BR173-BJ173)/BJ173)</f>
        <v>1</v>
      </c>
      <c r="CA173" s="32" t="n">
        <f aca="false">IF(BK173=0,IF(BS173=0,0,1),(BS173-BK173)/BK173)</f>
        <v>1</v>
      </c>
      <c r="CB173" s="32" t="n">
        <f aca="false">IF(BL173=0,IF(BT173=0,0,1),(BT173-BL173)/BL173)</f>
        <v>1</v>
      </c>
      <c r="CC173" s="32" t="n">
        <f aca="false">IF(BM173=0,IF(BU173=0,0,1),(BU173-BM173)/BM173)</f>
        <v>1</v>
      </c>
      <c r="CD173" s="32" t="n">
        <f aca="false">IF(BN173=0,IF(BV173=0,0,1),(BV173-BN173)/BN173)</f>
        <v>1</v>
      </c>
      <c r="CE173" s="32" t="n">
        <f aca="false">IF(BO173=0,IF(BW173=0,0,1),(BW173-BO173)/BO173)</f>
        <v>1</v>
      </c>
      <c r="CF173" s="32" t="n">
        <f aca="false">IF(BP173=0,IF(BX173=0,0,1),(BX173-BP173)/BP173)</f>
        <v>1</v>
      </c>
      <c r="CG173" s="32" t="n">
        <f aca="false">IF(BQ173=0,IF(BY173=0,0,1),(BY173-BQ173)/BQ173)</f>
        <v>1</v>
      </c>
      <c r="CH173" s="32" t="n">
        <f aca="false">MAX(MAX(BZ173:CG173),-MIN(BZ173:CG173))</f>
        <v>1</v>
      </c>
      <c r="CI173" s="31" t="str">
        <f aca="false">IF(CO173="","",SUMIFS($CJ$7:$CJ$696,$A$7:$A$696,CO173,$B$7:$B$696,B173))</f>
        <v/>
      </c>
      <c r="CJ173" s="31" t="n">
        <f aca="false">SUM(AY173:BI173)</f>
        <v>1019171</v>
      </c>
      <c r="CK173" s="31" t="str">
        <f aca="false">IFERROR(INDEX(設定!$F$61:$F$106,MATCH(B173,設定!$B$61:$B$106,0)),"Y")</f>
        <v>Y</v>
      </c>
      <c r="CL173" s="31" t="str">
        <f aca="false">IFERROR(INDEX(設定!$G$61:$G$106,MATCH(B173,設定!$B$61:$B$106,0)),"外郭型")</f>
        <v>外郭型</v>
      </c>
      <c r="CM173" s="33" t="str">
        <f aca="false">A173&amp;"|"&amp;B173</f>
        <v>2026-06 賞与|県下水道公社</v>
      </c>
      <c r="CN173" s="34" t="str">
        <f aca="false">IFERROR(INDEX(設定!$D$61:$D$106,MATCH(B173,設定!$B$61:$B$106,0)),"Y")</f>
        <v>Y</v>
      </c>
      <c r="CO173" s="34" t="str">
        <f aca="false">IFERROR(INDEX(設定!$D$20:$D$34,MATCH(A173,設定!$A$20:$A$34,0))&amp;"","")</f>
        <v/>
      </c>
    </row>
    <row r="174" customFormat="false" ht="26.85" hidden="true" customHeight="false" outlineLevel="0" collapsed="false">
      <c r="A174" s="22" t="s">
        <v>218</v>
      </c>
      <c r="B174" s="35" t="s">
        <v>219</v>
      </c>
      <c r="C174" s="10" t="str">
        <f aca="false">IF(G174="","未受領",IF(G174="なし","報告なし",IF(AL174="○","起票済",IF(OR(AK174="○",F174="一致",F174="入金不要"),"入金確認済","受領済"))))</f>
        <v>入金確認済</v>
      </c>
      <c r="D174" s="10" t="str">
        <f aca="false">IF(OR(G174="",G174="なし"),"―",IF(CN174="N","対象外",IF(AND(I174="",J174="",K174=""),"標報未入力",IF(CH174&gt;=設定!$B$4,"要確認","問題なし"))))</f>
        <v>標報未入力</v>
      </c>
      <c r="E174" s="24" t="str">
        <f aca="false">IF(OR(G174="",G174="なし",CI174="",CJ174=0),"―",IF(CJ174=CI174,"前月同額",IF(CI174=0,"―",IF(ABS(CJ174/CI174-1)&gt;=設定!$B$5,"変動大 "&amp;TEXT(CJ174/CI174-1,"+0%;-0%"),"〇"))))</f>
        <v>―</v>
      </c>
      <c r="F174" s="10" t="str">
        <f aca="false">IF(OR(G174="",G174="なし"),"―",IF(CJ174=0,"入金不要",IF(COUNT(AD174,AF174,AH174,AJ174)=0,IF(AK174="○","手動確認","未入金"),IF(AND(N(AD174)=AC174,IF(AE174="",TRUE(),N(AF174)=AE174),IF(AG174="",TRUE(),N(AH174)=AG174),IF(AI174="",TRUE(),N(AJ174)=AI174)),"一致","不一致"))))</f>
        <v>手動確認</v>
      </c>
      <c r="G174" s="25" t="s">
        <v>167</v>
      </c>
      <c r="H174" s="26"/>
      <c r="I174" s="27"/>
      <c r="J174" s="27"/>
      <c r="K174" s="27"/>
      <c r="L174" s="27"/>
      <c r="M174" s="27"/>
      <c r="N174" s="27"/>
      <c r="O174" s="27"/>
      <c r="P174" s="27"/>
      <c r="Q174" s="27"/>
      <c r="R174" s="27"/>
      <c r="S174" s="27"/>
      <c r="T174" s="27" t="n">
        <v>866873</v>
      </c>
      <c r="U174" s="27" t="n">
        <v>71055</v>
      </c>
      <c r="V174" s="27" t="n">
        <v>823</v>
      </c>
      <c r="W174" s="27" t="n">
        <v>491795</v>
      </c>
      <c r="X174" s="27" t="n">
        <v>42612</v>
      </c>
      <c r="Y174" s="27" t="n">
        <v>10895</v>
      </c>
      <c r="Z174" s="27"/>
      <c r="AA174" s="10" t="str">
        <f aca="false">IFERROR(INDEX(設定!$E$61:$E$106,MATCH(B174,設定!$B$61:$B$106,0)),"合算")</f>
        <v>合算</v>
      </c>
      <c r="AB174" s="28"/>
      <c r="AC174" s="29" t="n">
        <f aca="false">IF(OR(G174="",G174="なし"),"",IF(AA174="合算",CJ174+N(Z174),IF(AA174="掛金・負担金別",(AY174+AZ174+BD174+BF174+BH174),SUM(AY174:BC174))))</f>
        <v>1484053</v>
      </c>
      <c r="AD174" s="27"/>
      <c r="AE174" s="29" t="str">
        <f aca="false">IF(OR(G174="",G174="なし"),"",IF(AA174="掛金・負担金別",(BA174+BB174+BC174+BE174+BG174+BI174+N(Z174)),IF(AA174="経理区分別",BD174+BE174,"")))</f>
        <v/>
      </c>
      <c r="AF174" s="27"/>
      <c r="AG174" s="29" t="str">
        <f aca="false">IF(OR(G174="",G174="なし"),"",IF(AA174="経理区分別",BF174+BG174,""))</f>
        <v/>
      </c>
      <c r="AH174" s="27"/>
      <c r="AI174" s="29" t="str">
        <f aca="false">IF(OR(G174="",G174="なし"),"",IF(AA174="経理区分別",BH174+BI174+N(Z174),""))</f>
        <v/>
      </c>
      <c r="AJ174" s="27"/>
      <c r="AK174" s="26" t="s">
        <v>168</v>
      </c>
      <c r="AL174" s="26"/>
      <c r="AM174" s="30"/>
      <c r="AN174" s="31"/>
      <c r="AO174" s="31"/>
      <c r="AP174" s="31"/>
      <c r="AQ174" s="31"/>
      <c r="AR174" s="31"/>
      <c r="AS174" s="31"/>
      <c r="AT174" s="31"/>
      <c r="AU174" s="31"/>
      <c r="AV174" s="31"/>
      <c r="AW174" s="31"/>
      <c r="AX174" s="31"/>
      <c r="AY174" s="31" t="n">
        <f aca="false">IF($G174="",AN174,O174)</f>
        <v>0</v>
      </c>
      <c r="AZ174" s="31" t="n">
        <f aca="false">IF($G174="",AO174,P174)</f>
        <v>0</v>
      </c>
      <c r="BA174" s="31" t="n">
        <f aca="false">IF($G174="",AP174,T174)</f>
        <v>866873</v>
      </c>
      <c r="BB174" s="31" t="n">
        <f aca="false">IF($G174="",AQ174,U174)</f>
        <v>71055</v>
      </c>
      <c r="BC174" s="31" t="n">
        <f aca="false">IF($G174="",AR174,V174)</f>
        <v>823</v>
      </c>
      <c r="BD174" s="31" t="n">
        <f aca="false">IF($G174="",AS174,Q174)</f>
        <v>0</v>
      </c>
      <c r="BE174" s="31" t="n">
        <f aca="false">IF($G174="",AT174,W174)</f>
        <v>491795</v>
      </c>
      <c r="BF174" s="31" t="n">
        <f aca="false">IF($G174="",AU174,R174)</f>
        <v>0</v>
      </c>
      <c r="BG174" s="31" t="n">
        <f aca="false">IF($G174="",AV174,X174)</f>
        <v>42612</v>
      </c>
      <c r="BH174" s="31" t="n">
        <f aca="false">IF($G174="",AW174,S174)</f>
        <v>0</v>
      </c>
      <c r="BI174" s="31" t="n">
        <f aca="false">IF($G174="",AX174,Y174)</f>
        <v>10895</v>
      </c>
      <c r="BJ174" s="31" t="n">
        <f aca="false">IF(CK174="N",BR174,ROUNDDOWN((I174-L174)*設定!$B$10/1000,0)+ROUNDDOWN((I174-L174)*設定!$B$11/1000,0))</f>
        <v>0</v>
      </c>
      <c r="BK174" s="31" t="n">
        <f aca="false">ROUNDDOWN((I174-L174)*設定!$C$10/1000,0)+ROUNDDOWN((I174-L174)*設定!$C$11/1000,0)+ROUNDDOWN(I174*設定!$C$12/1000,0)+IF(CL174="市局型",ROUNDDOWN(I174*設定!$C$16/1000,0),0)</f>
        <v>0</v>
      </c>
      <c r="BL174" s="31" t="n">
        <f aca="false">IF(CK174="N",BT174,ROUNDDOWN((J174-M174)*設定!$B$13/1000,0))</f>
        <v>0</v>
      </c>
      <c r="BM174" s="31" t="n">
        <f aca="false">ROUNDDOWN((J174-M174)*設定!$C$13/1000,0)+IF(CL174="市局型",ROUNDDOWN(J174*設定!$C$17/1000,0),0)</f>
        <v>0</v>
      </c>
      <c r="BN174" s="31" t="n">
        <f aca="false">IF(CK174="N",BV174,ROUNDDOWN((K174-N174)*設定!$B$14/1000,0))</f>
        <v>0</v>
      </c>
      <c r="BO174" s="31" t="n">
        <f aca="false">ROUNDDOWN((K174-N174)*設定!$C$14/1000,0)</f>
        <v>0</v>
      </c>
      <c r="BP174" s="31" t="n">
        <f aca="false">IF(CK174="N",BX174,ROUNDDOWN((J174-M174)*設定!$B$15/1000,0))</f>
        <v>0</v>
      </c>
      <c r="BQ174" s="31" t="n">
        <f aca="false">ROUNDDOWN((J174-M174)*設定!$C$15/1000,0)</f>
        <v>0</v>
      </c>
      <c r="BR174" s="31" t="n">
        <f aca="false">O174+P174</f>
        <v>0</v>
      </c>
      <c r="BS174" s="31" t="n">
        <f aca="false">T174+U174+V174</f>
        <v>938751</v>
      </c>
      <c r="BT174" s="31" t="n">
        <f aca="false">Q174</f>
        <v>0</v>
      </c>
      <c r="BU174" s="31" t="n">
        <f aca="false">W174</f>
        <v>491795</v>
      </c>
      <c r="BV174" s="31" t="n">
        <f aca="false">R174</f>
        <v>0</v>
      </c>
      <c r="BW174" s="31" t="n">
        <f aca="false">X174</f>
        <v>42612</v>
      </c>
      <c r="BX174" s="31" t="n">
        <f aca="false">S174</f>
        <v>0</v>
      </c>
      <c r="BY174" s="31" t="n">
        <f aca="false">Y174</f>
        <v>10895</v>
      </c>
      <c r="BZ174" s="32" t="n">
        <f aca="false">IF(BJ174=0,IF(BR174=0,0,1),(BR174-BJ174)/BJ174)</f>
        <v>0</v>
      </c>
      <c r="CA174" s="32" t="n">
        <f aca="false">IF(BK174=0,IF(BS174=0,0,1),(BS174-BK174)/BK174)</f>
        <v>1</v>
      </c>
      <c r="CB174" s="32" t="n">
        <f aca="false">IF(BL174=0,IF(BT174=0,0,1),(BT174-BL174)/BL174)</f>
        <v>0</v>
      </c>
      <c r="CC174" s="32" t="n">
        <f aca="false">IF(BM174=0,IF(BU174=0,0,1),(BU174-BM174)/BM174)</f>
        <v>1</v>
      </c>
      <c r="CD174" s="32" t="n">
        <f aca="false">IF(BN174=0,IF(BV174=0,0,1),(BV174-BN174)/BN174)</f>
        <v>0</v>
      </c>
      <c r="CE174" s="32" t="n">
        <f aca="false">IF(BO174=0,IF(BW174=0,0,1),(BW174-BO174)/BO174)</f>
        <v>1</v>
      </c>
      <c r="CF174" s="32" t="n">
        <f aca="false">IF(BP174=0,IF(BX174=0,0,1),(BX174-BP174)/BP174)</f>
        <v>0</v>
      </c>
      <c r="CG174" s="32" t="n">
        <f aca="false">IF(BQ174=0,IF(BY174=0,0,1),(BY174-BQ174)/BQ174)</f>
        <v>1</v>
      </c>
      <c r="CH174" s="32" t="n">
        <f aca="false">MAX(MAX(BZ174:CG174),-MIN(BZ174:CG174))</f>
        <v>1</v>
      </c>
      <c r="CI174" s="31" t="str">
        <f aca="false">IF(CO174="","",SUMIFS($CJ$7:$CJ$696,$A$7:$A$696,CO174,$B$7:$B$696,B174))</f>
        <v/>
      </c>
      <c r="CJ174" s="31" t="n">
        <f aca="false">SUM(AY174:BI174)</f>
        <v>1484053</v>
      </c>
      <c r="CK174" s="31" t="str">
        <f aca="false">IFERROR(INDEX(設定!$F$61:$F$106,MATCH(B174,設定!$B$61:$B$106,0)),"Y")</f>
        <v>N</v>
      </c>
      <c r="CL174" s="31" t="str">
        <f aca="false">IFERROR(INDEX(設定!$G$61:$G$106,MATCH(B174,設定!$B$61:$B$106,0)),"外郭型")</f>
        <v>外郭型</v>
      </c>
      <c r="CM174" s="36" t="str">
        <f aca="false">A174&amp;"|"&amp;B174</f>
        <v>2026-06 賞与|バス協調・共創
プラットフォーム</v>
      </c>
      <c r="CN174" s="34" t="str">
        <f aca="false">IFERROR(INDEX(設定!$D$61:$D$106,MATCH(B174,設定!$B$61:$B$106,0)),"Y")</f>
        <v>Y</v>
      </c>
      <c r="CO174" s="34" t="str">
        <f aca="false">IFERROR(INDEX(設定!$D$20:$D$34,MATCH(A174,設定!$A$20:$A$34,0))&amp;"","")</f>
        <v/>
      </c>
    </row>
    <row r="175" customFormat="false" ht="15" hidden="true" customHeight="false" outlineLevel="0" collapsed="false">
      <c r="A175" s="22" t="s">
        <v>218</v>
      </c>
      <c r="B175" s="23" t="s">
        <v>199</v>
      </c>
      <c r="C175" s="10" t="str">
        <f aca="false">IF(G175="","未受領",IF(G175="なし","報告なし",IF(AL175="○","起票済",IF(OR(AK175="○",F175="一致",F175="入金不要"),"入金確認済","受領済"))))</f>
        <v>入金確認済</v>
      </c>
      <c r="D175" s="10" t="str">
        <f aca="false">IF(OR(G175="",G175="なし"),"―",IF(CN175="N","対象外",IF(AND(I175="",J175="",K175=""),"標報未入力",IF(CH175&gt;=設定!$B$4,"要確認","問題なし"))))</f>
        <v>標報未入力</v>
      </c>
      <c r="E175" s="24" t="str">
        <f aca="false">IF(OR(G175="",G175="なし",CI175="",CJ175=0),"―",IF(CJ175=CI175,"前月同額",IF(CI175=0,"―",IF(ABS(CJ175/CI175-1)&gt;=設定!$B$5,"変動大 "&amp;TEXT(CJ175/CI175-1,"+0%;-0%"),"〇"))))</f>
        <v>―</v>
      </c>
      <c r="F175" s="10" t="str">
        <f aca="false">IF(OR(G175="",G175="なし"),"―",IF(CJ175=0,"入金不要",IF(COUNT(AD175,AF175,AH175,AJ175)=0,IF(AK175="○","手動確認","未入金"),IF(AND(N(AD175)=AC175,IF(AE175="",TRUE(),N(AF175)=AE175),IF(AG175="",TRUE(),N(AH175)=AG175),IF(AI175="",TRUE(),N(AJ175)=AI175)),"一致","不一致"))))</f>
        <v>手動確認</v>
      </c>
      <c r="G175" s="25" t="s">
        <v>167</v>
      </c>
      <c r="H175" s="26"/>
      <c r="I175" s="27"/>
      <c r="J175" s="27"/>
      <c r="K175" s="27"/>
      <c r="L175" s="27"/>
      <c r="M175" s="27"/>
      <c r="N175" s="27"/>
      <c r="O175" s="27" t="n">
        <v>118309</v>
      </c>
      <c r="P175" s="27" t="n">
        <v>9697</v>
      </c>
      <c r="Q175" s="27" t="n">
        <v>67054</v>
      </c>
      <c r="R175" s="27" t="n">
        <v>10214</v>
      </c>
      <c r="S175" s="27" t="n">
        <v>1486</v>
      </c>
      <c r="T175" s="27" t="n">
        <v>118310</v>
      </c>
      <c r="U175" s="27" t="n">
        <v>9697</v>
      </c>
      <c r="V175" s="27" t="n">
        <v>112</v>
      </c>
      <c r="W175" s="27" t="n">
        <v>67119</v>
      </c>
      <c r="X175" s="27" t="n">
        <v>10214</v>
      </c>
      <c r="Y175" s="27" t="n">
        <v>1486</v>
      </c>
      <c r="Z175" s="27"/>
      <c r="AA175" s="10" t="str">
        <f aca="false">IFERROR(INDEX(設定!$E$61:$E$106,MATCH(B175,設定!$B$61:$B$106,0)),"合算")</f>
        <v>合算</v>
      </c>
      <c r="AB175" s="28"/>
      <c r="AC175" s="29" t="n">
        <f aca="false">IF(OR(G175="",G175="なし"),"",IF(AA175="合算",CJ175+N(Z175),IF(AA175="掛金・負担金別",(AY175+AZ175+BD175+BF175+BH175),SUM(AY175:BC175))))</f>
        <v>413698</v>
      </c>
      <c r="AD175" s="27"/>
      <c r="AE175" s="29" t="str">
        <f aca="false">IF(OR(G175="",G175="なし"),"",IF(AA175="掛金・負担金別",(BA175+BB175+BC175+BE175+BG175+BI175+N(Z175)),IF(AA175="経理区分別",BD175+BE175,"")))</f>
        <v/>
      </c>
      <c r="AF175" s="27"/>
      <c r="AG175" s="29" t="str">
        <f aca="false">IF(OR(G175="",G175="なし"),"",IF(AA175="経理区分別",BF175+BG175,""))</f>
        <v/>
      </c>
      <c r="AH175" s="27"/>
      <c r="AI175" s="29" t="str">
        <f aca="false">IF(OR(G175="",G175="なし"),"",IF(AA175="経理区分別",BH175+BI175+N(Z175),""))</f>
        <v/>
      </c>
      <c r="AJ175" s="27"/>
      <c r="AK175" s="26" t="s">
        <v>168</v>
      </c>
      <c r="AL175" s="26"/>
      <c r="AM175" s="30"/>
      <c r="AN175" s="31"/>
      <c r="AO175" s="31"/>
      <c r="AP175" s="31"/>
      <c r="AQ175" s="31"/>
      <c r="AR175" s="31"/>
      <c r="AS175" s="31"/>
      <c r="AT175" s="31"/>
      <c r="AU175" s="31"/>
      <c r="AV175" s="31"/>
      <c r="AW175" s="31"/>
      <c r="AX175" s="31"/>
      <c r="AY175" s="31" t="n">
        <f aca="false">IF($G175="",AN175,O175)</f>
        <v>118309</v>
      </c>
      <c r="AZ175" s="31" t="n">
        <f aca="false">IF($G175="",AO175,P175)</f>
        <v>9697</v>
      </c>
      <c r="BA175" s="31" t="n">
        <f aca="false">IF($G175="",AP175,T175)</f>
        <v>118310</v>
      </c>
      <c r="BB175" s="31" t="n">
        <f aca="false">IF($G175="",AQ175,U175)</f>
        <v>9697</v>
      </c>
      <c r="BC175" s="31" t="n">
        <f aca="false">IF($G175="",AR175,V175)</f>
        <v>112</v>
      </c>
      <c r="BD175" s="31" t="n">
        <f aca="false">IF($G175="",AS175,Q175)</f>
        <v>67054</v>
      </c>
      <c r="BE175" s="31" t="n">
        <f aca="false">IF($G175="",AT175,W175)</f>
        <v>67119</v>
      </c>
      <c r="BF175" s="31" t="n">
        <f aca="false">IF($G175="",AU175,R175)</f>
        <v>10214</v>
      </c>
      <c r="BG175" s="31" t="n">
        <f aca="false">IF($G175="",AV175,X175)</f>
        <v>10214</v>
      </c>
      <c r="BH175" s="31" t="n">
        <f aca="false">IF($G175="",AW175,S175)</f>
        <v>1486</v>
      </c>
      <c r="BI175" s="31" t="n">
        <f aca="false">IF($G175="",AX175,Y175)</f>
        <v>1486</v>
      </c>
      <c r="BJ175" s="31" t="n">
        <f aca="false">IF(CK175="N",BR175,ROUNDDOWN((I175-L175)*設定!$B$10/1000,0)+ROUNDDOWN((I175-L175)*設定!$B$11/1000,0))</f>
        <v>0</v>
      </c>
      <c r="BK175" s="31" t="n">
        <f aca="false">ROUNDDOWN((I175-L175)*設定!$C$10/1000,0)+ROUNDDOWN((I175-L175)*設定!$C$11/1000,0)+ROUNDDOWN(I175*設定!$C$12/1000,0)+IF(CL175="市局型",ROUNDDOWN(I175*設定!$C$16/1000,0),0)</f>
        <v>0</v>
      </c>
      <c r="BL175" s="31" t="n">
        <f aca="false">IF(CK175="N",BT175,ROUNDDOWN((J175-M175)*設定!$B$13/1000,0))</f>
        <v>0</v>
      </c>
      <c r="BM175" s="31" t="n">
        <f aca="false">ROUNDDOWN((J175-M175)*設定!$C$13/1000,0)+IF(CL175="市局型",ROUNDDOWN(J175*設定!$C$17/1000,0),0)</f>
        <v>0</v>
      </c>
      <c r="BN175" s="31" t="n">
        <f aca="false">IF(CK175="N",BV175,ROUNDDOWN((K175-N175)*設定!$B$14/1000,0))</f>
        <v>0</v>
      </c>
      <c r="BO175" s="31" t="n">
        <f aca="false">ROUNDDOWN((K175-N175)*設定!$C$14/1000,0)</f>
        <v>0</v>
      </c>
      <c r="BP175" s="31" t="n">
        <f aca="false">IF(CK175="N",BX175,ROUNDDOWN((J175-M175)*設定!$B$15/1000,0))</f>
        <v>0</v>
      </c>
      <c r="BQ175" s="31" t="n">
        <f aca="false">ROUNDDOWN((J175-M175)*設定!$C$15/1000,0)</f>
        <v>0</v>
      </c>
      <c r="BR175" s="31" t="n">
        <f aca="false">O175+P175</f>
        <v>128006</v>
      </c>
      <c r="BS175" s="31" t="n">
        <f aca="false">T175+U175+V175</f>
        <v>128119</v>
      </c>
      <c r="BT175" s="31" t="n">
        <f aca="false">Q175</f>
        <v>67054</v>
      </c>
      <c r="BU175" s="31" t="n">
        <f aca="false">W175</f>
        <v>67119</v>
      </c>
      <c r="BV175" s="31" t="n">
        <f aca="false">R175</f>
        <v>10214</v>
      </c>
      <c r="BW175" s="31" t="n">
        <f aca="false">X175</f>
        <v>10214</v>
      </c>
      <c r="BX175" s="31" t="n">
        <f aca="false">S175</f>
        <v>1486</v>
      </c>
      <c r="BY175" s="31" t="n">
        <f aca="false">Y175</f>
        <v>1486</v>
      </c>
      <c r="BZ175" s="32" t="n">
        <f aca="false">IF(BJ175=0,IF(BR175=0,0,1),(BR175-BJ175)/BJ175)</f>
        <v>1</v>
      </c>
      <c r="CA175" s="32" t="n">
        <f aca="false">IF(BK175=0,IF(BS175=0,0,1),(BS175-BK175)/BK175)</f>
        <v>1</v>
      </c>
      <c r="CB175" s="32" t="n">
        <f aca="false">IF(BL175=0,IF(BT175=0,0,1),(BT175-BL175)/BL175)</f>
        <v>1</v>
      </c>
      <c r="CC175" s="32" t="n">
        <f aca="false">IF(BM175=0,IF(BU175=0,0,1),(BU175-BM175)/BM175)</f>
        <v>1</v>
      </c>
      <c r="CD175" s="32" t="n">
        <f aca="false">IF(BN175=0,IF(BV175=0,0,1),(BV175-BN175)/BN175)</f>
        <v>1</v>
      </c>
      <c r="CE175" s="32" t="n">
        <f aca="false">IF(BO175=0,IF(BW175=0,0,1),(BW175-BO175)/BO175)</f>
        <v>1</v>
      </c>
      <c r="CF175" s="32" t="n">
        <f aca="false">IF(BP175=0,IF(BX175=0,0,1),(BX175-BP175)/BP175)</f>
        <v>1</v>
      </c>
      <c r="CG175" s="32" t="n">
        <f aca="false">IF(BQ175=0,IF(BY175=0,0,1),(BY175-BQ175)/BQ175)</f>
        <v>1</v>
      </c>
      <c r="CH175" s="32" t="n">
        <f aca="false">MAX(MAX(BZ175:CG175),-MIN(BZ175:CG175))</f>
        <v>1</v>
      </c>
      <c r="CI175" s="31" t="str">
        <f aca="false">IF(CO175="","",SUMIFS($CJ$7:$CJ$696,$A$7:$A$696,CO175,$B$7:$B$696,B175))</f>
        <v/>
      </c>
      <c r="CJ175" s="31" t="n">
        <f aca="false">SUM(AY175:BI175)</f>
        <v>413698</v>
      </c>
      <c r="CK175" s="31" t="str">
        <f aca="false">IFERROR(INDEX(設定!$F$61:$F$106,MATCH(B175,設定!$B$61:$B$106,0)),"Y")</f>
        <v>Y</v>
      </c>
      <c r="CL175" s="31" t="str">
        <f aca="false">IFERROR(INDEX(設定!$G$61:$G$106,MATCH(B175,設定!$B$61:$B$106,0)),"外郭型")</f>
        <v>外郭型</v>
      </c>
      <c r="CM175" s="33" t="str">
        <f aca="false">A175&amp;"|"&amp;B175</f>
        <v>2026-06 賞与|広島県市長会</v>
      </c>
      <c r="CN175" s="34" t="str">
        <f aca="false">IFERROR(INDEX(設定!$D$61:$D$106,MATCH(B175,設定!$B$61:$B$106,0)),"Y")</f>
        <v>Y</v>
      </c>
      <c r="CO175" s="34" t="str">
        <f aca="false">IFERROR(INDEX(設定!$D$20:$D$34,MATCH(A175,設定!$A$20:$A$34,0))&amp;"","")</f>
        <v/>
      </c>
    </row>
    <row r="176" customFormat="false" ht="15" hidden="true" customHeight="false" outlineLevel="0" collapsed="false">
      <c r="A176" s="22" t="s">
        <v>218</v>
      </c>
      <c r="B176" s="23" t="s">
        <v>200</v>
      </c>
      <c r="C176" s="10" t="str">
        <f aca="false">IF(G176="","未受領",IF(G176="なし","報告なし",IF(AL176="○","起票済",IF(OR(AK176="○",F176="一致",F176="入金不要"),"入金確認済","受領済"))))</f>
        <v>入金確認済</v>
      </c>
      <c r="D176" s="10" t="str">
        <f aca="false">IF(OR(G176="",G176="なし"),"―",IF(CN176="N","対象外",IF(AND(I176="",J176="",K176=""),"標報未入力",IF(CH176&gt;=設定!$B$4,"要確認","問題なし"))))</f>
        <v>標報未入力</v>
      </c>
      <c r="E176" s="24" t="str">
        <f aca="false">IF(OR(G176="",G176="なし",CI176="",CJ176=0),"―",IF(CJ176=CI176,"前月同額",IF(CI176=0,"―",IF(ABS(CJ176/CI176-1)&gt;=設定!$B$5,"変動大 "&amp;TEXT(CJ176/CI176-1,"+0%;-0%"),"〇"))))</f>
        <v>―</v>
      </c>
      <c r="F176" s="10" t="str">
        <f aca="false">IF(OR(G176="",G176="なし"),"―",IF(CJ176=0,"入金不要",IF(COUNT(AD176,AF176,AH176,AJ176)=0,IF(AK176="○","手動確認","未入金"),IF(AND(N(AD176)=AC176,IF(AE176="",TRUE(),N(AF176)=AE176),IF(AG176="",TRUE(),N(AH176)=AG176),IF(AI176="",TRUE(),N(AJ176)=AI176)),"一致","不一致"))))</f>
        <v>手動確認</v>
      </c>
      <c r="G176" s="25" t="s">
        <v>167</v>
      </c>
      <c r="H176" s="26"/>
      <c r="I176" s="27"/>
      <c r="J176" s="27"/>
      <c r="K176" s="27"/>
      <c r="L176" s="27"/>
      <c r="M176" s="27"/>
      <c r="N176" s="27"/>
      <c r="O176" s="27" t="n">
        <v>137250</v>
      </c>
      <c r="P176" s="27" t="n">
        <v>11250</v>
      </c>
      <c r="Q176" s="27" t="n">
        <v>82872</v>
      </c>
      <c r="R176" s="27" t="n">
        <v>12624</v>
      </c>
      <c r="S176" s="27" t="n">
        <v>1837</v>
      </c>
      <c r="T176" s="27" t="n">
        <v>137250</v>
      </c>
      <c r="U176" s="27" t="n">
        <v>11250</v>
      </c>
      <c r="V176" s="27" t="n">
        <v>130</v>
      </c>
      <c r="W176" s="27" t="n">
        <v>82952</v>
      </c>
      <c r="X176" s="27" t="n">
        <v>12624</v>
      </c>
      <c r="Y176" s="27" t="n">
        <v>1837</v>
      </c>
      <c r="Z176" s="27"/>
      <c r="AA176" s="10" t="str">
        <f aca="false">IFERROR(INDEX(設定!$E$61:$E$106,MATCH(B176,設定!$B$61:$B$106,0)),"合算")</f>
        <v>合算</v>
      </c>
      <c r="AB176" s="28"/>
      <c r="AC176" s="29" t="n">
        <f aca="false">IF(OR(G176="",G176="なし"),"",IF(AA176="合算",CJ176+N(Z176),IF(AA176="掛金・負担金別",(AY176+AZ176+BD176+BF176+BH176),SUM(AY176:BC176))))</f>
        <v>491876</v>
      </c>
      <c r="AD176" s="27"/>
      <c r="AE176" s="29" t="str">
        <f aca="false">IF(OR(G176="",G176="なし"),"",IF(AA176="掛金・負担金別",(BA176+BB176+BC176+BE176+BG176+BI176+N(Z176)),IF(AA176="経理区分別",BD176+BE176,"")))</f>
        <v/>
      </c>
      <c r="AF176" s="27"/>
      <c r="AG176" s="29" t="str">
        <f aca="false">IF(OR(G176="",G176="なし"),"",IF(AA176="経理区分別",BF176+BG176,""))</f>
        <v/>
      </c>
      <c r="AH176" s="27"/>
      <c r="AI176" s="29" t="str">
        <f aca="false">IF(OR(G176="",G176="なし"),"",IF(AA176="経理区分別",BH176+BI176+N(Z176),""))</f>
        <v/>
      </c>
      <c r="AJ176" s="27"/>
      <c r="AK176" s="26" t="s">
        <v>168</v>
      </c>
      <c r="AL176" s="26"/>
      <c r="AM176" s="30"/>
      <c r="AN176" s="31"/>
      <c r="AO176" s="31"/>
      <c r="AP176" s="31"/>
      <c r="AQ176" s="31"/>
      <c r="AR176" s="31"/>
      <c r="AS176" s="31"/>
      <c r="AT176" s="31"/>
      <c r="AU176" s="31"/>
      <c r="AV176" s="31"/>
      <c r="AW176" s="31"/>
      <c r="AX176" s="31"/>
      <c r="AY176" s="31" t="n">
        <f aca="false">IF($G176="",AN176,O176)</f>
        <v>137250</v>
      </c>
      <c r="AZ176" s="31" t="n">
        <f aca="false">IF($G176="",AO176,P176)</f>
        <v>11250</v>
      </c>
      <c r="BA176" s="31" t="n">
        <f aca="false">IF($G176="",AP176,T176)</f>
        <v>137250</v>
      </c>
      <c r="BB176" s="31" t="n">
        <f aca="false">IF($G176="",AQ176,U176)</f>
        <v>11250</v>
      </c>
      <c r="BC176" s="31" t="n">
        <f aca="false">IF($G176="",AR176,V176)</f>
        <v>130</v>
      </c>
      <c r="BD176" s="31" t="n">
        <f aca="false">IF($G176="",AS176,Q176)</f>
        <v>82872</v>
      </c>
      <c r="BE176" s="31" t="n">
        <f aca="false">IF($G176="",AT176,W176)</f>
        <v>82952</v>
      </c>
      <c r="BF176" s="31" t="n">
        <f aca="false">IF($G176="",AU176,R176)</f>
        <v>12624</v>
      </c>
      <c r="BG176" s="31" t="n">
        <f aca="false">IF($G176="",AV176,X176)</f>
        <v>12624</v>
      </c>
      <c r="BH176" s="31" t="n">
        <f aca="false">IF($G176="",AW176,S176)</f>
        <v>1837</v>
      </c>
      <c r="BI176" s="31" t="n">
        <f aca="false">IF($G176="",AX176,Y176)</f>
        <v>1837</v>
      </c>
      <c r="BJ176" s="31" t="n">
        <f aca="false">IF(CK176="N",BR176,ROUNDDOWN((I176-L176)*設定!$B$10/1000,0)+ROUNDDOWN((I176-L176)*設定!$B$11/1000,0))</f>
        <v>0</v>
      </c>
      <c r="BK176" s="31" t="n">
        <f aca="false">ROUNDDOWN((I176-L176)*設定!$C$10/1000,0)+ROUNDDOWN((I176-L176)*設定!$C$11/1000,0)+ROUNDDOWN(I176*設定!$C$12/1000,0)+IF(CL176="市局型",ROUNDDOWN(I176*設定!$C$16/1000,0),0)</f>
        <v>0</v>
      </c>
      <c r="BL176" s="31" t="n">
        <f aca="false">IF(CK176="N",BT176,ROUNDDOWN((J176-M176)*設定!$B$13/1000,0))</f>
        <v>0</v>
      </c>
      <c r="BM176" s="31" t="n">
        <f aca="false">ROUNDDOWN((J176-M176)*設定!$C$13/1000,0)+IF(CL176="市局型",ROUNDDOWN(J176*設定!$C$17/1000,0),0)</f>
        <v>0</v>
      </c>
      <c r="BN176" s="31" t="n">
        <f aca="false">IF(CK176="N",BV176,ROUNDDOWN((K176-N176)*設定!$B$14/1000,0))</f>
        <v>0</v>
      </c>
      <c r="BO176" s="31" t="n">
        <f aca="false">ROUNDDOWN((K176-N176)*設定!$C$14/1000,0)</f>
        <v>0</v>
      </c>
      <c r="BP176" s="31" t="n">
        <f aca="false">IF(CK176="N",BX176,ROUNDDOWN((J176-M176)*設定!$B$15/1000,0))</f>
        <v>0</v>
      </c>
      <c r="BQ176" s="31" t="n">
        <f aca="false">ROUNDDOWN((J176-M176)*設定!$C$15/1000,0)</f>
        <v>0</v>
      </c>
      <c r="BR176" s="31" t="n">
        <f aca="false">O176+P176</f>
        <v>148500</v>
      </c>
      <c r="BS176" s="31" t="n">
        <f aca="false">T176+U176+V176</f>
        <v>148630</v>
      </c>
      <c r="BT176" s="31" t="n">
        <f aca="false">Q176</f>
        <v>82872</v>
      </c>
      <c r="BU176" s="31" t="n">
        <f aca="false">W176</f>
        <v>82952</v>
      </c>
      <c r="BV176" s="31" t="n">
        <f aca="false">R176</f>
        <v>12624</v>
      </c>
      <c r="BW176" s="31" t="n">
        <f aca="false">X176</f>
        <v>12624</v>
      </c>
      <c r="BX176" s="31" t="n">
        <f aca="false">S176</f>
        <v>1837</v>
      </c>
      <c r="BY176" s="31" t="n">
        <f aca="false">Y176</f>
        <v>1837</v>
      </c>
      <c r="BZ176" s="32" t="n">
        <f aca="false">IF(BJ176=0,IF(BR176=0,0,1),(BR176-BJ176)/BJ176)</f>
        <v>1</v>
      </c>
      <c r="CA176" s="32" t="n">
        <f aca="false">IF(BK176=0,IF(BS176=0,0,1),(BS176-BK176)/BK176)</f>
        <v>1</v>
      </c>
      <c r="CB176" s="32" t="n">
        <f aca="false">IF(BL176=0,IF(BT176=0,0,1),(BT176-BL176)/BL176)</f>
        <v>1</v>
      </c>
      <c r="CC176" s="32" t="n">
        <f aca="false">IF(BM176=0,IF(BU176=0,0,1),(BU176-BM176)/BM176)</f>
        <v>1</v>
      </c>
      <c r="CD176" s="32" t="n">
        <f aca="false">IF(BN176=0,IF(BV176=0,0,1),(BV176-BN176)/BN176)</f>
        <v>1</v>
      </c>
      <c r="CE176" s="32" t="n">
        <f aca="false">IF(BO176=0,IF(BW176=0,0,1),(BW176-BO176)/BO176)</f>
        <v>1</v>
      </c>
      <c r="CF176" s="32" t="n">
        <f aca="false">IF(BP176=0,IF(BX176=0,0,1),(BX176-BP176)/BP176)</f>
        <v>1</v>
      </c>
      <c r="CG176" s="32" t="n">
        <f aca="false">IF(BQ176=0,IF(BY176=0,0,1),(BY176-BQ176)/BQ176)</f>
        <v>1</v>
      </c>
      <c r="CH176" s="32" t="n">
        <f aca="false">MAX(MAX(BZ176:CG176),-MIN(BZ176:CG176))</f>
        <v>1</v>
      </c>
      <c r="CI176" s="31" t="str">
        <f aca="false">IF(CO176="","",SUMIFS($CJ$7:$CJ$696,$A$7:$A$696,CO176,$B$7:$B$696,B176))</f>
        <v/>
      </c>
      <c r="CJ176" s="31" t="n">
        <f aca="false">SUM(AY176:BI176)</f>
        <v>491876</v>
      </c>
      <c r="CK176" s="31" t="str">
        <f aca="false">IFERROR(INDEX(設定!$F$61:$F$106,MATCH(B176,設定!$B$61:$B$106,0)),"Y")</f>
        <v>Y</v>
      </c>
      <c r="CL176" s="31" t="str">
        <f aca="false">IFERROR(INDEX(設定!$G$61:$G$106,MATCH(B176,設定!$B$61:$B$106,0)),"外郭型")</f>
        <v>外郭型</v>
      </c>
      <c r="CM176" s="33" t="str">
        <f aca="false">A176&amp;"|"&amp;B176</f>
        <v>2026-06 賞与|全国市町村研修財団</v>
      </c>
      <c r="CN176" s="34" t="str">
        <f aca="false">IFERROR(INDEX(設定!$D$61:$D$106,MATCH(B176,設定!$B$61:$B$106,0)),"Y")</f>
        <v>Y</v>
      </c>
      <c r="CO176" s="34" t="str">
        <f aca="false">IFERROR(INDEX(設定!$D$20:$D$34,MATCH(A176,設定!$A$20:$A$34,0))&amp;"","")</f>
        <v/>
      </c>
    </row>
    <row r="177" customFormat="false" ht="15" hidden="true" customHeight="false" outlineLevel="0" collapsed="false">
      <c r="A177" s="22" t="s">
        <v>218</v>
      </c>
      <c r="B177" s="23" t="s">
        <v>201</v>
      </c>
      <c r="C177" s="10" t="str">
        <f aca="false">IF(G177="","未受領",IF(G177="なし","報告なし",IF(AL177="○","起票済",IF(OR(AK177="○",F177="一致",F177="入金不要"),"入金確認済","受領済"))))</f>
        <v>入金確認済</v>
      </c>
      <c r="D177" s="10" t="str">
        <f aca="false">IF(OR(G177="",G177="なし"),"―",IF(CN177="N","対象外",IF(AND(I177="",J177="",K177=""),"標報未入力",IF(CH177&gt;=設定!$B$4,"要確認","問題なし"))))</f>
        <v>標報未入力</v>
      </c>
      <c r="E177" s="24" t="str">
        <f aca="false">IF(OR(G177="",G177="なし",CI177="",CJ177=0),"―",IF(CJ177=CI177,"前月同額",IF(CI177=0,"―",IF(ABS(CJ177/CI177-1)&gt;=設定!$B$5,"変動大 "&amp;TEXT(CJ177/CI177-1,"+0%;-0%"),"〇"))))</f>
        <v>―</v>
      </c>
      <c r="F177" s="10" t="str">
        <f aca="false">IF(OR(G177="",G177="なし"),"―",IF(CJ177=0,"入金不要",IF(COUNT(AD177,AF177,AH177,AJ177)=0,IF(AK177="○","手動確認","未入金"),IF(AND(N(AD177)=AC177,IF(AE177="",TRUE(),N(AF177)=AE177),IF(AG177="",TRUE(),N(AH177)=AG177),IF(AI177="",TRUE(),N(AJ177)=AI177)),"一致","不一致"))))</f>
        <v>手動確認</v>
      </c>
      <c r="G177" s="25" t="s">
        <v>167</v>
      </c>
      <c r="H177" s="26"/>
      <c r="I177" s="27"/>
      <c r="J177" s="27"/>
      <c r="K177" s="27"/>
      <c r="L177" s="27"/>
      <c r="M177" s="27"/>
      <c r="N177" s="27"/>
      <c r="O177" s="27" t="n">
        <v>97264</v>
      </c>
      <c r="P177" s="27" t="n">
        <v>7972</v>
      </c>
      <c r="Q177" s="27" t="n">
        <v>55127</v>
      </c>
      <c r="R177" s="27" t="n">
        <v>0</v>
      </c>
      <c r="S177" s="27" t="n">
        <v>1222</v>
      </c>
      <c r="T177" s="27" t="n">
        <v>97265</v>
      </c>
      <c r="U177" s="27" t="n">
        <v>7972</v>
      </c>
      <c r="V177" s="27" t="n">
        <v>92</v>
      </c>
      <c r="W177" s="27" t="n">
        <v>55180</v>
      </c>
      <c r="X177" s="27" t="n">
        <v>0</v>
      </c>
      <c r="Y177" s="27" t="n">
        <v>1222</v>
      </c>
      <c r="Z177" s="27"/>
      <c r="AA177" s="10" t="str">
        <f aca="false">IFERROR(INDEX(設定!$E$61:$E$106,MATCH(B177,設定!$B$61:$B$106,0)),"合算")</f>
        <v>合算</v>
      </c>
      <c r="AB177" s="28"/>
      <c r="AC177" s="29" t="n">
        <f aca="false">IF(OR(G177="",G177="なし"),"",IF(AA177="合算",CJ177+N(Z177),IF(AA177="掛金・負担金別",(AY177+AZ177+BD177+BF177+BH177),SUM(AY177:BC177))))</f>
        <v>323316</v>
      </c>
      <c r="AD177" s="27"/>
      <c r="AE177" s="29" t="str">
        <f aca="false">IF(OR(G177="",G177="なし"),"",IF(AA177="掛金・負担金別",(BA177+BB177+BC177+BE177+BG177+BI177+N(Z177)),IF(AA177="経理区分別",BD177+BE177,"")))</f>
        <v/>
      </c>
      <c r="AF177" s="27"/>
      <c r="AG177" s="29" t="str">
        <f aca="false">IF(OR(G177="",G177="なし"),"",IF(AA177="経理区分別",BF177+BG177,""))</f>
        <v/>
      </c>
      <c r="AH177" s="27"/>
      <c r="AI177" s="29" t="str">
        <f aca="false">IF(OR(G177="",G177="なし"),"",IF(AA177="経理区分別",BH177+BI177+N(Z177),""))</f>
        <v/>
      </c>
      <c r="AJ177" s="27"/>
      <c r="AK177" s="26" t="s">
        <v>168</v>
      </c>
      <c r="AL177" s="26"/>
      <c r="AM177" s="30"/>
      <c r="AN177" s="31"/>
      <c r="AO177" s="31"/>
      <c r="AP177" s="31"/>
      <c r="AQ177" s="31"/>
      <c r="AR177" s="31"/>
      <c r="AS177" s="31"/>
      <c r="AT177" s="31"/>
      <c r="AU177" s="31"/>
      <c r="AV177" s="31"/>
      <c r="AW177" s="31"/>
      <c r="AX177" s="31"/>
      <c r="AY177" s="31" t="n">
        <f aca="false">IF($G177="",AN177,O177)</f>
        <v>97264</v>
      </c>
      <c r="AZ177" s="31" t="n">
        <f aca="false">IF($G177="",AO177,P177)</f>
        <v>7972</v>
      </c>
      <c r="BA177" s="31" t="n">
        <f aca="false">IF($G177="",AP177,T177)</f>
        <v>97265</v>
      </c>
      <c r="BB177" s="31" t="n">
        <f aca="false">IF($G177="",AQ177,U177)</f>
        <v>7972</v>
      </c>
      <c r="BC177" s="31" t="n">
        <f aca="false">IF($G177="",AR177,V177)</f>
        <v>92</v>
      </c>
      <c r="BD177" s="31" t="n">
        <f aca="false">IF($G177="",AS177,Q177)</f>
        <v>55127</v>
      </c>
      <c r="BE177" s="31" t="n">
        <f aca="false">IF($G177="",AT177,W177)</f>
        <v>55180</v>
      </c>
      <c r="BF177" s="31" t="n">
        <f aca="false">IF($G177="",AU177,R177)</f>
        <v>0</v>
      </c>
      <c r="BG177" s="31" t="n">
        <f aca="false">IF($G177="",AV177,X177)</f>
        <v>0</v>
      </c>
      <c r="BH177" s="31" t="n">
        <f aca="false">IF($G177="",AW177,S177)</f>
        <v>1222</v>
      </c>
      <c r="BI177" s="31" t="n">
        <f aca="false">IF($G177="",AX177,Y177)</f>
        <v>1222</v>
      </c>
      <c r="BJ177" s="31" t="n">
        <f aca="false">IF(CK177="N",BR177,ROUNDDOWN((I177-L177)*設定!$B$10/1000,0)+ROUNDDOWN((I177-L177)*設定!$B$11/1000,0))</f>
        <v>0</v>
      </c>
      <c r="BK177" s="31" t="n">
        <f aca="false">ROUNDDOWN((I177-L177)*設定!$C$10/1000,0)+ROUNDDOWN((I177-L177)*設定!$C$11/1000,0)+ROUNDDOWN(I177*設定!$C$12/1000,0)+IF(CL177="市局型",ROUNDDOWN(I177*設定!$C$16/1000,0),0)</f>
        <v>0</v>
      </c>
      <c r="BL177" s="31" t="n">
        <f aca="false">IF(CK177="N",BT177,ROUNDDOWN((J177-M177)*設定!$B$13/1000,0))</f>
        <v>0</v>
      </c>
      <c r="BM177" s="31" t="n">
        <f aca="false">ROUNDDOWN((J177-M177)*設定!$C$13/1000,0)+IF(CL177="市局型",ROUNDDOWN(J177*設定!$C$17/1000,0),0)</f>
        <v>0</v>
      </c>
      <c r="BN177" s="31" t="n">
        <f aca="false">IF(CK177="N",BV177,ROUNDDOWN((K177-N177)*設定!$B$14/1000,0))</f>
        <v>0</v>
      </c>
      <c r="BO177" s="31" t="n">
        <f aca="false">ROUNDDOWN((K177-N177)*設定!$C$14/1000,0)</f>
        <v>0</v>
      </c>
      <c r="BP177" s="31" t="n">
        <f aca="false">IF(CK177="N",BX177,ROUNDDOWN((J177-M177)*設定!$B$15/1000,0))</f>
        <v>0</v>
      </c>
      <c r="BQ177" s="31" t="n">
        <f aca="false">ROUNDDOWN((J177-M177)*設定!$C$15/1000,0)</f>
        <v>0</v>
      </c>
      <c r="BR177" s="31" t="n">
        <f aca="false">O177+P177</f>
        <v>105236</v>
      </c>
      <c r="BS177" s="31" t="n">
        <f aca="false">T177+U177+V177</f>
        <v>105329</v>
      </c>
      <c r="BT177" s="31" t="n">
        <f aca="false">Q177</f>
        <v>55127</v>
      </c>
      <c r="BU177" s="31" t="n">
        <f aca="false">W177</f>
        <v>55180</v>
      </c>
      <c r="BV177" s="31" t="n">
        <f aca="false">R177</f>
        <v>0</v>
      </c>
      <c r="BW177" s="31" t="n">
        <f aca="false">X177</f>
        <v>0</v>
      </c>
      <c r="BX177" s="31" t="n">
        <f aca="false">S177</f>
        <v>1222</v>
      </c>
      <c r="BY177" s="31" t="n">
        <f aca="false">Y177</f>
        <v>1222</v>
      </c>
      <c r="BZ177" s="32" t="n">
        <f aca="false">IF(BJ177=0,IF(BR177=0,0,1),(BR177-BJ177)/BJ177)</f>
        <v>1</v>
      </c>
      <c r="CA177" s="32" t="n">
        <f aca="false">IF(BK177=0,IF(BS177=0,0,1),(BS177-BK177)/BK177)</f>
        <v>1</v>
      </c>
      <c r="CB177" s="32" t="n">
        <f aca="false">IF(BL177=0,IF(BT177=0,0,1),(BT177-BL177)/BL177)</f>
        <v>1</v>
      </c>
      <c r="CC177" s="32" t="n">
        <f aca="false">IF(BM177=0,IF(BU177=0,0,1),(BU177-BM177)/BM177)</f>
        <v>1</v>
      </c>
      <c r="CD177" s="32" t="n">
        <f aca="false">IF(BN177=0,IF(BV177=0,0,1),(BV177-BN177)/BN177)</f>
        <v>0</v>
      </c>
      <c r="CE177" s="32" t="n">
        <f aca="false">IF(BO177=0,IF(BW177=0,0,1),(BW177-BO177)/BO177)</f>
        <v>0</v>
      </c>
      <c r="CF177" s="32" t="n">
        <f aca="false">IF(BP177=0,IF(BX177=0,0,1),(BX177-BP177)/BP177)</f>
        <v>1</v>
      </c>
      <c r="CG177" s="32" t="n">
        <f aca="false">IF(BQ177=0,IF(BY177=0,0,1),(BY177-BQ177)/BQ177)</f>
        <v>1</v>
      </c>
      <c r="CH177" s="32" t="n">
        <f aca="false">MAX(MAX(BZ177:CG177),-MIN(BZ177:CG177))</f>
        <v>1</v>
      </c>
      <c r="CI177" s="31" t="str">
        <f aca="false">IF(CO177="","",SUMIFS($CJ$7:$CJ$696,$A$7:$A$696,CO177,$B$7:$B$696,B177))</f>
        <v/>
      </c>
      <c r="CJ177" s="31" t="n">
        <f aca="false">SUM(AY177:BI177)</f>
        <v>323316</v>
      </c>
      <c r="CK177" s="31" t="str">
        <f aca="false">IFERROR(INDEX(設定!$F$61:$F$106,MATCH(B177,設定!$B$61:$B$106,0)),"Y")</f>
        <v>Y</v>
      </c>
      <c r="CL177" s="31" t="str">
        <f aca="false">IFERROR(INDEX(設定!$G$61:$G$106,MATCH(B177,設定!$B$61:$B$106,0)),"外郭型")</f>
        <v>外郭型</v>
      </c>
      <c r="CM177" s="33" t="str">
        <f aca="false">A177&amp;"|"&amp;B177</f>
        <v>2026-06 賞与|都市再生機構</v>
      </c>
      <c r="CN177" s="34" t="str">
        <f aca="false">IFERROR(INDEX(設定!$D$61:$D$106,MATCH(B177,設定!$B$61:$B$106,0)),"Y")</f>
        <v>Y</v>
      </c>
      <c r="CO177" s="34" t="str">
        <f aca="false">IFERROR(INDEX(設定!$D$20:$D$34,MATCH(A177,設定!$A$20:$A$34,0))&amp;"","")</f>
        <v/>
      </c>
    </row>
    <row r="178" customFormat="false" ht="15" hidden="true" customHeight="false" outlineLevel="0" collapsed="false">
      <c r="A178" s="22" t="s">
        <v>218</v>
      </c>
      <c r="B178" s="23" t="s">
        <v>202</v>
      </c>
      <c r="C178" s="10" t="str">
        <f aca="false">IF(G178="","未受領",IF(G178="なし","報告なし",IF(AL178="○","起票済",IF(OR(AK178="○",F178="一致",F178="入金不要"),"入金確認済","受領済"))))</f>
        <v>入金確認済</v>
      </c>
      <c r="D178" s="10" t="str">
        <f aca="false">IF(OR(G178="",G178="なし"),"―",IF(CN178="N","対象外",IF(AND(I178="",J178="",K178=""),"標報未入力",IF(CH178&gt;=設定!$B$4,"要確認","問題なし"))))</f>
        <v>標報未入力</v>
      </c>
      <c r="E178" s="24" t="str">
        <f aca="false">IF(OR(G178="",G178="なし",CI178="",CJ178=0),"―",IF(CJ178=CI178,"前月同額",IF(CI178=0,"―",IF(ABS(CJ178/CI178-1)&gt;=設定!$B$5,"変動大 "&amp;TEXT(CJ178/CI178-1,"+0%;-0%"),"〇"))))</f>
        <v>―</v>
      </c>
      <c r="F178" s="10" t="str">
        <f aca="false">IF(OR(G178="",G178="なし"),"―",IF(CJ178=0,"入金不要",IF(COUNT(AD178,AF178,AH178,AJ178)=0,IF(AK178="○","手動確認","未入金"),IF(AND(N(AD178)=AC178,IF(AE178="",TRUE(),N(AF178)=AE178),IF(AG178="",TRUE(),N(AH178)=AG178),IF(AI178="",TRUE(),N(AJ178)=AI178)),"一致","不一致"))))</f>
        <v>手動確認</v>
      </c>
      <c r="G178" s="25" t="s">
        <v>167</v>
      </c>
      <c r="H178" s="26"/>
      <c r="I178" s="27"/>
      <c r="J178" s="27"/>
      <c r="K178" s="27"/>
      <c r="L178" s="27"/>
      <c r="M178" s="27"/>
      <c r="N178" s="27"/>
      <c r="O178" s="27" t="n">
        <v>2344680</v>
      </c>
      <c r="P178" s="27" t="n">
        <v>192180</v>
      </c>
      <c r="Q178" s="27" t="n">
        <v>1331127</v>
      </c>
      <c r="R178" s="27" t="n">
        <v>158559</v>
      </c>
      <c r="S178" s="27" t="n">
        <v>29507</v>
      </c>
      <c r="T178" s="27" t="n">
        <v>2352564</v>
      </c>
      <c r="U178" s="27" t="n">
        <v>192510</v>
      </c>
      <c r="V178" s="27" t="n">
        <v>2230</v>
      </c>
      <c r="W178" s="27" t="n">
        <v>1332425</v>
      </c>
      <c r="X178" s="27" t="n">
        <v>158568</v>
      </c>
      <c r="Y178" s="27" t="n">
        <v>29518</v>
      </c>
      <c r="Z178" s="27"/>
      <c r="AA178" s="10" t="str">
        <f aca="false">IFERROR(INDEX(設定!$E$61:$E$106,MATCH(B178,設定!$B$61:$B$106,0)),"合算")</f>
        <v>合算</v>
      </c>
      <c r="AB178" s="28"/>
      <c r="AC178" s="29" t="n">
        <f aca="false">IF(OR(G178="",G178="なし"),"",IF(AA178="合算",CJ178+N(Z178),IF(AA178="掛金・負担金別",(AY178+AZ178+BD178+BF178+BH178),SUM(AY178:BC178))))</f>
        <v>8123868</v>
      </c>
      <c r="AD178" s="27"/>
      <c r="AE178" s="29" t="str">
        <f aca="false">IF(OR(G178="",G178="なし"),"",IF(AA178="掛金・負担金別",(BA178+BB178+BC178+BE178+BG178+BI178+N(Z178)),IF(AA178="経理区分別",BD178+BE178,"")))</f>
        <v/>
      </c>
      <c r="AF178" s="27"/>
      <c r="AG178" s="29" t="str">
        <f aca="false">IF(OR(G178="",G178="なし"),"",IF(AA178="経理区分別",BF178+BG178,""))</f>
        <v/>
      </c>
      <c r="AH178" s="27"/>
      <c r="AI178" s="29" t="str">
        <f aca="false">IF(OR(G178="",G178="なし"),"",IF(AA178="経理区分別",BH178+BI178+N(Z178),""))</f>
        <v/>
      </c>
      <c r="AJ178" s="27"/>
      <c r="AK178" s="26" t="s">
        <v>168</v>
      </c>
      <c r="AL178" s="26"/>
      <c r="AM178" s="30"/>
      <c r="AN178" s="31"/>
      <c r="AO178" s="31"/>
      <c r="AP178" s="31"/>
      <c r="AQ178" s="31"/>
      <c r="AR178" s="31"/>
      <c r="AS178" s="31"/>
      <c r="AT178" s="31"/>
      <c r="AU178" s="31"/>
      <c r="AV178" s="31"/>
      <c r="AW178" s="31"/>
      <c r="AX178" s="31"/>
      <c r="AY178" s="31" t="n">
        <f aca="false">IF($G178="",AN178,O178)</f>
        <v>2344680</v>
      </c>
      <c r="AZ178" s="31" t="n">
        <f aca="false">IF($G178="",AO178,P178)</f>
        <v>192180</v>
      </c>
      <c r="BA178" s="31" t="n">
        <f aca="false">IF($G178="",AP178,T178)</f>
        <v>2352564</v>
      </c>
      <c r="BB178" s="31" t="n">
        <f aca="false">IF($G178="",AQ178,U178)</f>
        <v>192510</v>
      </c>
      <c r="BC178" s="31" t="n">
        <f aca="false">IF($G178="",AR178,V178)</f>
        <v>2230</v>
      </c>
      <c r="BD178" s="31" t="n">
        <f aca="false">IF($G178="",AS178,Q178)</f>
        <v>1331127</v>
      </c>
      <c r="BE178" s="31" t="n">
        <f aca="false">IF($G178="",AT178,W178)</f>
        <v>1332425</v>
      </c>
      <c r="BF178" s="31" t="n">
        <f aca="false">IF($G178="",AU178,R178)</f>
        <v>158559</v>
      </c>
      <c r="BG178" s="31" t="n">
        <f aca="false">IF($G178="",AV178,X178)</f>
        <v>158568</v>
      </c>
      <c r="BH178" s="31" t="n">
        <f aca="false">IF($G178="",AW178,S178)</f>
        <v>29507</v>
      </c>
      <c r="BI178" s="31" t="n">
        <f aca="false">IF($G178="",AX178,Y178)</f>
        <v>29518</v>
      </c>
      <c r="BJ178" s="31" t="n">
        <f aca="false">IF(CK178="N",BR178,ROUNDDOWN((I178-L178)*設定!$B$10/1000,0)+ROUNDDOWN((I178-L178)*設定!$B$11/1000,0))</f>
        <v>0</v>
      </c>
      <c r="BK178" s="31" t="n">
        <f aca="false">ROUNDDOWN((I178-L178)*設定!$C$10/1000,0)+ROUNDDOWN((I178-L178)*設定!$C$11/1000,0)+ROUNDDOWN(I178*設定!$C$12/1000,0)+IF(CL178="市局型",ROUNDDOWN(I178*設定!$C$16/1000,0),0)</f>
        <v>0</v>
      </c>
      <c r="BL178" s="31" t="n">
        <f aca="false">IF(CK178="N",BT178,ROUNDDOWN((J178-M178)*設定!$B$13/1000,0))</f>
        <v>0</v>
      </c>
      <c r="BM178" s="31" t="n">
        <f aca="false">ROUNDDOWN((J178-M178)*設定!$C$13/1000,0)+IF(CL178="市局型",ROUNDDOWN(J178*設定!$C$17/1000,0),0)</f>
        <v>0</v>
      </c>
      <c r="BN178" s="31" t="n">
        <f aca="false">IF(CK178="N",BV178,ROUNDDOWN((K178-N178)*設定!$B$14/1000,0))</f>
        <v>0</v>
      </c>
      <c r="BO178" s="31" t="n">
        <f aca="false">ROUNDDOWN((K178-N178)*設定!$C$14/1000,0)</f>
        <v>0</v>
      </c>
      <c r="BP178" s="31" t="n">
        <f aca="false">IF(CK178="N",BX178,ROUNDDOWN((J178-M178)*設定!$B$15/1000,0))</f>
        <v>0</v>
      </c>
      <c r="BQ178" s="31" t="n">
        <f aca="false">ROUNDDOWN((J178-M178)*設定!$C$15/1000,0)</f>
        <v>0</v>
      </c>
      <c r="BR178" s="31" t="n">
        <f aca="false">O178+P178</f>
        <v>2536860</v>
      </c>
      <c r="BS178" s="31" t="n">
        <f aca="false">T178+U178+V178</f>
        <v>2547304</v>
      </c>
      <c r="BT178" s="31" t="n">
        <f aca="false">Q178</f>
        <v>1331127</v>
      </c>
      <c r="BU178" s="31" t="n">
        <f aca="false">W178</f>
        <v>1332425</v>
      </c>
      <c r="BV178" s="31" t="n">
        <f aca="false">R178</f>
        <v>158559</v>
      </c>
      <c r="BW178" s="31" t="n">
        <f aca="false">X178</f>
        <v>158568</v>
      </c>
      <c r="BX178" s="31" t="n">
        <f aca="false">S178</f>
        <v>29507</v>
      </c>
      <c r="BY178" s="31" t="n">
        <f aca="false">Y178</f>
        <v>29518</v>
      </c>
      <c r="BZ178" s="32" t="n">
        <f aca="false">IF(BJ178=0,IF(BR178=0,0,1),(BR178-BJ178)/BJ178)</f>
        <v>1</v>
      </c>
      <c r="CA178" s="32" t="n">
        <f aca="false">IF(BK178=0,IF(BS178=0,0,1),(BS178-BK178)/BK178)</f>
        <v>1</v>
      </c>
      <c r="CB178" s="32" t="n">
        <f aca="false">IF(BL178=0,IF(BT178=0,0,1),(BT178-BL178)/BL178)</f>
        <v>1</v>
      </c>
      <c r="CC178" s="32" t="n">
        <f aca="false">IF(BM178=0,IF(BU178=0,0,1),(BU178-BM178)/BM178)</f>
        <v>1</v>
      </c>
      <c r="CD178" s="32" t="n">
        <f aca="false">IF(BN178=0,IF(BV178=0,0,1),(BV178-BN178)/BN178)</f>
        <v>1</v>
      </c>
      <c r="CE178" s="32" t="n">
        <f aca="false">IF(BO178=0,IF(BW178=0,0,1),(BW178-BO178)/BO178)</f>
        <v>1</v>
      </c>
      <c r="CF178" s="32" t="n">
        <f aca="false">IF(BP178=0,IF(BX178=0,0,1),(BX178-BP178)/BP178)</f>
        <v>1</v>
      </c>
      <c r="CG178" s="32" t="n">
        <f aca="false">IF(BQ178=0,IF(BY178=0,0,1),(BY178-BQ178)/BQ178)</f>
        <v>1</v>
      </c>
      <c r="CH178" s="32" t="n">
        <f aca="false">MAX(MAX(BZ178:CG178),-MIN(BZ178:CG178))</f>
        <v>1</v>
      </c>
      <c r="CI178" s="31" t="str">
        <f aca="false">IF(CO178="","",SUMIFS($CJ$7:$CJ$696,$A$7:$A$696,CO178,$B$7:$B$696,B178))</f>
        <v/>
      </c>
      <c r="CJ178" s="31" t="n">
        <f aca="false">SUM(AY178:BI178)</f>
        <v>8123868</v>
      </c>
      <c r="CK178" s="31" t="str">
        <f aca="false">IFERROR(INDEX(設定!$F$61:$F$106,MATCH(B178,設定!$B$61:$B$106,0)),"Y")</f>
        <v>Y</v>
      </c>
      <c r="CL178" s="31" t="str">
        <f aca="false">IFERROR(INDEX(設定!$G$61:$G$106,MATCH(B178,設定!$B$61:$B$106,0)),"外郭型")</f>
        <v>外郭型</v>
      </c>
      <c r="CM178" s="33" t="str">
        <f aca="false">A178&amp;"|"&amp;B178</f>
        <v>2026-06 賞与|広島市立大学</v>
      </c>
      <c r="CN178" s="34" t="str">
        <f aca="false">IFERROR(INDEX(設定!$D$61:$D$106,MATCH(B178,設定!$B$61:$B$106,0)),"Y")</f>
        <v>Y</v>
      </c>
      <c r="CO178" s="34" t="str">
        <f aca="false">IFERROR(INDEX(設定!$D$20:$D$34,MATCH(A178,設定!$A$20:$A$34,0))&amp;"","")</f>
        <v/>
      </c>
    </row>
    <row r="179" customFormat="false" ht="15" hidden="true" customHeight="false" outlineLevel="0" collapsed="false">
      <c r="A179" s="22" t="s">
        <v>218</v>
      </c>
      <c r="B179" s="23" t="s">
        <v>203</v>
      </c>
      <c r="C179" s="10" t="str">
        <f aca="false">IF(G179="","未受領",IF(G179="なし","報告なし",IF(AL179="○","起票済",IF(OR(AK179="○",F179="一致",F179="入金不要"),"入金確認済","受領済"))))</f>
        <v>入金確認済</v>
      </c>
      <c r="D179" s="10" t="str">
        <f aca="false">IF(OR(G179="",G179="なし"),"―",IF(CN179="N","対象外",IF(AND(I179="",J179="",K179=""),"標報未入力",IF(CH179&gt;=設定!$B$4,"要確認","問題なし"))))</f>
        <v>標報未入力</v>
      </c>
      <c r="E179" s="24" t="str">
        <f aca="false">IF(OR(G179="",G179="なし",CI179="",CJ179=0),"―",IF(CJ179=CI179,"前月同額",IF(CI179=0,"―",IF(ABS(CJ179/CI179-1)&gt;=設定!$B$5,"変動大 "&amp;TEXT(CJ179/CI179-1,"+0%;-0%"),"〇"))))</f>
        <v>―</v>
      </c>
      <c r="F179" s="10" t="str">
        <f aca="false">IF(OR(G179="",G179="なし"),"―",IF(CJ179=0,"入金不要",IF(COUNT(AD179,AF179,AH179,AJ179)=0,IF(AK179="○","手動確認","未入金"),IF(AND(N(AD179)=AC179,IF(AE179="",TRUE(),N(AF179)=AE179),IF(AG179="",TRUE(),N(AH179)=AG179),IF(AI179="",TRUE(),N(AJ179)=AI179)),"一致","不一致"))))</f>
        <v>手動確認</v>
      </c>
      <c r="G179" s="25" t="s">
        <v>167</v>
      </c>
      <c r="H179" s="26"/>
      <c r="I179" s="27"/>
      <c r="J179" s="27"/>
      <c r="K179" s="27"/>
      <c r="L179" s="27"/>
      <c r="M179" s="27"/>
      <c r="N179" s="27"/>
      <c r="O179" s="27"/>
      <c r="P179" s="27"/>
      <c r="Q179" s="27"/>
      <c r="R179" s="27"/>
      <c r="S179" s="27"/>
      <c r="T179" s="27" t="n">
        <v>463724</v>
      </c>
      <c r="U179" s="27" t="n">
        <v>38010</v>
      </c>
      <c r="V179" s="27" t="n">
        <v>440</v>
      </c>
      <c r="W179" s="27" t="n">
        <v>277095</v>
      </c>
      <c r="X179" s="27" t="n">
        <v>22649</v>
      </c>
      <c r="Y179" s="27" t="n">
        <v>6138</v>
      </c>
      <c r="Z179" s="27"/>
      <c r="AA179" s="10" t="str">
        <f aca="false">IFERROR(INDEX(設定!$E$61:$E$106,MATCH(B179,設定!$B$61:$B$106,0)),"合算")</f>
        <v>合算</v>
      </c>
      <c r="AB179" s="28"/>
      <c r="AC179" s="29" t="n">
        <f aca="false">IF(OR(G179="",G179="なし"),"",IF(AA179="合算",CJ179+N(Z179),IF(AA179="掛金・負担金別",(AY179+AZ179+BD179+BF179+BH179),SUM(AY179:BC179))))</f>
        <v>808056</v>
      </c>
      <c r="AD179" s="27"/>
      <c r="AE179" s="29" t="str">
        <f aca="false">IF(OR(G179="",G179="なし"),"",IF(AA179="掛金・負担金別",(BA179+BB179+BC179+BE179+BG179+BI179+N(Z179)),IF(AA179="経理区分別",BD179+BE179,"")))</f>
        <v/>
      </c>
      <c r="AF179" s="27"/>
      <c r="AG179" s="29" t="str">
        <f aca="false">IF(OR(G179="",G179="なし"),"",IF(AA179="経理区分別",BF179+BG179,""))</f>
        <v/>
      </c>
      <c r="AH179" s="27"/>
      <c r="AI179" s="29" t="str">
        <f aca="false">IF(OR(G179="",G179="なし"),"",IF(AA179="経理区分別",BH179+BI179+N(Z179),""))</f>
        <v/>
      </c>
      <c r="AJ179" s="27"/>
      <c r="AK179" s="26" t="s">
        <v>168</v>
      </c>
      <c r="AL179" s="26"/>
      <c r="AM179" s="30"/>
      <c r="AN179" s="31"/>
      <c r="AO179" s="31"/>
      <c r="AP179" s="31"/>
      <c r="AQ179" s="31"/>
      <c r="AR179" s="31"/>
      <c r="AS179" s="31"/>
      <c r="AT179" s="31"/>
      <c r="AU179" s="31"/>
      <c r="AV179" s="31"/>
      <c r="AW179" s="31"/>
      <c r="AX179" s="31"/>
      <c r="AY179" s="31" t="n">
        <f aca="false">IF($G179="",AN179,O179)</f>
        <v>0</v>
      </c>
      <c r="AZ179" s="31" t="n">
        <f aca="false">IF($G179="",AO179,P179)</f>
        <v>0</v>
      </c>
      <c r="BA179" s="31" t="n">
        <f aca="false">IF($G179="",AP179,T179)</f>
        <v>463724</v>
      </c>
      <c r="BB179" s="31" t="n">
        <f aca="false">IF($G179="",AQ179,U179)</f>
        <v>38010</v>
      </c>
      <c r="BC179" s="31" t="n">
        <f aca="false">IF($G179="",AR179,V179)</f>
        <v>440</v>
      </c>
      <c r="BD179" s="31" t="n">
        <f aca="false">IF($G179="",AS179,Q179)</f>
        <v>0</v>
      </c>
      <c r="BE179" s="31" t="n">
        <f aca="false">IF($G179="",AT179,W179)</f>
        <v>277095</v>
      </c>
      <c r="BF179" s="31" t="n">
        <f aca="false">IF($G179="",AU179,R179)</f>
        <v>0</v>
      </c>
      <c r="BG179" s="31" t="n">
        <f aca="false">IF($G179="",AV179,X179)</f>
        <v>22649</v>
      </c>
      <c r="BH179" s="31" t="n">
        <f aca="false">IF($G179="",AW179,S179)</f>
        <v>0</v>
      </c>
      <c r="BI179" s="31" t="n">
        <f aca="false">IF($G179="",AX179,Y179)</f>
        <v>6138</v>
      </c>
      <c r="BJ179" s="31" t="n">
        <f aca="false">IF(CK179="N",BR179,ROUNDDOWN((I179-L179)*設定!$B$10/1000,0)+ROUNDDOWN((I179-L179)*設定!$B$11/1000,0))</f>
        <v>0</v>
      </c>
      <c r="BK179" s="31" t="n">
        <f aca="false">ROUNDDOWN((I179-L179)*設定!$C$10/1000,0)+ROUNDDOWN((I179-L179)*設定!$C$11/1000,0)+ROUNDDOWN(I179*設定!$C$12/1000,0)+IF(CL179="市局型",ROUNDDOWN(I179*設定!$C$16/1000,0),0)</f>
        <v>0</v>
      </c>
      <c r="BL179" s="31" t="n">
        <f aca="false">IF(CK179="N",BT179,ROUNDDOWN((J179-M179)*設定!$B$13/1000,0))</f>
        <v>0</v>
      </c>
      <c r="BM179" s="31" t="n">
        <f aca="false">ROUNDDOWN((J179-M179)*設定!$C$13/1000,0)+IF(CL179="市局型",ROUNDDOWN(J179*設定!$C$17/1000,0),0)</f>
        <v>0</v>
      </c>
      <c r="BN179" s="31" t="n">
        <f aca="false">IF(CK179="N",BV179,ROUNDDOWN((K179-N179)*設定!$B$14/1000,0))</f>
        <v>0</v>
      </c>
      <c r="BO179" s="31" t="n">
        <f aca="false">ROUNDDOWN((K179-N179)*設定!$C$14/1000,0)</f>
        <v>0</v>
      </c>
      <c r="BP179" s="31" t="n">
        <f aca="false">IF(CK179="N",BX179,ROUNDDOWN((J179-M179)*設定!$B$15/1000,0))</f>
        <v>0</v>
      </c>
      <c r="BQ179" s="31" t="n">
        <f aca="false">ROUNDDOWN((J179-M179)*設定!$C$15/1000,0)</f>
        <v>0</v>
      </c>
      <c r="BR179" s="31" t="n">
        <f aca="false">O179+P179</f>
        <v>0</v>
      </c>
      <c r="BS179" s="31" t="n">
        <f aca="false">T179+U179+V179</f>
        <v>502174</v>
      </c>
      <c r="BT179" s="31" t="n">
        <f aca="false">Q179</f>
        <v>0</v>
      </c>
      <c r="BU179" s="31" t="n">
        <f aca="false">W179</f>
        <v>277095</v>
      </c>
      <c r="BV179" s="31" t="n">
        <f aca="false">R179</f>
        <v>0</v>
      </c>
      <c r="BW179" s="31" t="n">
        <f aca="false">X179</f>
        <v>22649</v>
      </c>
      <c r="BX179" s="31" t="n">
        <f aca="false">S179</f>
        <v>0</v>
      </c>
      <c r="BY179" s="31" t="n">
        <f aca="false">Y179</f>
        <v>6138</v>
      </c>
      <c r="BZ179" s="32" t="n">
        <f aca="false">IF(BJ179=0,IF(BR179=0,0,1),(BR179-BJ179)/BJ179)</f>
        <v>0</v>
      </c>
      <c r="CA179" s="32" t="n">
        <f aca="false">IF(BK179=0,IF(BS179=0,0,1),(BS179-BK179)/BK179)</f>
        <v>1</v>
      </c>
      <c r="CB179" s="32" t="n">
        <f aca="false">IF(BL179=0,IF(BT179=0,0,1),(BT179-BL179)/BL179)</f>
        <v>0</v>
      </c>
      <c r="CC179" s="32" t="n">
        <f aca="false">IF(BM179=0,IF(BU179=0,0,1),(BU179-BM179)/BM179)</f>
        <v>1</v>
      </c>
      <c r="CD179" s="32" t="n">
        <f aca="false">IF(BN179=0,IF(BV179=0,0,1),(BV179-BN179)/BN179)</f>
        <v>0</v>
      </c>
      <c r="CE179" s="32" t="n">
        <f aca="false">IF(BO179=0,IF(BW179=0,0,1),(BW179-BO179)/BO179)</f>
        <v>1</v>
      </c>
      <c r="CF179" s="32" t="n">
        <f aca="false">IF(BP179=0,IF(BX179=0,0,1),(BX179-BP179)/BP179)</f>
        <v>0</v>
      </c>
      <c r="CG179" s="32" t="n">
        <f aca="false">IF(BQ179=0,IF(BY179=0,0,1),(BY179-BQ179)/BQ179)</f>
        <v>1</v>
      </c>
      <c r="CH179" s="32" t="n">
        <f aca="false">MAX(MAX(BZ179:CG179),-MIN(BZ179:CG179))</f>
        <v>1</v>
      </c>
      <c r="CI179" s="31" t="str">
        <f aca="false">IF(CO179="","",SUMIFS($CJ$7:$CJ$696,$A$7:$A$696,CO179,$B$7:$B$696,B179))</f>
        <v/>
      </c>
      <c r="CJ179" s="31" t="n">
        <f aca="false">SUM(AY179:BI179)</f>
        <v>808056</v>
      </c>
      <c r="CK179" s="31" t="str">
        <f aca="false">IFERROR(INDEX(設定!$F$61:$F$106,MATCH(B179,設定!$B$61:$B$106,0)),"Y")</f>
        <v>N</v>
      </c>
      <c r="CL179" s="31" t="str">
        <f aca="false">IFERROR(INDEX(設定!$G$61:$G$106,MATCH(B179,設定!$B$61:$B$106,0)),"外郭型")</f>
        <v>外郭型</v>
      </c>
      <c r="CM179" s="33" t="str">
        <f aca="false">A179&amp;"|"&amp;B179</f>
        <v>2026-06 賞与|社会福祉協議会</v>
      </c>
      <c r="CN179" s="34" t="str">
        <f aca="false">IFERROR(INDEX(設定!$D$61:$D$106,MATCH(B179,設定!$B$61:$B$106,0)),"Y")</f>
        <v>Y</v>
      </c>
      <c r="CO179" s="34" t="str">
        <f aca="false">IFERROR(INDEX(設定!$D$20:$D$34,MATCH(A179,設定!$A$20:$A$34,0))&amp;"","")</f>
        <v/>
      </c>
    </row>
    <row r="180" customFormat="false" ht="15" hidden="true" customHeight="false" outlineLevel="0" collapsed="false">
      <c r="A180" s="22" t="s">
        <v>218</v>
      </c>
      <c r="B180" s="23" t="s">
        <v>204</v>
      </c>
      <c r="C180" s="10" t="str">
        <f aca="false">IF(G180="","未受領",IF(G180="なし","報告なし",IF(AL180="○","起票済",IF(OR(AK180="○",F180="一致",F180="入金不要"),"入金確認済","受領済"))))</f>
        <v>入金確認済</v>
      </c>
      <c r="D180" s="10" t="str">
        <f aca="false">IF(OR(G180="",G180="なし"),"―",IF(CN180="N","対象外",IF(AND(I180="",J180="",K180=""),"標報未入力",IF(CH180&gt;=設定!$B$4,"要確認","問題なし"))))</f>
        <v>対象外</v>
      </c>
      <c r="E180" s="24" t="str">
        <f aca="false">IF(OR(G180="",G180="なし",CI180="",CJ180=0),"―",IF(CJ180=CI180,"前月同額",IF(CI180=0,"―",IF(ABS(CJ180/CI180-1)&gt;=設定!$B$5,"変動大 "&amp;TEXT(CJ180/CI180-1,"+0%;-0%"),"〇"))))</f>
        <v>―</v>
      </c>
      <c r="F180" s="10" t="str">
        <f aca="false">IF(OR(G180="",G180="なし"),"―",IF(CJ180=0,"入金不要",IF(COUNT(AD180,AF180,AH180,AJ180)=0,IF(AK180="○","手動確認","未入金"),IF(AND(N(AD180)=AC180,IF(AE180="",TRUE(),N(AF180)=AE180),IF(AG180="",TRUE(),N(AH180)=AG180),IF(AI180="",TRUE(),N(AJ180)=AI180)),"一致","不一致"))))</f>
        <v>手動確認</v>
      </c>
      <c r="G180" s="25" t="s">
        <v>167</v>
      </c>
      <c r="H180" s="26"/>
      <c r="I180" s="27"/>
      <c r="J180" s="27"/>
      <c r="K180" s="27"/>
      <c r="L180" s="27"/>
      <c r="M180" s="27"/>
      <c r="N180" s="27"/>
      <c r="O180" s="27" t="n">
        <v>213467757</v>
      </c>
      <c r="P180" s="27" t="n">
        <v>17496681</v>
      </c>
      <c r="Q180" s="27" t="n">
        <v>128088779</v>
      </c>
      <c r="R180" s="27" t="n">
        <v>11861523</v>
      </c>
      <c r="S180" s="27" t="n">
        <v>2838695</v>
      </c>
      <c r="T180" s="27" t="n">
        <v>308184891</v>
      </c>
      <c r="U180" s="27" t="n">
        <v>17496681</v>
      </c>
      <c r="V180" s="27" t="n">
        <v>206290</v>
      </c>
      <c r="W180" s="27" t="n">
        <v>128231932</v>
      </c>
      <c r="X180" s="27" t="n">
        <v>11861523</v>
      </c>
      <c r="Y180" s="27" t="n">
        <v>2838695</v>
      </c>
      <c r="Z180" s="27"/>
      <c r="AA180" s="10" t="str">
        <f aca="false">IFERROR(INDEX(設定!$E$61:$E$106,MATCH(B180,設定!$B$61:$B$106,0)),"合算")</f>
        <v>合算</v>
      </c>
      <c r="AB180" s="28"/>
      <c r="AC180" s="29" t="n">
        <f aca="false">IF(OR(G180="",G180="なし"),"",IF(AA180="合算",CJ180+N(Z180),IF(AA180="掛金・負担金別",(AY180+AZ180+BD180+BF180+BH180),SUM(AY180:BC180))))</f>
        <v>842573447</v>
      </c>
      <c r="AD180" s="27"/>
      <c r="AE180" s="29" t="str">
        <f aca="false">IF(OR(G180="",G180="なし"),"",IF(AA180="掛金・負担金別",(BA180+BB180+BC180+BE180+BG180+BI180+N(Z180)),IF(AA180="経理区分別",BD180+BE180,"")))</f>
        <v/>
      </c>
      <c r="AF180" s="27"/>
      <c r="AG180" s="29" t="str">
        <f aca="false">IF(OR(G180="",G180="なし"),"",IF(AA180="経理区分別",BF180+BG180,""))</f>
        <v/>
      </c>
      <c r="AH180" s="27"/>
      <c r="AI180" s="29" t="str">
        <f aca="false">IF(OR(G180="",G180="なし"),"",IF(AA180="経理区分別",BH180+BI180+N(Z180),""))</f>
        <v/>
      </c>
      <c r="AJ180" s="27"/>
      <c r="AK180" s="26" t="s">
        <v>168</v>
      </c>
      <c r="AL180" s="26"/>
      <c r="AM180" s="30"/>
      <c r="AN180" s="31"/>
      <c r="AO180" s="31"/>
      <c r="AP180" s="31"/>
      <c r="AQ180" s="31"/>
      <c r="AR180" s="31"/>
      <c r="AS180" s="31"/>
      <c r="AT180" s="31"/>
      <c r="AU180" s="31"/>
      <c r="AV180" s="31"/>
      <c r="AW180" s="31"/>
      <c r="AX180" s="31"/>
      <c r="AY180" s="31" t="n">
        <f aca="false">IF($G180="",AN180,O180)</f>
        <v>213467757</v>
      </c>
      <c r="AZ180" s="31" t="n">
        <f aca="false">IF($G180="",AO180,P180)</f>
        <v>17496681</v>
      </c>
      <c r="BA180" s="31" t="n">
        <f aca="false">IF($G180="",AP180,T180)</f>
        <v>308184891</v>
      </c>
      <c r="BB180" s="31" t="n">
        <f aca="false">IF($G180="",AQ180,U180)</f>
        <v>17496681</v>
      </c>
      <c r="BC180" s="31" t="n">
        <f aca="false">IF($G180="",AR180,V180)</f>
        <v>206290</v>
      </c>
      <c r="BD180" s="31" t="n">
        <f aca="false">IF($G180="",AS180,Q180)</f>
        <v>128088779</v>
      </c>
      <c r="BE180" s="31" t="n">
        <f aca="false">IF($G180="",AT180,W180)</f>
        <v>128231932</v>
      </c>
      <c r="BF180" s="31" t="n">
        <f aca="false">IF($G180="",AU180,R180)</f>
        <v>11861523</v>
      </c>
      <c r="BG180" s="31" t="n">
        <f aca="false">IF($G180="",AV180,X180)</f>
        <v>11861523</v>
      </c>
      <c r="BH180" s="31" t="n">
        <f aca="false">IF($G180="",AW180,S180)</f>
        <v>2838695</v>
      </c>
      <c r="BI180" s="31" t="n">
        <f aca="false">IF($G180="",AX180,Y180)</f>
        <v>2838695</v>
      </c>
      <c r="BJ180" s="31" t="n">
        <f aca="false">IF(CK180="N",BR180,ROUNDDOWN((I180-L180)*設定!$B$10/1000,0)+ROUNDDOWN((I180-L180)*設定!$B$11/1000,0))</f>
        <v>0</v>
      </c>
      <c r="BK180" s="31" t="n">
        <f aca="false">ROUNDDOWN((I180-L180)*設定!$C$10/1000,0)+ROUNDDOWN((I180-L180)*設定!$C$11/1000,0)+ROUNDDOWN(I180*設定!$C$12/1000,0)+IF(CL180="市局型",ROUNDDOWN(I180*設定!$C$16/1000,0),0)</f>
        <v>0</v>
      </c>
      <c r="BL180" s="31" t="n">
        <f aca="false">IF(CK180="N",BT180,ROUNDDOWN((J180-M180)*設定!$B$13/1000,0))</f>
        <v>0</v>
      </c>
      <c r="BM180" s="31" t="n">
        <f aca="false">ROUNDDOWN((J180-M180)*設定!$C$13/1000,0)+IF(CL180="市局型",ROUNDDOWN(J180*設定!$C$17/1000,0),0)</f>
        <v>0</v>
      </c>
      <c r="BN180" s="31" t="n">
        <f aca="false">IF(CK180="N",BV180,ROUNDDOWN((K180-N180)*設定!$B$14/1000,0))</f>
        <v>0</v>
      </c>
      <c r="BO180" s="31" t="n">
        <f aca="false">ROUNDDOWN((K180-N180)*設定!$C$14/1000,0)</f>
        <v>0</v>
      </c>
      <c r="BP180" s="31" t="n">
        <f aca="false">IF(CK180="N",BX180,ROUNDDOWN((J180-M180)*設定!$B$15/1000,0))</f>
        <v>0</v>
      </c>
      <c r="BQ180" s="31" t="n">
        <f aca="false">ROUNDDOWN((J180-M180)*設定!$C$15/1000,0)</f>
        <v>0</v>
      </c>
      <c r="BR180" s="31" t="n">
        <f aca="false">O180+P180</f>
        <v>230964438</v>
      </c>
      <c r="BS180" s="31" t="n">
        <f aca="false">T180+U180+V180</f>
        <v>325887862</v>
      </c>
      <c r="BT180" s="31" t="n">
        <f aca="false">Q180</f>
        <v>128088779</v>
      </c>
      <c r="BU180" s="31" t="n">
        <f aca="false">W180</f>
        <v>128231932</v>
      </c>
      <c r="BV180" s="31" t="n">
        <f aca="false">R180</f>
        <v>11861523</v>
      </c>
      <c r="BW180" s="31" t="n">
        <f aca="false">X180</f>
        <v>11861523</v>
      </c>
      <c r="BX180" s="31" t="n">
        <f aca="false">S180</f>
        <v>2838695</v>
      </c>
      <c r="BY180" s="31" t="n">
        <f aca="false">Y180</f>
        <v>2838695</v>
      </c>
      <c r="BZ180" s="32" t="n">
        <f aca="false">IF(BJ180=0,IF(BR180=0,0,1),(BR180-BJ180)/BJ180)</f>
        <v>1</v>
      </c>
      <c r="CA180" s="32" t="n">
        <f aca="false">IF(BK180=0,IF(BS180=0,0,1),(BS180-BK180)/BK180)</f>
        <v>1</v>
      </c>
      <c r="CB180" s="32" t="n">
        <f aca="false">IF(BL180=0,IF(BT180=0,0,1),(BT180-BL180)/BL180)</f>
        <v>1</v>
      </c>
      <c r="CC180" s="32" t="n">
        <f aca="false">IF(BM180=0,IF(BU180=0,0,1),(BU180-BM180)/BM180)</f>
        <v>1</v>
      </c>
      <c r="CD180" s="32" t="n">
        <f aca="false">IF(BN180=0,IF(BV180=0,0,1),(BV180-BN180)/BN180)</f>
        <v>1</v>
      </c>
      <c r="CE180" s="32" t="n">
        <f aca="false">IF(BO180=0,IF(BW180=0,0,1),(BW180-BO180)/BO180)</f>
        <v>1</v>
      </c>
      <c r="CF180" s="32" t="n">
        <f aca="false">IF(BP180=0,IF(BX180=0,0,1),(BX180-BP180)/BP180)</f>
        <v>1</v>
      </c>
      <c r="CG180" s="32" t="n">
        <f aca="false">IF(BQ180=0,IF(BY180=0,0,1),(BY180-BQ180)/BQ180)</f>
        <v>1</v>
      </c>
      <c r="CH180" s="32" t="n">
        <f aca="false">MAX(MAX(BZ180:CG180),-MIN(BZ180:CG180))</f>
        <v>1</v>
      </c>
      <c r="CI180" s="31" t="str">
        <f aca="false">IF(CO180="","",SUMIFS($CJ$7:$CJ$696,$A$7:$A$696,CO180,$B$7:$B$696,B180))</f>
        <v/>
      </c>
      <c r="CJ180" s="31" t="n">
        <f aca="false">SUM(AY180:BI180)</f>
        <v>842573447</v>
      </c>
      <c r="CK180" s="31" t="str">
        <f aca="false">IFERROR(INDEX(設定!$F$61:$F$106,MATCH(B180,設定!$B$61:$B$106,0)),"Y")</f>
        <v>Y</v>
      </c>
      <c r="CL180" s="31" t="str">
        <f aca="false">IFERROR(INDEX(設定!$G$61:$G$106,MATCH(B180,設定!$B$61:$B$106,0)),"外郭型")</f>
        <v>外郭型</v>
      </c>
      <c r="CM180" s="33" t="str">
        <f aca="false">A180&amp;"|"&amp;B180</f>
        <v>2026-06 賞与|市立病院機構</v>
      </c>
      <c r="CN180" s="34" t="str">
        <f aca="false">IFERROR(INDEX(設定!$D$61:$D$106,MATCH(B180,設定!$B$61:$B$106,0)),"Y")</f>
        <v>N</v>
      </c>
      <c r="CO180" s="34" t="str">
        <f aca="false">IFERROR(INDEX(設定!$D$20:$D$34,MATCH(A180,設定!$A$20:$A$34,0))&amp;"","")</f>
        <v/>
      </c>
    </row>
    <row r="181" customFormat="false" ht="15" hidden="true" customHeight="false" outlineLevel="0" collapsed="false">
      <c r="A181" s="22" t="s">
        <v>218</v>
      </c>
      <c r="B181" s="23" t="s">
        <v>205</v>
      </c>
      <c r="C181" s="10" t="str">
        <f aca="false">IF(G181="","未受領",IF(G181="なし","報告なし",IF(AL181="○","起票済",IF(OR(AK181="○",F181="一致",F181="入金不要"),"入金確認済","受領済"))))</f>
        <v>入金確認済</v>
      </c>
      <c r="D181" s="10" t="str">
        <f aca="false">IF(OR(G181="",G181="なし"),"―",IF(CN181="N","対象外",IF(AND(I181="",J181="",K181=""),"標報未入力",IF(CH181&gt;=設定!$B$4,"要確認","問題なし"))))</f>
        <v>対象外</v>
      </c>
      <c r="E181" s="24" t="str">
        <f aca="false">IF(OR(G181="",G181="なし",CI181="",CJ181=0),"―",IF(CJ181=CI181,"前月同額",IF(CI181=0,"―",IF(ABS(CJ181/CI181-1)&gt;=設定!$B$5,"変動大 "&amp;TEXT(CJ181/CI181-1,"+0%;-0%"),"〇"))))</f>
        <v>―</v>
      </c>
      <c r="F181" s="10" t="str">
        <f aca="false">IF(OR(G181="",G181="なし"),"―",IF(CJ181=0,"入金不要",IF(COUNT(AD181,AF181,AH181,AJ181)=0,IF(AK181="○","手動確認","未入金"),IF(AND(N(AD181)=AC181,IF(AE181="",TRUE(),N(AF181)=AE181),IF(AG181="",TRUE(),N(AH181)=AG181),IF(AI181="",TRUE(),N(AJ181)=AI181)),"一致","不一致"))))</f>
        <v>手動確認</v>
      </c>
      <c r="G181" s="25" t="s">
        <v>167</v>
      </c>
      <c r="H181" s="26"/>
      <c r="I181" s="27"/>
      <c r="J181" s="27"/>
      <c r="K181" s="27"/>
      <c r="L181" s="27"/>
      <c r="M181" s="27"/>
      <c r="N181" s="27"/>
      <c r="O181" s="27"/>
      <c r="P181" s="27"/>
      <c r="Q181" s="27" t="n">
        <v>121298</v>
      </c>
      <c r="R181" s="27" t="n">
        <v>14756</v>
      </c>
      <c r="S181" s="27" t="n">
        <v>2687</v>
      </c>
      <c r="T181" s="27"/>
      <c r="U181" s="27"/>
      <c r="V181" s="27"/>
      <c r="W181" s="27" t="n">
        <v>121416</v>
      </c>
      <c r="X181" s="27" t="n">
        <v>14756</v>
      </c>
      <c r="Y181" s="27" t="n">
        <v>2688</v>
      </c>
      <c r="Z181" s="27"/>
      <c r="AA181" s="10" t="str">
        <f aca="false">IFERROR(INDEX(設定!$E$61:$E$106,MATCH(B181,設定!$B$61:$B$106,0)),"合算")</f>
        <v>合算</v>
      </c>
      <c r="AB181" s="28"/>
      <c r="AC181" s="29" t="n">
        <f aca="false">IF(OR(G181="",G181="なし"),"",IF(AA181="合算",CJ181+N(Z181),IF(AA181="掛金・負担金別",(AY181+AZ181+BD181+BF181+BH181),SUM(AY181:BC181))))</f>
        <v>277601</v>
      </c>
      <c r="AD181" s="27"/>
      <c r="AE181" s="29" t="str">
        <f aca="false">IF(OR(G181="",G181="なし"),"",IF(AA181="掛金・負担金別",(BA181+BB181+BC181+BE181+BG181+BI181+N(Z181)),IF(AA181="経理区分別",BD181+BE181,"")))</f>
        <v/>
      </c>
      <c r="AF181" s="27"/>
      <c r="AG181" s="29" t="str">
        <f aca="false">IF(OR(G181="",G181="なし"),"",IF(AA181="経理区分別",BF181+BG181,""))</f>
        <v/>
      </c>
      <c r="AH181" s="27"/>
      <c r="AI181" s="29" t="str">
        <f aca="false">IF(OR(G181="",G181="なし"),"",IF(AA181="経理区分別",BH181+BI181+N(Z181),""))</f>
        <v/>
      </c>
      <c r="AJ181" s="27"/>
      <c r="AK181" s="26" t="s">
        <v>168</v>
      </c>
      <c r="AL181" s="26"/>
      <c r="AM181" s="30"/>
      <c r="AN181" s="31"/>
      <c r="AO181" s="31"/>
      <c r="AP181" s="31"/>
      <c r="AQ181" s="31"/>
      <c r="AR181" s="31"/>
      <c r="AS181" s="31"/>
      <c r="AT181" s="31"/>
      <c r="AU181" s="31"/>
      <c r="AV181" s="31"/>
      <c r="AW181" s="31"/>
      <c r="AX181" s="31"/>
      <c r="AY181" s="31" t="n">
        <f aca="false">IF($G181="",AN181,O181)</f>
        <v>0</v>
      </c>
      <c r="AZ181" s="31" t="n">
        <f aca="false">IF($G181="",AO181,P181)</f>
        <v>0</v>
      </c>
      <c r="BA181" s="31" t="n">
        <f aca="false">IF($G181="",AP181,T181)</f>
        <v>0</v>
      </c>
      <c r="BB181" s="31" t="n">
        <f aca="false">IF($G181="",AQ181,U181)</f>
        <v>0</v>
      </c>
      <c r="BC181" s="31" t="n">
        <f aca="false">IF($G181="",AR181,V181)</f>
        <v>0</v>
      </c>
      <c r="BD181" s="31" t="n">
        <f aca="false">IF($G181="",AS181,Q181)</f>
        <v>121298</v>
      </c>
      <c r="BE181" s="31" t="n">
        <f aca="false">IF($G181="",AT181,W181)</f>
        <v>121416</v>
      </c>
      <c r="BF181" s="31" t="n">
        <f aca="false">IF($G181="",AU181,R181)</f>
        <v>14756</v>
      </c>
      <c r="BG181" s="31" t="n">
        <f aca="false">IF($G181="",AV181,X181)</f>
        <v>14756</v>
      </c>
      <c r="BH181" s="31" t="n">
        <f aca="false">IF($G181="",AW181,S181)</f>
        <v>2687</v>
      </c>
      <c r="BI181" s="31" t="n">
        <f aca="false">IF($G181="",AX181,Y181)</f>
        <v>2688</v>
      </c>
      <c r="BJ181" s="31" t="n">
        <f aca="false">IF(CK181="N",BR181,ROUNDDOWN((I181-L181)*設定!$B$10/1000,0)+ROUNDDOWN((I181-L181)*設定!$B$11/1000,0))</f>
        <v>0</v>
      </c>
      <c r="BK181" s="31" t="n">
        <f aca="false">ROUNDDOWN((I181-L181)*設定!$C$10/1000,0)+ROUNDDOWN((I181-L181)*設定!$C$11/1000,0)+ROUNDDOWN(I181*設定!$C$12/1000,0)+IF(CL181="市局型",ROUNDDOWN(I181*設定!$C$16/1000,0),0)</f>
        <v>0</v>
      </c>
      <c r="BL181" s="31" t="n">
        <f aca="false">IF(CK181="N",BT181,ROUNDDOWN((J181-M181)*設定!$B$13/1000,0))</f>
        <v>0</v>
      </c>
      <c r="BM181" s="31" t="n">
        <f aca="false">ROUNDDOWN((J181-M181)*設定!$C$13/1000,0)+IF(CL181="市局型",ROUNDDOWN(J181*設定!$C$17/1000,0),0)</f>
        <v>0</v>
      </c>
      <c r="BN181" s="31" t="n">
        <f aca="false">IF(CK181="N",BV181,ROUNDDOWN((K181-N181)*設定!$B$14/1000,0))</f>
        <v>0</v>
      </c>
      <c r="BO181" s="31" t="n">
        <f aca="false">ROUNDDOWN((K181-N181)*設定!$C$14/1000,0)</f>
        <v>0</v>
      </c>
      <c r="BP181" s="31" t="n">
        <f aca="false">IF(CK181="N",BX181,ROUNDDOWN((J181-M181)*設定!$B$15/1000,0))</f>
        <v>0</v>
      </c>
      <c r="BQ181" s="31" t="n">
        <f aca="false">ROUNDDOWN((J181-M181)*設定!$C$15/1000,0)</f>
        <v>0</v>
      </c>
      <c r="BR181" s="31" t="n">
        <f aca="false">O181+P181</f>
        <v>0</v>
      </c>
      <c r="BS181" s="31" t="n">
        <f aca="false">T181+U181+V181</f>
        <v>0</v>
      </c>
      <c r="BT181" s="31" t="n">
        <f aca="false">Q181</f>
        <v>121298</v>
      </c>
      <c r="BU181" s="31" t="n">
        <f aca="false">W181</f>
        <v>121416</v>
      </c>
      <c r="BV181" s="31" t="n">
        <f aca="false">R181</f>
        <v>14756</v>
      </c>
      <c r="BW181" s="31" t="n">
        <f aca="false">X181</f>
        <v>14756</v>
      </c>
      <c r="BX181" s="31" t="n">
        <f aca="false">S181</f>
        <v>2687</v>
      </c>
      <c r="BY181" s="31" t="n">
        <f aca="false">Y181</f>
        <v>2688</v>
      </c>
      <c r="BZ181" s="32" t="n">
        <f aca="false">IF(BJ181=0,IF(BR181=0,0,1),(BR181-BJ181)/BJ181)</f>
        <v>0</v>
      </c>
      <c r="CA181" s="32" t="n">
        <f aca="false">IF(BK181=0,IF(BS181=0,0,1),(BS181-BK181)/BK181)</f>
        <v>0</v>
      </c>
      <c r="CB181" s="32" t="n">
        <f aca="false">IF(BL181=0,IF(BT181=0,0,1),(BT181-BL181)/BL181)</f>
        <v>1</v>
      </c>
      <c r="CC181" s="32" t="n">
        <f aca="false">IF(BM181=0,IF(BU181=0,0,1),(BU181-BM181)/BM181)</f>
        <v>1</v>
      </c>
      <c r="CD181" s="32" t="n">
        <f aca="false">IF(BN181=0,IF(BV181=0,0,1),(BV181-BN181)/BN181)</f>
        <v>1</v>
      </c>
      <c r="CE181" s="32" t="n">
        <f aca="false">IF(BO181=0,IF(BW181=0,0,1),(BW181-BO181)/BO181)</f>
        <v>1</v>
      </c>
      <c r="CF181" s="32" t="n">
        <f aca="false">IF(BP181=0,IF(BX181=0,0,1),(BX181-BP181)/BP181)</f>
        <v>1</v>
      </c>
      <c r="CG181" s="32" t="n">
        <f aca="false">IF(BQ181=0,IF(BY181=0,0,1),(BY181-BQ181)/BQ181)</f>
        <v>1</v>
      </c>
      <c r="CH181" s="32" t="n">
        <f aca="false">MAX(MAX(BZ181:CG181),-MIN(BZ181:CG181))</f>
        <v>1</v>
      </c>
      <c r="CI181" s="31" t="str">
        <f aca="false">IF(CO181="","",SUMIFS($CJ$7:$CJ$696,$A$7:$A$696,CO181,$B$7:$B$696,B181))</f>
        <v/>
      </c>
      <c r="CJ181" s="31" t="n">
        <f aca="false">SUM(AY181:BI181)</f>
        <v>277601</v>
      </c>
      <c r="CK181" s="31" t="str">
        <f aca="false">IFERROR(INDEX(設定!$F$61:$F$106,MATCH(B181,設定!$B$61:$B$106,0)),"Y")</f>
        <v>Y</v>
      </c>
      <c r="CL181" s="31" t="str">
        <f aca="false">IFERROR(INDEX(設定!$G$61:$G$106,MATCH(B181,設定!$B$61:$B$106,0)),"外郭型")</f>
        <v>外郭型</v>
      </c>
      <c r="CM181" s="33" t="str">
        <f aca="false">A181&amp;"|"&amp;B181</f>
        <v>2026-06 賞与|職員共済組合</v>
      </c>
      <c r="CN181" s="34" t="str">
        <f aca="false">IFERROR(INDEX(設定!$D$61:$D$106,MATCH(B181,設定!$B$61:$B$106,0)),"Y")</f>
        <v>N</v>
      </c>
      <c r="CO181" s="34" t="str">
        <f aca="false">IFERROR(INDEX(設定!$D$20:$D$34,MATCH(A181,設定!$A$20:$A$34,0))&amp;"","")</f>
        <v/>
      </c>
    </row>
    <row r="182" customFormat="false" ht="26.85" hidden="true" customHeight="false" outlineLevel="0" collapsed="false">
      <c r="A182" s="22" t="s">
        <v>218</v>
      </c>
      <c r="B182" s="35" t="s">
        <v>216</v>
      </c>
      <c r="C182" s="10" t="str">
        <f aca="false">IF(G182="","未受領",IF(G182="なし","報告なし",IF(AL182="○","起票済",IF(OR(AK182="○",F182="一致",F182="入金不要"),"入金確認済","受領済"))))</f>
        <v>報告なし</v>
      </c>
      <c r="D182" s="10" t="str">
        <f aca="false">IF(OR(G182="",G182="なし"),"―",IF(CN182="N","対象外",IF(AND(I182="",J182="",K182=""),"標報未入力",IF(CH182&gt;=設定!$B$4,"要確認","問題なし"))))</f>
        <v>―</v>
      </c>
      <c r="E182" s="24" t="str">
        <f aca="false">IF(OR(G182="",G182="なし",CI182="",CJ182=0),"―",IF(CJ182=CI182,"前月同額",IF(CI182=0,"―",IF(ABS(CJ182/CI182-1)&gt;=設定!$B$5,"変動大 "&amp;TEXT(CJ182/CI182-1,"+0%;-0%"),"〇"))))</f>
        <v>―</v>
      </c>
      <c r="F182" s="10" t="str">
        <f aca="false">IF(OR(G182="",G182="なし"),"―",IF(CJ182=0,"入金不要",IF(COUNT(AD182,AF182,AH182,AJ182)=0,IF(AK182="○","手動確認","未入金"),IF(AND(N(AD182)=AC182,IF(AE182="",TRUE(),N(AF182)=AE182),IF(AG182="",TRUE(),N(AH182)=AG182),IF(AI182="",TRUE(),N(AJ182)=AI182)),"一致","不一致"))))</f>
        <v>―</v>
      </c>
      <c r="G182" s="25" t="s">
        <v>181</v>
      </c>
      <c r="H182" s="26"/>
      <c r="I182" s="27"/>
      <c r="J182" s="27"/>
      <c r="K182" s="27"/>
      <c r="L182" s="27"/>
      <c r="M182" s="27"/>
      <c r="N182" s="27"/>
      <c r="O182" s="27"/>
      <c r="P182" s="27"/>
      <c r="Q182" s="27"/>
      <c r="R182" s="27"/>
      <c r="S182" s="27"/>
      <c r="T182" s="27"/>
      <c r="U182" s="27"/>
      <c r="V182" s="27"/>
      <c r="W182" s="27"/>
      <c r="X182" s="27"/>
      <c r="Y182" s="27"/>
      <c r="Z182" s="27"/>
      <c r="AA182" s="10" t="str">
        <f aca="false">IFERROR(INDEX(設定!$E$61:$E$106,MATCH(B182,設定!$B$61:$B$106,0)),"合算")</f>
        <v>合算</v>
      </c>
      <c r="AB182" s="28"/>
      <c r="AC182" s="29" t="str">
        <f aca="false">IF(OR(G182="",G182="なし"),"",IF(AA182="合算",CJ182+N(Z182),IF(AA182="掛金・負担金別",(AY182+AZ182+BD182+BF182+BH182),SUM(AY182:BC182))))</f>
        <v/>
      </c>
      <c r="AD182" s="27"/>
      <c r="AE182" s="29" t="str">
        <f aca="false">IF(OR(G182="",G182="なし"),"",IF(AA182="掛金・負担金別",(BA182+BB182+BC182+BE182+BG182+BI182+N(Z182)),IF(AA182="経理区分別",BD182+BE182,"")))</f>
        <v/>
      </c>
      <c r="AF182" s="27"/>
      <c r="AG182" s="29" t="str">
        <f aca="false">IF(OR(G182="",G182="なし"),"",IF(AA182="経理区分別",BF182+BG182,""))</f>
        <v/>
      </c>
      <c r="AH182" s="27"/>
      <c r="AI182" s="29" t="str">
        <f aca="false">IF(OR(G182="",G182="なし"),"",IF(AA182="経理区分別",BH182+BI182+N(Z182),""))</f>
        <v/>
      </c>
      <c r="AJ182" s="27"/>
      <c r="AK182" s="26"/>
      <c r="AL182" s="26"/>
      <c r="AM182" s="30"/>
      <c r="AN182" s="31"/>
      <c r="AO182" s="31"/>
      <c r="AP182" s="31"/>
      <c r="AQ182" s="31"/>
      <c r="AR182" s="31"/>
      <c r="AS182" s="31"/>
      <c r="AT182" s="31"/>
      <c r="AU182" s="31"/>
      <c r="AV182" s="31"/>
      <c r="AW182" s="31"/>
      <c r="AX182" s="31"/>
      <c r="AY182" s="31" t="n">
        <f aca="false">IF($G182="",AN182,O182)</f>
        <v>0</v>
      </c>
      <c r="AZ182" s="31" t="n">
        <f aca="false">IF($G182="",AO182,P182)</f>
        <v>0</v>
      </c>
      <c r="BA182" s="31" t="n">
        <f aca="false">IF($G182="",AP182,T182)</f>
        <v>0</v>
      </c>
      <c r="BB182" s="31" t="n">
        <f aca="false">IF($G182="",AQ182,U182)</f>
        <v>0</v>
      </c>
      <c r="BC182" s="31" t="n">
        <f aca="false">IF($G182="",AR182,V182)</f>
        <v>0</v>
      </c>
      <c r="BD182" s="31" t="n">
        <f aca="false">IF($G182="",AS182,Q182)</f>
        <v>0</v>
      </c>
      <c r="BE182" s="31" t="n">
        <f aca="false">IF($G182="",AT182,W182)</f>
        <v>0</v>
      </c>
      <c r="BF182" s="31" t="n">
        <f aca="false">IF($G182="",AU182,R182)</f>
        <v>0</v>
      </c>
      <c r="BG182" s="31" t="n">
        <f aca="false">IF($G182="",AV182,X182)</f>
        <v>0</v>
      </c>
      <c r="BH182" s="31" t="n">
        <f aca="false">IF($G182="",AW182,S182)</f>
        <v>0</v>
      </c>
      <c r="BI182" s="31" t="n">
        <f aca="false">IF($G182="",AX182,Y182)</f>
        <v>0</v>
      </c>
      <c r="BJ182" s="31" t="n">
        <f aca="false">IF(CK182="N",BR182,ROUNDDOWN((I182-L182)*設定!$B$10/1000,0)+ROUNDDOWN((I182-L182)*設定!$B$11/1000,0))</f>
        <v>0</v>
      </c>
      <c r="BK182" s="31" t="n">
        <f aca="false">ROUNDDOWN((I182-L182)*設定!$C$10/1000,0)+ROUNDDOWN((I182-L182)*設定!$C$11/1000,0)+ROUNDDOWN(I182*設定!$C$12/1000,0)+IF(CL182="市局型",ROUNDDOWN(I182*設定!$C$16/1000,0),0)</f>
        <v>0</v>
      </c>
      <c r="BL182" s="31" t="n">
        <f aca="false">IF(CK182="N",BT182,ROUNDDOWN((J182-M182)*設定!$B$13/1000,0))</f>
        <v>0</v>
      </c>
      <c r="BM182" s="31" t="n">
        <f aca="false">ROUNDDOWN((J182-M182)*設定!$C$13/1000,0)+IF(CL182="市局型",ROUNDDOWN(J182*設定!$C$17/1000,0),0)</f>
        <v>0</v>
      </c>
      <c r="BN182" s="31" t="n">
        <f aca="false">IF(CK182="N",BV182,ROUNDDOWN((K182-N182)*設定!$B$14/1000,0))</f>
        <v>0</v>
      </c>
      <c r="BO182" s="31" t="n">
        <f aca="false">ROUNDDOWN((K182-N182)*設定!$C$14/1000,0)</f>
        <v>0</v>
      </c>
      <c r="BP182" s="31" t="n">
        <f aca="false">IF(CK182="N",BX182,ROUNDDOWN((J182-M182)*設定!$B$15/1000,0))</f>
        <v>0</v>
      </c>
      <c r="BQ182" s="31" t="n">
        <f aca="false">ROUNDDOWN((J182-M182)*設定!$C$15/1000,0)</f>
        <v>0</v>
      </c>
      <c r="BR182" s="31" t="n">
        <f aca="false">O182+P182</f>
        <v>0</v>
      </c>
      <c r="BS182" s="31" t="n">
        <f aca="false">T182+U182+V182</f>
        <v>0</v>
      </c>
      <c r="BT182" s="31" t="n">
        <f aca="false">Q182</f>
        <v>0</v>
      </c>
      <c r="BU182" s="31" t="n">
        <f aca="false">W182</f>
        <v>0</v>
      </c>
      <c r="BV182" s="31" t="n">
        <f aca="false">R182</f>
        <v>0</v>
      </c>
      <c r="BW182" s="31" t="n">
        <f aca="false">X182</f>
        <v>0</v>
      </c>
      <c r="BX182" s="31" t="n">
        <f aca="false">S182</f>
        <v>0</v>
      </c>
      <c r="BY182" s="31" t="n">
        <f aca="false">Y182</f>
        <v>0</v>
      </c>
      <c r="BZ182" s="32" t="n">
        <f aca="false">IF(BJ182=0,IF(BR182=0,0,1),(BR182-BJ182)/BJ182)</f>
        <v>0</v>
      </c>
      <c r="CA182" s="32" t="n">
        <f aca="false">IF(BK182=0,IF(BS182=0,0,1),(BS182-BK182)/BK182)</f>
        <v>0</v>
      </c>
      <c r="CB182" s="32" t="n">
        <f aca="false">IF(BL182=0,IF(BT182=0,0,1),(BT182-BL182)/BL182)</f>
        <v>0</v>
      </c>
      <c r="CC182" s="32" t="n">
        <f aca="false">IF(BM182=0,IF(BU182=0,0,1),(BU182-BM182)/BM182)</f>
        <v>0</v>
      </c>
      <c r="CD182" s="32" t="n">
        <f aca="false">IF(BN182=0,IF(BV182=0,0,1),(BV182-BN182)/BN182)</f>
        <v>0</v>
      </c>
      <c r="CE182" s="32" t="n">
        <f aca="false">IF(BO182=0,IF(BW182=0,0,1),(BW182-BO182)/BO182)</f>
        <v>0</v>
      </c>
      <c r="CF182" s="32" t="n">
        <f aca="false">IF(BP182=0,IF(BX182=0,0,1),(BX182-BP182)/BP182)</f>
        <v>0</v>
      </c>
      <c r="CG182" s="32" t="n">
        <f aca="false">IF(BQ182=0,IF(BY182=0,0,1),(BY182-BQ182)/BQ182)</f>
        <v>0</v>
      </c>
      <c r="CH182" s="32" t="n">
        <f aca="false">MAX(MAX(BZ182:CG182),-MIN(BZ182:CG182))</f>
        <v>-0</v>
      </c>
      <c r="CI182" s="31" t="str">
        <f aca="false">IF(CO182="","",SUMIFS($CJ$7:$CJ$696,$A$7:$A$696,CO182,$B$7:$B$696,B182))</f>
        <v/>
      </c>
      <c r="CJ182" s="31" t="n">
        <f aca="false">SUM(AY182:BI182)</f>
        <v>0</v>
      </c>
      <c r="CK182" s="31" t="str">
        <f aca="false">IFERROR(INDEX(設定!$F$61:$F$106,MATCH(B182,設定!$B$61:$B$106,0)),"Y")</f>
        <v>N</v>
      </c>
      <c r="CL182" s="31" t="str">
        <f aca="false">IFERROR(INDEX(設定!$G$61:$G$106,MATCH(B182,設定!$B$61:$B$106,0)),"外郭型")</f>
        <v>外郭型</v>
      </c>
      <c r="CM182" s="36" t="str">
        <f aca="false">A182&amp;"|"&amp;B182</f>
        <v>2026-06 賞与|地方公共団体
情報システム機構</v>
      </c>
      <c r="CN182" s="34" t="str">
        <f aca="false">IFERROR(INDEX(設定!$D$61:$D$106,MATCH(B182,設定!$B$61:$B$106,0)),"Y")</f>
        <v>Y</v>
      </c>
      <c r="CO182" s="34" t="str">
        <f aca="false">IFERROR(INDEX(設定!$D$20:$D$34,MATCH(A182,設定!$A$20:$A$34,0))&amp;"","")</f>
        <v/>
      </c>
    </row>
    <row r="183" customFormat="false" ht="15" hidden="true" customHeight="false" outlineLevel="0" collapsed="false">
      <c r="A183" s="22" t="s">
        <v>218</v>
      </c>
      <c r="B183" s="23" t="s">
        <v>207</v>
      </c>
      <c r="C183" s="10" t="str">
        <f aca="false">IF(G183="","未受領",IF(G183="なし","報告なし",IF(AL183="○","起票済",IF(OR(AK183="○",F183="一致",F183="入金不要"),"入金確認済","受領済"))))</f>
        <v>入金確認済</v>
      </c>
      <c r="D183" s="10" t="str">
        <f aca="false">IF(OR(G183="",G183="なし"),"―",IF(CN183="N","対象外",IF(AND(I183="",J183="",K183=""),"標報未入力",IF(CH183&gt;=設定!$B$4,"要確認","問題なし"))))</f>
        <v>標報未入力</v>
      </c>
      <c r="E183" s="24" t="str">
        <f aca="false">IF(OR(G183="",G183="なし",CI183="",CJ183=0),"―",IF(CJ183=CI183,"前月同額",IF(CI183=0,"―",IF(ABS(CJ183/CI183-1)&gt;=設定!$B$5,"変動大 "&amp;TEXT(CJ183/CI183-1,"+0%;-0%"),"〇"))))</f>
        <v>―</v>
      </c>
      <c r="F183" s="10" t="str">
        <f aca="false">IF(OR(G183="",G183="なし"),"―",IF(CJ183=0,"入金不要",IF(COUNT(AD183,AF183,AH183,AJ183)=0,IF(AK183="○","手動確認","未入金"),IF(AND(N(AD183)=AC183,IF(AE183="",TRUE(),N(AF183)=AE183),IF(AG183="",TRUE(),N(AH183)=AG183),IF(AI183="",TRUE(),N(AJ183)=AI183)),"一致","不一致"))))</f>
        <v>手動確認</v>
      </c>
      <c r="G183" s="25" t="s">
        <v>167</v>
      </c>
      <c r="H183" s="26"/>
      <c r="I183" s="27"/>
      <c r="J183" s="27"/>
      <c r="K183" s="27"/>
      <c r="L183" s="27"/>
      <c r="M183" s="27"/>
      <c r="N183" s="27"/>
      <c r="O183" s="27" t="n">
        <v>274500</v>
      </c>
      <c r="P183" s="27" t="n">
        <v>22500</v>
      </c>
      <c r="Q183" s="27" t="n">
        <v>207958</v>
      </c>
      <c r="R183" s="27" t="n">
        <v>31678</v>
      </c>
      <c r="S183" s="27" t="n">
        <v>4610</v>
      </c>
      <c r="T183" s="27" t="n">
        <v>274500</v>
      </c>
      <c r="U183" s="27" t="n">
        <v>22500</v>
      </c>
      <c r="V183" s="27" t="n">
        <v>260</v>
      </c>
      <c r="W183" s="27" t="n">
        <v>208159</v>
      </c>
      <c r="X183" s="27" t="n">
        <v>31679</v>
      </c>
      <c r="Y183" s="27" t="n">
        <v>4611</v>
      </c>
      <c r="Z183" s="27"/>
      <c r="AA183" s="10" t="str">
        <f aca="false">IFERROR(INDEX(設定!$E$61:$E$106,MATCH(B183,設定!$B$61:$B$106,0)),"合算")</f>
        <v>合算</v>
      </c>
      <c r="AB183" s="28"/>
      <c r="AC183" s="29" t="n">
        <f aca="false">IF(OR(G183="",G183="なし"),"",IF(AA183="合算",CJ183+N(Z183),IF(AA183="掛金・負担金別",(AY183+AZ183+BD183+BF183+BH183),SUM(AY183:BC183))))</f>
        <v>1082955</v>
      </c>
      <c r="AD183" s="27"/>
      <c r="AE183" s="29" t="str">
        <f aca="false">IF(OR(G183="",G183="なし"),"",IF(AA183="掛金・負担金別",(BA183+BB183+BC183+BE183+BG183+BI183+N(Z183)),IF(AA183="経理区分別",BD183+BE183,"")))</f>
        <v/>
      </c>
      <c r="AF183" s="27"/>
      <c r="AG183" s="29" t="str">
        <f aca="false">IF(OR(G183="",G183="なし"),"",IF(AA183="経理区分別",BF183+BG183,""))</f>
        <v/>
      </c>
      <c r="AH183" s="27"/>
      <c r="AI183" s="29" t="str">
        <f aca="false">IF(OR(G183="",G183="なし"),"",IF(AA183="経理区分別",BH183+BI183+N(Z183),""))</f>
        <v/>
      </c>
      <c r="AJ183" s="27"/>
      <c r="AK183" s="26" t="s">
        <v>168</v>
      </c>
      <c r="AL183" s="26"/>
      <c r="AM183" s="30"/>
      <c r="AN183" s="31"/>
      <c r="AO183" s="31"/>
      <c r="AP183" s="31"/>
      <c r="AQ183" s="31"/>
      <c r="AR183" s="31"/>
      <c r="AS183" s="31"/>
      <c r="AT183" s="31"/>
      <c r="AU183" s="31"/>
      <c r="AV183" s="31"/>
      <c r="AW183" s="31"/>
      <c r="AX183" s="31"/>
      <c r="AY183" s="31" t="n">
        <f aca="false">IF($G183="",AN183,O183)</f>
        <v>274500</v>
      </c>
      <c r="AZ183" s="31" t="n">
        <f aca="false">IF($G183="",AO183,P183)</f>
        <v>22500</v>
      </c>
      <c r="BA183" s="31" t="n">
        <f aca="false">IF($G183="",AP183,T183)</f>
        <v>274500</v>
      </c>
      <c r="BB183" s="31" t="n">
        <f aca="false">IF($G183="",AQ183,U183)</f>
        <v>22500</v>
      </c>
      <c r="BC183" s="31" t="n">
        <f aca="false">IF($G183="",AR183,V183)</f>
        <v>260</v>
      </c>
      <c r="BD183" s="31" t="n">
        <f aca="false">IF($G183="",AS183,Q183)</f>
        <v>207958</v>
      </c>
      <c r="BE183" s="31" t="n">
        <f aca="false">IF($G183="",AT183,W183)</f>
        <v>208159</v>
      </c>
      <c r="BF183" s="31" t="n">
        <f aca="false">IF($G183="",AU183,R183)</f>
        <v>31678</v>
      </c>
      <c r="BG183" s="31" t="n">
        <f aca="false">IF($G183="",AV183,X183)</f>
        <v>31679</v>
      </c>
      <c r="BH183" s="31" t="n">
        <f aca="false">IF($G183="",AW183,S183)</f>
        <v>4610</v>
      </c>
      <c r="BI183" s="31" t="n">
        <f aca="false">IF($G183="",AX183,Y183)</f>
        <v>4611</v>
      </c>
      <c r="BJ183" s="31" t="n">
        <f aca="false">IF(CK183="N",BR183,ROUNDDOWN((I183-L183)*設定!$B$10/1000,0)+ROUNDDOWN((I183-L183)*設定!$B$11/1000,0))</f>
        <v>0</v>
      </c>
      <c r="BK183" s="31" t="n">
        <f aca="false">ROUNDDOWN((I183-L183)*設定!$C$10/1000,0)+ROUNDDOWN((I183-L183)*設定!$C$11/1000,0)+ROUNDDOWN(I183*設定!$C$12/1000,0)+IF(CL183="市局型",ROUNDDOWN(I183*設定!$C$16/1000,0),0)</f>
        <v>0</v>
      </c>
      <c r="BL183" s="31" t="n">
        <f aca="false">IF(CK183="N",BT183,ROUNDDOWN((J183-M183)*設定!$B$13/1000,0))</f>
        <v>0</v>
      </c>
      <c r="BM183" s="31" t="n">
        <f aca="false">ROUNDDOWN((J183-M183)*設定!$C$13/1000,0)+IF(CL183="市局型",ROUNDDOWN(J183*設定!$C$17/1000,0),0)</f>
        <v>0</v>
      </c>
      <c r="BN183" s="31" t="n">
        <f aca="false">IF(CK183="N",BV183,ROUNDDOWN((K183-N183)*設定!$B$14/1000,0))</f>
        <v>0</v>
      </c>
      <c r="BO183" s="31" t="n">
        <f aca="false">ROUNDDOWN((K183-N183)*設定!$C$14/1000,0)</f>
        <v>0</v>
      </c>
      <c r="BP183" s="31" t="n">
        <f aca="false">IF(CK183="N",BX183,ROUNDDOWN((J183-M183)*設定!$B$15/1000,0))</f>
        <v>0</v>
      </c>
      <c r="BQ183" s="31" t="n">
        <f aca="false">ROUNDDOWN((J183-M183)*設定!$C$15/1000,0)</f>
        <v>0</v>
      </c>
      <c r="BR183" s="31" t="n">
        <f aca="false">O183+P183</f>
        <v>297000</v>
      </c>
      <c r="BS183" s="31" t="n">
        <f aca="false">T183+U183+V183</f>
        <v>297260</v>
      </c>
      <c r="BT183" s="31" t="n">
        <f aca="false">Q183</f>
        <v>207958</v>
      </c>
      <c r="BU183" s="31" t="n">
        <f aca="false">W183</f>
        <v>208159</v>
      </c>
      <c r="BV183" s="31" t="n">
        <f aca="false">R183</f>
        <v>31678</v>
      </c>
      <c r="BW183" s="31" t="n">
        <f aca="false">X183</f>
        <v>31679</v>
      </c>
      <c r="BX183" s="31" t="n">
        <f aca="false">S183</f>
        <v>4610</v>
      </c>
      <c r="BY183" s="31" t="n">
        <f aca="false">Y183</f>
        <v>4611</v>
      </c>
      <c r="BZ183" s="32" t="n">
        <f aca="false">IF(BJ183=0,IF(BR183=0,0,1),(BR183-BJ183)/BJ183)</f>
        <v>1</v>
      </c>
      <c r="CA183" s="32" t="n">
        <f aca="false">IF(BK183=0,IF(BS183=0,0,1),(BS183-BK183)/BK183)</f>
        <v>1</v>
      </c>
      <c r="CB183" s="32" t="n">
        <f aca="false">IF(BL183=0,IF(BT183=0,0,1),(BT183-BL183)/BL183)</f>
        <v>1</v>
      </c>
      <c r="CC183" s="32" t="n">
        <f aca="false">IF(BM183=0,IF(BU183=0,0,1),(BU183-BM183)/BM183)</f>
        <v>1</v>
      </c>
      <c r="CD183" s="32" t="n">
        <f aca="false">IF(BN183=0,IF(BV183=0,0,1),(BV183-BN183)/BN183)</f>
        <v>1</v>
      </c>
      <c r="CE183" s="32" t="n">
        <f aca="false">IF(BO183=0,IF(BW183=0,0,1),(BW183-BO183)/BO183)</f>
        <v>1</v>
      </c>
      <c r="CF183" s="32" t="n">
        <f aca="false">IF(BP183=0,IF(BX183=0,0,1),(BX183-BP183)/BP183)</f>
        <v>1</v>
      </c>
      <c r="CG183" s="32" t="n">
        <f aca="false">IF(BQ183=0,IF(BY183=0,0,1),(BY183-BQ183)/BQ183)</f>
        <v>1</v>
      </c>
      <c r="CH183" s="32" t="n">
        <f aca="false">MAX(MAX(BZ183:CG183),-MIN(BZ183:CG183))</f>
        <v>1</v>
      </c>
      <c r="CI183" s="31" t="str">
        <f aca="false">IF(CO183="","",SUMIFS($CJ$7:$CJ$696,$A$7:$A$696,CO183,$B$7:$B$696,B183))</f>
        <v/>
      </c>
      <c r="CJ183" s="31" t="n">
        <f aca="false">SUM(AY183:BI183)</f>
        <v>1082955</v>
      </c>
      <c r="CK183" s="31" t="str">
        <f aca="false">IFERROR(INDEX(設定!$F$61:$F$106,MATCH(B183,設定!$B$61:$B$106,0)),"Y")</f>
        <v>Y</v>
      </c>
      <c r="CL183" s="31" t="str">
        <f aca="false">IFERROR(INDEX(設定!$G$61:$G$106,MATCH(B183,設定!$B$61:$B$106,0)),"外郭型")</f>
        <v>外郭型</v>
      </c>
      <c r="CM183" s="33" t="str">
        <f aca="false">A183&amp;"|"&amp;B183</f>
        <v>2026-06 賞与|全国市長会</v>
      </c>
      <c r="CN183" s="34" t="str">
        <f aca="false">IFERROR(INDEX(設定!$D$61:$D$106,MATCH(B183,設定!$B$61:$B$106,0)),"Y")</f>
        <v>Y</v>
      </c>
      <c r="CO183" s="34" t="str">
        <f aca="false">IFERROR(INDEX(設定!$D$20:$D$34,MATCH(A183,設定!$A$20:$A$34,0))&amp;"","")</f>
        <v/>
      </c>
    </row>
    <row r="184" customFormat="false" ht="15" hidden="true" customHeight="false" outlineLevel="0" collapsed="false">
      <c r="A184" s="22" t="s">
        <v>218</v>
      </c>
      <c r="B184" s="23" t="s">
        <v>208</v>
      </c>
      <c r="C184" s="10" t="str">
        <f aca="false">IF(G184="","未受領",IF(G184="なし","報告なし",IF(AL184="○","起票済",IF(OR(AK184="○",F184="一致",F184="入金不要"),"入金確認済","受領済"))))</f>
        <v>入金確認済</v>
      </c>
      <c r="D184" s="10" t="str">
        <f aca="false">IF(OR(G184="",G184="なし"),"―",IF(CN184="N","対象外",IF(AND(I184="",J184="",K184=""),"標報未入力",IF(CH184&gt;=設定!$B$4,"要確認","問題なし"))))</f>
        <v>標報未入力</v>
      </c>
      <c r="E184" s="24" t="str">
        <f aca="false">IF(OR(G184="",G184="なし",CI184="",CJ184=0),"―",IF(CJ184=CI184,"前月同額",IF(CI184=0,"―",IF(ABS(CJ184/CI184-1)&gt;=設定!$B$5,"変動大 "&amp;TEXT(CJ184/CI184-1,"+0%;-0%"),"〇"))))</f>
        <v>―</v>
      </c>
      <c r="F184" s="10" t="str">
        <f aca="false">IF(OR(G184="",G184="なし"),"―",IF(CJ184=0,"入金不要",IF(COUNT(AD184,AF184,AH184,AJ184)=0,IF(AK184="○","手動確認","未入金"),IF(AND(N(AD184)=AC184,IF(AE184="",TRUE(),N(AF184)=AE184),IF(AG184="",TRUE(),N(AH184)=AG184),IF(AI184="",TRUE(),N(AJ184)=AI184)),"一致","不一致"))))</f>
        <v>手動確認</v>
      </c>
      <c r="G184" s="25" t="s">
        <v>167</v>
      </c>
      <c r="H184" s="26"/>
      <c r="I184" s="27"/>
      <c r="J184" s="27"/>
      <c r="K184" s="27"/>
      <c r="L184" s="27"/>
      <c r="M184" s="27"/>
      <c r="N184" s="27"/>
      <c r="O184" s="27" t="n">
        <v>305244</v>
      </c>
      <c r="P184" s="27" t="n">
        <v>25020</v>
      </c>
      <c r="Q184" s="27"/>
      <c r="R184" s="27"/>
      <c r="S184" s="27"/>
      <c r="T184" s="27" t="n">
        <v>305244</v>
      </c>
      <c r="U184" s="27" t="n">
        <v>25020</v>
      </c>
      <c r="V184" s="27" t="n">
        <v>289</v>
      </c>
      <c r="W184" s="27"/>
      <c r="X184" s="27"/>
      <c r="Y184" s="27"/>
      <c r="Z184" s="27"/>
      <c r="AA184" s="10" t="str">
        <f aca="false">IFERROR(INDEX(設定!$E$61:$E$106,MATCH(B184,設定!$B$61:$B$106,0)),"合算")</f>
        <v>合算</v>
      </c>
      <c r="AB184" s="28"/>
      <c r="AC184" s="29" t="n">
        <f aca="false">IF(OR(G184="",G184="なし"),"",IF(AA184="合算",CJ184+N(Z184),IF(AA184="掛金・負担金別",(AY184+AZ184+BD184+BF184+BH184),SUM(AY184:BC184))))</f>
        <v>660817</v>
      </c>
      <c r="AD184" s="27"/>
      <c r="AE184" s="29" t="str">
        <f aca="false">IF(OR(G184="",G184="なし"),"",IF(AA184="掛金・負担金別",(BA184+BB184+BC184+BE184+BG184+BI184+N(Z184)),IF(AA184="経理区分別",BD184+BE184,"")))</f>
        <v/>
      </c>
      <c r="AF184" s="27"/>
      <c r="AG184" s="29" t="str">
        <f aca="false">IF(OR(G184="",G184="なし"),"",IF(AA184="経理区分別",BF184+BG184,""))</f>
        <v/>
      </c>
      <c r="AH184" s="27"/>
      <c r="AI184" s="29" t="str">
        <f aca="false">IF(OR(G184="",G184="なし"),"",IF(AA184="経理区分別",BH184+BI184+N(Z184),""))</f>
        <v/>
      </c>
      <c r="AJ184" s="27"/>
      <c r="AK184" s="26" t="s">
        <v>168</v>
      </c>
      <c r="AL184" s="26"/>
      <c r="AM184" s="30"/>
      <c r="AN184" s="31"/>
      <c r="AO184" s="31"/>
      <c r="AP184" s="31"/>
      <c r="AQ184" s="31"/>
      <c r="AR184" s="31"/>
      <c r="AS184" s="31"/>
      <c r="AT184" s="31"/>
      <c r="AU184" s="31"/>
      <c r="AV184" s="31"/>
      <c r="AW184" s="31"/>
      <c r="AX184" s="31"/>
      <c r="AY184" s="31" t="n">
        <f aca="false">IF($G184="",AN184,O184)</f>
        <v>305244</v>
      </c>
      <c r="AZ184" s="31" t="n">
        <f aca="false">IF($G184="",AO184,P184)</f>
        <v>25020</v>
      </c>
      <c r="BA184" s="31" t="n">
        <f aca="false">IF($G184="",AP184,T184)</f>
        <v>305244</v>
      </c>
      <c r="BB184" s="31" t="n">
        <f aca="false">IF($G184="",AQ184,U184)</f>
        <v>25020</v>
      </c>
      <c r="BC184" s="31" t="n">
        <f aca="false">IF($G184="",AR184,V184)</f>
        <v>289</v>
      </c>
      <c r="BD184" s="31" t="n">
        <f aca="false">IF($G184="",AS184,Q184)</f>
        <v>0</v>
      </c>
      <c r="BE184" s="31" t="n">
        <f aca="false">IF($G184="",AT184,W184)</f>
        <v>0</v>
      </c>
      <c r="BF184" s="31" t="n">
        <f aca="false">IF($G184="",AU184,R184)</f>
        <v>0</v>
      </c>
      <c r="BG184" s="31" t="n">
        <f aca="false">IF($G184="",AV184,X184)</f>
        <v>0</v>
      </c>
      <c r="BH184" s="31" t="n">
        <f aca="false">IF($G184="",AW184,S184)</f>
        <v>0</v>
      </c>
      <c r="BI184" s="31" t="n">
        <f aca="false">IF($G184="",AX184,Y184)</f>
        <v>0</v>
      </c>
      <c r="BJ184" s="31" t="n">
        <f aca="false">IF(CK184="N",BR184,ROUNDDOWN((I184-L184)*設定!$B$10/1000,0)+ROUNDDOWN((I184-L184)*設定!$B$11/1000,0))</f>
        <v>0</v>
      </c>
      <c r="BK184" s="31" t="n">
        <f aca="false">ROUNDDOWN((I184-L184)*設定!$C$10/1000,0)+ROUNDDOWN((I184-L184)*設定!$C$11/1000,0)+ROUNDDOWN(I184*設定!$C$12/1000,0)+IF(CL184="市局型",ROUNDDOWN(I184*設定!$C$16/1000,0),0)</f>
        <v>0</v>
      </c>
      <c r="BL184" s="31" t="n">
        <f aca="false">IF(CK184="N",BT184,ROUNDDOWN((J184-M184)*設定!$B$13/1000,0))</f>
        <v>0</v>
      </c>
      <c r="BM184" s="31" t="n">
        <f aca="false">ROUNDDOWN((J184-M184)*設定!$C$13/1000,0)+IF(CL184="市局型",ROUNDDOWN(J184*設定!$C$17/1000,0),0)</f>
        <v>0</v>
      </c>
      <c r="BN184" s="31" t="n">
        <f aca="false">IF(CK184="N",BV184,ROUNDDOWN((K184-N184)*設定!$B$14/1000,0))</f>
        <v>0</v>
      </c>
      <c r="BO184" s="31" t="n">
        <f aca="false">ROUNDDOWN((K184-N184)*設定!$C$14/1000,0)</f>
        <v>0</v>
      </c>
      <c r="BP184" s="31" t="n">
        <f aca="false">IF(CK184="N",BX184,ROUNDDOWN((J184-M184)*設定!$B$15/1000,0))</f>
        <v>0</v>
      </c>
      <c r="BQ184" s="31" t="n">
        <f aca="false">ROUNDDOWN((J184-M184)*設定!$C$15/1000,0)</f>
        <v>0</v>
      </c>
      <c r="BR184" s="31" t="n">
        <f aca="false">O184+P184</f>
        <v>330264</v>
      </c>
      <c r="BS184" s="31" t="n">
        <f aca="false">T184+U184+V184</f>
        <v>330553</v>
      </c>
      <c r="BT184" s="31" t="n">
        <f aca="false">Q184</f>
        <v>0</v>
      </c>
      <c r="BU184" s="31" t="n">
        <f aca="false">W184</f>
        <v>0</v>
      </c>
      <c r="BV184" s="31" t="n">
        <f aca="false">R184</f>
        <v>0</v>
      </c>
      <c r="BW184" s="31" t="n">
        <f aca="false">X184</f>
        <v>0</v>
      </c>
      <c r="BX184" s="31" t="n">
        <f aca="false">S184</f>
        <v>0</v>
      </c>
      <c r="BY184" s="31" t="n">
        <f aca="false">Y184</f>
        <v>0</v>
      </c>
      <c r="BZ184" s="32" t="n">
        <f aca="false">IF(BJ184=0,IF(BR184=0,0,1),(BR184-BJ184)/BJ184)</f>
        <v>1</v>
      </c>
      <c r="CA184" s="32" t="n">
        <f aca="false">IF(BK184=0,IF(BS184=0,0,1),(BS184-BK184)/BK184)</f>
        <v>1</v>
      </c>
      <c r="CB184" s="32" t="n">
        <f aca="false">IF(BL184=0,IF(BT184=0,0,1),(BT184-BL184)/BL184)</f>
        <v>0</v>
      </c>
      <c r="CC184" s="32" t="n">
        <f aca="false">IF(BM184=0,IF(BU184=0,0,1),(BU184-BM184)/BM184)</f>
        <v>0</v>
      </c>
      <c r="CD184" s="32" t="n">
        <f aca="false">IF(BN184=0,IF(BV184=0,0,1),(BV184-BN184)/BN184)</f>
        <v>0</v>
      </c>
      <c r="CE184" s="32" t="n">
        <f aca="false">IF(BO184=0,IF(BW184=0,0,1),(BW184-BO184)/BO184)</f>
        <v>0</v>
      </c>
      <c r="CF184" s="32" t="n">
        <f aca="false">IF(BP184=0,IF(BX184=0,0,1),(BX184-BP184)/BP184)</f>
        <v>0</v>
      </c>
      <c r="CG184" s="32" t="n">
        <f aca="false">IF(BQ184=0,IF(BY184=0,0,1),(BY184-BQ184)/BQ184)</f>
        <v>0</v>
      </c>
      <c r="CH184" s="32" t="n">
        <f aca="false">MAX(MAX(BZ184:CG184),-MIN(BZ184:CG184))</f>
        <v>1</v>
      </c>
      <c r="CI184" s="31" t="str">
        <f aca="false">IF(CO184="","",SUMIFS($CJ$7:$CJ$696,$A$7:$A$696,CO184,$B$7:$B$696,B184))</f>
        <v/>
      </c>
      <c r="CJ184" s="31" t="n">
        <f aca="false">SUM(AY184:BI184)</f>
        <v>660817</v>
      </c>
      <c r="CK184" s="31" t="str">
        <f aca="false">IFERROR(INDEX(設定!$F$61:$F$106,MATCH(B184,設定!$B$61:$B$106,0)),"Y")</f>
        <v>Y</v>
      </c>
      <c r="CL184" s="31" t="str">
        <f aca="false">IFERROR(INDEX(設定!$G$61:$G$106,MATCH(B184,設定!$B$61:$B$106,0)),"外郭型")</f>
        <v>外郭型</v>
      </c>
      <c r="CM184" s="33" t="str">
        <f aca="false">A184&amp;"|"&amp;B184</f>
        <v>2026-06 賞与|高速交通（株）</v>
      </c>
      <c r="CN184" s="34" t="str">
        <f aca="false">IFERROR(INDEX(設定!$D$61:$D$106,MATCH(B184,設定!$B$61:$B$106,0)),"Y")</f>
        <v>Y</v>
      </c>
      <c r="CO184" s="34" t="str">
        <f aca="false">IFERROR(INDEX(設定!$D$20:$D$34,MATCH(A184,設定!$A$20:$A$34,0))&amp;"","")</f>
        <v/>
      </c>
    </row>
    <row r="185" customFormat="false" ht="15" hidden="true" customHeight="false" outlineLevel="0" collapsed="false">
      <c r="A185" s="22" t="s">
        <v>218</v>
      </c>
      <c r="B185" s="23" t="s">
        <v>209</v>
      </c>
      <c r="C185" s="10" t="str">
        <f aca="false">IF(G185="","未受領",IF(G185="なし","報告なし",IF(AL185="○","起票済",IF(OR(AK185="○",F185="一致",F185="入金不要"),"入金確認済","受領済"))))</f>
        <v>入金確認済</v>
      </c>
      <c r="D185" s="10" t="str">
        <f aca="false">IF(OR(G185="",G185="なし"),"―",IF(CN185="N","対象外",IF(AND(I185="",J185="",K185=""),"標報未入力",IF(CH185&gt;=設定!$B$4,"要確認","問題なし"))))</f>
        <v>標報未入力</v>
      </c>
      <c r="E185" s="24" t="str">
        <f aca="false">IF(OR(G185="",G185="なし",CI185="",CJ185=0),"―",IF(CJ185=CI185,"前月同額",IF(CI185=0,"―",IF(ABS(CJ185/CI185-1)&gt;=設定!$B$5,"変動大 "&amp;TEXT(CJ185/CI185-1,"+0%;-0%"),"〇"))))</f>
        <v>―</v>
      </c>
      <c r="F185" s="10" t="str">
        <f aca="false">IF(OR(G185="",G185="なし"),"―",IF(CJ185=0,"入金不要",IF(COUNT(AD185,AF185,AH185,AJ185)=0,IF(AK185="○","手動確認","未入金"),IF(AND(N(AD185)=AC185,IF(AE185="",TRUE(),N(AF185)=AE185),IF(AG185="",TRUE(),N(AH185)=AG185),IF(AI185="",TRUE(),N(AJ185)=AI185)),"一致","不一致"))))</f>
        <v>手動確認</v>
      </c>
      <c r="G185" s="25" t="s">
        <v>167</v>
      </c>
      <c r="H185" s="26"/>
      <c r="I185" s="27"/>
      <c r="J185" s="27"/>
      <c r="K185" s="27"/>
      <c r="L185" s="27"/>
      <c r="M185" s="27"/>
      <c r="N185" s="27"/>
      <c r="O185" s="27" t="n">
        <v>120871</v>
      </c>
      <c r="P185" s="27" t="n">
        <v>9907</v>
      </c>
      <c r="Q185" s="27"/>
      <c r="R185" s="27"/>
      <c r="S185" s="27"/>
      <c r="T185" s="27" t="n">
        <v>120872</v>
      </c>
      <c r="U185" s="27" t="n">
        <v>9907</v>
      </c>
      <c r="V185" s="27" t="n">
        <v>114</v>
      </c>
      <c r="W185" s="27"/>
      <c r="X185" s="27"/>
      <c r="Y185" s="27"/>
      <c r="Z185" s="27"/>
      <c r="AA185" s="10" t="str">
        <f aca="false">IFERROR(INDEX(設定!$E$61:$E$106,MATCH(B185,設定!$B$61:$B$106,0)),"合算")</f>
        <v>合算</v>
      </c>
      <c r="AB185" s="28"/>
      <c r="AC185" s="29" t="n">
        <f aca="false">IF(OR(G185="",G185="なし"),"",IF(AA185="合算",CJ185+N(Z185),IF(AA185="掛金・負担金別",(AY185+AZ185+BD185+BF185+BH185),SUM(AY185:BC185))))</f>
        <v>261671</v>
      </c>
      <c r="AD185" s="27"/>
      <c r="AE185" s="29" t="str">
        <f aca="false">IF(OR(G185="",G185="なし"),"",IF(AA185="掛金・負担金別",(BA185+BB185+BC185+BE185+BG185+BI185+N(Z185)),IF(AA185="経理区分別",BD185+BE185,"")))</f>
        <v/>
      </c>
      <c r="AF185" s="27"/>
      <c r="AG185" s="29" t="str">
        <f aca="false">IF(OR(G185="",G185="なし"),"",IF(AA185="経理区分別",BF185+BG185,""))</f>
        <v/>
      </c>
      <c r="AH185" s="27"/>
      <c r="AI185" s="29" t="str">
        <f aca="false">IF(OR(G185="",G185="なし"),"",IF(AA185="経理区分別",BH185+BI185+N(Z185),""))</f>
        <v/>
      </c>
      <c r="AJ185" s="27"/>
      <c r="AK185" s="26" t="s">
        <v>168</v>
      </c>
      <c r="AL185" s="26"/>
      <c r="AM185" s="30"/>
      <c r="AN185" s="31"/>
      <c r="AO185" s="31"/>
      <c r="AP185" s="31"/>
      <c r="AQ185" s="31"/>
      <c r="AR185" s="31"/>
      <c r="AS185" s="31"/>
      <c r="AT185" s="31"/>
      <c r="AU185" s="31"/>
      <c r="AV185" s="31"/>
      <c r="AW185" s="31"/>
      <c r="AX185" s="31"/>
      <c r="AY185" s="31" t="n">
        <f aca="false">IF($G185="",AN185,O185)</f>
        <v>120871</v>
      </c>
      <c r="AZ185" s="31" t="n">
        <f aca="false">IF($G185="",AO185,P185)</f>
        <v>9907</v>
      </c>
      <c r="BA185" s="31" t="n">
        <f aca="false">IF($G185="",AP185,T185)</f>
        <v>120872</v>
      </c>
      <c r="BB185" s="31" t="n">
        <f aca="false">IF($G185="",AQ185,U185)</f>
        <v>9907</v>
      </c>
      <c r="BC185" s="31" t="n">
        <f aca="false">IF($G185="",AR185,V185)</f>
        <v>114</v>
      </c>
      <c r="BD185" s="31" t="n">
        <f aca="false">IF($G185="",AS185,Q185)</f>
        <v>0</v>
      </c>
      <c r="BE185" s="31" t="n">
        <f aca="false">IF($G185="",AT185,W185)</f>
        <v>0</v>
      </c>
      <c r="BF185" s="31" t="n">
        <f aca="false">IF($G185="",AU185,R185)</f>
        <v>0</v>
      </c>
      <c r="BG185" s="31" t="n">
        <f aca="false">IF($G185="",AV185,X185)</f>
        <v>0</v>
      </c>
      <c r="BH185" s="31" t="n">
        <f aca="false">IF($G185="",AW185,S185)</f>
        <v>0</v>
      </c>
      <c r="BI185" s="31" t="n">
        <f aca="false">IF($G185="",AX185,Y185)</f>
        <v>0</v>
      </c>
      <c r="BJ185" s="31" t="n">
        <f aca="false">IF(CK185="N",BR185,ROUNDDOWN((I185-L185)*設定!$B$10/1000,0)+ROUNDDOWN((I185-L185)*設定!$B$11/1000,0))</f>
        <v>0</v>
      </c>
      <c r="BK185" s="31" t="n">
        <f aca="false">ROUNDDOWN((I185-L185)*設定!$C$10/1000,0)+ROUNDDOWN((I185-L185)*設定!$C$11/1000,0)+ROUNDDOWN(I185*設定!$C$12/1000,0)+IF(CL185="市局型",ROUNDDOWN(I185*設定!$C$16/1000,0),0)</f>
        <v>0</v>
      </c>
      <c r="BL185" s="31" t="n">
        <f aca="false">IF(CK185="N",BT185,ROUNDDOWN((J185-M185)*設定!$B$13/1000,0))</f>
        <v>0</v>
      </c>
      <c r="BM185" s="31" t="n">
        <f aca="false">ROUNDDOWN((J185-M185)*設定!$C$13/1000,0)+IF(CL185="市局型",ROUNDDOWN(J185*設定!$C$17/1000,0),0)</f>
        <v>0</v>
      </c>
      <c r="BN185" s="31" t="n">
        <f aca="false">IF(CK185="N",BV185,ROUNDDOWN((K185-N185)*設定!$B$14/1000,0))</f>
        <v>0</v>
      </c>
      <c r="BO185" s="31" t="n">
        <f aca="false">ROUNDDOWN((K185-N185)*設定!$C$14/1000,0)</f>
        <v>0</v>
      </c>
      <c r="BP185" s="31" t="n">
        <f aca="false">IF(CK185="N",BX185,ROUNDDOWN((J185-M185)*設定!$B$15/1000,0))</f>
        <v>0</v>
      </c>
      <c r="BQ185" s="31" t="n">
        <f aca="false">ROUNDDOWN((J185-M185)*設定!$C$15/1000,0)</f>
        <v>0</v>
      </c>
      <c r="BR185" s="31" t="n">
        <f aca="false">O185+P185</f>
        <v>130778</v>
      </c>
      <c r="BS185" s="31" t="n">
        <f aca="false">T185+U185+V185</f>
        <v>130893</v>
      </c>
      <c r="BT185" s="31" t="n">
        <f aca="false">Q185</f>
        <v>0</v>
      </c>
      <c r="BU185" s="31" t="n">
        <f aca="false">W185</f>
        <v>0</v>
      </c>
      <c r="BV185" s="31" t="n">
        <f aca="false">R185</f>
        <v>0</v>
      </c>
      <c r="BW185" s="31" t="n">
        <f aca="false">X185</f>
        <v>0</v>
      </c>
      <c r="BX185" s="31" t="n">
        <f aca="false">S185</f>
        <v>0</v>
      </c>
      <c r="BY185" s="31" t="n">
        <f aca="false">Y185</f>
        <v>0</v>
      </c>
      <c r="BZ185" s="32" t="n">
        <f aca="false">IF(BJ185=0,IF(BR185=0,0,1),(BR185-BJ185)/BJ185)</f>
        <v>1</v>
      </c>
      <c r="CA185" s="32" t="n">
        <f aca="false">IF(BK185=0,IF(BS185=0,0,1),(BS185-BK185)/BK185)</f>
        <v>1</v>
      </c>
      <c r="CB185" s="32" t="n">
        <f aca="false">IF(BL185=0,IF(BT185=0,0,1),(BT185-BL185)/BL185)</f>
        <v>0</v>
      </c>
      <c r="CC185" s="32" t="n">
        <f aca="false">IF(BM185=0,IF(BU185=0,0,1),(BU185-BM185)/BM185)</f>
        <v>0</v>
      </c>
      <c r="CD185" s="32" t="n">
        <f aca="false">IF(BN185=0,IF(BV185=0,0,1),(BV185-BN185)/BN185)</f>
        <v>0</v>
      </c>
      <c r="CE185" s="32" t="n">
        <f aca="false">IF(BO185=0,IF(BW185=0,0,1),(BW185-BO185)/BO185)</f>
        <v>0</v>
      </c>
      <c r="CF185" s="32" t="n">
        <f aca="false">IF(BP185=0,IF(BX185=0,0,1),(BX185-BP185)/BP185)</f>
        <v>0</v>
      </c>
      <c r="CG185" s="32" t="n">
        <f aca="false">IF(BQ185=0,IF(BY185=0,0,1),(BY185-BQ185)/BQ185)</f>
        <v>0</v>
      </c>
      <c r="CH185" s="32" t="n">
        <f aca="false">MAX(MAX(BZ185:CG185),-MIN(BZ185:CG185))</f>
        <v>1</v>
      </c>
      <c r="CI185" s="31" t="str">
        <f aca="false">IF(CO185="","",SUMIFS($CJ$7:$CJ$696,$A$7:$A$696,CO185,$B$7:$B$696,B185))</f>
        <v/>
      </c>
      <c r="CJ185" s="31" t="n">
        <f aca="false">SUM(AY185:BI185)</f>
        <v>261671</v>
      </c>
      <c r="CK185" s="31" t="str">
        <f aca="false">IFERROR(INDEX(設定!$F$61:$F$106,MATCH(B185,設定!$B$61:$B$106,0)),"Y")</f>
        <v>Y</v>
      </c>
      <c r="CL185" s="31" t="str">
        <f aca="false">IFERROR(INDEX(設定!$G$61:$G$106,MATCH(B185,設定!$B$61:$B$106,0)),"外郭型")</f>
        <v>外郭型</v>
      </c>
      <c r="CM185" s="33" t="str">
        <f aca="false">A185&amp;"|"&amp;B185</f>
        <v>2026-06 賞与|広島駅南口開発（株）</v>
      </c>
      <c r="CN185" s="34" t="str">
        <f aca="false">IFERROR(INDEX(設定!$D$61:$D$106,MATCH(B185,設定!$B$61:$B$106,0)),"Y")</f>
        <v>Y</v>
      </c>
      <c r="CO185" s="34" t="str">
        <f aca="false">IFERROR(INDEX(設定!$D$20:$D$34,MATCH(A185,設定!$A$20:$A$34,0))&amp;"","")</f>
        <v/>
      </c>
    </row>
    <row r="186" customFormat="false" ht="15" hidden="true" customHeight="false" outlineLevel="0" collapsed="false">
      <c r="A186" s="22" t="s">
        <v>218</v>
      </c>
      <c r="B186" s="23" t="s">
        <v>210</v>
      </c>
      <c r="C186" s="10" t="str">
        <f aca="false">IF(G186="","未受領",IF(G186="なし","報告なし",IF(AL186="○","起票済",IF(OR(AK186="○",F186="一致",F186="入金不要"),"入金確認済","受領済"))))</f>
        <v>入金確認済</v>
      </c>
      <c r="D186" s="10" t="str">
        <f aca="false">IF(OR(G186="",G186="なし"),"―",IF(CN186="N","対象外",IF(AND(I186="",J186="",K186=""),"標報未入力",IF(CH186&gt;=設定!$B$4,"要確認","問題なし"))))</f>
        <v>標報未入力</v>
      </c>
      <c r="E186" s="24" t="str">
        <f aca="false">IF(OR(G186="",G186="なし",CI186="",CJ186=0),"―",IF(CJ186=CI186,"前月同額",IF(CI186=0,"―",IF(ABS(CJ186/CI186-1)&gt;=設定!$B$5,"変動大 "&amp;TEXT(CJ186/CI186-1,"+0%;-0%"),"〇"))))</f>
        <v>―</v>
      </c>
      <c r="F186" s="10" t="str">
        <f aca="false">IF(OR(G186="",G186="なし"),"―",IF(CJ186=0,"入金不要",IF(COUNT(AD186,AF186,AH186,AJ186)=0,IF(AK186="○","手動確認","未入金"),IF(AND(N(AD186)=AC186,IF(AE186="",TRUE(),N(AF186)=AE186),IF(AG186="",TRUE(),N(AH186)=AG186),IF(AI186="",TRUE(),N(AJ186)=AI186)),"一致","不一致"))))</f>
        <v>手動確認</v>
      </c>
      <c r="G186" s="25" t="s">
        <v>167</v>
      </c>
      <c r="H186" s="26"/>
      <c r="I186" s="27"/>
      <c r="J186" s="27"/>
      <c r="K186" s="27"/>
      <c r="L186" s="27"/>
      <c r="M186" s="27"/>
      <c r="N186" s="27"/>
      <c r="O186" s="27" t="n">
        <v>31384</v>
      </c>
      <c r="P186" s="27" t="n">
        <v>2572</v>
      </c>
      <c r="Q186" s="27" t="n">
        <v>17787</v>
      </c>
      <c r="R186" s="27" t="n">
        <v>2709</v>
      </c>
      <c r="S186" s="27" t="n">
        <v>394</v>
      </c>
      <c r="T186" s="27" t="n">
        <v>31385</v>
      </c>
      <c r="U186" s="27" t="n">
        <v>2572</v>
      </c>
      <c r="V186" s="27"/>
      <c r="W186" s="27" t="n">
        <v>17805</v>
      </c>
      <c r="X186" s="27" t="n">
        <v>2709</v>
      </c>
      <c r="Y186" s="27" t="n">
        <v>394</v>
      </c>
      <c r="Z186" s="27"/>
      <c r="AA186" s="10" t="str">
        <f aca="false">IFERROR(INDEX(設定!$E$61:$E$106,MATCH(B186,設定!$B$61:$B$106,0)),"合算")</f>
        <v>合算</v>
      </c>
      <c r="AB186" s="28"/>
      <c r="AC186" s="29" t="n">
        <f aca="false">IF(OR(G186="",G186="なし"),"",IF(AA186="合算",CJ186+N(Z186),IF(AA186="掛金・負担金別",(AY186+AZ186+BD186+BF186+BH186),SUM(AY186:BC186))))</f>
        <v>109711</v>
      </c>
      <c r="AD186" s="27"/>
      <c r="AE186" s="29" t="str">
        <f aca="false">IF(OR(G186="",G186="なし"),"",IF(AA186="掛金・負担金別",(BA186+BB186+BC186+BE186+BG186+BI186+N(Z186)),IF(AA186="経理区分別",BD186+BE186,"")))</f>
        <v/>
      </c>
      <c r="AF186" s="27"/>
      <c r="AG186" s="29" t="str">
        <f aca="false">IF(OR(G186="",G186="なし"),"",IF(AA186="経理区分別",BF186+BG186,""))</f>
        <v/>
      </c>
      <c r="AH186" s="27"/>
      <c r="AI186" s="29" t="str">
        <f aca="false">IF(OR(G186="",G186="なし"),"",IF(AA186="経理区分別",BH186+BI186+N(Z186),""))</f>
        <v/>
      </c>
      <c r="AJ186" s="27"/>
      <c r="AK186" s="26" t="s">
        <v>168</v>
      </c>
      <c r="AL186" s="26"/>
      <c r="AM186" s="30"/>
      <c r="AN186" s="31"/>
      <c r="AO186" s="31"/>
      <c r="AP186" s="31"/>
      <c r="AQ186" s="31"/>
      <c r="AR186" s="31"/>
      <c r="AS186" s="31"/>
      <c r="AT186" s="31"/>
      <c r="AU186" s="31"/>
      <c r="AV186" s="31"/>
      <c r="AW186" s="31"/>
      <c r="AX186" s="31"/>
      <c r="AY186" s="31" t="n">
        <f aca="false">IF($G186="",AN186,O186)</f>
        <v>31384</v>
      </c>
      <c r="AZ186" s="31" t="n">
        <f aca="false">IF($G186="",AO186,P186)</f>
        <v>2572</v>
      </c>
      <c r="BA186" s="31" t="n">
        <f aca="false">IF($G186="",AP186,T186)</f>
        <v>31385</v>
      </c>
      <c r="BB186" s="31" t="n">
        <f aca="false">IF($G186="",AQ186,U186)</f>
        <v>2572</v>
      </c>
      <c r="BC186" s="31" t="n">
        <f aca="false">IF($G186="",AR186,V186)</f>
        <v>0</v>
      </c>
      <c r="BD186" s="31" t="n">
        <f aca="false">IF($G186="",AS186,Q186)</f>
        <v>17787</v>
      </c>
      <c r="BE186" s="31" t="n">
        <f aca="false">IF($G186="",AT186,W186)</f>
        <v>17805</v>
      </c>
      <c r="BF186" s="31" t="n">
        <f aca="false">IF($G186="",AU186,R186)</f>
        <v>2709</v>
      </c>
      <c r="BG186" s="31" t="n">
        <f aca="false">IF($G186="",AV186,X186)</f>
        <v>2709</v>
      </c>
      <c r="BH186" s="31" t="n">
        <f aca="false">IF($G186="",AW186,S186)</f>
        <v>394</v>
      </c>
      <c r="BI186" s="31" t="n">
        <f aca="false">IF($G186="",AX186,Y186)</f>
        <v>394</v>
      </c>
      <c r="BJ186" s="31" t="n">
        <f aca="false">IF(CK186="N",BR186,ROUNDDOWN((I186-L186)*設定!$B$10/1000,0)+ROUNDDOWN((I186-L186)*設定!$B$11/1000,0))</f>
        <v>0</v>
      </c>
      <c r="BK186" s="31" t="n">
        <f aca="false">ROUNDDOWN((I186-L186)*設定!$C$10/1000,0)+ROUNDDOWN((I186-L186)*設定!$C$11/1000,0)+ROUNDDOWN(I186*設定!$C$12/1000,0)+IF(CL186="市局型",ROUNDDOWN(I186*設定!$C$16/1000,0),0)</f>
        <v>0</v>
      </c>
      <c r="BL186" s="31" t="n">
        <f aca="false">IF(CK186="N",BT186,ROUNDDOWN((J186-M186)*設定!$B$13/1000,0))</f>
        <v>0</v>
      </c>
      <c r="BM186" s="31" t="n">
        <f aca="false">ROUNDDOWN((J186-M186)*設定!$C$13/1000,0)+IF(CL186="市局型",ROUNDDOWN(J186*設定!$C$17/1000,0),0)</f>
        <v>0</v>
      </c>
      <c r="BN186" s="31" t="n">
        <f aca="false">IF(CK186="N",BV186,ROUNDDOWN((K186-N186)*設定!$B$14/1000,0))</f>
        <v>0</v>
      </c>
      <c r="BO186" s="31" t="n">
        <f aca="false">ROUNDDOWN((K186-N186)*設定!$C$14/1000,0)</f>
        <v>0</v>
      </c>
      <c r="BP186" s="31" t="n">
        <f aca="false">IF(CK186="N",BX186,ROUNDDOWN((J186-M186)*設定!$B$15/1000,0))</f>
        <v>0</v>
      </c>
      <c r="BQ186" s="31" t="n">
        <f aca="false">ROUNDDOWN((J186-M186)*設定!$C$15/1000,0)</f>
        <v>0</v>
      </c>
      <c r="BR186" s="31" t="n">
        <f aca="false">O186+P186</f>
        <v>33956</v>
      </c>
      <c r="BS186" s="31" t="n">
        <f aca="false">T186+U186+V186</f>
        <v>33957</v>
      </c>
      <c r="BT186" s="31" t="n">
        <f aca="false">Q186</f>
        <v>17787</v>
      </c>
      <c r="BU186" s="31" t="n">
        <f aca="false">W186</f>
        <v>17805</v>
      </c>
      <c r="BV186" s="31" t="n">
        <f aca="false">R186</f>
        <v>2709</v>
      </c>
      <c r="BW186" s="31" t="n">
        <f aca="false">X186</f>
        <v>2709</v>
      </c>
      <c r="BX186" s="31" t="n">
        <f aca="false">S186</f>
        <v>394</v>
      </c>
      <c r="BY186" s="31" t="n">
        <f aca="false">Y186</f>
        <v>394</v>
      </c>
      <c r="BZ186" s="32" t="n">
        <f aca="false">IF(BJ186=0,IF(BR186=0,0,1),(BR186-BJ186)/BJ186)</f>
        <v>1</v>
      </c>
      <c r="CA186" s="32" t="n">
        <f aca="false">IF(BK186=0,IF(BS186=0,0,1),(BS186-BK186)/BK186)</f>
        <v>1</v>
      </c>
      <c r="CB186" s="32" t="n">
        <f aca="false">IF(BL186=0,IF(BT186=0,0,1),(BT186-BL186)/BL186)</f>
        <v>1</v>
      </c>
      <c r="CC186" s="32" t="n">
        <f aca="false">IF(BM186=0,IF(BU186=0,0,1),(BU186-BM186)/BM186)</f>
        <v>1</v>
      </c>
      <c r="CD186" s="32" t="n">
        <f aca="false">IF(BN186=0,IF(BV186=0,0,1),(BV186-BN186)/BN186)</f>
        <v>1</v>
      </c>
      <c r="CE186" s="32" t="n">
        <f aca="false">IF(BO186=0,IF(BW186=0,0,1),(BW186-BO186)/BO186)</f>
        <v>1</v>
      </c>
      <c r="CF186" s="32" t="n">
        <f aca="false">IF(BP186=0,IF(BX186=0,0,1),(BX186-BP186)/BP186)</f>
        <v>1</v>
      </c>
      <c r="CG186" s="32" t="n">
        <f aca="false">IF(BQ186=0,IF(BY186=0,0,1),(BY186-BQ186)/BQ186)</f>
        <v>1</v>
      </c>
      <c r="CH186" s="32" t="n">
        <f aca="false">MAX(MAX(BZ186:CG186),-MIN(BZ186:CG186))</f>
        <v>1</v>
      </c>
      <c r="CI186" s="31" t="str">
        <f aca="false">IF(CO186="","",SUMIFS($CJ$7:$CJ$696,$A$7:$A$696,CO186,$B$7:$B$696,B186))</f>
        <v/>
      </c>
      <c r="CJ186" s="31" t="n">
        <f aca="false">SUM(AY186:BI186)</f>
        <v>109711</v>
      </c>
      <c r="CK186" s="31" t="str">
        <f aca="false">IFERROR(INDEX(設定!$F$61:$F$106,MATCH(B186,設定!$B$61:$B$106,0)),"Y")</f>
        <v>Y</v>
      </c>
      <c r="CL186" s="31" t="str">
        <f aca="false">IFERROR(INDEX(設定!$G$61:$G$106,MATCH(B186,設定!$B$61:$B$106,0)),"外郭型")</f>
        <v>外郭型</v>
      </c>
      <c r="CM186" s="33" t="str">
        <f aca="false">A186&amp;"|"&amp;B186</f>
        <v>2026-06 賞与|市職員労働組合</v>
      </c>
      <c r="CN186" s="34" t="str">
        <f aca="false">IFERROR(INDEX(設定!$D$61:$D$106,MATCH(B186,設定!$B$61:$B$106,0)),"Y")</f>
        <v>Y</v>
      </c>
      <c r="CO186" s="34" t="str">
        <f aca="false">IFERROR(INDEX(設定!$D$20:$D$34,MATCH(A186,設定!$A$20:$A$34,0))&amp;"","")</f>
        <v/>
      </c>
    </row>
    <row r="187" customFormat="false" ht="15" hidden="true" customHeight="false" outlineLevel="0" collapsed="false">
      <c r="A187" s="22" t="s">
        <v>218</v>
      </c>
      <c r="B187" s="23" t="s">
        <v>211</v>
      </c>
      <c r="C187" s="10" t="str">
        <f aca="false">IF(G187="","未受領",IF(G187="なし","報告なし",IF(AL187="○","起票済",IF(OR(AK187="○",F187="一致",F187="入金不要"),"入金確認済","受領済"))))</f>
        <v>未受領</v>
      </c>
      <c r="D187" s="10" t="str">
        <f aca="false">IF(OR(G187="",G187="なし"),"―",IF(CN187="N","対象外",IF(AND(I187="",J187="",K187=""),"標報未入力",IF(CH187&gt;=設定!$B$4,"要確認","問題なし"))))</f>
        <v>―</v>
      </c>
      <c r="E187" s="24" t="str">
        <f aca="false">IF(OR(G187="",G187="なし",CI187="",CJ187=0),"―",IF(CJ187=CI187,"前月同額",IF(CI187=0,"―",IF(ABS(CJ187/CI187-1)&gt;=設定!$B$5,"変動大 "&amp;TEXT(CJ187/CI187-1,"+0%;-0%"),"〇"))))</f>
        <v>―</v>
      </c>
      <c r="F187" s="10" t="str">
        <f aca="false">IF(OR(G187="",G187="なし"),"―",IF(CJ187=0,"入金不要",IF(COUNT(AD187,AF187,AH187,AJ187)=0,IF(AK187="○","手動確認","未入金"),IF(AND(N(AD187)=AC187,IF(AE187="",TRUE(),N(AF187)=AE187),IF(AG187="",TRUE(),N(AH187)=AG187),IF(AI187="",TRUE(),N(AJ187)=AI187)),"一致","不一致"))))</f>
        <v>―</v>
      </c>
      <c r="G187" s="25"/>
      <c r="H187" s="26"/>
      <c r="I187" s="27"/>
      <c r="J187" s="27"/>
      <c r="K187" s="27"/>
      <c r="L187" s="27"/>
      <c r="M187" s="27"/>
      <c r="N187" s="27"/>
      <c r="O187" s="27"/>
      <c r="P187" s="27"/>
      <c r="Q187" s="27"/>
      <c r="R187" s="27"/>
      <c r="S187" s="27"/>
      <c r="T187" s="27"/>
      <c r="U187" s="27"/>
      <c r="V187" s="27"/>
      <c r="W187" s="27"/>
      <c r="X187" s="27"/>
      <c r="Y187" s="27"/>
      <c r="Z187" s="27"/>
      <c r="AA187" s="10" t="str">
        <f aca="false">IFERROR(INDEX(設定!$E$61:$E$106,MATCH(B187,設定!$B$61:$B$106,0)),"合算")</f>
        <v>合算</v>
      </c>
      <c r="AB187" s="28"/>
      <c r="AC187" s="29" t="str">
        <f aca="false">IF(OR(G187="",G187="なし"),"",IF(AA187="合算",CJ187+N(Z187),IF(AA187="掛金・負担金別",(AY187+AZ187+BD187+BF187+BH187),SUM(AY187:BC187))))</f>
        <v/>
      </c>
      <c r="AD187" s="27"/>
      <c r="AE187" s="29" t="str">
        <f aca="false">IF(OR(G187="",G187="なし"),"",IF(AA187="掛金・負担金別",(BA187+BB187+BC187+BE187+BG187+BI187+N(Z187)),IF(AA187="経理区分別",BD187+BE187,"")))</f>
        <v/>
      </c>
      <c r="AF187" s="27"/>
      <c r="AG187" s="29" t="str">
        <f aca="false">IF(OR(G187="",G187="なし"),"",IF(AA187="経理区分別",BF187+BG187,""))</f>
        <v/>
      </c>
      <c r="AH187" s="27"/>
      <c r="AI187" s="29" t="str">
        <f aca="false">IF(OR(G187="",G187="なし"),"",IF(AA187="経理区分別",BH187+BI187+N(Z187),""))</f>
        <v/>
      </c>
      <c r="AJ187" s="27"/>
      <c r="AK187" s="26"/>
      <c r="AL187" s="26"/>
      <c r="AM187" s="30"/>
      <c r="AN187" s="31" t="n">
        <v>0</v>
      </c>
      <c r="AO187" s="31" t="n">
        <v>0</v>
      </c>
      <c r="AP187" s="31" t="n">
        <v>0</v>
      </c>
      <c r="AQ187" s="31" t="n">
        <v>0</v>
      </c>
      <c r="AR187" s="31"/>
      <c r="AS187" s="31" t="n">
        <v>0</v>
      </c>
      <c r="AT187" s="31" t="n">
        <v>0</v>
      </c>
      <c r="AU187" s="31" t="n">
        <v>0</v>
      </c>
      <c r="AV187" s="31" t="n">
        <v>0</v>
      </c>
      <c r="AW187" s="31" t="n">
        <v>0</v>
      </c>
      <c r="AX187" s="31" t="n">
        <v>0</v>
      </c>
      <c r="AY187" s="31" t="n">
        <f aca="false">IF($G187="",AN187,O187)</f>
        <v>0</v>
      </c>
      <c r="AZ187" s="31" t="n">
        <f aca="false">IF($G187="",AO187,P187)</f>
        <v>0</v>
      </c>
      <c r="BA187" s="31" t="n">
        <f aca="false">IF($G187="",AP187,T187)</f>
        <v>0</v>
      </c>
      <c r="BB187" s="31" t="n">
        <f aca="false">IF($G187="",AQ187,U187)</f>
        <v>0</v>
      </c>
      <c r="BC187" s="31" t="n">
        <f aca="false">IF($G187="",AR187,V187)</f>
        <v>0</v>
      </c>
      <c r="BD187" s="31" t="n">
        <f aca="false">IF($G187="",AS187,Q187)</f>
        <v>0</v>
      </c>
      <c r="BE187" s="31" t="n">
        <f aca="false">IF($G187="",AT187,W187)</f>
        <v>0</v>
      </c>
      <c r="BF187" s="31" t="n">
        <f aca="false">IF($G187="",AU187,R187)</f>
        <v>0</v>
      </c>
      <c r="BG187" s="31" t="n">
        <f aca="false">IF($G187="",AV187,X187)</f>
        <v>0</v>
      </c>
      <c r="BH187" s="31" t="n">
        <f aca="false">IF($G187="",AW187,S187)</f>
        <v>0</v>
      </c>
      <c r="BI187" s="31" t="n">
        <f aca="false">IF($G187="",AX187,Y187)</f>
        <v>0</v>
      </c>
      <c r="BJ187" s="31" t="n">
        <f aca="false">IF(CK187="N",BR187,ROUNDDOWN((I187-L187)*設定!$B$10/1000,0)+ROUNDDOWN((I187-L187)*設定!$B$11/1000,0))</f>
        <v>0</v>
      </c>
      <c r="BK187" s="31" t="n">
        <f aca="false">ROUNDDOWN((I187-L187)*設定!$C$10/1000,0)+ROUNDDOWN((I187-L187)*設定!$C$11/1000,0)+ROUNDDOWN(I187*設定!$C$12/1000,0)+IF(CL187="市局型",ROUNDDOWN(I187*設定!$C$16/1000,0),0)</f>
        <v>0</v>
      </c>
      <c r="BL187" s="31" t="n">
        <f aca="false">IF(CK187="N",BT187,ROUNDDOWN((J187-M187)*設定!$B$13/1000,0))</f>
        <v>0</v>
      </c>
      <c r="BM187" s="31" t="n">
        <f aca="false">ROUNDDOWN((J187-M187)*設定!$C$13/1000,0)+IF(CL187="市局型",ROUNDDOWN(J187*設定!$C$17/1000,0),0)</f>
        <v>0</v>
      </c>
      <c r="BN187" s="31" t="n">
        <f aca="false">IF(CK187="N",BV187,ROUNDDOWN((K187-N187)*設定!$B$14/1000,0))</f>
        <v>0</v>
      </c>
      <c r="BO187" s="31" t="n">
        <f aca="false">ROUNDDOWN((K187-N187)*設定!$C$14/1000,0)</f>
        <v>0</v>
      </c>
      <c r="BP187" s="31" t="n">
        <f aca="false">IF(CK187="N",BX187,ROUNDDOWN((J187-M187)*設定!$B$15/1000,0))</f>
        <v>0</v>
      </c>
      <c r="BQ187" s="31" t="n">
        <f aca="false">ROUNDDOWN((J187-M187)*設定!$C$15/1000,0)</f>
        <v>0</v>
      </c>
      <c r="BR187" s="31" t="n">
        <f aca="false">O187+P187</f>
        <v>0</v>
      </c>
      <c r="BS187" s="31" t="n">
        <f aca="false">T187+U187+V187</f>
        <v>0</v>
      </c>
      <c r="BT187" s="31" t="n">
        <f aca="false">Q187</f>
        <v>0</v>
      </c>
      <c r="BU187" s="31" t="n">
        <f aca="false">W187</f>
        <v>0</v>
      </c>
      <c r="BV187" s="31" t="n">
        <f aca="false">R187</f>
        <v>0</v>
      </c>
      <c r="BW187" s="31" t="n">
        <f aca="false">X187</f>
        <v>0</v>
      </c>
      <c r="BX187" s="31" t="n">
        <f aca="false">S187</f>
        <v>0</v>
      </c>
      <c r="BY187" s="31" t="n">
        <f aca="false">Y187</f>
        <v>0</v>
      </c>
      <c r="BZ187" s="32" t="n">
        <f aca="false">IF(BJ187=0,IF(BR187=0,0,1),(BR187-BJ187)/BJ187)</f>
        <v>0</v>
      </c>
      <c r="CA187" s="32" t="n">
        <f aca="false">IF(BK187=0,IF(BS187=0,0,1),(BS187-BK187)/BK187)</f>
        <v>0</v>
      </c>
      <c r="CB187" s="32" t="n">
        <f aca="false">IF(BL187=0,IF(BT187=0,0,1),(BT187-BL187)/BL187)</f>
        <v>0</v>
      </c>
      <c r="CC187" s="32" t="n">
        <f aca="false">IF(BM187=0,IF(BU187=0,0,1),(BU187-BM187)/BM187)</f>
        <v>0</v>
      </c>
      <c r="CD187" s="32" t="n">
        <f aca="false">IF(BN187=0,IF(BV187=0,0,1),(BV187-BN187)/BN187)</f>
        <v>0</v>
      </c>
      <c r="CE187" s="32" t="n">
        <f aca="false">IF(BO187=0,IF(BW187=0,0,1),(BW187-BO187)/BO187)</f>
        <v>0</v>
      </c>
      <c r="CF187" s="32" t="n">
        <f aca="false">IF(BP187=0,IF(BX187=0,0,1),(BX187-BP187)/BP187)</f>
        <v>0</v>
      </c>
      <c r="CG187" s="32" t="n">
        <f aca="false">IF(BQ187=0,IF(BY187=0,0,1),(BY187-BQ187)/BQ187)</f>
        <v>0</v>
      </c>
      <c r="CH187" s="32" t="n">
        <f aca="false">MAX(MAX(BZ187:CG187),-MIN(BZ187:CG187))</f>
        <v>-0</v>
      </c>
      <c r="CI187" s="31" t="str">
        <f aca="false">IF(CO187="","",SUMIFS($CJ$7:$CJ$696,$A$7:$A$696,CO187,$B$7:$B$696,B187))</f>
        <v/>
      </c>
      <c r="CJ187" s="31" t="n">
        <f aca="false">SUM(AY187:BI187)</f>
        <v>0</v>
      </c>
      <c r="CK187" s="31" t="str">
        <f aca="false">IFERROR(INDEX(設定!$F$61:$F$106,MATCH(B187,設定!$B$61:$B$106,0)),"Y")</f>
        <v>N</v>
      </c>
      <c r="CL187" s="31" t="str">
        <f aca="false">IFERROR(INDEX(設定!$G$61:$G$106,MATCH(B187,設定!$B$61:$B$106,0)),"外郭型")</f>
        <v>外郭型</v>
      </c>
      <c r="CM187" s="33" t="str">
        <f aca="false">A187&amp;"|"&amp;B187</f>
        <v>2026-06 賞与|自治労労働組合</v>
      </c>
      <c r="CN187" s="34" t="str">
        <f aca="false">IFERROR(INDEX(設定!$D$61:$D$106,MATCH(B187,設定!$B$61:$B$106,0)),"Y")</f>
        <v>Y</v>
      </c>
      <c r="CO187" s="34" t="str">
        <f aca="false">IFERROR(INDEX(設定!$D$20:$D$34,MATCH(A187,設定!$A$20:$A$34,0))&amp;"","")</f>
        <v/>
      </c>
    </row>
    <row r="188" customFormat="false" ht="15" hidden="true" customHeight="false" outlineLevel="0" collapsed="false">
      <c r="A188" s="22" t="s">
        <v>218</v>
      </c>
      <c r="B188" s="23" t="s">
        <v>212</v>
      </c>
      <c r="C188" s="10" t="str">
        <f aca="false">IF(G188="","未受領",IF(G188="なし","報告なし",IF(AL188="○","起票済",IF(OR(AK188="○",F188="一致",F188="入金不要"),"入金確認済","受領済"))))</f>
        <v>入金確認済</v>
      </c>
      <c r="D188" s="10" t="str">
        <f aca="false">IF(OR(G188="",G188="なし"),"―",IF(CN188="N","対象外",IF(AND(I188="",J188="",K188=""),"標報未入力",IF(CH188&gt;=設定!$B$4,"要確認","問題なし"))))</f>
        <v>標報未入力</v>
      </c>
      <c r="E188" s="24" t="str">
        <f aca="false">IF(OR(G188="",G188="なし",CI188="",CJ188=0),"―",IF(CJ188=CI188,"前月同額",IF(CI188=0,"―",IF(ABS(CJ188/CI188-1)&gt;=設定!$B$5,"変動大 "&amp;TEXT(CJ188/CI188-1,"+0%;-0%"),"〇"))))</f>
        <v>―</v>
      </c>
      <c r="F188" s="10" t="str">
        <f aca="false">IF(OR(G188="",G188="なし"),"―",IF(CJ188=0,"入金不要",IF(COUNT(AD188,AF188,AH188,AJ188)=0,IF(AK188="○","手動確認","未入金"),IF(AND(N(AD188)=AC188,IF(AE188="",TRUE(),N(AF188)=AE188),IF(AG188="",TRUE(),N(AH188)=AG188),IF(AI188="",TRUE(),N(AJ188)=AI188)),"一致","不一致"))))</f>
        <v>手動確認</v>
      </c>
      <c r="G188" s="25" t="s">
        <v>167</v>
      </c>
      <c r="H188" s="26"/>
      <c r="I188" s="27"/>
      <c r="J188" s="27"/>
      <c r="K188" s="27"/>
      <c r="L188" s="27"/>
      <c r="M188" s="27"/>
      <c r="N188" s="27"/>
      <c r="O188" s="27" t="n">
        <v>46024</v>
      </c>
      <c r="P188" s="27" t="n">
        <v>3772</v>
      </c>
      <c r="Q188" s="27" t="n">
        <v>39568</v>
      </c>
      <c r="R188" s="27" t="n">
        <v>2054</v>
      </c>
      <c r="S188" s="27" t="n">
        <v>877</v>
      </c>
      <c r="T188" s="27" t="n">
        <v>46025</v>
      </c>
      <c r="U188" s="27" t="n">
        <v>3772</v>
      </c>
      <c r="V188" s="27"/>
      <c r="W188" s="27" t="n">
        <v>39607</v>
      </c>
      <c r="X188" s="27" t="n">
        <v>2054</v>
      </c>
      <c r="Y188" s="27" t="n">
        <v>877</v>
      </c>
      <c r="Z188" s="27"/>
      <c r="AA188" s="10" t="str">
        <f aca="false">IFERROR(INDEX(設定!$E$61:$E$106,MATCH(B188,設定!$B$61:$B$106,0)),"合算")</f>
        <v>合算</v>
      </c>
      <c r="AB188" s="28"/>
      <c r="AC188" s="29" t="n">
        <f aca="false">IF(OR(G188="",G188="なし"),"",IF(AA188="合算",CJ188+N(Z188),IF(AA188="掛金・負担金別",(AY188+AZ188+BD188+BF188+BH188),SUM(AY188:BC188))))</f>
        <v>184630</v>
      </c>
      <c r="AD188" s="27"/>
      <c r="AE188" s="29" t="str">
        <f aca="false">IF(OR(G188="",G188="なし"),"",IF(AA188="掛金・負担金別",(BA188+BB188+BC188+BE188+BG188+BI188+N(Z188)),IF(AA188="経理区分別",BD188+BE188,"")))</f>
        <v/>
      </c>
      <c r="AF188" s="27"/>
      <c r="AG188" s="29" t="str">
        <f aca="false">IF(OR(G188="",G188="なし"),"",IF(AA188="経理区分別",BF188+BG188,""))</f>
        <v/>
      </c>
      <c r="AH188" s="27"/>
      <c r="AI188" s="29" t="str">
        <f aca="false">IF(OR(G188="",G188="なし"),"",IF(AA188="経理区分別",BH188+BI188+N(Z188),""))</f>
        <v/>
      </c>
      <c r="AJ188" s="27"/>
      <c r="AK188" s="26" t="s">
        <v>168</v>
      </c>
      <c r="AL188" s="26"/>
      <c r="AM188" s="30"/>
      <c r="AN188" s="31"/>
      <c r="AO188" s="31"/>
      <c r="AP188" s="31"/>
      <c r="AQ188" s="31"/>
      <c r="AR188" s="31"/>
      <c r="AS188" s="31"/>
      <c r="AT188" s="31"/>
      <c r="AU188" s="31"/>
      <c r="AV188" s="31"/>
      <c r="AW188" s="31"/>
      <c r="AX188" s="31"/>
      <c r="AY188" s="31" t="n">
        <f aca="false">IF($G188="",AN188,O188)</f>
        <v>46024</v>
      </c>
      <c r="AZ188" s="31" t="n">
        <f aca="false">IF($G188="",AO188,P188)</f>
        <v>3772</v>
      </c>
      <c r="BA188" s="31" t="n">
        <f aca="false">IF($G188="",AP188,T188)</f>
        <v>46025</v>
      </c>
      <c r="BB188" s="31" t="n">
        <f aca="false">IF($G188="",AQ188,U188)</f>
        <v>3772</v>
      </c>
      <c r="BC188" s="31" t="n">
        <f aca="false">IF($G188="",AR188,V188)</f>
        <v>0</v>
      </c>
      <c r="BD188" s="31" t="n">
        <f aca="false">IF($G188="",AS188,Q188)</f>
        <v>39568</v>
      </c>
      <c r="BE188" s="31" t="n">
        <f aca="false">IF($G188="",AT188,W188)</f>
        <v>39607</v>
      </c>
      <c r="BF188" s="31" t="n">
        <f aca="false">IF($G188="",AU188,R188)</f>
        <v>2054</v>
      </c>
      <c r="BG188" s="31" t="n">
        <f aca="false">IF($G188="",AV188,X188)</f>
        <v>2054</v>
      </c>
      <c r="BH188" s="31" t="n">
        <f aca="false">IF($G188="",AW188,S188)</f>
        <v>877</v>
      </c>
      <c r="BI188" s="31" t="n">
        <f aca="false">IF($G188="",AX188,Y188)</f>
        <v>877</v>
      </c>
      <c r="BJ188" s="31" t="n">
        <f aca="false">IF(CK188="N",BR188,ROUNDDOWN((I188-L188)*設定!$B$10/1000,0)+ROUNDDOWN((I188-L188)*設定!$B$11/1000,0))</f>
        <v>0</v>
      </c>
      <c r="BK188" s="31" t="n">
        <f aca="false">ROUNDDOWN((I188-L188)*設定!$C$10/1000,0)+ROUNDDOWN((I188-L188)*設定!$C$11/1000,0)+ROUNDDOWN(I188*設定!$C$12/1000,0)+IF(CL188="市局型",ROUNDDOWN(I188*設定!$C$16/1000,0),0)</f>
        <v>0</v>
      </c>
      <c r="BL188" s="31" t="n">
        <f aca="false">IF(CK188="N",BT188,ROUNDDOWN((J188-M188)*設定!$B$13/1000,0))</f>
        <v>0</v>
      </c>
      <c r="BM188" s="31" t="n">
        <f aca="false">ROUNDDOWN((J188-M188)*設定!$C$13/1000,0)+IF(CL188="市局型",ROUNDDOWN(J188*設定!$C$17/1000,0),0)</f>
        <v>0</v>
      </c>
      <c r="BN188" s="31" t="n">
        <f aca="false">IF(CK188="N",BV188,ROUNDDOWN((K188-N188)*設定!$B$14/1000,0))</f>
        <v>0</v>
      </c>
      <c r="BO188" s="31" t="n">
        <f aca="false">ROUNDDOWN((K188-N188)*設定!$C$14/1000,0)</f>
        <v>0</v>
      </c>
      <c r="BP188" s="31" t="n">
        <f aca="false">IF(CK188="N",BX188,ROUNDDOWN((J188-M188)*設定!$B$15/1000,0))</f>
        <v>0</v>
      </c>
      <c r="BQ188" s="31" t="n">
        <f aca="false">ROUNDDOWN((J188-M188)*設定!$C$15/1000,0)</f>
        <v>0</v>
      </c>
      <c r="BR188" s="31" t="n">
        <f aca="false">O188+P188</f>
        <v>49796</v>
      </c>
      <c r="BS188" s="31" t="n">
        <f aca="false">T188+U188+V188</f>
        <v>49797</v>
      </c>
      <c r="BT188" s="31" t="n">
        <f aca="false">Q188</f>
        <v>39568</v>
      </c>
      <c r="BU188" s="31" t="n">
        <f aca="false">W188</f>
        <v>39607</v>
      </c>
      <c r="BV188" s="31" t="n">
        <f aca="false">R188</f>
        <v>2054</v>
      </c>
      <c r="BW188" s="31" t="n">
        <f aca="false">X188</f>
        <v>2054</v>
      </c>
      <c r="BX188" s="31" t="n">
        <f aca="false">S188</f>
        <v>877</v>
      </c>
      <c r="BY188" s="31" t="n">
        <f aca="false">Y188</f>
        <v>877</v>
      </c>
      <c r="BZ188" s="32" t="n">
        <f aca="false">IF(BJ188=0,IF(BR188=0,0,1),(BR188-BJ188)/BJ188)</f>
        <v>1</v>
      </c>
      <c r="CA188" s="32" t="n">
        <f aca="false">IF(BK188=0,IF(BS188=0,0,1),(BS188-BK188)/BK188)</f>
        <v>1</v>
      </c>
      <c r="CB188" s="32" t="n">
        <f aca="false">IF(BL188=0,IF(BT188=0,0,1),(BT188-BL188)/BL188)</f>
        <v>1</v>
      </c>
      <c r="CC188" s="32" t="n">
        <f aca="false">IF(BM188=0,IF(BU188=0,0,1),(BU188-BM188)/BM188)</f>
        <v>1</v>
      </c>
      <c r="CD188" s="32" t="n">
        <f aca="false">IF(BN188=0,IF(BV188=0,0,1),(BV188-BN188)/BN188)</f>
        <v>1</v>
      </c>
      <c r="CE188" s="32" t="n">
        <f aca="false">IF(BO188=0,IF(BW188=0,0,1),(BW188-BO188)/BO188)</f>
        <v>1</v>
      </c>
      <c r="CF188" s="32" t="n">
        <f aca="false">IF(BP188=0,IF(BX188=0,0,1),(BX188-BP188)/BP188)</f>
        <v>1</v>
      </c>
      <c r="CG188" s="32" t="n">
        <f aca="false">IF(BQ188=0,IF(BY188=0,0,1),(BY188-BQ188)/BQ188)</f>
        <v>1</v>
      </c>
      <c r="CH188" s="32" t="n">
        <f aca="false">MAX(MAX(BZ188:CG188),-MIN(BZ188:CG188))</f>
        <v>1</v>
      </c>
      <c r="CI188" s="31" t="str">
        <f aca="false">IF(CO188="","",SUMIFS($CJ$7:$CJ$696,$A$7:$A$696,CO188,$B$7:$B$696,B188))</f>
        <v/>
      </c>
      <c r="CJ188" s="31" t="n">
        <f aca="false">SUM(AY188:BI188)</f>
        <v>184630</v>
      </c>
      <c r="CK188" s="31" t="str">
        <f aca="false">IFERROR(INDEX(設定!$F$61:$F$106,MATCH(B188,設定!$B$61:$B$106,0)),"Y")</f>
        <v>Y</v>
      </c>
      <c r="CL188" s="31" t="str">
        <f aca="false">IFERROR(INDEX(設定!$G$61:$G$106,MATCH(B188,設定!$B$61:$B$106,0)),"外郭型")</f>
        <v>外郭型</v>
      </c>
      <c r="CM188" s="33" t="str">
        <f aca="false">A188&amp;"|"&amp;B188</f>
        <v>2026-06 賞与|病院労働組合</v>
      </c>
      <c r="CN188" s="34" t="str">
        <f aca="false">IFERROR(INDEX(設定!$D$61:$D$106,MATCH(B188,設定!$B$61:$B$106,0)),"Y")</f>
        <v>Y</v>
      </c>
      <c r="CO188" s="34" t="str">
        <f aca="false">IFERROR(INDEX(設定!$D$20:$D$34,MATCH(A188,設定!$A$20:$A$34,0))&amp;"","")</f>
        <v/>
      </c>
    </row>
    <row r="189" customFormat="false" ht="15" hidden="true" customHeight="false" outlineLevel="0" collapsed="false">
      <c r="A189" s="22" t="s">
        <v>218</v>
      </c>
      <c r="B189" s="23" t="s">
        <v>213</v>
      </c>
      <c r="C189" s="10" t="str">
        <f aca="false">IF(G189="","未受領",IF(G189="なし","報告なし",IF(AL189="○","起票済",IF(OR(AK189="○",F189="一致",F189="入金不要"),"入金確認済","受領済"))))</f>
        <v>報告なし</v>
      </c>
      <c r="D189" s="10" t="str">
        <f aca="false">IF(OR(G189="",G189="なし"),"―",IF(CN189="N","対象外",IF(AND(I189="",J189="",K189=""),"標報未入力",IF(CH189&gt;=設定!$B$4,"要確認","問題なし"))))</f>
        <v>―</v>
      </c>
      <c r="E189" s="24" t="str">
        <f aca="false">IF(OR(G189="",G189="なし",CI189="",CJ189=0),"―",IF(CJ189=CI189,"前月同額",IF(CI189=0,"―",IF(ABS(CJ189/CI189-1)&gt;=設定!$B$5,"変動大 "&amp;TEXT(CJ189/CI189-1,"+0%;-0%"),"〇"))))</f>
        <v>―</v>
      </c>
      <c r="F189" s="10" t="str">
        <f aca="false">IF(OR(G189="",G189="なし"),"―",IF(CJ189=0,"入金不要",IF(COUNT(AD189,AF189,AH189,AJ189)=0,IF(AK189="○","手動確認","未入金"),IF(AND(N(AD189)=AC189,IF(AE189="",TRUE(),N(AF189)=AE189),IF(AG189="",TRUE(),N(AH189)=AG189),IF(AI189="",TRUE(),N(AJ189)=AI189)),"一致","不一致"))))</f>
        <v>―</v>
      </c>
      <c r="G189" s="25" t="s">
        <v>181</v>
      </c>
      <c r="H189" s="26"/>
      <c r="I189" s="27"/>
      <c r="J189" s="27"/>
      <c r="K189" s="27"/>
      <c r="L189" s="27"/>
      <c r="M189" s="27"/>
      <c r="N189" s="27"/>
      <c r="O189" s="27"/>
      <c r="P189" s="27"/>
      <c r="Q189" s="27"/>
      <c r="R189" s="27"/>
      <c r="S189" s="27"/>
      <c r="T189" s="27"/>
      <c r="U189" s="27"/>
      <c r="V189" s="27"/>
      <c r="W189" s="27"/>
      <c r="X189" s="27"/>
      <c r="Y189" s="27"/>
      <c r="Z189" s="27"/>
      <c r="AA189" s="10" t="str">
        <f aca="false">IFERROR(INDEX(設定!$E$61:$E$106,MATCH(B189,設定!$B$61:$B$106,0)),"合算")</f>
        <v>合算</v>
      </c>
      <c r="AB189" s="28"/>
      <c r="AC189" s="29" t="str">
        <f aca="false">IF(OR(G189="",G189="なし"),"",IF(AA189="合算",CJ189+N(Z189),IF(AA189="掛金・負担金別",(AY189+AZ189+BD189+BF189+BH189),SUM(AY189:BC189))))</f>
        <v/>
      </c>
      <c r="AD189" s="27"/>
      <c r="AE189" s="29" t="str">
        <f aca="false">IF(OR(G189="",G189="なし"),"",IF(AA189="掛金・負担金別",(BA189+BB189+BC189+BE189+BG189+BI189+N(Z189)),IF(AA189="経理区分別",BD189+BE189,"")))</f>
        <v/>
      </c>
      <c r="AF189" s="27"/>
      <c r="AG189" s="29" t="str">
        <f aca="false">IF(OR(G189="",G189="なし"),"",IF(AA189="経理区分別",BF189+BG189,""))</f>
        <v/>
      </c>
      <c r="AH189" s="27"/>
      <c r="AI189" s="29" t="str">
        <f aca="false">IF(OR(G189="",G189="なし"),"",IF(AA189="経理区分別",BH189+BI189+N(Z189),""))</f>
        <v/>
      </c>
      <c r="AJ189" s="27"/>
      <c r="AK189" s="26"/>
      <c r="AL189" s="26"/>
      <c r="AM189" s="30"/>
      <c r="AN189" s="31"/>
      <c r="AO189" s="31"/>
      <c r="AP189" s="31"/>
      <c r="AQ189" s="31"/>
      <c r="AR189" s="31"/>
      <c r="AS189" s="31"/>
      <c r="AT189" s="31"/>
      <c r="AU189" s="31"/>
      <c r="AV189" s="31"/>
      <c r="AW189" s="31"/>
      <c r="AX189" s="31"/>
      <c r="AY189" s="31" t="n">
        <f aca="false">IF($G189="",AN189,O189)</f>
        <v>0</v>
      </c>
      <c r="AZ189" s="31" t="n">
        <f aca="false">IF($G189="",AO189,P189)</f>
        <v>0</v>
      </c>
      <c r="BA189" s="31" t="n">
        <f aca="false">IF($G189="",AP189,T189)</f>
        <v>0</v>
      </c>
      <c r="BB189" s="31" t="n">
        <f aca="false">IF($G189="",AQ189,U189)</f>
        <v>0</v>
      </c>
      <c r="BC189" s="31" t="n">
        <f aca="false">IF($G189="",AR189,V189)</f>
        <v>0</v>
      </c>
      <c r="BD189" s="31" t="n">
        <f aca="false">IF($G189="",AS189,Q189)</f>
        <v>0</v>
      </c>
      <c r="BE189" s="31" t="n">
        <f aca="false">IF($G189="",AT189,W189)</f>
        <v>0</v>
      </c>
      <c r="BF189" s="31" t="n">
        <f aca="false">IF($G189="",AU189,R189)</f>
        <v>0</v>
      </c>
      <c r="BG189" s="31" t="n">
        <f aca="false">IF($G189="",AV189,X189)</f>
        <v>0</v>
      </c>
      <c r="BH189" s="31" t="n">
        <f aca="false">IF($G189="",AW189,S189)</f>
        <v>0</v>
      </c>
      <c r="BI189" s="31" t="n">
        <f aca="false">IF($G189="",AX189,Y189)</f>
        <v>0</v>
      </c>
      <c r="BJ189" s="31" t="n">
        <f aca="false">IF(CK189="N",BR189,ROUNDDOWN((I189-L189)*設定!$B$10/1000,0)+ROUNDDOWN((I189-L189)*設定!$B$11/1000,0))</f>
        <v>0</v>
      </c>
      <c r="BK189" s="31" t="n">
        <f aca="false">ROUNDDOWN((I189-L189)*設定!$C$10/1000,0)+ROUNDDOWN((I189-L189)*設定!$C$11/1000,0)+ROUNDDOWN(I189*設定!$C$12/1000,0)+IF(CL189="市局型",ROUNDDOWN(I189*設定!$C$16/1000,0),0)</f>
        <v>0</v>
      </c>
      <c r="BL189" s="31" t="n">
        <f aca="false">IF(CK189="N",BT189,ROUNDDOWN((J189-M189)*設定!$B$13/1000,0))</f>
        <v>0</v>
      </c>
      <c r="BM189" s="31" t="n">
        <f aca="false">ROUNDDOWN((J189-M189)*設定!$C$13/1000,0)+IF(CL189="市局型",ROUNDDOWN(J189*設定!$C$17/1000,0),0)</f>
        <v>0</v>
      </c>
      <c r="BN189" s="31" t="n">
        <f aca="false">IF(CK189="N",BV189,ROUNDDOWN((K189-N189)*設定!$B$14/1000,0))</f>
        <v>0</v>
      </c>
      <c r="BO189" s="31" t="n">
        <f aca="false">ROUNDDOWN((K189-N189)*設定!$C$14/1000,0)</f>
        <v>0</v>
      </c>
      <c r="BP189" s="31" t="n">
        <f aca="false">IF(CK189="N",BX189,ROUNDDOWN((J189-M189)*設定!$B$15/1000,0))</f>
        <v>0</v>
      </c>
      <c r="BQ189" s="31" t="n">
        <f aca="false">ROUNDDOWN((J189-M189)*設定!$C$15/1000,0)</f>
        <v>0</v>
      </c>
      <c r="BR189" s="31" t="n">
        <f aca="false">O189+P189</f>
        <v>0</v>
      </c>
      <c r="BS189" s="31" t="n">
        <f aca="false">T189+U189+V189</f>
        <v>0</v>
      </c>
      <c r="BT189" s="31" t="n">
        <f aca="false">Q189</f>
        <v>0</v>
      </c>
      <c r="BU189" s="31" t="n">
        <f aca="false">W189</f>
        <v>0</v>
      </c>
      <c r="BV189" s="31" t="n">
        <f aca="false">R189</f>
        <v>0</v>
      </c>
      <c r="BW189" s="31" t="n">
        <f aca="false">X189</f>
        <v>0</v>
      </c>
      <c r="BX189" s="31" t="n">
        <f aca="false">S189</f>
        <v>0</v>
      </c>
      <c r="BY189" s="31" t="n">
        <f aca="false">Y189</f>
        <v>0</v>
      </c>
      <c r="BZ189" s="32" t="n">
        <f aca="false">IF(BJ189=0,IF(BR189=0,0,1),(BR189-BJ189)/BJ189)</f>
        <v>0</v>
      </c>
      <c r="CA189" s="32" t="n">
        <f aca="false">IF(BK189=0,IF(BS189=0,0,1),(BS189-BK189)/BK189)</f>
        <v>0</v>
      </c>
      <c r="CB189" s="32" t="n">
        <f aca="false">IF(BL189=0,IF(BT189=0,0,1),(BT189-BL189)/BL189)</f>
        <v>0</v>
      </c>
      <c r="CC189" s="32" t="n">
        <f aca="false">IF(BM189=0,IF(BU189=0,0,1),(BU189-BM189)/BM189)</f>
        <v>0</v>
      </c>
      <c r="CD189" s="32" t="n">
        <f aca="false">IF(BN189=0,IF(BV189=0,0,1),(BV189-BN189)/BN189)</f>
        <v>0</v>
      </c>
      <c r="CE189" s="32" t="n">
        <f aca="false">IF(BO189=0,IF(BW189=0,0,1),(BW189-BO189)/BO189)</f>
        <v>0</v>
      </c>
      <c r="CF189" s="32" t="n">
        <f aca="false">IF(BP189=0,IF(BX189=0,0,1),(BX189-BP189)/BP189)</f>
        <v>0</v>
      </c>
      <c r="CG189" s="32" t="n">
        <f aca="false">IF(BQ189=0,IF(BY189=0,0,1),(BY189-BQ189)/BQ189)</f>
        <v>0</v>
      </c>
      <c r="CH189" s="32" t="n">
        <f aca="false">MAX(MAX(BZ189:CG189),-MIN(BZ189:CG189))</f>
        <v>-0</v>
      </c>
      <c r="CI189" s="31" t="str">
        <f aca="false">IF(CO189="","",SUMIFS($CJ$7:$CJ$696,$A$7:$A$696,CO189,$B$7:$B$696,B189))</f>
        <v/>
      </c>
      <c r="CJ189" s="31" t="n">
        <f aca="false">SUM(AY189:BI189)</f>
        <v>0</v>
      </c>
      <c r="CK189" s="31" t="str">
        <f aca="false">IFERROR(INDEX(設定!$F$61:$F$106,MATCH(B189,設定!$B$61:$B$106,0)),"Y")</f>
        <v>N</v>
      </c>
      <c r="CL189" s="31" t="str">
        <f aca="false">IFERROR(INDEX(設定!$G$61:$G$106,MATCH(B189,設定!$B$61:$B$106,0)),"外郭型")</f>
        <v>外郭型</v>
      </c>
      <c r="CM189" s="33" t="str">
        <f aca="false">A189&amp;"|"&amp;B189</f>
        <v>2026-06 賞与|水道労働組合</v>
      </c>
      <c r="CN189" s="34" t="str">
        <f aca="false">IFERROR(INDEX(設定!$D$61:$D$106,MATCH(B189,設定!$B$61:$B$106,0)),"Y")</f>
        <v>Y</v>
      </c>
      <c r="CO189" s="34" t="str">
        <f aca="false">IFERROR(INDEX(設定!$D$20:$D$34,MATCH(A189,設定!$A$20:$A$34,0))&amp;"","")</f>
        <v/>
      </c>
    </row>
    <row r="190" customFormat="false" ht="15" hidden="true" customHeight="false" outlineLevel="0" collapsed="false">
      <c r="A190" s="22" t="s">
        <v>218</v>
      </c>
      <c r="B190" s="23" t="s">
        <v>214</v>
      </c>
      <c r="C190" s="10" t="str">
        <f aca="false">IF(G190="","未受領",IF(G190="なし","報告なし",IF(AL190="○","起票済",IF(OR(AK190="○",F190="一致",F190="入金不要"),"入金確認済","受領済"))))</f>
        <v>報告なし</v>
      </c>
      <c r="D190" s="10" t="str">
        <f aca="false">IF(OR(G190="",G190="なし"),"―",IF(CN190="N","対象外",IF(AND(I190="",J190="",K190=""),"標報未入力",IF(CH190&gt;=設定!$B$4,"要確認","問題なし"))))</f>
        <v>―</v>
      </c>
      <c r="E190" s="24" t="str">
        <f aca="false">IF(OR(G190="",G190="なし",CI190="",CJ190=0),"―",IF(CJ190=CI190,"前月同額",IF(CI190=0,"―",IF(ABS(CJ190/CI190-1)&gt;=設定!$B$5,"変動大 "&amp;TEXT(CJ190/CI190-1,"+0%;-0%"),"〇"))))</f>
        <v>―</v>
      </c>
      <c r="F190" s="10" t="str">
        <f aca="false">IF(OR(G190="",G190="なし"),"―",IF(CJ190=0,"入金不要",IF(COUNT(AD190,AF190,AH190,AJ190)=0,IF(AK190="○","手動確認","未入金"),IF(AND(N(AD190)=AC190,IF(AE190="",TRUE(),N(AF190)=AE190),IF(AG190="",TRUE(),N(AH190)=AG190),IF(AI190="",TRUE(),N(AJ190)=AI190)),"一致","不一致"))))</f>
        <v>―</v>
      </c>
      <c r="G190" s="25" t="s">
        <v>181</v>
      </c>
      <c r="H190" s="26"/>
      <c r="I190" s="27"/>
      <c r="J190" s="27"/>
      <c r="K190" s="27"/>
      <c r="L190" s="27"/>
      <c r="M190" s="27"/>
      <c r="N190" s="27"/>
      <c r="O190" s="27"/>
      <c r="P190" s="27"/>
      <c r="Q190" s="27"/>
      <c r="R190" s="27"/>
      <c r="S190" s="27"/>
      <c r="T190" s="27"/>
      <c r="U190" s="27"/>
      <c r="V190" s="27"/>
      <c r="W190" s="27"/>
      <c r="X190" s="27"/>
      <c r="Y190" s="27"/>
      <c r="Z190" s="27"/>
      <c r="AA190" s="10" t="str">
        <f aca="false">IFERROR(INDEX(設定!$E$61:$E$106,MATCH(B190,設定!$B$61:$B$106,0)),"合算")</f>
        <v>合算</v>
      </c>
      <c r="AB190" s="28"/>
      <c r="AC190" s="29" t="str">
        <f aca="false">IF(OR(G190="",G190="なし"),"",IF(AA190="合算",CJ190+N(Z190),IF(AA190="掛金・負担金別",(AY190+AZ190+BD190+BF190+BH190),SUM(AY190:BC190))))</f>
        <v/>
      </c>
      <c r="AD190" s="27"/>
      <c r="AE190" s="29" t="str">
        <f aca="false">IF(OR(G190="",G190="なし"),"",IF(AA190="掛金・負担金別",(BA190+BB190+BC190+BE190+BG190+BI190+N(Z190)),IF(AA190="経理区分別",BD190+BE190,"")))</f>
        <v/>
      </c>
      <c r="AF190" s="27"/>
      <c r="AG190" s="29" t="str">
        <f aca="false">IF(OR(G190="",G190="なし"),"",IF(AA190="経理区分別",BF190+BG190,""))</f>
        <v/>
      </c>
      <c r="AH190" s="27"/>
      <c r="AI190" s="29" t="str">
        <f aca="false">IF(OR(G190="",G190="なし"),"",IF(AA190="経理区分別",BH190+BI190+N(Z190),""))</f>
        <v/>
      </c>
      <c r="AJ190" s="27"/>
      <c r="AK190" s="26"/>
      <c r="AL190" s="26"/>
      <c r="AM190" s="30"/>
      <c r="AN190" s="31"/>
      <c r="AO190" s="31"/>
      <c r="AP190" s="31"/>
      <c r="AQ190" s="31"/>
      <c r="AR190" s="31"/>
      <c r="AS190" s="31"/>
      <c r="AT190" s="31"/>
      <c r="AU190" s="31"/>
      <c r="AV190" s="31"/>
      <c r="AW190" s="31"/>
      <c r="AX190" s="31"/>
      <c r="AY190" s="31" t="n">
        <f aca="false">IF($G190="",AN190,O190)</f>
        <v>0</v>
      </c>
      <c r="AZ190" s="31" t="n">
        <f aca="false">IF($G190="",AO190,P190)</f>
        <v>0</v>
      </c>
      <c r="BA190" s="31" t="n">
        <f aca="false">IF($G190="",AP190,T190)</f>
        <v>0</v>
      </c>
      <c r="BB190" s="31" t="n">
        <f aca="false">IF($G190="",AQ190,U190)</f>
        <v>0</v>
      </c>
      <c r="BC190" s="31" t="n">
        <f aca="false">IF($G190="",AR190,V190)</f>
        <v>0</v>
      </c>
      <c r="BD190" s="31" t="n">
        <f aca="false">IF($G190="",AS190,Q190)</f>
        <v>0</v>
      </c>
      <c r="BE190" s="31" t="n">
        <f aca="false">IF($G190="",AT190,W190)</f>
        <v>0</v>
      </c>
      <c r="BF190" s="31" t="n">
        <f aca="false">IF($G190="",AU190,R190)</f>
        <v>0</v>
      </c>
      <c r="BG190" s="31" t="n">
        <f aca="false">IF($G190="",AV190,X190)</f>
        <v>0</v>
      </c>
      <c r="BH190" s="31" t="n">
        <f aca="false">IF($G190="",AW190,S190)</f>
        <v>0</v>
      </c>
      <c r="BI190" s="31" t="n">
        <f aca="false">IF($G190="",AX190,Y190)</f>
        <v>0</v>
      </c>
      <c r="BJ190" s="31" t="n">
        <f aca="false">IF(CK190="N",BR190,ROUNDDOWN((I190-L190)*設定!$B$10/1000,0)+ROUNDDOWN((I190-L190)*設定!$B$11/1000,0))</f>
        <v>0</v>
      </c>
      <c r="BK190" s="31" t="n">
        <f aca="false">ROUNDDOWN((I190-L190)*設定!$C$10/1000,0)+ROUNDDOWN((I190-L190)*設定!$C$11/1000,0)+ROUNDDOWN(I190*設定!$C$12/1000,0)+IF(CL190="市局型",ROUNDDOWN(I190*設定!$C$16/1000,0),0)</f>
        <v>0</v>
      </c>
      <c r="BL190" s="31" t="n">
        <f aca="false">IF(CK190="N",BT190,ROUNDDOWN((J190-M190)*設定!$B$13/1000,0))</f>
        <v>0</v>
      </c>
      <c r="BM190" s="31" t="n">
        <f aca="false">ROUNDDOWN((J190-M190)*設定!$C$13/1000,0)+IF(CL190="市局型",ROUNDDOWN(J190*設定!$C$17/1000,0),0)</f>
        <v>0</v>
      </c>
      <c r="BN190" s="31" t="n">
        <f aca="false">IF(CK190="N",BV190,ROUNDDOWN((K190-N190)*設定!$B$14/1000,0))</f>
        <v>0</v>
      </c>
      <c r="BO190" s="31" t="n">
        <f aca="false">ROUNDDOWN((K190-N190)*設定!$C$14/1000,0)</f>
        <v>0</v>
      </c>
      <c r="BP190" s="31" t="n">
        <f aca="false">IF(CK190="N",BX190,ROUNDDOWN((J190-M190)*設定!$B$15/1000,0))</f>
        <v>0</v>
      </c>
      <c r="BQ190" s="31" t="n">
        <f aca="false">ROUNDDOWN((J190-M190)*設定!$C$15/1000,0)</f>
        <v>0</v>
      </c>
      <c r="BR190" s="31" t="n">
        <f aca="false">O190+P190</f>
        <v>0</v>
      </c>
      <c r="BS190" s="31" t="n">
        <f aca="false">T190+U190+V190</f>
        <v>0</v>
      </c>
      <c r="BT190" s="31" t="n">
        <f aca="false">Q190</f>
        <v>0</v>
      </c>
      <c r="BU190" s="31" t="n">
        <f aca="false">W190</f>
        <v>0</v>
      </c>
      <c r="BV190" s="31" t="n">
        <f aca="false">R190</f>
        <v>0</v>
      </c>
      <c r="BW190" s="31" t="n">
        <f aca="false">X190</f>
        <v>0</v>
      </c>
      <c r="BX190" s="31" t="n">
        <f aca="false">S190</f>
        <v>0</v>
      </c>
      <c r="BY190" s="31" t="n">
        <f aca="false">Y190</f>
        <v>0</v>
      </c>
      <c r="BZ190" s="32" t="n">
        <f aca="false">IF(BJ190=0,IF(BR190=0,0,1),(BR190-BJ190)/BJ190)</f>
        <v>0</v>
      </c>
      <c r="CA190" s="32" t="n">
        <f aca="false">IF(BK190=0,IF(BS190=0,0,1),(BS190-BK190)/BK190)</f>
        <v>0</v>
      </c>
      <c r="CB190" s="32" t="n">
        <f aca="false">IF(BL190=0,IF(BT190=0,0,1),(BT190-BL190)/BL190)</f>
        <v>0</v>
      </c>
      <c r="CC190" s="32" t="n">
        <f aca="false">IF(BM190=0,IF(BU190=0,0,1),(BU190-BM190)/BM190)</f>
        <v>0</v>
      </c>
      <c r="CD190" s="32" t="n">
        <f aca="false">IF(BN190=0,IF(BV190=0,0,1),(BV190-BN190)/BN190)</f>
        <v>0</v>
      </c>
      <c r="CE190" s="32" t="n">
        <f aca="false">IF(BO190=0,IF(BW190=0,0,1),(BW190-BO190)/BO190)</f>
        <v>0</v>
      </c>
      <c r="CF190" s="32" t="n">
        <f aca="false">IF(BP190=0,IF(BX190=0,0,1),(BX190-BP190)/BP190)</f>
        <v>0</v>
      </c>
      <c r="CG190" s="32" t="n">
        <f aca="false">IF(BQ190=0,IF(BY190=0,0,1),(BY190-BQ190)/BQ190)</f>
        <v>0</v>
      </c>
      <c r="CH190" s="32" t="n">
        <f aca="false">MAX(MAX(BZ190:CG190),-MIN(BZ190:CG190))</f>
        <v>-0</v>
      </c>
      <c r="CI190" s="31" t="str">
        <f aca="false">IF(CO190="","",SUMIFS($CJ$7:$CJ$696,$A$7:$A$696,CO190,$B$7:$B$696,B190))</f>
        <v/>
      </c>
      <c r="CJ190" s="31" t="n">
        <f aca="false">SUM(AY190:BI190)</f>
        <v>0</v>
      </c>
      <c r="CK190" s="31" t="str">
        <f aca="false">IFERROR(INDEX(設定!$F$61:$F$106,MATCH(B190,設定!$B$61:$B$106,0)),"Y")</f>
        <v>Y</v>
      </c>
      <c r="CL190" s="31" t="str">
        <f aca="false">IFERROR(INDEX(設定!$G$61:$G$106,MATCH(B190,設定!$B$61:$B$106,0)),"外郭型")</f>
        <v>外郭型</v>
      </c>
      <c r="CM190" s="33" t="str">
        <f aca="false">A190&amp;"|"&amp;B190</f>
        <v>2026-06 賞与|任意継続組合員</v>
      </c>
      <c r="CN190" s="34" t="str">
        <f aca="false">IFERROR(INDEX(設定!$D$61:$D$106,MATCH(B190,設定!$B$61:$B$106,0)),"Y")</f>
        <v>N</v>
      </c>
      <c r="CO190" s="34" t="str">
        <f aca="false">IFERROR(INDEX(設定!$D$20:$D$34,MATCH(A190,設定!$A$20:$A$34,0))&amp;"","")</f>
        <v/>
      </c>
    </row>
    <row r="191" customFormat="false" ht="15" hidden="true" customHeight="false" outlineLevel="0" collapsed="false">
      <c r="A191" s="22" t="s">
        <v>220</v>
      </c>
      <c r="B191" s="23" t="s">
        <v>166</v>
      </c>
      <c r="C191" s="10" t="str">
        <f aca="false">IF(G191="","未受領",IF(G191="なし","報告なし",IF(AL191="○","起票済",IF(OR(AK191="○",F191="一致",F191="入金不要"),"入金確認済","受領済"))))</f>
        <v>入金確認済</v>
      </c>
      <c r="D191" s="10" t="str">
        <f aca="false">IF(OR(G191="",G191="なし"),"―",IF(CN191="N","対象外",IF(AND(I191="",J191="",K191=""),"標報未入力",IF(CH191&gt;=設定!$B$4,"要確認","問題なし"))))</f>
        <v>対象外</v>
      </c>
      <c r="E191" s="24" t="str">
        <f aca="false">IF(OR(G191="",G191="なし",CI191="",CJ191=0),"―",IF(CJ191=CI191,"前月同額",IF(CI191=0,"―",IF(ABS(CJ191/CI191-1)&gt;=設定!$B$5,"変動大 "&amp;TEXT(CJ191/CI191-1,"+0%;-0%"),"〇"))))</f>
        <v>〇</v>
      </c>
      <c r="F191" s="10" t="str">
        <f aca="false">IF(OR(G191="",G191="なし"),"―",IF(CJ191=0,"入金不要",IF(COUNT(AD191,AF191,AH191,AJ191)=0,IF(AK191="○","手動確認","未入金"),IF(AND(N(AD191)=AC191,IF(AE191="",TRUE(),N(AF191)=AE191),IF(AG191="",TRUE(),N(AH191)=AG191),IF(AI191="",TRUE(),N(AJ191)=AI191)),"一致","不一致"))))</f>
        <v>手動確認</v>
      </c>
      <c r="G191" s="25" t="s">
        <v>167</v>
      </c>
      <c r="H191" s="26"/>
      <c r="I191" s="27"/>
      <c r="J191" s="27"/>
      <c r="K191" s="27"/>
      <c r="L191" s="27"/>
      <c r="M191" s="27"/>
      <c r="N191" s="27"/>
      <c r="O191" s="27" t="n">
        <v>244123006</v>
      </c>
      <c r="P191" s="27" t="n">
        <v>20014957</v>
      </c>
      <c r="Q191" s="27" t="n">
        <v>176768259</v>
      </c>
      <c r="R191" s="27" t="n">
        <v>16103399</v>
      </c>
      <c r="S191" s="27" t="n">
        <v>3918168</v>
      </c>
      <c r="T191" s="27" t="n">
        <v>350370377</v>
      </c>
      <c r="U191" s="27" t="n">
        <v>19497061</v>
      </c>
      <c r="V191" s="27" t="n">
        <v>236288</v>
      </c>
      <c r="W191" s="27" t="n">
        <v>176034034</v>
      </c>
      <c r="X191" s="27" t="n">
        <v>15690256</v>
      </c>
      <c r="Y191" s="27" t="n">
        <v>3834790</v>
      </c>
      <c r="Z191" s="27"/>
      <c r="AA191" s="10" t="str">
        <f aca="false">IFERROR(INDEX(設定!$E$61:$E$106,MATCH(B191,設定!$B$61:$B$106,0)),"合算")</f>
        <v>合算</v>
      </c>
      <c r="AB191" s="28"/>
      <c r="AC191" s="29" t="n">
        <f aca="false">IF(OR(G191="",G191="なし"),"",IF(AA191="合算",CJ191+N(Z191),IF(AA191="掛金・負担金別",(AY191+AZ191+BD191+BF191+BH191),SUM(AY191:BC191))))</f>
        <v>1026590595</v>
      </c>
      <c r="AD191" s="27"/>
      <c r="AE191" s="29" t="str">
        <f aca="false">IF(OR(G191="",G191="なし"),"",IF(AA191="掛金・負担金別",(BA191+BB191+BC191+BE191+BG191+BI191+N(Z191)),IF(AA191="経理区分別",BD191+BE191,"")))</f>
        <v/>
      </c>
      <c r="AF191" s="27"/>
      <c r="AG191" s="29" t="str">
        <f aca="false">IF(OR(G191="",G191="なし"),"",IF(AA191="経理区分別",BF191+BG191,""))</f>
        <v/>
      </c>
      <c r="AH191" s="27"/>
      <c r="AI191" s="29" t="str">
        <f aca="false">IF(OR(G191="",G191="なし"),"",IF(AA191="経理区分別",BH191+BI191+N(Z191),""))</f>
        <v/>
      </c>
      <c r="AJ191" s="27"/>
      <c r="AK191" s="26" t="s">
        <v>168</v>
      </c>
      <c r="AL191" s="26"/>
      <c r="AM191" s="30"/>
      <c r="AN191" s="31"/>
      <c r="AO191" s="31"/>
      <c r="AP191" s="31"/>
      <c r="AQ191" s="31"/>
      <c r="AR191" s="31"/>
      <c r="AS191" s="31"/>
      <c r="AT191" s="31"/>
      <c r="AU191" s="31"/>
      <c r="AV191" s="31"/>
      <c r="AW191" s="31"/>
      <c r="AX191" s="31"/>
      <c r="AY191" s="31" t="n">
        <f aca="false">IF($G191="",AN191,O191)</f>
        <v>244123006</v>
      </c>
      <c r="AZ191" s="31" t="n">
        <f aca="false">IF($G191="",AO191,P191)</f>
        <v>20014957</v>
      </c>
      <c r="BA191" s="31" t="n">
        <f aca="false">IF($G191="",AP191,T191)</f>
        <v>350370377</v>
      </c>
      <c r="BB191" s="31" t="n">
        <f aca="false">IF($G191="",AQ191,U191)</f>
        <v>19497061</v>
      </c>
      <c r="BC191" s="31" t="n">
        <f aca="false">IF($G191="",AR191,V191)</f>
        <v>236288</v>
      </c>
      <c r="BD191" s="31" t="n">
        <f aca="false">IF($G191="",AS191,Q191)</f>
        <v>176768259</v>
      </c>
      <c r="BE191" s="31" t="n">
        <f aca="false">IF($G191="",AT191,W191)</f>
        <v>176034034</v>
      </c>
      <c r="BF191" s="31" t="n">
        <f aca="false">IF($G191="",AU191,R191)</f>
        <v>16103399</v>
      </c>
      <c r="BG191" s="31" t="n">
        <f aca="false">IF($G191="",AV191,X191)</f>
        <v>15690256</v>
      </c>
      <c r="BH191" s="31" t="n">
        <f aca="false">IF($G191="",AW191,S191)</f>
        <v>3918168</v>
      </c>
      <c r="BI191" s="31" t="n">
        <f aca="false">IF($G191="",AX191,Y191)</f>
        <v>3834790</v>
      </c>
      <c r="BJ191" s="31" t="n">
        <f aca="false">IF(CK191="N",BR191,ROUNDDOWN((I191-L191)*設定!$B$10/1000,0)+ROUNDDOWN((I191-L191)*設定!$B$11/1000,0))</f>
        <v>0</v>
      </c>
      <c r="BK191" s="31" t="n">
        <f aca="false">ROUNDDOWN((I191-L191)*設定!$C$10/1000,0)+ROUNDDOWN((I191-L191)*設定!$C$11/1000,0)+ROUNDDOWN(I191*設定!$C$12/1000,0)+IF(CL191="市局型",ROUNDDOWN(I191*設定!$C$16/1000,0),0)</f>
        <v>0</v>
      </c>
      <c r="BL191" s="31" t="n">
        <f aca="false">IF(CK191="N",BT191,ROUNDDOWN((J191-M191)*設定!$B$13/1000,0))</f>
        <v>0</v>
      </c>
      <c r="BM191" s="31" t="n">
        <f aca="false">ROUNDDOWN((J191-M191)*設定!$C$13/1000,0)+IF(CL191="市局型",ROUNDDOWN(J191*設定!$C$17/1000,0),0)</f>
        <v>0</v>
      </c>
      <c r="BN191" s="31" t="n">
        <f aca="false">IF(CK191="N",BV191,ROUNDDOWN((K191-N191)*設定!$B$14/1000,0))</f>
        <v>0</v>
      </c>
      <c r="BO191" s="31" t="n">
        <f aca="false">ROUNDDOWN((K191-N191)*設定!$C$14/1000,0)</f>
        <v>0</v>
      </c>
      <c r="BP191" s="31" t="n">
        <f aca="false">IF(CK191="N",BX191,ROUNDDOWN((J191-M191)*設定!$B$15/1000,0))</f>
        <v>0</v>
      </c>
      <c r="BQ191" s="31" t="n">
        <f aca="false">ROUNDDOWN((J191-M191)*設定!$C$15/1000,0)</f>
        <v>0</v>
      </c>
      <c r="BR191" s="31" t="n">
        <f aca="false">O191+P191</f>
        <v>264137963</v>
      </c>
      <c r="BS191" s="31" t="n">
        <f aca="false">T191+U191+V191</f>
        <v>370103726</v>
      </c>
      <c r="BT191" s="31" t="n">
        <f aca="false">Q191</f>
        <v>176768259</v>
      </c>
      <c r="BU191" s="31" t="n">
        <f aca="false">W191</f>
        <v>176034034</v>
      </c>
      <c r="BV191" s="31" t="n">
        <f aca="false">R191</f>
        <v>16103399</v>
      </c>
      <c r="BW191" s="31" t="n">
        <f aca="false">X191</f>
        <v>15690256</v>
      </c>
      <c r="BX191" s="31" t="n">
        <f aca="false">S191</f>
        <v>3918168</v>
      </c>
      <c r="BY191" s="31" t="n">
        <f aca="false">Y191</f>
        <v>3834790</v>
      </c>
      <c r="BZ191" s="32" t="n">
        <f aca="false">IF(BJ191=0,IF(BR191=0,0,1),(BR191-BJ191)/BJ191)</f>
        <v>1</v>
      </c>
      <c r="CA191" s="32" t="n">
        <f aca="false">IF(BK191=0,IF(BS191=0,0,1),(BS191-BK191)/BK191)</f>
        <v>1</v>
      </c>
      <c r="CB191" s="32" t="n">
        <f aca="false">IF(BL191=0,IF(BT191=0,0,1),(BT191-BL191)/BL191)</f>
        <v>1</v>
      </c>
      <c r="CC191" s="32" t="n">
        <f aca="false">IF(BM191=0,IF(BU191=0,0,1),(BU191-BM191)/BM191)</f>
        <v>1</v>
      </c>
      <c r="CD191" s="32" t="n">
        <f aca="false">IF(BN191=0,IF(BV191=0,0,1),(BV191-BN191)/BN191)</f>
        <v>1</v>
      </c>
      <c r="CE191" s="32" t="n">
        <f aca="false">IF(BO191=0,IF(BW191=0,0,1),(BW191-BO191)/BO191)</f>
        <v>1</v>
      </c>
      <c r="CF191" s="32" t="n">
        <f aca="false">IF(BP191=0,IF(BX191=0,0,1),(BX191-BP191)/BP191)</f>
        <v>1</v>
      </c>
      <c r="CG191" s="32" t="n">
        <f aca="false">IF(BQ191=0,IF(BY191=0,0,1),(BY191-BQ191)/BQ191)</f>
        <v>1</v>
      </c>
      <c r="CH191" s="32" t="n">
        <f aca="false">MAX(MAX(BZ191:CG191),-MIN(BZ191:CG191))</f>
        <v>1</v>
      </c>
      <c r="CI191" s="31" t="n">
        <f aca="false">IF(CO191="","",SUMIFS($CJ$7:$CJ$696,$A$7:$A$696,CO191,$B$7:$B$696,B191))</f>
        <v>1001121112</v>
      </c>
      <c r="CJ191" s="31" t="n">
        <f aca="false">SUM(AY191:BI191)</f>
        <v>1026590595</v>
      </c>
      <c r="CK191" s="31" t="str">
        <f aca="false">IFERROR(INDEX(設定!$F$61:$F$106,MATCH(B191,設定!$B$61:$B$106,0)),"Y")</f>
        <v>Y</v>
      </c>
      <c r="CL191" s="31" t="str">
        <f aca="false">IFERROR(INDEX(設定!$G$61:$G$106,MATCH(B191,設定!$B$61:$B$106,0)),"外郭型")</f>
        <v>市局型</v>
      </c>
      <c r="CM191" s="33" t="str">
        <f aca="false">A191&amp;"|"&amp;B191</f>
        <v>2026-07 月例|市長部局</v>
      </c>
      <c r="CN191" s="34" t="str">
        <f aca="false">IFERROR(INDEX(設定!$D$61:$D$106,MATCH(B191,設定!$B$61:$B$106,0)),"Y")</f>
        <v>N</v>
      </c>
      <c r="CO191" s="34" t="str">
        <f aca="false">IFERROR(INDEX(設定!$D$20:$D$34,MATCH(A191,設定!$A$20:$A$34,0))&amp;"","")</f>
        <v>2026-06 月例</v>
      </c>
    </row>
    <row r="192" customFormat="false" ht="15" hidden="true" customHeight="false" outlineLevel="0" collapsed="false">
      <c r="A192" s="22" t="s">
        <v>220</v>
      </c>
      <c r="B192" s="23" t="s">
        <v>169</v>
      </c>
      <c r="C192" s="10" t="str">
        <f aca="false">IF(G192="","未受領",IF(G192="なし","報告なし",IF(AL192="○","起票済",IF(OR(AK192="○",F192="一致",F192="入金不要"),"入金確認済","受領済"))))</f>
        <v>入金確認済</v>
      </c>
      <c r="D192" s="10" t="str">
        <f aca="false">IF(OR(G192="",G192="なし"),"―",IF(CN192="N","対象外",IF(AND(I192="",J192="",K192=""),"標報未入力",IF(CH192&gt;=設定!$B$4,"要確認","問題なし"))))</f>
        <v>標報未入力</v>
      </c>
      <c r="E192" s="24" t="str">
        <f aca="false">IF(OR(G192="",G192="なし",CI192="",CJ192=0),"―",IF(CJ192=CI192,"前月同額",IF(CI192=0,"―",IF(ABS(CJ192/CI192-1)&gt;=設定!$B$5,"変動大 "&amp;TEXT(CJ192/CI192-1,"+0%;-0%"),"〇"))))</f>
        <v>〇</v>
      </c>
      <c r="F192" s="10" t="str">
        <f aca="false">IF(OR(G192="",G192="なし"),"―",IF(CJ192=0,"入金不要",IF(COUNT(AD192,AF192,AH192,AJ192)=0,IF(AK192="○","手動確認","未入金"),IF(AND(N(AD192)=AC192,IF(AE192="",TRUE(),N(AF192)=AE192),IF(AG192="",TRUE(),N(AH192)=AG192),IF(AI192="",TRUE(),N(AJ192)=AI192)),"一致","不一致"))))</f>
        <v>手動確認</v>
      </c>
      <c r="G192" s="25" t="s">
        <v>167</v>
      </c>
      <c r="H192" s="26"/>
      <c r="I192" s="27"/>
      <c r="J192" s="27"/>
      <c r="K192" s="27"/>
      <c r="L192" s="27"/>
      <c r="M192" s="27"/>
      <c r="N192" s="27"/>
      <c r="O192" s="27" t="n">
        <v>16670844</v>
      </c>
      <c r="P192" s="27" t="n">
        <v>1366464</v>
      </c>
      <c r="Q192" s="27" t="n">
        <v>9763701</v>
      </c>
      <c r="R192" s="27" t="n">
        <v>1038285</v>
      </c>
      <c r="S192" s="27" t="n">
        <v>216545</v>
      </c>
      <c r="T192" s="27" t="n">
        <v>24012163</v>
      </c>
      <c r="U192" s="27" t="n">
        <v>1366463</v>
      </c>
      <c r="V192" s="27" t="n">
        <v>15983</v>
      </c>
      <c r="W192" s="27" t="n">
        <v>9929666</v>
      </c>
      <c r="X192" s="27" t="n">
        <v>1038282</v>
      </c>
      <c r="Y192" s="27" t="n">
        <v>216620</v>
      </c>
      <c r="Z192" s="27"/>
      <c r="AA192" s="10" t="str">
        <f aca="false">IFERROR(INDEX(設定!$E$61:$E$106,MATCH(B192,設定!$B$61:$B$106,0)),"合算")</f>
        <v>合算</v>
      </c>
      <c r="AB192" s="28"/>
      <c r="AC192" s="29" t="n">
        <f aca="false">IF(OR(G192="",G192="なし"),"",IF(AA192="合算",CJ192+N(Z192),IF(AA192="掛金・負担金別",(AY192+AZ192+BD192+BF192+BH192),SUM(AY192:BC192))))</f>
        <v>65635016</v>
      </c>
      <c r="AD192" s="27"/>
      <c r="AE192" s="29" t="str">
        <f aca="false">IF(OR(G192="",G192="なし"),"",IF(AA192="掛金・負担金別",(BA192+BB192+BC192+BE192+BG192+BI192+N(Z192)),IF(AA192="経理区分別",BD192+BE192,"")))</f>
        <v/>
      </c>
      <c r="AF192" s="27"/>
      <c r="AG192" s="29" t="str">
        <f aca="false">IF(OR(G192="",G192="なし"),"",IF(AA192="経理区分別",BF192+BG192,""))</f>
        <v/>
      </c>
      <c r="AH192" s="27"/>
      <c r="AI192" s="29" t="str">
        <f aca="false">IF(OR(G192="",G192="なし"),"",IF(AA192="経理区分別",BH192+BI192+N(Z192),""))</f>
        <v/>
      </c>
      <c r="AJ192" s="27"/>
      <c r="AK192" s="26" t="s">
        <v>168</v>
      </c>
      <c r="AL192" s="26"/>
      <c r="AM192" s="30"/>
      <c r="AN192" s="31"/>
      <c r="AO192" s="31"/>
      <c r="AP192" s="31"/>
      <c r="AQ192" s="31"/>
      <c r="AR192" s="31"/>
      <c r="AS192" s="31"/>
      <c r="AT192" s="31"/>
      <c r="AU192" s="31"/>
      <c r="AV192" s="31"/>
      <c r="AW192" s="31"/>
      <c r="AX192" s="31"/>
      <c r="AY192" s="31" t="n">
        <f aca="false">IF($G192="",AN192,O192)</f>
        <v>16670844</v>
      </c>
      <c r="AZ192" s="31" t="n">
        <f aca="false">IF($G192="",AO192,P192)</f>
        <v>1366464</v>
      </c>
      <c r="BA192" s="31" t="n">
        <f aca="false">IF($G192="",AP192,T192)</f>
        <v>24012163</v>
      </c>
      <c r="BB192" s="31" t="n">
        <f aca="false">IF($G192="",AQ192,U192)</f>
        <v>1366463</v>
      </c>
      <c r="BC192" s="31" t="n">
        <f aca="false">IF($G192="",AR192,V192)</f>
        <v>15983</v>
      </c>
      <c r="BD192" s="31" t="n">
        <f aca="false">IF($G192="",AS192,Q192)</f>
        <v>9763701</v>
      </c>
      <c r="BE192" s="31" t="n">
        <f aca="false">IF($G192="",AT192,W192)</f>
        <v>9929666</v>
      </c>
      <c r="BF192" s="31" t="n">
        <f aca="false">IF($G192="",AU192,R192)</f>
        <v>1038285</v>
      </c>
      <c r="BG192" s="31" t="n">
        <f aca="false">IF($G192="",AV192,X192)</f>
        <v>1038282</v>
      </c>
      <c r="BH192" s="31" t="n">
        <f aca="false">IF($G192="",AW192,S192)</f>
        <v>216545</v>
      </c>
      <c r="BI192" s="31" t="n">
        <f aca="false">IF($G192="",AX192,Y192)</f>
        <v>216620</v>
      </c>
      <c r="BJ192" s="31" t="n">
        <f aca="false">IF(CK192="N",BR192,ROUNDDOWN((I192-L192)*設定!$B$10/1000,0)+ROUNDDOWN((I192-L192)*設定!$B$11/1000,0))</f>
        <v>0</v>
      </c>
      <c r="BK192" s="31" t="n">
        <f aca="false">ROUNDDOWN((I192-L192)*設定!$C$10/1000,0)+ROUNDDOWN((I192-L192)*設定!$C$11/1000,0)+ROUNDDOWN(I192*設定!$C$12/1000,0)+IF(CL192="市局型",ROUNDDOWN(I192*設定!$C$16/1000,0),0)</f>
        <v>0</v>
      </c>
      <c r="BL192" s="31" t="n">
        <f aca="false">IF(CK192="N",BT192,ROUNDDOWN((J192-M192)*設定!$B$13/1000,0))</f>
        <v>0</v>
      </c>
      <c r="BM192" s="31" t="n">
        <f aca="false">ROUNDDOWN((J192-M192)*設定!$C$13/1000,0)+IF(CL192="市局型",ROUNDDOWN(J192*設定!$C$17/1000,0),0)</f>
        <v>0</v>
      </c>
      <c r="BN192" s="31" t="n">
        <f aca="false">IF(CK192="N",BV192,ROUNDDOWN((K192-N192)*設定!$B$14/1000,0))</f>
        <v>0</v>
      </c>
      <c r="BO192" s="31" t="n">
        <f aca="false">ROUNDDOWN((K192-N192)*設定!$C$14/1000,0)</f>
        <v>0</v>
      </c>
      <c r="BP192" s="31" t="n">
        <f aca="false">IF(CK192="N",BX192,ROUNDDOWN((J192-M192)*設定!$B$15/1000,0))</f>
        <v>0</v>
      </c>
      <c r="BQ192" s="31" t="n">
        <f aca="false">ROUNDDOWN((J192-M192)*設定!$C$15/1000,0)</f>
        <v>0</v>
      </c>
      <c r="BR192" s="31" t="n">
        <f aca="false">O192+P192</f>
        <v>18037308</v>
      </c>
      <c r="BS192" s="31" t="n">
        <f aca="false">T192+U192+V192</f>
        <v>25394609</v>
      </c>
      <c r="BT192" s="31" t="n">
        <f aca="false">Q192</f>
        <v>9763701</v>
      </c>
      <c r="BU192" s="31" t="n">
        <f aca="false">W192</f>
        <v>9929666</v>
      </c>
      <c r="BV192" s="31" t="n">
        <f aca="false">R192</f>
        <v>1038285</v>
      </c>
      <c r="BW192" s="31" t="n">
        <f aca="false">X192</f>
        <v>1038282</v>
      </c>
      <c r="BX192" s="31" t="n">
        <f aca="false">S192</f>
        <v>216545</v>
      </c>
      <c r="BY192" s="31" t="n">
        <f aca="false">Y192</f>
        <v>216620</v>
      </c>
      <c r="BZ192" s="32" t="n">
        <f aca="false">IF(BJ192=0,IF(BR192=0,0,1),(BR192-BJ192)/BJ192)</f>
        <v>1</v>
      </c>
      <c r="CA192" s="32" t="n">
        <f aca="false">IF(BK192=0,IF(BS192=0,0,1),(BS192-BK192)/BK192)</f>
        <v>1</v>
      </c>
      <c r="CB192" s="32" t="n">
        <f aca="false">IF(BL192=0,IF(BT192=0,0,1),(BT192-BL192)/BL192)</f>
        <v>1</v>
      </c>
      <c r="CC192" s="32" t="n">
        <f aca="false">IF(BM192=0,IF(BU192=0,0,1),(BU192-BM192)/BM192)</f>
        <v>1</v>
      </c>
      <c r="CD192" s="32" t="n">
        <f aca="false">IF(BN192=0,IF(BV192=0,0,1),(BV192-BN192)/BN192)</f>
        <v>1</v>
      </c>
      <c r="CE192" s="32" t="n">
        <f aca="false">IF(BO192=0,IF(BW192=0,0,1),(BW192-BO192)/BO192)</f>
        <v>1</v>
      </c>
      <c r="CF192" s="32" t="n">
        <f aca="false">IF(BP192=0,IF(BX192=0,0,1),(BX192-BP192)/BP192)</f>
        <v>1</v>
      </c>
      <c r="CG192" s="32" t="n">
        <f aca="false">IF(BQ192=0,IF(BY192=0,0,1),(BY192-BQ192)/BQ192)</f>
        <v>1</v>
      </c>
      <c r="CH192" s="32" t="n">
        <f aca="false">MAX(MAX(BZ192:CG192),-MIN(BZ192:CG192))</f>
        <v>1</v>
      </c>
      <c r="CI192" s="31" t="n">
        <f aca="false">IF(CO192="","",SUMIFS($CJ$7:$CJ$696,$A$7:$A$696,CO192,$B$7:$B$696,B192))</f>
        <v>64568412</v>
      </c>
      <c r="CJ192" s="31" t="n">
        <f aca="false">SUM(AY192:BI192)</f>
        <v>65635016</v>
      </c>
      <c r="CK192" s="31" t="str">
        <f aca="false">IFERROR(INDEX(設定!$F$61:$F$106,MATCH(B192,設定!$B$61:$B$106,0)),"Y")</f>
        <v>Y</v>
      </c>
      <c r="CL192" s="31" t="str">
        <f aca="false">IFERROR(INDEX(設定!$G$61:$G$106,MATCH(B192,設定!$B$61:$B$106,0)),"外郭型")</f>
        <v>市局型</v>
      </c>
      <c r="CM192" s="33" t="str">
        <f aca="false">A192&amp;"|"&amp;B192</f>
        <v>2026-07 月例|下水道局</v>
      </c>
      <c r="CN192" s="34" t="str">
        <f aca="false">IFERROR(INDEX(設定!$D$61:$D$106,MATCH(B192,設定!$B$61:$B$106,0)),"Y")</f>
        <v>Y</v>
      </c>
      <c r="CO192" s="34" t="str">
        <f aca="false">IFERROR(INDEX(設定!$D$20:$D$34,MATCH(A192,設定!$A$20:$A$34,0))&amp;"","")</f>
        <v>2026-06 月例</v>
      </c>
    </row>
    <row r="193" customFormat="false" ht="15" hidden="true" customHeight="false" outlineLevel="0" collapsed="false">
      <c r="A193" s="22" t="s">
        <v>220</v>
      </c>
      <c r="B193" s="23" t="s">
        <v>170</v>
      </c>
      <c r="C193" s="10" t="str">
        <f aca="false">IF(G193="","未受領",IF(G193="なし","報告なし",IF(AL193="○","起票済",IF(OR(AK193="○",F193="一致",F193="入金不要"),"入金確認済","受領済"))))</f>
        <v>入金確認済</v>
      </c>
      <c r="D193" s="10" t="str">
        <f aca="false">IF(OR(G193="",G193="なし"),"―",IF(CN193="N","対象外",IF(AND(I193="",J193="",K193=""),"標報未入力",IF(CH193&gt;=設定!$B$4,"要確認","問題なし"))))</f>
        <v>対象外</v>
      </c>
      <c r="E193" s="24" t="str">
        <f aca="false">IF(OR(G193="",G193="なし",CI193="",CJ193=0),"―",IF(CJ193=CI193,"前月同額",IF(CI193=0,"―",IF(ABS(CJ193/CI193-1)&gt;=設定!$B$5,"変動大 "&amp;TEXT(CJ193/CI193-1,"+0%;-0%"),"〇"))))</f>
        <v>〇</v>
      </c>
      <c r="F193" s="10" t="str">
        <f aca="false">IF(OR(G193="",G193="なし"),"―",IF(CJ193=0,"入金不要",IF(COUNT(AD193,AF193,AH193,AJ193)=0,IF(AK193="○","手動確認","未入金"),IF(AND(N(AD193)=AC193,IF(AE193="",TRUE(),N(AF193)=AE193),IF(AG193="",TRUE(),N(AH193)=AG193),IF(AI193="",TRUE(),N(AJ193)=AI193)),"一致","不一致"))))</f>
        <v>手動確認</v>
      </c>
      <c r="G193" s="25" t="s">
        <v>167</v>
      </c>
      <c r="H193" s="26"/>
      <c r="I193" s="27"/>
      <c r="J193" s="27"/>
      <c r="K193" s="27"/>
      <c r="L193" s="27"/>
      <c r="M193" s="27"/>
      <c r="N193" s="27"/>
      <c r="O193" s="27" t="n">
        <v>55474802</v>
      </c>
      <c r="P193" s="27" t="n">
        <v>4547114</v>
      </c>
      <c r="Q193" s="27" t="n">
        <v>32141726</v>
      </c>
      <c r="R193" s="27" t="n">
        <v>2067121</v>
      </c>
      <c r="S193" s="27" t="n">
        <v>712644</v>
      </c>
      <c r="T193" s="27" t="n">
        <v>79748812</v>
      </c>
      <c r="U193" s="27" t="n">
        <v>4523176</v>
      </c>
      <c r="V193" s="27" t="n">
        <v>53211</v>
      </c>
      <c r="W193" s="27" t="n">
        <v>32523185</v>
      </c>
      <c r="X193" s="27" t="n">
        <v>2054164</v>
      </c>
      <c r="Y193" s="27" t="n">
        <v>709244</v>
      </c>
      <c r="Z193" s="27"/>
      <c r="AA193" s="10" t="str">
        <f aca="false">IFERROR(INDEX(設定!$E$61:$E$106,MATCH(B193,設定!$B$61:$B$106,0)),"合算")</f>
        <v>合算</v>
      </c>
      <c r="AB193" s="28"/>
      <c r="AC193" s="29" t="n">
        <f aca="false">IF(OR(G193="",G193="なし"),"",IF(AA193="合算",CJ193+N(Z193),IF(AA193="掛金・負担金別",(AY193+AZ193+BD193+BF193+BH193),SUM(AY193:BC193))))</f>
        <v>214555199</v>
      </c>
      <c r="AD193" s="27"/>
      <c r="AE193" s="29" t="str">
        <f aca="false">IF(OR(G193="",G193="なし"),"",IF(AA193="掛金・負担金別",(BA193+BB193+BC193+BE193+BG193+BI193+N(Z193)),IF(AA193="経理区分別",BD193+BE193,"")))</f>
        <v/>
      </c>
      <c r="AF193" s="27"/>
      <c r="AG193" s="29" t="str">
        <f aca="false">IF(OR(G193="",G193="なし"),"",IF(AA193="経理区分別",BF193+BG193,""))</f>
        <v/>
      </c>
      <c r="AH193" s="27"/>
      <c r="AI193" s="29" t="str">
        <f aca="false">IF(OR(G193="",G193="なし"),"",IF(AA193="経理区分別",BH193+BI193+N(Z193),""))</f>
        <v/>
      </c>
      <c r="AJ193" s="27"/>
      <c r="AK193" s="26" t="s">
        <v>168</v>
      </c>
      <c r="AL193" s="26"/>
      <c r="AM193" s="30"/>
      <c r="AN193" s="31"/>
      <c r="AO193" s="31"/>
      <c r="AP193" s="31"/>
      <c r="AQ193" s="31"/>
      <c r="AR193" s="31"/>
      <c r="AS193" s="31"/>
      <c r="AT193" s="31"/>
      <c r="AU193" s="31"/>
      <c r="AV193" s="31"/>
      <c r="AW193" s="31"/>
      <c r="AX193" s="31"/>
      <c r="AY193" s="31" t="n">
        <f aca="false">IF($G193="",AN193,O193)</f>
        <v>55474802</v>
      </c>
      <c r="AZ193" s="31" t="n">
        <f aca="false">IF($G193="",AO193,P193)</f>
        <v>4547114</v>
      </c>
      <c r="BA193" s="31" t="n">
        <f aca="false">IF($G193="",AP193,T193)</f>
        <v>79748812</v>
      </c>
      <c r="BB193" s="31" t="n">
        <f aca="false">IF($G193="",AQ193,U193)</f>
        <v>4523176</v>
      </c>
      <c r="BC193" s="31" t="n">
        <f aca="false">IF($G193="",AR193,V193)</f>
        <v>53211</v>
      </c>
      <c r="BD193" s="31" t="n">
        <f aca="false">IF($G193="",AS193,Q193)</f>
        <v>32141726</v>
      </c>
      <c r="BE193" s="31" t="n">
        <f aca="false">IF($G193="",AT193,W193)</f>
        <v>32523185</v>
      </c>
      <c r="BF193" s="31" t="n">
        <f aca="false">IF($G193="",AU193,R193)</f>
        <v>2067121</v>
      </c>
      <c r="BG193" s="31" t="n">
        <f aca="false">IF($G193="",AV193,X193)</f>
        <v>2054164</v>
      </c>
      <c r="BH193" s="31" t="n">
        <f aca="false">IF($G193="",AW193,S193)</f>
        <v>712644</v>
      </c>
      <c r="BI193" s="31" t="n">
        <f aca="false">IF($G193="",AX193,Y193)</f>
        <v>709244</v>
      </c>
      <c r="BJ193" s="31" t="n">
        <f aca="false">IF(CK193="N",BR193,ROUNDDOWN((I193-L193)*設定!$B$10/1000,0)+ROUNDDOWN((I193-L193)*設定!$B$11/1000,0))</f>
        <v>0</v>
      </c>
      <c r="BK193" s="31" t="n">
        <f aca="false">ROUNDDOWN((I193-L193)*設定!$C$10/1000,0)+ROUNDDOWN((I193-L193)*設定!$C$11/1000,0)+ROUNDDOWN(I193*設定!$C$12/1000,0)+IF(CL193="市局型",ROUNDDOWN(I193*設定!$C$16/1000,0),0)</f>
        <v>0</v>
      </c>
      <c r="BL193" s="31" t="n">
        <f aca="false">IF(CK193="N",BT193,ROUNDDOWN((J193-M193)*設定!$B$13/1000,0))</f>
        <v>0</v>
      </c>
      <c r="BM193" s="31" t="n">
        <f aca="false">ROUNDDOWN((J193-M193)*設定!$C$13/1000,0)+IF(CL193="市局型",ROUNDDOWN(J193*設定!$C$17/1000,0),0)</f>
        <v>0</v>
      </c>
      <c r="BN193" s="31" t="n">
        <f aca="false">IF(CK193="N",BV193,ROUNDDOWN((K193-N193)*設定!$B$14/1000,0))</f>
        <v>0</v>
      </c>
      <c r="BO193" s="31" t="n">
        <f aca="false">ROUNDDOWN((K193-N193)*設定!$C$14/1000,0)</f>
        <v>0</v>
      </c>
      <c r="BP193" s="31" t="n">
        <f aca="false">IF(CK193="N",BX193,ROUNDDOWN((J193-M193)*設定!$B$15/1000,0))</f>
        <v>0</v>
      </c>
      <c r="BQ193" s="31" t="n">
        <f aca="false">ROUNDDOWN((J193-M193)*設定!$C$15/1000,0)</f>
        <v>0</v>
      </c>
      <c r="BR193" s="31" t="n">
        <f aca="false">O193+P193</f>
        <v>60021916</v>
      </c>
      <c r="BS193" s="31" t="n">
        <f aca="false">T193+U193+V193</f>
        <v>84325199</v>
      </c>
      <c r="BT193" s="31" t="n">
        <f aca="false">Q193</f>
        <v>32141726</v>
      </c>
      <c r="BU193" s="31" t="n">
        <f aca="false">W193</f>
        <v>32523185</v>
      </c>
      <c r="BV193" s="31" t="n">
        <f aca="false">R193</f>
        <v>2067121</v>
      </c>
      <c r="BW193" s="31" t="n">
        <f aca="false">X193</f>
        <v>2054164</v>
      </c>
      <c r="BX193" s="31" t="n">
        <f aca="false">S193</f>
        <v>712644</v>
      </c>
      <c r="BY193" s="31" t="n">
        <f aca="false">Y193</f>
        <v>709244</v>
      </c>
      <c r="BZ193" s="32" t="n">
        <f aca="false">IF(BJ193=0,IF(BR193=0,0,1),(BR193-BJ193)/BJ193)</f>
        <v>1</v>
      </c>
      <c r="CA193" s="32" t="n">
        <f aca="false">IF(BK193=0,IF(BS193=0,0,1),(BS193-BK193)/BK193)</f>
        <v>1</v>
      </c>
      <c r="CB193" s="32" t="n">
        <f aca="false">IF(BL193=0,IF(BT193=0,0,1),(BT193-BL193)/BL193)</f>
        <v>1</v>
      </c>
      <c r="CC193" s="32" t="n">
        <f aca="false">IF(BM193=0,IF(BU193=0,0,1),(BU193-BM193)/BM193)</f>
        <v>1</v>
      </c>
      <c r="CD193" s="32" t="n">
        <f aca="false">IF(BN193=0,IF(BV193=0,0,1),(BV193-BN193)/BN193)</f>
        <v>1</v>
      </c>
      <c r="CE193" s="32" t="n">
        <f aca="false">IF(BO193=0,IF(BW193=0,0,1),(BW193-BO193)/BO193)</f>
        <v>1</v>
      </c>
      <c r="CF193" s="32" t="n">
        <f aca="false">IF(BP193=0,IF(BX193=0,0,1),(BX193-BP193)/BP193)</f>
        <v>1</v>
      </c>
      <c r="CG193" s="32" t="n">
        <f aca="false">IF(BQ193=0,IF(BY193=0,0,1),(BY193-BQ193)/BQ193)</f>
        <v>1</v>
      </c>
      <c r="CH193" s="32" t="n">
        <f aca="false">MAX(MAX(BZ193:CG193),-MIN(BZ193:CG193))</f>
        <v>1</v>
      </c>
      <c r="CI193" s="31" t="n">
        <f aca="false">IF(CO193="","",SUMIFS($CJ$7:$CJ$696,$A$7:$A$696,CO193,$B$7:$B$696,B193))</f>
        <v>213739542</v>
      </c>
      <c r="CJ193" s="31" t="n">
        <f aca="false">SUM(AY193:BI193)</f>
        <v>214555199</v>
      </c>
      <c r="CK193" s="31" t="str">
        <f aca="false">IFERROR(INDEX(設定!$F$61:$F$106,MATCH(B193,設定!$B$61:$B$106,0)),"Y")</f>
        <v>Y</v>
      </c>
      <c r="CL193" s="31" t="str">
        <f aca="false">IFERROR(INDEX(設定!$G$61:$G$106,MATCH(B193,設定!$B$61:$B$106,0)),"外郭型")</f>
        <v>市局型</v>
      </c>
      <c r="CM193" s="33" t="str">
        <f aca="false">A193&amp;"|"&amp;B193</f>
        <v>2026-07 月例|消防局</v>
      </c>
      <c r="CN193" s="34" t="str">
        <f aca="false">IFERROR(INDEX(設定!$D$61:$D$106,MATCH(B193,設定!$B$61:$B$106,0)),"Y")</f>
        <v>N</v>
      </c>
      <c r="CO193" s="34" t="str">
        <f aca="false">IFERROR(INDEX(設定!$D$20:$D$34,MATCH(A193,設定!$A$20:$A$34,0))&amp;"","")</f>
        <v>2026-06 月例</v>
      </c>
    </row>
    <row r="194" customFormat="false" ht="15" hidden="true" customHeight="false" outlineLevel="0" collapsed="false">
      <c r="A194" s="22" t="s">
        <v>220</v>
      </c>
      <c r="B194" s="23" t="s">
        <v>171</v>
      </c>
      <c r="C194" s="10" t="str">
        <f aca="false">IF(G194="","未受領",IF(G194="なし","報告なし",IF(AL194="○","起票済",IF(OR(AK194="○",F194="一致",F194="入金不要"),"入金確認済","受領済"))))</f>
        <v>入金確認済</v>
      </c>
      <c r="D194" s="10" t="str">
        <f aca="false">IF(OR(G194="",G194="なし"),"―",IF(CN194="N","対象外",IF(AND(I194="",J194="",K194=""),"標報未入力",IF(CH194&gt;=設定!$B$4,"要確認","問題なし"))))</f>
        <v>標報未入力</v>
      </c>
      <c r="E194" s="24" t="str">
        <f aca="false">IF(OR(G194="",G194="なし",CI194="",CJ194=0),"―",IF(CJ194=CI194,"前月同額",IF(CI194=0,"―",IF(ABS(CJ194/CI194-1)&gt;=設定!$B$5,"変動大 "&amp;TEXT(CJ194/CI194-1,"+0%;-0%"),"〇"))))</f>
        <v>〇</v>
      </c>
      <c r="F194" s="10" t="str">
        <f aca="false">IF(OR(G194="",G194="なし"),"―",IF(CJ194=0,"入金不要",IF(COUNT(AD194,AF194,AH194,AJ194)=0,IF(AK194="○","手動確認","未入金"),IF(AND(N(AD194)=AC194,IF(AE194="",TRUE(),N(AF194)=AE194),IF(AG194="",TRUE(),N(AH194)=AG194),IF(AI194="",TRUE(),N(AJ194)=AI194)),"一致","不一致"))))</f>
        <v>手動確認</v>
      </c>
      <c r="G194" s="25" t="s">
        <v>167</v>
      </c>
      <c r="H194" s="26"/>
      <c r="I194" s="27"/>
      <c r="J194" s="27"/>
      <c r="K194" s="27"/>
      <c r="L194" s="27"/>
      <c r="M194" s="27"/>
      <c r="N194" s="27"/>
      <c r="O194" s="27" t="n">
        <v>1796328</v>
      </c>
      <c r="P194" s="27" t="n">
        <v>147240</v>
      </c>
      <c r="Q194" s="27" t="n">
        <v>1024323</v>
      </c>
      <c r="R194" s="27" t="n">
        <v>104770</v>
      </c>
      <c r="S194" s="27" t="n">
        <v>22706</v>
      </c>
      <c r="T194" s="27" t="n">
        <v>2604382</v>
      </c>
      <c r="U194" s="27" t="n">
        <v>147240</v>
      </c>
      <c r="V194" s="27" t="n">
        <v>1759</v>
      </c>
      <c r="W194" s="27" t="n">
        <v>1042063</v>
      </c>
      <c r="X194" s="27" t="n">
        <v>104769</v>
      </c>
      <c r="Y194" s="27" t="n">
        <v>22715</v>
      </c>
      <c r="Z194" s="27"/>
      <c r="AA194" s="10" t="str">
        <f aca="false">IFERROR(INDEX(設定!$E$61:$E$106,MATCH(B194,設定!$B$61:$B$106,0)),"合算")</f>
        <v>合算</v>
      </c>
      <c r="AB194" s="28"/>
      <c r="AC194" s="29" t="n">
        <f aca="false">IF(OR(G194="",G194="なし"),"",IF(AA194="合算",CJ194+N(Z194),IF(AA194="掛金・負担金別",(AY194+AZ194+BD194+BF194+BH194),SUM(AY194:BC194))))</f>
        <v>7018295</v>
      </c>
      <c r="AD194" s="27"/>
      <c r="AE194" s="29" t="str">
        <f aca="false">IF(OR(G194="",G194="なし"),"",IF(AA194="掛金・負担金別",(BA194+BB194+BC194+BE194+BG194+BI194+N(Z194)),IF(AA194="経理区分別",BD194+BE194,"")))</f>
        <v/>
      </c>
      <c r="AF194" s="27"/>
      <c r="AG194" s="29" t="str">
        <f aca="false">IF(OR(G194="",G194="なし"),"",IF(AA194="経理区分別",BF194+BG194,""))</f>
        <v/>
      </c>
      <c r="AH194" s="27"/>
      <c r="AI194" s="29" t="str">
        <f aca="false">IF(OR(G194="",G194="なし"),"",IF(AA194="経理区分別",BH194+BI194+N(Z194),""))</f>
        <v/>
      </c>
      <c r="AJ194" s="27"/>
      <c r="AK194" s="26" t="s">
        <v>168</v>
      </c>
      <c r="AL194" s="26"/>
      <c r="AM194" s="30"/>
      <c r="AN194" s="31"/>
      <c r="AO194" s="31"/>
      <c r="AP194" s="31"/>
      <c r="AQ194" s="31"/>
      <c r="AR194" s="31"/>
      <c r="AS194" s="31"/>
      <c r="AT194" s="31"/>
      <c r="AU194" s="31"/>
      <c r="AV194" s="31"/>
      <c r="AW194" s="31"/>
      <c r="AX194" s="31"/>
      <c r="AY194" s="31" t="n">
        <f aca="false">IF($G194="",AN194,O194)</f>
        <v>1796328</v>
      </c>
      <c r="AZ194" s="31" t="n">
        <f aca="false">IF($G194="",AO194,P194)</f>
        <v>147240</v>
      </c>
      <c r="BA194" s="31" t="n">
        <f aca="false">IF($G194="",AP194,T194)</f>
        <v>2604382</v>
      </c>
      <c r="BB194" s="31" t="n">
        <f aca="false">IF($G194="",AQ194,U194)</f>
        <v>147240</v>
      </c>
      <c r="BC194" s="31" t="n">
        <f aca="false">IF($G194="",AR194,V194)</f>
        <v>1759</v>
      </c>
      <c r="BD194" s="31" t="n">
        <f aca="false">IF($G194="",AS194,Q194)</f>
        <v>1024323</v>
      </c>
      <c r="BE194" s="31" t="n">
        <f aca="false">IF($G194="",AT194,W194)</f>
        <v>1042063</v>
      </c>
      <c r="BF194" s="31" t="n">
        <f aca="false">IF($G194="",AU194,R194)</f>
        <v>104770</v>
      </c>
      <c r="BG194" s="31" t="n">
        <f aca="false">IF($G194="",AV194,X194)</f>
        <v>104769</v>
      </c>
      <c r="BH194" s="31" t="n">
        <f aca="false">IF($G194="",AW194,S194)</f>
        <v>22706</v>
      </c>
      <c r="BI194" s="31" t="n">
        <f aca="false">IF($G194="",AX194,Y194)</f>
        <v>22715</v>
      </c>
      <c r="BJ194" s="31" t="n">
        <f aca="false">IF(CK194="N",BR194,ROUNDDOWN((I194-L194)*設定!$B$10/1000,0)+ROUNDDOWN((I194-L194)*設定!$B$11/1000,0))</f>
        <v>0</v>
      </c>
      <c r="BK194" s="31" t="n">
        <f aca="false">ROUNDDOWN((I194-L194)*設定!$C$10/1000,0)+ROUNDDOWN((I194-L194)*設定!$C$11/1000,0)+ROUNDDOWN(I194*設定!$C$12/1000,0)+IF(CL194="市局型",ROUNDDOWN(I194*設定!$C$16/1000,0),0)</f>
        <v>0</v>
      </c>
      <c r="BL194" s="31" t="n">
        <f aca="false">IF(CK194="N",BT194,ROUNDDOWN((J194-M194)*設定!$B$13/1000,0))</f>
        <v>0</v>
      </c>
      <c r="BM194" s="31" t="n">
        <f aca="false">ROUNDDOWN((J194-M194)*設定!$C$13/1000,0)+IF(CL194="市局型",ROUNDDOWN(J194*設定!$C$17/1000,0),0)</f>
        <v>0</v>
      </c>
      <c r="BN194" s="31" t="n">
        <f aca="false">IF(CK194="N",BV194,ROUNDDOWN((K194-N194)*設定!$B$14/1000,0))</f>
        <v>0</v>
      </c>
      <c r="BO194" s="31" t="n">
        <f aca="false">ROUNDDOWN((K194-N194)*設定!$C$14/1000,0)</f>
        <v>0</v>
      </c>
      <c r="BP194" s="31" t="n">
        <f aca="false">IF(CK194="N",BX194,ROUNDDOWN((J194-M194)*設定!$B$15/1000,0))</f>
        <v>0</v>
      </c>
      <c r="BQ194" s="31" t="n">
        <f aca="false">ROUNDDOWN((J194-M194)*設定!$C$15/1000,0)</f>
        <v>0</v>
      </c>
      <c r="BR194" s="31" t="n">
        <f aca="false">O194+P194</f>
        <v>1943568</v>
      </c>
      <c r="BS194" s="31" t="n">
        <f aca="false">T194+U194+V194</f>
        <v>2753381</v>
      </c>
      <c r="BT194" s="31" t="n">
        <f aca="false">Q194</f>
        <v>1024323</v>
      </c>
      <c r="BU194" s="31" t="n">
        <f aca="false">W194</f>
        <v>1042063</v>
      </c>
      <c r="BV194" s="31" t="n">
        <f aca="false">R194</f>
        <v>104770</v>
      </c>
      <c r="BW194" s="31" t="n">
        <f aca="false">X194</f>
        <v>104769</v>
      </c>
      <c r="BX194" s="31" t="n">
        <f aca="false">S194</f>
        <v>22706</v>
      </c>
      <c r="BY194" s="31" t="n">
        <f aca="false">Y194</f>
        <v>22715</v>
      </c>
      <c r="BZ194" s="32" t="n">
        <f aca="false">IF(BJ194=0,IF(BR194=0,0,1),(BR194-BJ194)/BJ194)</f>
        <v>1</v>
      </c>
      <c r="CA194" s="32" t="n">
        <f aca="false">IF(BK194=0,IF(BS194=0,0,1),(BS194-BK194)/BK194)</f>
        <v>1</v>
      </c>
      <c r="CB194" s="32" t="n">
        <f aca="false">IF(BL194=0,IF(BT194=0,0,1),(BT194-BL194)/BL194)</f>
        <v>1</v>
      </c>
      <c r="CC194" s="32" t="n">
        <f aca="false">IF(BM194=0,IF(BU194=0,0,1),(BU194-BM194)/BM194)</f>
        <v>1</v>
      </c>
      <c r="CD194" s="32" t="n">
        <f aca="false">IF(BN194=0,IF(BV194=0,0,1),(BV194-BN194)/BN194)</f>
        <v>1</v>
      </c>
      <c r="CE194" s="32" t="n">
        <f aca="false">IF(BO194=0,IF(BW194=0,0,1),(BW194-BO194)/BO194)</f>
        <v>1</v>
      </c>
      <c r="CF194" s="32" t="n">
        <f aca="false">IF(BP194=0,IF(BX194=0,0,1),(BX194-BP194)/BP194)</f>
        <v>1</v>
      </c>
      <c r="CG194" s="32" t="n">
        <f aca="false">IF(BQ194=0,IF(BY194=0,0,1),(BY194-BQ194)/BQ194)</f>
        <v>1</v>
      </c>
      <c r="CH194" s="32" t="n">
        <f aca="false">MAX(MAX(BZ194:CG194),-MIN(BZ194:CG194))</f>
        <v>1</v>
      </c>
      <c r="CI194" s="31" t="n">
        <f aca="false">IF(CO194="","",SUMIFS($CJ$7:$CJ$696,$A$7:$A$696,CO194,$B$7:$B$696,B194))</f>
        <v>7084919</v>
      </c>
      <c r="CJ194" s="31" t="n">
        <f aca="false">SUM(AY194:BI194)</f>
        <v>7018295</v>
      </c>
      <c r="CK194" s="31" t="str">
        <f aca="false">IFERROR(INDEX(設定!$F$61:$F$106,MATCH(B194,設定!$B$61:$B$106,0)),"Y")</f>
        <v>Y</v>
      </c>
      <c r="CL194" s="31" t="str">
        <f aca="false">IFERROR(INDEX(設定!$G$61:$G$106,MATCH(B194,設定!$B$61:$B$106,0)),"外郭型")</f>
        <v>市局型</v>
      </c>
      <c r="CM194" s="33" t="str">
        <f aca="false">A194&amp;"|"&amp;B194</f>
        <v>2026-07 月例|議会事務局</v>
      </c>
      <c r="CN194" s="34" t="str">
        <f aca="false">IFERROR(INDEX(設定!$D$61:$D$106,MATCH(B194,設定!$B$61:$B$106,0)),"Y")</f>
        <v>Y</v>
      </c>
      <c r="CO194" s="34" t="str">
        <f aca="false">IFERROR(INDEX(設定!$D$20:$D$34,MATCH(A194,設定!$A$20:$A$34,0))&amp;"","")</f>
        <v>2026-06 月例</v>
      </c>
    </row>
    <row r="195" customFormat="false" ht="15" hidden="true" customHeight="false" outlineLevel="0" collapsed="false">
      <c r="A195" s="22" t="s">
        <v>220</v>
      </c>
      <c r="B195" s="23" t="s">
        <v>172</v>
      </c>
      <c r="C195" s="10" t="str">
        <f aca="false">IF(G195="","未受領",IF(G195="なし","報告なし",IF(AL195="○","起票済",IF(OR(AK195="○",F195="一致",F195="入金不要"),"入金確認済","受領済"))))</f>
        <v>入金確認済</v>
      </c>
      <c r="D195" s="10" t="str">
        <f aca="false">IF(OR(G195="",G195="なし"),"―",IF(CN195="N","対象外",IF(AND(I195="",J195="",K195=""),"標報未入力",IF(CH195&gt;=設定!$B$4,"要確認","問題なし"))))</f>
        <v>対象外</v>
      </c>
      <c r="E195" s="24" t="str">
        <f aca="false">IF(OR(G195="",G195="なし",CI195="",CJ195=0),"―",IF(CJ195=CI195,"前月同額",IF(CI195=0,"―",IF(ABS(CJ195/CI195-1)&gt;=設定!$B$5,"変動大 "&amp;TEXT(CJ195/CI195-1,"+0%;-0%"),"〇"))))</f>
        <v>〇</v>
      </c>
      <c r="F195" s="10" t="str">
        <f aca="false">IF(OR(G195="",G195="なし"),"―",IF(CJ195=0,"入金不要",IF(COUNT(AD195,AF195,AH195,AJ195)=0,IF(AK195="○","手動確認","未入金"),IF(AND(N(AD195)=AC195,IF(AE195="",TRUE(),N(AF195)=AE195),IF(AG195="",TRUE(),N(AH195)=AG195),IF(AI195="",TRUE(),N(AJ195)=AI195)),"一致","不一致"))))</f>
        <v>手動確認</v>
      </c>
      <c r="G195" s="25" t="s">
        <v>167</v>
      </c>
      <c r="H195" s="26"/>
      <c r="I195" s="27"/>
      <c r="J195" s="27"/>
      <c r="K195" s="27"/>
      <c r="L195" s="27"/>
      <c r="M195" s="27"/>
      <c r="N195" s="27"/>
      <c r="O195" s="27" t="n">
        <v>24640950</v>
      </c>
      <c r="P195" s="27" t="n">
        <v>2019750</v>
      </c>
      <c r="Q195" s="27" t="n">
        <v>24013321</v>
      </c>
      <c r="R195" s="27" t="n">
        <v>2806952</v>
      </c>
      <c r="S195" s="27" t="n">
        <v>533601</v>
      </c>
      <c r="T195" s="27" t="n">
        <v>35480583</v>
      </c>
      <c r="U195" s="27" t="n">
        <v>2019750</v>
      </c>
      <c r="V195" s="27" t="n">
        <v>23603</v>
      </c>
      <c r="W195" s="27" t="n">
        <v>24514598</v>
      </c>
      <c r="X195" s="27" t="n">
        <v>2818162</v>
      </c>
      <c r="Y195" s="27" t="n">
        <v>534518</v>
      </c>
      <c r="Z195" s="27"/>
      <c r="AA195" s="10" t="str">
        <f aca="false">IFERROR(INDEX(設定!$E$61:$E$106,MATCH(B195,設定!$B$61:$B$106,0)),"合算")</f>
        <v>合算</v>
      </c>
      <c r="AB195" s="28"/>
      <c r="AC195" s="29" t="n">
        <f aca="false">IF(OR(G195="",G195="なし"),"",IF(AA195="合算",CJ195+N(Z195),IF(AA195="掛金・負担金別",(AY195+AZ195+BD195+BF195+BH195),SUM(AY195:BC195))))</f>
        <v>119405788</v>
      </c>
      <c r="AD195" s="27"/>
      <c r="AE195" s="29" t="str">
        <f aca="false">IF(OR(G195="",G195="なし"),"",IF(AA195="掛金・負担金別",(BA195+BB195+BC195+BE195+BG195+BI195+N(Z195)),IF(AA195="経理区分別",BD195+BE195,"")))</f>
        <v/>
      </c>
      <c r="AF195" s="27"/>
      <c r="AG195" s="29" t="str">
        <f aca="false">IF(OR(G195="",G195="なし"),"",IF(AA195="経理区分別",BF195+BG195,""))</f>
        <v/>
      </c>
      <c r="AH195" s="27"/>
      <c r="AI195" s="29" t="str">
        <f aca="false">IF(OR(G195="",G195="なし"),"",IF(AA195="経理区分別",BH195+BI195+N(Z195),""))</f>
        <v/>
      </c>
      <c r="AJ195" s="27"/>
      <c r="AK195" s="26" t="s">
        <v>168</v>
      </c>
      <c r="AL195" s="26"/>
      <c r="AM195" s="30"/>
      <c r="AN195" s="31"/>
      <c r="AO195" s="31"/>
      <c r="AP195" s="31"/>
      <c r="AQ195" s="31"/>
      <c r="AR195" s="31"/>
      <c r="AS195" s="31"/>
      <c r="AT195" s="31"/>
      <c r="AU195" s="31"/>
      <c r="AV195" s="31"/>
      <c r="AW195" s="31"/>
      <c r="AX195" s="31"/>
      <c r="AY195" s="31" t="n">
        <f aca="false">IF($G195="",AN195,O195)</f>
        <v>24640950</v>
      </c>
      <c r="AZ195" s="31" t="n">
        <f aca="false">IF($G195="",AO195,P195)</f>
        <v>2019750</v>
      </c>
      <c r="BA195" s="31" t="n">
        <f aca="false">IF($G195="",AP195,T195)</f>
        <v>35480583</v>
      </c>
      <c r="BB195" s="31" t="n">
        <f aca="false">IF($G195="",AQ195,U195)</f>
        <v>2019750</v>
      </c>
      <c r="BC195" s="31" t="n">
        <f aca="false">IF($G195="",AR195,V195)</f>
        <v>23603</v>
      </c>
      <c r="BD195" s="31" t="n">
        <f aca="false">IF($G195="",AS195,Q195)</f>
        <v>24013321</v>
      </c>
      <c r="BE195" s="31" t="n">
        <f aca="false">IF($G195="",AT195,W195)</f>
        <v>24514598</v>
      </c>
      <c r="BF195" s="31" t="n">
        <f aca="false">IF($G195="",AU195,R195)</f>
        <v>2806952</v>
      </c>
      <c r="BG195" s="31" t="n">
        <f aca="false">IF($G195="",AV195,X195)</f>
        <v>2818162</v>
      </c>
      <c r="BH195" s="31" t="n">
        <f aca="false">IF($G195="",AW195,S195)</f>
        <v>533601</v>
      </c>
      <c r="BI195" s="31" t="n">
        <f aca="false">IF($G195="",AX195,Y195)</f>
        <v>534518</v>
      </c>
      <c r="BJ195" s="31" t="n">
        <f aca="false">IF(CK195="N",BR195,ROUNDDOWN((I195-L195)*設定!$B$10/1000,0)+ROUNDDOWN((I195-L195)*設定!$B$11/1000,0))</f>
        <v>0</v>
      </c>
      <c r="BK195" s="31" t="n">
        <f aca="false">ROUNDDOWN((I195-L195)*設定!$C$10/1000,0)+ROUNDDOWN((I195-L195)*設定!$C$11/1000,0)+ROUNDDOWN(I195*設定!$C$12/1000,0)+IF(CL195="市局型",ROUNDDOWN(I195*設定!$C$16/1000,0),0)</f>
        <v>0</v>
      </c>
      <c r="BL195" s="31" t="n">
        <f aca="false">IF(CK195="N",BT195,ROUNDDOWN((J195-M195)*設定!$B$13/1000,0))</f>
        <v>0</v>
      </c>
      <c r="BM195" s="31" t="n">
        <f aca="false">ROUNDDOWN((J195-M195)*設定!$C$13/1000,0)+IF(CL195="市局型",ROUNDDOWN(J195*設定!$C$17/1000,0),0)</f>
        <v>0</v>
      </c>
      <c r="BN195" s="31" t="n">
        <f aca="false">IF(CK195="N",BV195,ROUNDDOWN((K195-N195)*設定!$B$14/1000,0))</f>
        <v>0</v>
      </c>
      <c r="BO195" s="31" t="n">
        <f aca="false">ROUNDDOWN((K195-N195)*設定!$C$14/1000,0)</f>
        <v>0</v>
      </c>
      <c r="BP195" s="31" t="n">
        <f aca="false">IF(CK195="N",BX195,ROUNDDOWN((J195-M195)*設定!$B$15/1000,0))</f>
        <v>0</v>
      </c>
      <c r="BQ195" s="31" t="n">
        <f aca="false">ROUNDDOWN((J195-M195)*設定!$C$15/1000,0)</f>
        <v>0</v>
      </c>
      <c r="BR195" s="31" t="n">
        <f aca="false">O195+P195</f>
        <v>26660700</v>
      </c>
      <c r="BS195" s="31" t="n">
        <f aca="false">T195+U195+V195</f>
        <v>37523936</v>
      </c>
      <c r="BT195" s="31" t="n">
        <f aca="false">Q195</f>
        <v>24013321</v>
      </c>
      <c r="BU195" s="31" t="n">
        <f aca="false">W195</f>
        <v>24514598</v>
      </c>
      <c r="BV195" s="31" t="n">
        <f aca="false">R195</f>
        <v>2806952</v>
      </c>
      <c r="BW195" s="31" t="n">
        <f aca="false">X195</f>
        <v>2818162</v>
      </c>
      <c r="BX195" s="31" t="n">
        <f aca="false">S195</f>
        <v>533601</v>
      </c>
      <c r="BY195" s="31" t="n">
        <f aca="false">Y195</f>
        <v>534518</v>
      </c>
      <c r="BZ195" s="32" t="n">
        <f aca="false">IF(BJ195=0,IF(BR195=0,0,1),(BR195-BJ195)/BJ195)</f>
        <v>1</v>
      </c>
      <c r="CA195" s="32" t="n">
        <f aca="false">IF(BK195=0,IF(BS195=0,0,1),(BS195-BK195)/BK195)</f>
        <v>1</v>
      </c>
      <c r="CB195" s="32" t="n">
        <f aca="false">IF(BL195=0,IF(BT195=0,0,1),(BT195-BL195)/BL195)</f>
        <v>1</v>
      </c>
      <c r="CC195" s="32" t="n">
        <f aca="false">IF(BM195=0,IF(BU195=0,0,1),(BU195-BM195)/BM195)</f>
        <v>1</v>
      </c>
      <c r="CD195" s="32" t="n">
        <f aca="false">IF(BN195=0,IF(BV195=0,0,1),(BV195-BN195)/BN195)</f>
        <v>1</v>
      </c>
      <c r="CE195" s="32" t="n">
        <f aca="false">IF(BO195=0,IF(BW195=0,0,1),(BW195-BO195)/BO195)</f>
        <v>1</v>
      </c>
      <c r="CF195" s="32" t="n">
        <f aca="false">IF(BP195=0,IF(BX195=0,0,1),(BX195-BP195)/BP195)</f>
        <v>1</v>
      </c>
      <c r="CG195" s="32" t="n">
        <f aca="false">IF(BQ195=0,IF(BY195=0,0,1),(BY195-BQ195)/BQ195)</f>
        <v>1</v>
      </c>
      <c r="CH195" s="32" t="n">
        <f aca="false">MAX(MAX(BZ195:CG195),-MIN(BZ195:CG195))</f>
        <v>1</v>
      </c>
      <c r="CI195" s="31" t="n">
        <f aca="false">IF(CO195="","",SUMIFS($CJ$7:$CJ$696,$A$7:$A$696,CO195,$B$7:$B$696,B195))</f>
        <v>115503248</v>
      </c>
      <c r="CJ195" s="31" t="n">
        <f aca="false">SUM(AY195:BI195)</f>
        <v>119405788</v>
      </c>
      <c r="CK195" s="31" t="str">
        <f aca="false">IFERROR(INDEX(設定!$F$61:$F$106,MATCH(B195,設定!$B$61:$B$106,0)),"Y")</f>
        <v>Y</v>
      </c>
      <c r="CL195" s="31" t="str">
        <f aca="false">IFERROR(INDEX(設定!$G$61:$G$106,MATCH(B195,設定!$B$61:$B$106,0)),"外郭型")</f>
        <v>市局型</v>
      </c>
      <c r="CM195" s="33" t="str">
        <f aca="false">A195&amp;"|"&amp;B195</f>
        <v>2026-07 月例|教育委員会（総務課）</v>
      </c>
      <c r="CN195" s="34" t="str">
        <f aca="false">IFERROR(INDEX(設定!$D$61:$D$106,MATCH(B195,設定!$B$61:$B$106,0)),"Y")</f>
        <v>N</v>
      </c>
      <c r="CO195" s="34" t="str">
        <f aca="false">IFERROR(INDEX(設定!$D$20:$D$34,MATCH(A195,設定!$A$20:$A$34,0))&amp;"","")</f>
        <v>2026-06 月例</v>
      </c>
    </row>
    <row r="196" customFormat="false" ht="15" hidden="true" customHeight="false" outlineLevel="0" collapsed="false">
      <c r="A196" s="22" t="s">
        <v>220</v>
      </c>
      <c r="B196" s="23" t="s">
        <v>173</v>
      </c>
      <c r="C196" s="10" t="str">
        <f aca="false">IF(G196="","未受領",IF(G196="なし","報告なし",IF(AL196="○","起票済",IF(OR(AK196="○",F196="一致",F196="入金不要"),"入金確認済","受領済"))))</f>
        <v>入金確認済</v>
      </c>
      <c r="D196" s="10" t="str">
        <f aca="false">IF(OR(G196="",G196="なし"),"―",IF(CN196="N","対象外",IF(AND(I196="",J196="",K196=""),"標報未入力",IF(CH196&gt;=設定!$B$4,"要確認","問題なし"))))</f>
        <v>標報未入力</v>
      </c>
      <c r="E196" s="24" t="str">
        <f aca="false">IF(OR(G196="",G196="なし",CI196="",CJ196=0),"―",IF(CJ196=CI196,"前月同額",IF(CI196=0,"―",IF(ABS(CJ196/CI196-1)&gt;=設定!$B$5,"変動大 "&amp;TEXT(CJ196/CI196-1,"+0%;-0%"),"〇"))))</f>
        <v>変動大 -16%</v>
      </c>
      <c r="F196" s="10" t="str">
        <f aca="false">IF(OR(G196="",G196="なし"),"―",IF(CJ196=0,"入金不要",IF(COUNT(AD196,AF196,AH196,AJ196)=0,IF(AK196="○","手動確認","未入金"),IF(AND(N(AD196)=AC196,IF(AE196="",TRUE(),N(AF196)=AE196),IF(AG196="",TRUE(),N(AH196)=AG196),IF(AI196="",TRUE(),N(AJ196)=AI196)),"一致","不一致"))))</f>
        <v>手動確認</v>
      </c>
      <c r="G196" s="25" t="s">
        <v>167</v>
      </c>
      <c r="H196" s="26"/>
      <c r="I196" s="27"/>
      <c r="J196" s="27"/>
      <c r="K196" s="27"/>
      <c r="L196" s="27"/>
      <c r="M196" s="27"/>
      <c r="N196" s="27"/>
      <c r="O196" s="27" t="n">
        <v>269925</v>
      </c>
      <c r="P196" s="27" t="n">
        <v>22125</v>
      </c>
      <c r="Q196" s="27" t="n">
        <v>173210</v>
      </c>
      <c r="R196" s="27" t="n">
        <v>15800</v>
      </c>
      <c r="S196" s="27" t="n">
        <v>3839</v>
      </c>
      <c r="T196" s="27" t="n">
        <v>387630</v>
      </c>
      <c r="U196" s="27" t="n">
        <v>22125</v>
      </c>
      <c r="V196" s="27" t="n">
        <v>256</v>
      </c>
      <c r="W196" s="27" t="n">
        <v>176117</v>
      </c>
      <c r="X196" s="27" t="n">
        <v>15800</v>
      </c>
      <c r="Y196" s="27" t="n">
        <v>3840</v>
      </c>
      <c r="Z196" s="27"/>
      <c r="AA196" s="10" t="str">
        <f aca="false">IFERROR(INDEX(設定!$E$61:$E$106,MATCH(B196,設定!$B$61:$B$106,0)),"合算")</f>
        <v>合算</v>
      </c>
      <c r="AB196" s="28"/>
      <c r="AC196" s="29" t="n">
        <f aca="false">IF(OR(G196="",G196="なし"),"",IF(AA196="合算",CJ196+N(Z196),IF(AA196="掛金・負担金別",(AY196+AZ196+BD196+BF196+BH196),SUM(AY196:BC196))))</f>
        <v>1090667</v>
      </c>
      <c r="AD196" s="27"/>
      <c r="AE196" s="29" t="str">
        <f aca="false">IF(OR(G196="",G196="なし"),"",IF(AA196="掛金・負担金別",(BA196+BB196+BC196+BE196+BG196+BI196+N(Z196)),IF(AA196="経理区分別",BD196+BE196,"")))</f>
        <v/>
      </c>
      <c r="AF196" s="27"/>
      <c r="AG196" s="29" t="str">
        <f aca="false">IF(OR(G196="",G196="なし"),"",IF(AA196="経理区分別",BF196+BG196,""))</f>
        <v/>
      </c>
      <c r="AH196" s="27"/>
      <c r="AI196" s="29" t="str">
        <f aca="false">IF(OR(G196="",G196="なし"),"",IF(AA196="経理区分別",BH196+BI196+N(Z196),""))</f>
        <v/>
      </c>
      <c r="AJ196" s="27"/>
      <c r="AK196" s="26" t="s">
        <v>168</v>
      </c>
      <c r="AL196" s="26"/>
      <c r="AM196" s="30"/>
      <c r="AN196" s="31"/>
      <c r="AO196" s="31"/>
      <c r="AP196" s="31"/>
      <c r="AQ196" s="31"/>
      <c r="AR196" s="31"/>
      <c r="AS196" s="31"/>
      <c r="AT196" s="31"/>
      <c r="AU196" s="31"/>
      <c r="AV196" s="31"/>
      <c r="AW196" s="31"/>
      <c r="AX196" s="31"/>
      <c r="AY196" s="31" t="n">
        <f aca="false">IF($G196="",AN196,O196)</f>
        <v>269925</v>
      </c>
      <c r="AZ196" s="31" t="n">
        <f aca="false">IF($G196="",AO196,P196)</f>
        <v>22125</v>
      </c>
      <c r="BA196" s="31" t="n">
        <f aca="false">IF($G196="",AP196,T196)</f>
        <v>387630</v>
      </c>
      <c r="BB196" s="31" t="n">
        <f aca="false">IF($G196="",AQ196,U196)</f>
        <v>22125</v>
      </c>
      <c r="BC196" s="31" t="n">
        <f aca="false">IF($G196="",AR196,V196)</f>
        <v>256</v>
      </c>
      <c r="BD196" s="31" t="n">
        <f aca="false">IF($G196="",AS196,Q196)</f>
        <v>173210</v>
      </c>
      <c r="BE196" s="31" t="n">
        <f aca="false">IF($G196="",AT196,W196)</f>
        <v>176117</v>
      </c>
      <c r="BF196" s="31" t="n">
        <f aca="false">IF($G196="",AU196,R196)</f>
        <v>15800</v>
      </c>
      <c r="BG196" s="31" t="n">
        <f aca="false">IF($G196="",AV196,X196)</f>
        <v>15800</v>
      </c>
      <c r="BH196" s="31" t="n">
        <f aca="false">IF($G196="",AW196,S196)</f>
        <v>3839</v>
      </c>
      <c r="BI196" s="31" t="n">
        <f aca="false">IF($G196="",AX196,Y196)</f>
        <v>3840</v>
      </c>
      <c r="BJ196" s="31" t="n">
        <f aca="false">IF(CK196="N",BR196,ROUNDDOWN((I196-L196)*設定!$B$10/1000,0)+ROUNDDOWN((I196-L196)*設定!$B$11/1000,0))</f>
        <v>0</v>
      </c>
      <c r="BK196" s="31" t="n">
        <f aca="false">ROUNDDOWN((I196-L196)*設定!$C$10/1000,0)+ROUNDDOWN((I196-L196)*設定!$C$11/1000,0)+ROUNDDOWN(I196*設定!$C$12/1000,0)+IF(CL196="市局型",ROUNDDOWN(I196*設定!$C$16/1000,0),0)</f>
        <v>0</v>
      </c>
      <c r="BL196" s="31" t="n">
        <f aca="false">IF(CK196="N",BT196,ROUNDDOWN((J196-M196)*設定!$B$13/1000,0))</f>
        <v>0</v>
      </c>
      <c r="BM196" s="31" t="n">
        <f aca="false">ROUNDDOWN((J196-M196)*設定!$C$13/1000,0)+IF(CL196="市局型",ROUNDDOWN(J196*設定!$C$17/1000,0),0)</f>
        <v>0</v>
      </c>
      <c r="BN196" s="31" t="n">
        <f aca="false">IF(CK196="N",BV196,ROUNDDOWN((K196-N196)*設定!$B$14/1000,0))</f>
        <v>0</v>
      </c>
      <c r="BO196" s="31" t="n">
        <f aca="false">ROUNDDOWN((K196-N196)*設定!$C$14/1000,0)</f>
        <v>0</v>
      </c>
      <c r="BP196" s="31" t="n">
        <f aca="false">IF(CK196="N",BX196,ROUNDDOWN((J196-M196)*設定!$B$15/1000,0))</f>
        <v>0</v>
      </c>
      <c r="BQ196" s="31" t="n">
        <f aca="false">ROUNDDOWN((J196-M196)*設定!$C$15/1000,0)</f>
        <v>0</v>
      </c>
      <c r="BR196" s="31" t="n">
        <f aca="false">O196+P196</f>
        <v>292050</v>
      </c>
      <c r="BS196" s="31" t="n">
        <f aca="false">T196+U196+V196</f>
        <v>410011</v>
      </c>
      <c r="BT196" s="31" t="n">
        <f aca="false">Q196</f>
        <v>173210</v>
      </c>
      <c r="BU196" s="31" t="n">
        <f aca="false">W196</f>
        <v>176117</v>
      </c>
      <c r="BV196" s="31" t="n">
        <f aca="false">R196</f>
        <v>15800</v>
      </c>
      <c r="BW196" s="31" t="n">
        <f aca="false">X196</f>
        <v>15800</v>
      </c>
      <c r="BX196" s="31" t="n">
        <f aca="false">S196</f>
        <v>3839</v>
      </c>
      <c r="BY196" s="31" t="n">
        <f aca="false">Y196</f>
        <v>3840</v>
      </c>
      <c r="BZ196" s="32" t="n">
        <f aca="false">IF(BJ196=0,IF(BR196=0,0,1),(BR196-BJ196)/BJ196)</f>
        <v>1</v>
      </c>
      <c r="CA196" s="32" t="n">
        <f aca="false">IF(BK196=0,IF(BS196=0,0,1),(BS196-BK196)/BK196)</f>
        <v>1</v>
      </c>
      <c r="CB196" s="32" t="n">
        <f aca="false">IF(BL196=0,IF(BT196=0,0,1),(BT196-BL196)/BL196)</f>
        <v>1</v>
      </c>
      <c r="CC196" s="32" t="n">
        <f aca="false">IF(BM196=0,IF(BU196=0,0,1),(BU196-BM196)/BM196)</f>
        <v>1</v>
      </c>
      <c r="CD196" s="32" t="n">
        <f aca="false">IF(BN196=0,IF(BV196=0,0,1),(BV196-BN196)/BN196)</f>
        <v>1</v>
      </c>
      <c r="CE196" s="32" t="n">
        <f aca="false">IF(BO196=0,IF(BW196=0,0,1),(BW196-BO196)/BO196)</f>
        <v>1</v>
      </c>
      <c r="CF196" s="32" t="n">
        <f aca="false">IF(BP196=0,IF(BX196=0,0,1),(BX196-BP196)/BP196)</f>
        <v>1</v>
      </c>
      <c r="CG196" s="32" t="n">
        <f aca="false">IF(BQ196=0,IF(BY196=0,0,1),(BY196-BQ196)/BQ196)</f>
        <v>1</v>
      </c>
      <c r="CH196" s="32" t="n">
        <f aca="false">MAX(MAX(BZ196:CG196),-MIN(BZ196:CG196))</f>
        <v>1</v>
      </c>
      <c r="CI196" s="31" t="n">
        <f aca="false">IF(CO196="","",SUMIFS($CJ$7:$CJ$696,$A$7:$A$696,CO196,$B$7:$B$696,B196))</f>
        <v>1304491</v>
      </c>
      <c r="CJ196" s="31" t="n">
        <f aca="false">SUM(AY196:BI196)</f>
        <v>1090667</v>
      </c>
      <c r="CK196" s="31" t="str">
        <f aca="false">IFERROR(INDEX(設定!$F$61:$F$106,MATCH(B196,設定!$B$61:$B$106,0)),"Y")</f>
        <v>Y</v>
      </c>
      <c r="CL196" s="31" t="str">
        <f aca="false">IFERROR(INDEX(設定!$G$61:$G$106,MATCH(B196,設定!$B$61:$B$106,0)),"外郭型")</f>
        <v>市局型</v>
      </c>
      <c r="CM196" s="33" t="str">
        <f aca="false">A196&amp;"|"&amp;B196</f>
        <v>2026-07 月例|選挙管理委員会</v>
      </c>
      <c r="CN196" s="34" t="str">
        <f aca="false">IFERROR(INDEX(設定!$D$61:$D$106,MATCH(B196,設定!$B$61:$B$106,0)),"Y")</f>
        <v>Y</v>
      </c>
      <c r="CO196" s="34" t="str">
        <f aca="false">IFERROR(INDEX(設定!$D$20:$D$34,MATCH(A196,設定!$A$20:$A$34,0))&amp;"","")</f>
        <v>2026-06 月例</v>
      </c>
    </row>
    <row r="197" customFormat="false" ht="15" hidden="true" customHeight="false" outlineLevel="0" collapsed="false">
      <c r="A197" s="22" t="s">
        <v>220</v>
      </c>
      <c r="B197" s="23" t="s">
        <v>174</v>
      </c>
      <c r="C197" s="10" t="str">
        <f aca="false">IF(G197="","未受領",IF(G197="なし","報告なし",IF(AL197="○","起票済",IF(OR(AK197="○",F197="一致",F197="入金不要"),"入金確認済","受領済"))))</f>
        <v>入金確認済</v>
      </c>
      <c r="D197" s="10" t="str">
        <f aca="false">IF(OR(G197="",G197="なし"),"―",IF(CN197="N","対象外",IF(AND(I197="",J197="",K197=""),"標報未入力",IF(CH197&gt;=設定!$B$4,"要確認","問題なし"))))</f>
        <v>標報未入力</v>
      </c>
      <c r="E197" s="24" t="str">
        <f aca="false">IF(OR(G197="",G197="なし",CI197="",CJ197=0),"―",IF(CJ197=CI197,"前月同額",IF(CI197=0,"―",IF(ABS(CJ197/CI197-1)&gt;=設定!$B$5,"変動大 "&amp;TEXT(CJ197/CI197-1,"+0%;-0%"),"〇"))))</f>
        <v>〇</v>
      </c>
      <c r="F197" s="10" t="str">
        <f aca="false">IF(OR(G197="",G197="なし"),"―",IF(CJ197=0,"入金不要",IF(COUNT(AD197,AF197,AH197,AJ197)=0,IF(AK197="○","手動確認","未入金"),IF(AND(N(AD197)=AC197,IF(AE197="",TRUE(),N(AF197)=AE197),IF(AG197="",TRUE(),N(AH197)=AG197),IF(AI197="",TRUE(),N(AJ197)=AI197)),"一致","不一致"))))</f>
        <v>手動確認</v>
      </c>
      <c r="G197" s="25" t="s">
        <v>167</v>
      </c>
      <c r="H197" s="26"/>
      <c r="I197" s="27"/>
      <c r="J197" s="27"/>
      <c r="K197" s="27"/>
      <c r="L197" s="27"/>
      <c r="M197" s="27"/>
      <c r="N197" s="27"/>
      <c r="O197" s="27" t="n">
        <v>618540</v>
      </c>
      <c r="P197" s="27" t="n">
        <v>50700</v>
      </c>
      <c r="Q197" s="27" t="n">
        <v>364051</v>
      </c>
      <c r="R197" s="27" t="n">
        <v>30257</v>
      </c>
      <c r="S197" s="27" t="n">
        <v>8070</v>
      </c>
      <c r="T197" s="27" t="n">
        <v>888264</v>
      </c>
      <c r="U197" s="27" t="n">
        <v>50700</v>
      </c>
      <c r="V197" s="27" t="n">
        <v>587</v>
      </c>
      <c r="W197" s="27" t="n">
        <v>370163</v>
      </c>
      <c r="X197" s="27" t="n">
        <v>30257</v>
      </c>
      <c r="Y197" s="27" t="n">
        <v>8073</v>
      </c>
      <c r="Z197" s="27"/>
      <c r="AA197" s="10" t="str">
        <f aca="false">IFERROR(INDEX(設定!$E$61:$E$106,MATCH(B197,設定!$B$61:$B$106,0)),"合算")</f>
        <v>合算</v>
      </c>
      <c r="AB197" s="28"/>
      <c r="AC197" s="29" t="n">
        <f aca="false">IF(OR(G197="",G197="なし"),"",IF(AA197="合算",CJ197+N(Z197),IF(AA197="掛金・負担金別",(AY197+AZ197+BD197+BF197+BH197),SUM(AY197:BC197))))</f>
        <v>2419662</v>
      </c>
      <c r="AD197" s="27"/>
      <c r="AE197" s="29" t="str">
        <f aca="false">IF(OR(G197="",G197="なし"),"",IF(AA197="掛金・負担金別",(BA197+BB197+BC197+BE197+BG197+BI197+N(Z197)),IF(AA197="経理区分別",BD197+BE197,"")))</f>
        <v/>
      </c>
      <c r="AF197" s="27"/>
      <c r="AG197" s="29" t="str">
        <f aca="false">IF(OR(G197="",G197="なし"),"",IF(AA197="経理区分別",BF197+BG197,""))</f>
        <v/>
      </c>
      <c r="AH197" s="27"/>
      <c r="AI197" s="29" t="str">
        <f aca="false">IF(OR(G197="",G197="なし"),"",IF(AA197="経理区分別",BH197+BI197+N(Z197),""))</f>
        <v/>
      </c>
      <c r="AJ197" s="27"/>
      <c r="AK197" s="26" t="s">
        <v>168</v>
      </c>
      <c r="AL197" s="26"/>
      <c r="AM197" s="30"/>
      <c r="AN197" s="31"/>
      <c r="AO197" s="31"/>
      <c r="AP197" s="31"/>
      <c r="AQ197" s="31"/>
      <c r="AR197" s="31"/>
      <c r="AS197" s="31"/>
      <c r="AT197" s="31"/>
      <c r="AU197" s="31"/>
      <c r="AV197" s="31"/>
      <c r="AW197" s="31"/>
      <c r="AX197" s="31"/>
      <c r="AY197" s="31" t="n">
        <f aca="false">IF($G197="",AN197,O197)</f>
        <v>618540</v>
      </c>
      <c r="AZ197" s="31" t="n">
        <f aca="false">IF($G197="",AO197,P197)</f>
        <v>50700</v>
      </c>
      <c r="BA197" s="31" t="n">
        <f aca="false">IF($G197="",AP197,T197)</f>
        <v>888264</v>
      </c>
      <c r="BB197" s="31" t="n">
        <f aca="false">IF($G197="",AQ197,U197)</f>
        <v>50700</v>
      </c>
      <c r="BC197" s="31" t="n">
        <f aca="false">IF($G197="",AR197,V197)</f>
        <v>587</v>
      </c>
      <c r="BD197" s="31" t="n">
        <f aca="false">IF($G197="",AS197,Q197)</f>
        <v>364051</v>
      </c>
      <c r="BE197" s="31" t="n">
        <f aca="false">IF($G197="",AT197,W197)</f>
        <v>370163</v>
      </c>
      <c r="BF197" s="31" t="n">
        <f aca="false">IF($G197="",AU197,R197)</f>
        <v>30257</v>
      </c>
      <c r="BG197" s="31" t="n">
        <f aca="false">IF($G197="",AV197,X197)</f>
        <v>30257</v>
      </c>
      <c r="BH197" s="31" t="n">
        <f aca="false">IF($G197="",AW197,S197)</f>
        <v>8070</v>
      </c>
      <c r="BI197" s="31" t="n">
        <f aca="false">IF($G197="",AX197,Y197)</f>
        <v>8073</v>
      </c>
      <c r="BJ197" s="31" t="n">
        <f aca="false">IF(CK197="N",BR197,ROUNDDOWN((I197-L197)*設定!$B$10/1000,0)+ROUNDDOWN((I197-L197)*設定!$B$11/1000,0))</f>
        <v>0</v>
      </c>
      <c r="BK197" s="31" t="n">
        <f aca="false">ROUNDDOWN((I197-L197)*設定!$C$10/1000,0)+ROUNDDOWN((I197-L197)*設定!$C$11/1000,0)+ROUNDDOWN(I197*設定!$C$12/1000,0)+IF(CL197="市局型",ROUNDDOWN(I197*設定!$C$16/1000,0),0)</f>
        <v>0</v>
      </c>
      <c r="BL197" s="31" t="n">
        <f aca="false">IF(CK197="N",BT197,ROUNDDOWN((J197-M197)*設定!$B$13/1000,0))</f>
        <v>0</v>
      </c>
      <c r="BM197" s="31" t="n">
        <f aca="false">ROUNDDOWN((J197-M197)*設定!$C$13/1000,0)+IF(CL197="市局型",ROUNDDOWN(J197*設定!$C$17/1000,0),0)</f>
        <v>0</v>
      </c>
      <c r="BN197" s="31" t="n">
        <f aca="false">IF(CK197="N",BV197,ROUNDDOWN((K197-N197)*設定!$B$14/1000,0))</f>
        <v>0</v>
      </c>
      <c r="BO197" s="31" t="n">
        <f aca="false">ROUNDDOWN((K197-N197)*設定!$C$14/1000,0)</f>
        <v>0</v>
      </c>
      <c r="BP197" s="31" t="n">
        <f aca="false">IF(CK197="N",BX197,ROUNDDOWN((J197-M197)*設定!$B$15/1000,0))</f>
        <v>0</v>
      </c>
      <c r="BQ197" s="31" t="n">
        <f aca="false">ROUNDDOWN((J197-M197)*設定!$C$15/1000,0)</f>
        <v>0</v>
      </c>
      <c r="BR197" s="31" t="n">
        <f aca="false">O197+P197</f>
        <v>669240</v>
      </c>
      <c r="BS197" s="31" t="n">
        <f aca="false">T197+U197+V197</f>
        <v>939551</v>
      </c>
      <c r="BT197" s="31" t="n">
        <f aca="false">Q197</f>
        <v>364051</v>
      </c>
      <c r="BU197" s="31" t="n">
        <f aca="false">W197</f>
        <v>370163</v>
      </c>
      <c r="BV197" s="31" t="n">
        <f aca="false">R197</f>
        <v>30257</v>
      </c>
      <c r="BW197" s="31" t="n">
        <f aca="false">X197</f>
        <v>30257</v>
      </c>
      <c r="BX197" s="31" t="n">
        <f aca="false">S197</f>
        <v>8070</v>
      </c>
      <c r="BY197" s="31" t="n">
        <f aca="false">Y197</f>
        <v>8073</v>
      </c>
      <c r="BZ197" s="32" t="n">
        <f aca="false">IF(BJ197=0,IF(BR197=0,0,1),(BR197-BJ197)/BJ197)</f>
        <v>1</v>
      </c>
      <c r="CA197" s="32" t="n">
        <f aca="false">IF(BK197=0,IF(BS197=0,0,1),(BS197-BK197)/BK197)</f>
        <v>1</v>
      </c>
      <c r="CB197" s="32" t="n">
        <f aca="false">IF(BL197=0,IF(BT197=0,0,1),(BT197-BL197)/BL197)</f>
        <v>1</v>
      </c>
      <c r="CC197" s="32" t="n">
        <f aca="false">IF(BM197=0,IF(BU197=0,0,1),(BU197-BM197)/BM197)</f>
        <v>1</v>
      </c>
      <c r="CD197" s="32" t="n">
        <f aca="false">IF(BN197=0,IF(BV197=0,0,1),(BV197-BN197)/BN197)</f>
        <v>1</v>
      </c>
      <c r="CE197" s="32" t="n">
        <f aca="false">IF(BO197=0,IF(BW197=0,0,1),(BW197-BO197)/BO197)</f>
        <v>1</v>
      </c>
      <c r="CF197" s="32" t="n">
        <f aca="false">IF(BP197=0,IF(BX197=0,0,1),(BX197-BP197)/BP197)</f>
        <v>1</v>
      </c>
      <c r="CG197" s="32" t="n">
        <f aca="false">IF(BQ197=0,IF(BY197=0,0,1),(BY197-BQ197)/BQ197)</f>
        <v>1</v>
      </c>
      <c r="CH197" s="32" t="n">
        <f aca="false">MAX(MAX(BZ197:CG197),-MIN(BZ197:CG197))</f>
        <v>1</v>
      </c>
      <c r="CI197" s="31" t="n">
        <f aca="false">IF(CO197="","",SUMIFS($CJ$7:$CJ$696,$A$7:$A$696,CO197,$B$7:$B$696,B197))</f>
        <v>2338916</v>
      </c>
      <c r="CJ197" s="31" t="n">
        <f aca="false">SUM(AY197:BI197)</f>
        <v>2419662</v>
      </c>
      <c r="CK197" s="31" t="str">
        <f aca="false">IFERROR(INDEX(設定!$F$61:$F$106,MATCH(B197,設定!$B$61:$B$106,0)),"Y")</f>
        <v>Y</v>
      </c>
      <c r="CL197" s="31" t="str">
        <f aca="false">IFERROR(INDEX(設定!$G$61:$G$106,MATCH(B197,設定!$B$61:$B$106,0)),"外郭型")</f>
        <v>市局型</v>
      </c>
      <c r="CM197" s="33" t="str">
        <f aca="false">A197&amp;"|"&amp;B197</f>
        <v>2026-07 月例|人事委員会</v>
      </c>
      <c r="CN197" s="34" t="str">
        <f aca="false">IFERROR(INDEX(設定!$D$61:$D$106,MATCH(B197,設定!$B$61:$B$106,0)),"Y")</f>
        <v>Y</v>
      </c>
      <c r="CO197" s="34" t="str">
        <f aca="false">IFERROR(INDEX(設定!$D$20:$D$34,MATCH(A197,設定!$A$20:$A$34,0))&amp;"","")</f>
        <v>2026-06 月例</v>
      </c>
    </row>
    <row r="198" customFormat="false" ht="15" hidden="true" customHeight="false" outlineLevel="0" collapsed="false">
      <c r="A198" s="22" t="s">
        <v>220</v>
      </c>
      <c r="B198" s="23" t="s">
        <v>175</v>
      </c>
      <c r="C198" s="10" t="str">
        <f aca="false">IF(G198="","未受領",IF(G198="なし","報告なし",IF(AL198="○","起票済",IF(OR(AK198="○",F198="一致",F198="入金不要"),"入金確認済","受領済"))))</f>
        <v>入金確認済</v>
      </c>
      <c r="D198" s="10" t="str">
        <f aca="false">IF(OR(G198="",G198="なし"),"―",IF(CN198="N","対象外",IF(AND(I198="",J198="",K198=""),"標報未入力",IF(CH198&gt;=設定!$B$4,"要確認","問題なし"))))</f>
        <v>標報未入力</v>
      </c>
      <c r="E198" s="24" t="str">
        <f aca="false">IF(OR(G198="",G198="なし",CI198="",CJ198=0),"―",IF(CJ198=CI198,"前月同額",IF(CI198=0,"―",IF(ABS(CJ198/CI198-1)&gt;=設定!$B$5,"変動大 "&amp;TEXT(CJ198/CI198-1,"+0%;-0%"),"〇"))))</f>
        <v>〇</v>
      </c>
      <c r="F198" s="10" t="str">
        <f aca="false">IF(OR(G198="",G198="なし"),"―",IF(CJ198=0,"入金不要",IF(COUNT(AD198,AF198,AH198,AJ198)=0,IF(AK198="○","手動確認","未入金"),IF(AND(N(AD198)=AC198,IF(AE198="",TRUE(),N(AF198)=AE198),IF(AG198="",TRUE(),N(AH198)=AG198),IF(AI198="",TRUE(),N(AJ198)=AI198)),"一致","不一致"))))</f>
        <v>手動確認</v>
      </c>
      <c r="G198" s="25" t="s">
        <v>167</v>
      </c>
      <c r="H198" s="26"/>
      <c r="I198" s="27"/>
      <c r="J198" s="27"/>
      <c r="K198" s="27"/>
      <c r="L198" s="27"/>
      <c r="M198" s="27"/>
      <c r="N198" s="27"/>
      <c r="O198" s="27" t="n">
        <v>1317600</v>
      </c>
      <c r="P198" s="27" t="n">
        <v>108000</v>
      </c>
      <c r="Q198" s="27" t="n">
        <v>766995</v>
      </c>
      <c r="R198" s="27" t="n">
        <v>107914</v>
      </c>
      <c r="S198" s="27" t="n">
        <v>17000</v>
      </c>
      <c r="T198" s="27" t="n">
        <v>1903332</v>
      </c>
      <c r="U198" s="27" t="n">
        <v>108000</v>
      </c>
      <c r="V198" s="27" t="n">
        <v>1275</v>
      </c>
      <c r="W198" s="27" t="n">
        <v>780119</v>
      </c>
      <c r="X198" s="27" t="n">
        <v>107914</v>
      </c>
      <c r="Y198" s="27" t="n">
        <v>17007</v>
      </c>
      <c r="Z198" s="27"/>
      <c r="AA198" s="10" t="str">
        <f aca="false">IFERROR(INDEX(設定!$E$61:$E$106,MATCH(B198,設定!$B$61:$B$106,0)),"合算")</f>
        <v>合算</v>
      </c>
      <c r="AB198" s="28"/>
      <c r="AC198" s="29" t="n">
        <f aca="false">IF(OR(G198="",G198="なし"),"",IF(AA198="合算",CJ198+N(Z198),IF(AA198="掛金・負担金別",(AY198+AZ198+BD198+BF198+BH198),SUM(AY198:BC198))))</f>
        <v>5235156</v>
      </c>
      <c r="AD198" s="27"/>
      <c r="AE198" s="29" t="str">
        <f aca="false">IF(OR(G198="",G198="なし"),"",IF(AA198="掛金・負担金別",(BA198+BB198+BC198+BE198+BG198+BI198+N(Z198)),IF(AA198="経理区分別",BD198+BE198,"")))</f>
        <v/>
      </c>
      <c r="AF198" s="27"/>
      <c r="AG198" s="29" t="str">
        <f aca="false">IF(OR(G198="",G198="なし"),"",IF(AA198="経理区分別",BF198+BG198,""))</f>
        <v/>
      </c>
      <c r="AH198" s="27"/>
      <c r="AI198" s="29" t="str">
        <f aca="false">IF(OR(G198="",G198="なし"),"",IF(AA198="経理区分別",BH198+BI198+N(Z198),""))</f>
        <v/>
      </c>
      <c r="AJ198" s="27"/>
      <c r="AK198" s="26" t="s">
        <v>168</v>
      </c>
      <c r="AL198" s="26"/>
      <c r="AM198" s="30"/>
      <c r="AN198" s="31"/>
      <c r="AO198" s="31"/>
      <c r="AP198" s="31"/>
      <c r="AQ198" s="31"/>
      <c r="AR198" s="31"/>
      <c r="AS198" s="31"/>
      <c r="AT198" s="31"/>
      <c r="AU198" s="31"/>
      <c r="AV198" s="31"/>
      <c r="AW198" s="31"/>
      <c r="AX198" s="31"/>
      <c r="AY198" s="31" t="n">
        <f aca="false">IF($G198="",AN198,O198)</f>
        <v>1317600</v>
      </c>
      <c r="AZ198" s="31" t="n">
        <f aca="false">IF($G198="",AO198,P198)</f>
        <v>108000</v>
      </c>
      <c r="BA198" s="31" t="n">
        <f aca="false">IF($G198="",AP198,T198)</f>
        <v>1903332</v>
      </c>
      <c r="BB198" s="31" t="n">
        <f aca="false">IF($G198="",AQ198,U198)</f>
        <v>108000</v>
      </c>
      <c r="BC198" s="31" t="n">
        <f aca="false">IF($G198="",AR198,V198)</f>
        <v>1275</v>
      </c>
      <c r="BD198" s="31" t="n">
        <f aca="false">IF($G198="",AS198,Q198)</f>
        <v>766995</v>
      </c>
      <c r="BE198" s="31" t="n">
        <f aca="false">IF($G198="",AT198,W198)</f>
        <v>780119</v>
      </c>
      <c r="BF198" s="31" t="n">
        <f aca="false">IF($G198="",AU198,R198)</f>
        <v>107914</v>
      </c>
      <c r="BG198" s="31" t="n">
        <f aca="false">IF($G198="",AV198,X198)</f>
        <v>107914</v>
      </c>
      <c r="BH198" s="31" t="n">
        <f aca="false">IF($G198="",AW198,S198)</f>
        <v>17000</v>
      </c>
      <c r="BI198" s="31" t="n">
        <f aca="false">IF($G198="",AX198,Y198)</f>
        <v>17007</v>
      </c>
      <c r="BJ198" s="31" t="n">
        <f aca="false">IF(CK198="N",BR198,ROUNDDOWN((I198-L198)*設定!$B$10/1000,0)+ROUNDDOWN((I198-L198)*設定!$B$11/1000,0))</f>
        <v>0</v>
      </c>
      <c r="BK198" s="31" t="n">
        <f aca="false">ROUNDDOWN((I198-L198)*設定!$C$10/1000,0)+ROUNDDOWN((I198-L198)*設定!$C$11/1000,0)+ROUNDDOWN(I198*設定!$C$12/1000,0)+IF(CL198="市局型",ROUNDDOWN(I198*設定!$C$16/1000,0),0)</f>
        <v>0</v>
      </c>
      <c r="BL198" s="31" t="n">
        <f aca="false">IF(CK198="N",BT198,ROUNDDOWN((J198-M198)*設定!$B$13/1000,0))</f>
        <v>0</v>
      </c>
      <c r="BM198" s="31" t="n">
        <f aca="false">ROUNDDOWN((J198-M198)*設定!$C$13/1000,0)+IF(CL198="市局型",ROUNDDOWN(J198*設定!$C$17/1000,0),0)</f>
        <v>0</v>
      </c>
      <c r="BN198" s="31" t="n">
        <f aca="false">IF(CK198="N",BV198,ROUNDDOWN((K198-N198)*設定!$B$14/1000,0))</f>
        <v>0</v>
      </c>
      <c r="BO198" s="31" t="n">
        <f aca="false">ROUNDDOWN((K198-N198)*設定!$C$14/1000,0)</f>
        <v>0</v>
      </c>
      <c r="BP198" s="31" t="n">
        <f aca="false">IF(CK198="N",BX198,ROUNDDOWN((J198-M198)*設定!$B$15/1000,0))</f>
        <v>0</v>
      </c>
      <c r="BQ198" s="31" t="n">
        <f aca="false">ROUNDDOWN((J198-M198)*設定!$C$15/1000,0)</f>
        <v>0</v>
      </c>
      <c r="BR198" s="31" t="n">
        <f aca="false">O198+P198</f>
        <v>1425600</v>
      </c>
      <c r="BS198" s="31" t="n">
        <f aca="false">T198+U198+V198</f>
        <v>2012607</v>
      </c>
      <c r="BT198" s="31" t="n">
        <f aca="false">Q198</f>
        <v>766995</v>
      </c>
      <c r="BU198" s="31" t="n">
        <f aca="false">W198</f>
        <v>780119</v>
      </c>
      <c r="BV198" s="31" t="n">
        <f aca="false">R198</f>
        <v>107914</v>
      </c>
      <c r="BW198" s="31" t="n">
        <f aca="false">X198</f>
        <v>107914</v>
      </c>
      <c r="BX198" s="31" t="n">
        <f aca="false">S198</f>
        <v>17000</v>
      </c>
      <c r="BY198" s="31" t="n">
        <f aca="false">Y198</f>
        <v>17007</v>
      </c>
      <c r="BZ198" s="32" t="n">
        <f aca="false">IF(BJ198=0,IF(BR198=0,0,1),(BR198-BJ198)/BJ198)</f>
        <v>1</v>
      </c>
      <c r="CA198" s="32" t="n">
        <f aca="false">IF(BK198=0,IF(BS198=0,0,1),(BS198-BK198)/BK198)</f>
        <v>1</v>
      </c>
      <c r="CB198" s="32" t="n">
        <f aca="false">IF(BL198=0,IF(BT198=0,0,1),(BT198-BL198)/BL198)</f>
        <v>1</v>
      </c>
      <c r="CC198" s="32" t="n">
        <f aca="false">IF(BM198=0,IF(BU198=0,0,1),(BU198-BM198)/BM198)</f>
        <v>1</v>
      </c>
      <c r="CD198" s="32" t="n">
        <f aca="false">IF(BN198=0,IF(BV198=0,0,1),(BV198-BN198)/BN198)</f>
        <v>1</v>
      </c>
      <c r="CE198" s="32" t="n">
        <f aca="false">IF(BO198=0,IF(BW198=0,0,1),(BW198-BO198)/BO198)</f>
        <v>1</v>
      </c>
      <c r="CF198" s="32" t="n">
        <f aca="false">IF(BP198=0,IF(BX198=0,0,1),(BX198-BP198)/BP198)</f>
        <v>1</v>
      </c>
      <c r="CG198" s="32" t="n">
        <f aca="false">IF(BQ198=0,IF(BY198=0,0,1),(BY198-BQ198)/BQ198)</f>
        <v>1</v>
      </c>
      <c r="CH198" s="32" t="n">
        <f aca="false">MAX(MAX(BZ198:CG198),-MIN(BZ198:CG198))</f>
        <v>1</v>
      </c>
      <c r="CI198" s="31" t="n">
        <f aca="false">IF(CO198="","",SUMIFS($CJ$7:$CJ$696,$A$7:$A$696,CO198,$B$7:$B$696,B198))</f>
        <v>5248909</v>
      </c>
      <c r="CJ198" s="31" t="n">
        <f aca="false">SUM(AY198:BI198)</f>
        <v>5235156</v>
      </c>
      <c r="CK198" s="31" t="str">
        <f aca="false">IFERROR(INDEX(設定!$F$61:$F$106,MATCH(B198,設定!$B$61:$B$106,0)),"Y")</f>
        <v>Y</v>
      </c>
      <c r="CL198" s="31" t="str">
        <f aca="false">IFERROR(INDEX(設定!$G$61:$G$106,MATCH(B198,設定!$B$61:$B$106,0)),"外郭型")</f>
        <v>市局型</v>
      </c>
      <c r="CM198" s="33" t="str">
        <f aca="false">A198&amp;"|"&amp;B198</f>
        <v>2026-07 月例|監査事務局</v>
      </c>
      <c r="CN198" s="34" t="str">
        <f aca="false">IFERROR(INDEX(設定!$D$61:$D$106,MATCH(B198,設定!$B$61:$B$106,0)),"Y")</f>
        <v>Y</v>
      </c>
      <c r="CO198" s="34" t="str">
        <f aca="false">IFERROR(INDEX(設定!$D$20:$D$34,MATCH(A198,設定!$A$20:$A$34,0))&amp;"","")</f>
        <v>2026-06 月例</v>
      </c>
    </row>
    <row r="199" customFormat="false" ht="15" hidden="true" customHeight="false" outlineLevel="0" collapsed="false">
      <c r="A199" s="22" t="s">
        <v>220</v>
      </c>
      <c r="B199" s="23" t="s">
        <v>176</v>
      </c>
      <c r="C199" s="10" t="str">
        <f aca="false">IF(G199="","未受領",IF(G199="なし","報告なし",IF(AL199="○","起票済",IF(OR(AK199="○",F199="一致",F199="入金不要"),"入金確認済","受領済"))))</f>
        <v>入金確認済</v>
      </c>
      <c r="D199" s="10" t="str">
        <f aca="false">IF(OR(G199="",G199="なし"),"―",IF(CN199="N","対象外",IF(AND(I199="",J199="",K199=""),"標報未入力",IF(CH199&gt;=設定!$B$4,"要確認","問題なし"))))</f>
        <v>標報未入力</v>
      </c>
      <c r="E199" s="24" t="str">
        <f aca="false">IF(OR(G199="",G199="なし",CI199="",CJ199=0),"―",IF(CJ199=CI199,"前月同額",IF(CI199=0,"―",IF(ABS(CJ199/CI199-1)&gt;=設定!$B$5,"変動大 "&amp;TEXT(CJ199/CI199-1,"+0%;-0%"),"〇"))))</f>
        <v>〇</v>
      </c>
      <c r="F199" s="10" t="str">
        <f aca="false">IF(OR(G199="",G199="なし"),"―",IF(CJ199=0,"入金不要",IF(COUNT(AD199,AF199,AH199,AJ199)=0,IF(AK199="○","手動確認","未入金"),IF(AND(N(AD199)=AC199,IF(AE199="",TRUE(),N(AF199)=AE199),IF(AG199="",TRUE(),N(AH199)=AG199),IF(AI199="",TRUE(),N(AJ199)=AI199)),"一致","不一致"))))</f>
        <v>手動確認</v>
      </c>
      <c r="G199" s="25" t="s">
        <v>167</v>
      </c>
      <c r="H199" s="26"/>
      <c r="I199" s="27"/>
      <c r="J199" s="27"/>
      <c r="K199" s="27"/>
      <c r="L199" s="27"/>
      <c r="M199" s="27"/>
      <c r="N199" s="27"/>
      <c r="O199" s="27" t="n">
        <v>396195</v>
      </c>
      <c r="P199" s="27" t="n">
        <v>32475</v>
      </c>
      <c r="Q199" s="27" t="n">
        <v>299021</v>
      </c>
      <c r="R199" s="27" t="n">
        <v>33383</v>
      </c>
      <c r="S199" s="27" t="n">
        <v>6628</v>
      </c>
      <c r="T199" s="27" t="n">
        <v>568962</v>
      </c>
      <c r="U199" s="27" t="n">
        <v>32475</v>
      </c>
      <c r="V199" s="27" t="n">
        <v>376</v>
      </c>
      <c r="W199" s="27" t="n">
        <v>304040</v>
      </c>
      <c r="X199" s="27" t="n">
        <v>33385</v>
      </c>
      <c r="Y199" s="27" t="n">
        <v>6630</v>
      </c>
      <c r="Z199" s="27"/>
      <c r="AA199" s="10" t="str">
        <f aca="false">IFERROR(INDEX(設定!$E$61:$E$106,MATCH(B199,設定!$B$61:$B$106,0)),"合算")</f>
        <v>合算</v>
      </c>
      <c r="AB199" s="28"/>
      <c r="AC199" s="29" t="n">
        <f aca="false">IF(OR(G199="",G199="なし"),"",IF(AA199="合算",CJ199+N(Z199),IF(AA199="掛金・負担金別",(AY199+AZ199+BD199+BF199+BH199),SUM(AY199:BC199))))</f>
        <v>1713570</v>
      </c>
      <c r="AD199" s="27"/>
      <c r="AE199" s="29" t="str">
        <f aca="false">IF(OR(G199="",G199="なし"),"",IF(AA199="掛金・負担金別",(BA199+BB199+BC199+BE199+BG199+BI199+N(Z199)),IF(AA199="経理区分別",BD199+BE199,"")))</f>
        <v/>
      </c>
      <c r="AF199" s="27"/>
      <c r="AG199" s="29" t="str">
        <f aca="false">IF(OR(G199="",G199="なし"),"",IF(AA199="経理区分別",BF199+BG199,""))</f>
        <v/>
      </c>
      <c r="AH199" s="27"/>
      <c r="AI199" s="29" t="str">
        <f aca="false">IF(OR(G199="",G199="なし"),"",IF(AA199="経理区分別",BH199+BI199+N(Z199),""))</f>
        <v/>
      </c>
      <c r="AJ199" s="27"/>
      <c r="AK199" s="26" t="s">
        <v>168</v>
      </c>
      <c r="AL199" s="26"/>
      <c r="AM199" s="30"/>
      <c r="AN199" s="31"/>
      <c r="AO199" s="31"/>
      <c r="AP199" s="31"/>
      <c r="AQ199" s="31"/>
      <c r="AR199" s="31"/>
      <c r="AS199" s="31"/>
      <c r="AT199" s="31"/>
      <c r="AU199" s="31"/>
      <c r="AV199" s="31"/>
      <c r="AW199" s="31"/>
      <c r="AX199" s="31"/>
      <c r="AY199" s="31" t="n">
        <f aca="false">IF($G199="",AN199,O199)</f>
        <v>396195</v>
      </c>
      <c r="AZ199" s="31" t="n">
        <f aca="false">IF($G199="",AO199,P199)</f>
        <v>32475</v>
      </c>
      <c r="BA199" s="31" t="n">
        <f aca="false">IF($G199="",AP199,T199)</f>
        <v>568962</v>
      </c>
      <c r="BB199" s="31" t="n">
        <f aca="false">IF($G199="",AQ199,U199)</f>
        <v>32475</v>
      </c>
      <c r="BC199" s="31" t="n">
        <f aca="false">IF($G199="",AR199,V199)</f>
        <v>376</v>
      </c>
      <c r="BD199" s="31" t="n">
        <f aca="false">IF($G199="",AS199,Q199)</f>
        <v>299021</v>
      </c>
      <c r="BE199" s="31" t="n">
        <f aca="false">IF($G199="",AT199,W199)</f>
        <v>304040</v>
      </c>
      <c r="BF199" s="31" t="n">
        <f aca="false">IF($G199="",AU199,R199)</f>
        <v>33383</v>
      </c>
      <c r="BG199" s="31" t="n">
        <f aca="false">IF($G199="",AV199,X199)</f>
        <v>33385</v>
      </c>
      <c r="BH199" s="31" t="n">
        <f aca="false">IF($G199="",AW199,S199)</f>
        <v>6628</v>
      </c>
      <c r="BI199" s="31" t="n">
        <f aca="false">IF($G199="",AX199,Y199)</f>
        <v>6630</v>
      </c>
      <c r="BJ199" s="31" t="n">
        <f aca="false">IF(CK199="N",BR199,ROUNDDOWN((I199-L199)*設定!$B$10/1000,0)+ROUNDDOWN((I199-L199)*設定!$B$11/1000,0))</f>
        <v>0</v>
      </c>
      <c r="BK199" s="31" t="n">
        <f aca="false">ROUNDDOWN((I199-L199)*設定!$C$10/1000,0)+ROUNDDOWN((I199-L199)*設定!$C$11/1000,0)+ROUNDDOWN(I199*設定!$C$12/1000,0)+IF(CL199="市局型",ROUNDDOWN(I199*設定!$C$16/1000,0),0)</f>
        <v>0</v>
      </c>
      <c r="BL199" s="31" t="n">
        <f aca="false">IF(CK199="N",BT199,ROUNDDOWN((J199-M199)*設定!$B$13/1000,0))</f>
        <v>0</v>
      </c>
      <c r="BM199" s="31" t="n">
        <f aca="false">ROUNDDOWN((J199-M199)*設定!$C$13/1000,0)+IF(CL199="市局型",ROUNDDOWN(J199*設定!$C$17/1000,0),0)</f>
        <v>0</v>
      </c>
      <c r="BN199" s="31" t="n">
        <f aca="false">IF(CK199="N",BV199,ROUNDDOWN((K199-N199)*設定!$B$14/1000,0))</f>
        <v>0</v>
      </c>
      <c r="BO199" s="31" t="n">
        <f aca="false">ROUNDDOWN((K199-N199)*設定!$C$14/1000,0)</f>
        <v>0</v>
      </c>
      <c r="BP199" s="31" t="n">
        <f aca="false">IF(CK199="N",BX199,ROUNDDOWN((J199-M199)*設定!$B$15/1000,0))</f>
        <v>0</v>
      </c>
      <c r="BQ199" s="31" t="n">
        <f aca="false">ROUNDDOWN((J199-M199)*設定!$C$15/1000,0)</f>
        <v>0</v>
      </c>
      <c r="BR199" s="31" t="n">
        <f aca="false">O199+P199</f>
        <v>428670</v>
      </c>
      <c r="BS199" s="31" t="n">
        <f aca="false">T199+U199+V199</f>
        <v>601813</v>
      </c>
      <c r="BT199" s="31" t="n">
        <f aca="false">Q199</f>
        <v>299021</v>
      </c>
      <c r="BU199" s="31" t="n">
        <f aca="false">W199</f>
        <v>304040</v>
      </c>
      <c r="BV199" s="31" t="n">
        <f aca="false">R199</f>
        <v>33383</v>
      </c>
      <c r="BW199" s="31" t="n">
        <f aca="false">X199</f>
        <v>33385</v>
      </c>
      <c r="BX199" s="31" t="n">
        <f aca="false">S199</f>
        <v>6628</v>
      </c>
      <c r="BY199" s="31" t="n">
        <f aca="false">Y199</f>
        <v>6630</v>
      </c>
      <c r="BZ199" s="32" t="n">
        <f aca="false">IF(BJ199=0,IF(BR199=0,0,1),(BR199-BJ199)/BJ199)</f>
        <v>1</v>
      </c>
      <c r="CA199" s="32" t="n">
        <f aca="false">IF(BK199=0,IF(BS199=0,0,1),(BS199-BK199)/BK199)</f>
        <v>1</v>
      </c>
      <c r="CB199" s="32" t="n">
        <f aca="false">IF(BL199=0,IF(BT199=0,0,1),(BT199-BL199)/BL199)</f>
        <v>1</v>
      </c>
      <c r="CC199" s="32" t="n">
        <f aca="false">IF(BM199=0,IF(BU199=0,0,1),(BU199-BM199)/BM199)</f>
        <v>1</v>
      </c>
      <c r="CD199" s="32" t="n">
        <f aca="false">IF(BN199=0,IF(BV199=0,0,1),(BV199-BN199)/BN199)</f>
        <v>1</v>
      </c>
      <c r="CE199" s="32" t="n">
        <f aca="false">IF(BO199=0,IF(BW199=0,0,1),(BW199-BO199)/BO199)</f>
        <v>1</v>
      </c>
      <c r="CF199" s="32" t="n">
        <f aca="false">IF(BP199=0,IF(BX199=0,0,1),(BX199-BP199)/BP199)</f>
        <v>1</v>
      </c>
      <c r="CG199" s="32" t="n">
        <f aca="false">IF(BQ199=0,IF(BY199=0,0,1),(BY199-BQ199)/BQ199)</f>
        <v>1</v>
      </c>
      <c r="CH199" s="32" t="n">
        <f aca="false">MAX(MAX(BZ199:CG199),-MIN(BZ199:CG199))</f>
        <v>1</v>
      </c>
      <c r="CI199" s="31" t="n">
        <f aca="false">IF(CO199="","",SUMIFS($CJ$7:$CJ$696,$A$7:$A$696,CO199,$B$7:$B$696,B199))</f>
        <v>1768620</v>
      </c>
      <c r="CJ199" s="31" t="n">
        <f aca="false">SUM(AY199:BI199)</f>
        <v>1713570</v>
      </c>
      <c r="CK199" s="31" t="str">
        <f aca="false">IFERROR(INDEX(設定!$F$61:$F$106,MATCH(B199,設定!$B$61:$B$106,0)),"Y")</f>
        <v>Y</v>
      </c>
      <c r="CL199" s="31" t="str">
        <f aca="false">IFERROR(INDEX(設定!$G$61:$G$106,MATCH(B199,設定!$B$61:$B$106,0)),"外郭型")</f>
        <v>市局型</v>
      </c>
      <c r="CM199" s="33" t="str">
        <f aca="false">A199&amp;"|"&amp;B199</f>
        <v>2026-07 月例|農業委員会</v>
      </c>
      <c r="CN199" s="34" t="str">
        <f aca="false">IFERROR(INDEX(設定!$D$61:$D$106,MATCH(B199,設定!$B$61:$B$106,0)),"Y")</f>
        <v>Y</v>
      </c>
      <c r="CO199" s="34" t="str">
        <f aca="false">IFERROR(INDEX(設定!$D$20:$D$34,MATCH(A199,設定!$A$20:$A$34,0))&amp;"","")</f>
        <v>2026-06 月例</v>
      </c>
    </row>
    <row r="200" customFormat="false" ht="15" hidden="true" customHeight="false" outlineLevel="0" collapsed="false">
      <c r="A200" s="22" t="s">
        <v>220</v>
      </c>
      <c r="B200" s="23" t="s">
        <v>177</v>
      </c>
      <c r="C200" s="10" t="str">
        <f aca="false">IF(G200="","未受領",IF(G200="なし","報告なし",IF(AL200="○","起票済",IF(OR(AK200="○",F200="一致",F200="入金不要"),"入金確認済","受領済"))))</f>
        <v>入金確認済</v>
      </c>
      <c r="D200" s="10" t="str">
        <f aca="false">IF(OR(G200="",G200="なし"),"―",IF(CN200="N","対象外",IF(AND(I200="",J200="",K200=""),"標報未入力",IF(CH200&gt;=設定!$B$4,"要確認","問題なし"))))</f>
        <v>対象外</v>
      </c>
      <c r="E200" s="24" t="str">
        <f aca="false">IF(OR(G200="",G200="なし",CI200="",CJ200=0),"―",IF(CJ200=CI200,"前月同額",IF(CI200=0,"―",IF(ABS(CJ200/CI200-1)&gt;=設定!$B$5,"変動大 "&amp;TEXT(CJ200/CI200-1,"+0%;-0%"),"〇"))))</f>
        <v>〇</v>
      </c>
      <c r="F200" s="10" t="str">
        <f aca="false">IF(OR(G200="",G200="なし"),"―",IF(CJ200=0,"入金不要",IF(COUNT(AD200,AF200,AH200,AJ200)=0,IF(AK200="○","手動確認","未入金"),IF(AND(N(AD200)=AC200,IF(AE200="",TRUE(),N(AF200)=AE200),IF(AG200="",TRUE(),N(AH200)=AG200),IF(AI200="",TRUE(),N(AJ200)=AI200)),"一致","不一致"))))</f>
        <v>手動確認</v>
      </c>
      <c r="G200" s="25" t="s">
        <v>167</v>
      </c>
      <c r="H200" s="26"/>
      <c r="I200" s="27"/>
      <c r="J200" s="27"/>
      <c r="K200" s="27"/>
      <c r="L200" s="27"/>
      <c r="M200" s="27"/>
      <c r="N200" s="27"/>
      <c r="O200" s="27" t="n">
        <v>22759527</v>
      </c>
      <c r="P200" s="27" t="n">
        <v>1865535</v>
      </c>
      <c r="Q200" s="27" t="n">
        <v>13590710</v>
      </c>
      <c r="R200" s="27" t="n">
        <v>1377049</v>
      </c>
      <c r="S200" s="27" t="n">
        <v>301037</v>
      </c>
      <c r="T200" s="27" t="n">
        <v>32881359</v>
      </c>
      <c r="U200" s="27" t="n">
        <v>1865535</v>
      </c>
      <c r="V200" s="27" t="n">
        <v>22039</v>
      </c>
      <c r="W200" s="27" t="n">
        <v>13823267</v>
      </c>
      <c r="X200" s="27" t="n">
        <v>1377049</v>
      </c>
      <c r="Y200" s="27" t="n">
        <v>301136</v>
      </c>
      <c r="Z200" s="27"/>
      <c r="AA200" s="10" t="str">
        <f aca="false">IFERROR(INDEX(設定!$E$61:$E$106,MATCH(B200,設定!$B$61:$B$106,0)),"合算")</f>
        <v>合算</v>
      </c>
      <c r="AB200" s="28"/>
      <c r="AC200" s="29" t="n">
        <f aca="false">IF(OR(G200="",G200="なし"),"",IF(AA200="合算",CJ200+N(Z200),IF(AA200="掛金・負担金別",(AY200+AZ200+BD200+BF200+BH200),SUM(AY200:BC200))))</f>
        <v>90164243</v>
      </c>
      <c r="AD200" s="27"/>
      <c r="AE200" s="29" t="str">
        <f aca="false">IF(OR(G200="",G200="なし"),"",IF(AA200="掛金・負担金別",(BA200+BB200+BC200+BE200+BG200+BI200+N(Z200)),IF(AA200="経理区分別",BD200+BE200,"")))</f>
        <v/>
      </c>
      <c r="AF200" s="27"/>
      <c r="AG200" s="29" t="str">
        <f aca="false">IF(OR(G200="",G200="なし"),"",IF(AA200="経理区分別",BF200+BG200,""))</f>
        <v/>
      </c>
      <c r="AH200" s="27"/>
      <c r="AI200" s="29" t="str">
        <f aca="false">IF(OR(G200="",G200="なし"),"",IF(AA200="経理区分別",BH200+BI200+N(Z200),""))</f>
        <v/>
      </c>
      <c r="AJ200" s="27"/>
      <c r="AK200" s="26" t="s">
        <v>168</v>
      </c>
      <c r="AL200" s="26"/>
      <c r="AM200" s="30"/>
      <c r="AN200" s="31"/>
      <c r="AO200" s="31"/>
      <c r="AP200" s="31"/>
      <c r="AQ200" s="31"/>
      <c r="AR200" s="31"/>
      <c r="AS200" s="31"/>
      <c r="AT200" s="31"/>
      <c r="AU200" s="31"/>
      <c r="AV200" s="31"/>
      <c r="AW200" s="31"/>
      <c r="AX200" s="31"/>
      <c r="AY200" s="31" t="n">
        <f aca="false">IF($G200="",AN200,O200)</f>
        <v>22759527</v>
      </c>
      <c r="AZ200" s="31" t="n">
        <f aca="false">IF($G200="",AO200,P200)</f>
        <v>1865535</v>
      </c>
      <c r="BA200" s="31" t="n">
        <f aca="false">IF($G200="",AP200,T200)</f>
        <v>32881359</v>
      </c>
      <c r="BB200" s="31" t="n">
        <f aca="false">IF($G200="",AQ200,U200)</f>
        <v>1865535</v>
      </c>
      <c r="BC200" s="31" t="n">
        <f aca="false">IF($G200="",AR200,V200)</f>
        <v>22039</v>
      </c>
      <c r="BD200" s="31" t="n">
        <f aca="false">IF($G200="",AS200,Q200)</f>
        <v>13590710</v>
      </c>
      <c r="BE200" s="31" t="n">
        <f aca="false">IF($G200="",AT200,W200)</f>
        <v>13823267</v>
      </c>
      <c r="BF200" s="31" t="n">
        <f aca="false">IF($G200="",AU200,R200)</f>
        <v>1377049</v>
      </c>
      <c r="BG200" s="31" t="n">
        <f aca="false">IF($G200="",AV200,X200)</f>
        <v>1377049</v>
      </c>
      <c r="BH200" s="31" t="n">
        <f aca="false">IF($G200="",AW200,S200)</f>
        <v>301037</v>
      </c>
      <c r="BI200" s="31" t="n">
        <f aca="false">IF($G200="",AX200,Y200)</f>
        <v>301136</v>
      </c>
      <c r="BJ200" s="31" t="n">
        <f aca="false">IF(CK200="N",BR200,ROUNDDOWN((I200-L200)*設定!$B$10/1000,0)+ROUNDDOWN((I200-L200)*設定!$B$11/1000,0))</f>
        <v>0</v>
      </c>
      <c r="BK200" s="31" t="n">
        <f aca="false">ROUNDDOWN((I200-L200)*設定!$C$10/1000,0)+ROUNDDOWN((I200-L200)*設定!$C$11/1000,0)+ROUNDDOWN(I200*設定!$C$12/1000,0)+IF(CL200="市局型",ROUNDDOWN(I200*設定!$C$16/1000,0),0)</f>
        <v>0</v>
      </c>
      <c r="BL200" s="31" t="n">
        <f aca="false">IF(CK200="N",BT200,ROUNDDOWN((J200-M200)*設定!$B$13/1000,0))</f>
        <v>0</v>
      </c>
      <c r="BM200" s="31" t="n">
        <f aca="false">ROUNDDOWN((J200-M200)*設定!$C$13/1000,0)+IF(CL200="市局型",ROUNDDOWN(J200*設定!$C$17/1000,0),0)</f>
        <v>0</v>
      </c>
      <c r="BN200" s="31" t="n">
        <f aca="false">IF(CK200="N",BV200,ROUNDDOWN((K200-N200)*設定!$B$14/1000,0))</f>
        <v>0</v>
      </c>
      <c r="BO200" s="31" t="n">
        <f aca="false">ROUNDDOWN((K200-N200)*設定!$C$14/1000,0)</f>
        <v>0</v>
      </c>
      <c r="BP200" s="31" t="n">
        <f aca="false">IF(CK200="N",BX200,ROUNDDOWN((J200-M200)*設定!$B$15/1000,0))</f>
        <v>0</v>
      </c>
      <c r="BQ200" s="31" t="n">
        <f aca="false">ROUNDDOWN((J200-M200)*設定!$C$15/1000,0)</f>
        <v>0</v>
      </c>
      <c r="BR200" s="31" t="n">
        <f aca="false">O200+P200</f>
        <v>24625062</v>
      </c>
      <c r="BS200" s="31" t="n">
        <f aca="false">T200+U200+V200</f>
        <v>34768933</v>
      </c>
      <c r="BT200" s="31" t="n">
        <f aca="false">Q200</f>
        <v>13590710</v>
      </c>
      <c r="BU200" s="31" t="n">
        <f aca="false">W200</f>
        <v>13823267</v>
      </c>
      <c r="BV200" s="31" t="n">
        <f aca="false">R200</f>
        <v>1377049</v>
      </c>
      <c r="BW200" s="31" t="n">
        <f aca="false">X200</f>
        <v>1377049</v>
      </c>
      <c r="BX200" s="31" t="n">
        <f aca="false">S200</f>
        <v>301037</v>
      </c>
      <c r="BY200" s="31" t="n">
        <f aca="false">Y200</f>
        <v>301136</v>
      </c>
      <c r="BZ200" s="32" t="n">
        <f aca="false">IF(BJ200=0,IF(BR200=0,0,1),(BR200-BJ200)/BJ200)</f>
        <v>1</v>
      </c>
      <c r="CA200" s="32" t="n">
        <f aca="false">IF(BK200=0,IF(BS200=0,0,1),(BS200-BK200)/BK200)</f>
        <v>1</v>
      </c>
      <c r="CB200" s="32" t="n">
        <f aca="false">IF(BL200=0,IF(BT200=0,0,1),(BT200-BL200)/BL200)</f>
        <v>1</v>
      </c>
      <c r="CC200" s="32" t="n">
        <f aca="false">IF(BM200=0,IF(BU200=0,0,1),(BU200-BM200)/BM200)</f>
        <v>1</v>
      </c>
      <c r="CD200" s="32" t="n">
        <f aca="false">IF(BN200=0,IF(BV200=0,0,1),(BV200-BN200)/BN200)</f>
        <v>1</v>
      </c>
      <c r="CE200" s="32" t="n">
        <f aca="false">IF(BO200=0,IF(BW200=0,0,1),(BW200-BO200)/BO200)</f>
        <v>1</v>
      </c>
      <c r="CF200" s="32" t="n">
        <f aca="false">IF(BP200=0,IF(BX200=0,0,1),(BX200-BP200)/BP200)</f>
        <v>1</v>
      </c>
      <c r="CG200" s="32" t="n">
        <f aca="false">IF(BQ200=0,IF(BY200=0,0,1),(BY200-BQ200)/BQ200)</f>
        <v>1</v>
      </c>
      <c r="CH200" s="32" t="n">
        <f aca="false">MAX(MAX(BZ200:CG200),-MIN(BZ200:CG200))</f>
        <v>1</v>
      </c>
      <c r="CI200" s="31" t="n">
        <f aca="false">IF(CO200="","",SUMIFS($CJ$7:$CJ$696,$A$7:$A$696,CO200,$B$7:$B$696,B200))</f>
        <v>88463632</v>
      </c>
      <c r="CJ200" s="31" t="n">
        <f aca="false">SUM(AY200:BI200)</f>
        <v>90164243</v>
      </c>
      <c r="CK200" s="31" t="str">
        <f aca="false">IFERROR(INDEX(設定!$F$61:$F$106,MATCH(B200,設定!$B$61:$B$106,0)),"Y")</f>
        <v>Y</v>
      </c>
      <c r="CL200" s="31" t="str">
        <f aca="false">IFERROR(INDEX(設定!$G$61:$G$106,MATCH(B200,設定!$B$61:$B$106,0)),"外郭型")</f>
        <v>市局型</v>
      </c>
      <c r="CM200" s="33" t="str">
        <f aca="false">A200&amp;"|"&amp;B200</f>
        <v>2026-07 月例|水道局</v>
      </c>
      <c r="CN200" s="34" t="str">
        <f aca="false">IFERROR(INDEX(設定!$D$61:$D$106,MATCH(B200,設定!$B$61:$B$106,0)),"Y")</f>
        <v>N</v>
      </c>
      <c r="CO200" s="34" t="str">
        <f aca="false">IFERROR(INDEX(設定!$D$20:$D$34,MATCH(A200,設定!$A$20:$A$34,0))&amp;"","")</f>
        <v>2026-06 月例</v>
      </c>
    </row>
    <row r="201" customFormat="false" ht="15" hidden="true" customHeight="false" outlineLevel="0" collapsed="false">
      <c r="A201" s="22" t="s">
        <v>220</v>
      </c>
      <c r="B201" s="23" t="s">
        <v>178</v>
      </c>
      <c r="C201" s="10" t="str">
        <f aca="false">IF(G201="","未受領",IF(G201="なし","報告なし",IF(AL201="○","起票済",IF(OR(AK201="○",F201="一致",F201="入金不要"),"入金確認済","受領済"))))</f>
        <v>入金確認済</v>
      </c>
      <c r="D201" s="10" t="str">
        <f aca="false">IF(OR(G201="",G201="なし"),"―",IF(CN201="N","対象外",IF(AND(I201="",J201="",K201=""),"標報未入力",IF(CH201&gt;=設定!$B$4,"要確認","問題なし"))))</f>
        <v>標報未入力</v>
      </c>
      <c r="E201" s="24" t="str">
        <f aca="false">IF(OR(G201="",G201="なし",CI201="",CJ201=0),"―",IF(CJ201=CI201,"前月同額",IF(CI201=0,"―",IF(ABS(CJ201/CI201-1)&gt;=設定!$B$5,"変動大 "&amp;TEXT(CJ201/CI201-1,"+0%;-0%"),"〇"))))</f>
        <v>前月同額</v>
      </c>
      <c r="F201" s="10" t="str">
        <f aca="false">IF(OR(G201="",G201="なし"),"―",IF(CJ201=0,"入金不要",IF(COUNT(AD201,AF201,AH201,AJ201)=0,IF(AK201="○","手動確認","未入金"),IF(AND(N(AD201)=AC201,IF(AE201="",TRUE(),N(AF201)=AE201),IF(AG201="",TRUE(),N(AH201)=AG201),IF(AI201="",TRUE(),N(AJ201)=AI201)),"一致","不一致"))))</f>
        <v>手動確認</v>
      </c>
      <c r="G201" s="25" t="s">
        <v>167</v>
      </c>
      <c r="H201" s="26"/>
      <c r="I201" s="27"/>
      <c r="J201" s="27"/>
      <c r="K201" s="27"/>
      <c r="L201" s="27"/>
      <c r="M201" s="27"/>
      <c r="N201" s="27"/>
      <c r="O201" s="27" t="n">
        <v>48495</v>
      </c>
      <c r="P201" s="27" t="n">
        <v>3975</v>
      </c>
      <c r="Q201" s="27" t="n">
        <v>27485</v>
      </c>
      <c r="R201" s="27" t="n">
        <v>4187</v>
      </c>
      <c r="S201" s="27" t="n">
        <v>609</v>
      </c>
      <c r="T201" s="27" t="n">
        <v>69642</v>
      </c>
      <c r="U201" s="27" t="n">
        <v>3975</v>
      </c>
      <c r="V201" s="27" t="n">
        <v>46</v>
      </c>
      <c r="W201" s="27" t="n">
        <v>27946</v>
      </c>
      <c r="X201" s="27" t="n">
        <v>4187</v>
      </c>
      <c r="Y201" s="27" t="n">
        <v>609</v>
      </c>
      <c r="Z201" s="27"/>
      <c r="AA201" s="10" t="str">
        <f aca="false">IFERROR(INDEX(設定!$E$61:$E$106,MATCH(B201,設定!$B$61:$B$106,0)),"合算")</f>
        <v>合算</v>
      </c>
      <c r="AB201" s="28"/>
      <c r="AC201" s="29" t="n">
        <f aca="false">IF(OR(G201="",G201="なし"),"",IF(AA201="合算",CJ201+N(Z201),IF(AA201="掛金・負担金別",(AY201+AZ201+BD201+BF201+BH201),SUM(AY201:BC201))))</f>
        <v>191156</v>
      </c>
      <c r="AD201" s="27"/>
      <c r="AE201" s="29" t="str">
        <f aca="false">IF(OR(G201="",G201="なし"),"",IF(AA201="掛金・負担金別",(BA201+BB201+BC201+BE201+BG201+BI201+N(Z201)),IF(AA201="経理区分別",BD201+BE201,"")))</f>
        <v/>
      </c>
      <c r="AF201" s="27"/>
      <c r="AG201" s="29" t="str">
        <f aca="false">IF(OR(G201="",G201="なし"),"",IF(AA201="経理区分別",BF201+BG201,""))</f>
        <v/>
      </c>
      <c r="AH201" s="27"/>
      <c r="AI201" s="29" t="str">
        <f aca="false">IF(OR(G201="",G201="なし"),"",IF(AA201="経理区分別",BH201+BI201+N(Z201),""))</f>
        <v/>
      </c>
      <c r="AJ201" s="27"/>
      <c r="AK201" s="26" t="s">
        <v>168</v>
      </c>
      <c r="AL201" s="26"/>
      <c r="AM201" s="30"/>
      <c r="AN201" s="31"/>
      <c r="AO201" s="31"/>
      <c r="AP201" s="31"/>
      <c r="AQ201" s="31"/>
      <c r="AR201" s="31"/>
      <c r="AS201" s="31"/>
      <c r="AT201" s="31"/>
      <c r="AU201" s="31"/>
      <c r="AV201" s="31"/>
      <c r="AW201" s="31"/>
      <c r="AX201" s="31"/>
      <c r="AY201" s="31" t="n">
        <f aca="false">IF($G201="",AN201,O201)</f>
        <v>48495</v>
      </c>
      <c r="AZ201" s="31" t="n">
        <f aca="false">IF($G201="",AO201,P201)</f>
        <v>3975</v>
      </c>
      <c r="BA201" s="31" t="n">
        <f aca="false">IF($G201="",AP201,T201)</f>
        <v>69642</v>
      </c>
      <c r="BB201" s="31" t="n">
        <f aca="false">IF($G201="",AQ201,U201)</f>
        <v>3975</v>
      </c>
      <c r="BC201" s="31" t="n">
        <f aca="false">IF($G201="",AR201,V201)</f>
        <v>46</v>
      </c>
      <c r="BD201" s="31" t="n">
        <f aca="false">IF($G201="",AS201,Q201)</f>
        <v>27485</v>
      </c>
      <c r="BE201" s="31" t="n">
        <f aca="false">IF($G201="",AT201,W201)</f>
        <v>27946</v>
      </c>
      <c r="BF201" s="31" t="n">
        <f aca="false">IF($G201="",AU201,R201)</f>
        <v>4187</v>
      </c>
      <c r="BG201" s="31" t="n">
        <f aca="false">IF($G201="",AV201,X201)</f>
        <v>4187</v>
      </c>
      <c r="BH201" s="31" t="n">
        <f aca="false">IF($G201="",AW201,S201)</f>
        <v>609</v>
      </c>
      <c r="BI201" s="31" t="n">
        <f aca="false">IF($G201="",AX201,Y201)</f>
        <v>609</v>
      </c>
      <c r="BJ201" s="31" t="n">
        <f aca="false">IF(CK201="N",BR201,ROUNDDOWN((I201-L201)*設定!$B$10/1000,0)+ROUNDDOWN((I201-L201)*設定!$B$11/1000,0))</f>
        <v>0</v>
      </c>
      <c r="BK201" s="31" t="n">
        <f aca="false">ROUNDDOWN((I201-L201)*設定!$C$10/1000,0)+ROUNDDOWN((I201-L201)*設定!$C$11/1000,0)+ROUNDDOWN(I201*設定!$C$12/1000,0)+IF(CL201="市局型",ROUNDDOWN(I201*設定!$C$16/1000,0),0)</f>
        <v>0</v>
      </c>
      <c r="BL201" s="31" t="n">
        <f aca="false">IF(CK201="N",BT201,ROUNDDOWN((J201-M201)*設定!$B$13/1000,0))</f>
        <v>0</v>
      </c>
      <c r="BM201" s="31" t="n">
        <f aca="false">ROUNDDOWN((J201-M201)*設定!$C$13/1000,0)+IF(CL201="市局型",ROUNDDOWN(J201*設定!$C$17/1000,0),0)</f>
        <v>0</v>
      </c>
      <c r="BN201" s="31" t="n">
        <f aca="false">IF(CK201="N",BV201,ROUNDDOWN((K201-N201)*設定!$B$14/1000,0))</f>
        <v>0</v>
      </c>
      <c r="BO201" s="31" t="n">
        <f aca="false">ROUNDDOWN((K201-N201)*設定!$C$14/1000,0)</f>
        <v>0</v>
      </c>
      <c r="BP201" s="31" t="n">
        <f aca="false">IF(CK201="N",BX201,ROUNDDOWN((J201-M201)*設定!$B$15/1000,0))</f>
        <v>0</v>
      </c>
      <c r="BQ201" s="31" t="n">
        <f aca="false">ROUNDDOWN((J201-M201)*設定!$C$15/1000,0)</f>
        <v>0</v>
      </c>
      <c r="BR201" s="31" t="n">
        <f aca="false">O201+P201</f>
        <v>52470</v>
      </c>
      <c r="BS201" s="31" t="n">
        <f aca="false">T201+U201+V201</f>
        <v>73663</v>
      </c>
      <c r="BT201" s="31" t="n">
        <f aca="false">Q201</f>
        <v>27485</v>
      </c>
      <c r="BU201" s="31" t="n">
        <f aca="false">W201</f>
        <v>27946</v>
      </c>
      <c r="BV201" s="31" t="n">
        <f aca="false">R201</f>
        <v>4187</v>
      </c>
      <c r="BW201" s="31" t="n">
        <f aca="false">X201</f>
        <v>4187</v>
      </c>
      <c r="BX201" s="31" t="n">
        <f aca="false">S201</f>
        <v>609</v>
      </c>
      <c r="BY201" s="31" t="n">
        <f aca="false">Y201</f>
        <v>609</v>
      </c>
      <c r="BZ201" s="32" t="n">
        <f aca="false">IF(BJ201=0,IF(BR201=0,0,1),(BR201-BJ201)/BJ201)</f>
        <v>1</v>
      </c>
      <c r="CA201" s="32" t="n">
        <f aca="false">IF(BK201=0,IF(BS201=0,0,1),(BS201-BK201)/BK201)</f>
        <v>1</v>
      </c>
      <c r="CB201" s="32" t="n">
        <f aca="false">IF(BL201=0,IF(BT201=0,0,1),(BT201-BL201)/BL201)</f>
        <v>1</v>
      </c>
      <c r="CC201" s="32" t="n">
        <f aca="false">IF(BM201=0,IF(BU201=0,0,1),(BU201-BM201)/BM201)</f>
        <v>1</v>
      </c>
      <c r="CD201" s="32" t="n">
        <f aca="false">IF(BN201=0,IF(BV201=0,0,1),(BV201-BN201)/BN201)</f>
        <v>1</v>
      </c>
      <c r="CE201" s="32" t="n">
        <f aca="false">IF(BO201=0,IF(BW201=0,0,1),(BW201-BO201)/BO201)</f>
        <v>1</v>
      </c>
      <c r="CF201" s="32" t="n">
        <f aca="false">IF(BP201=0,IF(BX201=0,0,1),(BX201-BP201)/BP201)</f>
        <v>1</v>
      </c>
      <c r="CG201" s="32" t="n">
        <f aca="false">IF(BQ201=0,IF(BY201=0,0,1),(BY201-BQ201)/BQ201)</f>
        <v>1</v>
      </c>
      <c r="CH201" s="32" t="n">
        <f aca="false">MAX(MAX(BZ201:CG201),-MIN(BZ201:CG201))</f>
        <v>1</v>
      </c>
      <c r="CI201" s="31" t="n">
        <f aca="false">IF(CO201="","",SUMIFS($CJ$7:$CJ$696,$A$7:$A$696,CO201,$B$7:$B$696,B201))</f>
        <v>191156</v>
      </c>
      <c r="CJ201" s="31" t="n">
        <f aca="false">SUM(AY201:BI201)</f>
        <v>191156</v>
      </c>
      <c r="CK201" s="31" t="str">
        <f aca="false">IFERROR(INDEX(設定!$F$61:$F$106,MATCH(B201,設定!$B$61:$B$106,0)),"Y")</f>
        <v>Y</v>
      </c>
      <c r="CL201" s="31" t="str">
        <f aca="false">IFERROR(INDEX(設定!$G$61:$G$106,MATCH(B201,設定!$B$61:$B$106,0)),"外郭型")</f>
        <v>市局型</v>
      </c>
      <c r="CM201" s="33" t="str">
        <f aca="false">A201&amp;"|"&amp;B201</f>
        <v>2026-07 月例|医療政策課(安芸市民)</v>
      </c>
      <c r="CN201" s="34" t="str">
        <f aca="false">IFERROR(INDEX(設定!$D$61:$D$106,MATCH(B201,設定!$B$61:$B$106,0)),"Y")</f>
        <v>Y</v>
      </c>
      <c r="CO201" s="34" t="str">
        <f aca="false">IFERROR(INDEX(設定!$D$20:$D$34,MATCH(A201,設定!$A$20:$A$34,0))&amp;"","")</f>
        <v>2026-06 月例</v>
      </c>
    </row>
    <row r="202" customFormat="false" ht="15" hidden="true" customHeight="false" outlineLevel="0" collapsed="false">
      <c r="A202" s="22" t="s">
        <v>220</v>
      </c>
      <c r="B202" s="23" t="s">
        <v>179</v>
      </c>
      <c r="C202" s="10" t="str">
        <f aca="false">IF(G202="","未受領",IF(G202="なし","報告なし",IF(AL202="○","起票済",IF(OR(AK202="○",F202="一致",F202="入金不要"),"入金確認済","受領済"))))</f>
        <v>入金確認済</v>
      </c>
      <c r="D202" s="10" t="str">
        <f aca="false">IF(OR(G202="",G202="なし"),"―",IF(CN202="N","対象外",IF(AND(I202="",J202="",K202=""),"標報未入力",IF(CH202&gt;=設定!$B$4,"要確認","問題なし"))))</f>
        <v>標報未入力</v>
      </c>
      <c r="E202" s="24" t="str">
        <f aca="false">IF(OR(G202="",G202="なし",CI202="",CJ202=0),"―",IF(CJ202=CI202,"前月同額",IF(CI202=0,"―",IF(ABS(CJ202/CI202-1)&gt;=設定!$B$5,"変動大 "&amp;TEXT(CJ202/CI202-1,"+0%;-0%"),"〇"))))</f>
        <v>変動大 +37%</v>
      </c>
      <c r="F202" s="10" t="str">
        <f aca="false">IF(OR(G202="",G202="なし"),"―",IF(CJ202=0,"入金不要",IF(COUNT(AD202,AF202,AH202,AJ202)=0,IF(AK202="○","手動確認","未入金"),IF(AND(N(AD202)=AC202,IF(AE202="",TRUE(),N(AF202)=AE202),IF(AG202="",TRUE(),N(AH202)=AG202),IF(AI202="",TRUE(),N(AJ202)=AI202)),"一致","不一致"))))</f>
        <v>手動確認</v>
      </c>
      <c r="G202" s="25" t="s">
        <v>167</v>
      </c>
      <c r="H202" s="26"/>
      <c r="I202" s="27"/>
      <c r="J202" s="27"/>
      <c r="K202" s="27"/>
      <c r="L202" s="27"/>
      <c r="M202" s="27"/>
      <c r="N202" s="27"/>
      <c r="O202" s="27" t="n">
        <v>0</v>
      </c>
      <c r="P202" s="27" t="n">
        <v>0</v>
      </c>
      <c r="Q202" s="27" t="n">
        <v>386553</v>
      </c>
      <c r="R202" s="27" t="n">
        <v>12008</v>
      </c>
      <c r="S202" s="27" t="n">
        <v>8565</v>
      </c>
      <c r="T202" s="27"/>
      <c r="U202" s="27"/>
      <c r="V202" s="27" t="n">
        <v>0</v>
      </c>
      <c r="W202" s="27" t="n">
        <v>393048</v>
      </c>
      <c r="X202" s="27" t="n">
        <v>12008</v>
      </c>
      <c r="Y202" s="27" t="n">
        <v>8572</v>
      </c>
      <c r="Z202" s="27"/>
      <c r="AA202" s="10" t="str">
        <f aca="false">IFERROR(INDEX(設定!$E$61:$E$106,MATCH(B202,設定!$B$61:$B$106,0)),"合算")</f>
        <v>合算</v>
      </c>
      <c r="AB202" s="28"/>
      <c r="AC202" s="29" t="n">
        <f aca="false">IF(OR(G202="",G202="なし"),"",IF(AA202="合算",CJ202+N(Z202),IF(AA202="掛金・負担金別",(AY202+AZ202+BD202+BF202+BH202),SUM(AY202:BC202))))</f>
        <v>820754</v>
      </c>
      <c r="AD202" s="27"/>
      <c r="AE202" s="29" t="str">
        <f aca="false">IF(OR(G202="",G202="なし"),"",IF(AA202="掛金・負担金別",(BA202+BB202+BC202+BE202+BG202+BI202+N(Z202)),IF(AA202="経理区分別",BD202+BE202,"")))</f>
        <v/>
      </c>
      <c r="AF202" s="27"/>
      <c r="AG202" s="29" t="str">
        <f aca="false">IF(OR(G202="",G202="なし"),"",IF(AA202="経理区分別",BF202+BG202,""))</f>
        <v/>
      </c>
      <c r="AH202" s="27"/>
      <c r="AI202" s="29" t="str">
        <f aca="false">IF(OR(G202="",G202="なし"),"",IF(AA202="経理区分別",BH202+BI202+N(Z202),""))</f>
        <v/>
      </c>
      <c r="AJ202" s="27"/>
      <c r="AK202" s="26" t="s">
        <v>168</v>
      </c>
      <c r="AL202" s="26"/>
      <c r="AM202" s="30"/>
      <c r="AN202" s="31"/>
      <c r="AO202" s="31"/>
      <c r="AP202" s="31"/>
      <c r="AQ202" s="31"/>
      <c r="AR202" s="31"/>
      <c r="AS202" s="31"/>
      <c r="AT202" s="31"/>
      <c r="AU202" s="31"/>
      <c r="AV202" s="31"/>
      <c r="AW202" s="31"/>
      <c r="AX202" s="31"/>
      <c r="AY202" s="31" t="n">
        <f aca="false">IF($G202="",AN202,O202)</f>
        <v>0</v>
      </c>
      <c r="AZ202" s="31" t="n">
        <f aca="false">IF($G202="",AO202,P202)</f>
        <v>0</v>
      </c>
      <c r="BA202" s="31" t="n">
        <f aca="false">IF($G202="",AP202,T202)</f>
        <v>0</v>
      </c>
      <c r="BB202" s="31" t="n">
        <f aca="false">IF($G202="",AQ202,U202)</f>
        <v>0</v>
      </c>
      <c r="BC202" s="31" t="n">
        <f aca="false">IF($G202="",AR202,V202)</f>
        <v>0</v>
      </c>
      <c r="BD202" s="31" t="n">
        <f aca="false">IF($G202="",AS202,Q202)</f>
        <v>386553</v>
      </c>
      <c r="BE202" s="31" t="n">
        <f aca="false">IF($G202="",AT202,W202)</f>
        <v>393048</v>
      </c>
      <c r="BF202" s="31" t="n">
        <f aca="false">IF($G202="",AU202,R202)</f>
        <v>12008</v>
      </c>
      <c r="BG202" s="31" t="n">
        <f aca="false">IF($G202="",AV202,X202)</f>
        <v>12008</v>
      </c>
      <c r="BH202" s="31" t="n">
        <f aca="false">IF($G202="",AW202,S202)</f>
        <v>8565</v>
      </c>
      <c r="BI202" s="31" t="n">
        <f aca="false">IF($G202="",AX202,Y202)</f>
        <v>8572</v>
      </c>
      <c r="BJ202" s="31" t="n">
        <f aca="false">IF(CK202="N",BR202,ROUNDDOWN((I202-L202)*設定!$B$10/1000,0)+ROUNDDOWN((I202-L202)*設定!$B$11/1000,0))</f>
        <v>0</v>
      </c>
      <c r="BK202" s="31" t="n">
        <f aca="false">ROUNDDOWN((I202-L202)*設定!$C$10/1000,0)+ROUNDDOWN((I202-L202)*設定!$C$11/1000,0)+ROUNDDOWN(I202*設定!$C$12/1000,0)+IF(CL202="市局型",ROUNDDOWN(I202*設定!$C$16/1000,0),0)</f>
        <v>0</v>
      </c>
      <c r="BL202" s="31" t="n">
        <f aca="false">IF(CK202="N",BT202,ROUNDDOWN((J202-M202)*設定!$B$13/1000,0))</f>
        <v>0</v>
      </c>
      <c r="BM202" s="31" t="n">
        <f aca="false">ROUNDDOWN((J202-M202)*設定!$C$13/1000,0)+IF(CL202="市局型",ROUNDDOWN(J202*設定!$C$17/1000,0),0)</f>
        <v>0</v>
      </c>
      <c r="BN202" s="31" t="n">
        <f aca="false">IF(CK202="N",BV202,ROUNDDOWN((K202-N202)*設定!$B$14/1000,0))</f>
        <v>0</v>
      </c>
      <c r="BO202" s="31" t="n">
        <f aca="false">ROUNDDOWN((K202-N202)*設定!$C$14/1000,0)</f>
        <v>0</v>
      </c>
      <c r="BP202" s="31" t="n">
        <f aca="false">IF(CK202="N",BX202,ROUNDDOWN((J202-M202)*設定!$B$15/1000,0))</f>
        <v>0</v>
      </c>
      <c r="BQ202" s="31" t="n">
        <f aca="false">ROUNDDOWN((J202-M202)*設定!$C$15/1000,0)</f>
        <v>0</v>
      </c>
      <c r="BR202" s="31" t="n">
        <f aca="false">O202+P202</f>
        <v>0</v>
      </c>
      <c r="BS202" s="31" t="n">
        <f aca="false">T202+U202+V202</f>
        <v>0</v>
      </c>
      <c r="BT202" s="31" t="n">
        <f aca="false">Q202</f>
        <v>386553</v>
      </c>
      <c r="BU202" s="31" t="n">
        <f aca="false">W202</f>
        <v>393048</v>
      </c>
      <c r="BV202" s="31" t="n">
        <f aca="false">R202</f>
        <v>12008</v>
      </c>
      <c r="BW202" s="31" t="n">
        <f aca="false">X202</f>
        <v>12008</v>
      </c>
      <c r="BX202" s="31" t="n">
        <f aca="false">S202</f>
        <v>8565</v>
      </c>
      <c r="BY202" s="31" t="n">
        <f aca="false">Y202</f>
        <v>8572</v>
      </c>
      <c r="BZ202" s="32" t="n">
        <f aca="false">IF(BJ202=0,IF(BR202=0,0,1),(BR202-BJ202)/BJ202)</f>
        <v>0</v>
      </c>
      <c r="CA202" s="32" t="n">
        <f aca="false">IF(BK202=0,IF(BS202=0,0,1),(BS202-BK202)/BK202)</f>
        <v>0</v>
      </c>
      <c r="CB202" s="32" t="n">
        <f aca="false">IF(BL202=0,IF(BT202=0,0,1),(BT202-BL202)/BL202)</f>
        <v>1</v>
      </c>
      <c r="CC202" s="32" t="n">
        <f aca="false">IF(BM202=0,IF(BU202=0,0,1),(BU202-BM202)/BM202)</f>
        <v>1</v>
      </c>
      <c r="CD202" s="32" t="n">
        <f aca="false">IF(BN202=0,IF(BV202=0,0,1),(BV202-BN202)/BN202)</f>
        <v>1</v>
      </c>
      <c r="CE202" s="32" t="n">
        <f aca="false">IF(BO202=0,IF(BW202=0,0,1),(BW202-BO202)/BO202)</f>
        <v>1</v>
      </c>
      <c r="CF202" s="32" t="n">
        <f aca="false">IF(BP202=0,IF(BX202=0,0,1),(BX202-BP202)/BP202)</f>
        <v>1</v>
      </c>
      <c r="CG202" s="32" t="n">
        <f aca="false">IF(BQ202=0,IF(BY202=0,0,1),(BY202-BQ202)/BQ202)</f>
        <v>1</v>
      </c>
      <c r="CH202" s="32" t="n">
        <f aca="false">MAX(MAX(BZ202:CG202),-MIN(BZ202:CG202))</f>
        <v>1</v>
      </c>
      <c r="CI202" s="31" t="n">
        <f aca="false">IF(CO202="","",SUMIFS($CJ$7:$CJ$696,$A$7:$A$696,CO202,$B$7:$B$696,B202))</f>
        <v>600597</v>
      </c>
      <c r="CJ202" s="31" t="n">
        <f aca="false">SUM(AY202:BI202)</f>
        <v>820754</v>
      </c>
      <c r="CK202" s="31" t="str">
        <f aca="false">IFERROR(INDEX(設定!$F$61:$F$106,MATCH(B202,設定!$B$61:$B$106,0)),"Y")</f>
        <v>Y</v>
      </c>
      <c r="CL202" s="31" t="str">
        <f aca="false">IFERROR(INDEX(設定!$G$61:$G$106,MATCH(B202,設定!$B$61:$B$106,0)),"外郭型")</f>
        <v>市局型</v>
      </c>
      <c r="CM202" s="33" t="str">
        <f aca="false">A202&amp;"|"&amp;B202</f>
        <v>2026-07 月例|教育委員会（教育給与課）</v>
      </c>
      <c r="CN202" s="34" t="str">
        <f aca="false">IFERROR(INDEX(設定!$D$61:$D$106,MATCH(B202,設定!$B$61:$B$106,0)),"Y")</f>
        <v>Y</v>
      </c>
      <c r="CO202" s="34" t="str">
        <f aca="false">IFERROR(INDEX(設定!$D$20:$D$34,MATCH(A202,設定!$A$20:$A$34,0))&amp;"","")</f>
        <v>2026-06 月例</v>
      </c>
    </row>
    <row r="203" customFormat="false" ht="15" hidden="true" customHeight="false" outlineLevel="0" collapsed="false">
      <c r="A203" s="22" t="s">
        <v>220</v>
      </c>
      <c r="B203" s="23" t="s">
        <v>180</v>
      </c>
      <c r="C203" s="10" t="str">
        <f aca="false">IF(G203="","未受領",IF(G203="なし","報告なし",IF(AL203="○","起票済",IF(OR(AK203="○",F203="一致",F203="入金不要"),"入金確認済","受領済"))))</f>
        <v>報告なし</v>
      </c>
      <c r="D203" s="10" t="str">
        <f aca="false">IF(OR(G203="",G203="なし"),"―",IF(CN203="N","対象外",IF(AND(I203="",J203="",K203=""),"標報未入力",IF(CH203&gt;=設定!$B$4,"要確認","問題なし"))))</f>
        <v>―</v>
      </c>
      <c r="E203" s="24" t="str">
        <f aca="false">IF(OR(G203="",G203="なし",CI203="",CJ203=0),"―",IF(CJ203=CI203,"前月同額",IF(CI203=0,"―",IF(ABS(CJ203/CI203-1)&gt;=設定!$B$5,"変動大 "&amp;TEXT(CJ203/CI203-1,"+0%;-0%"),"〇"))))</f>
        <v>―</v>
      </c>
      <c r="F203" s="10" t="str">
        <f aca="false">IF(OR(G203="",G203="なし"),"―",IF(CJ203=0,"入金不要",IF(COUNT(AD203,AF203,AH203,AJ203)=0,IF(AK203="○","手動確認","未入金"),IF(AND(N(AD203)=AC203,IF(AE203="",TRUE(),N(AF203)=AE203),IF(AG203="",TRUE(),N(AH203)=AG203),IF(AI203="",TRUE(),N(AJ203)=AI203)),"一致","不一致"))))</f>
        <v>―</v>
      </c>
      <c r="G203" s="25" t="s">
        <v>181</v>
      </c>
      <c r="H203" s="26"/>
      <c r="I203" s="27"/>
      <c r="J203" s="27"/>
      <c r="K203" s="27"/>
      <c r="L203" s="27"/>
      <c r="M203" s="27"/>
      <c r="N203" s="27"/>
      <c r="O203" s="27"/>
      <c r="P203" s="27"/>
      <c r="Q203" s="27"/>
      <c r="R203" s="27"/>
      <c r="S203" s="27"/>
      <c r="T203" s="27"/>
      <c r="U203" s="27"/>
      <c r="V203" s="27"/>
      <c r="W203" s="27"/>
      <c r="X203" s="27"/>
      <c r="Y203" s="27"/>
      <c r="Z203" s="27"/>
      <c r="AA203" s="10" t="str">
        <f aca="false">IFERROR(INDEX(設定!$E$61:$E$106,MATCH(B203,設定!$B$61:$B$106,0)),"合算")</f>
        <v>合算</v>
      </c>
      <c r="AB203" s="28"/>
      <c r="AC203" s="29" t="str">
        <f aca="false">IF(OR(G203="",G203="なし"),"",IF(AA203="合算",CJ203+N(Z203),IF(AA203="掛金・負担金別",(AY203+AZ203+BD203+BF203+BH203),SUM(AY203:BC203))))</f>
        <v/>
      </c>
      <c r="AD203" s="27"/>
      <c r="AE203" s="29" t="str">
        <f aca="false">IF(OR(G203="",G203="なし"),"",IF(AA203="掛金・負担金別",(BA203+BB203+BC203+BE203+BG203+BI203+N(Z203)),IF(AA203="経理区分別",BD203+BE203,"")))</f>
        <v/>
      </c>
      <c r="AF203" s="27"/>
      <c r="AG203" s="29" t="str">
        <f aca="false">IF(OR(G203="",G203="なし"),"",IF(AA203="経理区分別",BF203+BG203,""))</f>
        <v/>
      </c>
      <c r="AH203" s="27"/>
      <c r="AI203" s="29" t="str">
        <f aca="false">IF(OR(G203="",G203="なし"),"",IF(AA203="経理区分別",BH203+BI203+N(Z203),""))</f>
        <v/>
      </c>
      <c r="AJ203" s="27"/>
      <c r="AK203" s="26"/>
      <c r="AL203" s="26"/>
      <c r="AM203" s="30"/>
      <c r="AN203" s="31"/>
      <c r="AO203" s="31"/>
      <c r="AP203" s="31"/>
      <c r="AQ203" s="31"/>
      <c r="AR203" s="31"/>
      <c r="AS203" s="31"/>
      <c r="AT203" s="31"/>
      <c r="AU203" s="31"/>
      <c r="AV203" s="31"/>
      <c r="AW203" s="31"/>
      <c r="AX203" s="31"/>
      <c r="AY203" s="31" t="n">
        <f aca="false">IF($G203="",AN203,O203)</f>
        <v>0</v>
      </c>
      <c r="AZ203" s="31" t="n">
        <f aca="false">IF($G203="",AO203,P203)</f>
        <v>0</v>
      </c>
      <c r="BA203" s="31" t="n">
        <f aca="false">IF($G203="",AP203,T203)</f>
        <v>0</v>
      </c>
      <c r="BB203" s="31" t="n">
        <f aca="false">IF($G203="",AQ203,U203)</f>
        <v>0</v>
      </c>
      <c r="BC203" s="31" t="n">
        <f aca="false">IF($G203="",AR203,V203)</f>
        <v>0</v>
      </c>
      <c r="BD203" s="31" t="n">
        <f aca="false">IF($G203="",AS203,Q203)</f>
        <v>0</v>
      </c>
      <c r="BE203" s="31" t="n">
        <f aca="false">IF($G203="",AT203,W203)</f>
        <v>0</v>
      </c>
      <c r="BF203" s="31" t="n">
        <f aca="false">IF($G203="",AU203,R203)</f>
        <v>0</v>
      </c>
      <c r="BG203" s="31" t="n">
        <f aca="false">IF($G203="",AV203,X203)</f>
        <v>0</v>
      </c>
      <c r="BH203" s="31" t="n">
        <f aca="false">IF($G203="",AW203,S203)</f>
        <v>0</v>
      </c>
      <c r="BI203" s="31" t="n">
        <f aca="false">IF($G203="",AX203,Y203)</f>
        <v>0</v>
      </c>
      <c r="BJ203" s="31" t="n">
        <f aca="false">IF(CK203="N",BR203,ROUNDDOWN((I203-L203)*設定!$B$10/1000,0)+ROUNDDOWN((I203-L203)*設定!$B$11/1000,0))</f>
        <v>0</v>
      </c>
      <c r="BK203" s="31" t="n">
        <f aca="false">ROUNDDOWN((I203-L203)*設定!$C$10/1000,0)+ROUNDDOWN((I203-L203)*設定!$C$11/1000,0)+ROUNDDOWN(I203*設定!$C$12/1000,0)+IF(CL203="市局型",ROUNDDOWN(I203*設定!$C$16/1000,0),0)</f>
        <v>0</v>
      </c>
      <c r="BL203" s="31" t="n">
        <f aca="false">IF(CK203="N",BT203,ROUNDDOWN((J203-M203)*設定!$B$13/1000,0))</f>
        <v>0</v>
      </c>
      <c r="BM203" s="31" t="n">
        <f aca="false">ROUNDDOWN((J203-M203)*設定!$C$13/1000,0)+IF(CL203="市局型",ROUNDDOWN(J203*設定!$C$17/1000,0),0)</f>
        <v>0</v>
      </c>
      <c r="BN203" s="31" t="n">
        <f aca="false">IF(CK203="N",BV203,ROUNDDOWN((K203-N203)*設定!$B$14/1000,0))</f>
        <v>0</v>
      </c>
      <c r="BO203" s="31" t="n">
        <f aca="false">ROUNDDOWN((K203-N203)*設定!$C$14/1000,0)</f>
        <v>0</v>
      </c>
      <c r="BP203" s="31" t="n">
        <f aca="false">IF(CK203="N",BX203,ROUNDDOWN((J203-M203)*設定!$B$15/1000,0))</f>
        <v>0</v>
      </c>
      <c r="BQ203" s="31" t="n">
        <f aca="false">ROUNDDOWN((J203-M203)*設定!$C$15/1000,0)</f>
        <v>0</v>
      </c>
      <c r="BR203" s="31" t="n">
        <f aca="false">O203+P203</f>
        <v>0</v>
      </c>
      <c r="BS203" s="31" t="n">
        <f aca="false">T203+U203+V203</f>
        <v>0</v>
      </c>
      <c r="BT203" s="31" t="n">
        <f aca="false">Q203</f>
        <v>0</v>
      </c>
      <c r="BU203" s="31" t="n">
        <f aca="false">W203</f>
        <v>0</v>
      </c>
      <c r="BV203" s="31" t="n">
        <f aca="false">R203</f>
        <v>0</v>
      </c>
      <c r="BW203" s="31" t="n">
        <f aca="false">X203</f>
        <v>0</v>
      </c>
      <c r="BX203" s="31" t="n">
        <f aca="false">S203</f>
        <v>0</v>
      </c>
      <c r="BY203" s="31" t="n">
        <f aca="false">Y203</f>
        <v>0</v>
      </c>
      <c r="BZ203" s="32" t="n">
        <f aca="false">IF(BJ203=0,IF(BR203=0,0,1),(BR203-BJ203)/BJ203)</f>
        <v>0</v>
      </c>
      <c r="CA203" s="32" t="n">
        <f aca="false">IF(BK203=0,IF(BS203=0,0,1),(BS203-BK203)/BK203)</f>
        <v>0</v>
      </c>
      <c r="CB203" s="32" t="n">
        <f aca="false">IF(BL203=0,IF(BT203=0,0,1),(BT203-BL203)/BL203)</f>
        <v>0</v>
      </c>
      <c r="CC203" s="32" t="n">
        <f aca="false">IF(BM203=0,IF(BU203=0,0,1),(BU203-BM203)/BM203)</f>
        <v>0</v>
      </c>
      <c r="CD203" s="32" t="n">
        <f aca="false">IF(BN203=0,IF(BV203=0,0,1),(BV203-BN203)/BN203)</f>
        <v>0</v>
      </c>
      <c r="CE203" s="32" t="n">
        <f aca="false">IF(BO203=0,IF(BW203=0,0,1),(BW203-BO203)/BO203)</f>
        <v>0</v>
      </c>
      <c r="CF203" s="32" t="n">
        <f aca="false">IF(BP203=0,IF(BX203=0,0,1),(BX203-BP203)/BP203)</f>
        <v>0</v>
      </c>
      <c r="CG203" s="32" t="n">
        <f aca="false">IF(BQ203=0,IF(BY203=0,0,1),(BY203-BQ203)/BQ203)</f>
        <v>0</v>
      </c>
      <c r="CH203" s="32" t="n">
        <f aca="false">MAX(MAX(BZ203:CG203),-MIN(BZ203:CG203))</f>
        <v>-0</v>
      </c>
      <c r="CI203" s="31" t="n">
        <f aca="false">IF(CO203="","",SUMIFS($CJ$7:$CJ$696,$A$7:$A$696,CO203,$B$7:$B$696,B203))</f>
        <v>0</v>
      </c>
      <c r="CJ203" s="31" t="n">
        <f aca="false">SUM(AY203:BI203)</f>
        <v>0</v>
      </c>
      <c r="CK203" s="31" t="str">
        <f aca="false">IFERROR(INDEX(設定!$F$61:$F$106,MATCH(B203,設定!$B$61:$B$106,0)),"Y")</f>
        <v>N</v>
      </c>
      <c r="CL203" s="31" t="str">
        <f aca="false">IFERROR(INDEX(設定!$G$61:$G$106,MATCH(B203,設定!$B$61:$B$106,0)),"外郭型")</f>
        <v>外郭型</v>
      </c>
      <c r="CM203" s="33" t="str">
        <f aca="false">A203&amp;"|"&amp;B203</f>
        <v>2026-07 月例|地方税共同機構</v>
      </c>
      <c r="CN203" s="34" t="str">
        <f aca="false">IFERROR(INDEX(設定!$D$61:$D$106,MATCH(B203,設定!$B$61:$B$106,0)),"Y")</f>
        <v>Y</v>
      </c>
      <c r="CO203" s="34" t="str">
        <f aca="false">IFERROR(INDEX(設定!$D$20:$D$34,MATCH(A203,設定!$A$20:$A$34,0))&amp;"","")</f>
        <v>2026-06 月例</v>
      </c>
    </row>
    <row r="204" customFormat="false" ht="15" hidden="true" customHeight="false" outlineLevel="0" collapsed="false">
      <c r="A204" s="22" t="s">
        <v>220</v>
      </c>
      <c r="B204" s="23" t="s">
        <v>182</v>
      </c>
      <c r="C204" s="10" t="str">
        <f aca="false">IF(G204="","未受領",IF(G204="なし","報告なし",IF(AL204="○","起票済",IF(OR(AK204="○",F204="一致",F204="入金不要"),"入金確認済","受領済"))))</f>
        <v>入金確認済</v>
      </c>
      <c r="D204" s="10" t="str">
        <f aca="false">IF(OR(G204="",G204="なし"),"―",IF(CN204="N","対象外",IF(AND(I204="",J204="",K204=""),"標報未入力",IF(CH204&gt;=設定!$B$4,"要確認","問題なし"))))</f>
        <v>標報未入力</v>
      </c>
      <c r="E204" s="24" t="str">
        <f aca="false">IF(OR(G204="",G204="なし",CI204="",CJ204=0),"―",IF(CJ204=CI204,"前月同額",IF(CI204=0,"―",IF(ABS(CJ204/CI204-1)&gt;=設定!$B$5,"変動大 "&amp;TEXT(CJ204/CI204-1,"+0%;-0%"),"〇"))))</f>
        <v>〇</v>
      </c>
      <c r="F204" s="10" t="str">
        <f aca="false">IF(OR(G204="",G204="なし"),"―",IF(CJ204=0,"入金不要",IF(COUNT(AD204,AF204,AH204,AJ204)=0,IF(AK204="○","手動確認","未入金"),IF(AND(N(AD204)=AC204,IF(AE204="",TRUE(),N(AF204)=AE204),IF(AG204="",TRUE(),N(AH204)=AG204),IF(AI204="",TRUE(),N(AJ204)=AI204)),"一致","不一致"))))</f>
        <v>手動確認</v>
      </c>
      <c r="G204" s="25" t="s">
        <v>167</v>
      </c>
      <c r="H204" s="26"/>
      <c r="I204" s="27"/>
      <c r="J204" s="27"/>
      <c r="K204" s="27"/>
      <c r="L204" s="27"/>
      <c r="M204" s="27"/>
      <c r="N204" s="27"/>
      <c r="O204" s="27" t="n">
        <v>0</v>
      </c>
      <c r="P204" s="27" t="n">
        <v>0</v>
      </c>
      <c r="Q204" s="27" t="n">
        <v>0</v>
      </c>
      <c r="R204" s="27" t="n">
        <v>0</v>
      </c>
      <c r="S204" s="27" t="n">
        <v>0</v>
      </c>
      <c r="T204" s="27" t="n">
        <v>807030</v>
      </c>
      <c r="U204" s="27" t="n">
        <v>66150</v>
      </c>
      <c r="V204" s="27" t="n">
        <v>829</v>
      </c>
      <c r="W204" s="27" t="n">
        <v>462519</v>
      </c>
      <c r="X204" s="27" t="n">
        <v>57354</v>
      </c>
      <c r="Y204" s="27" t="n">
        <v>10246</v>
      </c>
      <c r="Z204" s="27"/>
      <c r="AA204" s="10" t="str">
        <f aca="false">IFERROR(INDEX(設定!$E$61:$E$106,MATCH(B204,設定!$B$61:$B$106,0)),"合算")</f>
        <v>合算</v>
      </c>
      <c r="AB204" s="28"/>
      <c r="AC204" s="29" t="n">
        <f aca="false">IF(OR(G204="",G204="なし"),"",IF(AA204="合算",CJ204+N(Z204),IF(AA204="掛金・負担金別",(AY204+AZ204+BD204+BF204+BH204),SUM(AY204:BC204))))</f>
        <v>1404128</v>
      </c>
      <c r="AD204" s="27"/>
      <c r="AE204" s="29" t="str">
        <f aca="false">IF(OR(G204="",G204="なし"),"",IF(AA204="掛金・負担金別",(BA204+BB204+BC204+BE204+BG204+BI204+N(Z204)),IF(AA204="経理区分別",BD204+BE204,"")))</f>
        <v/>
      </c>
      <c r="AF204" s="27"/>
      <c r="AG204" s="29" t="str">
        <f aca="false">IF(OR(G204="",G204="なし"),"",IF(AA204="経理区分別",BF204+BG204,""))</f>
        <v/>
      </c>
      <c r="AH204" s="27"/>
      <c r="AI204" s="29" t="str">
        <f aca="false">IF(OR(G204="",G204="なし"),"",IF(AA204="経理区分別",BH204+BI204+N(Z204),""))</f>
        <v/>
      </c>
      <c r="AJ204" s="27"/>
      <c r="AK204" s="26" t="s">
        <v>168</v>
      </c>
      <c r="AL204" s="26"/>
      <c r="AM204" s="30"/>
      <c r="AN204" s="31"/>
      <c r="AO204" s="31"/>
      <c r="AP204" s="31"/>
      <c r="AQ204" s="31"/>
      <c r="AR204" s="31"/>
      <c r="AS204" s="31"/>
      <c r="AT204" s="31"/>
      <c r="AU204" s="31"/>
      <c r="AV204" s="31"/>
      <c r="AW204" s="31"/>
      <c r="AX204" s="31"/>
      <c r="AY204" s="31" t="n">
        <f aca="false">IF($G204="",AN204,O204)</f>
        <v>0</v>
      </c>
      <c r="AZ204" s="31" t="n">
        <f aca="false">IF($G204="",AO204,P204)</f>
        <v>0</v>
      </c>
      <c r="BA204" s="31" t="n">
        <f aca="false">IF($G204="",AP204,T204)</f>
        <v>807030</v>
      </c>
      <c r="BB204" s="31" t="n">
        <f aca="false">IF($G204="",AQ204,U204)</f>
        <v>66150</v>
      </c>
      <c r="BC204" s="31" t="n">
        <f aca="false">IF($G204="",AR204,V204)</f>
        <v>829</v>
      </c>
      <c r="BD204" s="31" t="n">
        <f aca="false">IF($G204="",AS204,Q204)</f>
        <v>0</v>
      </c>
      <c r="BE204" s="31" t="n">
        <f aca="false">IF($G204="",AT204,W204)</f>
        <v>462519</v>
      </c>
      <c r="BF204" s="31" t="n">
        <f aca="false">IF($G204="",AU204,R204)</f>
        <v>0</v>
      </c>
      <c r="BG204" s="31" t="n">
        <f aca="false">IF($G204="",AV204,X204)</f>
        <v>57354</v>
      </c>
      <c r="BH204" s="31" t="n">
        <f aca="false">IF($G204="",AW204,S204)</f>
        <v>0</v>
      </c>
      <c r="BI204" s="31" t="n">
        <f aca="false">IF($G204="",AX204,Y204)</f>
        <v>10246</v>
      </c>
      <c r="BJ204" s="31" t="n">
        <f aca="false">IF(CK204="N",BR204,ROUNDDOWN((I204-L204)*設定!$B$10/1000,0)+ROUNDDOWN((I204-L204)*設定!$B$11/1000,0))</f>
        <v>0</v>
      </c>
      <c r="BK204" s="31" t="n">
        <f aca="false">ROUNDDOWN((I204-L204)*設定!$C$10/1000,0)+ROUNDDOWN((I204-L204)*設定!$C$11/1000,0)+ROUNDDOWN(I204*設定!$C$12/1000,0)+IF(CL204="市局型",ROUNDDOWN(I204*設定!$C$16/1000,0),0)</f>
        <v>0</v>
      </c>
      <c r="BL204" s="31" t="n">
        <f aca="false">IF(CK204="N",BT204,ROUNDDOWN((J204-M204)*設定!$B$13/1000,0))</f>
        <v>0</v>
      </c>
      <c r="BM204" s="31" t="n">
        <f aca="false">ROUNDDOWN((J204-M204)*設定!$C$13/1000,0)+IF(CL204="市局型",ROUNDDOWN(J204*設定!$C$17/1000,0),0)</f>
        <v>0</v>
      </c>
      <c r="BN204" s="31" t="n">
        <f aca="false">IF(CK204="N",BV204,ROUNDDOWN((K204-N204)*設定!$B$14/1000,0))</f>
        <v>0</v>
      </c>
      <c r="BO204" s="31" t="n">
        <f aca="false">ROUNDDOWN((K204-N204)*設定!$C$14/1000,0)</f>
        <v>0</v>
      </c>
      <c r="BP204" s="31" t="n">
        <f aca="false">IF(CK204="N",BX204,ROUNDDOWN((J204-M204)*設定!$B$15/1000,0))</f>
        <v>0</v>
      </c>
      <c r="BQ204" s="31" t="n">
        <f aca="false">ROUNDDOWN((J204-M204)*設定!$C$15/1000,0)</f>
        <v>0</v>
      </c>
      <c r="BR204" s="31" t="n">
        <f aca="false">O204+P204</f>
        <v>0</v>
      </c>
      <c r="BS204" s="31" t="n">
        <f aca="false">T204+U204+V204</f>
        <v>874009</v>
      </c>
      <c r="BT204" s="31" t="n">
        <f aca="false">Q204</f>
        <v>0</v>
      </c>
      <c r="BU204" s="31" t="n">
        <f aca="false">W204</f>
        <v>462519</v>
      </c>
      <c r="BV204" s="31" t="n">
        <f aca="false">R204</f>
        <v>0</v>
      </c>
      <c r="BW204" s="31" t="n">
        <f aca="false">X204</f>
        <v>57354</v>
      </c>
      <c r="BX204" s="31" t="n">
        <f aca="false">S204</f>
        <v>0</v>
      </c>
      <c r="BY204" s="31" t="n">
        <f aca="false">Y204</f>
        <v>10246</v>
      </c>
      <c r="BZ204" s="32" t="n">
        <f aca="false">IF(BJ204=0,IF(BR204=0,0,1),(BR204-BJ204)/BJ204)</f>
        <v>0</v>
      </c>
      <c r="CA204" s="32" t="n">
        <f aca="false">IF(BK204=0,IF(BS204=0,0,1),(BS204-BK204)/BK204)</f>
        <v>1</v>
      </c>
      <c r="CB204" s="32" t="n">
        <f aca="false">IF(BL204=0,IF(BT204=0,0,1),(BT204-BL204)/BL204)</f>
        <v>0</v>
      </c>
      <c r="CC204" s="32" t="n">
        <f aca="false">IF(BM204=0,IF(BU204=0,0,1),(BU204-BM204)/BM204)</f>
        <v>1</v>
      </c>
      <c r="CD204" s="32" t="n">
        <f aca="false">IF(BN204=0,IF(BV204=0,0,1),(BV204-BN204)/BN204)</f>
        <v>0</v>
      </c>
      <c r="CE204" s="32" t="n">
        <f aca="false">IF(BO204=0,IF(BW204=0,0,1),(BW204-BO204)/BO204)</f>
        <v>1</v>
      </c>
      <c r="CF204" s="32" t="n">
        <f aca="false">IF(BP204=0,IF(BX204=0,0,1),(BX204-BP204)/BP204)</f>
        <v>0</v>
      </c>
      <c r="CG204" s="32" t="n">
        <f aca="false">IF(BQ204=0,IF(BY204=0,0,1),(BY204-BQ204)/BQ204)</f>
        <v>1</v>
      </c>
      <c r="CH204" s="32" t="n">
        <f aca="false">MAX(MAX(BZ204:CG204),-MIN(BZ204:CG204))</f>
        <v>1</v>
      </c>
      <c r="CI204" s="31" t="n">
        <f aca="false">IF(CO204="","",SUMIFS($CJ$7:$CJ$696,$A$7:$A$696,CO204,$B$7:$B$696,B204))</f>
        <v>1335256</v>
      </c>
      <c r="CJ204" s="31" t="n">
        <f aca="false">SUM(AY204:BI204)</f>
        <v>1404128</v>
      </c>
      <c r="CK204" s="31" t="str">
        <f aca="false">IFERROR(INDEX(設定!$F$61:$F$106,MATCH(B204,設定!$B$61:$B$106,0)),"Y")</f>
        <v>Y</v>
      </c>
      <c r="CL204" s="31" t="str">
        <f aca="false">IFERROR(INDEX(設定!$G$61:$G$106,MATCH(B204,設定!$B$61:$B$106,0)),"外郭型")</f>
        <v>外郭型</v>
      </c>
      <c r="CM204" s="33" t="str">
        <f aca="false">A204&amp;"|"&amp;B204</f>
        <v>2026-07 月例|平和文化センター</v>
      </c>
      <c r="CN204" s="34" t="str">
        <f aca="false">IFERROR(INDEX(設定!$D$61:$D$106,MATCH(B204,設定!$B$61:$B$106,0)),"Y")</f>
        <v>Y</v>
      </c>
      <c r="CO204" s="34" t="str">
        <f aca="false">IFERROR(INDEX(設定!$D$20:$D$34,MATCH(A204,設定!$A$20:$A$34,0))&amp;"","")</f>
        <v>2026-06 月例</v>
      </c>
    </row>
    <row r="205" customFormat="false" ht="15" hidden="true" customHeight="false" outlineLevel="0" collapsed="false">
      <c r="A205" s="22" t="s">
        <v>220</v>
      </c>
      <c r="B205" s="23" t="s">
        <v>183</v>
      </c>
      <c r="C205" s="10" t="str">
        <f aca="false">IF(G205="","未受領",IF(G205="なし","報告なし",IF(AL205="○","起票済",IF(OR(AK205="○",F205="一致",F205="入金不要"),"入金確認済","受領済"))))</f>
        <v>入金確認済</v>
      </c>
      <c r="D205" s="10" t="str">
        <f aca="false">IF(OR(G205="",G205="なし"),"―",IF(CN205="N","対象外",IF(AND(I205="",J205="",K205=""),"標報未入力",IF(CH205&gt;=設定!$B$4,"要確認","問題なし"))))</f>
        <v>標報未入力</v>
      </c>
      <c r="E205" s="24" t="str">
        <f aca="false">IF(OR(G205="",G205="なし",CI205="",CJ205=0),"―",IF(CJ205=CI205,"前月同額",IF(CI205=0,"―",IF(ABS(CJ205/CI205-1)&gt;=設定!$B$5,"変動大 "&amp;TEXT(CJ205/CI205-1,"+0%;-0%"),"〇"))))</f>
        <v>〇</v>
      </c>
      <c r="F205" s="10" t="str">
        <f aca="false">IF(OR(G205="",G205="なし"),"―",IF(CJ205=0,"入金不要",IF(COUNT(AD205,AF205,AH205,AJ205)=0,IF(AK205="○","手動確認","未入金"),IF(AND(N(AD205)=AC205,IF(AE205="",TRUE(),N(AF205)=AE205),IF(AG205="",TRUE(),N(AH205)=AG205),IF(AI205="",TRUE(),N(AJ205)=AI205)),"一致","不一致"))))</f>
        <v>手動確認</v>
      </c>
      <c r="G205" s="25" t="s">
        <v>167</v>
      </c>
      <c r="H205" s="26"/>
      <c r="I205" s="27"/>
      <c r="J205" s="27"/>
      <c r="K205" s="27"/>
      <c r="L205" s="27"/>
      <c r="M205" s="27"/>
      <c r="N205" s="27"/>
      <c r="O205" s="27"/>
      <c r="P205" s="27"/>
      <c r="Q205" s="27"/>
      <c r="R205" s="27"/>
      <c r="S205" s="27"/>
      <c r="T205" s="27" t="n">
        <v>2034960</v>
      </c>
      <c r="U205" s="27" t="n">
        <v>166800</v>
      </c>
      <c r="V205" s="27" t="n">
        <v>2038</v>
      </c>
      <c r="W205" s="27" t="n">
        <v>1310786</v>
      </c>
      <c r="X205" s="27" t="n">
        <v>143859</v>
      </c>
      <c r="Y205" s="27" t="n">
        <v>29034</v>
      </c>
      <c r="Z205" s="27"/>
      <c r="AA205" s="10" t="str">
        <f aca="false">IFERROR(INDEX(設定!$E$61:$E$106,MATCH(B205,設定!$B$61:$B$106,0)),"合算")</f>
        <v>合算</v>
      </c>
      <c r="AB205" s="28"/>
      <c r="AC205" s="29" t="n">
        <f aca="false">IF(OR(G205="",G205="なし"),"",IF(AA205="合算",CJ205+N(Z205),IF(AA205="掛金・負担金別",(AY205+AZ205+BD205+BF205+BH205),SUM(AY205:BC205))))</f>
        <v>3687477</v>
      </c>
      <c r="AD205" s="27"/>
      <c r="AE205" s="29" t="str">
        <f aca="false">IF(OR(G205="",G205="なし"),"",IF(AA205="掛金・負担金別",(BA205+BB205+BC205+BE205+BG205+BI205+N(Z205)),IF(AA205="経理区分別",BD205+BE205,"")))</f>
        <v/>
      </c>
      <c r="AF205" s="27"/>
      <c r="AG205" s="29" t="str">
        <f aca="false">IF(OR(G205="",G205="なし"),"",IF(AA205="経理区分別",BF205+BG205,""))</f>
        <v/>
      </c>
      <c r="AH205" s="27"/>
      <c r="AI205" s="29" t="str">
        <f aca="false">IF(OR(G205="",G205="なし"),"",IF(AA205="経理区分別",BH205+BI205+N(Z205),""))</f>
        <v/>
      </c>
      <c r="AJ205" s="27"/>
      <c r="AK205" s="26" t="s">
        <v>168</v>
      </c>
      <c r="AL205" s="26"/>
      <c r="AM205" s="30"/>
      <c r="AN205" s="31"/>
      <c r="AO205" s="31"/>
      <c r="AP205" s="31"/>
      <c r="AQ205" s="31"/>
      <c r="AR205" s="31"/>
      <c r="AS205" s="31"/>
      <c r="AT205" s="31"/>
      <c r="AU205" s="31"/>
      <c r="AV205" s="31"/>
      <c r="AW205" s="31"/>
      <c r="AX205" s="31"/>
      <c r="AY205" s="31" t="n">
        <f aca="false">IF($G205="",AN205,O205)</f>
        <v>0</v>
      </c>
      <c r="AZ205" s="31" t="n">
        <f aca="false">IF($G205="",AO205,P205)</f>
        <v>0</v>
      </c>
      <c r="BA205" s="31" t="n">
        <f aca="false">IF($G205="",AP205,T205)</f>
        <v>2034960</v>
      </c>
      <c r="BB205" s="31" t="n">
        <f aca="false">IF($G205="",AQ205,U205)</f>
        <v>166800</v>
      </c>
      <c r="BC205" s="31" t="n">
        <f aca="false">IF($G205="",AR205,V205)</f>
        <v>2038</v>
      </c>
      <c r="BD205" s="31" t="n">
        <f aca="false">IF($G205="",AS205,Q205)</f>
        <v>0</v>
      </c>
      <c r="BE205" s="31" t="n">
        <f aca="false">IF($G205="",AT205,W205)</f>
        <v>1310786</v>
      </c>
      <c r="BF205" s="31" t="n">
        <f aca="false">IF($G205="",AU205,R205)</f>
        <v>0</v>
      </c>
      <c r="BG205" s="31" t="n">
        <f aca="false">IF($G205="",AV205,X205)</f>
        <v>143859</v>
      </c>
      <c r="BH205" s="31" t="n">
        <f aca="false">IF($G205="",AW205,S205)</f>
        <v>0</v>
      </c>
      <c r="BI205" s="31" t="n">
        <f aca="false">IF($G205="",AX205,Y205)</f>
        <v>29034</v>
      </c>
      <c r="BJ205" s="31" t="n">
        <f aca="false">IF(CK205="N",BR205,ROUNDDOWN((I205-L205)*設定!$B$10/1000,0)+ROUNDDOWN((I205-L205)*設定!$B$11/1000,0))</f>
        <v>0</v>
      </c>
      <c r="BK205" s="31" t="n">
        <f aca="false">ROUNDDOWN((I205-L205)*設定!$C$10/1000,0)+ROUNDDOWN((I205-L205)*設定!$C$11/1000,0)+ROUNDDOWN(I205*設定!$C$12/1000,0)+IF(CL205="市局型",ROUNDDOWN(I205*設定!$C$16/1000,0),0)</f>
        <v>0</v>
      </c>
      <c r="BL205" s="31" t="n">
        <f aca="false">IF(CK205="N",BT205,ROUNDDOWN((J205-M205)*設定!$B$13/1000,0))</f>
        <v>0</v>
      </c>
      <c r="BM205" s="31" t="n">
        <f aca="false">ROUNDDOWN((J205-M205)*設定!$C$13/1000,0)+IF(CL205="市局型",ROUNDDOWN(J205*設定!$C$17/1000,0),0)</f>
        <v>0</v>
      </c>
      <c r="BN205" s="31" t="n">
        <f aca="false">IF(CK205="N",BV205,ROUNDDOWN((K205-N205)*設定!$B$14/1000,0))</f>
        <v>0</v>
      </c>
      <c r="BO205" s="31" t="n">
        <f aca="false">ROUNDDOWN((K205-N205)*設定!$C$14/1000,0)</f>
        <v>0</v>
      </c>
      <c r="BP205" s="31" t="n">
        <f aca="false">IF(CK205="N",BX205,ROUNDDOWN((J205-M205)*設定!$B$15/1000,0))</f>
        <v>0</v>
      </c>
      <c r="BQ205" s="31" t="n">
        <f aca="false">ROUNDDOWN((J205-M205)*設定!$C$15/1000,0)</f>
        <v>0</v>
      </c>
      <c r="BR205" s="31" t="n">
        <f aca="false">O205+P205</f>
        <v>0</v>
      </c>
      <c r="BS205" s="31" t="n">
        <f aca="false">T205+U205+V205</f>
        <v>2203798</v>
      </c>
      <c r="BT205" s="31" t="n">
        <f aca="false">Q205</f>
        <v>0</v>
      </c>
      <c r="BU205" s="31" t="n">
        <f aca="false">W205</f>
        <v>1310786</v>
      </c>
      <c r="BV205" s="31" t="n">
        <f aca="false">R205</f>
        <v>0</v>
      </c>
      <c r="BW205" s="31" t="n">
        <f aca="false">X205</f>
        <v>143859</v>
      </c>
      <c r="BX205" s="31" t="n">
        <f aca="false">S205</f>
        <v>0</v>
      </c>
      <c r="BY205" s="31" t="n">
        <f aca="false">Y205</f>
        <v>29034</v>
      </c>
      <c r="BZ205" s="32" t="n">
        <f aca="false">IF(BJ205=0,IF(BR205=0,0,1),(BR205-BJ205)/BJ205)</f>
        <v>0</v>
      </c>
      <c r="CA205" s="32" t="n">
        <f aca="false">IF(BK205=0,IF(BS205=0,0,1),(BS205-BK205)/BK205)</f>
        <v>1</v>
      </c>
      <c r="CB205" s="32" t="n">
        <f aca="false">IF(BL205=0,IF(BT205=0,0,1),(BT205-BL205)/BL205)</f>
        <v>0</v>
      </c>
      <c r="CC205" s="32" t="n">
        <f aca="false">IF(BM205=0,IF(BU205=0,0,1),(BU205-BM205)/BM205)</f>
        <v>1</v>
      </c>
      <c r="CD205" s="32" t="n">
        <f aca="false">IF(BN205=0,IF(BV205=0,0,1),(BV205-BN205)/BN205)</f>
        <v>0</v>
      </c>
      <c r="CE205" s="32" t="n">
        <f aca="false">IF(BO205=0,IF(BW205=0,0,1),(BW205-BO205)/BO205)</f>
        <v>1</v>
      </c>
      <c r="CF205" s="32" t="n">
        <f aca="false">IF(BP205=0,IF(BX205=0,0,1),(BX205-BP205)/BP205)</f>
        <v>0</v>
      </c>
      <c r="CG205" s="32" t="n">
        <f aca="false">IF(BQ205=0,IF(BY205=0,0,1),(BY205-BQ205)/BQ205)</f>
        <v>1</v>
      </c>
      <c r="CH205" s="32" t="n">
        <f aca="false">MAX(MAX(BZ205:CG205),-MIN(BZ205:CG205))</f>
        <v>1</v>
      </c>
      <c r="CI205" s="31" t="n">
        <f aca="false">IF(CO205="","",SUMIFS($CJ$7:$CJ$696,$A$7:$A$696,CO205,$B$7:$B$696,B205))</f>
        <v>3604427</v>
      </c>
      <c r="CJ205" s="31" t="n">
        <f aca="false">SUM(AY205:BI205)</f>
        <v>3687477</v>
      </c>
      <c r="CK205" s="31" t="str">
        <f aca="false">IFERROR(INDEX(設定!$F$61:$F$106,MATCH(B205,設定!$B$61:$B$106,0)),"Y")</f>
        <v>N</v>
      </c>
      <c r="CL205" s="31" t="str">
        <f aca="false">IFERROR(INDEX(設定!$G$61:$G$106,MATCH(B205,設定!$B$61:$B$106,0)),"外郭型")</f>
        <v>外郭型</v>
      </c>
      <c r="CM205" s="33" t="str">
        <f aca="false">A205&amp;"|"&amp;B205</f>
        <v>2026-07 月例|社会福祉事業団</v>
      </c>
      <c r="CN205" s="34" t="str">
        <f aca="false">IFERROR(INDEX(設定!$D$61:$D$106,MATCH(B205,設定!$B$61:$B$106,0)),"Y")</f>
        <v>Y</v>
      </c>
      <c r="CO205" s="34" t="str">
        <f aca="false">IFERROR(INDEX(設定!$D$20:$D$34,MATCH(A205,設定!$A$20:$A$34,0))&amp;"","")</f>
        <v>2026-06 月例</v>
      </c>
    </row>
    <row r="206" customFormat="false" ht="15" hidden="true" customHeight="false" outlineLevel="0" collapsed="false">
      <c r="A206" s="22" t="s">
        <v>220</v>
      </c>
      <c r="B206" s="23" t="s">
        <v>184</v>
      </c>
      <c r="C206" s="10" t="str">
        <f aca="false">IF(G206="","未受領",IF(G206="なし","報告なし",IF(AL206="○","起票済",IF(OR(AK206="○",F206="一致",F206="入金不要"),"入金確認済","受領済"))))</f>
        <v>入金確認済</v>
      </c>
      <c r="D206" s="10" t="str">
        <f aca="false">IF(OR(G206="",G206="なし"),"―",IF(CN206="N","対象外",IF(AND(I206="",J206="",K206=""),"標報未入力",IF(CH206&gt;=設定!$B$4,"要確認","問題なし"))))</f>
        <v>標報未入力</v>
      </c>
      <c r="E206" s="24" t="str">
        <f aca="false">IF(OR(G206="",G206="なし",CI206="",CJ206=0),"―",IF(CJ206=CI206,"前月同額",IF(CI206=0,"―",IF(ABS(CJ206/CI206-1)&gt;=設定!$B$5,"変動大 "&amp;TEXT(CJ206/CI206-1,"+0%;-0%"),"〇"))))</f>
        <v>前月同額</v>
      </c>
      <c r="F206" s="10" t="str">
        <f aca="false">IF(OR(G206="",G206="なし"),"―",IF(CJ206=0,"入金不要",IF(COUNT(AD206,AF206,AH206,AJ206)=0,IF(AK206="○","手動確認","未入金"),IF(AND(N(AD206)=AC206,IF(AE206="",TRUE(),N(AF206)=AE206),IF(AG206="",TRUE(),N(AH206)=AG206),IF(AI206="",TRUE(),N(AJ206)=AI206)),"一致","不一致"))))</f>
        <v>手動確認</v>
      </c>
      <c r="G206" s="25" t="s">
        <v>167</v>
      </c>
      <c r="H206" s="26"/>
      <c r="I206" s="27"/>
      <c r="J206" s="27"/>
      <c r="K206" s="27"/>
      <c r="L206" s="27"/>
      <c r="M206" s="27"/>
      <c r="N206" s="27"/>
      <c r="O206" s="27"/>
      <c r="P206" s="27"/>
      <c r="Q206" s="27"/>
      <c r="R206" s="27"/>
      <c r="S206" s="27"/>
      <c r="T206" s="27" t="n">
        <v>59475</v>
      </c>
      <c r="U206" s="27" t="n">
        <v>4875</v>
      </c>
      <c r="V206" s="27" t="n">
        <v>56</v>
      </c>
      <c r="W206" s="27" t="n">
        <v>36856</v>
      </c>
      <c r="X206" s="27" t="n">
        <v>5609</v>
      </c>
      <c r="Y206" s="27" t="n">
        <v>816</v>
      </c>
      <c r="Z206" s="27"/>
      <c r="AA206" s="10" t="str">
        <f aca="false">IFERROR(INDEX(設定!$E$61:$E$106,MATCH(B206,設定!$B$61:$B$106,0)),"合算")</f>
        <v>合算</v>
      </c>
      <c r="AB206" s="28"/>
      <c r="AC206" s="29" t="n">
        <f aca="false">IF(OR(G206="",G206="なし"),"",IF(AA206="合算",CJ206+N(Z206),IF(AA206="掛金・負担金別",(AY206+AZ206+BD206+BF206+BH206),SUM(AY206:BC206))))</f>
        <v>107687</v>
      </c>
      <c r="AD206" s="27"/>
      <c r="AE206" s="29" t="str">
        <f aca="false">IF(OR(G206="",G206="なし"),"",IF(AA206="掛金・負担金別",(BA206+BB206+BC206+BE206+BG206+BI206+N(Z206)),IF(AA206="経理区分別",BD206+BE206,"")))</f>
        <v/>
      </c>
      <c r="AF206" s="27"/>
      <c r="AG206" s="29" t="str">
        <f aca="false">IF(OR(G206="",G206="なし"),"",IF(AA206="経理区分別",BF206+BG206,""))</f>
        <v/>
      </c>
      <c r="AH206" s="27"/>
      <c r="AI206" s="29" t="str">
        <f aca="false">IF(OR(G206="",G206="なし"),"",IF(AA206="経理区分別",BH206+BI206+N(Z206),""))</f>
        <v/>
      </c>
      <c r="AJ206" s="27"/>
      <c r="AK206" s="26" t="s">
        <v>168</v>
      </c>
      <c r="AL206" s="26"/>
      <c r="AM206" s="30"/>
      <c r="AN206" s="31"/>
      <c r="AO206" s="31"/>
      <c r="AP206" s="31"/>
      <c r="AQ206" s="31"/>
      <c r="AR206" s="31"/>
      <c r="AS206" s="31"/>
      <c r="AT206" s="31"/>
      <c r="AU206" s="31"/>
      <c r="AV206" s="31"/>
      <c r="AW206" s="31"/>
      <c r="AX206" s="31"/>
      <c r="AY206" s="31" t="n">
        <f aca="false">IF($G206="",AN206,O206)</f>
        <v>0</v>
      </c>
      <c r="AZ206" s="31" t="n">
        <f aca="false">IF($G206="",AO206,P206)</f>
        <v>0</v>
      </c>
      <c r="BA206" s="31" t="n">
        <f aca="false">IF($G206="",AP206,T206)</f>
        <v>59475</v>
      </c>
      <c r="BB206" s="31" t="n">
        <f aca="false">IF($G206="",AQ206,U206)</f>
        <v>4875</v>
      </c>
      <c r="BC206" s="31" t="n">
        <f aca="false">IF($G206="",AR206,V206)</f>
        <v>56</v>
      </c>
      <c r="BD206" s="31" t="n">
        <f aca="false">IF($G206="",AS206,Q206)</f>
        <v>0</v>
      </c>
      <c r="BE206" s="31" t="n">
        <f aca="false">IF($G206="",AT206,W206)</f>
        <v>36856</v>
      </c>
      <c r="BF206" s="31" t="n">
        <f aca="false">IF($G206="",AU206,R206)</f>
        <v>0</v>
      </c>
      <c r="BG206" s="31" t="n">
        <f aca="false">IF($G206="",AV206,X206)</f>
        <v>5609</v>
      </c>
      <c r="BH206" s="31" t="n">
        <f aca="false">IF($G206="",AW206,S206)</f>
        <v>0</v>
      </c>
      <c r="BI206" s="31" t="n">
        <f aca="false">IF($G206="",AX206,Y206)</f>
        <v>816</v>
      </c>
      <c r="BJ206" s="31" t="n">
        <f aca="false">IF(CK206="N",BR206,ROUNDDOWN((I206-L206)*設定!$B$10/1000,0)+ROUNDDOWN((I206-L206)*設定!$B$11/1000,0))</f>
        <v>0</v>
      </c>
      <c r="BK206" s="31" t="n">
        <f aca="false">ROUNDDOWN((I206-L206)*設定!$C$10/1000,0)+ROUNDDOWN((I206-L206)*設定!$C$11/1000,0)+ROUNDDOWN(I206*設定!$C$12/1000,0)+IF(CL206="市局型",ROUNDDOWN(I206*設定!$C$16/1000,0),0)</f>
        <v>0</v>
      </c>
      <c r="BL206" s="31" t="n">
        <f aca="false">IF(CK206="N",BT206,ROUNDDOWN((J206-M206)*設定!$B$13/1000,0))</f>
        <v>0</v>
      </c>
      <c r="BM206" s="31" t="n">
        <f aca="false">ROUNDDOWN((J206-M206)*設定!$C$13/1000,0)+IF(CL206="市局型",ROUNDDOWN(J206*設定!$C$17/1000,0),0)</f>
        <v>0</v>
      </c>
      <c r="BN206" s="31" t="n">
        <f aca="false">IF(CK206="N",BV206,ROUNDDOWN((K206-N206)*設定!$B$14/1000,0))</f>
        <v>0</v>
      </c>
      <c r="BO206" s="31" t="n">
        <f aca="false">ROUNDDOWN((K206-N206)*設定!$C$14/1000,0)</f>
        <v>0</v>
      </c>
      <c r="BP206" s="31" t="n">
        <f aca="false">IF(CK206="N",BX206,ROUNDDOWN((J206-M206)*設定!$B$15/1000,0))</f>
        <v>0</v>
      </c>
      <c r="BQ206" s="31" t="n">
        <f aca="false">ROUNDDOWN((J206-M206)*設定!$C$15/1000,0)</f>
        <v>0</v>
      </c>
      <c r="BR206" s="31" t="n">
        <f aca="false">O206+P206</f>
        <v>0</v>
      </c>
      <c r="BS206" s="31" t="n">
        <f aca="false">T206+U206+V206</f>
        <v>64406</v>
      </c>
      <c r="BT206" s="31" t="n">
        <f aca="false">Q206</f>
        <v>0</v>
      </c>
      <c r="BU206" s="31" t="n">
        <f aca="false">W206</f>
        <v>36856</v>
      </c>
      <c r="BV206" s="31" t="n">
        <f aca="false">R206</f>
        <v>0</v>
      </c>
      <c r="BW206" s="31" t="n">
        <f aca="false">X206</f>
        <v>5609</v>
      </c>
      <c r="BX206" s="31" t="n">
        <f aca="false">S206</f>
        <v>0</v>
      </c>
      <c r="BY206" s="31" t="n">
        <f aca="false">Y206</f>
        <v>816</v>
      </c>
      <c r="BZ206" s="32" t="n">
        <f aca="false">IF(BJ206=0,IF(BR206=0,0,1),(BR206-BJ206)/BJ206)</f>
        <v>0</v>
      </c>
      <c r="CA206" s="32" t="n">
        <f aca="false">IF(BK206=0,IF(BS206=0,0,1),(BS206-BK206)/BK206)</f>
        <v>1</v>
      </c>
      <c r="CB206" s="32" t="n">
        <f aca="false">IF(BL206=0,IF(BT206=0,0,1),(BT206-BL206)/BL206)</f>
        <v>0</v>
      </c>
      <c r="CC206" s="32" t="n">
        <f aca="false">IF(BM206=0,IF(BU206=0,0,1),(BU206-BM206)/BM206)</f>
        <v>1</v>
      </c>
      <c r="CD206" s="32" t="n">
        <f aca="false">IF(BN206=0,IF(BV206=0,0,1),(BV206-BN206)/BN206)</f>
        <v>0</v>
      </c>
      <c r="CE206" s="32" t="n">
        <f aca="false">IF(BO206=0,IF(BW206=0,0,1),(BW206-BO206)/BO206)</f>
        <v>1</v>
      </c>
      <c r="CF206" s="32" t="n">
        <f aca="false">IF(BP206=0,IF(BX206=0,0,1),(BX206-BP206)/BP206)</f>
        <v>0</v>
      </c>
      <c r="CG206" s="32" t="n">
        <f aca="false">IF(BQ206=0,IF(BY206=0,0,1),(BY206-BQ206)/BQ206)</f>
        <v>1</v>
      </c>
      <c r="CH206" s="32" t="n">
        <f aca="false">MAX(MAX(BZ206:CG206),-MIN(BZ206:CG206))</f>
        <v>1</v>
      </c>
      <c r="CI206" s="31" t="n">
        <f aca="false">IF(CO206="","",SUMIFS($CJ$7:$CJ$696,$A$7:$A$696,CO206,$B$7:$B$696,B206))</f>
        <v>107687</v>
      </c>
      <c r="CJ206" s="31" t="n">
        <f aca="false">SUM(AY206:BI206)</f>
        <v>107687</v>
      </c>
      <c r="CK206" s="31" t="str">
        <f aca="false">IFERROR(INDEX(設定!$F$61:$F$106,MATCH(B206,設定!$B$61:$B$106,0)),"Y")</f>
        <v>N</v>
      </c>
      <c r="CL206" s="31" t="str">
        <f aca="false">IFERROR(INDEX(設定!$G$61:$G$106,MATCH(B206,設定!$B$61:$B$106,0)),"外郭型")</f>
        <v>外郭型</v>
      </c>
      <c r="CM206" s="33" t="str">
        <f aca="false">A206&amp;"|"&amp;B206</f>
        <v>2026-07 月例|原爆障害対策協議会</v>
      </c>
      <c r="CN206" s="34" t="str">
        <f aca="false">IFERROR(INDEX(設定!$D$61:$D$106,MATCH(B206,設定!$B$61:$B$106,0)),"Y")</f>
        <v>Y</v>
      </c>
      <c r="CO206" s="34" t="str">
        <f aca="false">IFERROR(INDEX(設定!$D$20:$D$34,MATCH(A206,設定!$A$20:$A$34,0))&amp;"","")</f>
        <v>2026-06 月例</v>
      </c>
    </row>
    <row r="207" customFormat="false" ht="15" hidden="true" customHeight="false" outlineLevel="0" collapsed="false">
      <c r="A207" s="22" t="s">
        <v>220</v>
      </c>
      <c r="B207" s="23" t="s">
        <v>185</v>
      </c>
      <c r="C207" s="10" t="str">
        <f aca="false">IF(G207="","未受領",IF(G207="なし","報告なし",IF(AL207="○","起票済",IF(OR(AK207="○",F207="一致",F207="入金不要"),"入金確認済","受領済"))))</f>
        <v>入金確認済</v>
      </c>
      <c r="D207" s="10" t="str">
        <f aca="false">IF(OR(G207="",G207="なし"),"―",IF(CN207="N","対象外",IF(AND(I207="",J207="",K207=""),"標報未入力",IF(CH207&gt;=設定!$B$4,"要確認","問題なし"))))</f>
        <v>標報未入力</v>
      </c>
      <c r="E207" s="24" t="str">
        <f aca="false">IF(OR(G207="",G207="なし",CI207="",CJ207=0),"―",IF(CJ207=CI207,"前月同額",IF(CI207=0,"―",IF(ABS(CJ207/CI207-1)&gt;=設定!$B$5,"変動大 "&amp;TEXT(CJ207/CI207-1,"+0%;-0%"),"〇"))))</f>
        <v>前月同額</v>
      </c>
      <c r="F207" s="10" t="str">
        <f aca="false">IF(OR(G207="",G207="なし"),"―",IF(CJ207=0,"入金不要",IF(COUNT(AD207,AF207,AH207,AJ207)=0,IF(AK207="○","手動確認","未入金"),IF(AND(N(AD207)=AC207,IF(AE207="",TRUE(),N(AF207)=AE207),IF(AG207="",TRUE(),N(AH207)=AG207),IF(AI207="",TRUE(),N(AJ207)=AI207)),"一致","不一致"))))</f>
        <v>手動確認</v>
      </c>
      <c r="G207" s="25" t="s">
        <v>167</v>
      </c>
      <c r="H207" s="26"/>
      <c r="I207" s="27"/>
      <c r="J207" s="27"/>
      <c r="K207" s="27"/>
      <c r="L207" s="27"/>
      <c r="M207" s="27"/>
      <c r="N207" s="27"/>
      <c r="O207" s="27"/>
      <c r="P207" s="27"/>
      <c r="Q207" s="27"/>
      <c r="R207" s="27"/>
      <c r="S207" s="27"/>
      <c r="T207" s="27" t="n">
        <v>368745</v>
      </c>
      <c r="U207" s="27" t="n">
        <v>30225</v>
      </c>
      <c r="V207" s="27" t="n">
        <v>395</v>
      </c>
      <c r="W207" s="27" t="n">
        <v>209223</v>
      </c>
      <c r="X207" s="27" t="n">
        <v>26781</v>
      </c>
      <c r="Y207" s="27" t="n">
        <v>4634</v>
      </c>
      <c r="Z207" s="27"/>
      <c r="AA207" s="10" t="str">
        <f aca="false">IFERROR(INDEX(設定!$E$61:$E$106,MATCH(B207,設定!$B$61:$B$106,0)),"合算")</f>
        <v>合算</v>
      </c>
      <c r="AB207" s="28"/>
      <c r="AC207" s="29" t="n">
        <f aca="false">IF(OR(G207="",G207="なし"),"",IF(AA207="合算",CJ207+N(Z207),IF(AA207="掛金・負担金別",(AY207+AZ207+BD207+BF207+BH207),SUM(AY207:BC207))))</f>
        <v>640003</v>
      </c>
      <c r="AD207" s="27"/>
      <c r="AE207" s="29" t="str">
        <f aca="false">IF(OR(G207="",G207="なし"),"",IF(AA207="掛金・負担金別",(BA207+BB207+BC207+BE207+BG207+BI207+N(Z207)),IF(AA207="経理区分別",BD207+BE207,"")))</f>
        <v/>
      </c>
      <c r="AF207" s="27"/>
      <c r="AG207" s="29" t="str">
        <f aca="false">IF(OR(G207="",G207="なし"),"",IF(AA207="経理区分別",BF207+BG207,""))</f>
        <v/>
      </c>
      <c r="AH207" s="27"/>
      <c r="AI207" s="29" t="str">
        <f aca="false">IF(OR(G207="",G207="なし"),"",IF(AA207="経理区分別",BH207+BI207+N(Z207),""))</f>
        <v/>
      </c>
      <c r="AJ207" s="27"/>
      <c r="AK207" s="26" t="s">
        <v>168</v>
      </c>
      <c r="AL207" s="26"/>
      <c r="AM207" s="30"/>
      <c r="AN207" s="31"/>
      <c r="AO207" s="31"/>
      <c r="AP207" s="31"/>
      <c r="AQ207" s="31"/>
      <c r="AR207" s="31"/>
      <c r="AS207" s="31"/>
      <c r="AT207" s="31"/>
      <c r="AU207" s="31"/>
      <c r="AV207" s="31"/>
      <c r="AW207" s="31"/>
      <c r="AX207" s="31"/>
      <c r="AY207" s="31" t="n">
        <f aca="false">IF($G207="",AN207,O207)</f>
        <v>0</v>
      </c>
      <c r="AZ207" s="31" t="n">
        <f aca="false">IF($G207="",AO207,P207)</f>
        <v>0</v>
      </c>
      <c r="BA207" s="31" t="n">
        <f aca="false">IF($G207="",AP207,T207)</f>
        <v>368745</v>
      </c>
      <c r="BB207" s="31" t="n">
        <f aca="false">IF($G207="",AQ207,U207)</f>
        <v>30225</v>
      </c>
      <c r="BC207" s="31" t="n">
        <f aca="false">IF($G207="",AR207,V207)</f>
        <v>395</v>
      </c>
      <c r="BD207" s="31" t="n">
        <f aca="false">IF($G207="",AS207,Q207)</f>
        <v>0</v>
      </c>
      <c r="BE207" s="31" t="n">
        <f aca="false">IF($G207="",AT207,W207)</f>
        <v>209223</v>
      </c>
      <c r="BF207" s="31" t="n">
        <f aca="false">IF($G207="",AU207,R207)</f>
        <v>0</v>
      </c>
      <c r="BG207" s="31" t="n">
        <f aca="false">IF($G207="",AV207,X207)</f>
        <v>26781</v>
      </c>
      <c r="BH207" s="31" t="n">
        <f aca="false">IF($G207="",AW207,S207)</f>
        <v>0</v>
      </c>
      <c r="BI207" s="31" t="n">
        <f aca="false">IF($G207="",AX207,Y207)</f>
        <v>4634</v>
      </c>
      <c r="BJ207" s="31" t="n">
        <f aca="false">IF(CK207="N",BR207,ROUNDDOWN((I207-L207)*設定!$B$10/1000,0)+ROUNDDOWN((I207-L207)*設定!$B$11/1000,0))</f>
        <v>0</v>
      </c>
      <c r="BK207" s="31" t="n">
        <f aca="false">ROUNDDOWN((I207-L207)*設定!$C$10/1000,0)+ROUNDDOWN((I207-L207)*設定!$C$11/1000,0)+ROUNDDOWN(I207*設定!$C$12/1000,0)+IF(CL207="市局型",ROUNDDOWN(I207*設定!$C$16/1000,0),0)</f>
        <v>0</v>
      </c>
      <c r="BL207" s="31" t="n">
        <f aca="false">IF(CK207="N",BT207,ROUNDDOWN((J207-M207)*設定!$B$13/1000,0))</f>
        <v>0</v>
      </c>
      <c r="BM207" s="31" t="n">
        <f aca="false">ROUNDDOWN((J207-M207)*設定!$C$13/1000,0)+IF(CL207="市局型",ROUNDDOWN(J207*設定!$C$17/1000,0),0)</f>
        <v>0</v>
      </c>
      <c r="BN207" s="31" t="n">
        <f aca="false">IF(CK207="N",BV207,ROUNDDOWN((K207-N207)*設定!$B$14/1000,0))</f>
        <v>0</v>
      </c>
      <c r="BO207" s="31" t="n">
        <f aca="false">ROUNDDOWN((K207-N207)*設定!$C$14/1000,0)</f>
        <v>0</v>
      </c>
      <c r="BP207" s="31" t="n">
        <f aca="false">IF(CK207="N",BX207,ROUNDDOWN((J207-M207)*設定!$B$15/1000,0))</f>
        <v>0</v>
      </c>
      <c r="BQ207" s="31" t="n">
        <f aca="false">ROUNDDOWN((J207-M207)*設定!$C$15/1000,0)</f>
        <v>0</v>
      </c>
      <c r="BR207" s="31" t="n">
        <f aca="false">O207+P207</f>
        <v>0</v>
      </c>
      <c r="BS207" s="31" t="n">
        <f aca="false">T207+U207+V207</f>
        <v>399365</v>
      </c>
      <c r="BT207" s="31" t="n">
        <f aca="false">Q207</f>
        <v>0</v>
      </c>
      <c r="BU207" s="31" t="n">
        <f aca="false">W207</f>
        <v>209223</v>
      </c>
      <c r="BV207" s="31" t="n">
        <f aca="false">R207</f>
        <v>0</v>
      </c>
      <c r="BW207" s="31" t="n">
        <f aca="false">X207</f>
        <v>26781</v>
      </c>
      <c r="BX207" s="31" t="n">
        <f aca="false">S207</f>
        <v>0</v>
      </c>
      <c r="BY207" s="31" t="n">
        <f aca="false">Y207</f>
        <v>4634</v>
      </c>
      <c r="BZ207" s="32" t="n">
        <f aca="false">IF(BJ207=0,IF(BR207=0,0,1),(BR207-BJ207)/BJ207)</f>
        <v>0</v>
      </c>
      <c r="CA207" s="32" t="n">
        <f aca="false">IF(BK207=0,IF(BS207=0,0,1),(BS207-BK207)/BK207)</f>
        <v>1</v>
      </c>
      <c r="CB207" s="32" t="n">
        <f aca="false">IF(BL207=0,IF(BT207=0,0,1),(BT207-BL207)/BL207)</f>
        <v>0</v>
      </c>
      <c r="CC207" s="32" t="n">
        <f aca="false">IF(BM207=0,IF(BU207=0,0,1),(BU207-BM207)/BM207)</f>
        <v>1</v>
      </c>
      <c r="CD207" s="32" t="n">
        <f aca="false">IF(BN207=0,IF(BV207=0,0,1),(BV207-BN207)/BN207)</f>
        <v>0</v>
      </c>
      <c r="CE207" s="32" t="n">
        <f aca="false">IF(BO207=0,IF(BW207=0,0,1),(BW207-BO207)/BO207)</f>
        <v>1</v>
      </c>
      <c r="CF207" s="32" t="n">
        <f aca="false">IF(BP207=0,IF(BX207=0,0,1),(BX207-BP207)/BP207)</f>
        <v>0</v>
      </c>
      <c r="CG207" s="32" t="n">
        <f aca="false">IF(BQ207=0,IF(BY207=0,0,1),(BY207-BQ207)/BQ207)</f>
        <v>1</v>
      </c>
      <c r="CH207" s="32" t="n">
        <f aca="false">MAX(MAX(BZ207:CG207),-MIN(BZ207:CG207))</f>
        <v>1</v>
      </c>
      <c r="CI207" s="31" t="n">
        <f aca="false">IF(CO207="","",SUMIFS($CJ$7:$CJ$696,$A$7:$A$696,CO207,$B$7:$B$696,B207))</f>
        <v>640003</v>
      </c>
      <c r="CJ207" s="31" t="n">
        <f aca="false">SUM(AY207:BI207)</f>
        <v>640003</v>
      </c>
      <c r="CK207" s="31" t="str">
        <f aca="false">IFERROR(INDEX(設定!$F$61:$F$106,MATCH(B207,設定!$B$61:$B$106,0)),"Y")</f>
        <v>N</v>
      </c>
      <c r="CL207" s="31" t="str">
        <f aca="false">IFERROR(INDEX(設定!$G$61:$G$106,MATCH(B207,設定!$B$61:$B$106,0)),"外郭型")</f>
        <v>外郭型</v>
      </c>
      <c r="CM207" s="33" t="str">
        <f aca="false">A207&amp;"|"&amp;B207</f>
        <v>2026-07 月例|産業振興センター</v>
      </c>
      <c r="CN207" s="34" t="str">
        <f aca="false">IFERROR(INDEX(設定!$D$61:$D$106,MATCH(B207,設定!$B$61:$B$106,0)),"Y")</f>
        <v>Y</v>
      </c>
      <c r="CO207" s="34" t="str">
        <f aca="false">IFERROR(INDEX(設定!$D$20:$D$34,MATCH(A207,設定!$A$20:$A$34,0))&amp;"","")</f>
        <v>2026-06 月例</v>
      </c>
    </row>
    <row r="208" customFormat="false" ht="15" hidden="true" customHeight="false" outlineLevel="0" collapsed="false">
      <c r="A208" s="22" t="s">
        <v>220</v>
      </c>
      <c r="B208" s="23" t="s">
        <v>186</v>
      </c>
      <c r="C208" s="10" t="str">
        <f aca="false">IF(G208="","未受領",IF(G208="なし","報告なし",IF(AL208="○","起票済",IF(OR(AK208="○",F208="一致",F208="入金不要"),"入金確認済","受領済"))))</f>
        <v>入金確認済</v>
      </c>
      <c r="D208" s="10" t="str">
        <f aca="false">IF(OR(G208="",G208="なし"),"―",IF(CN208="N","対象外",IF(AND(I208="",J208="",K208=""),"標報未入力",IF(CH208&gt;=設定!$B$4,"要確認","問題なし"))))</f>
        <v>標報未入力</v>
      </c>
      <c r="E208" s="24" t="str">
        <f aca="false">IF(OR(G208="",G208="なし",CI208="",CJ208=0),"―",IF(CJ208=CI208,"前月同額",IF(CI208=0,"―",IF(ABS(CJ208/CI208-1)&gt;=設定!$B$5,"変動大 "&amp;TEXT(CJ208/CI208-1,"+0%;-0%"),"〇"))))</f>
        <v>変動大 +14%</v>
      </c>
      <c r="F208" s="10" t="str">
        <f aca="false">IF(OR(G208="",G208="なし"),"―",IF(CJ208=0,"入金不要",IF(COUNT(AD208,AF208,AH208,AJ208)=0,IF(AK208="○","手動確認","未入金"),IF(AND(N(AD208)=AC208,IF(AE208="",TRUE(),N(AF208)=AE208),IF(AG208="",TRUE(),N(AH208)=AG208),IF(AI208="",TRUE(),N(AJ208)=AI208)),"一致","不一致"))))</f>
        <v>手動確認</v>
      </c>
      <c r="G208" s="25" t="s">
        <v>167</v>
      </c>
      <c r="H208" s="26"/>
      <c r="I208" s="27"/>
      <c r="J208" s="27"/>
      <c r="K208" s="27"/>
      <c r="L208" s="27"/>
      <c r="M208" s="27"/>
      <c r="N208" s="27"/>
      <c r="O208" s="27"/>
      <c r="P208" s="27"/>
      <c r="Q208" s="27"/>
      <c r="R208" s="27"/>
      <c r="S208" s="27"/>
      <c r="T208" s="27" t="n">
        <v>45750</v>
      </c>
      <c r="U208" s="27" t="n">
        <v>3750</v>
      </c>
      <c r="V208" s="27" t="n">
        <v>43</v>
      </c>
      <c r="W208" s="27" t="n">
        <v>25955</v>
      </c>
      <c r="X208" s="27" t="n">
        <v>3950</v>
      </c>
      <c r="Y208" s="27" t="n">
        <v>575</v>
      </c>
      <c r="Z208" s="27"/>
      <c r="AA208" s="10" t="str">
        <f aca="false">IFERROR(INDEX(設定!$E$61:$E$106,MATCH(B208,設定!$B$61:$B$106,0)),"合算")</f>
        <v>合算</v>
      </c>
      <c r="AB208" s="28"/>
      <c r="AC208" s="29" t="n">
        <f aca="false">IF(OR(G208="",G208="なし"),"",IF(AA208="合算",CJ208+N(Z208),IF(AA208="掛金・負担金別",(AY208+AZ208+BD208+BF208+BH208),SUM(AY208:BC208))))</f>
        <v>80023</v>
      </c>
      <c r="AD208" s="27"/>
      <c r="AE208" s="29" t="str">
        <f aca="false">IF(OR(G208="",G208="なし"),"",IF(AA208="掛金・負担金別",(BA208+BB208+BC208+BE208+BG208+BI208+N(Z208)),IF(AA208="経理区分別",BD208+BE208,"")))</f>
        <v/>
      </c>
      <c r="AF208" s="27"/>
      <c r="AG208" s="29" t="str">
        <f aca="false">IF(OR(G208="",G208="なし"),"",IF(AA208="経理区分別",BF208+BG208,""))</f>
        <v/>
      </c>
      <c r="AH208" s="27"/>
      <c r="AI208" s="29" t="str">
        <f aca="false">IF(OR(G208="",G208="なし"),"",IF(AA208="経理区分別",BH208+BI208+N(Z208),""))</f>
        <v/>
      </c>
      <c r="AJ208" s="27"/>
      <c r="AK208" s="26" t="s">
        <v>168</v>
      </c>
      <c r="AL208" s="26"/>
      <c r="AM208" s="30"/>
      <c r="AN208" s="31"/>
      <c r="AO208" s="31"/>
      <c r="AP208" s="31"/>
      <c r="AQ208" s="31"/>
      <c r="AR208" s="31"/>
      <c r="AS208" s="31"/>
      <c r="AT208" s="31"/>
      <c r="AU208" s="31"/>
      <c r="AV208" s="31"/>
      <c r="AW208" s="31"/>
      <c r="AX208" s="31"/>
      <c r="AY208" s="31" t="n">
        <f aca="false">IF($G208="",AN208,O208)</f>
        <v>0</v>
      </c>
      <c r="AZ208" s="31" t="n">
        <f aca="false">IF($G208="",AO208,P208)</f>
        <v>0</v>
      </c>
      <c r="BA208" s="31" t="n">
        <f aca="false">IF($G208="",AP208,T208)</f>
        <v>45750</v>
      </c>
      <c r="BB208" s="31" t="n">
        <f aca="false">IF($G208="",AQ208,U208)</f>
        <v>3750</v>
      </c>
      <c r="BC208" s="31" t="n">
        <f aca="false">IF($G208="",AR208,V208)</f>
        <v>43</v>
      </c>
      <c r="BD208" s="31" t="n">
        <f aca="false">IF($G208="",AS208,Q208)</f>
        <v>0</v>
      </c>
      <c r="BE208" s="31" t="n">
        <f aca="false">IF($G208="",AT208,W208)</f>
        <v>25955</v>
      </c>
      <c r="BF208" s="31" t="n">
        <f aca="false">IF($G208="",AU208,R208)</f>
        <v>0</v>
      </c>
      <c r="BG208" s="31" t="n">
        <f aca="false">IF($G208="",AV208,X208)</f>
        <v>3950</v>
      </c>
      <c r="BH208" s="31" t="n">
        <f aca="false">IF($G208="",AW208,S208)</f>
        <v>0</v>
      </c>
      <c r="BI208" s="31" t="n">
        <f aca="false">IF($G208="",AX208,Y208)</f>
        <v>575</v>
      </c>
      <c r="BJ208" s="31" t="n">
        <f aca="false">IF(CK208="N",BR208,ROUNDDOWN((I208-L208)*設定!$B$10/1000,0)+ROUNDDOWN((I208-L208)*設定!$B$11/1000,0))</f>
        <v>0</v>
      </c>
      <c r="BK208" s="31" t="n">
        <f aca="false">ROUNDDOWN((I208-L208)*設定!$C$10/1000,0)+ROUNDDOWN((I208-L208)*設定!$C$11/1000,0)+ROUNDDOWN(I208*設定!$C$12/1000,0)+IF(CL208="市局型",ROUNDDOWN(I208*設定!$C$16/1000,0),0)</f>
        <v>0</v>
      </c>
      <c r="BL208" s="31" t="n">
        <f aca="false">IF(CK208="N",BT208,ROUNDDOWN((J208-M208)*設定!$B$13/1000,0))</f>
        <v>0</v>
      </c>
      <c r="BM208" s="31" t="n">
        <f aca="false">ROUNDDOWN((J208-M208)*設定!$C$13/1000,0)+IF(CL208="市局型",ROUNDDOWN(J208*設定!$C$17/1000,0),0)</f>
        <v>0</v>
      </c>
      <c r="BN208" s="31" t="n">
        <f aca="false">IF(CK208="N",BV208,ROUNDDOWN((K208-N208)*設定!$B$14/1000,0))</f>
        <v>0</v>
      </c>
      <c r="BO208" s="31" t="n">
        <f aca="false">ROUNDDOWN((K208-N208)*設定!$C$14/1000,0)</f>
        <v>0</v>
      </c>
      <c r="BP208" s="31" t="n">
        <f aca="false">IF(CK208="N",BX208,ROUNDDOWN((J208-M208)*設定!$B$15/1000,0))</f>
        <v>0</v>
      </c>
      <c r="BQ208" s="31" t="n">
        <f aca="false">ROUNDDOWN((J208-M208)*設定!$C$15/1000,0)</f>
        <v>0</v>
      </c>
      <c r="BR208" s="31" t="n">
        <f aca="false">O208+P208</f>
        <v>0</v>
      </c>
      <c r="BS208" s="31" t="n">
        <f aca="false">T208+U208+V208</f>
        <v>49543</v>
      </c>
      <c r="BT208" s="31" t="n">
        <f aca="false">Q208</f>
        <v>0</v>
      </c>
      <c r="BU208" s="31" t="n">
        <f aca="false">W208</f>
        <v>25955</v>
      </c>
      <c r="BV208" s="31" t="n">
        <f aca="false">R208</f>
        <v>0</v>
      </c>
      <c r="BW208" s="31" t="n">
        <f aca="false">X208</f>
        <v>3950</v>
      </c>
      <c r="BX208" s="31" t="n">
        <f aca="false">S208</f>
        <v>0</v>
      </c>
      <c r="BY208" s="31" t="n">
        <f aca="false">Y208</f>
        <v>575</v>
      </c>
      <c r="BZ208" s="32" t="n">
        <f aca="false">IF(BJ208=0,IF(BR208=0,0,1),(BR208-BJ208)/BJ208)</f>
        <v>0</v>
      </c>
      <c r="CA208" s="32" t="n">
        <f aca="false">IF(BK208=0,IF(BS208=0,0,1),(BS208-BK208)/BK208)</f>
        <v>1</v>
      </c>
      <c r="CB208" s="32" t="n">
        <f aca="false">IF(BL208=0,IF(BT208=0,0,1),(BT208-BL208)/BL208)</f>
        <v>0</v>
      </c>
      <c r="CC208" s="32" t="n">
        <f aca="false">IF(BM208=0,IF(BU208=0,0,1),(BU208-BM208)/BM208)</f>
        <v>1</v>
      </c>
      <c r="CD208" s="32" t="n">
        <f aca="false">IF(BN208=0,IF(BV208=0,0,1),(BV208-BN208)/BN208)</f>
        <v>0</v>
      </c>
      <c r="CE208" s="32" t="n">
        <f aca="false">IF(BO208=0,IF(BW208=0,0,1),(BW208-BO208)/BO208)</f>
        <v>1</v>
      </c>
      <c r="CF208" s="32" t="n">
        <f aca="false">IF(BP208=0,IF(BX208=0,0,1),(BX208-BP208)/BP208)</f>
        <v>0</v>
      </c>
      <c r="CG208" s="32" t="n">
        <f aca="false">IF(BQ208=0,IF(BY208=0,0,1),(BY208-BQ208)/BQ208)</f>
        <v>1</v>
      </c>
      <c r="CH208" s="32" t="n">
        <f aca="false">MAX(MAX(BZ208:CG208),-MIN(BZ208:CG208))</f>
        <v>1</v>
      </c>
      <c r="CI208" s="31" t="n">
        <f aca="false">IF(CO208="","",SUMIFS($CJ$7:$CJ$696,$A$7:$A$696,CO208,$B$7:$B$696,B208))</f>
        <v>70420</v>
      </c>
      <c r="CJ208" s="31" t="n">
        <f aca="false">SUM(AY208:BI208)</f>
        <v>80023</v>
      </c>
      <c r="CK208" s="31" t="str">
        <f aca="false">IFERROR(INDEX(設定!$F$61:$F$106,MATCH(B208,設定!$B$61:$B$106,0)),"Y")</f>
        <v>N</v>
      </c>
      <c r="CL208" s="31" t="str">
        <f aca="false">IFERROR(INDEX(設定!$G$61:$G$106,MATCH(B208,設定!$B$61:$B$106,0)),"外郭型")</f>
        <v>外郭型</v>
      </c>
      <c r="CM208" s="33" t="str">
        <f aca="false">A208&amp;"|"&amp;B208</f>
        <v>2026-07 月例|ひろしま産業振興</v>
      </c>
      <c r="CN208" s="34" t="str">
        <f aca="false">IFERROR(INDEX(設定!$D$61:$D$106,MATCH(B208,設定!$B$61:$B$106,0)),"Y")</f>
        <v>Y</v>
      </c>
      <c r="CO208" s="34" t="str">
        <f aca="false">IFERROR(INDEX(設定!$D$20:$D$34,MATCH(A208,設定!$A$20:$A$34,0))&amp;"","")</f>
        <v>2026-06 月例</v>
      </c>
    </row>
    <row r="209" customFormat="false" ht="15" hidden="true" customHeight="false" outlineLevel="0" collapsed="false">
      <c r="A209" s="22" t="s">
        <v>220</v>
      </c>
      <c r="B209" s="23" t="s">
        <v>187</v>
      </c>
      <c r="C209" s="10" t="str">
        <f aca="false">IF(G209="","未受領",IF(G209="なし","報告なし",IF(AL209="○","起票済",IF(OR(AK209="○",F209="一致",F209="入金不要"),"入金確認済","受領済"))))</f>
        <v>入金確認済</v>
      </c>
      <c r="D209" s="10" t="str">
        <f aca="false">IF(OR(G209="",G209="なし"),"―",IF(CN209="N","対象外",IF(AND(I209="",J209="",K209=""),"標報未入力",IF(CH209&gt;=設定!$B$4,"要確認","問題なし"))))</f>
        <v>標報未入力</v>
      </c>
      <c r="E209" s="24" t="str">
        <f aca="false">IF(OR(G209="",G209="なし",CI209="",CJ209=0),"―",IF(CJ209=CI209,"前月同額",IF(CI209=0,"―",IF(ABS(CJ209/CI209-1)&gt;=設定!$B$5,"変動大 "&amp;TEXT(CJ209/CI209-1,"+0%;-0%"),"〇"))))</f>
        <v>―</v>
      </c>
      <c r="F209" s="10" t="str">
        <f aca="false">IF(OR(G209="",G209="なし"),"―",IF(CJ209=0,"入金不要",IF(COUNT(AD209,AF209,AH209,AJ209)=0,IF(AK209="○","手動確認","未入金"),IF(AND(N(AD209)=AC209,IF(AE209="",TRUE(),N(AF209)=AE209),IF(AG209="",TRUE(),N(AH209)=AG209),IF(AI209="",TRUE(),N(AJ209)=AI209)),"一致","不一致"))))</f>
        <v>入金不要</v>
      </c>
      <c r="G209" s="25" t="s">
        <v>167</v>
      </c>
      <c r="H209" s="26"/>
      <c r="I209" s="27"/>
      <c r="J209" s="27"/>
      <c r="K209" s="27"/>
      <c r="L209" s="27"/>
      <c r="M209" s="27"/>
      <c r="N209" s="27"/>
      <c r="O209" s="27"/>
      <c r="P209" s="27"/>
      <c r="Q209" s="27"/>
      <c r="R209" s="27"/>
      <c r="S209" s="27"/>
      <c r="T209" s="27" t="n">
        <v>0</v>
      </c>
      <c r="U209" s="27" t="n">
        <v>0</v>
      </c>
      <c r="V209" s="27" t="n">
        <v>0</v>
      </c>
      <c r="W209" s="27" t="n">
        <v>0</v>
      </c>
      <c r="X209" s="27" t="n">
        <v>0</v>
      </c>
      <c r="Y209" s="27" t="n">
        <v>0</v>
      </c>
      <c r="Z209" s="27"/>
      <c r="AA209" s="10" t="str">
        <f aca="false">IFERROR(INDEX(設定!$E$61:$E$106,MATCH(B209,設定!$B$61:$B$106,0)),"合算")</f>
        <v>合算</v>
      </c>
      <c r="AB209" s="28"/>
      <c r="AC209" s="29" t="n">
        <f aca="false">IF(OR(G209="",G209="なし"),"",IF(AA209="合算",CJ209+N(Z209),IF(AA209="掛金・負担金別",(AY209+AZ209+BD209+BF209+BH209),SUM(AY209:BC209))))</f>
        <v>0</v>
      </c>
      <c r="AD209" s="27"/>
      <c r="AE209" s="29" t="str">
        <f aca="false">IF(OR(G209="",G209="なし"),"",IF(AA209="掛金・負担金別",(BA209+BB209+BC209+BE209+BG209+BI209+N(Z209)),IF(AA209="経理区分別",BD209+BE209,"")))</f>
        <v/>
      </c>
      <c r="AF209" s="27"/>
      <c r="AG209" s="29" t="str">
        <f aca="false">IF(OR(G209="",G209="なし"),"",IF(AA209="経理区分別",BF209+BG209,""))</f>
        <v/>
      </c>
      <c r="AH209" s="27"/>
      <c r="AI209" s="29" t="str">
        <f aca="false">IF(OR(G209="",G209="なし"),"",IF(AA209="経理区分別",BH209+BI209+N(Z209),""))</f>
        <v/>
      </c>
      <c r="AJ209" s="27"/>
      <c r="AK209" s="26" t="s">
        <v>168</v>
      </c>
      <c r="AL209" s="26"/>
      <c r="AM209" s="30"/>
      <c r="AN209" s="31"/>
      <c r="AO209" s="31"/>
      <c r="AP209" s="31"/>
      <c r="AQ209" s="31"/>
      <c r="AR209" s="31"/>
      <c r="AS209" s="31"/>
      <c r="AT209" s="31"/>
      <c r="AU209" s="31"/>
      <c r="AV209" s="31"/>
      <c r="AW209" s="31"/>
      <c r="AX209" s="31"/>
      <c r="AY209" s="31" t="n">
        <f aca="false">IF($G209="",AN209,O209)</f>
        <v>0</v>
      </c>
      <c r="AZ209" s="31" t="n">
        <f aca="false">IF($G209="",AO209,P209)</f>
        <v>0</v>
      </c>
      <c r="BA209" s="31" t="n">
        <f aca="false">IF($G209="",AP209,T209)</f>
        <v>0</v>
      </c>
      <c r="BB209" s="31" t="n">
        <f aca="false">IF($G209="",AQ209,U209)</f>
        <v>0</v>
      </c>
      <c r="BC209" s="31" t="n">
        <f aca="false">IF($G209="",AR209,V209)</f>
        <v>0</v>
      </c>
      <c r="BD209" s="31" t="n">
        <f aca="false">IF($G209="",AS209,Q209)</f>
        <v>0</v>
      </c>
      <c r="BE209" s="31" t="n">
        <f aca="false">IF($G209="",AT209,W209)</f>
        <v>0</v>
      </c>
      <c r="BF209" s="31" t="n">
        <f aca="false">IF($G209="",AU209,R209)</f>
        <v>0</v>
      </c>
      <c r="BG209" s="31" t="n">
        <f aca="false">IF($G209="",AV209,X209)</f>
        <v>0</v>
      </c>
      <c r="BH209" s="31" t="n">
        <f aca="false">IF($G209="",AW209,S209)</f>
        <v>0</v>
      </c>
      <c r="BI209" s="31" t="n">
        <f aca="false">IF($G209="",AX209,Y209)</f>
        <v>0</v>
      </c>
      <c r="BJ209" s="31" t="n">
        <f aca="false">IF(CK209="N",BR209,ROUNDDOWN((I209-L209)*設定!$B$10/1000,0)+ROUNDDOWN((I209-L209)*設定!$B$11/1000,0))</f>
        <v>0</v>
      </c>
      <c r="BK209" s="31" t="n">
        <f aca="false">ROUNDDOWN((I209-L209)*設定!$C$10/1000,0)+ROUNDDOWN((I209-L209)*設定!$C$11/1000,0)+ROUNDDOWN(I209*設定!$C$12/1000,0)+IF(CL209="市局型",ROUNDDOWN(I209*設定!$C$16/1000,0),0)</f>
        <v>0</v>
      </c>
      <c r="BL209" s="31" t="n">
        <f aca="false">IF(CK209="N",BT209,ROUNDDOWN((J209-M209)*設定!$B$13/1000,0))</f>
        <v>0</v>
      </c>
      <c r="BM209" s="31" t="n">
        <f aca="false">ROUNDDOWN((J209-M209)*設定!$C$13/1000,0)+IF(CL209="市局型",ROUNDDOWN(J209*設定!$C$17/1000,0),0)</f>
        <v>0</v>
      </c>
      <c r="BN209" s="31" t="n">
        <f aca="false">IF(CK209="N",BV209,ROUNDDOWN((K209-N209)*設定!$B$14/1000,0))</f>
        <v>0</v>
      </c>
      <c r="BO209" s="31" t="n">
        <f aca="false">ROUNDDOWN((K209-N209)*設定!$C$14/1000,0)</f>
        <v>0</v>
      </c>
      <c r="BP209" s="31" t="n">
        <f aca="false">IF(CK209="N",BX209,ROUNDDOWN((J209-M209)*設定!$B$15/1000,0))</f>
        <v>0</v>
      </c>
      <c r="BQ209" s="31" t="n">
        <f aca="false">ROUNDDOWN((J209-M209)*設定!$C$15/1000,0)</f>
        <v>0</v>
      </c>
      <c r="BR209" s="31" t="n">
        <f aca="false">O209+P209</f>
        <v>0</v>
      </c>
      <c r="BS209" s="31" t="n">
        <f aca="false">T209+U209+V209</f>
        <v>0</v>
      </c>
      <c r="BT209" s="31" t="n">
        <f aca="false">Q209</f>
        <v>0</v>
      </c>
      <c r="BU209" s="31" t="n">
        <f aca="false">W209</f>
        <v>0</v>
      </c>
      <c r="BV209" s="31" t="n">
        <f aca="false">R209</f>
        <v>0</v>
      </c>
      <c r="BW209" s="31" t="n">
        <f aca="false">X209</f>
        <v>0</v>
      </c>
      <c r="BX209" s="31" t="n">
        <f aca="false">S209</f>
        <v>0</v>
      </c>
      <c r="BY209" s="31" t="n">
        <f aca="false">Y209</f>
        <v>0</v>
      </c>
      <c r="BZ209" s="32" t="n">
        <f aca="false">IF(BJ209=0,IF(BR209=0,0,1),(BR209-BJ209)/BJ209)</f>
        <v>0</v>
      </c>
      <c r="CA209" s="32" t="n">
        <f aca="false">IF(BK209=0,IF(BS209=0,0,1),(BS209-BK209)/BK209)</f>
        <v>0</v>
      </c>
      <c r="CB209" s="32" t="n">
        <f aca="false">IF(BL209=0,IF(BT209=0,0,1),(BT209-BL209)/BL209)</f>
        <v>0</v>
      </c>
      <c r="CC209" s="32" t="n">
        <f aca="false">IF(BM209=0,IF(BU209=0,0,1),(BU209-BM209)/BM209)</f>
        <v>0</v>
      </c>
      <c r="CD209" s="32" t="n">
        <f aca="false">IF(BN209=0,IF(BV209=0,0,1),(BV209-BN209)/BN209)</f>
        <v>0</v>
      </c>
      <c r="CE209" s="32" t="n">
        <f aca="false">IF(BO209=0,IF(BW209=0,0,1),(BW209-BO209)/BO209)</f>
        <v>0</v>
      </c>
      <c r="CF209" s="32" t="n">
        <f aca="false">IF(BP209=0,IF(BX209=0,0,1),(BX209-BP209)/BP209)</f>
        <v>0</v>
      </c>
      <c r="CG209" s="32" t="n">
        <f aca="false">IF(BQ209=0,IF(BY209=0,0,1),(BY209-BQ209)/BQ209)</f>
        <v>0</v>
      </c>
      <c r="CH209" s="32" t="n">
        <f aca="false">MAX(MAX(BZ209:CG209),-MIN(BZ209:CG209))</f>
        <v>-0</v>
      </c>
      <c r="CI209" s="31" t="n">
        <f aca="false">IF(CO209="","",SUMIFS($CJ$7:$CJ$696,$A$7:$A$696,CO209,$B$7:$B$696,B209))</f>
        <v>0</v>
      </c>
      <c r="CJ209" s="31" t="n">
        <f aca="false">SUM(AY209:BI209)</f>
        <v>0</v>
      </c>
      <c r="CK209" s="31" t="str">
        <f aca="false">IFERROR(INDEX(設定!$F$61:$F$106,MATCH(B209,設定!$B$61:$B$106,0)),"Y")</f>
        <v>N</v>
      </c>
      <c r="CL209" s="31" t="str">
        <f aca="false">IFERROR(INDEX(設定!$G$61:$G$106,MATCH(B209,設定!$B$61:$B$106,0)),"外郭型")</f>
        <v>外郭型</v>
      </c>
      <c r="CM209" s="33" t="str">
        <f aca="false">A209&amp;"|"&amp;B209</f>
        <v>2026-07 月例|都市整備公社　市</v>
      </c>
      <c r="CN209" s="34" t="str">
        <f aca="false">IFERROR(INDEX(設定!$D$61:$D$106,MATCH(B209,設定!$B$61:$B$106,0)),"Y")</f>
        <v>Y</v>
      </c>
      <c r="CO209" s="34" t="str">
        <f aca="false">IFERROR(INDEX(設定!$D$20:$D$34,MATCH(A209,設定!$A$20:$A$34,0))&amp;"","")</f>
        <v>2026-06 月例</v>
      </c>
    </row>
    <row r="210" customFormat="false" ht="15" hidden="true" customHeight="false" outlineLevel="0" collapsed="false">
      <c r="A210" s="22" t="s">
        <v>220</v>
      </c>
      <c r="B210" s="23" t="s">
        <v>188</v>
      </c>
      <c r="C210" s="10" t="str">
        <f aca="false">IF(G210="","未受領",IF(G210="なし","報告なし",IF(AL210="○","起票済",IF(OR(AK210="○",F210="一致",F210="入金不要"),"入金確認済","受領済"))))</f>
        <v>入金確認済</v>
      </c>
      <c r="D210" s="10" t="str">
        <f aca="false">IF(OR(G210="",G210="なし"),"―",IF(CN210="N","対象外",IF(AND(I210="",J210="",K210=""),"標報未入力",IF(CH210&gt;=設定!$B$4,"要確認","問題なし"))))</f>
        <v>標報未入力</v>
      </c>
      <c r="E210" s="24" t="str">
        <f aca="false">IF(OR(G210="",G210="なし",CI210="",CJ210=0),"―",IF(CJ210=CI210,"前月同額",IF(CI210=0,"―",IF(ABS(CJ210/CI210-1)&gt;=設定!$B$5,"変動大 "&amp;TEXT(CJ210/CI210-1,"+0%;-0%"),"〇"))))</f>
        <v>前月同額</v>
      </c>
      <c r="F210" s="10" t="str">
        <f aca="false">IF(OR(G210="",G210="なし"),"―",IF(CJ210=0,"入金不要",IF(COUNT(AD210,AF210,AH210,AJ210)=0,IF(AK210="○","手動確認","未入金"),IF(AND(N(AD210)=AC210,IF(AE210="",TRUE(),N(AF210)=AE210),IF(AG210="",TRUE(),N(AH210)=AG210),IF(AI210="",TRUE(),N(AJ210)=AI210)),"一致","不一致"))))</f>
        <v>手動確認</v>
      </c>
      <c r="G210" s="25" t="s">
        <v>167</v>
      </c>
      <c r="H210" s="26"/>
      <c r="I210" s="27"/>
      <c r="J210" s="27"/>
      <c r="K210" s="27"/>
      <c r="L210" s="27"/>
      <c r="M210" s="27"/>
      <c r="N210" s="27"/>
      <c r="O210" s="27"/>
      <c r="P210" s="27"/>
      <c r="Q210" s="27"/>
      <c r="R210" s="27"/>
      <c r="S210" s="27"/>
      <c r="T210" s="27" t="n">
        <v>193065</v>
      </c>
      <c r="U210" s="27" t="n">
        <v>15825</v>
      </c>
      <c r="V210" s="27" t="n">
        <v>183</v>
      </c>
      <c r="W210" s="27" t="n">
        <v>109530</v>
      </c>
      <c r="X210" s="27" t="n">
        <v>12956</v>
      </c>
      <c r="Y210" s="27" t="n">
        <v>2426</v>
      </c>
      <c r="Z210" s="27"/>
      <c r="AA210" s="10" t="str">
        <f aca="false">IFERROR(INDEX(設定!$E$61:$E$106,MATCH(B210,設定!$B$61:$B$106,0)),"合算")</f>
        <v>合算</v>
      </c>
      <c r="AB210" s="28"/>
      <c r="AC210" s="29" t="n">
        <f aca="false">IF(OR(G210="",G210="なし"),"",IF(AA210="合算",CJ210+N(Z210),IF(AA210="掛金・負担金別",(AY210+AZ210+BD210+BF210+BH210),SUM(AY210:BC210))))</f>
        <v>333985</v>
      </c>
      <c r="AD210" s="27"/>
      <c r="AE210" s="29" t="str">
        <f aca="false">IF(OR(G210="",G210="なし"),"",IF(AA210="掛金・負担金別",(BA210+BB210+BC210+BE210+BG210+BI210+N(Z210)),IF(AA210="経理区分別",BD210+BE210,"")))</f>
        <v/>
      </c>
      <c r="AF210" s="27"/>
      <c r="AG210" s="29" t="str">
        <f aca="false">IF(OR(G210="",G210="なし"),"",IF(AA210="経理区分別",BF210+BG210,""))</f>
        <v/>
      </c>
      <c r="AH210" s="27"/>
      <c r="AI210" s="29" t="str">
        <f aca="false">IF(OR(G210="",G210="なし"),"",IF(AA210="経理区分別",BH210+BI210+N(Z210),""))</f>
        <v/>
      </c>
      <c r="AJ210" s="27"/>
      <c r="AK210" s="26" t="s">
        <v>168</v>
      </c>
      <c r="AL210" s="26"/>
      <c r="AM210" s="30"/>
      <c r="AN210" s="31"/>
      <c r="AO210" s="31"/>
      <c r="AP210" s="31"/>
      <c r="AQ210" s="31"/>
      <c r="AR210" s="31"/>
      <c r="AS210" s="31"/>
      <c r="AT210" s="31"/>
      <c r="AU210" s="31"/>
      <c r="AV210" s="31"/>
      <c r="AW210" s="31"/>
      <c r="AX210" s="31"/>
      <c r="AY210" s="31" t="n">
        <f aca="false">IF($G210="",AN210,O210)</f>
        <v>0</v>
      </c>
      <c r="AZ210" s="31" t="n">
        <f aca="false">IF($G210="",AO210,P210)</f>
        <v>0</v>
      </c>
      <c r="BA210" s="31" t="n">
        <f aca="false">IF($G210="",AP210,T210)</f>
        <v>193065</v>
      </c>
      <c r="BB210" s="31" t="n">
        <f aca="false">IF($G210="",AQ210,U210)</f>
        <v>15825</v>
      </c>
      <c r="BC210" s="31" t="n">
        <f aca="false">IF($G210="",AR210,V210)</f>
        <v>183</v>
      </c>
      <c r="BD210" s="31" t="n">
        <f aca="false">IF($G210="",AS210,Q210)</f>
        <v>0</v>
      </c>
      <c r="BE210" s="31" t="n">
        <f aca="false">IF($G210="",AT210,W210)</f>
        <v>109530</v>
      </c>
      <c r="BF210" s="31" t="n">
        <f aca="false">IF($G210="",AU210,R210)</f>
        <v>0</v>
      </c>
      <c r="BG210" s="31" t="n">
        <f aca="false">IF($G210="",AV210,X210)</f>
        <v>12956</v>
      </c>
      <c r="BH210" s="31" t="n">
        <f aca="false">IF($G210="",AW210,S210)</f>
        <v>0</v>
      </c>
      <c r="BI210" s="31" t="n">
        <f aca="false">IF($G210="",AX210,Y210)</f>
        <v>2426</v>
      </c>
      <c r="BJ210" s="31" t="n">
        <f aca="false">IF(CK210="N",BR210,ROUNDDOWN((I210-L210)*設定!$B$10/1000,0)+ROUNDDOWN((I210-L210)*設定!$B$11/1000,0))</f>
        <v>0</v>
      </c>
      <c r="BK210" s="31" t="n">
        <f aca="false">ROUNDDOWN((I210-L210)*設定!$C$10/1000,0)+ROUNDDOWN((I210-L210)*設定!$C$11/1000,0)+ROUNDDOWN(I210*設定!$C$12/1000,0)+IF(CL210="市局型",ROUNDDOWN(I210*設定!$C$16/1000,0),0)</f>
        <v>0</v>
      </c>
      <c r="BL210" s="31" t="n">
        <f aca="false">IF(CK210="N",BT210,ROUNDDOWN((J210-M210)*設定!$B$13/1000,0))</f>
        <v>0</v>
      </c>
      <c r="BM210" s="31" t="n">
        <f aca="false">ROUNDDOWN((J210-M210)*設定!$C$13/1000,0)+IF(CL210="市局型",ROUNDDOWN(J210*設定!$C$17/1000,0),0)</f>
        <v>0</v>
      </c>
      <c r="BN210" s="31" t="n">
        <f aca="false">IF(CK210="N",BV210,ROUNDDOWN((K210-N210)*設定!$B$14/1000,0))</f>
        <v>0</v>
      </c>
      <c r="BO210" s="31" t="n">
        <f aca="false">ROUNDDOWN((K210-N210)*設定!$C$14/1000,0)</f>
        <v>0</v>
      </c>
      <c r="BP210" s="31" t="n">
        <f aca="false">IF(CK210="N",BX210,ROUNDDOWN((J210-M210)*設定!$B$15/1000,0))</f>
        <v>0</v>
      </c>
      <c r="BQ210" s="31" t="n">
        <f aca="false">ROUNDDOWN((J210-M210)*設定!$C$15/1000,0)</f>
        <v>0</v>
      </c>
      <c r="BR210" s="31" t="n">
        <f aca="false">O210+P210</f>
        <v>0</v>
      </c>
      <c r="BS210" s="31" t="n">
        <f aca="false">T210+U210+V210</f>
        <v>209073</v>
      </c>
      <c r="BT210" s="31" t="n">
        <f aca="false">Q210</f>
        <v>0</v>
      </c>
      <c r="BU210" s="31" t="n">
        <f aca="false">W210</f>
        <v>109530</v>
      </c>
      <c r="BV210" s="31" t="n">
        <f aca="false">R210</f>
        <v>0</v>
      </c>
      <c r="BW210" s="31" t="n">
        <f aca="false">X210</f>
        <v>12956</v>
      </c>
      <c r="BX210" s="31" t="n">
        <f aca="false">S210</f>
        <v>0</v>
      </c>
      <c r="BY210" s="31" t="n">
        <f aca="false">Y210</f>
        <v>2426</v>
      </c>
      <c r="BZ210" s="32" t="n">
        <f aca="false">IF(BJ210=0,IF(BR210=0,0,1),(BR210-BJ210)/BJ210)</f>
        <v>0</v>
      </c>
      <c r="CA210" s="32" t="n">
        <f aca="false">IF(BK210=0,IF(BS210=0,0,1),(BS210-BK210)/BK210)</f>
        <v>1</v>
      </c>
      <c r="CB210" s="32" t="n">
        <f aca="false">IF(BL210=0,IF(BT210=0,0,1),(BT210-BL210)/BL210)</f>
        <v>0</v>
      </c>
      <c r="CC210" s="32" t="n">
        <f aca="false">IF(BM210=0,IF(BU210=0,0,1),(BU210-BM210)/BM210)</f>
        <v>1</v>
      </c>
      <c r="CD210" s="32" t="n">
        <f aca="false">IF(BN210=0,IF(BV210=0,0,1),(BV210-BN210)/BN210)</f>
        <v>0</v>
      </c>
      <c r="CE210" s="32" t="n">
        <f aca="false">IF(BO210=0,IF(BW210=0,0,1),(BW210-BO210)/BO210)</f>
        <v>1</v>
      </c>
      <c r="CF210" s="32" t="n">
        <f aca="false">IF(BP210=0,IF(BX210=0,0,1),(BX210-BP210)/BP210)</f>
        <v>0</v>
      </c>
      <c r="CG210" s="32" t="n">
        <f aca="false">IF(BQ210=0,IF(BY210=0,0,1),(BY210-BQ210)/BQ210)</f>
        <v>1</v>
      </c>
      <c r="CH210" s="32" t="n">
        <f aca="false">MAX(MAX(BZ210:CG210),-MIN(BZ210:CG210))</f>
        <v>1</v>
      </c>
      <c r="CI210" s="31" t="n">
        <f aca="false">IF(CO210="","",SUMIFS($CJ$7:$CJ$696,$A$7:$A$696,CO210,$B$7:$B$696,B210))</f>
        <v>333985</v>
      </c>
      <c r="CJ210" s="31" t="n">
        <f aca="false">SUM(AY210:BI210)</f>
        <v>333985</v>
      </c>
      <c r="CK210" s="31" t="str">
        <f aca="false">IFERROR(INDEX(設定!$F$61:$F$106,MATCH(B210,設定!$B$61:$B$106,0)),"Y")</f>
        <v>N</v>
      </c>
      <c r="CL210" s="31" t="str">
        <f aca="false">IFERROR(INDEX(設定!$G$61:$G$106,MATCH(B210,設定!$B$61:$B$106,0)),"外郭型")</f>
        <v>外郭型</v>
      </c>
      <c r="CM210" s="33" t="str">
        <f aca="false">A210&amp;"|"&amp;B210</f>
        <v>2026-07 月例|都市整備公社　消防</v>
      </c>
      <c r="CN210" s="34" t="str">
        <f aca="false">IFERROR(INDEX(設定!$D$61:$D$106,MATCH(B210,設定!$B$61:$B$106,0)),"Y")</f>
        <v>Y</v>
      </c>
      <c r="CO210" s="34" t="str">
        <f aca="false">IFERROR(INDEX(設定!$D$20:$D$34,MATCH(A210,設定!$A$20:$A$34,0))&amp;"","")</f>
        <v>2026-06 月例</v>
      </c>
    </row>
    <row r="211" customFormat="false" ht="15" hidden="true" customHeight="false" outlineLevel="0" collapsed="false">
      <c r="A211" s="22" t="s">
        <v>220</v>
      </c>
      <c r="B211" s="23" t="s">
        <v>189</v>
      </c>
      <c r="C211" s="10" t="str">
        <f aca="false">IF(G211="","未受領",IF(G211="なし","報告なし",IF(AL211="○","起票済",IF(OR(AK211="○",F211="一致",F211="入金不要"),"入金確認済","受領済"))))</f>
        <v>入金確認済</v>
      </c>
      <c r="D211" s="10" t="str">
        <f aca="false">IF(OR(G211="",G211="なし"),"―",IF(CN211="N","対象外",IF(AND(I211="",J211="",K211=""),"標報未入力",IF(CH211&gt;=設定!$B$4,"要確認","問題なし"))))</f>
        <v>標報未入力</v>
      </c>
      <c r="E211" s="24" t="str">
        <f aca="false">IF(OR(G211="",G211="なし",CI211="",CJ211=0),"―",IF(CJ211=CI211,"前月同額",IF(CI211=0,"―",IF(ABS(CJ211/CI211-1)&gt;=設定!$B$5,"変動大 "&amp;TEXT(CJ211/CI211-1,"+0%;-0%"),"〇"))))</f>
        <v>〇</v>
      </c>
      <c r="F211" s="10" t="str">
        <f aca="false">IF(OR(G211="",G211="なし"),"―",IF(CJ211=0,"入金不要",IF(COUNT(AD211,AF211,AH211,AJ211)=0,IF(AK211="○","手動確認","未入金"),IF(AND(N(AD211)=AC211,IF(AE211="",TRUE(),N(AF211)=AE211),IF(AG211="",TRUE(),N(AH211)=AG211),IF(AI211="",TRUE(),N(AJ211)=AI211)),"一致","不一致"))))</f>
        <v>手動確認</v>
      </c>
      <c r="G211" s="25" t="s">
        <v>167</v>
      </c>
      <c r="H211" s="26"/>
      <c r="I211" s="27"/>
      <c r="J211" s="27"/>
      <c r="K211" s="27"/>
      <c r="L211" s="27"/>
      <c r="M211" s="27"/>
      <c r="N211" s="27"/>
      <c r="O211" s="27" t="n">
        <v>241560</v>
      </c>
      <c r="P211" s="27" t="n">
        <v>19800</v>
      </c>
      <c r="Q211" s="27" t="n">
        <v>140019</v>
      </c>
      <c r="R211" s="27" t="n">
        <v>10744</v>
      </c>
      <c r="S211" s="27" t="n">
        <v>3104</v>
      </c>
      <c r="T211" s="27" t="n">
        <v>241560</v>
      </c>
      <c r="U211" s="27" t="n">
        <v>19800</v>
      </c>
      <c r="V211" s="27" t="n">
        <v>229</v>
      </c>
      <c r="W211" s="27" t="n">
        <v>140157</v>
      </c>
      <c r="X211" s="27" t="n">
        <v>10744</v>
      </c>
      <c r="Y211" s="27" t="n">
        <v>3105</v>
      </c>
      <c r="Z211" s="27"/>
      <c r="AA211" s="10" t="str">
        <f aca="false">IFERROR(INDEX(設定!$E$61:$E$106,MATCH(B211,設定!$B$61:$B$106,0)),"合算")</f>
        <v>合算</v>
      </c>
      <c r="AB211" s="28"/>
      <c r="AC211" s="29" t="n">
        <f aca="false">IF(OR(G211="",G211="なし"),"",IF(AA211="合算",CJ211+N(Z211),IF(AA211="掛金・負担金別",(AY211+AZ211+BD211+BF211+BH211),SUM(AY211:BC211))))</f>
        <v>830822</v>
      </c>
      <c r="AD211" s="27"/>
      <c r="AE211" s="29" t="str">
        <f aca="false">IF(OR(G211="",G211="なし"),"",IF(AA211="掛金・負担金別",(BA211+BB211+BC211+BE211+BG211+BI211+N(Z211)),IF(AA211="経理区分別",BD211+BE211,"")))</f>
        <v/>
      </c>
      <c r="AF211" s="27"/>
      <c r="AG211" s="29" t="str">
        <f aca="false">IF(OR(G211="",G211="なし"),"",IF(AA211="経理区分別",BF211+BG211,""))</f>
        <v/>
      </c>
      <c r="AH211" s="27"/>
      <c r="AI211" s="29" t="str">
        <f aca="false">IF(OR(G211="",G211="なし"),"",IF(AA211="経理区分別",BH211+BI211+N(Z211),""))</f>
        <v/>
      </c>
      <c r="AJ211" s="27"/>
      <c r="AK211" s="26" t="s">
        <v>168</v>
      </c>
      <c r="AL211" s="26"/>
      <c r="AM211" s="30"/>
      <c r="AN211" s="31"/>
      <c r="AO211" s="31"/>
      <c r="AP211" s="31"/>
      <c r="AQ211" s="31"/>
      <c r="AR211" s="31"/>
      <c r="AS211" s="31"/>
      <c r="AT211" s="31"/>
      <c r="AU211" s="31"/>
      <c r="AV211" s="31"/>
      <c r="AW211" s="31"/>
      <c r="AX211" s="31"/>
      <c r="AY211" s="31" t="n">
        <f aca="false">IF($G211="",AN211,O211)</f>
        <v>241560</v>
      </c>
      <c r="AZ211" s="31" t="n">
        <f aca="false">IF($G211="",AO211,P211)</f>
        <v>19800</v>
      </c>
      <c r="BA211" s="31" t="n">
        <f aca="false">IF($G211="",AP211,T211)</f>
        <v>241560</v>
      </c>
      <c r="BB211" s="31" t="n">
        <f aca="false">IF($G211="",AQ211,U211)</f>
        <v>19800</v>
      </c>
      <c r="BC211" s="31" t="n">
        <f aca="false">IF($G211="",AR211,V211)</f>
        <v>229</v>
      </c>
      <c r="BD211" s="31" t="n">
        <f aca="false">IF($G211="",AS211,Q211)</f>
        <v>140019</v>
      </c>
      <c r="BE211" s="31" t="n">
        <f aca="false">IF($G211="",AT211,W211)</f>
        <v>140157</v>
      </c>
      <c r="BF211" s="31" t="n">
        <f aca="false">IF($G211="",AU211,R211)</f>
        <v>10744</v>
      </c>
      <c r="BG211" s="31" t="n">
        <f aca="false">IF($G211="",AV211,X211)</f>
        <v>10744</v>
      </c>
      <c r="BH211" s="31" t="n">
        <f aca="false">IF($G211="",AW211,S211)</f>
        <v>3104</v>
      </c>
      <c r="BI211" s="31" t="n">
        <f aca="false">IF($G211="",AX211,Y211)</f>
        <v>3105</v>
      </c>
      <c r="BJ211" s="31" t="n">
        <f aca="false">IF(CK211="N",BR211,ROUNDDOWN((I211-L211)*設定!$B$10/1000,0)+ROUNDDOWN((I211-L211)*設定!$B$11/1000,0))</f>
        <v>0</v>
      </c>
      <c r="BK211" s="31" t="n">
        <f aca="false">ROUNDDOWN((I211-L211)*設定!$C$10/1000,0)+ROUNDDOWN((I211-L211)*設定!$C$11/1000,0)+ROUNDDOWN(I211*設定!$C$12/1000,0)+IF(CL211="市局型",ROUNDDOWN(I211*設定!$C$16/1000,0),0)</f>
        <v>0</v>
      </c>
      <c r="BL211" s="31" t="n">
        <f aca="false">IF(CK211="N",BT211,ROUNDDOWN((J211-M211)*設定!$B$13/1000,0))</f>
        <v>0</v>
      </c>
      <c r="BM211" s="31" t="n">
        <f aca="false">ROUNDDOWN((J211-M211)*設定!$C$13/1000,0)+IF(CL211="市局型",ROUNDDOWN(J211*設定!$C$17/1000,0),0)</f>
        <v>0</v>
      </c>
      <c r="BN211" s="31" t="n">
        <f aca="false">IF(CK211="N",BV211,ROUNDDOWN((K211-N211)*設定!$B$14/1000,0))</f>
        <v>0</v>
      </c>
      <c r="BO211" s="31" t="n">
        <f aca="false">ROUNDDOWN((K211-N211)*設定!$C$14/1000,0)</f>
        <v>0</v>
      </c>
      <c r="BP211" s="31" t="n">
        <f aca="false">IF(CK211="N",BX211,ROUNDDOWN((J211-M211)*設定!$B$15/1000,0))</f>
        <v>0</v>
      </c>
      <c r="BQ211" s="31" t="n">
        <f aca="false">ROUNDDOWN((J211-M211)*設定!$C$15/1000,0)</f>
        <v>0</v>
      </c>
      <c r="BR211" s="31" t="n">
        <f aca="false">O211+P211</f>
        <v>261360</v>
      </c>
      <c r="BS211" s="31" t="n">
        <f aca="false">T211+U211+V211</f>
        <v>261589</v>
      </c>
      <c r="BT211" s="31" t="n">
        <f aca="false">Q211</f>
        <v>140019</v>
      </c>
      <c r="BU211" s="31" t="n">
        <f aca="false">W211</f>
        <v>140157</v>
      </c>
      <c r="BV211" s="31" t="n">
        <f aca="false">R211</f>
        <v>10744</v>
      </c>
      <c r="BW211" s="31" t="n">
        <f aca="false">X211</f>
        <v>10744</v>
      </c>
      <c r="BX211" s="31" t="n">
        <f aca="false">S211</f>
        <v>3104</v>
      </c>
      <c r="BY211" s="31" t="n">
        <f aca="false">Y211</f>
        <v>3105</v>
      </c>
      <c r="BZ211" s="32" t="n">
        <f aca="false">IF(BJ211=0,IF(BR211=0,0,1),(BR211-BJ211)/BJ211)</f>
        <v>1</v>
      </c>
      <c r="CA211" s="32" t="n">
        <f aca="false">IF(BK211=0,IF(BS211=0,0,1),(BS211-BK211)/BK211)</f>
        <v>1</v>
      </c>
      <c r="CB211" s="32" t="n">
        <f aca="false">IF(BL211=0,IF(BT211=0,0,1),(BT211-BL211)/BL211)</f>
        <v>1</v>
      </c>
      <c r="CC211" s="32" t="n">
        <f aca="false">IF(BM211=0,IF(BU211=0,0,1),(BU211-BM211)/BM211)</f>
        <v>1</v>
      </c>
      <c r="CD211" s="32" t="n">
        <f aca="false">IF(BN211=0,IF(BV211=0,0,1),(BV211-BN211)/BN211)</f>
        <v>1</v>
      </c>
      <c r="CE211" s="32" t="n">
        <f aca="false">IF(BO211=0,IF(BW211=0,0,1),(BW211-BO211)/BO211)</f>
        <v>1</v>
      </c>
      <c r="CF211" s="32" t="n">
        <f aca="false">IF(BP211=0,IF(BX211=0,0,1),(BX211-BP211)/BP211)</f>
        <v>1</v>
      </c>
      <c r="CG211" s="32" t="n">
        <f aca="false">IF(BQ211=0,IF(BY211=0,0,1),(BY211-BQ211)/BQ211)</f>
        <v>1</v>
      </c>
      <c r="CH211" s="32" t="n">
        <f aca="false">MAX(MAX(BZ211:CG211),-MIN(BZ211:CG211))</f>
        <v>1</v>
      </c>
      <c r="CI211" s="31" t="n">
        <f aca="false">IF(CO211="","",SUMIFS($CJ$7:$CJ$696,$A$7:$A$696,CO211,$B$7:$B$696,B211))</f>
        <v>818655</v>
      </c>
      <c r="CJ211" s="31" t="n">
        <f aca="false">SUM(AY211:BI211)</f>
        <v>830822</v>
      </c>
      <c r="CK211" s="31" t="str">
        <f aca="false">IFERROR(INDEX(設定!$F$61:$F$106,MATCH(B211,設定!$B$61:$B$106,0)),"Y")</f>
        <v>Y</v>
      </c>
      <c r="CL211" s="31" t="str">
        <f aca="false">IFERROR(INDEX(設定!$G$61:$G$106,MATCH(B211,設定!$B$61:$B$106,0)),"外郭型")</f>
        <v>外郭型</v>
      </c>
      <c r="CM211" s="33" t="str">
        <f aca="false">A211&amp;"|"&amp;B211</f>
        <v>2026-07 月例|日本下水道事業団</v>
      </c>
      <c r="CN211" s="34" t="str">
        <f aca="false">IFERROR(INDEX(設定!$D$61:$D$106,MATCH(B211,設定!$B$61:$B$106,0)),"Y")</f>
        <v>Y</v>
      </c>
      <c r="CO211" s="34" t="str">
        <f aca="false">IFERROR(INDEX(設定!$D$20:$D$34,MATCH(A211,設定!$A$20:$A$34,0))&amp;"","")</f>
        <v>2026-06 月例</v>
      </c>
    </row>
    <row r="212" customFormat="false" ht="15" hidden="true" customHeight="false" outlineLevel="0" collapsed="false">
      <c r="A212" s="22" t="s">
        <v>220</v>
      </c>
      <c r="B212" s="23" t="s">
        <v>190</v>
      </c>
      <c r="C212" s="10" t="str">
        <f aca="false">IF(G212="","未受領",IF(G212="なし","報告なし",IF(AL212="○","起票済",IF(OR(AK212="○",F212="一致",F212="入金不要"),"入金確認済","受領済"))))</f>
        <v>入金確認済</v>
      </c>
      <c r="D212" s="10" t="str">
        <f aca="false">IF(OR(G212="",G212="なし"),"―",IF(CN212="N","対象外",IF(AND(I212="",J212="",K212=""),"標報未入力",IF(CH212&gt;=設定!$B$4,"要確認","問題なし"))))</f>
        <v>標報未入力</v>
      </c>
      <c r="E212" s="24" t="str">
        <f aca="false">IF(OR(G212="",G212="なし",CI212="",CJ212=0),"―",IF(CJ212=CI212,"前月同額",IF(CI212=0,"―",IF(ABS(CJ212/CI212-1)&gt;=設定!$B$5,"変動大 "&amp;TEXT(CJ212/CI212-1,"+0%;-0%"),"〇"))))</f>
        <v>前月同額</v>
      </c>
      <c r="F212" s="10" t="str">
        <f aca="false">IF(OR(G212="",G212="なし"),"―",IF(CJ212=0,"入金不要",IF(COUNT(AD212,AF212,AH212,AJ212)=0,IF(AK212="○","手動確認","未入金"),IF(AND(N(AD212)=AC212,IF(AE212="",TRUE(),N(AF212)=AE212),IF(AG212="",TRUE(),N(AH212)=AG212),IF(AI212="",TRUE(),N(AJ212)=AI212)),"一致","不一致"))))</f>
        <v>手動確認</v>
      </c>
      <c r="G212" s="25" t="s">
        <v>167</v>
      </c>
      <c r="H212" s="26"/>
      <c r="I212" s="27"/>
      <c r="J212" s="27"/>
      <c r="K212" s="27"/>
      <c r="L212" s="27"/>
      <c r="M212" s="27"/>
      <c r="N212" s="27"/>
      <c r="O212" s="27" t="n">
        <v>40260</v>
      </c>
      <c r="P212" s="27" t="n">
        <v>3300</v>
      </c>
      <c r="Q212" s="27" t="n">
        <v>22818</v>
      </c>
      <c r="R212" s="27" t="n">
        <v>0</v>
      </c>
      <c r="S212" s="27" t="n">
        <v>506</v>
      </c>
      <c r="T212" s="27" t="n">
        <v>40260</v>
      </c>
      <c r="U212" s="27" t="n">
        <v>3300</v>
      </c>
      <c r="V212" s="27" t="n">
        <v>38</v>
      </c>
      <c r="W212" s="27" t="n">
        <v>22840</v>
      </c>
      <c r="X212" s="27" t="n">
        <v>0</v>
      </c>
      <c r="Y212" s="27" t="n">
        <v>506</v>
      </c>
      <c r="Z212" s="27"/>
      <c r="AA212" s="10" t="str">
        <f aca="false">IFERROR(INDEX(設定!$E$61:$E$106,MATCH(B212,設定!$B$61:$B$106,0)),"合算")</f>
        <v>合算</v>
      </c>
      <c r="AB212" s="28"/>
      <c r="AC212" s="29" t="n">
        <f aca="false">IF(OR(G212="",G212="なし"),"",IF(AA212="合算",CJ212+N(Z212),IF(AA212="掛金・負担金別",(AY212+AZ212+BD212+BF212+BH212),SUM(AY212:BC212))))</f>
        <v>133828</v>
      </c>
      <c r="AD212" s="27"/>
      <c r="AE212" s="29" t="str">
        <f aca="false">IF(OR(G212="",G212="なし"),"",IF(AA212="掛金・負担金別",(BA212+BB212+BC212+BE212+BG212+BI212+N(Z212)),IF(AA212="経理区分別",BD212+BE212,"")))</f>
        <v/>
      </c>
      <c r="AF212" s="27"/>
      <c r="AG212" s="29" t="str">
        <f aca="false">IF(OR(G212="",G212="なし"),"",IF(AA212="経理区分別",BF212+BG212,""))</f>
        <v/>
      </c>
      <c r="AH212" s="27"/>
      <c r="AI212" s="29" t="str">
        <f aca="false">IF(OR(G212="",G212="なし"),"",IF(AA212="経理区分別",BH212+BI212+N(Z212),""))</f>
        <v/>
      </c>
      <c r="AJ212" s="27"/>
      <c r="AK212" s="26" t="s">
        <v>168</v>
      </c>
      <c r="AL212" s="26"/>
      <c r="AM212" s="30"/>
      <c r="AN212" s="31"/>
      <c r="AO212" s="31"/>
      <c r="AP212" s="31"/>
      <c r="AQ212" s="31"/>
      <c r="AR212" s="31"/>
      <c r="AS212" s="31"/>
      <c r="AT212" s="31"/>
      <c r="AU212" s="31"/>
      <c r="AV212" s="31"/>
      <c r="AW212" s="31"/>
      <c r="AX212" s="31"/>
      <c r="AY212" s="31" t="n">
        <f aca="false">IF($G212="",AN212,O212)</f>
        <v>40260</v>
      </c>
      <c r="AZ212" s="31" t="n">
        <f aca="false">IF($G212="",AO212,P212)</f>
        <v>3300</v>
      </c>
      <c r="BA212" s="31" t="n">
        <f aca="false">IF($G212="",AP212,T212)</f>
        <v>40260</v>
      </c>
      <c r="BB212" s="31" t="n">
        <f aca="false">IF($G212="",AQ212,U212)</f>
        <v>3300</v>
      </c>
      <c r="BC212" s="31" t="n">
        <f aca="false">IF($G212="",AR212,V212)</f>
        <v>38</v>
      </c>
      <c r="BD212" s="31" t="n">
        <f aca="false">IF($G212="",AS212,Q212)</f>
        <v>22818</v>
      </c>
      <c r="BE212" s="31" t="n">
        <f aca="false">IF($G212="",AT212,W212)</f>
        <v>22840</v>
      </c>
      <c r="BF212" s="31" t="n">
        <f aca="false">IF($G212="",AU212,R212)</f>
        <v>0</v>
      </c>
      <c r="BG212" s="31" t="n">
        <f aca="false">IF($G212="",AV212,X212)</f>
        <v>0</v>
      </c>
      <c r="BH212" s="31" t="n">
        <f aca="false">IF($G212="",AW212,S212)</f>
        <v>506</v>
      </c>
      <c r="BI212" s="31" t="n">
        <f aca="false">IF($G212="",AX212,Y212)</f>
        <v>506</v>
      </c>
      <c r="BJ212" s="31" t="n">
        <f aca="false">IF(CK212="N",BR212,ROUNDDOWN((I212-L212)*設定!$B$10/1000,0)+ROUNDDOWN((I212-L212)*設定!$B$11/1000,0))</f>
        <v>0</v>
      </c>
      <c r="BK212" s="31" t="n">
        <f aca="false">ROUNDDOWN((I212-L212)*設定!$C$10/1000,0)+ROUNDDOWN((I212-L212)*設定!$C$11/1000,0)+ROUNDDOWN(I212*設定!$C$12/1000,0)+IF(CL212="市局型",ROUNDDOWN(I212*設定!$C$16/1000,0),0)</f>
        <v>0</v>
      </c>
      <c r="BL212" s="31" t="n">
        <f aca="false">IF(CK212="N",BT212,ROUNDDOWN((J212-M212)*設定!$B$13/1000,0))</f>
        <v>0</v>
      </c>
      <c r="BM212" s="31" t="n">
        <f aca="false">ROUNDDOWN((J212-M212)*設定!$C$13/1000,0)+IF(CL212="市局型",ROUNDDOWN(J212*設定!$C$17/1000,0),0)</f>
        <v>0</v>
      </c>
      <c r="BN212" s="31" t="n">
        <f aca="false">IF(CK212="N",BV212,ROUNDDOWN((K212-N212)*設定!$B$14/1000,0))</f>
        <v>0</v>
      </c>
      <c r="BO212" s="31" t="n">
        <f aca="false">ROUNDDOWN((K212-N212)*設定!$C$14/1000,0)</f>
        <v>0</v>
      </c>
      <c r="BP212" s="31" t="n">
        <f aca="false">IF(CK212="N",BX212,ROUNDDOWN((J212-M212)*設定!$B$15/1000,0))</f>
        <v>0</v>
      </c>
      <c r="BQ212" s="31" t="n">
        <f aca="false">ROUNDDOWN((J212-M212)*設定!$C$15/1000,0)</f>
        <v>0</v>
      </c>
      <c r="BR212" s="31" t="n">
        <f aca="false">O212+P212</f>
        <v>43560</v>
      </c>
      <c r="BS212" s="31" t="n">
        <f aca="false">T212+U212+V212</f>
        <v>43598</v>
      </c>
      <c r="BT212" s="31" t="n">
        <f aca="false">Q212</f>
        <v>22818</v>
      </c>
      <c r="BU212" s="31" t="n">
        <f aca="false">W212</f>
        <v>22840</v>
      </c>
      <c r="BV212" s="31" t="n">
        <f aca="false">R212</f>
        <v>0</v>
      </c>
      <c r="BW212" s="31" t="n">
        <f aca="false">X212</f>
        <v>0</v>
      </c>
      <c r="BX212" s="31" t="n">
        <f aca="false">S212</f>
        <v>506</v>
      </c>
      <c r="BY212" s="31" t="n">
        <f aca="false">Y212</f>
        <v>506</v>
      </c>
      <c r="BZ212" s="32" t="n">
        <f aca="false">IF(BJ212=0,IF(BR212=0,0,1),(BR212-BJ212)/BJ212)</f>
        <v>1</v>
      </c>
      <c r="CA212" s="32" t="n">
        <f aca="false">IF(BK212=0,IF(BS212=0,0,1),(BS212-BK212)/BK212)</f>
        <v>1</v>
      </c>
      <c r="CB212" s="32" t="n">
        <f aca="false">IF(BL212=0,IF(BT212=0,0,1),(BT212-BL212)/BL212)</f>
        <v>1</v>
      </c>
      <c r="CC212" s="32" t="n">
        <f aca="false">IF(BM212=0,IF(BU212=0,0,1),(BU212-BM212)/BM212)</f>
        <v>1</v>
      </c>
      <c r="CD212" s="32" t="n">
        <f aca="false">IF(BN212=0,IF(BV212=0,0,1),(BV212-BN212)/BN212)</f>
        <v>0</v>
      </c>
      <c r="CE212" s="32" t="n">
        <f aca="false">IF(BO212=0,IF(BW212=0,0,1),(BW212-BO212)/BO212)</f>
        <v>0</v>
      </c>
      <c r="CF212" s="32" t="n">
        <f aca="false">IF(BP212=0,IF(BX212=0,0,1),(BX212-BP212)/BP212)</f>
        <v>1</v>
      </c>
      <c r="CG212" s="32" t="n">
        <f aca="false">IF(BQ212=0,IF(BY212=0,0,1),(BY212-BQ212)/BQ212)</f>
        <v>1</v>
      </c>
      <c r="CH212" s="32" t="n">
        <f aca="false">MAX(MAX(BZ212:CG212),-MIN(BZ212:CG212))</f>
        <v>1</v>
      </c>
      <c r="CI212" s="31" t="n">
        <f aca="false">IF(CO212="","",SUMIFS($CJ$7:$CJ$696,$A$7:$A$696,CO212,$B$7:$B$696,B212))</f>
        <v>133828</v>
      </c>
      <c r="CJ212" s="31" t="n">
        <f aca="false">SUM(AY212:BI212)</f>
        <v>133828</v>
      </c>
      <c r="CK212" s="31" t="str">
        <f aca="false">IFERROR(INDEX(設定!$F$61:$F$106,MATCH(B212,設定!$B$61:$B$106,0)),"Y")</f>
        <v>Y</v>
      </c>
      <c r="CL212" s="31" t="str">
        <f aca="false">IFERROR(INDEX(設定!$G$61:$G$106,MATCH(B212,設定!$B$61:$B$106,0)),"外郭型")</f>
        <v>外郭型</v>
      </c>
      <c r="CM212" s="33" t="str">
        <f aca="false">A212&amp;"|"&amp;B212</f>
        <v>2026-07 月例|地方公務員災害補償基金本部</v>
      </c>
      <c r="CN212" s="34" t="str">
        <f aca="false">IFERROR(INDEX(設定!$D$61:$D$106,MATCH(B212,設定!$B$61:$B$106,0)),"Y")</f>
        <v>Y</v>
      </c>
      <c r="CO212" s="34" t="str">
        <f aca="false">IFERROR(INDEX(設定!$D$20:$D$34,MATCH(A212,設定!$A$20:$A$34,0))&amp;"","")</f>
        <v>2026-06 月例</v>
      </c>
    </row>
    <row r="213" customFormat="false" ht="15" hidden="true" customHeight="false" outlineLevel="0" collapsed="false">
      <c r="A213" s="22" t="s">
        <v>220</v>
      </c>
      <c r="B213" s="23" t="s">
        <v>191</v>
      </c>
      <c r="C213" s="10" t="str">
        <f aca="false">IF(G213="","未受領",IF(G213="なし","報告なし",IF(AL213="○","起票済",IF(OR(AK213="○",F213="一致",F213="入金不要"),"入金確認済","受領済"))))</f>
        <v>入金確認済</v>
      </c>
      <c r="D213" s="10" t="str">
        <f aca="false">IF(OR(G213="",G213="なし"),"―",IF(CN213="N","対象外",IF(AND(I213="",J213="",K213=""),"標報未入力",IF(CH213&gt;=設定!$B$4,"要確認","問題なし"))))</f>
        <v>標報未入力</v>
      </c>
      <c r="E213" s="24" t="str">
        <f aca="false">IF(OR(G213="",G213="なし",CI213="",CJ213=0),"―",IF(CJ213=CI213,"前月同額",IF(CI213=0,"―",IF(ABS(CJ213/CI213-1)&gt;=設定!$B$5,"変動大 "&amp;TEXT(CJ213/CI213-1,"+0%;-0%"),"〇"))))</f>
        <v>前月同額</v>
      </c>
      <c r="F213" s="10" t="str">
        <f aca="false">IF(OR(G213="",G213="なし"),"―",IF(CJ213=0,"入金不要",IF(COUNT(AD213,AF213,AH213,AJ213)=0,IF(AK213="○","手動確認","未入金"),IF(AND(N(AD213)=AC213,IF(AE213="",TRUE(),N(AF213)=AE213),IF(AG213="",TRUE(),N(AH213)=AG213),IF(AI213="",TRUE(),N(AJ213)=AI213)),"一致","不一致"))))</f>
        <v>手動確認</v>
      </c>
      <c r="G213" s="25" t="s">
        <v>167</v>
      </c>
      <c r="H213" s="26"/>
      <c r="I213" s="27"/>
      <c r="J213" s="27"/>
      <c r="K213" s="27"/>
      <c r="L213" s="27"/>
      <c r="M213" s="27"/>
      <c r="N213" s="27"/>
      <c r="O213" s="27" t="n">
        <v>107970</v>
      </c>
      <c r="P213" s="27" t="n">
        <v>8850</v>
      </c>
      <c r="Q213" s="27" t="n">
        <v>61194</v>
      </c>
      <c r="R213" s="27" t="n">
        <v>9322</v>
      </c>
      <c r="S213" s="27" t="n">
        <v>1356</v>
      </c>
      <c r="T213" s="27" t="n">
        <v>107970</v>
      </c>
      <c r="U213" s="27" t="n">
        <v>8850</v>
      </c>
      <c r="V213" s="27" t="n">
        <v>102</v>
      </c>
      <c r="W213" s="27" t="n">
        <v>61253</v>
      </c>
      <c r="X213" s="27" t="n">
        <v>9322</v>
      </c>
      <c r="Y213" s="27" t="n">
        <v>1357</v>
      </c>
      <c r="Z213" s="27"/>
      <c r="AA213" s="10" t="str">
        <f aca="false">IFERROR(INDEX(設定!$E$61:$E$106,MATCH(B213,設定!$B$61:$B$106,0)),"合算")</f>
        <v>合算</v>
      </c>
      <c r="AB213" s="28"/>
      <c r="AC213" s="29" t="n">
        <f aca="false">IF(OR(G213="",G213="なし"),"",IF(AA213="合算",CJ213+N(Z213),IF(AA213="掛金・負担金別",(AY213+AZ213+BD213+BF213+BH213),SUM(AY213:BC213))))</f>
        <v>377546</v>
      </c>
      <c r="AD213" s="27"/>
      <c r="AE213" s="29" t="str">
        <f aca="false">IF(OR(G213="",G213="なし"),"",IF(AA213="掛金・負担金別",(BA213+BB213+BC213+BE213+BG213+BI213+N(Z213)),IF(AA213="経理区分別",BD213+BE213,"")))</f>
        <v/>
      </c>
      <c r="AF213" s="27"/>
      <c r="AG213" s="29" t="str">
        <f aca="false">IF(OR(G213="",G213="なし"),"",IF(AA213="経理区分別",BF213+BG213,""))</f>
        <v/>
      </c>
      <c r="AH213" s="27"/>
      <c r="AI213" s="29" t="str">
        <f aca="false">IF(OR(G213="",G213="なし"),"",IF(AA213="経理区分別",BH213+BI213+N(Z213),""))</f>
        <v/>
      </c>
      <c r="AJ213" s="27"/>
      <c r="AK213" s="26" t="s">
        <v>168</v>
      </c>
      <c r="AL213" s="26"/>
      <c r="AM213" s="30"/>
      <c r="AN213" s="31"/>
      <c r="AO213" s="31"/>
      <c r="AP213" s="31"/>
      <c r="AQ213" s="31"/>
      <c r="AR213" s="31"/>
      <c r="AS213" s="31"/>
      <c r="AT213" s="31"/>
      <c r="AU213" s="31"/>
      <c r="AV213" s="31"/>
      <c r="AW213" s="31"/>
      <c r="AX213" s="31"/>
      <c r="AY213" s="31" t="n">
        <f aca="false">IF($G213="",AN213,O213)</f>
        <v>107970</v>
      </c>
      <c r="AZ213" s="31" t="n">
        <f aca="false">IF($G213="",AO213,P213)</f>
        <v>8850</v>
      </c>
      <c r="BA213" s="31" t="n">
        <f aca="false">IF($G213="",AP213,T213)</f>
        <v>107970</v>
      </c>
      <c r="BB213" s="31" t="n">
        <f aca="false">IF($G213="",AQ213,U213)</f>
        <v>8850</v>
      </c>
      <c r="BC213" s="31" t="n">
        <f aca="false">IF($G213="",AR213,V213)</f>
        <v>102</v>
      </c>
      <c r="BD213" s="31" t="n">
        <f aca="false">IF($G213="",AS213,Q213)</f>
        <v>61194</v>
      </c>
      <c r="BE213" s="31" t="n">
        <f aca="false">IF($G213="",AT213,W213)</f>
        <v>61253</v>
      </c>
      <c r="BF213" s="31" t="n">
        <f aca="false">IF($G213="",AU213,R213)</f>
        <v>9322</v>
      </c>
      <c r="BG213" s="31" t="n">
        <f aca="false">IF($G213="",AV213,X213)</f>
        <v>9322</v>
      </c>
      <c r="BH213" s="31" t="n">
        <f aca="false">IF($G213="",AW213,S213)</f>
        <v>1356</v>
      </c>
      <c r="BI213" s="31" t="n">
        <f aca="false">IF($G213="",AX213,Y213)</f>
        <v>1357</v>
      </c>
      <c r="BJ213" s="31" t="n">
        <f aca="false">IF(CK213="N",BR213,ROUNDDOWN((I213-L213)*設定!$B$10/1000,0)+ROUNDDOWN((I213-L213)*設定!$B$11/1000,0))</f>
        <v>0</v>
      </c>
      <c r="BK213" s="31" t="n">
        <f aca="false">ROUNDDOWN((I213-L213)*設定!$C$10/1000,0)+ROUNDDOWN((I213-L213)*設定!$C$11/1000,0)+ROUNDDOWN(I213*設定!$C$12/1000,0)+IF(CL213="市局型",ROUNDDOWN(I213*設定!$C$16/1000,0),0)</f>
        <v>0</v>
      </c>
      <c r="BL213" s="31" t="n">
        <f aca="false">IF(CK213="N",BT213,ROUNDDOWN((J213-M213)*設定!$B$13/1000,0))</f>
        <v>0</v>
      </c>
      <c r="BM213" s="31" t="n">
        <f aca="false">ROUNDDOWN((J213-M213)*設定!$C$13/1000,0)+IF(CL213="市局型",ROUNDDOWN(J213*設定!$C$17/1000,0),0)</f>
        <v>0</v>
      </c>
      <c r="BN213" s="31" t="n">
        <f aca="false">IF(CK213="N",BV213,ROUNDDOWN((K213-N213)*設定!$B$14/1000,0))</f>
        <v>0</v>
      </c>
      <c r="BO213" s="31" t="n">
        <f aca="false">ROUNDDOWN((K213-N213)*設定!$C$14/1000,0)</f>
        <v>0</v>
      </c>
      <c r="BP213" s="31" t="n">
        <f aca="false">IF(CK213="N",BX213,ROUNDDOWN((J213-M213)*設定!$B$15/1000,0))</f>
        <v>0</v>
      </c>
      <c r="BQ213" s="31" t="n">
        <f aca="false">ROUNDDOWN((J213-M213)*設定!$C$15/1000,0)</f>
        <v>0</v>
      </c>
      <c r="BR213" s="31" t="n">
        <f aca="false">O213+P213</f>
        <v>116820</v>
      </c>
      <c r="BS213" s="31" t="n">
        <f aca="false">T213+U213+V213</f>
        <v>116922</v>
      </c>
      <c r="BT213" s="31" t="n">
        <f aca="false">Q213</f>
        <v>61194</v>
      </c>
      <c r="BU213" s="31" t="n">
        <f aca="false">W213</f>
        <v>61253</v>
      </c>
      <c r="BV213" s="31" t="n">
        <f aca="false">R213</f>
        <v>9322</v>
      </c>
      <c r="BW213" s="31" t="n">
        <f aca="false">X213</f>
        <v>9322</v>
      </c>
      <c r="BX213" s="31" t="n">
        <f aca="false">S213</f>
        <v>1356</v>
      </c>
      <c r="BY213" s="31" t="n">
        <f aca="false">Y213</f>
        <v>1357</v>
      </c>
      <c r="BZ213" s="32" t="n">
        <f aca="false">IF(BJ213=0,IF(BR213=0,0,1),(BR213-BJ213)/BJ213)</f>
        <v>1</v>
      </c>
      <c r="CA213" s="32" t="n">
        <f aca="false">IF(BK213=0,IF(BS213=0,0,1),(BS213-BK213)/BK213)</f>
        <v>1</v>
      </c>
      <c r="CB213" s="32" t="n">
        <f aca="false">IF(BL213=0,IF(BT213=0,0,1),(BT213-BL213)/BL213)</f>
        <v>1</v>
      </c>
      <c r="CC213" s="32" t="n">
        <f aca="false">IF(BM213=0,IF(BU213=0,0,1),(BU213-BM213)/BM213)</f>
        <v>1</v>
      </c>
      <c r="CD213" s="32" t="n">
        <f aca="false">IF(BN213=0,IF(BV213=0,0,1),(BV213-BN213)/BN213)</f>
        <v>1</v>
      </c>
      <c r="CE213" s="32" t="n">
        <f aca="false">IF(BO213=0,IF(BW213=0,0,1),(BW213-BO213)/BO213)</f>
        <v>1</v>
      </c>
      <c r="CF213" s="32" t="n">
        <f aca="false">IF(BP213=0,IF(BX213=0,0,1),(BX213-BP213)/BP213)</f>
        <v>1</v>
      </c>
      <c r="CG213" s="32" t="n">
        <f aca="false">IF(BQ213=0,IF(BY213=0,0,1),(BY213-BQ213)/BQ213)</f>
        <v>1</v>
      </c>
      <c r="CH213" s="32" t="n">
        <f aca="false">MAX(MAX(BZ213:CG213),-MIN(BZ213:CG213))</f>
        <v>1</v>
      </c>
      <c r="CI213" s="31" t="n">
        <f aca="false">IF(CO213="","",SUMIFS($CJ$7:$CJ$696,$A$7:$A$696,CO213,$B$7:$B$696,B213))</f>
        <v>377546</v>
      </c>
      <c r="CJ213" s="31" t="n">
        <f aca="false">SUM(AY213:BI213)</f>
        <v>377546</v>
      </c>
      <c r="CK213" s="31" t="str">
        <f aca="false">IFERROR(INDEX(設定!$F$61:$F$106,MATCH(B213,設定!$B$61:$B$106,0)),"Y")</f>
        <v>Y</v>
      </c>
      <c r="CL213" s="31" t="str">
        <f aca="false">IFERROR(INDEX(設定!$G$61:$G$106,MATCH(B213,設定!$B$61:$B$106,0)),"外郭型")</f>
        <v>外郭型</v>
      </c>
      <c r="CM213" s="33" t="str">
        <f aca="false">A213&amp;"|"&amp;B213</f>
        <v>2026-07 月例|救急振興財団</v>
      </c>
      <c r="CN213" s="34" t="str">
        <f aca="false">IFERROR(INDEX(設定!$D$61:$D$106,MATCH(B213,設定!$B$61:$B$106,0)),"Y")</f>
        <v>Y</v>
      </c>
      <c r="CO213" s="34" t="str">
        <f aca="false">IFERROR(INDEX(設定!$D$20:$D$34,MATCH(A213,設定!$A$20:$A$34,0))&amp;"","")</f>
        <v>2026-06 月例</v>
      </c>
    </row>
    <row r="214" customFormat="false" ht="15" hidden="true" customHeight="false" outlineLevel="0" collapsed="false">
      <c r="A214" s="22" t="s">
        <v>220</v>
      </c>
      <c r="B214" s="23" t="s">
        <v>192</v>
      </c>
      <c r="C214" s="10" t="str">
        <f aca="false">IF(G214="","未受領",IF(G214="なし","報告なし",IF(AL214="○","起票済",IF(OR(AK214="○",F214="一致",F214="入金不要"),"入金確認済","受領済"))))</f>
        <v>入金確認済</v>
      </c>
      <c r="D214" s="10" t="str">
        <f aca="false">IF(OR(G214="",G214="なし"),"―",IF(CN214="N","対象外",IF(AND(I214="",J214="",K214=""),"標報未入力",IF(CH214&gt;=設定!$B$4,"要確認","問題なし"))))</f>
        <v>標報未入力</v>
      </c>
      <c r="E214" s="24" t="str">
        <f aca="false">IF(OR(G214="",G214="なし",CI214="",CJ214=0),"―",IF(CJ214=CI214,"前月同額",IF(CI214=0,"―",IF(ABS(CJ214/CI214-1)&gt;=設定!$B$5,"変動大 "&amp;TEXT(CJ214/CI214-1,"+0%;-0%"),"〇"))))</f>
        <v>〇</v>
      </c>
      <c r="F214" s="10" t="str">
        <f aca="false">IF(OR(G214="",G214="なし"),"―",IF(CJ214=0,"入金不要",IF(COUNT(AD214,AF214,AH214,AJ214)=0,IF(AK214="○","手動確認","未入金"),IF(AND(N(AD214)=AC214,IF(AE214="",TRUE(),N(AF214)=AE214),IF(AG214="",TRUE(),N(AH214)=AG214),IF(AI214="",TRUE(),N(AJ214)=AI214)),"一致","不一致"))))</f>
        <v>手動確認</v>
      </c>
      <c r="G214" s="25" t="s">
        <v>167</v>
      </c>
      <c r="H214" s="26"/>
      <c r="I214" s="27"/>
      <c r="J214" s="27"/>
      <c r="K214" s="27"/>
      <c r="L214" s="27"/>
      <c r="M214" s="27"/>
      <c r="N214" s="27"/>
      <c r="O214" s="27" t="n">
        <v>755790</v>
      </c>
      <c r="P214" s="27" t="n">
        <v>61950</v>
      </c>
      <c r="Q214" s="27" t="n">
        <v>428357</v>
      </c>
      <c r="R214" s="27" t="n">
        <v>39816</v>
      </c>
      <c r="S214" s="27" t="n">
        <v>9495</v>
      </c>
      <c r="T214" s="27" t="n">
        <v>746877</v>
      </c>
      <c r="U214" s="27" t="n">
        <v>61950</v>
      </c>
      <c r="V214" s="27" t="n">
        <v>753</v>
      </c>
      <c r="W214" s="27" t="n">
        <v>437689</v>
      </c>
      <c r="X214" s="27" t="n">
        <v>39816</v>
      </c>
      <c r="Y214" s="27" t="n">
        <v>9499</v>
      </c>
      <c r="Z214" s="27"/>
      <c r="AA214" s="10" t="str">
        <f aca="false">IFERROR(INDEX(設定!$E$61:$E$106,MATCH(B214,設定!$B$61:$B$106,0)),"合算")</f>
        <v>合算</v>
      </c>
      <c r="AB214" s="28"/>
      <c r="AC214" s="29" t="n">
        <f aca="false">IF(OR(G214="",G214="なし"),"",IF(AA214="合算",CJ214+N(Z214),IF(AA214="掛金・負担金別",(AY214+AZ214+BD214+BF214+BH214),SUM(AY214:BC214))))</f>
        <v>2591992</v>
      </c>
      <c r="AD214" s="27"/>
      <c r="AE214" s="29" t="str">
        <f aca="false">IF(OR(G214="",G214="なし"),"",IF(AA214="掛金・負担金別",(BA214+BB214+BC214+BE214+BG214+BI214+N(Z214)),IF(AA214="経理区分別",BD214+BE214,"")))</f>
        <v/>
      </c>
      <c r="AF214" s="27"/>
      <c r="AG214" s="29" t="str">
        <f aca="false">IF(OR(G214="",G214="なし"),"",IF(AA214="経理区分別",BF214+BG214,""))</f>
        <v/>
      </c>
      <c r="AH214" s="27"/>
      <c r="AI214" s="29" t="str">
        <f aca="false">IF(OR(G214="",G214="なし"),"",IF(AA214="経理区分別",BH214+BI214+N(Z214),""))</f>
        <v/>
      </c>
      <c r="AJ214" s="27"/>
      <c r="AK214" s="26" t="s">
        <v>168</v>
      </c>
      <c r="AL214" s="26"/>
      <c r="AM214" s="30"/>
      <c r="AN214" s="31"/>
      <c r="AO214" s="31"/>
      <c r="AP214" s="31"/>
      <c r="AQ214" s="31"/>
      <c r="AR214" s="31"/>
      <c r="AS214" s="31"/>
      <c r="AT214" s="31"/>
      <c r="AU214" s="31"/>
      <c r="AV214" s="31"/>
      <c r="AW214" s="31"/>
      <c r="AX214" s="31"/>
      <c r="AY214" s="31" t="n">
        <f aca="false">IF($G214="",AN214,O214)</f>
        <v>755790</v>
      </c>
      <c r="AZ214" s="31" t="n">
        <f aca="false">IF($G214="",AO214,P214)</f>
        <v>61950</v>
      </c>
      <c r="BA214" s="31" t="n">
        <f aca="false">IF($G214="",AP214,T214)</f>
        <v>746877</v>
      </c>
      <c r="BB214" s="31" t="n">
        <f aca="false">IF($G214="",AQ214,U214)</f>
        <v>61950</v>
      </c>
      <c r="BC214" s="31" t="n">
        <f aca="false">IF($G214="",AR214,V214)</f>
        <v>753</v>
      </c>
      <c r="BD214" s="31" t="n">
        <f aca="false">IF($G214="",AS214,Q214)</f>
        <v>428357</v>
      </c>
      <c r="BE214" s="31" t="n">
        <f aca="false">IF($G214="",AT214,W214)</f>
        <v>437689</v>
      </c>
      <c r="BF214" s="31" t="n">
        <f aca="false">IF($G214="",AU214,R214)</f>
        <v>39816</v>
      </c>
      <c r="BG214" s="31" t="n">
        <f aca="false">IF($G214="",AV214,X214)</f>
        <v>39816</v>
      </c>
      <c r="BH214" s="31" t="n">
        <f aca="false">IF($G214="",AW214,S214)</f>
        <v>9495</v>
      </c>
      <c r="BI214" s="31" t="n">
        <f aca="false">IF($G214="",AX214,Y214)</f>
        <v>9499</v>
      </c>
      <c r="BJ214" s="31" t="n">
        <f aca="false">IF(CK214="N",BR214,ROUNDDOWN((I214-L214)*設定!$B$10/1000,0)+ROUNDDOWN((I214-L214)*設定!$B$11/1000,0))</f>
        <v>0</v>
      </c>
      <c r="BK214" s="31" t="n">
        <f aca="false">ROUNDDOWN((I214-L214)*設定!$C$10/1000,0)+ROUNDDOWN((I214-L214)*設定!$C$11/1000,0)+ROUNDDOWN(I214*設定!$C$12/1000,0)+IF(CL214="市局型",ROUNDDOWN(I214*設定!$C$16/1000,0),0)</f>
        <v>0</v>
      </c>
      <c r="BL214" s="31" t="n">
        <f aca="false">IF(CK214="N",BT214,ROUNDDOWN((J214-M214)*設定!$B$13/1000,0))</f>
        <v>0</v>
      </c>
      <c r="BM214" s="31" t="n">
        <f aca="false">ROUNDDOWN((J214-M214)*設定!$C$13/1000,0)+IF(CL214="市局型",ROUNDDOWN(J214*設定!$C$17/1000,0),0)</f>
        <v>0</v>
      </c>
      <c r="BN214" s="31" t="n">
        <f aca="false">IF(CK214="N",BV214,ROUNDDOWN((K214-N214)*設定!$B$14/1000,0))</f>
        <v>0</v>
      </c>
      <c r="BO214" s="31" t="n">
        <f aca="false">ROUNDDOWN((K214-N214)*設定!$C$14/1000,0)</f>
        <v>0</v>
      </c>
      <c r="BP214" s="31" t="n">
        <f aca="false">IF(CK214="N",BX214,ROUNDDOWN((J214-M214)*設定!$B$15/1000,0))</f>
        <v>0</v>
      </c>
      <c r="BQ214" s="31" t="n">
        <f aca="false">ROUNDDOWN((J214-M214)*設定!$C$15/1000,0)</f>
        <v>0</v>
      </c>
      <c r="BR214" s="31" t="n">
        <f aca="false">O214+P214</f>
        <v>817740</v>
      </c>
      <c r="BS214" s="31" t="n">
        <f aca="false">T214+U214+V214</f>
        <v>809580</v>
      </c>
      <c r="BT214" s="31" t="n">
        <f aca="false">Q214</f>
        <v>428357</v>
      </c>
      <c r="BU214" s="31" t="n">
        <f aca="false">W214</f>
        <v>437689</v>
      </c>
      <c r="BV214" s="31" t="n">
        <f aca="false">R214</f>
        <v>39816</v>
      </c>
      <c r="BW214" s="31" t="n">
        <f aca="false">X214</f>
        <v>39816</v>
      </c>
      <c r="BX214" s="31" t="n">
        <f aca="false">S214</f>
        <v>9495</v>
      </c>
      <c r="BY214" s="31" t="n">
        <f aca="false">Y214</f>
        <v>9499</v>
      </c>
      <c r="BZ214" s="32" t="n">
        <f aca="false">IF(BJ214=0,IF(BR214=0,0,1),(BR214-BJ214)/BJ214)</f>
        <v>1</v>
      </c>
      <c r="CA214" s="32" t="n">
        <f aca="false">IF(BK214=0,IF(BS214=0,0,1),(BS214-BK214)/BK214)</f>
        <v>1</v>
      </c>
      <c r="CB214" s="32" t="n">
        <f aca="false">IF(BL214=0,IF(BT214=0,0,1),(BT214-BL214)/BL214)</f>
        <v>1</v>
      </c>
      <c r="CC214" s="32" t="n">
        <f aca="false">IF(BM214=0,IF(BU214=0,0,1),(BU214-BM214)/BM214)</f>
        <v>1</v>
      </c>
      <c r="CD214" s="32" t="n">
        <f aca="false">IF(BN214=0,IF(BV214=0,0,1),(BV214-BN214)/BN214)</f>
        <v>1</v>
      </c>
      <c r="CE214" s="32" t="n">
        <f aca="false">IF(BO214=0,IF(BW214=0,0,1),(BW214-BO214)/BO214)</f>
        <v>1</v>
      </c>
      <c r="CF214" s="32" t="n">
        <f aca="false">IF(BP214=0,IF(BX214=0,0,1),(BX214-BP214)/BP214)</f>
        <v>1</v>
      </c>
      <c r="CG214" s="32" t="n">
        <f aca="false">IF(BQ214=0,IF(BY214=0,0,1),(BY214-BQ214)/BQ214)</f>
        <v>1</v>
      </c>
      <c r="CH214" s="32" t="n">
        <f aca="false">MAX(MAX(BZ214:CG214),-MIN(BZ214:CG214))</f>
        <v>1</v>
      </c>
      <c r="CI214" s="31" t="n">
        <f aca="false">IF(CO214="","",SUMIFS($CJ$7:$CJ$696,$A$7:$A$696,CO214,$B$7:$B$696,B214))</f>
        <v>2498225</v>
      </c>
      <c r="CJ214" s="31" t="n">
        <f aca="false">SUM(AY214:BI214)</f>
        <v>2591992</v>
      </c>
      <c r="CK214" s="31" t="str">
        <f aca="false">IFERROR(INDEX(設定!$F$61:$F$106,MATCH(B214,設定!$B$61:$B$106,0)),"Y")</f>
        <v>Y</v>
      </c>
      <c r="CL214" s="31" t="str">
        <f aca="false">IFERROR(INDEX(設定!$G$61:$G$106,MATCH(B214,設定!$B$61:$B$106,0)),"外郭型")</f>
        <v>外郭型</v>
      </c>
      <c r="CM214" s="33" t="str">
        <f aca="false">A214&amp;"|"&amp;B214</f>
        <v>2026-07 月例|高速道路公社</v>
      </c>
      <c r="CN214" s="34" t="str">
        <f aca="false">IFERROR(INDEX(設定!$D$61:$D$106,MATCH(B214,設定!$B$61:$B$106,0)),"Y")</f>
        <v>Y</v>
      </c>
      <c r="CO214" s="34" t="str">
        <f aca="false">IFERROR(INDEX(設定!$D$20:$D$34,MATCH(A214,設定!$A$20:$A$34,0))&amp;"","")</f>
        <v>2026-06 月例</v>
      </c>
    </row>
    <row r="215" customFormat="false" ht="15" hidden="true" customHeight="false" outlineLevel="0" collapsed="false">
      <c r="A215" s="22" t="s">
        <v>220</v>
      </c>
      <c r="B215" s="23" t="s">
        <v>193</v>
      </c>
      <c r="C215" s="10" t="str">
        <f aca="false">IF(G215="","未受領",IF(G215="なし","報告なし",IF(AL215="○","起票済",IF(OR(AK215="○",F215="一致",F215="入金不要"),"入金確認済","受領済"))))</f>
        <v>入金確認済</v>
      </c>
      <c r="D215" s="10" t="str">
        <f aca="false">IF(OR(G215="",G215="なし"),"―",IF(CN215="N","対象外",IF(AND(I215="",J215="",K215=""),"標報未入力",IF(CH215&gt;=設定!$B$4,"要確認","問題なし"))))</f>
        <v>標報未入力</v>
      </c>
      <c r="E215" s="24" t="str">
        <f aca="false">IF(OR(G215="",G215="なし",CI215="",CJ215=0),"―",IF(CJ215=CI215,"前月同額",IF(CI215=0,"―",IF(ABS(CJ215/CI215-1)&gt;=設定!$B$5,"変動大 "&amp;TEXT(CJ215/CI215-1,"+0%;-0%"),"〇"))))</f>
        <v>〇</v>
      </c>
      <c r="F215" s="10" t="str">
        <f aca="false">IF(OR(G215="",G215="なし"),"―",IF(CJ215=0,"入金不要",IF(COUNT(AD215,AF215,AH215,AJ215)=0,IF(AK215="○","手動確認","未入金"),IF(AND(N(AD215)=AC215,IF(AE215="",TRUE(),N(AF215)=AE215),IF(AG215="",TRUE(),N(AH215)=AG215),IF(AI215="",TRUE(),N(AJ215)=AI215)),"一致","不一致"))))</f>
        <v>手動確認</v>
      </c>
      <c r="G215" s="25" t="s">
        <v>167</v>
      </c>
      <c r="H215" s="26"/>
      <c r="I215" s="27"/>
      <c r="J215" s="27"/>
      <c r="K215" s="27"/>
      <c r="L215" s="27"/>
      <c r="M215" s="27"/>
      <c r="N215" s="27"/>
      <c r="O215" s="27"/>
      <c r="P215" s="27"/>
      <c r="Q215" s="27"/>
      <c r="R215" s="27"/>
      <c r="S215" s="27"/>
      <c r="T215" s="27" t="n">
        <v>582855</v>
      </c>
      <c r="U215" s="27" t="n">
        <v>47775</v>
      </c>
      <c r="V215" s="27" t="n">
        <v>579</v>
      </c>
      <c r="W215" s="27" t="n">
        <v>330681</v>
      </c>
      <c r="X215" s="27" t="n">
        <v>28203</v>
      </c>
      <c r="Y215" s="27" t="n">
        <v>7324</v>
      </c>
      <c r="Z215" s="27"/>
      <c r="AA215" s="10" t="str">
        <f aca="false">IFERROR(INDEX(設定!$E$61:$E$106,MATCH(B215,設定!$B$61:$B$106,0)),"合算")</f>
        <v>合算</v>
      </c>
      <c r="AB215" s="28"/>
      <c r="AC215" s="29" t="n">
        <f aca="false">IF(OR(G215="",G215="なし"),"",IF(AA215="合算",CJ215+N(Z215),IF(AA215="掛金・負担金別",(AY215+AZ215+BD215+BF215+BH215),SUM(AY215:BC215))))</f>
        <v>997417</v>
      </c>
      <c r="AD215" s="27"/>
      <c r="AE215" s="29" t="str">
        <f aca="false">IF(OR(G215="",G215="なし"),"",IF(AA215="掛金・負担金別",(BA215+BB215+BC215+BE215+BG215+BI215+N(Z215)),IF(AA215="経理区分別",BD215+BE215,"")))</f>
        <v/>
      </c>
      <c r="AF215" s="27"/>
      <c r="AG215" s="29" t="str">
        <f aca="false">IF(OR(G215="",G215="なし"),"",IF(AA215="経理区分別",BF215+BG215,""))</f>
        <v/>
      </c>
      <c r="AH215" s="27"/>
      <c r="AI215" s="29" t="str">
        <f aca="false">IF(OR(G215="",G215="なし"),"",IF(AA215="経理区分別",BH215+BI215+N(Z215),""))</f>
        <v/>
      </c>
      <c r="AJ215" s="27"/>
      <c r="AK215" s="26" t="s">
        <v>168</v>
      </c>
      <c r="AL215" s="26"/>
      <c r="AM215" s="30"/>
      <c r="AN215" s="31"/>
      <c r="AO215" s="31"/>
      <c r="AP215" s="31"/>
      <c r="AQ215" s="31"/>
      <c r="AR215" s="31"/>
      <c r="AS215" s="31"/>
      <c r="AT215" s="31"/>
      <c r="AU215" s="31"/>
      <c r="AV215" s="31"/>
      <c r="AW215" s="31"/>
      <c r="AX215" s="31"/>
      <c r="AY215" s="31" t="n">
        <f aca="false">IF($G215="",AN215,O215)</f>
        <v>0</v>
      </c>
      <c r="AZ215" s="31" t="n">
        <f aca="false">IF($G215="",AO215,P215)</f>
        <v>0</v>
      </c>
      <c r="BA215" s="31" t="n">
        <f aca="false">IF($G215="",AP215,T215)</f>
        <v>582855</v>
      </c>
      <c r="BB215" s="31" t="n">
        <f aca="false">IF($G215="",AQ215,U215)</f>
        <v>47775</v>
      </c>
      <c r="BC215" s="31" t="n">
        <f aca="false">IF($G215="",AR215,V215)</f>
        <v>579</v>
      </c>
      <c r="BD215" s="31" t="n">
        <f aca="false">IF($G215="",AS215,Q215)</f>
        <v>0</v>
      </c>
      <c r="BE215" s="31" t="n">
        <f aca="false">IF($G215="",AT215,W215)</f>
        <v>330681</v>
      </c>
      <c r="BF215" s="31" t="n">
        <f aca="false">IF($G215="",AU215,R215)</f>
        <v>0</v>
      </c>
      <c r="BG215" s="31" t="n">
        <f aca="false">IF($G215="",AV215,X215)</f>
        <v>28203</v>
      </c>
      <c r="BH215" s="31" t="n">
        <f aca="false">IF($G215="",AW215,S215)</f>
        <v>0</v>
      </c>
      <c r="BI215" s="31" t="n">
        <f aca="false">IF($G215="",AX215,Y215)</f>
        <v>7324</v>
      </c>
      <c r="BJ215" s="31" t="n">
        <f aca="false">IF(CK215="N",BR215,ROUNDDOWN((I215-L215)*設定!$B$10/1000,0)+ROUNDDOWN((I215-L215)*設定!$B$11/1000,0))</f>
        <v>0</v>
      </c>
      <c r="BK215" s="31" t="n">
        <f aca="false">ROUNDDOWN((I215-L215)*設定!$C$10/1000,0)+ROUNDDOWN((I215-L215)*設定!$C$11/1000,0)+ROUNDDOWN(I215*設定!$C$12/1000,0)+IF(CL215="市局型",ROUNDDOWN(I215*設定!$C$16/1000,0),0)</f>
        <v>0</v>
      </c>
      <c r="BL215" s="31" t="n">
        <f aca="false">IF(CK215="N",BT215,ROUNDDOWN((J215-M215)*設定!$B$13/1000,0))</f>
        <v>0</v>
      </c>
      <c r="BM215" s="31" t="n">
        <f aca="false">ROUNDDOWN((J215-M215)*設定!$C$13/1000,0)+IF(CL215="市局型",ROUNDDOWN(J215*設定!$C$17/1000,0),0)</f>
        <v>0</v>
      </c>
      <c r="BN215" s="31" t="n">
        <f aca="false">IF(CK215="N",BV215,ROUNDDOWN((K215-N215)*設定!$B$14/1000,0))</f>
        <v>0</v>
      </c>
      <c r="BO215" s="31" t="n">
        <f aca="false">ROUNDDOWN((K215-N215)*設定!$C$14/1000,0)</f>
        <v>0</v>
      </c>
      <c r="BP215" s="31" t="n">
        <f aca="false">IF(CK215="N",BX215,ROUNDDOWN((J215-M215)*設定!$B$15/1000,0))</f>
        <v>0</v>
      </c>
      <c r="BQ215" s="31" t="n">
        <f aca="false">ROUNDDOWN((J215-M215)*設定!$C$15/1000,0)</f>
        <v>0</v>
      </c>
      <c r="BR215" s="31" t="n">
        <f aca="false">O215+P215</f>
        <v>0</v>
      </c>
      <c r="BS215" s="31" t="n">
        <f aca="false">T215+U215+V215</f>
        <v>631209</v>
      </c>
      <c r="BT215" s="31" t="n">
        <f aca="false">Q215</f>
        <v>0</v>
      </c>
      <c r="BU215" s="31" t="n">
        <f aca="false">W215</f>
        <v>330681</v>
      </c>
      <c r="BV215" s="31" t="n">
        <f aca="false">R215</f>
        <v>0</v>
      </c>
      <c r="BW215" s="31" t="n">
        <f aca="false">X215</f>
        <v>28203</v>
      </c>
      <c r="BX215" s="31" t="n">
        <f aca="false">S215</f>
        <v>0</v>
      </c>
      <c r="BY215" s="31" t="n">
        <f aca="false">Y215</f>
        <v>7324</v>
      </c>
      <c r="BZ215" s="32" t="n">
        <f aca="false">IF(BJ215=0,IF(BR215=0,0,1),(BR215-BJ215)/BJ215)</f>
        <v>0</v>
      </c>
      <c r="CA215" s="32" t="n">
        <f aca="false">IF(BK215=0,IF(BS215=0,0,1),(BS215-BK215)/BK215)</f>
        <v>1</v>
      </c>
      <c r="CB215" s="32" t="n">
        <f aca="false">IF(BL215=0,IF(BT215=0,0,1),(BT215-BL215)/BL215)</f>
        <v>0</v>
      </c>
      <c r="CC215" s="32" t="n">
        <f aca="false">IF(BM215=0,IF(BU215=0,0,1),(BU215-BM215)/BM215)</f>
        <v>1</v>
      </c>
      <c r="CD215" s="32" t="n">
        <f aca="false">IF(BN215=0,IF(BV215=0,0,1),(BV215-BN215)/BN215)</f>
        <v>0</v>
      </c>
      <c r="CE215" s="32" t="n">
        <f aca="false">IF(BO215=0,IF(BW215=0,0,1),(BW215-BO215)/BO215)</f>
        <v>1</v>
      </c>
      <c r="CF215" s="32" t="n">
        <f aca="false">IF(BP215=0,IF(BX215=0,0,1),(BX215-BP215)/BP215)</f>
        <v>0</v>
      </c>
      <c r="CG215" s="32" t="n">
        <f aca="false">IF(BQ215=0,IF(BY215=0,0,1),(BY215-BQ215)/BQ215)</f>
        <v>1</v>
      </c>
      <c r="CH215" s="32" t="n">
        <f aca="false">MAX(MAX(BZ215:CG215),-MIN(BZ215:CG215))</f>
        <v>1</v>
      </c>
      <c r="CI215" s="31" t="n">
        <f aca="false">IF(CO215="","",SUMIFS($CJ$7:$CJ$696,$A$7:$A$696,CO215,$B$7:$B$696,B215))</f>
        <v>1038497</v>
      </c>
      <c r="CJ215" s="31" t="n">
        <f aca="false">SUM(AY215:BI215)</f>
        <v>997417</v>
      </c>
      <c r="CK215" s="31" t="str">
        <f aca="false">IFERROR(INDEX(設定!$F$61:$F$106,MATCH(B215,設定!$B$61:$B$106,0)),"Y")</f>
        <v>N</v>
      </c>
      <c r="CL215" s="31" t="str">
        <f aca="false">IFERROR(INDEX(設定!$G$61:$G$106,MATCH(B215,設定!$B$61:$B$106,0)),"外郭型")</f>
        <v>外郭型</v>
      </c>
      <c r="CM215" s="33" t="str">
        <f aca="false">A215&amp;"|"&amp;B215</f>
        <v>2026-07 月例|農林水産振興センタ</v>
      </c>
      <c r="CN215" s="34" t="str">
        <f aca="false">IFERROR(INDEX(設定!$D$61:$D$106,MATCH(B215,設定!$B$61:$B$106,0)),"Y")</f>
        <v>Y</v>
      </c>
      <c r="CO215" s="34" t="str">
        <f aca="false">IFERROR(INDEX(設定!$D$20:$D$34,MATCH(A215,設定!$A$20:$A$34,0))&amp;"","")</f>
        <v>2026-06 月例</v>
      </c>
    </row>
    <row r="216" customFormat="false" ht="15" hidden="true" customHeight="false" outlineLevel="0" collapsed="false">
      <c r="A216" s="22" t="s">
        <v>220</v>
      </c>
      <c r="B216" s="23" t="s">
        <v>194</v>
      </c>
      <c r="C216" s="10" t="str">
        <f aca="false">IF(G216="","未受領",IF(G216="なし","報告なし",IF(AL216="○","起票済",IF(OR(AK216="○",F216="一致",F216="入金不要"),"入金確認済","受領済"))))</f>
        <v>入金確認済</v>
      </c>
      <c r="D216" s="10" t="str">
        <f aca="false">IF(OR(G216="",G216="なし"),"―",IF(CN216="N","対象外",IF(AND(I216="",J216="",K216=""),"標報未入力",IF(CH216&gt;=設定!$B$4,"要確認","問題なし"))))</f>
        <v>標報未入力</v>
      </c>
      <c r="E216" s="24" t="str">
        <f aca="false">IF(OR(G216="",G216="なし",CI216="",CJ216=0),"―",IF(CJ216=CI216,"前月同額",IF(CI216=0,"―",IF(ABS(CJ216/CI216-1)&gt;=設定!$B$5,"変動大 "&amp;TEXT(CJ216/CI216-1,"+0%;-0%"),"〇"))))</f>
        <v>〇</v>
      </c>
      <c r="F216" s="10" t="str">
        <f aca="false">IF(OR(G216="",G216="なし"),"―",IF(CJ216=0,"入金不要",IF(COUNT(AD216,AF216,AH216,AJ216)=0,IF(AK216="○","手動確認","未入金"),IF(AND(N(AD216)=AC216,IF(AE216="",TRUE(),N(AF216)=AE216),IF(AG216="",TRUE(),N(AH216)=AG216),IF(AI216="",TRUE(),N(AJ216)=AI216)),"一致","不一致"))))</f>
        <v>手動確認</v>
      </c>
      <c r="G216" s="25" t="s">
        <v>167</v>
      </c>
      <c r="H216" s="26"/>
      <c r="I216" s="27"/>
      <c r="J216" s="27"/>
      <c r="K216" s="27"/>
      <c r="L216" s="27"/>
      <c r="M216" s="27"/>
      <c r="N216" s="27"/>
      <c r="O216" s="27"/>
      <c r="P216" s="27"/>
      <c r="Q216" s="27"/>
      <c r="R216" s="27"/>
      <c r="S216" s="27"/>
      <c r="T216" s="27" t="n">
        <v>1056825</v>
      </c>
      <c r="U216" s="27" t="n">
        <v>86625</v>
      </c>
      <c r="V216" s="27" t="n">
        <v>1000</v>
      </c>
      <c r="W216" s="27" t="n">
        <v>606306</v>
      </c>
      <c r="X216" s="27" t="n">
        <v>86900</v>
      </c>
      <c r="Y216" s="27" t="n">
        <v>13430</v>
      </c>
      <c r="Z216" s="27"/>
      <c r="AA216" s="10" t="str">
        <f aca="false">IFERROR(INDEX(設定!$E$61:$E$106,MATCH(B216,設定!$B$61:$B$106,0)),"合算")</f>
        <v>合算</v>
      </c>
      <c r="AB216" s="28"/>
      <c r="AC216" s="29" t="n">
        <f aca="false">IF(OR(G216="",G216="なし"),"",IF(AA216="合算",CJ216+N(Z216),IF(AA216="掛金・負担金別",(AY216+AZ216+BD216+BF216+BH216),SUM(AY216:BC216))))</f>
        <v>1851086</v>
      </c>
      <c r="AD216" s="27"/>
      <c r="AE216" s="29" t="str">
        <f aca="false">IF(OR(G216="",G216="なし"),"",IF(AA216="掛金・負担金別",(BA216+BB216+BC216+BE216+BG216+BI216+N(Z216)),IF(AA216="経理区分別",BD216+BE216,"")))</f>
        <v/>
      </c>
      <c r="AF216" s="27"/>
      <c r="AG216" s="29" t="str">
        <f aca="false">IF(OR(G216="",G216="なし"),"",IF(AA216="経理区分別",BF216+BG216,""))</f>
        <v/>
      </c>
      <c r="AH216" s="27"/>
      <c r="AI216" s="29" t="str">
        <f aca="false">IF(OR(G216="",G216="なし"),"",IF(AA216="経理区分別",BH216+BI216+N(Z216),""))</f>
        <v/>
      </c>
      <c r="AJ216" s="27"/>
      <c r="AK216" s="26" t="s">
        <v>168</v>
      </c>
      <c r="AL216" s="26"/>
      <c r="AM216" s="30"/>
      <c r="AN216" s="31"/>
      <c r="AO216" s="31"/>
      <c r="AP216" s="31"/>
      <c r="AQ216" s="31"/>
      <c r="AR216" s="31"/>
      <c r="AS216" s="31"/>
      <c r="AT216" s="31"/>
      <c r="AU216" s="31"/>
      <c r="AV216" s="31"/>
      <c r="AW216" s="31"/>
      <c r="AX216" s="31"/>
      <c r="AY216" s="31" t="n">
        <f aca="false">IF($G216="",AN216,O216)</f>
        <v>0</v>
      </c>
      <c r="AZ216" s="31" t="n">
        <f aca="false">IF($G216="",AO216,P216)</f>
        <v>0</v>
      </c>
      <c r="BA216" s="31" t="n">
        <f aca="false">IF($G216="",AP216,T216)</f>
        <v>1056825</v>
      </c>
      <c r="BB216" s="31" t="n">
        <f aca="false">IF($G216="",AQ216,U216)</f>
        <v>86625</v>
      </c>
      <c r="BC216" s="31" t="n">
        <f aca="false">IF($G216="",AR216,V216)</f>
        <v>1000</v>
      </c>
      <c r="BD216" s="31" t="n">
        <f aca="false">IF($G216="",AS216,Q216)</f>
        <v>0</v>
      </c>
      <c r="BE216" s="31" t="n">
        <f aca="false">IF($G216="",AT216,W216)</f>
        <v>606306</v>
      </c>
      <c r="BF216" s="31" t="n">
        <f aca="false">IF($G216="",AU216,R216)</f>
        <v>0</v>
      </c>
      <c r="BG216" s="31" t="n">
        <f aca="false">IF($G216="",AV216,X216)</f>
        <v>86900</v>
      </c>
      <c r="BH216" s="31" t="n">
        <f aca="false">IF($G216="",AW216,S216)</f>
        <v>0</v>
      </c>
      <c r="BI216" s="31" t="n">
        <f aca="false">IF($G216="",AX216,Y216)</f>
        <v>13430</v>
      </c>
      <c r="BJ216" s="31" t="n">
        <f aca="false">IF(CK216="N",BR216,ROUNDDOWN((I216-L216)*設定!$B$10/1000,0)+ROUNDDOWN((I216-L216)*設定!$B$11/1000,0))</f>
        <v>0</v>
      </c>
      <c r="BK216" s="31" t="n">
        <f aca="false">ROUNDDOWN((I216-L216)*設定!$C$10/1000,0)+ROUNDDOWN((I216-L216)*設定!$C$11/1000,0)+ROUNDDOWN(I216*設定!$C$12/1000,0)+IF(CL216="市局型",ROUNDDOWN(I216*設定!$C$16/1000,0),0)</f>
        <v>0</v>
      </c>
      <c r="BL216" s="31" t="n">
        <f aca="false">IF(CK216="N",BT216,ROUNDDOWN((J216-M216)*設定!$B$13/1000,0))</f>
        <v>0</v>
      </c>
      <c r="BM216" s="31" t="n">
        <f aca="false">ROUNDDOWN((J216-M216)*設定!$C$13/1000,0)+IF(CL216="市局型",ROUNDDOWN(J216*設定!$C$17/1000,0),0)</f>
        <v>0</v>
      </c>
      <c r="BN216" s="31" t="n">
        <f aca="false">IF(CK216="N",BV216,ROUNDDOWN((K216-N216)*設定!$B$14/1000,0))</f>
        <v>0</v>
      </c>
      <c r="BO216" s="31" t="n">
        <f aca="false">ROUNDDOWN((K216-N216)*設定!$C$14/1000,0)</f>
        <v>0</v>
      </c>
      <c r="BP216" s="31" t="n">
        <f aca="false">IF(CK216="N",BX216,ROUNDDOWN((J216-M216)*設定!$B$15/1000,0))</f>
        <v>0</v>
      </c>
      <c r="BQ216" s="31" t="n">
        <f aca="false">ROUNDDOWN((J216-M216)*設定!$C$15/1000,0)</f>
        <v>0</v>
      </c>
      <c r="BR216" s="31" t="n">
        <f aca="false">O216+P216</f>
        <v>0</v>
      </c>
      <c r="BS216" s="31" t="n">
        <f aca="false">T216+U216+V216</f>
        <v>1144450</v>
      </c>
      <c r="BT216" s="31" t="n">
        <f aca="false">Q216</f>
        <v>0</v>
      </c>
      <c r="BU216" s="31" t="n">
        <f aca="false">W216</f>
        <v>606306</v>
      </c>
      <c r="BV216" s="31" t="n">
        <f aca="false">R216</f>
        <v>0</v>
      </c>
      <c r="BW216" s="31" t="n">
        <f aca="false">X216</f>
        <v>86900</v>
      </c>
      <c r="BX216" s="31" t="n">
        <f aca="false">S216</f>
        <v>0</v>
      </c>
      <c r="BY216" s="31" t="n">
        <f aca="false">Y216</f>
        <v>13430</v>
      </c>
      <c r="BZ216" s="32" t="n">
        <f aca="false">IF(BJ216=0,IF(BR216=0,0,1),(BR216-BJ216)/BJ216)</f>
        <v>0</v>
      </c>
      <c r="CA216" s="32" t="n">
        <f aca="false">IF(BK216=0,IF(BS216=0,0,1),(BS216-BK216)/BK216)</f>
        <v>1</v>
      </c>
      <c r="CB216" s="32" t="n">
        <f aca="false">IF(BL216=0,IF(BT216=0,0,1),(BT216-BL216)/BL216)</f>
        <v>0</v>
      </c>
      <c r="CC216" s="32" t="n">
        <f aca="false">IF(BM216=0,IF(BU216=0,0,1),(BU216-BM216)/BM216)</f>
        <v>1</v>
      </c>
      <c r="CD216" s="32" t="n">
        <f aca="false">IF(BN216=0,IF(BV216=0,0,1),(BV216-BN216)/BN216)</f>
        <v>0</v>
      </c>
      <c r="CE216" s="32" t="n">
        <f aca="false">IF(BO216=0,IF(BW216=0,0,1),(BW216-BO216)/BO216)</f>
        <v>1</v>
      </c>
      <c r="CF216" s="32" t="n">
        <f aca="false">IF(BP216=0,IF(BX216=0,0,1),(BX216-BP216)/BP216)</f>
        <v>0</v>
      </c>
      <c r="CG216" s="32" t="n">
        <f aca="false">IF(BQ216=0,IF(BY216=0,0,1),(BY216-BQ216)/BQ216)</f>
        <v>1</v>
      </c>
      <c r="CH216" s="32" t="n">
        <f aca="false">MAX(MAX(BZ216:CG216),-MIN(BZ216:CG216))</f>
        <v>1</v>
      </c>
      <c r="CI216" s="31" t="n">
        <f aca="false">IF(CO216="","",SUMIFS($CJ$7:$CJ$696,$A$7:$A$696,CO216,$B$7:$B$696,B216))</f>
        <v>1846819</v>
      </c>
      <c r="CJ216" s="31" t="n">
        <f aca="false">SUM(AY216:BI216)</f>
        <v>1851086</v>
      </c>
      <c r="CK216" s="31" t="str">
        <f aca="false">IFERROR(INDEX(設定!$F$61:$F$106,MATCH(B216,設定!$B$61:$B$106,0)),"Y")</f>
        <v>N</v>
      </c>
      <c r="CL216" s="31" t="str">
        <f aca="false">IFERROR(INDEX(設定!$G$61:$G$106,MATCH(B216,設定!$B$61:$B$106,0)),"外郭型")</f>
        <v>外郭型</v>
      </c>
      <c r="CM216" s="33" t="str">
        <f aca="false">A216&amp;"|"&amp;B216</f>
        <v>2026-07 月例|文化財団　市長部局</v>
      </c>
      <c r="CN216" s="34" t="str">
        <f aca="false">IFERROR(INDEX(設定!$D$61:$D$106,MATCH(B216,設定!$B$61:$B$106,0)),"Y")</f>
        <v>Y</v>
      </c>
      <c r="CO216" s="34" t="str">
        <f aca="false">IFERROR(INDEX(設定!$D$20:$D$34,MATCH(A216,設定!$A$20:$A$34,0))&amp;"","")</f>
        <v>2026-06 月例</v>
      </c>
    </row>
    <row r="217" customFormat="false" ht="15" hidden="true" customHeight="false" outlineLevel="0" collapsed="false">
      <c r="A217" s="22" t="s">
        <v>220</v>
      </c>
      <c r="B217" s="23" t="s">
        <v>195</v>
      </c>
      <c r="C217" s="10" t="str">
        <f aca="false">IF(G217="","未受領",IF(G217="なし","報告なし",IF(AL217="○","起票済",IF(OR(AK217="○",F217="一致",F217="入金不要"),"入金確認済","受領済"))))</f>
        <v>入金確認済</v>
      </c>
      <c r="D217" s="10" t="str">
        <f aca="false">IF(OR(G217="",G217="なし"),"―",IF(CN217="N","対象外",IF(AND(I217="",J217="",K217=""),"標報未入力",IF(CH217&gt;=設定!$B$4,"要確認","問題なし"))))</f>
        <v>標報未入力</v>
      </c>
      <c r="E217" s="24" t="str">
        <f aca="false">IF(OR(G217="",G217="なし",CI217="",CJ217=0),"―",IF(CJ217=CI217,"前月同額",IF(CI217=0,"―",IF(ABS(CJ217/CI217-1)&gt;=設定!$B$5,"変動大 "&amp;TEXT(CJ217/CI217-1,"+0%;-0%"),"〇"))))</f>
        <v>―</v>
      </c>
      <c r="F217" s="10" t="str">
        <f aca="false">IF(OR(G217="",G217="なし"),"―",IF(CJ217=0,"入金不要",IF(COUNT(AD217,AF217,AH217,AJ217)=0,IF(AK217="○","手動確認","未入金"),IF(AND(N(AD217)=AC217,IF(AE217="",TRUE(),N(AF217)=AE217),IF(AG217="",TRUE(),N(AH217)=AG217),IF(AI217="",TRUE(),N(AJ217)=AI217)),"一致","不一致"))))</f>
        <v>入金不要</v>
      </c>
      <c r="G217" s="25" t="s">
        <v>167</v>
      </c>
      <c r="H217" s="26"/>
      <c r="I217" s="27"/>
      <c r="J217" s="27"/>
      <c r="K217" s="27"/>
      <c r="L217" s="27"/>
      <c r="M217" s="27"/>
      <c r="N217" s="27"/>
      <c r="O217" s="27"/>
      <c r="P217" s="27"/>
      <c r="Q217" s="27"/>
      <c r="R217" s="27"/>
      <c r="S217" s="27"/>
      <c r="T217" s="27" t="n">
        <v>0</v>
      </c>
      <c r="U217" s="27" t="n">
        <v>0</v>
      </c>
      <c r="V217" s="27" t="n">
        <v>0</v>
      </c>
      <c r="W217" s="27" t="n">
        <v>0</v>
      </c>
      <c r="X217" s="27" t="n">
        <v>0</v>
      </c>
      <c r="Y217" s="27" t="n">
        <v>0</v>
      </c>
      <c r="Z217" s="27"/>
      <c r="AA217" s="10" t="str">
        <f aca="false">IFERROR(INDEX(設定!$E$61:$E$106,MATCH(B217,設定!$B$61:$B$106,0)),"合算")</f>
        <v>合算</v>
      </c>
      <c r="AB217" s="28"/>
      <c r="AC217" s="29" t="n">
        <f aca="false">IF(OR(G217="",G217="なし"),"",IF(AA217="合算",CJ217+N(Z217),IF(AA217="掛金・負担金別",(AY217+AZ217+BD217+BF217+BH217),SUM(AY217:BC217))))</f>
        <v>0</v>
      </c>
      <c r="AD217" s="27"/>
      <c r="AE217" s="29" t="str">
        <f aca="false">IF(OR(G217="",G217="なし"),"",IF(AA217="掛金・負担金別",(BA217+BB217+BC217+BE217+BG217+BI217+N(Z217)),IF(AA217="経理区分別",BD217+BE217,"")))</f>
        <v/>
      </c>
      <c r="AF217" s="27"/>
      <c r="AG217" s="29" t="str">
        <f aca="false">IF(OR(G217="",G217="なし"),"",IF(AA217="経理区分別",BF217+BG217,""))</f>
        <v/>
      </c>
      <c r="AH217" s="27"/>
      <c r="AI217" s="29" t="str">
        <f aca="false">IF(OR(G217="",G217="なし"),"",IF(AA217="経理区分別",BH217+BI217+N(Z217),""))</f>
        <v/>
      </c>
      <c r="AJ217" s="27"/>
      <c r="AK217" s="26" t="s">
        <v>168</v>
      </c>
      <c r="AL217" s="26"/>
      <c r="AM217" s="30"/>
      <c r="AN217" s="31"/>
      <c r="AO217" s="31"/>
      <c r="AP217" s="31"/>
      <c r="AQ217" s="31"/>
      <c r="AR217" s="31"/>
      <c r="AS217" s="31"/>
      <c r="AT217" s="31"/>
      <c r="AU217" s="31"/>
      <c r="AV217" s="31"/>
      <c r="AW217" s="31"/>
      <c r="AX217" s="31"/>
      <c r="AY217" s="31" t="n">
        <f aca="false">IF($G217="",AN217,O217)</f>
        <v>0</v>
      </c>
      <c r="AZ217" s="31" t="n">
        <f aca="false">IF($G217="",AO217,P217)</f>
        <v>0</v>
      </c>
      <c r="BA217" s="31" t="n">
        <f aca="false">IF($G217="",AP217,T217)</f>
        <v>0</v>
      </c>
      <c r="BB217" s="31" t="n">
        <f aca="false">IF($G217="",AQ217,U217)</f>
        <v>0</v>
      </c>
      <c r="BC217" s="31" t="n">
        <f aca="false">IF($G217="",AR217,V217)</f>
        <v>0</v>
      </c>
      <c r="BD217" s="31" t="n">
        <f aca="false">IF($G217="",AS217,Q217)</f>
        <v>0</v>
      </c>
      <c r="BE217" s="31" t="n">
        <f aca="false">IF($G217="",AT217,W217)</f>
        <v>0</v>
      </c>
      <c r="BF217" s="31" t="n">
        <f aca="false">IF($G217="",AU217,R217)</f>
        <v>0</v>
      </c>
      <c r="BG217" s="31" t="n">
        <f aca="false">IF($G217="",AV217,X217)</f>
        <v>0</v>
      </c>
      <c r="BH217" s="31" t="n">
        <f aca="false">IF($G217="",AW217,S217)</f>
        <v>0</v>
      </c>
      <c r="BI217" s="31" t="n">
        <f aca="false">IF($G217="",AX217,Y217)</f>
        <v>0</v>
      </c>
      <c r="BJ217" s="31" t="n">
        <f aca="false">IF(CK217="N",BR217,ROUNDDOWN((I217-L217)*設定!$B$10/1000,0)+ROUNDDOWN((I217-L217)*設定!$B$11/1000,0))</f>
        <v>0</v>
      </c>
      <c r="BK217" s="31" t="n">
        <f aca="false">ROUNDDOWN((I217-L217)*設定!$C$10/1000,0)+ROUNDDOWN((I217-L217)*設定!$C$11/1000,0)+ROUNDDOWN(I217*設定!$C$12/1000,0)+IF(CL217="市局型",ROUNDDOWN(I217*設定!$C$16/1000,0),0)</f>
        <v>0</v>
      </c>
      <c r="BL217" s="31" t="n">
        <f aca="false">IF(CK217="N",BT217,ROUNDDOWN((J217-M217)*設定!$B$13/1000,0))</f>
        <v>0</v>
      </c>
      <c r="BM217" s="31" t="n">
        <f aca="false">ROUNDDOWN((J217-M217)*設定!$C$13/1000,0)+IF(CL217="市局型",ROUNDDOWN(J217*設定!$C$17/1000,0),0)</f>
        <v>0</v>
      </c>
      <c r="BN217" s="31" t="n">
        <f aca="false">IF(CK217="N",BV217,ROUNDDOWN((K217-N217)*設定!$B$14/1000,0))</f>
        <v>0</v>
      </c>
      <c r="BO217" s="31" t="n">
        <f aca="false">ROUNDDOWN((K217-N217)*設定!$C$14/1000,0)</f>
        <v>0</v>
      </c>
      <c r="BP217" s="31" t="n">
        <f aca="false">IF(CK217="N",BX217,ROUNDDOWN((J217-M217)*設定!$B$15/1000,0))</f>
        <v>0</v>
      </c>
      <c r="BQ217" s="31" t="n">
        <f aca="false">ROUNDDOWN((J217-M217)*設定!$C$15/1000,0)</f>
        <v>0</v>
      </c>
      <c r="BR217" s="31" t="n">
        <f aca="false">O217+P217</f>
        <v>0</v>
      </c>
      <c r="BS217" s="31" t="n">
        <f aca="false">T217+U217+V217</f>
        <v>0</v>
      </c>
      <c r="BT217" s="31" t="n">
        <f aca="false">Q217</f>
        <v>0</v>
      </c>
      <c r="BU217" s="31" t="n">
        <f aca="false">W217</f>
        <v>0</v>
      </c>
      <c r="BV217" s="31" t="n">
        <f aca="false">R217</f>
        <v>0</v>
      </c>
      <c r="BW217" s="31" t="n">
        <f aca="false">X217</f>
        <v>0</v>
      </c>
      <c r="BX217" s="31" t="n">
        <f aca="false">S217</f>
        <v>0</v>
      </c>
      <c r="BY217" s="31" t="n">
        <f aca="false">Y217</f>
        <v>0</v>
      </c>
      <c r="BZ217" s="32" t="n">
        <f aca="false">IF(BJ217=0,IF(BR217=0,0,1),(BR217-BJ217)/BJ217)</f>
        <v>0</v>
      </c>
      <c r="CA217" s="32" t="n">
        <f aca="false">IF(BK217=0,IF(BS217=0,0,1),(BS217-BK217)/BK217)</f>
        <v>0</v>
      </c>
      <c r="CB217" s="32" t="n">
        <f aca="false">IF(BL217=0,IF(BT217=0,0,1),(BT217-BL217)/BL217)</f>
        <v>0</v>
      </c>
      <c r="CC217" s="32" t="n">
        <f aca="false">IF(BM217=0,IF(BU217=0,0,1),(BU217-BM217)/BM217)</f>
        <v>0</v>
      </c>
      <c r="CD217" s="32" t="n">
        <f aca="false">IF(BN217=0,IF(BV217=0,0,1),(BV217-BN217)/BN217)</f>
        <v>0</v>
      </c>
      <c r="CE217" s="32" t="n">
        <f aca="false">IF(BO217=0,IF(BW217=0,0,1),(BW217-BO217)/BO217)</f>
        <v>0</v>
      </c>
      <c r="CF217" s="32" t="n">
        <f aca="false">IF(BP217=0,IF(BX217=0,0,1),(BX217-BP217)/BP217)</f>
        <v>0</v>
      </c>
      <c r="CG217" s="32" t="n">
        <f aca="false">IF(BQ217=0,IF(BY217=0,0,1),(BY217-BQ217)/BQ217)</f>
        <v>0</v>
      </c>
      <c r="CH217" s="32" t="n">
        <f aca="false">MAX(MAX(BZ217:CG217),-MIN(BZ217:CG217))</f>
        <v>-0</v>
      </c>
      <c r="CI217" s="31" t="n">
        <f aca="false">IF(CO217="","",SUMIFS($CJ$7:$CJ$696,$A$7:$A$696,CO217,$B$7:$B$696,B217))</f>
        <v>0</v>
      </c>
      <c r="CJ217" s="31" t="n">
        <f aca="false">SUM(AY217:BI217)</f>
        <v>0</v>
      </c>
      <c r="CK217" s="31" t="str">
        <f aca="false">IFERROR(INDEX(設定!$F$61:$F$106,MATCH(B217,設定!$B$61:$B$106,0)),"Y")</f>
        <v>N</v>
      </c>
      <c r="CL217" s="31" t="str">
        <f aca="false">IFERROR(INDEX(設定!$G$61:$G$106,MATCH(B217,設定!$B$61:$B$106,0)),"外郭型")</f>
        <v>外郭型</v>
      </c>
      <c r="CM217" s="33" t="str">
        <f aca="false">A217&amp;"|"&amp;B217</f>
        <v>2026-07 月例|文化財団　教育委員会</v>
      </c>
      <c r="CN217" s="34" t="str">
        <f aca="false">IFERROR(INDEX(設定!$D$61:$D$106,MATCH(B217,設定!$B$61:$B$106,0)),"Y")</f>
        <v>Y</v>
      </c>
      <c r="CO217" s="34" t="str">
        <f aca="false">IFERROR(INDEX(設定!$D$20:$D$34,MATCH(A217,設定!$A$20:$A$34,0))&amp;"","")</f>
        <v>2026-06 月例</v>
      </c>
    </row>
    <row r="218" customFormat="false" ht="15" hidden="true" customHeight="false" outlineLevel="0" collapsed="false">
      <c r="A218" s="22" t="s">
        <v>220</v>
      </c>
      <c r="B218" s="23" t="s">
        <v>196</v>
      </c>
      <c r="C218" s="10" t="str">
        <f aca="false">IF(G218="","未受領",IF(G218="なし","報告なし",IF(AL218="○","起票済",IF(OR(AK218="○",F218="一致",F218="入金不要"),"入金確認済","受領済"))))</f>
        <v>入金確認済</v>
      </c>
      <c r="D218" s="10" t="str">
        <f aca="false">IF(OR(G218="",G218="なし"),"―",IF(CN218="N","対象外",IF(AND(I218="",J218="",K218=""),"標報未入力",IF(CH218&gt;=設定!$B$4,"要確認","問題なし"))))</f>
        <v>標報未入力</v>
      </c>
      <c r="E218" s="24" t="str">
        <f aca="false">IF(OR(G218="",G218="なし",CI218="",CJ218=0),"―",IF(CJ218=CI218,"前月同額",IF(CI218=0,"―",IF(ABS(CJ218/CI218-1)&gt;=設定!$B$5,"変動大 "&amp;TEXT(CJ218/CI218-1,"+0%;-0%"),"〇"))))</f>
        <v>〇</v>
      </c>
      <c r="F218" s="10" t="str">
        <f aca="false">IF(OR(G218="",G218="なし"),"―",IF(CJ218=0,"入金不要",IF(COUNT(AD218,AF218,AH218,AJ218)=0,IF(AK218="○","手動確認","未入金"),IF(AND(N(AD218)=AC218,IF(AE218="",TRUE(),N(AF218)=AE218),IF(AG218="",TRUE(),N(AH218)=AG218),IF(AI218="",TRUE(),N(AJ218)=AI218)),"一致","不一致"))))</f>
        <v>手動確認</v>
      </c>
      <c r="G218" s="25" t="s">
        <v>167</v>
      </c>
      <c r="H218" s="26"/>
      <c r="I218" s="27"/>
      <c r="J218" s="27"/>
      <c r="K218" s="27"/>
      <c r="L218" s="27"/>
      <c r="M218" s="27"/>
      <c r="N218" s="27"/>
      <c r="O218" s="27"/>
      <c r="P218" s="27"/>
      <c r="Q218" s="27"/>
      <c r="R218" s="27"/>
      <c r="S218" s="27"/>
      <c r="T218" s="27" t="n">
        <v>405345</v>
      </c>
      <c r="U218" s="27" t="n">
        <v>33225</v>
      </c>
      <c r="V218" s="27" t="n">
        <v>383</v>
      </c>
      <c r="W218" s="27" t="n">
        <v>229960</v>
      </c>
      <c r="X218" s="27" t="n">
        <v>34997</v>
      </c>
      <c r="Y218" s="27" t="n">
        <v>5093</v>
      </c>
      <c r="Z218" s="27"/>
      <c r="AA218" s="10" t="str">
        <f aca="false">IFERROR(INDEX(設定!$E$61:$E$106,MATCH(B218,設定!$B$61:$B$106,0)),"合算")</f>
        <v>合算</v>
      </c>
      <c r="AB218" s="28"/>
      <c r="AC218" s="29" t="n">
        <f aca="false">IF(OR(G218="",G218="なし"),"",IF(AA218="合算",CJ218+N(Z218),IF(AA218="掛金・負担金別",(AY218+AZ218+BD218+BF218+BH218),SUM(AY218:BC218))))</f>
        <v>709003</v>
      </c>
      <c r="AD218" s="27"/>
      <c r="AE218" s="29" t="str">
        <f aca="false">IF(OR(G218="",G218="なし"),"",IF(AA218="掛金・負担金別",(BA218+BB218+BC218+BE218+BG218+BI218+N(Z218)),IF(AA218="経理区分別",BD218+BE218,"")))</f>
        <v/>
      </c>
      <c r="AF218" s="27"/>
      <c r="AG218" s="29" t="str">
        <f aca="false">IF(OR(G218="",G218="なし"),"",IF(AA218="経理区分別",BF218+BG218,""))</f>
        <v/>
      </c>
      <c r="AH218" s="27"/>
      <c r="AI218" s="29" t="str">
        <f aca="false">IF(OR(G218="",G218="なし"),"",IF(AA218="経理区分別",BH218+BI218+N(Z218),""))</f>
        <v/>
      </c>
      <c r="AJ218" s="27"/>
      <c r="AK218" s="26" t="s">
        <v>168</v>
      </c>
      <c r="AL218" s="26"/>
      <c r="AM218" s="30"/>
      <c r="AN218" s="31"/>
      <c r="AO218" s="31"/>
      <c r="AP218" s="31"/>
      <c r="AQ218" s="31"/>
      <c r="AR218" s="31"/>
      <c r="AS218" s="31"/>
      <c r="AT218" s="31"/>
      <c r="AU218" s="31"/>
      <c r="AV218" s="31"/>
      <c r="AW218" s="31"/>
      <c r="AX218" s="31"/>
      <c r="AY218" s="31" t="n">
        <f aca="false">IF($G218="",AN218,O218)</f>
        <v>0</v>
      </c>
      <c r="AZ218" s="31" t="n">
        <f aca="false">IF($G218="",AO218,P218)</f>
        <v>0</v>
      </c>
      <c r="BA218" s="31" t="n">
        <f aca="false">IF($G218="",AP218,T218)</f>
        <v>405345</v>
      </c>
      <c r="BB218" s="31" t="n">
        <f aca="false">IF($G218="",AQ218,U218)</f>
        <v>33225</v>
      </c>
      <c r="BC218" s="31" t="n">
        <f aca="false">IF($G218="",AR218,V218)</f>
        <v>383</v>
      </c>
      <c r="BD218" s="31" t="n">
        <f aca="false">IF($G218="",AS218,Q218)</f>
        <v>0</v>
      </c>
      <c r="BE218" s="31" t="n">
        <f aca="false">IF($G218="",AT218,W218)</f>
        <v>229960</v>
      </c>
      <c r="BF218" s="31" t="n">
        <f aca="false">IF($G218="",AU218,R218)</f>
        <v>0</v>
      </c>
      <c r="BG218" s="31" t="n">
        <f aca="false">IF($G218="",AV218,X218)</f>
        <v>34997</v>
      </c>
      <c r="BH218" s="31" t="n">
        <f aca="false">IF($G218="",AW218,S218)</f>
        <v>0</v>
      </c>
      <c r="BI218" s="31" t="n">
        <f aca="false">IF($G218="",AX218,Y218)</f>
        <v>5093</v>
      </c>
      <c r="BJ218" s="31" t="n">
        <f aca="false">IF(CK218="N",BR218,ROUNDDOWN((I218-L218)*設定!$B$10/1000,0)+ROUNDDOWN((I218-L218)*設定!$B$11/1000,0))</f>
        <v>0</v>
      </c>
      <c r="BK218" s="31" t="n">
        <f aca="false">ROUNDDOWN((I218-L218)*設定!$C$10/1000,0)+ROUNDDOWN((I218-L218)*設定!$C$11/1000,0)+ROUNDDOWN(I218*設定!$C$12/1000,0)+IF(CL218="市局型",ROUNDDOWN(I218*設定!$C$16/1000,0),0)</f>
        <v>0</v>
      </c>
      <c r="BL218" s="31" t="n">
        <f aca="false">IF(CK218="N",BT218,ROUNDDOWN((J218-M218)*設定!$B$13/1000,0))</f>
        <v>0</v>
      </c>
      <c r="BM218" s="31" t="n">
        <f aca="false">ROUNDDOWN((J218-M218)*設定!$C$13/1000,0)+IF(CL218="市局型",ROUNDDOWN(J218*設定!$C$17/1000,0),0)</f>
        <v>0</v>
      </c>
      <c r="BN218" s="31" t="n">
        <f aca="false">IF(CK218="N",BV218,ROUNDDOWN((K218-N218)*設定!$B$14/1000,0))</f>
        <v>0</v>
      </c>
      <c r="BO218" s="31" t="n">
        <f aca="false">ROUNDDOWN((K218-N218)*設定!$C$14/1000,0)</f>
        <v>0</v>
      </c>
      <c r="BP218" s="31" t="n">
        <f aca="false">IF(CK218="N",BX218,ROUNDDOWN((J218-M218)*設定!$B$15/1000,0))</f>
        <v>0</v>
      </c>
      <c r="BQ218" s="31" t="n">
        <f aca="false">ROUNDDOWN((J218-M218)*設定!$C$15/1000,0)</f>
        <v>0</v>
      </c>
      <c r="BR218" s="31" t="n">
        <f aca="false">O218+P218</f>
        <v>0</v>
      </c>
      <c r="BS218" s="31" t="n">
        <f aca="false">T218+U218+V218</f>
        <v>438953</v>
      </c>
      <c r="BT218" s="31" t="n">
        <f aca="false">Q218</f>
        <v>0</v>
      </c>
      <c r="BU218" s="31" t="n">
        <f aca="false">W218</f>
        <v>229960</v>
      </c>
      <c r="BV218" s="31" t="n">
        <f aca="false">R218</f>
        <v>0</v>
      </c>
      <c r="BW218" s="31" t="n">
        <f aca="false">X218</f>
        <v>34997</v>
      </c>
      <c r="BX218" s="31" t="n">
        <f aca="false">S218</f>
        <v>0</v>
      </c>
      <c r="BY218" s="31" t="n">
        <f aca="false">Y218</f>
        <v>5093</v>
      </c>
      <c r="BZ218" s="32" t="n">
        <f aca="false">IF(BJ218=0,IF(BR218=0,0,1),(BR218-BJ218)/BJ218)</f>
        <v>0</v>
      </c>
      <c r="CA218" s="32" t="n">
        <f aca="false">IF(BK218=0,IF(BS218=0,0,1),(BS218-BK218)/BK218)</f>
        <v>1</v>
      </c>
      <c r="CB218" s="32" t="n">
        <f aca="false">IF(BL218=0,IF(BT218=0,0,1),(BT218-BL218)/BL218)</f>
        <v>0</v>
      </c>
      <c r="CC218" s="32" t="n">
        <f aca="false">IF(BM218=0,IF(BU218=0,0,1),(BU218-BM218)/BM218)</f>
        <v>1</v>
      </c>
      <c r="CD218" s="32" t="n">
        <f aca="false">IF(BN218=0,IF(BV218=0,0,1),(BV218-BN218)/BN218)</f>
        <v>0</v>
      </c>
      <c r="CE218" s="32" t="n">
        <f aca="false">IF(BO218=0,IF(BW218=0,0,1),(BW218-BO218)/BO218)</f>
        <v>1</v>
      </c>
      <c r="CF218" s="32" t="n">
        <f aca="false">IF(BP218=0,IF(BX218=0,0,1),(BX218-BP218)/BP218)</f>
        <v>0</v>
      </c>
      <c r="CG218" s="32" t="n">
        <f aca="false">IF(BQ218=0,IF(BY218=0,0,1),(BY218-BQ218)/BQ218)</f>
        <v>1</v>
      </c>
      <c r="CH218" s="32" t="n">
        <f aca="false">MAX(MAX(BZ218:CG218),-MIN(BZ218:CG218))</f>
        <v>1</v>
      </c>
      <c r="CI218" s="31" t="n">
        <f aca="false">IF(CO218="","",SUMIFS($CJ$7:$CJ$696,$A$7:$A$696,CO218,$B$7:$B$696,B218))</f>
        <v>709002</v>
      </c>
      <c r="CJ218" s="31" t="n">
        <f aca="false">SUM(AY218:BI218)</f>
        <v>709003</v>
      </c>
      <c r="CK218" s="31" t="str">
        <f aca="false">IFERROR(INDEX(設定!$F$61:$F$106,MATCH(B218,設定!$B$61:$B$106,0)),"Y")</f>
        <v>N</v>
      </c>
      <c r="CL218" s="31" t="str">
        <f aca="false">IFERROR(INDEX(設定!$G$61:$G$106,MATCH(B218,設定!$B$61:$B$106,0)),"外郭型")</f>
        <v>外郭型</v>
      </c>
      <c r="CM218" s="33" t="str">
        <f aca="false">A218&amp;"|"&amp;B218</f>
        <v>2026-07 月例|みどり生きもの協会</v>
      </c>
      <c r="CN218" s="34" t="str">
        <f aca="false">IFERROR(INDEX(設定!$D$61:$D$106,MATCH(B218,設定!$B$61:$B$106,0)),"Y")</f>
        <v>Y</v>
      </c>
      <c r="CO218" s="34" t="str">
        <f aca="false">IFERROR(INDEX(設定!$D$20:$D$34,MATCH(A218,設定!$A$20:$A$34,0))&amp;"","")</f>
        <v>2026-06 月例</v>
      </c>
    </row>
    <row r="219" customFormat="false" ht="15" hidden="true" customHeight="false" outlineLevel="0" collapsed="false">
      <c r="A219" s="22" t="s">
        <v>220</v>
      </c>
      <c r="B219" s="23" t="s">
        <v>197</v>
      </c>
      <c r="C219" s="10" t="str">
        <f aca="false">IF(G219="","未受領",IF(G219="なし","報告なし",IF(AL219="○","起票済",IF(OR(AK219="○",F219="一致",F219="入金不要"),"入金確認済","受領済"))))</f>
        <v>入金確認済</v>
      </c>
      <c r="D219" s="10" t="str">
        <f aca="false">IF(OR(G219="",G219="なし"),"―",IF(CN219="N","対象外",IF(AND(I219="",J219="",K219=""),"標報未入力",IF(CH219&gt;=設定!$B$4,"要確認","問題なし"))))</f>
        <v>標報未入力</v>
      </c>
      <c r="E219" s="24" t="str">
        <f aca="false">IF(OR(G219="",G219="なし",CI219="",CJ219=0),"―",IF(CJ219=CI219,"前月同額",IF(CI219=0,"―",IF(ABS(CJ219/CI219-1)&gt;=設定!$B$5,"変動大 "&amp;TEXT(CJ219/CI219-1,"+0%;-0%"),"〇"))))</f>
        <v>前月同額</v>
      </c>
      <c r="F219" s="10" t="str">
        <f aca="false">IF(OR(G219="",G219="なし"),"―",IF(CJ219=0,"入金不要",IF(COUNT(AD219,AF219,AH219,AJ219)=0,IF(AK219="○","手動確認","未入金"),IF(AND(N(AD219)=AC219,IF(AE219="",TRUE(),N(AF219)=AE219),IF(AG219="",TRUE(),N(AH219)=AG219),IF(AI219="",TRUE(),N(AJ219)=AI219)),"一致","不一致"))))</f>
        <v>手動確認</v>
      </c>
      <c r="G219" s="25" t="s">
        <v>167</v>
      </c>
      <c r="H219" s="26"/>
      <c r="I219" s="27"/>
      <c r="J219" s="27"/>
      <c r="K219" s="27"/>
      <c r="L219" s="27"/>
      <c r="M219" s="27"/>
      <c r="N219" s="27"/>
      <c r="O219" s="27" t="n">
        <v>148230</v>
      </c>
      <c r="P219" s="27" t="n">
        <v>12150</v>
      </c>
      <c r="Q219" s="27" t="n">
        <v>87123</v>
      </c>
      <c r="R219" s="27" t="n">
        <v>10033</v>
      </c>
      <c r="S219" s="27" t="n">
        <v>1931</v>
      </c>
      <c r="T219" s="27" t="n">
        <v>148230</v>
      </c>
      <c r="U219" s="27" t="n">
        <v>12150</v>
      </c>
      <c r="V219" s="27" t="n">
        <v>140</v>
      </c>
      <c r="W219" s="27" t="n">
        <v>87208</v>
      </c>
      <c r="X219" s="27" t="n">
        <v>10033</v>
      </c>
      <c r="Y219" s="27" t="n">
        <v>1932</v>
      </c>
      <c r="Z219" s="27"/>
      <c r="AA219" s="10" t="str">
        <f aca="false">IFERROR(INDEX(設定!$E$61:$E$106,MATCH(B219,設定!$B$61:$B$106,0)),"合算")</f>
        <v>合算</v>
      </c>
      <c r="AB219" s="28"/>
      <c r="AC219" s="29" t="n">
        <f aca="false">IF(OR(G219="",G219="なし"),"",IF(AA219="合算",CJ219+N(Z219),IF(AA219="掛金・負担金別",(AY219+AZ219+BD219+BF219+BH219),SUM(AY219:BC219))))</f>
        <v>519160</v>
      </c>
      <c r="AD219" s="27"/>
      <c r="AE219" s="29" t="str">
        <f aca="false">IF(OR(G219="",G219="なし"),"",IF(AA219="掛金・負担金別",(BA219+BB219+BC219+BE219+BG219+BI219+N(Z219)),IF(AA219="経理区分別",BD219+BE219,"")))</f>
        <v/>
      </c>
      <c r="AF219" s="27"/>
      <c r="AG219" s="29" t="str">
        <f aca="false">IF(OR(G219="",G219="なし"),"",IF(AA219="経理区分別",BF219+BG219,""))</f>
        <v/>
      </c>
      <c r="AH219" s="27"/>
      <c r="AI219" s="29" t="str">
        <f aca="false">IF(OR(G219="",G219="なし"),"",IF(AA219="経理区分別",BH219+BI219+N(Z219),""))</f>
        <v/>
      </c>
      <c r="AJ219" s="27"/>
      <c r="AK219" s="26" t="s">
        <v>168</v>
      </c>
      <c r="AL219" s="26"/>
      <c r="AM219" s="30"/>
      <c r="AN219" s="31"/>
      <c r="AO219" s="31"/>
      <c r="AP219" s="31"/>
      <c r="AQ219" s="31"/>
      <c r="AR219" s="31"/>
      <c r="AS219" s="31"/>
      <c r="AT219" s="31"/>
      <c r="AU219" s="31"/>
      <c r="AV219" s="31"/>
      <c r="AW219" s="31"/>
      <c r="AX219" s="31"/>
      <c r="AY219" s="31" t="n">
        <f aca="false">IF($G219="",AN219,O219)</f>
        <v>148230</v>
      </c>
      <c r="AZ219" s="31" t="n">
        <f aca="false">IF($G219="",AO219,P219)</f>
        <v>12150</v>
      </c>
      <c r="BA219" s="31" t="n">
        <f aca="false">IF($G219="",AP219,T219)</f>
        <v>148230</v>
      </c>
      <c r="BB219" s="31" t="n">
        <f aca="false">IF($G219="",AQ219,U219)</f>
        <v>12150</v>
      </c>
      <c r="BC219" s="31" t="n">
        <f aca="false">IF($G219="",AR219,V219)</f>
        <v>140</v>
      </c>
      <c r="BD219" s="31" t="n">
        <f aca="false">IF($G219="",AS219,Q219)</f>
        <v>87123</v>
      </c>
      <c r="BE219" s="31" t="n">
        <f aca="false">IF($G219="",AT219,W219)</f>
        <v>87208</v>
      </c>
      <c r="BF219" s="31" t="n">
        <f aca="false">IF($G219="",AU219,R219)</f>
        <v>10033</v>
      </c>
      <c r="BG219" s="31" t="n">
        <f aca="false">IF($G219="",AV219,X219)</f>
        <v>10033</v>
      </c>
      <c r="BH219" s="31" t="n">
        <f aca="false">IF($G219="",AW219,S219)</f>
        <v>1931</v>
      </c>
      <c r="BI219" s="31" t="n">
        <f aca="false">IF($G219="",AX219,Y219)</f>
        <v>1932</v>
      </c>
      <c r="BJ219" s="31" t="n">
        <f aca="false">IF(CK219="N",BR219,ROUNDDOWN((I219-L219)*設定!$B$10/1000,0)+ROUNDDOWN((I219-L219)*設定!$B$11/1000,0))</f>
        <v>0</v>
      </c>
      <c r="BK219" s="31" t="n">
        <f aca="false">ROUNDDOWN((I219-L219)*設定!$C$10/1000,0)+ROUNDDOWN((I219-L219)*設定!$C$11/1000,0)+ROUNDDOWN(I219*設定!$C$12/1000,0)+IF(CL219="市局型",ROUNDDOWN(I219*設定!$C$16/1000,0),0)</f>
        <v>0</v>
      </c>
      <c r="BL219" s="31" t="n">
        <f aca="false">IF(CK219="N",BT219,ROUNDDOWN((J219-M219)*設定!$B$13/1000,0))</f>
        <v>0</v>
      </c>
      <c r="BM219" s="31" t="n">
        <f aca="false">ROUNDDOWN((J219-M219)*設定!$C$13/1000,0)+IF(CL219="市局型",ROUNDDOWN(J219*設定!$C$17/1000,0),0)</f>
        <v>0</v>
      </c>
      <c r="BN219" s="31" t="n">
        <f aca="false">IF(CK219="N",BV219,ROUNDDOWN((K219-N219)*設定!$B$14/1000,0))</f>
        <v>0</v>
      </c>
      <c r="BO219" s="31" t="n">
        <f aca="false">ROUNDDOWN((K219-N219)*設定!$C$14/1000,0)</f>
        <v>0</v>
      </c>
      <c r="BP219" s="31" t="n">
        <f aca="false">IF(CK219="N",BX219,ROUNDDOWN((J219-M219)*設定!$B$15/1000,0))</f>
        <v>0</v>
      </c>
      <c r="BQ219" s="31" t="n">
        <f aca="false">ROUNDDOWN((J219-M219)*設定!$C$15/1000,0)</f>
        <v>0</v>
      </c>
      <c r="BR219" s="31" t="n">
        <f aca="false">O219+P219</f>
        <v>160380</v>
      </c>
      <c r="BS219" s="31" t="n">
        <f aca="false">T219+U219+V219</f>
        <v>160520</v>
      </c>
      <c r="BT219" s="31" t="n">
        <f aca="false">Q219</f>
        <v>87123</v>
      </c>
      <c r="BU219" s="31" t="n">
        <f aca="false">W219</f>
        <v>87208</v>
      </c>
      <c r="BV219" s="31" t="n">
        <f aca="false">R219</f>
        <v>10033</v>
      </c>
      <c r="BW219" s="31" t="n">
        <f aca="false">X219</f>
        <v>10033</v>
      </c>
      <c r="BX219" s="31" t="n">
        <f aca="false">S219</f>
        <v>1931</v>
      </c>
      <c r="BY219" s="31" t="n">
        <f aca="false">Y219</f>
        <v>1932</v>
      </c>
      <c r="BZ219" s="32" t="n">
        <f aca="false">IF(BJ219=0,IF(BR219=0,0,1),(BR219-BJ219)/BJ219)</f>
        <v>1</v>
      </c>
      <c r="CA219" s="32" t="n">
        <f aca="false">IF(BK219=0,IF(BS219=0,0,1),(BS219-BK219)/BK219)</f>
        <v>1</v>
      </c>
      <c r="CB219" s="32" t="n">
        <f aca="false">IF(BL219=0,IF(BT219=0,0,1),(BT219-BL219)/BL219)</f>
        <v>1</v>
      </c>
      <c r="CC219" s="32" t="n">
        <f aca="false">IF(BM219=0,IF(BU219=0,0,1),(BU219-BM219)/BM219)</f>
        <v>1</v>
      </c>
      <c r="CD219" s="32" t="n">
        <f aca="false">IF(BN219=0,IF(BV219=0,0,1),(BV219-BN219)/BN219)</f>
        <v>1</v>
      </c>
      <c r="CE219" s="32" t="n">
        <f aca="false">IF(BO219=0,IF(BW219=0,0,1),(BW219-BO219)/BO219)</f>
        <v>1</v>
      </c>
      <c r="CF219" s="32" t="n">
        <f aca="false">IF(BP219=0,IF(BX219=0,0,1),(BX219-BP219)/BP219)</f>
        <v>1</v>
      </c>
      <c r="CG219" s="32" t="n">
        <f aca="false">IF(BQ219=0,IF(BY219=0,0,1),(BY219-BQ219)/BQ219)</f>
        <v>1</v>
      </c>
      <c r="CH219" s="32" t="n">
        <f aca="false">MAX(MAX(BZ219:CG219),-MIN(BZ219:CG219))</f>
        <v>1</v>
      </c>
      <c r="CI219" s="31" t="n">
        <f aca="false">IF(CO219="","",SUMIFS($CJ$7:$CJ$696,$A$7:$A$696,CO219,$B$7:$B$696,B219))</f>
        <v>519160</v>
      </c>
      <c r="CJ219" s="31" t="n">
        <f aca="false">SUM(AY219:BI219)</f>
        <v>519160</v>
      </c>
      <c r="CK219" s="31" t="str">
        <f aca="false">IFERROR(INDEX(設定!$F$61:$F$106,MATCH(B219,設定!$B$61:$B$106,0)),"Y")</f>
        <v>Y</v>
      </c>
      <c r="CL219" s="31" t="str">
        <f aca="false">IFERROR(INDEX(設定!$G$61:$G$106,MATCH(B219,設定!$B$61:$B$106,0)),"外郭型")</f>
        <v>外郭型</v>
      </c>
      <c r="CM219" s="33" t="str">
        <f aca="false">A219&amp;"|"&amp;B219</f>
        <v>2026-07 月例|県下水道公社</v>
      </c>
      <c r="CN219" s="34" t="str">
        <f aca="false">IFERROR(INDEX(設定!$D$61:$D$106,MATCH(B219,設定!$B$61:$B$106,0)),"Y")</f>
        <v>Y</v>
      </c>
      <c r="CO219" s="34" t="str">
        <f aca="false">IFERROR(INDEX(設定!$D$20:$D$34,MATCH(A219,設定!$A$20:$A$34,0))&amp;"","")</f>
        <v>2026-06 月例</v>
      </c>
    </row>
    <row r="220" customFormat="false" ht="26.85" hidden="true" customHeight="false" outlineLevel="0" collapsed="false">
      <c r="A220" s="22" t="s">
        <v>220</v>
      </c>
      <c r="B220" s="35" t="s">
        <v>198</v>
      </c>
      <c r="C220" s="10" t="str">
        <f aca="false">IF(G220="","未受領",IF(G220="なし","報告なし",IF(AL220="○","起票済",IF(OR(AK220="○",F220="一致",F220="入金不要"),"入金確認済","受領済"))))</f>
        <v>入金確認済</v>
      </c>
      <c r="D220" s="10" t="str">
        <f aca="false">IF(OR(G220="",G220="なし"),"―",IF(CN220="N","対象外",IF(AND(I220="",J220="",K220=""),"標報未入力",IF(CH220&gt;=設定!$B$4,"要確認","問題なし"))))</f>
        <v>標報未入力</v>
      </c>
      <c r="E220" s="24" t="str">
        <f aca="false">IF(OR(G220="",G220="なし",CI220="",CJ220=0),"―",IF(CJ220=CI220,"前月同額",IF(CI220=0,"―",IF(ABS(CJ220/CI220-1)&gt;=設定!$B$5,"変動大 "&amp;TEXT(CJ220/CI220-1,"+0%;-0%"),"〇"))))</f>
        <v>〇</v>
      </c>
      <c r="F220" s="10" t="str">
        <f aca="false">IF(OR(G220="",G220="なし"),"―",IF(CJ220=0,"入金不要",IF(COUNT(AD220,AF220,AH220,AJ220)=0,IF(AK220="○","手動確認","未入金"),IF(AND(N(AD220)=AC220,IF(AE220="",TRUE(),N(AF220)=AE220),IF(AG220="",TRUE(),N(AH220)=AG220),IF(AI220="",TRUE(),N(AJ220)=AI220)),"一致","不一致"))))</f>
        <v>手動確認</v>
      </c>
      <c r="G220" s="25" t="s">
        <v>167</v>
      </c>
      <c r="H220" s="26"/>
      <c r="I220" s="27"/>
      <c r="J220" s="27"/>
      <c r="K220" s="27"/>
      <c r="L220" s="27"/>
      <c r="M220" s="27"/>
      <c r="N220" s="27"/>
      <c r="O220" s="27"/>
      <c r="P220" s="27"/>
      <c r="Q220" s="27"/>
      <c r="R220" s="27"/>
      <c r="S220" s="27"/>
      <c r="T220" s="27" t="n">
        <v>455670</v>
      </c>
      <c r="U220" s="27" t="n">
        <v>37350</v>
      </c>
      <c r="V220" s="27" t="n">
        <v>432</v>
      </c>
      <c r="W220" s="27" t="n">
        <v>267855</v>
      </c>
      <c r="X220" s="27" t="n">
        <v>21725</v>
      </c>
      <c r="Y220" s="27" t="n">
        <v>5934</v>
      </c>
      <c r="Z220" s="27"/>
      <c r="AA220" s="10" t="str">
        <f aca="false">IFERROR(INDEX(設定!$E$61:$E$106,MATCH(B220,設定!$B$61:$B$106,0)),"合算")</f>
        <v>合算</v>
      </c>
      <c r="AB220" s="28"/>
      <c r="AC220" s="29" t="n">
        <f aca="false">IF(OR(G220="",G220="なし"),"",IF(AA220="合算",CJ220+N(Z220),IF(AA220="掛金・負担金別",(AY220+AZ220+BD220+BF220+BH220),SUM(AY220:BC220))))</f>
        <v>788966</v>
      </c>
      <c r="AD220" s="27"/>
      <c r="AE220" s="29" t="str">
        <f aca="false">IF(OR(G220="",G220="なし"),"",IF(AA220="掛金・負担金別",(BA220+BB220+BC220+BE220+BG220+BI220+N(Z220)),IF(AA220="経理区分別",BD220+BE220,"")))</f>
        <v/>
      </c>
      <c r="AF220" s="27"/>
      <c r="AG220" s="29" t="str">
        <f aca="false">IF(OR(G220="",G220="なし"),"",IF(AA220="経理区分別",BF220+BG220,""))</f>
        <v/>
      </c>
      <c r="AH220" s="27"/>
      <c r="AI220" s="29" t="str">
        <f aca="false">IF(OR(G220="",G220="なし"),"",IF(AA220="経理区分別",BH220+BI220+N(Z220),""))</f>
        <v/>
      </c>
      <c r="AJ220" s="27"/>
      <c r="AK220" s="26" t="s">
        <v>168</v>
      </c>
      <c r="AL220" s="26"/>
      <c r="AM220" s="30"/>
      <c r="AN220" s="31"/>
      <c r="AO220" s="31"/>
      <c r="AP220" s="31"/>
      <c r="AQ220" s="31"/>
      <c r="AR220" s="31"/>
      <c r="AS220" s="31"/>
      <c r="AT220" s="31"/>
      <c r="AU220" s="31"/>
      <c r="AV220" s="31"/>
      <c r="AW220" s="31"/>
      <c r="AX220" s="31"/>
      <c r="AY220" s="31" t="n">
        <f aca="false">IF($G220="",AN220,O220)</f>
        <v>0</v>
      </c>
      <c r="AZ220" s="31" t="n">
        <f aca="false">IF($G220="",AO220,P220)</f>
        <v>0</v>
      </c>
      <c r="BA220" s="31" t="n">
        <f aca="false">IF($G220="",AP220,T220)</f>
        <v>455670</v>
      </c>
      <c r="BB220" s="31" t="n">
        <f aca="false">IF($G220="",AQ220,U220)</f>
        <v>37350</v>
      </c>
      <c r="BC220" s="31" t="n">
        <f aca="false">IF($G220="",AR220,V220)</f>
        <v>432</v>
      </c>
      <c r="BD220" s="31" t="n">
        <f aca="false">IF($G220="",AS220,Q220)</f>
        <v>0</v>
      </c>
      <c r="BE220" s="31" t="n">
        <f aca="false">IF($G220="",AT220,W220)</f>
        <v>267855</v>
      </c>
      <c r="BF220" s="31" t="n">
        <f aca="false">IF($G220="",AU220,R220)</f>
        <v>0</v>
      </c>
      <c r="BG220" s="31" t="n">
        <f aca="false">IF($G220="",AV220,X220)</f>
        <v>21725</v>
      </c>
      <c r="BH220" s="31" t="n">
        <f aca="false">IF($G220="",AW220,S220)</f>
        <v>0</v>
      </c>
      <c r="BI220" s="31" t="n">
        <f aca="false">IF($G220="",AX220,Y220)</f>
        <v>5934</v>
      </c>
      <c r="BJ220" s="31" t="n">
        <f aca="false">IF(CK220="N",BR220,ROUNDDOWN((I220-L220)*設定!$B$10/1000,0)+ROUNDDOWN((I220-L220)*設定!$B$11/1000,0))</f>
        <v>0</v>
      </c>
      <c r="BK220" s="31" t="n">
        <f aca="false">ROUNDDOWN((I220-L220)*設定!$C$10/1000,0)+ROUNDDOWN((I220-L220)*設定!$C$11/1000,0)+ROUNDDOWN(I220*設定!$C$12/1000,0)+IF(CL220="市局型",ROUNDDOWN(I220*設定!$C$16/1000,0),0)</f>
        <v>0</v>
      </c>
      <c r="BL220" s="31" t="n">
        <f aca="false">IF(CK220="N",BT220,ROUNDDOWN((J220-M220)*設定!$B$13/1000,0))</f>
        <v>0</v>
      </c>
      <c r="BM220" s="31" t="n">
        <f aca="false">ROUNDDOWN((J220-M220)*設定!$C$13/1000,0)+IF(CL220="市局型",ROUNDDOWN(J220*設定!$C$17/1000,0),0)</f>
        <v>0</v>
      </c>
      <c r="BN220" s="31" t="n">
        <f aca="false">IF(CK220="N",BV220,ROUNDDOWN((K220-N220)*設定!$B$14/1000,0))</f>
        <v>0</v>
      </c>
      <c r="BO220" s="31" t="n">
        <f aca="false">ROUNDDOWN((K220-N220)*設定!$C$14/1000,0)</f>
        <v>0</v>
      </c>
      <c r="BP220" s="31" t="n">
        <f aca="false">IF(CK220="N",BX220,ROUNDDOWN((J220-M220)*設定!$B$15/1000,0))</f>
        <v>0</v>
      </c>
      <c r="BQ220" s="31" t="n">
        <f aca="false">ROUNDDOWN((J220-M220)*設定!$C$15/1000,0)</f>
        <v>0</v>
      </c>
      <c r="BR220" s="31" t="n">
        <f aca="false">O220+P220</f>
        <v>0</v>
      </c>
      <c r="BS220" s="31" t="n">
        <f aca="false">T220+U220+V220</f>
        <v>493452</v>
      </c>
      <c r="BT220" s="31" t="n">
        <f aca="false">Q220</f>
        <v>0</v>
      </c>
      <c r="BU220" s="31" t="n">
        <f aca="false">W220</f>
        <v>267855</v>
      </c>
      <c r="BV220" s="31" t="n">
        <f aca="false">R220</f>
        <v>0</v>
      </c>
      <c r="BW220" s="31" t="n">
        <f aca="false">X220</f>
        <v>21725</v>
      </c>
      <c r="BX220" s="31" t="n">
        <f aca="false">S220</f>
        <v>0</v>
      </c>
      <c r="BY220" s="31" t="n">
        <f aca="false">Y220</f>
        <v>5934</v>
      </c>
      <c r="BZ220" s="32" t="n">
        <f aca="false">IF(BJ220=0,IF(BR220=0,0,1),(BR220-BJ220)/BJ220)</f>
        <v>0</v>
      </c>
      <c r="CA220" s="32" t="n">
        <f aca="false">IF(BK220=0,IF(BS220=0,0,1),(BS220-BK220)/BK220)</f>
        <v>1</v>
      </c>
      <c r="CB220" s="32" t="n">
        <f aca="false">IF(BL220=0,IF(BT220=0,0,1),(BT220-BL220)/BL220)</f>
        <v>0</v>
      </c>
      <c r="CC220" s="32" t="n">
        <f aca="false">IF(BM220=0,IF(BU220=0,0,1),(BU220-BM220)/BM220)</f>
        <v>1</v>
      </c>
      <c r="CD220" s="32" t="n">
        <f aca="false">IF(BN220=0,IF(BV220=0,0,1),(BV220-BN220)/BN220)</f>
        <v>0</v>
      </c>
      <c r="CE220" s="32" t="n">
        <f aca="false">IF(BO220=0,IF(BW220=0,0,1),(BW220-BO220)/BO220)</f>
        <v>1</v>
      </c>
      <c r="CF220" s="32" t="n">
        <f aca="false">IF(BP220=0,IF(BX220=0,0,1),(BX220-BP220)/BP220)</f>
        <v>0</v>
      </c>
      <c r="CG220" s="32" t="n">
        <f aca="false">IF(BQ220=0,IF(BY220=0,0,1),(BY220-BQ220)/BQ220)</f>
        <v>1</v>
      </c>
      <c r="CH220" s="32" t="n">
        <f aca="false">MAX(MAX(BZ220:CG220),-MIN(BZ220:CG220))</f>
        <v>1</v>
      </c>
      <c r="CI220" s="31" t="n">
        <f aca="false">IF(CO220="","",SUMIFS($CJ$7:$CJ$696,$A$7:$A$696,CO220,$B$7:$B$696,B220))</f>
        <v>784089</v>
      </c>
      <c r="CJ220" s="31" t="n">
        <f aca="false">SUM(AY220:BI220)</f>
        <v>788966</v>
      </c>
      <c r="CK220" s="31" t="str">
        <f aca="false">IFERROR(INDEX(設定!$F$61:$F$106,MATCH(B220,設定!$B$61:$B$106,0)),"Y")</f>
        <v>N</v>
      </c>
      <c r="CL220" s="31" t="str">
        <f aca="false">IFERROR(INDEX(設定!$G$61:$G$106,MATCH(B220,設定!$B$61:$B$106,0)),"外郭型")</f>
        <v>外郭型</v>
      </c>
      <c r="CM220" s="36" t="str">
        <f aca="false">A220&amp;"|"&amp;B220</f>
        <v>2026-07 月例|バス協調・共創
プラットフォーム</v>
      </c>
      <c r="CN220" s="34" t="str">
        <f aca="false">IFERROR(INDEX(設定!$D$61:$D$106,MATCH(B220,設定!$B$61:$B$106,0)),"Y")</f>
        <v>Y</v>
      </c>
      <c r="CO220" s="34" t="str">
        <f aca="false">IFERROR(INDEX(設定!$D$20:$D$34,MATCH(A220,設定!$A$20:$A$34,0))&amp;"","")</f>
        <v>2026-06 月例</v>
      </c>
    </row>
    <row r="221" customFormat="false" ht="15" hidden="true" customHeight="false" outlineLevel="0" collapsed="false">
      <c r="A221" s="22" t="s">
        <v>220</v>
      </c>
      <c r="B221" s="23" t="s">
        <v>199</v>
      </c>
      <c r="C221" s="10" t="str">
        <f aca="false">IF(G221="","未受領",IF(G221="なし","報告なし",IF(AL221="○","起票済",IF(OR(AK221="○",F221="一致",F221="入金不要"),"入金確認済","受領済"))))</f>
        <v>入金確認済</v>
      </c>
      <c r="D221" s="10" t="str">
        <f aca="false">IF(OR(G221="",G221="なし"),"―",IF(CN221="N","対象外",IF(AND(I221="",J221="",K221=""),"標報未入力",IF(CH221&gt;=設定!$B$4,"要確認","問題なし"))))</f>
        <v>標報未入力</v>
      </c>
      <c r="E221" s="24" t="str">
        <f aca="false">IF(OR(G221="",G221="なし",CI221="",CJ221=0),"―",IF(CJ221=CI221,"前月同額",IF(CI221=0,"―",IF(ABS(CJ221/CI221-1)&gt;=設定!$B$5,"変動大 "&amp;TEXT(CJ221/CI221-1,"+0%;-0%"),"〇"))))</f>
        <v>前月同額</v>
      </c>
      <c r="F221" s="10" t="str">
        <f aca="false">IF(OR(G221="",G221="なし"),"―",IF(CJ221=0,"入金不要",IF(COUNT(AD221,AF221,AH221,AJ221)=0,IF(AK221="○","手動確認","未入金"),IF(AND(N(AD221)=AC221,IF(AE221="",TRUE(),N(AF221)=AE221),IF(AG221="",TRUE(),N(AH221)=AG221),IF(AI221="",TRUE(),N(AJ221)=AI221)),"一致","不一致"))))</f>
        <v>手動確認</v>
      </c>
      <c r="G221" s="25" t="s">
        <v>167</v>
      </c>
      <c r="H221" s="26"/>
      <c r="I221" s="27"/>
      <c r="J221" s="27"/>
      <c r="K221" s="27"/>
      <c r="L221" s="27"/>
      <c r="M221" s="27"/>
      <c r="N221" s="27"/>
      <c r="O221" s="27" t="n">
        <v>56730</v>
      </c>
      <c r="P221" s="27" t="n">
        <v>4650</v>
      </c>
      <c r="Q221" s="27" t="n">
        <v>32153</v>
      </c>
      <c r="R221" s="27" t="n">
        <v>4898</v>
      </c>
      <c r="S221" s="27" t="n">
        <v>713</v>
      </c>
      <c r="T221" s="27" t="n">
        <v>56730</v>
      </c>
      <c r="U221" s="27" t="n">
        <v>4650</v>
      </c>
      <c r="V221" s="27" t="n">
        <v>53</v>
      </c>
      <c r="W221" s="27" t="n">
        <v>32184</v>
      </c>
      <c r="X221" s="27" t="n">
        <v>4898</v>
      </c>
      <c r="Y221" s="27" t="n">
        <v>713</v>
      </c>
      <c r="Z221" s="27"/>
      <c r="AA221" s="10" t="str">
        <f aca="false">IFERROR(INDEX(設定!$E$61:$E$106,MATCH(B221,設定!$B$61:$B$106,0)),"合算")</f>
        <v>合算</v>
      </c>
      <c r="AB221" s="28"/>
      <c r="AC221" s="29" t="n">
        <f aca="false">IF(OR(G221="",G221="なし"),"",IF(AA221="合算",CJ221+N(Z221),IF(AA221="掛金・負担金別",(AY221+AZ221+BD221+BF221+BH221),SUM(AY221:BC221))))</f>
        <v>198372</v>
      </c>
      <c r="AD221" s="27"/>
      <c r="AE221" s="29" t="str">
        <f aca="false">IF(OR(G221="",G221="なし"),"",IF(AA221="掛金・負担金別",(BA221+BB221+BC221+BE221+BG221+BI221+N(Z221)),IF(AA221="経理区分別",BD221+BE221,"")))</f>
        <v/>
      </c>
      <c r="AF221" s="27"/>
      <c r="AG221" s="29" t="str">
        <f aca="false">IF(OR(G221="",G221="なし"),"",IF(AA221="経理区分別",BF221+BG221,""))</f>
        <v/>
      </c>
      <c r="AH221" s="27"/>
      <c r="AI221" s="29" t="str">
        <f aca="false">IF(OR(G221="",G221="なし"),"",IF(AA221="経理区分別",BH221+BI221+N(Z221),""))</f>
        <v/>
      </c>
      <c r="AJ221" s="27"/>
      <c r="AK221" s="26" t="s">
        <v>168</v>
      </c>
      <c r="AL221" s="26"/>
      <c r="AM221" s="30"/>
      <c r="AN221" s="31"/>
      <c r="AO221" s="31"/>
      <c r="AP221" s="31"/>
      <c r="AQ221" s="31"/>
      <c r="AR221" s="31"/>
      <c r="AS221" s="31"/>
      <c r="AT221" s="31"/>
      <c r="AU221" s="31"/>
      <c r="AV221" s="31"/>
      <c r="AW221" s="31"/>
      <c r="AX221" s="31"/>
      <c r="AY221" s="31" t="n">
        <f aca="false">IF($G221="",AN221,O221)</f>
        <v>56730</v>
      </c>
      <c r="AZ221" s="31" t="n">
        <f aca="false">IF($G221="",AO221,P221)</f>
        <v>4650</v>
      </c>
      <c r="BA221" s="31" t="n">
        <f aca="false">IF($G221="",AP221,T221)</f>
        <v>56730</v>
      </c>
      <c r="BB221" s="31" t="n">
        <f aca="false">IF($G221="",AQ221,U221)</f>
        <v>4650</v>
      </c>
      <c r="BC221" s="31" t="n">
        <f aca="false">IF($G221="",AR221,V221)</f>
        <v>53</v>
      </c>
      <c r="BD221" s="31" t="n">
        <f aca="false">IF($G221="",AS221,Q221)</f>
        <v>32153</v>
      </c>
      <c r="BE221" s="31" t="n">
        <f aca="false">IF($G221="",AT221,W221)</f>
        <v>32184</v>
      </c>
      <c r="BF221" s="31" t="n">
        <f aca="false">IF($G221="",AU221,R221)</f>
        <v>4898</v>
      </c>
      <c r="BG221" s="31" t="n">
        <f aca="false">IF($G221="",AV221,X221)</f>
        <v>4898</v>
      </c>
      <c r="BH221" s="31" t="n">
        <f aca="false">IF($G221="",AW221,S221)</f>
        <v>713</v>
      </c>
      <c r="BI221" s="31" t="n">
        <f aca="false">IF($G221="",AX221,Y221)</f>
        <v>713</v>
      </c>
      <c r="BJ221" s="31" t="n">
        <f aca="false">IF(CK221="N",BR221,ROUNDDOWN((I221-L221)*設定!$B$10/1000,0)+ROUNDDOWN((I221-L221)*設定!$B$11/1000,0))</f>
        <v>0</v>
      </c>
      <c r="BK221" s="31" t="n">
        <f aca="false">ROUNDDOWN((I221-L221)*設定!$C$10/1000,0)+ROUNDDOWN((I221-L221)*設定!$C$11/1000,0)+ROUNDDOWN(I221*設定!$C$12/1000,0)+IF(CL221="市局型",ROUNDDOWN(I221*設定!$C$16/1000,0),0)</f>
        <v>0</v>
      </c>
      <c r="BL221" s="31" t="n">
        <f aca="false">IF(CK221="N",BT221,ROUNDDOWN((J221-M221)*設定!$B$13/1000,0))</f>
        <v>0</v>
      </c>
      <c r="BM221" s="31" t="n">
        <f aca="false">ROUNDDOWN((J221-M221)*設定!$C$13/1000,0)+IF(CL221="市局型",ROUNDDOWN(J221*設定!$C$17/1000,0),0)</f>
        <v>0</v>
      </c>
      <c r="BN221" s="31" t="n">
        <f aca="false">IF(CK221="N",BV221,ROUNDDOWN((K221-N221)*設定!$B$14/1000,0))</f>
        <v>0</v>
      </c>
      <c r="BO221" s="31" t="n">
        <f aca="false">ROUNDDOWN((K221-N221)*設定!$C$14/1000,0)</f>
        <v>0</v>
      </c>
      <c r="BP221" s="31" t="n">
        <f aca="false">IF(CK221="N",BX221,ROUNDDOWN((J221-M221)*設定!$B$15/1000,0))</f>
        <v>0</v>
      </c>
      <c r="BQ221" s="31" t="n">
        <f aca="false">ROUNDDOWN((J221-M221)*設定!$C$15/1000,0)</f>
        <v>0</v>
      </c>
      <c r="BR221" s="31" t="n">
        <f aca="false">O221+P221</f>
        <v>61380</v>
      </c>
      <c r="BS221" s="31" t="n">
        <f aca="false">T221+U221+V221</f>
        <v>61433</v>
      </c>
      <c r="BT221" s="31" t="n">
        <f aca="false">Q221</f>
        <v>32153</v>
      </c>
      <c r="BU221" s="31" t="n">
        <f aca="false">W221</f>
        <v>32184</v>
      </c>
      <c r="BV221" s="31" t="n">
        <f aca="false">R221</f>
        <v>4898</v>
      </c>
      <c r="BW221" s="31" t="n">
        <f aca="false">X221</f>
        <v>4898</v>
      </c>
      <c r="BX221" s="31" t="n">
        <f aca="false">S221</f>
        <v>713</v>
      </c>
      <c r="BY221" s="31" t="n">
        <f aca="false">Y221</f>
        <v>713</v>
      </c>
      <c r="BZ221" s="32" t="n">
        <f aca="false">IF(BJ221=0,IF(BR221=0,0,1),(BR221-BJ221)/BJ221)</f>
        <v>1</v>
      </c>
      <c r="CA221" s="32" t="n">
        <f aca="false">IF(BK221=0,IF(BS221=0,0,1),(BS221-BK221)/BK221)</f>
        <v>1</v>
      </c>
      <c r="CB221" s="32" t="n">
        <f aca="false">IF(BL221=0,IF(BT221=0,0,1),(BT221-BL221)/BL221)</f>
        <v>1</v>
      </c>
      <c r="CC221" s="32" t="n">
        <f aca="false">IF(BM221=0,IF(BU221=0,0,1),(BU221-BM221)/BM221)</f>
        <v>1</v>
      </c>
      <c r="CD221" s="32" t="n">
        <f aca="false">IF(BN221=0,IF(BV221=0,0,1),(BV221-BN221)/BN221)</f>
        <v>1</v>
      </c>
      <c r="CE221" s="32" t="n">
        <f aca="false">IF(BO221=0,IF(BW221=0,0,1),(BW221-BO221)/BO221)</f>
        <v>1</v>
      </c>
      <c r="CF221" s="32" t="n">
        <f aca="false">IF(BP221=0,IF(BX221=0,0,1),(BX221-BP221)/BP221)</f>
        <v>1</v>
      </c>
      <c r="CG221" s="32" t="n">
        <f aca="false">IF(BQ221=0,IF(BY221=0,0,1),(BY221-BQ221)/BQ221)</f>
        <v>1</v>
      </c>
      <c r="CH221" s="32" t="n">
        <f aca="false">MAX(MAX(BZ221:CG221),-MIN(BZ221:CG221))</f>
        <v>1</v>
      </c>
      <c r="CI221" s="31" t="n">
        <f aca="false">IF(CO221="","",SUMIFS($CJ$7:$CJ$696,$A$7:$A$696,CO221,$B$7:$B$696,B221))</f>
        <v>198372</v>
      </c>
      <c r="CJ221" s="31" t="n">
        <f aca="false">SUM(AY221:BI221)</f>
        <v>198372</v>
      </c>
      <c r="CK221" s="31" t="str">
        <f aca="false">IFERROR(INDEX(設定!$F$61:$F$106,MATCH(B221,設定!$B$61:$B$106,0)),"Y")</f>
        <v>Y</v>
      </c>
      <c r="CL221" s="31" t="str">
        <f aca="false">IFERROR(INDEX(設定!$G$61:$G$106,MATCH(B221,設定!$B$61:$B$106,0)),"外郭型")</f>
        <v>外郭型</v>
      </c>
      <c r="CM221" s="33" t="str">
        <f aca="false">A221&amp;"|"&amp;B221</f>
        <v>2026-07 月例|広島県市長会</v>
      </c>
      <c r="CN221" s="34" t="str">
        <f aca="false">IFERROR(INDEX(設定!$D$61:$D$106,MATCH(B221,設定!$B$61:$B$106,0)),"Y")</f>
        <v>Y</v>
      </c>
      <c r="CO221" s="34" t="str">
        <f aca="false">IFERROR(INDEX(設定!$D$20:$D$34,MATCH(A221,設定!$A$20:$A$34,0))&amp;"","")</f>
        <v>2026-06 月例</v>
      </c>
    </row>
    <row r="222" customFormat="false" ht="15" hidden="true" customHeight="false" outlineLevel="0" collapsed="false">
      <c r="A222" s="22" t="s">
        <v>220</v>
      </c>
      <c r="B222" s="23" t="s">
        <v>200</v>
      </c>
      <c r="C222" s="10" t="str">
        <f aca="false">IF(G222="","未受領",IF(G222="なし","報告なし",IF(AL222="○","起票済",IF(OR(AK222="○",F222="一致",F222="入金不要"),"入金確認済","受領済"))))</f>
        <v>入金確認済</v>
      </c>
      <c r="D222" s="10" t="str">
        <f aca="false">IF(OR(G222="",G222="なし"),"―",IF(CN222="N","対象外",IF(AND(I222="",J222="",K222=""),"標報未入力",IF(CH222&gt;=設定!$B$4,"要確認","問題なし"))))</f>
        <v>標報未入力</v>
      </c>
      <c r="E222" s="24" t="str">
        <f aca="false">IF(OR(G222="",G222="なし",CI222="",CJ222=0),"―",IF(CJ222=CI222,"前月同額",IF(CI222=0,"―",IF(ABS(CJ222/CI222-1)&gt;=設定!$B$5,"変動大 "&amp;TEXT(CJ222/CI222-1,"+0%;-0%"),"〇"))))</f>
        <v>前月同額</v>
      </c>
      <c r="F222" s="10" t="str">
        <f aca="false">IF(OR(G222="",G222="なし"),"―",IF(CJ222=0,"入金不要",IF(COUNT(AD222,AF222,AH222,AJ222)=0,IF(AK222="○","手動確認","未入金"),IF(AND(N(AD222)=AC222,IF(AE222="",TRUE(),N(AF222)=AE222),IF(AG222="",TRUE(),N(AH222)=AG222),IF(AI222="",TRUE(),N(AJ222)=AI222)),"一致","不一致"))))</f>
        <v>手動確認</v>
      </c>
      <c r="G222" s="25" t="s">
        <v>167</v>
      </c>
      <c r="H222" s="26"/>
      <c r="I222" s="27"/>
      <c r="J222" s="27"/>
      <c r="K222" s="27"/>
      <c r="L222" s="27"/>
      <c r="M222" s="27"/>
      <c r="N222" s="27"/>
      <c r="O222" s="27" t="n">
        <v>59475</v>
      </c>
      <c r="P222" s="27" t="n">
        <v>4875</v>
      </c>
      <c r="Q222" s="27" t="n">
        <v>38895</v>
      </c>
      <c r="R222" s="27" t="n">
        <v>5925</v>
      </c>
      <c r="S222" s="27" t="n">
        <v>862</v>
      </c>
      <c r="T222" s="27" t="n">
        <v>59475</v>
      </c>
      <c r="U222" s="27" t="n">
        <v>4875</v>
      </c>
      <c r="V222" s="27" t="n">
        <v>56</v>
      </c>
      <c r="W222" s="27" t="n">
        <v>38932</v>
      </c>
      <c r="X222" s="27" t="n">
        <v>5925</v>
      </c>
      <c r="Y222" s="27" t="n">
        <v>862</v>
      </c>
      <c r="Z222" s="27"/>
      <c r="AA222" s="10" t="str">
        <f aca="false">IFERROR(INDEX(設定!$E$61:$E$106,MATCH(B222,設定!$B$61:$B$106,0)),"合算")</f>
        <v>合算</v>
      </c>
      <c r="AB222" s="28"/>
      <c r="AC222" s="29" t="n">
        <f aca="false">IF(OR(G222="",G222="なし"),"",IF(AA222="合算",CJ222+N(Z222),IF(AA222="掛金・負担金別",(AY222+AZ222+BD222+BF222+BH222),SUM(AY222:BC222))))</f>
        <v>220157</v>
      </c>
      <c r="AD222" s="27"/>
      <c r="AE222" s="29" t="str">
        <f aca="false">IF(OR(G222="",G222="なし"),"",IF(AA222="掛金・負担金別",(BA222+BB222+BC222+BE222+BG222+BI222+N(Z222)),IF(AA222="経理区分別",BD222+BE222,"")))</f>
        <v/>
      </c>
      <c r="AF222" s="27"/>
      <c r="AG222" s="29" t="str">
        <f aca="false">IF(OR(G222="",G222="なし"),"",IF(AA222="経理区分別",BF222+BG222,""))</f>
        <v/>
      </c>
      <c r="AH222" s="27"/>
      <c r="AI222" s="29" t="str">
        <f aca="false">IF(OR(G222="",G222="なし"),"",IF(AA222="経理区分別",BH222+BI222+N(Z222),""))</f>
        <v/>
      </c>
      <c r="AJ222" s="27"/>
      <c r="AK222" s="26" t="s">
        <v>168</v>
      </c>
      <c r="AL222" s="26"/>
      <c r="AM222" s="30"/>
      <c r="AN222" s="31"/>
      <c r="AO222" s="31"/>
      <c r="AP222" s="31"/>
      <c r="AQ222" s="31"/>
      <c r="AR222" s="31"/>
      <c r="AS222" s="31"/>
      <c r="AT222" s="31"/>
      <c r="AU222" s="31"/>
      <c r="AV222" s="31"/>
      <c r="AW222" s="31"/>
      <c r="AX222" s="31"/>
      <c r="AY222" s="31" t="n">
        <f aca="false">IF($G222="",AN222,O222)</f>
        <v>59475</v>
      </c>
      <c r="AZ222" s="31" t="n">
        <f aca="false">IF($G222="",AO222,P222)</f>
        <v>4875</v>
      </c>
      <c r="BA222" s="31" t="n">
        <f aca="false">IF($G222="",AP222,T222)</f>
        <v>59475</v>
      </c>
      <c r="BB222" s="31" t="n">
        <f aca="false">IF($G222="",AQ222,U222)</f>
        <v>4875</v>
      </c>
      <c r="BC222" s="31" t="n">
        <f aca="false">IF($G222="",AR222,V222)</f>
        <v>56</v>
      </c>
      <c r="BD222" s="31" t="n">
        <f aca="false">IF($G222="",AS222,Q222)</f>
        <v>38895</v>
      </c>
      <c r="BE222" s="31" t="n">
        <f aca="false">IF($G222="",AT222,W222)</f>
        <v>38932</v>
      </c>
      <c r="BF222" s="31" t="n">
        <f aca="false">IF($G222="",AU222,R222)</f>
        <v>5925</v>
      </c>
      <c r="BG222" s="31" t="n">
        <f aca="false">IF($G222="",AV222,X222)</f>
        <v>5925</v>
      </c>
      <c r="BH222" s="31" t="n">
        <f aca="false">IF($G222="",AW222,S222)</f>
        <v>862</v>
      </c>
      <c r="BI222" s="31" t="n">
        <f aca="false">IF($G222="",AX222,Y222)</f>
        <v>862</v>
      </c>
      <c r="BJ222" s="31" t="n">
        <f aca="false">IF(CK222="N",BR222,ROUNDDOWN((I222-L222)*設定!$B$10/1000,0)+ROUNDDOWN((I222-L222)*設定!$B$11/1000,0))</f>
        <v>0</v>
      </c>
      <c r="BK222" s="31" t="n">
        <f aca="false">ROUNDDOWN((I222-L222)*設定!$C$10/1000,0)+ROUNDDOWN((I222-L222)*設定!$C$11/1000,0)+ROUNDDOWN(I222*設定!$C$12/1000,0)+IF(CL222="市局型",ROUNDDOWN(I222*設定!$C$16/1000,0),0)</f>
        <v>0</v>
      </c>
      <c r="BL222" s="31" t="n">
        <f aca="false">IF(CK222="N",BT222,ROUNDDOWN((J222-M222)*設定!$B$13/1000,0))</f>
        <v>0</v>
      </c>
      <c r="BM222" s="31" t="n">
        <f aca="false">ROUNDDOWN((J222-M222)*設定!$C$13/1000,0)+IF(CL222="市局型",ROUNDDOWN(J222*設定!$C$17/1000,0),0)</f>
        <v>0</v>
      </c>
      <c r="BN222" s="31" t="n">
        <f aca="false">IF(CK222="N",BV222,ROUNDDOWN((K222-N222)*設定!$B$14/1000,0))</f>
        <v>0</v>
      </c>
      <c r="BO222" s="31" t="n">
        <f aca="false">ROUNDDOWN((K222-N222)*設定!$C$14/1000,0)</f>
        <v>0</v>
      </c>
      <c r="BP222" s="31" t="n">
        <f aca="false">IF(CK222="N",BX222,ROUNDDOWN((J222-M222)*設定!$B$15/1000,0))</f>
        <v>0</v>
      </c>
      <c r="BQ222" s="31" t="n">
        <f aca="false">ROUNDDOWN((J222-M222)*設定!$C$15/1000,0)</f>
        <v>0</v>
      </c>
      <c r="BR222" s="31" t="n">
        <f aca="false">O222+P222</f>
        <v>64350</v>
      </c>
      <c r="BS222" s="31" t="n">
        <f aca="false">T222+U222+V222</f>
        <v>64406</v>
      </c>
      <c r="BT222" s="31" t="n">
        <f aca="false">Q222</f>
        <v>38895</v>
      </c>
      <c r="BU222" s="31" t="n">
        <f aca="false">W222</f>
        <v>38932</v>
      </c>
      <c r="BV222" s="31" t="n">
        <f aca="false">R222</f>
        <v>5925</v>
      </c>
      <c r="BW222" s="31" t="n">
        <f aca="false">X222</f>
        <v>5925</v>
      </c>
      <c r="BX222" s="31" t="n">
        <f aca="false">S222</f>
        <v>862</v>
      </c>
      <c r="BY222" s="31" t="n">
        <f aca="false">Y222</f>
        <v>862</v>
      </c>
      <c r="BZ222" s="32" t="n">
        <f aca="false">IF(BJ222=0,IF(BR222=0,0,1),(BR222-BJ222)/BJ222)</f>
        <v>1</v>
      </c>
      <c r="CA222" s="32" t="n">
        <f aca="false">IF(BK222=0,IF(BS222=0,0,1),(BS222-BK222)/BK222)</f>
        <v>1</v>
      </c>
      <c r="CB222" s="32" t="n">
        <f aca="false">IF(BL222=0,IF(BT222=0,0,1),(BT222-BL222)/BL222)</f>
        <v>1</v>
      </c>
      <c r="CC222" s="32" t="n">
        <f aca="false">IF(BM222=0,IF(BU222=0,0,1),(BU222-BM222)/BM222)</f>
        <v>1</v>
      </c>
      <c r="CD222" s="32" t="n">
        <f aca="false">IF(BN222=0,IF(BV222=0,0,1),(BV222-BN222)/BN222)</f>
        <v>1</v>
      </c>
      <c r="CE222" s="32" t="n">
        <f aca="false">IF(BO222=0,IF(BW222=0,0,1),(BW222-BO222)/BO222)</f>
        <v>1</v>
      </c>
      <c r="CF222" s="32" t="n">
        <f aca="false">IF(BP222=0,IF(BX222=0,0,1),(BX222-BP222)/BP222)</f>
        <v>1</v>
      </c>
      <c r="CG222" s="32" t="n">
        <f aca="false">IF(BQ222=0,IF(BY222=0,0,1),(BY222-BQ222)/BQ222)</f>
        <v>1</v>
      </c>
      <c r="CH222" s="32" t="n">
        <f aca="false">MAX(MAX(BZ222:CG222),-MIN(BZ222:CG222))</f>
        <v>1</v>
      </c>
      <c r="CI222" s="31" t="n">
        <f aca="false">IF(CO222="","",SUMIFS($CJ$7:$CJ$696,$A$7:$A$696,CO222,$B$7:$B$696,B222))</f>
        <v>220157</v>
      </c>
      <c r="CJ222" s="31" t="n">
        <f aca="false">SUM(AY222:BI222)</f>
        <v>220157</v>
      </c>
      <c r="CK222" s="31" t="str">
        <f aca="false">IFERROR(INDEX(設定!$F$61:$F$106,MATCH(B222,設定!$B$61:$B$106,0)),"Y")</f>
        <v>Y</v>
      </c>
      <c r="CL222" s="31" t="str">
        <f aca="false">IFERROR(INDEX(設定!$G$61:$G$106,MATCH(B222,設定!$B$61:$B$106,0)),"外郭型")</f>
        <v>外郭型</v>
      </c>
      <c r="CM222" s="33" t="str">
        <f aca="false">A222&amp;"|"&amp;B222</f>
        <v>2026-07 月例|全国市町村研修財団</v>
      </c>
      <c r="CN222" s="34" t="str">
        <f aca="false">IFERROR(INDEX(設定!$D$61:$D$106,MATCH(B222,設定!$B$61:$B$106,0)),"Y")</f>
        <v>Y</v>
      </c>
      <c r="CO222" s="34" t="str">
        <f aca="false">IFERROR(INDEX(設定!$D$20:$D$34,MATCH(A222,設定!$A$20:$A$34,0))&amp;"","")</f>
        <v>2026-06 月例</v>
      </c>
    </row>
    <row r="223" customFormat="false" ht="15" hidden="true" customHeight="false" outlineLevel="0" collapsed="false">
      <c r="A223" s="22" t="s">
        <v>220</v>
      </c>
      <c r="B223" s="23" t="s">
        <v>201</v>
      </c>
      <c r="C223" s="10" t="str">
        <f aca="false">IF(G223="","未受領",IF(G223="なし","報告なし",IF(AL223="○","起票済",IF(OR(AK223="○",F223="一致",F223="入金不要"),"入金確認済","受領済"))))</f>
        <v>入金確認済</v>
      </c>
      <c r="D223" s="10" t="str">
        <f aca="false">IF(OR(G223="",G223="なし"),"―",IF(CN223="N","対象外",IF(AND(I223="",J223="",K223=""),"標報未入力",IF(CH223&gt;=設定!$B$4,"要確認","問題なし"))))</f>
        <v>標報未入力</v>
      </c>
      <c r="E223" s="24" t="str">
        <f aca="false">IF(OR(G223="",G223="なし",CI223="",CJ223=0),"―",IF(CJ223=CI223,"前月同額",IF(CI223=0,"―",IF(ABS(CJ223/CI223-1)&gt;=設定!$B$5,"変動大 "&amp;TEXT(CJ223/CI223-1,"+0%;-0%"),"〇"))))</f>
        <v>変動大 +22%</v>
      </c>
      <c r="F223" s="10" t="str">
        <f aca="false">IF(OR(G223="",G223="なし"),"―",IF(CJ223=0,"入金不要",IF(COUNT(AD223,AF223,AH223,AJ223)=0,IF(AK223="○","手動確認","未入金"),IF(AND(N(AD223)=AC223,IF(AE223="",TRUE(),N(AF223)=AE223),IF(AG223="",TRUE(),N(AH223)=AG223),IF(AI223="",TRUE(),N(AJ223)=AI223)),"一致","不一致"))))</f>
        <v>手動確認</v>
      </c>
      <c r="G223" s="25" t="s">
        <v>167</v>
      </c>
      <c r="H223" s="26"/>
      <c r="I223" s="27"/>
      <c r="J223" s="27"/>
      <c r="K223" s="27"/>
      <c r="L223" s="27"/>
      <c r="M223" s="27"/>
      <c r="N223" s="27"/>
      <c r="O223" s="27" t="n">
        <v>45750</v>
      </c>
      <c r="P223" s="27" t="n">
        <v>3750</v>
      </c>
      <c r="Q223" s="27" t="n">
        <v>25930</v>
      </c>
      <c r="R223" s="27" t="n">
        <v>0</v>
      </c>
      <c r="S223" s="27" t="n">
        <v>575</v>
      </c>
      <c r="T223" s="27" t="n">
        <v>45750</v>
      </c>
      <c r="U223" s="27" t="n">
        <v>3750</v>
      </c>
      <c r="V223" s="27" t="n">
        <v>43</v>
      </c>
      <c r="W223" s="27" t="n">
        <v>25955</v>
      </c>
      <c r="X223" s="27" t="n">
        <v>0</v>
      </c>
      <c r="Y223" s="27" t="n">
        <v>575</v>
      </c>
      <c r="Z223" s="27"/>
      <c r="AA223" s="10" t="str">
        <f aca="false">IFERROR(INDEX(設定!$E$61:$E$106,MATCH(B223,設定!$B$61:$B$106,0)),"合算")</f>
        <v>合算</v>
      </c>
      <c r="AB223" s="28"/>
      <c r="AC223" s="29" t="n">
        <f aca="false">IF(OR(G223="",G223="なし"),"",IF(AA223="合算",CJ223+N(Z223),IF(AA223="掛金・負担金別",(AY223+AZ223+BD223+BF223+BH223),SUM(AY223:BC223))))</f>
        <v>152078</v>
      </c>
      <c r="AD223" s="27"/>
      <c r="AE223" s="29" t="str">
        <f aca="false">IF(OR(G223="",G223="なし"),"",IF(AA223="掛金・負担金別",(BA223+BB223+BC223+BE223+BG223+BI223+N(Z223)),IF(AA223="経理区分別",BD223+BE223,"")))</f>
        <v/>
      </c>
      <c r="AF223" s="27"/>
      <c r="AG223" s="29" t="str">
        <f aca="false">IF(OR(G223="",G223="なし"),"",IF(AA223="経理区分別",BF223+BG223,""))</f>
        <v/>
      </c>
      <c r="AH223" s="27"/>
      <c r="AI223" s="29" t="str">
        <f aca="false">IF(OR(G223="",G223="なし"),"",IF(AA223="経理区分別",BH223+BI223+N(Z223),""))</f>
        <v/>
      </c>
      <c r="AJ223" s="27"/>
      <c r="AK223" s="26" t="s">
        <v>168</v>
      </c>
      <c r="AL223" s="26"/>
      <c r="AM223" s="30"/>
      <c r="AN223" s="31"/>
      <c r="AO223" s="31"/>
      <c r="AP223" s="31"/>
      <c r="AQ223" s="31"/>
      <c r="AR223" s="31"/>
      <c r="AS223" s="31"/>
      <c r="AT223" s="31"/>
      <c r="AU223" s="31"/>
      <c r="AV223" s="31"/>
      <c r="AW223" s="31"/>
      <c r="AX223" s="31"/>
      <c r="AY223" s="31" t="n">
        <f aca="false">IF($G223="",AN223,O223)</f>
        <v>45750</v>
      </c>
      <c r="AZ223" s="31" t="n">
        <f aca="false">IF($G223="",AO223,P223)</f>
        <v>3750</v>
      </c>
      <c r="BA223" s="31" t="n">
        <f aca="false">IF($G223="",AP223,T223)</f>
        <v>45750</v>
      </c>
      <c r="BB223" s="31" t="n">
        <f aca="false">IF($G223="",AQ223,U223)</f>
        <v>3750</v>
      </c>
      <c r="BC223" s="31" t="n">
        <f aca="false">IF($G223="",AR223,V223)</f>
        <v>43</v>
      </c>
      <c r="BD223" s="31" t="n">
        <f aca="false">IF($G223="",AS223,Q223)</f>
        <v>25930</v>
      </c>
      <c r="BE223" s="31" t="n">
        <f aca="false">IF($G223="",AT223,W223)</f>
        <v>25955</v>
      </c>
      <c r="BF223" s="31" t="n">
        <f aca="false">IF($G223="",AU223,R223)</f>
        <v>0</v>
      </c>
      <c r="BG223" s="31" t="n">
        <f aca="false">IF($G223="",AV223,X223)</f>
        <v>0</v>
      </c>
      <c r="BH223" s="31" t="n">
        <f aca="false">IF($G223="",AW223,S223)</f>
        <v>575</v>
      </c>
      <c r="BI223" s="31" t="n">
        <f aca="false">IF($G223="",AX223,Y223)</f>
        <v>575</v>
      </c>
      <c r="BJ223" s="31" t="n">
        <f aca="false">IF(CK223="N",BR223,ROUNDDOWN((I223-L223)*設定!$B$10/1000,0)+ROUNDDOWN((I223-L223)*設定!$B$11/1000,0))</f>
        <v>0</v>
      </c>
      <c r="BK223" s="31" t="n">
        <f aca="false">ROUNDDOWN((I223-L223)*設定!$C$10/1000,0)+ROUNDDOWN((I223-L223)*設定!$C$11/1000,0)+ROUNDDOWN(I223*設定!$C$12/1000,0)+IF(CL223="市局型",ROUNDDOWN(I223*設定!$C$16/1000,0),0)</f>
        <v>0</v>
      </c>
      <c r="BL223" s="31" t="n">
        <f aca="false">IF(CK223="N",BT223,ROUNDDOWN((J223-M223)*設定!$B$13/1000,0))</f>
        <v>0</v>
      </c>
      <c r="BM223" s="31" t="n">
        <f aca="false">ROUNDDOWN((J223-M223)*設定!$C$13/1000,0)+IF(CL223="市局型",ROUNDDOWN(J223*設定!$C$17/1000,0),0)</f>
        <v>0</v>
      </c>
      <c r="BN223" s="31" t="n">
        <f aca="false">IF(CK223="N",BV223,ROUNDDOWN((K223-N223)*設定!$B$14/1000,0))</f>
        <v>0</v>
      </c>
      <c r="BO223" s="31" t="n">
        <f aca="false">ROUNDDOWN((K223-N223)*設定!$C$14/1000,0)</f>
        <v>0</v>
      </c>
      <c r="BP223" s="31" t="n">
        <f aca="false">IF(CK223="N",BX223,ROUNDDOWN((J223-M223)*設定!$B$15/1000,0))</f>
        <v>0</v>
      </c>
      <c r="BQ223" s="31" t="n">
        <f aca="false">ROUNDDOWN((J223-M223)*設定!$C$15/1000,0)</f>
        <v>0</v>
      </c>
      <c r="BR223" s="31" t="n">
        <f aca="false">O223+P223</f>
        <v>49500</v>
      </c>
      <c r="BS223" s="31" t="n">
        <f aca="false">T223+U223+V223</f>
        <v>49543</v>
      </c>
      <c r="BT223" s="31" t="n">
        <f aca="false">Q223</f>
        <v>25930</v>
      </c>
      <c r="BU223" s="31" t="n">
        <f aca="false">W223</f>
        <v>25955</v>
      </c>
      <c r="BV223" s="31" t="n">
        <f aca="false">R223</f>
        <v>0</v>
      </c>
      <c r="BW223" s="31" t="n">
        <f aca="false">X223</f>
        <v>0</v>
      </c>
      <c r="BX223" s="31" t="n">
        <f aca="false">S223</f>
        <v>575</v>
      </c>
      <c r="BY223" s="31" t="n">
        <f aca="false">Y223</f>
        <v>575</v>
      </c>
      <c r="BZ223" s="32" t="n">
        <f aca="false">IF(BJ223=0,IF(BR223=0,0,1),(BR223-BJ223)/BJ223)</f>
        <v>1</v>
      </c>
      <c r="CA223" s="32" t="n">
        <f aca="false">IF(BK223=0,IF(BS223=0,0,1),(BS223-BK223)/BK223)</f>
        <v>1</v>
      </c>
      <c r="CB223" s="32" t="n">
        <f aca="false">IF(BL223=0,IF(BT223=0,0,1),(BT223-BL223)/BL223)</f>
        <v>1</v>
      </c>
      <c r="CC223" s="32" t="n">
        <f aca="false">IF(BM223=0,IF(BU223=0,0,1),(BU223-BM223)/BM223)</f>
        <v>1</v>
      </c>
      <c r="CD223" s="32" t="n">
        <f aca="false">IF(BN223=0,IF(BV223=0,0,1),(BV223-BN223)/BN223)</f>
        <v>0</v>
      </c>
      <c r="CE223" s="32" t="n">
        <f aca="false">IF(BO223=0,IF(BW223=0,0,1),(BW223-BO223)/BO223)</f>
        <v>0</v>
      </c>
      <c r="CF223" s="32" t="n">
        <f aca="false">IF(BP223=0,IF(BX223=0,0,1),(BX223-BP223)/BP223)</f>
        <v>1</v>
      </c>
      <c r="CG223" s="32" t="n">
        <f aca="false">IF(BQ223=0,IF(BY223=0,0,1),(BY223-BQ223)/BQ223)</f>
        <v>1</v>
      </c>
      <c r="CH223" s="32" t="n">
        <f aca="false">MAX(MAX(BZ223:CG223),-MIN(BZ223:CG223))</f>
        <v>1</v>
      </c>
      <c r="CI223" s="31" t="n">
        <f aca="false">IF(CO223="","",SUMIFS($CJ$7:$CJ$696,$A$7:$A$696,CO223,$B$7:$B$696,B223))</f>
        <v>124702</v>
      </c>
      <c r="CJ223" s="31" t="n">
        <f aca="false">SUM(AY223:BI223)</f>
        <v>152078</v>
      </c>
      <c r="CK223" s="31" t="str">
        <f aca="false">IFERROR(INDEX(設定!$F$61:$F$106,MATCH(B223,設定!$B$61:$B$106,0)),"Y")</f>
        <v>Y</v>
      </c>
      <c r="CL223" s="31" t="str">
        <f aca="false">IFERROR(INDEX(設定!$G$61:$G$106,MATCH(B223,設定!$B$61:$B$106,0)),"外郭型")</f>
        <v>外郭型</v>
      </c>
      <c r="CM223" s="33" t="str">
        <f aca="false">A223&amp;"|"&amp;B223</f>
        <v>2026-07 月例|都市再生機構</v>
      </c>
      <c r="CN223" s="34" t="str">
        <f aca="false">IFERROR(INDEX(設定!$D$61:$D$106,MATCH(B223,設定!$B$61:$B$106,0)),"Y")</f>
        <v>Y</v>
      </c>
      <c r="CO223" s="34" t="str">
        <f aca="false">IFERROR(INDEX(設定!$D$20:$D$34,MATCH(A223,設定!$A$20:$A$34,0))&amp;"","")</f>
        <v>2026-06 月例</v>
      </c>
    </row>
    <row r="224" customFormat="false" ht="15" hidden="true" customHeight="false" outlineLevel="0" collapsed="false">
      <c r="A224" s="22" t="s">
        <v>220</v>
      </c>
      <c r="B224" s="23" t="s">
        <v>202</v>
      </c>
      <c r="C224" s="10" t="str">
        <f aca="false">IF(G224="","未受領",IF(G224="なし","報告なし",IF(AL224="○","起票済",IF(OR(AK224="○",F224="一致",F224="入金不要"),"入金確認済","受領済"))))</f>
        <v>入金確認済</v>
      </c>
      <c r="D224" s="10" t="str">
        <f aca="false">IF(OR(G224="",G224="なし"),"―",IF(CN224="N","対象外",IF(AND(I224="",J224="",K224=""),"標報未入力",IF(CH224&gt;=設定!$B$4,"要確認","問題なし"))))</f>
        <v>標報未入力</v>
      </c>
      <c r="E224" s="24" t="str">
        <f aca="false">IF(OR(G224="",G224="なし",CI224="",CJ224=0),"―",IF(CJ224=CI224,"前月同額",IF(CI224=0,"―",IF(ABS(CJ224/CI224-1)&gt;=設定!$B$5,"変動大 "&amp;TEXT(CJ224/CI224-1,"+0%;-0%"),"〇"))))</f>
        <v>〇</v>
      </c>
      <c r="F224" s="10" t="str">
        <f aca="false">IF(OR(G224="",G224="なし"),"―",IF(CJ224=0,"入金不要",IF(COUNT(AD224,AF224,AH224,AJ224)=0,IF(AK224="○","手動確認","未入金"),IF(AND(N(AD224)=AC224,IF(AE224="",TRUE(),N(AF224)=AE224),IF(AG224="",TRUE(),N(AH224)=AG224),IF(AI224="",TRUE(),N(AJ224)=AI224)),"一致","不一致"))))</f>
        <v>手動確認</v>
      </c>
      <c r="G224" s="25" t="s">
        <v>167</v>
      </c>
      <c r="H224" s="26"/>
      <c r="I224" s="27"/>
      <c r="J224" s="27"/>
      <c r="K224" s="27"/>
      <c r="L224" s="27"/>
      <c r="M224" s="27"/>
      <c r="N224" s="27"/>
      <c r="O224" s="27" t="n">
        <v>1231590</v>
      </c>
      <c r="P224" s="27" t="n">
        <v>100950</v>
      </c>
      <c r="Q224" s="27" t="n">
        <v>708914</v>
      </c>
      <c r="R224" s="27" t="n">
        <v>82002</v>
      </c>
      <c r="S224" s="27" t="n">
        <v>15716</v>
      </c>
      <c r="T224" s="27" t="n">
        <v>1231590</v>
      </c>
      <c r="U224" s="27" t="n">
        <v>100950</v>
      </c>
      <c r="V224" s="27" t="n">
        <v>1237</v>
      </c>
      <c r="W224" s="27" t="n">
        <v>709649</v>
      </c>
      <c r="X224" s="27" t="n">
        <v>82002</v>
      </c>
      <c r="Y224" s="27" t="n">
        <v>15720</v>
      </c>
      <c r="Z224" s="27"/>
      <c r="AA224" s="10" t="str">
        <f aca="false">IFERROR(INDEX(設定!$E$61:$E$106,MATCH(B224,設定!$B$61:$B$106,0)),"合算")</f>
        <v>合算</v>
      </c>
      <c r="AB224" s="28"/>
      <c r="AC224" s="29" t="n">
        <f aca="false">IF(OR(G224="",G224="なし"),"",IF(AA224="合算",CJ224+N(Z224),IF(AA224="掛金・負担金別",(AY224+AZ224+BD224+BF224+BH224),SUM(AY224:BC224))))</f>
        <v>4280320</v>
      </c>
      <c r="AD224" s="27"/>
      <c r="AE224" s="29" t="str">
        <f aca="false">IF(OR(G224="",G224="なし"),"",IF(AA224="掛金・負担金別",(BA224+BB224+BC224+BE224+BG224+BI224+N(Z224)),IF(AA224="経理区分別",BD224+BE224,"")))</f>
        <v/>
      </c>
      <c r="AF224" s="27"/>
      <c r="AG224" s="29" t="str">
        <f aca="false">IF(OR(G224="",G224="なし"),"",IF(AA224="経理区分別",BF224+BG224,""))</f>
        <v/>
      </c>
      <c r="AH224" s="27"/>
      <c r="AI224" s="29" t="str">
        <f aca="false">IF(OR(G224="",G224="なし"),"",IF(AA224="経理区分別",BH224+BI224+N(Z224),""))</f>
        <v/>
      </c>
      <c r="AJ224" s="27"/>
      <c r="AK224" s="26" t="s">
        <v>168</v>
      </c>
      <c r="AL224" s="26"/>
      <c r="AM224" s="30"/>
      <c r="AN224" s="31"/>
      <c r="AO224" s="31"/>
      <c r="AP224" s="31"/>
      <c r="AQ224" s="31"/>
      <c r="AR224" s="31"/>
      <c r="AS224" s="31"/>
      <c r="AT224" s="31"/>
      <c r="AU224" s="31"/>
      <c r="AV224" s="31"/>
      <c r="AW224" s="31"/>
      <c r="AX224" s="31"/>
      <c r="AY224" s="31" t="n">
        <f aca="false">IF($G224="",AN224,O224)</f>
        <v>1231590</v>
      </c>
      <c r="AZ224" s="31" t="n">
        <f aca="false">IF($G224="",AO224,P224)</f>
        <v>100950</v>
      </c>
      <c r="BA224" s="31" t="n">
        <f aca="false">IF($G224="",AP224,T224)</f>
        <v>1231590</v>
      </c>
      <c r="BB224" s="31" t="n">
        <f aca="false">IF($G224="",AQ224,U224)</f>
        <v>100950</v>
      </c>
      <c r="BC224" s="31" t="n">
        <f aca="false">IF($G224="",AR224,V224)</f>
        <v>1237</v>
      </c>
      <c r="BD224" s="31" t="n">
        <f aca="false">IF($G224="",AS224,Q224)</f>
        <v>708914</v>
      </c>
      <c r="BE224" s="31" t="n">
        <f aca="false">IF($G224="",AT224,W224)</f>
        <v>709649</v>
      </c>
      <c r="BF224" s="31" t="n">
        <f aca="false">IF($G224="",AU224,R224)</f>
        <v>82002</v>
      </c>
      <c r="BG224" s="31" t="n">
        <f aca="false">IF($G224="",AV224,X224)</f>
        <v>82002</v>
      </c>
      <c r="BH224" s="31" t="n">
        <f aca="false">IF($G224="",AW224,S224)</f>
        <v>15716</v>
      </c>
      <c r="BI224" s="31" t="n">
        <f aca="false">IF($G224="",AX224,Y224)</f>
        <v>15720</v>
      </c>
      <c r="BJ224" s="31" t="n">
        <f aca="false">IF(CK224="N",BR224,ROUNDDOWN((I224-L224)*設定!$B$10/1000,0)+ROUNDDOWN((I224-L224)*設定!$B$11/1000,0))</f>
        <v>0</v>
      </c>
      <c r="BK224" s="31" t="n">
        <f aca="false">ROUNDDOWN((I224-L224)*設定!$C$10/1000,0)+ROUNDDOWN((I224-L224)*設定!$C$11/1000,0)+ROUNDDOWN(I224*設定!$C$12/1000,0)+IF(CL224="市局型",ROUNDDOWN(I224*設定!$C$16/1000,0),0)</f>
        <v>0</v>
      </c>
      <c r="BL224" s="31" t="n">
        <f aca="false">IF(CK224="N",BT224,ROUNDDOWN((J224-M224)*設定!$B$13/1000,0))</f>
        <v>0</v>
      </c>
      <c r="BM224" s="31" t="n">
        <f aca="false">ROUNDDOWN((J224-M224)*設定!$C$13/1000,0)+IF(CL224="市局型",ROUNDDOWN(J224*設定!$C$17/1000,0),0)</f>
        <v>0</v>
      </c>
      <c r="BN224" s="31" t="n">
        <f aca="false">IF(CK224="N",BV224,ROUNDDOWN((K224-N224)*設定!$B$14/1000,0))</f>
        <v>0</v>
      </c>
      <c r="BO224" s="31" t="n">
        <f aca="false">ROUNDDOWN((K224-N224)*設定!$C$14/1000,0)</f>
        <v>0</v>
      </c>
      <c r="BP224" s="31" t="n">
        <f aca="false">IF(CK224="N",BX224,ROUNDDOWN((J224-M224)*設定!$B$15/1000,0))</f>
        <v>0</v>
      </c>
      <c r="BQ224" s="31" t="n">
        <f aca="false">ROUNDDOWN((J224-M224)*設定!$C$15/1000,0)</f>
        <v>0</v>
      </c>
      <c r="BR224" s="31" t="n">
        <f aca="false">O224+P224</f>
        <v>1332540</v>
      </c>
      <c r="BS224" s="31" t="n">
        <f aca="false">T224+U224+V224</f>
        <v>1333777</v>
      </c>
      <c r="BT224" s="31" t="n">
        <f aca="false">Q224</f>
        <v>708914</v>
      </c>
      <c r="BU224" s="31" t="n">
        <f aca="false">W224</f>
        <v>709649</v>
      </c>
      <c r="BV224" s="31" t="n">
        <f aca="false">R224</f>
        <v>82002</v>
      </c>
      <c r="BW224" s="31" t="n">
        <f aca="false">X224</f>
        <v>82002</v>
      </c>
      <c r="BX224" s="31" t="n">
        <f aca="false">S224</f>
        <v>15716</v>
      </c>
      <c r="BY224" s="31" t="n">
        <f aca="false">Y224</f>
        <v>15720</v>
      </c>
      <c r="BZ224" s="32" t="n">
        <f aca="false">IF(BJ224=0,IF(BR224=0,0,1),(BR224-BJ224)/BJ224)</f>
        <v>1</v>
      </c>
      <c r="CA224" s="32" t="n">
        <f aca="false">IF(BK224=0,IF(BS224=0,0,1),(BS224-BK224)/BK224)</f>
        <v>1</v>
      </c>
      <c r="CB224" s="32" t="n">
        <f aca="false">IF(BL224=0,IF(BT224=0,0,1),(BT224-BL224)/BL224)</f>
        <v>1</v>
      </c>
      <c r="CC224" s="32" t="n">
        <f aca="false">IF(BM224=0,IF(BU224=0,0,1),(BU224-BM224)/BM224)</f>
        <v>1</v>
      </c>
      <c r="CD224" s="32" t="n">
        <f aca="false">IF(BN224=0,IF(BV224=0,0,1),(BV224-BN224)/BN224)</f>
        <v>1</v>
      </c>
      <c r="CE224" s="32" t="n">
        <f aca="false">IF(BO224=0,IF(BW224=0,0,1),(BW224-BO224)/BO224)</f>
        <v>1</v>
      </c>
      <c r="CF224" s="32" t="n">
        <f aca="false">IF(BP224=0,IF(BX224=0,0,1),(BX224-BP224)/BP224)</f>
        <v>1</v>
      </c>
      <c r="CG224" s="32" t="n">
        <f aca="false">IF(BQ224=0,IF(BY224=0,0,1),(BY224-BQ224)/BQ224)</f>
        <v>1</v>
      </c>
      <c r="CH224" s="32" t="n">
        <f aca="false">MAX(MAX(BZ224:CG224),-MIN(BZ224:CG224))</f>
        <v>1</v>
      </c>
      <c r="CI224" s="31" t="n">
        <f aca="false">IF(CO224="","",SUMIFS($CJ$7:$CJ$696,$A$7:$A$696,CO224,$B$7:$B$696,B224))</f>
        <v>4172024</v>
      </c>
      <c r="CJ224" s="31" t="n">
        <f aca="false">SUM(AY224:BI224)</f>
        <v>4280320</v>
      </c>
      <c r="CK224" s="31" t="str">
        <f aca="false">IFERROR(INDEX(設定!$F$61:$F$106,MATCH(B224,設定!$B$61:$B$106,0)),"Y")</f>
        <v>Y</v>
      </c>
      <c r="CL224" s="31" t="str">
        <f aca="false">IFERROR(INDEX(設定!$G$61:$G$106,MATCH(B224,設定!$B$61:$B$106,0)),"外郭型")</f>
        <v>外郭型</v>
      </c>
      <c r="CM224" s="33" t="str">
        <f aca="false">A224&amp;"|"&amp;B224</f>
        <v>2026-07 月例|広島市立大学</v>
      </c>
      <c r="CN224" s="34" t="str">
        <f aca="false">IFERROR(INDEX(設定!$D$61:$D$106,MATCH(B224,設定!$B$61:$B$106,0)),"Y")</f>
        <v>Y</v>
      </c>
      <c r="CO224" s="34" t="str">
        <f aca="false">IFERROR(INDEX(設定!$D$20:$D$34,MATCH(A224,設定!$A$20:$A$34,0))&amp;"","")</f>
        <v>2026-06 月例</v>
      </c>
    </row>
    <row r="225" customFormat="false" ht="15" hidden="true" customHeight="false" outlineLevel="0" collapsed="false">
      <c r="A225" s="22" t="s">
        <v>220</v>
      </c>
      <c r="B225" s="23" t="s">
        <v>203</v>
      </c>
      <c r="C225" s="10" t="str">
        <f aca="false">IF(G225="","未受領",IF(G225="なし","報告なし",IF(AL225="○","起票済",IF(OR(AK225="○",F225="一致",F225="入金不要"),"入金確認済","受領済"))))</f>
        <v>入金確認済</v>
      </c>
      <c r="D225" s="10" t="str">
        <f aca="false">IF(OR(G225="",G225="なし"),"―",IF(CN225="N","対象外",IF(AND(I225="",J225="",K225=""),"標報未入力",IF(CH225&gt;=設定!$B$4,"要確認","問題なし"))))</f>
        <v>標報未入力</v>
      </c>
      <c r="E225" s="24" t="str">
        <f aca="false">IF(OR(G225="",G225="なし",CI225="",CJ225=0),"―",IF(CJ225=CI225,"前月同額",IF(CI225=0,"―",IF(ABS(CJ225/CI225-1)&gt;=設定!$B$5,"変動大 "&amp;TEXT(CJ225/CI225-1,"+0%;-0%"),"〇"))))</f>
        <v>〇</v>
      </c>
      <c r="F225" s="10" t="str">
        <f aca="false">IF(OR(G225="",G225="なし"),"―",IF(CJ225=0,"入金不要",IF(COUNT(AD225,AF225,AH225,AJ225)=0,IF(AK225="○","手動確認","未入金"),IF(AND(N(AD225)=AC225,IF(AE225="",TRUE(),N(AF225)=AE225),IF(AG225="",TRUE(),N(AH225)=AG225),IF(AI225="",TRUE(),N(AJ225)=AI225)),"一致","不一致"))))</f>
        <v>手動確認</v>
      </c>
      <c r="G225" s="25" t="s">
        <v>167</v>
      </c>
      <c r="H225" s="26"/>
      <c r="I225" s="27"/>
      <c r="J225" s="27"/>
      <c r="K225" s="27"/>
      <c r="L225" s="27"/>
      <c r="M225" s="27"/>
      <c r="N225" s="27"/>
      <c r="O225" s="27"/>
      <c r="P225" s="27"/>
      <c r="Q225" s="27"/>
      <c r="R225" s="27"/>
      <c r="S225" s="27"/>
      <c r="T225" s="27" t="n">
        <v>256200</v>
      </c>
      <c r="U225" s="27" t="n">
        <v>21000</v>
      </c>
      <c r="V225" s="27" t="n">
        <v>243</v>
      </c>
      <c r="W225" s="27" t="n">
        <v>148462</v>
      </c>
      <c r="X225" s="27" t="n">
        <v>10507</v>
      </c>
      <c r="Y225" s="27" t="n">
        <v>3289</v>
      </c>
      <c r="Z225" s="27"/>
      <c r="AA225" s="10" t="str">
        <f aca="false">IFERROR(INDEX(設定!$E$61:$E$106,MATCH(B225,設定!$B$61:$B$106,0)),"合算")</f>
        <v>合算</v>
      </c>
      <c r="AB225" s="28"/>
      <c r="AC225" s="29" t="n">
        <f aca="false">IF(OR(G225="",G225="なし"),"",IF(AA225="合算",CJ225+N(Z225),IF(AA225="掛金・負担金別",(AY225+AZ225+BD225+BF225+BH225),SUM(AY225:BC225))))</f>
        <v>439701</v>
      </c>
      <c r="AD225" s="27"/>
      <c r="AE225" s="29" t="str">
        <f aca="false">IF(OR(G225="",G225="なし"),"",IF(AA225="掛金・負担金別",(BA225+BB225+BC225+BE225+BG225+BI225+N(Z225)),IF(AA225="経理区分別",BD225+BE225,"")))</f>
        <v/>
      </c>
      <c r="AF225" s="27"/>
      <c r="AG225" s="29" t="str">
        <f aca="false">IF(OR(G225="",G225="なし"),"",IF(AA225="経理区分別",BF225+BG225,""))</f>
        <v/>
      </c>
      <c r="AH225" s="27"/>
      <c r="AI225" s="29" t="str">
        <f aca="false">IF(OR(G225="",G225="なし"),"",IF(AA225="経理区分別",BH225+BI225+N(Z225),""))</f>
        <v/>
      </c>
      <c r="AJ225" s="27"/>
      <c r="AK225" s="26" t="s">
        <v>168</v>
      </c>
      <c r="AL225" s="26"/>
      <c r="AM225" s="30"/>
      <c r="AN225" s="31"/>
      <c r="AO225" s="31"/>
      <c r="AP225" s="31"/>
      <c r="AQ225" s="31"/>
      <c r="AR225" s="31"/>
      <c r="AS225" s="31"/>
      <c r="AT225" s="31"/>
      <c r="AU225" s="31"/>
      <c r="AV225" s="31"/>
      <c r="AW225" s="31"/>
      <c r="AX225" s="31"/>
      <c r="AY225" s="31" t="n">
        <f aca="false">IF($G225="",AN225,O225)</f>
        <v>0</v>
      </c>
      <c r="AZ225" s="31" t="n">
        <f aca="false">IF($G225="",AO225,P225)</f>
        <v>0</v>
      </c>
      <c r="BA225" s="31" t="n">
        <f aca="false">IF($G225="",AP225,T225)</f>
        <v>256200</v>
      </c>
      <c r="BB225" s="31" t="n">
        <f aca="false">IF($G225="",AQ225,U225)</f>
        <v>21000</v>
      </c>
      <c r="BC225" s="31" t="n">
        <f aca="false">IF($G225="",AR225,V225)</f>
        <v>243</v>
      </c>
      <c r="BD225" s="31" t="n">
        <f aca="false">IF($G225="",AS225,Q225)</f>
        <v>0</v>
      </c>
      <c r="BE225" s="31" t="n">
        <f aca="false">IF($G225="",AT225,W225)</f>
        <v>148462</v>
      </c>
      <c r="BF225" s="31" t="n">
        <f aca="false">IF($G225="",AU225,R225)</f>
        <v>0</v>
      </c>
      <c r="BG225" s="31" t="n">
        <f aca="false">IF($G225="",AV225,X225)</f>
        <v>10507</v>
      </c>
      <c r="BH225" s="31" t="n">
        <f aca="false">IF($G225="",AW225,S225)</f>
        <v>0</v>
      </c>
      <c r="BI225" s="31" t="n">
        <f aca="false">IF($G225="",AX225,Y225)</f>
        <v>3289</v>
      </c>
      <c r="BJ225" s="31" t="n">
        <f aca="false">IF(CK225="N",BR225,ROUNDDOWN((I225-L225)*設定!$B$10/1000,0)+ROUNDDOWN((I225-L225)*設定!$B$11/1000,0))</f>
        <v>0</v>
      </c>
      <c r="BK225" s="31" t="n">
        <f aca="false">ROUNDDOWN((I225-L225)*設定!$C$10/1000,0)+ROUNDDOWN((I225-L225)*設定!$C$11/1000,0)+ROUNDDOWN(I225*設定!$C$12/1000,0)+IF(CL225="市局型",ROUNDDOWN(I225*設定!$C$16/1000,0),0)</f>
        <v>0</v>
      </c>
      <c r="BL225" s="31" t="n">
        <f aca="false">IF(CK225="N",BT225,ROUNDDOWN((J225-M225)*設定!$B$13/1000,0))</f>
        <v>0</v>
      </c>
      <c r="BM225" s="31" t="n">
        <f aca="false">ROUNDDOWN((J225-M225)*設定!$C$13/1000,0)+IF(CL225="市局型",ROUNDDOWN(J225*設定!$C$17/1000,0),0)</f>
        <v>0</v>
      </c>
      <c r="BN225" s="31" t="n">
        <f aca="false">IF(CK225="N",BV225,ROUNDDOWN((K225-N225)*設定!$B$14/1000,0))</f>
        <v>0</v>
      </c>
      <c r="BO225" s="31" t="n">
        <f aca="false">ROUNDDOWN((K225-N225)*設定!$C$14/1000,0)</f>
        <v>0</v>
      </c>
      <c r="BP225" s="31" t="n">
        <f aca="false">IF(CK225="N",BX225,ROUNDDOWN((J225-M225)*設定!$B$15/1000,0))</f>
        <v>0</v>
      </c>
      <c r="BQ225" s="31" t="n">
        <f aca="false">ROUNDDOWN((J225-M225)*設定!$C$15/1000,0)</f>
        <v>0</v>
      </c>
      <c r="BR225" s="31" t="n">
        <f aca="false">O225+P225</f>
        <v>0</v>
      </c>
      <c r="BS225" s="31" t="n">
        <f aca="false">T225+U225+V225</f>
        <v>277443</v>
      </c>
      <c r="BT225" s="31" t="n">
        <f aca="false">Q225</f>
        <v>0</v>
      </c>
      <c r="BU225" s="31" t="n">
        <f aca="false">W225</f>
        <v>148462</v>
      </c>
      <c r="BV225" s="31" t="n">
        <f aca="false">R225</f>
        <v>0</v>
      </c>
      <c r="BW225" s="31" t="n">
        <f aca="false">X225</f>
        <v>10507</v>
      </c>
      <c r="BX225" s="31" t="n">
        <f aca="false">S225</f>
        <v>0</v>
      </c>
      <c r="BY225" s="31" t="n">
        <f aca="false">Y225</f>
        <v>3289</v>
      </c>
      <c r="BZ225" s="32" t="n">
        <f aca="false">IF(BJ225=0,IF(BR225=0,0,1),(BR225-BJ225)/BJ225)</f>
        <v>0</v>
      </c>
      <c r="CA225" s="32" t="n">
        <f aca="false">IF(BK225=0,IF(BS225=0,0,1),(BS225-BK225)/BK225)</f>
        <v>1</v>
      </c>
      <c r="CB225" s="32" t="n">
        <f aca="false">IF(BL225=0,IF(BT225=0,0,1),(BT225-BL225)/BL225)</f>
        <v>0</v>
      </c>
      <c r="CC225" s="32" t="n">
        <f aca="false">IF(BM225=0,IF(BU225=0,0,1),(BU225-BM225)/BM225)</f>
        <v>1</v>
      </c>
      <c r="CD225" s="32" t="n">
        <f aca="false">IF(BN225=0,IF(BV225=0,0,1),(BV225-BN225)/BN225)</f>
        <v>0</v>
      </c>
      <c r="CE225" s="32" t="n">
        <f aca="false">IF(BO225=0,IF(BW225=0,0,1),(BW225-BO225)/BO225)</f>
        <v>1</v>
      </c>
      <c r="CF225" s="32" t="n">
        <f aca="false">IF(BP225=0,IF(BX225=0,0,1),(BX225-BP225)/BP225)</f>
        <v>0</v>
      </c>
      <c r="CG225" s="32" t="n">
        <f aca="false">IF(BQ225=0,IF(BY225=0,0,1),(BY225-BQ225)/BQ225)</f>
        <v>1</v>
      </c>
      <c r="CH225" s="32" t="n">
        <f aca="false">MAX(MAX(BZ225:CG225),-MIN(BZ225:CG225))</f>
        <v>1</v>
      </c>
      <c r="CI225" s="31" t="n">
        <f aca="false">IF(CO225="","",SUMIFS($CJ$7:$CJ$696,$A$7:$A$696,CO225,$B$7:$B$696,B225))</f>
        <v>416879</v>
      </c>
      <c r="CJ225" s="31" t="n">
        <f aca="false">SUM(AY225:BI225)</f>
        <v>439701</v>
      </c>
      <c r="CK225" s="31" t="str">
        <f aca="false">IFERROR(INDEX(設定!$F$61:$F$106,MATCH(B225,設定!$B$61:$B$106,0)),"Y")</f>
        <v>N</v>
      </c>
      <c r="CL225" s="31" t="str">
        <f aca="false">IFERROR(INDEX(設定!$G$61:$G$106,MATCH(B225,設定!$B$61:$B$106,0)),"外郭型")</f>
        <v>外郭型</v>
      </c>
      <c r="CM225" s="33" t="str">
        <f aca="false">A225&amp;"|"&amp;B225</f>
        <v>2026-07 月例|社会福祉協議会</v>
      </c>
      <c r="CN225" s="34" t="str">
        <f aca="false">IFERROR(INDEX(設定!$D$61:$D$106,MATCH(B225,設定!$B$61:$B$106,0)),"Y")</f>
        <v>Y</v>
      </c>
      <c r="CO225" s="34" t="str">
        <f aca="false">IFERROR(INDEX(設定!$D$20:$D$34,MATCH(A225,設定!$A$20:$A$34,0))&amp;"","")</f>
        <v>2026-06 月例</v>
      </c>
    </row>
    <row r="226" customFormat="false" ht="15" hidden="true" customHeight="false" outlineLevel="0" collapsed="false">
      <c r="A226" s="22" t="s">
        <v>220</v>
      </c>
      <c r="B226" s="23" t="s">
        <v>204</v>
      </c>
      <c r="C226" s="10" t="str">
        <f aca="false">IF(G226="","未受領",IF(G226="なし","報告なし",IF(AL226="○","起票済",IF(OR(AK226="○",F226="一致",F226="入金不要"),"入金確認済","受領済"))))</f>
        <v>入金確認済</v>
      </c>
      <c r="D226" s="10" t="str">
        <f aca="false">IF(OR(G226="",G226="なし"),"―",IF(CN226="N","対象外",IF(AND(I226="",J226="",K226=""),"標報未入力",IF(CH226&gt;=設定!$B$4,"要確認","問題なし"))))</f>
        <v>対象外</v>
      </c>
      <c r="E226" s="24" t="str">
        <f aca="false">IF(OR(G226="",G226="なし",CI226="",CJ226=0),"―",IF(CJ226=CI226,"前月同額",IF(CI226=0,"―",IF(ABS(CJ226/CI226-1)&gt;=設定!$B$5,"変動大 "&amp;TEXT(CJ226/CI226-1,"+0%;-0%"),"〇"))))</f>
        <v>〇</v>
      </c>
      <c r="F226" s="10" t="str">
        <f aca="false">IF(OR(G226="",G226="なし"),"―",IF(CJ226=0,"入金不要",IF(COUNT(AD226,AF226,AH226,AJ226)=0,IF(AK226="○","手動確認","未入金"),IF(AND(N(AD226)=AC226,IF(AE226="",TRUE(),N(AF226)=AE226),IF(AG226="",TRUE(),N(AH226)=AG226),IF(AI226="",TRUE(),N(AJ226)=AI226)),"一致","不一致"))))</f>
        <v>手動確認</v>
      </c>
      <c r="G226" s="25" t="s">
        <v>167</v>
      </c>
      <c r="H226" s="26"/>
      <c r="I226" s="27"/>
      <c r="J226" s="27"/>
      <c r="K226" s="27"/>
      <c r="L226" s="27"/>
      <c r="M226" s="27"/>
      <c r="N226" s="27"/>
      <c r="O226" s="27" t="n">
        <v>127522361</v>
      </c>
      <c r="P226" s="27" t="n">
        <v>10450553</v>
      </c>
      <c r="Q226" s="27" t="n">
        <v>94661023</v>
      </c>
      <c r="R226" s="27" t="n">
        <v>8045644</v>
      </c>
      <c r="S226" s="27" t="n">
        <v>2098459</v>
      </c>
      <c r="T226" s="27" t="n">
        <v>186040804</v>
      </c>
      <c r="U226" s="27" t="n">
        <v>10450553</v>
      </c>
      <c r="V226" s="27" t="n">
        <v>127229</v>
      </c>
      <c r="W226" s="27" t="n">
        <v>94767454</v>
      </c>
      <c r="X226" s="27" t="n">
        <v>8045644</v>
      </c>
      <c r="Y226" s="27" t="n">
        <v>2098458</v>
      </c>
      <c r="Z226" s="27"/>
      <c r="AA226" s="10" t="str">
        <f aca="false">IFERROR(INDEX(設定!$E$61:$E$106,MATCH(B226,設定!$B$61:$B$106,0)),"合算")</f>
        <v>合算</v>
      </c>
      <c r="AB226" s="28"/>
      <c r="AC226" s="29" t="n">
        <f aca="false">IF(OR(G226="",G226="なし"),"",IF(AA226="合算",CJ226+N(Z226),IF(AA226="掛金・負担金別",(AY226+AZ226+BD226+BF226+BH226),SUM(AY226:BC226))))</f>
        <v>544308182</v>
      </c>
      <c r="AD226" s="27"/>
      <c r="AE226" s="29" t="str">
        <f aca="false">IF(OR(G226="",G226="なし"),"",IF(AA226="掛金・負担金別",(BA226+BB226+BC226+BE226+BG226+BI226+N(Z226)),IF(AA226="経理区分別",BD226+BE226,"")))</f>
        <v/>
      </c>
      <c r="AF226" s="27"/>
      <c r="AG226" s="29" t="str">
        <f aca="false">IF(OR(G226="",G226="なし"),"",IF(AA226="経理区分別",BF226+BG226,""))</f>
        <v/>
      </c>
      <c r="AH226" s="27"/>
      <c r="AI226" s="29" t="str">
        <f aca="false">IF(OR(G226="",G226="なし"),"",IF(AA226="経理区分別",BH226+BI226+N(Z226),""))</f>
        <v/>
      </c>
      <c r="AJ226" s="27"/>
      <c r="AK226" s="26" t="s">
        <v>168</v>
      </c>
      <c r="AL226" s="26"/>
      <c r="AM226" s="30"/>
      <c r="AN226" s="31"/>
      <c r="AO226" s="31"/>
      <c r="AP226" s="31"/>
      <c r="AQ226" s="31"/>
      <c r="AR226" s="31"/>
      <c r="AS226" s="31"/>
      <c r="AT226" s="31"/>
      <c r="AU226" s="31"/>
      <c r="AV226" s="31"/>
      <c r="AW226" s="31"/>
      <c r="AX226" s="31"/>
      <c r="AY226" s="31" t="n">
        <f aca="false">IF($G226="",AN226,O226)</f>
        <v>127522361</v>
      </c>
      <c r="AZ226" s="31" t="n">
        <f aca="false">IF($G226="",AO226,P226)</f>
        <v>10450553</v>
      </c>
      <c r="BA226" s="31" t="n">
        <f aca="false">IF($G226="",AP226,T226)</f>
        <v>186040804</v>
      </c>
      <c r="BB226" s="31" t="n">
        <f aca="false">IF($G226="",AQ226,U226)</f>
        <v>10450553</v>
      </c>
      <c r="BC226" s="31" t="n">
        <f aca="false">IF($G226="",AR226,V226)</f>
        <v>127229</v>
      </c>
      <c r="BD226" s="31" t="n">
        <f aca="false">IF($G226="",AS226,Q226)</f>
        <v>94661023</v>
      </c>
      <c r="BE226" s="31" t="n">
        <f aca="false">IF($G226="",AT226,W226)</f>
        <v>94767454</v>
      </c>
      <c r="BF226" s="31" t="n">
        <f aca="false">IF($G226="",AU226,R226)</f>
        <v>8045644</v>
      </c>
      <c r="BG226" s="31" t="n">
        <f aca="false">IF($G226="",AV226,X226)</f>
        <v>8045644</v>
      </c>
      <c r="BH226" s="31" t="n">
        <f aca="false">IF($G226="",AW226,S226)</f>
        <v>2098459</v>
      </c>
      <c r="BI226" s="31" t="n">
        <f aca="false">IF($G226="",AX226,Y226)</f>
        <v>2098458</v>
      </c>
      <c r="BJ226" s="31" t="n">
        <f aca="false">IF(CK226="N",BR226,ROUNDDOWN((I226-L226)*設定!$B$10/1000,0)+ROUNDDOWN((I226-L226)*設定!$B$11/1000,0))</f>
        <v>0</v>
      </c>
      <c r="BK226" s="31" t="n">
        <f aca="false">ROUNDDOWN((I226-L226)*設定!$C$10/1000,0)+ROUNDDOWN((I226-L226)*設定!$C$11/1000,0)+ROUNDDOWN(I226*設定!$C$12/1000,0)+IF(CL226="市局型",ROUNDDOWN(I226*設定!$C$16/1000,0),0)</f>
        <v>0</v>
      </c>
      <c r="BL226" s="31" t="n">
        <f aca="false">IF(CK226="N",BT226,ROUNDDOWN((J226-M226)*設定!$B$13/1000,0))</f>
        <v>0</v>
      </c>
      <c r="BM226" s="31" t="n">
        <f aca="false">ROUNDDOWN((J226-M226)*設定!$C$13/1000,0)+IF(CL226="市局型",ROUNDDOWN(J226*設定!$C$17/1000,0),0)</f>
        <v>0</v>
      </c>
      <c r="BN226" s="31" t="n">
        <f aca="false">IF(CK226="N",BV226,ROUNDDOWN((K226-N226)*設定!$B$14/1000,0))</f>
        <v>0</v>
      </c>
      <c r="BO226" s="31" t="n">
        <f aca="false">ROUNDDOWN((K226-N226)*設定!$C$14/1000,0)</f>
        <v>0</v>
      </c>
      <c r="BP226" s="31" t="n">
        <f aca="false">IF(CK226="N",BX226,ROUNDDOWN((J226-M226)*設定!$B$15/1000,0))</f>
        <v>0</v>
      </c>
      <c r="BQ226" s="31" t="n">
        <f aca="false">ROUNDDOWN((J226-M226)*設定!$C$15/1000,0)</f>
        <v>0</v>
      </c>
      <c r="BR226" s="31" t="n">
        <f aca="false">O226+P226</f>
        <v>137972914</v>
      </c>
      <c r="BS226" s="31" t="n">
        <f aca="false">T226+U226+V226</f>
        <v>196618586</v>
      </c>
      <c r="BT226" s="31" t="n">
        <f aca="false">Q226</f>
        <v>94661023</v>
      </c>
      <c r="BU226" s="31" t="n">
        <f aca="false">W226</f>
        <v>94767454</v>
      </c>
      <c r="BV226" s="31" t="n">
        <f aca="false">R226</f>
        <v>8045644</v>
      </c>
      <c r="BW226" s="31" t="n">
        <f aca="false">X226</f>
        <v>8045644</v>
      </c>
      <c r="BX226" s="31" t="n">
        <f aca="false">S226</f>
        <v>2098459</v>
      </c>
      <c r="BY226" s="31" t="n">
        <f aca="false">Y226</f>
        <v>2098458</v>
      </c>
      <c r="BZ226" s="32" t="n">
        <f aca="false">IF(BJ226=0,IF(BR226=0,0,1),(BR226-BJ226)/BJ226)</f>
        <v>1</v>
      </c>
      <c r="CA226" s="32" t="n">
        <f aca="false">IF(BK226=0,IF(BS226=0,0,1),(BS226-BK226)/BK226)</f>
        <v>1</v>
      </c>
      <c r="CB226" s="32" t="n">
        <f aca="false">IF(BL226=0,IF(BT226=0,0,1),(BT226-BL226)/BL226)</f>
        <v>1</v>
      </c>
      <c r="CC226" s="32" t="n">
        <f aca="false">IF(BM226=0,IF(BU226=0,0,1),(BU226-BM226)/BM226)</f>
        <v>1</v>
      </c>
      <c r="CD226" s="32" t="n">
        <f aca="false">IF(BN226=0,IF(BV226=0,0,1),(BV226-BN226)/BN226)</f>
        <v>1</v>
      </c>
      <c r="CE226" s="32" t="n">
        <f aca="false">IF(BO226=0,IF(BW226=0,0,1),(BW226-BO226)/BO226)</f>
        <v>1</v>
      </c>
      <c r="CF226" s="32" t="n">
        <f aca="false">IF(BP226=0,IF(BX226=0,0,1),(BX226-BP226)/BP226)</f>
        <v>1</v>
      </c>
      <c r="CG226" s="32" t="n">
        <f aca="false">IF(BQ226=0,IF(BY226=0,0,1),(BY226-BQ226)/BQ226)</f>
        <v>1</v>
      </c>
      <c r="CH226" s="32" t="n">
        <f aca="false">MAX(MAX(BZ226:CG226),-MIN(BZ226:CG226))</f>
        <v>1</v>
      </c>
      <c r="CI226" s="31" t="n">
        <f aca="false">IF(CO226="","",SUMIFS($CJ$7:$CJ$696,$A$7:$A$696,CO226,$B$7:$B$696,B226))</f>
        <v>542685336</v>
      </c>
      <c r="CJ226" s="31" t="n">
        <f aca="false">SUM(AY226:BI226)</f>
        <v>544308182</v>
      </c>
      <c r="CK226" s="31" t="str">
        <f aca="false">IFERROR(INDEX(設定!$F$61:$F$106,MATCH(B226,設定!$B$61:$B$106,0)),"Y")</f>
        <v>Y</v>
      </c>
      <c r="CL226" s="31" t="str">
        <f aca="false">IFERROR(INDEX(設定!$G$61:$G$106,MATCH(B226,設定!$B$61:$B$106,0)),"外郭型")</f>
        <v>外郭型</v>
      </c>
      <c r="CM226" s="33" t="str">
        <f aca="false">A226&amp;"|"&amp;B226</f>
        <v>2026-07 月例|市立病院機構</v>
      </c>
      <c r="CN226" s="34" t="str">
        <f aca="false">IFERROR(INDEX(設定!$D$61:$D$106,MATCH(B226,設定!$B$61:$B$106,0)),"Y")</f>
        <v>N</v>
      </c>
      <c r="CO226" s="34" t="str">
        <f aca="false">IFERROR(INDEX(設定!$D$20:$D$34,MATCH(A226,設定!$A$20:$A$34,0))&amp;"","")</f>
        <v>2026-06 月例</v>
      </c>
    </row>
    <row r="227" customFormat="false" ht="15" hidden="true" customHeight="false" outlineLevel="0" collapsed="false">
      <c r="A227" s="22" t="s">
        <v>220</v>
      </c>
      <c r="B227" s="23" t="s">
        <v>205</v>
      </c>
      <c r="C227" s="10" t="str">
        <f aca="false">IF(G227="","未受領",IF(G227="なし","報告なし",IF(AL227="○","起票済",IF(OR(AK227="○",F227="一致",F227="入金不要"),"入金確認済","受領済"))))</f>
        <v>入金確認済</v>
      </c>
      <c r="D227" s="10" t="str">
        <f aca="false">IF(OR(G227="",G227="なし"),"―",IF(CN227="N","対象外",IF(AND(I227="",J227="",K227=""),"標報未入力",IF(CH227&gt;=設定!$B$4,"要確認","問題なし"))))</f>
        <v>対象外</v>
      </c>
      <c r="E227" s="24" t="str">
        <f aca="false">IF(OR(G227="",G227="なし",CI227="",CJ227=0),"―",IF(CJ227=CI227,"前月同額",IF(CI227=0,"―",IF(ABS(CJ227/CI227-1)&gt;=設定!$B$5,"変動大 "&amp;TEXT(CJ227/CI227-1,"+0%;-0%"),"〇"))))</f>
        <v>前月同額</v>
      </c>
      <c r="F227" s="10" t="str">
        <f aca="false">IF(OR(G227="",G227="なし"),"―",IF(CJ227=0,"入金不要",IF(COUNT(AD227,AF227,AH227,AJ227)=0,IF(AK227="○","手動確認","未入金"),IF(AND(N(AD227)=AC227,IF(AE227="",TRUE(),N(AF227)=AE227),IF(AG227="",TRUE(),N(AH227)=AG227),IF(AI227="",TRUE(),N(AJ227)=AI227)),"一致","不一致"))))</f>
        <v>手動確認</v>
      </c>
      <c r="G227" s="25" t="s">
        <v>167</v>
      </c>
      <c r="H227" s="26"/>
      <c r="I227" s="27"/>
      <c r="J227" s="27"/>
      <c r="K227" s="27"/>
      <c r="L227" s="27"/>
      <c r="M227" s="27"/>
      <c r="N227" s="27"/>
      <c r="O227" s="27"/>
      <c r="P227" s="27"/>
      <c r="Q227" s="27" t="n">
        <v>104755</v>
      </c>
      <c r="R227" s="27" t="n">
        <v>11060</v>
      </c>
      <c r="S227" s="27" t="n">
        <v>2321</v>
      </c>
      <c r="T227" s="27"/>
      <c r="U227" s="27"/>
      <c r="V227" s="27"/>
      <c r="W227" s="27" t="n">
        <v>104857</v>
      </c>
      <c r="X227" s="27" t="n">
        <v>11060</v>
      </c>
      <c r="Y227" s="27" t="n">
        <v>2322</v>
      </c>
      <c r="Z227" s="27"/>
      <c r="AA227" s="10" t="str">
        <f aca="false">IFERROR(INDEX(設定!$E$61:$E$106,MATCH(B227,設定!$B$61:$B$106,0)),"合算")</f>
        <v>合算</v>
      </c>
      <c r="AB227" s="28"/>
      <c r="AC227" s="29" t="n">
        <f aca="false">IF(OR(G227="",G227="なし"),"",IF(AA227="合算",CJ227+N(Z227),IF(AA227="掛金・負担金別",(AY227+AZ227+BD227+BF227+BH227),SUM(AY227:BC227))))</f>
        <v>236375</v>
      </c>
      <c r="AD227" s="27"/>
      <c r="AE227" s="29" t="str">
        <f aca="false">IF(OR(G227="",G227="なし"),"",IF(AA227="掛金・負担金別",(BA227+BB227+BC227+BE227+BG227+BI227+N(Z227)),IF(AA227="経理区分別",BD227+BE227,"")))</f>
        <v/>
      </c>
      <c r="AF227" s="27"/>
      <c r="AG227" s="29" t="str">
        <f aca="false">IF(OR(G227="",G227="なし"),"",IF(AA227="経理区分別",BF227+BG227,""))</f>
        <v/>
      </c>
      <c r="AH227" s="27"/>
      <c r="AI227" s="29" t="str">
        <f aca="false">IF(OR(G227="",G227="なし"),"",IF(AA227="経理区分別",BH227+BI227+N(Z227),""))</f>
        <v/>
      </c>
      <c r="AJ227" s="27"/>
      <c r="AK227" s="26" t="s">
        <v>168</v>
      </c>
      <c r="AL227" s="26"/>
      <c r="AM227" s="30"/>
      <c r="AN227" s="31"/>
      <c r="AO227" s="31"/>
      <c r="AP227" s="31"/>
      <c r="AQ227" s="31"/>
      <c r="AR227" s="31"/>
      <c r="AS227" s="31"/>
      <c r="AT227" s="31"/>
      <c r="AU227" s="31"/>
      <c r="AV227" s="31"/>
      <c r="AW227" s="31"/>
      <c r="AX227" s="31"/>
      <c r="AY227" s="31" t="n">
        <f aca="false">IF($G227="",AN227,O227)</f>
        <v>0</v>
      </c>
      <c r="AZ227" s="31" t="n">
        <f aca="false">IF($G227="",AO227,P227)</f>
        <v>0</v>
      </c>
      <c r="BA227" s="31" t="n">
        <f aca="false">IF($G227="",AP227,T227)</f>
        <v>0</v>
      </c>
      <c r="BB227" s="31" t="n">
        <f aca="false">IF($G227="",AQ227,U227)</f>
        <v>0</v>
      </c>
      <c r="BC227" s="31" t="n">
        <f aca="false">IF($G227="",AR227,V227)</f>
        <v>0</v>
      </c>
      <c r="BD227" s="31" t="n">
        <f aca="false">IF($G227="",AS227,Q227)</f>
        <v>104755</v>
      </c>
      <c r="BE227" s="31" t="n">
        <f aca="false">IF($G227="",AT227,W227)</f>
        <v>104857</v>
      </c>
      <c r="BF227" s="31" t="n">
        <f aca="false">IF($G227="",AU227,R227)</f>
        <v>11060</v>
      </c>
      <c r="BG227" s="31" t="n">
        <f aca="false">IF($G227="",AV227,X227)</f>
        <v>11060</v>
      </c>
      <c r="BH227" s="31" t="n">
        <f aca="false">IF($G227="",AW227,S227)</f>
        <v>2321</v>
      </c>
      <c r="BI227" s="31" t="n">
        <f aca="false">IF($G227="",AX227,Y227)</f>
        <v>2322</v>
      </c>
      <c r="BJ227" s="31" t="n">
        <f aca="false">IF(CK227="N",BR227,ROUNDDOWN((I227-L227)*設定!$B$10/1000,0)+ROUNDDOWN((I227-L227)*設定!$B$11/1000,0))</f>
        <v>0</v>
      </c>
      <c r="BK227" s="31" t="n">
        <f aca="false">ROUNDDOWN((I227-L227)*設定!$C$10/1000,0)+ROUNDDOWN((I227-L227)*設定!$C$11/1000,0)+ROUNDDOWN(I227*設定!$C$12/1000,0)+IF(CL227="市局型",ROUNDDOWN(I227*設定!$C$16/1000,0),0)</f>
        <v>0</v>
      </c>
      <c r="BL227" s="31" t="n">
        <f aca="false">IF(CK227="N",BT227,ROUNDDOWN((J227-M227)*設定!$B$13/1000,0))</f>
        <v>0</v>
      </c>
      <c r="BM227" s="31" t="n">
        <f aca="false">ROUNDDOWN((J227-M227)*設定!$C$13/1000,0)+IF(CL227="市局型",ROUNDDOWN(J227*設定!$C$17/1000,0),0)</f>
        <v>0</v>
      </c>
      <c r="BN227" s="31" t="n">
        <f aca="false">IF(CK227="N",BV227,ROUNDDOWN((K227-N227)*設定!$B$14/1000,0))</f>
        <v>0</v>
      </c>
      <c r="BO227" s="31" t="n">
        <f aca="false">ROUNDDOWN((K227-N227)*設定!$C$14/1000,0)</f>
        <v>0</v>
      </c>
      <c r="BP227" s="31" t="n">
        <f aca="false">IF(CK227="N",BX227,ROUNDDOWN((J227-M227)*設定!$B$15/1000,0))</f>
        <v>0</v>
      </c>
      <c r="BQ227" s="31" t="n">
        <f aca="false">ROUNDDOWN((J227-M227)*設定!$C$15/1000,0)</f>
        <v>0</v>
      </c>
      <c r="BR227" s="31" t="n">
        <f aca="false">O227+P227</f>
        <v>0</v>
      </c>
      <c r="BS227" s="31" t="n">
        <f aca="false">T227+U227+V227</f>
        <v>0</v>
      </c>
      <c r="BT227" s="31" t="n">
        <f aca="false">Q227</f>
        <v>104755</v>
      </c>
      <c r="BU227" s="31" t="n">
        <f aca="false">W227</f>
        <v>104857</v>
      </c>
      <c r="BV227" s="31" t="n">
        <f aca="false">R227</f>
        <v>11060</v>
      </c>
      <c r="BW227" s="31" t="n">
        <f aca="false">X227</f>
        <v>11060</v>
      </c>
      <c r="BX227" s="31" t="n">
        <f aca="false">S227</f>
        <v>2321</v>
      </c>
      <c r="BY227" s="31" t="n">
        <f aca="false">Y227</f>
        <v>2322</v>
      </c>
      <c r="BZ227" s="32" t="n">
        <f aca="false">IF(BJ227=0,IF(BR227=0,0,1),(BR227-BJ227)/BJ227)</f>
        <v>0</v>
      </c>
      <c r="CA227" s="32" t="n">
        <f aca="false">IF(BK227=0,IF(BS227=0,0,1),(BS227-BK227)/BK227)</f>
        <v>0</v>
      </c>
      <c r="CB227" s="32" t="n">
        <f aca="false">IF(BL227=0,IF(BT227=0,0,1),(BT227-BL227)/BL227)</f>
        <v>1</v>
      </c>
      <c r="CC227" s="32" t="n">
        <f aca="false">IF(BM227=0,IF(BU227=0,0,1),(BU227-BM227)/BM227)</f>
        <v>1</v>
      </c>
      <c r="CD227" s="32" t="n">
        <f aca="false">IF(BN227=0,IF(BV227=0,0,1),(BV227-BN227)/BN227)</f>
        <v>1</v>
      </c>
      <c r="CE227" s="32" t="n">
        <f aca="false">IF(BO227=0,IF(BW227=0,0,1),(BW227-BO227)/BO227)</f>
        <v>1</v>
      </c>
      <c r="CF227" s="32" t="n">
        <f aca="false">IF(BP227=0,IF(BX227=0,0,1),(BX227-BP227)/BP227)</f>
        <v>1</v>
      </c>
      <c r="CG227" s="32" t="n">
        <f aca="false">IF(BQ227=0,IF(BY227=0,0,1),(BY227-BQ227)/BQ227)</f>
        <v>1</v>
      </c>
      <c r="CH227" s="32" t="n">
        <f aca="false">MAX(MAX(BZ227:CG227),-MIN(BZ227:CG227))</f>
        <v>1</v>
      </c>
      <c r="CI227" s="31" t="n">
        <f aca="false">IF(CO227="","",SUMIFS($CJ$7:$CJ$696,$A$7:$A$696,CO227,$B$7:$B$696,B227))</f>
        <v>236375</v>
      </c>
      <c r="CJ227" s="31" t="n">
        <f aca="false">SUM(AY227:BI227)</f>
        <v>236375</v>
      </c>
      <c r="CK227" s="31" t="str">
        <f aca="false">IFERROR(INDEX(設定!$F$61:$F$106,MATCH(B227,設定!$B$61:$B$106,0)),"Y")</f>
        <v>Y</v>
      </c>
      <c r="CL227" s="31" t="str">
        <f aca="false">IFERROR(INDEX(設定!$G$61:$G$106,MATCH(B227,設定!$B$61:$B$106,0)),"外郭型")</f>
        <v>外郭型</v>
      </c>
      <c r="CM227" s="33" t="str">
        <f aca="false">A227&amp;"|"&amp;B227</f>
        <v>2026-07 月例|職員共済組合</v>
      </c>
      <c r="CN227" s="34" t="str">
        <f aca="false">IFERROR(INDEX(設定!$D$61:$D$106,MATCH(B227,設定!$B$61:$B$106,0)),"Y")</f>
        <v>N</v>
      </c>
      <c r="CO227" s="34" t="str">
        <f aca="false">IFERROR(INDEX(設定!$D$20:$D$34,MATCH(A227,設定!$A$20:$A$34,0))&amp;"","")</f>
        <v>2026-06 月例</v>
      </c>
    </row>
    <row r="228" customFormat="false" ht="26.85" hidden="true" customHeight="false" outlineLevel="0" collapsed="false">
      <c r="A228" s="22" t="s">
        <v>220</v>
      </c>
      <c r="B228" s="35" t="s">
        <v>216</v>
      </c>
      <c r="C228" s="10" t="str">
        <f aca="false">IF(G228="","未受領",IF(G228="なし","報告なし",IF(AL228="○","起票済",IF(OR(AK228="○",F228="一致",F228="入金不要"),"入金確認済","受領済"))))</f>
        <v>報告なし</v>
      </c>
      <c r="D228" s="10" t="str">
        <f aca="false">IF(OR(G228="",G228="なし"),"―",IF(CN228="N","対象外",IF(AND(I228="",J228="",K228=""),"標報未入力",IF(CH228&gt;=設定!$B$4,"要確認","問題なし"))))</f>
        <v>―</v>
      </c>
      <c r="E228" s="24" t="str">
        <f aca="false">IF(OR(G228="",G228="なし",CI228="",CJ228=0),"―",IF(CJ228=CI228,"前月同額",IF(CI228=0,"―",IF(ABS(CJ228/CI228-1)&gt;=設定!$B$5,"変動大 "&amp;TEXT(CJ228/CI228-1,"+0%;-0%"),"〇"))))</f>
        <v>―</v>
      </c>
      <c r="F228" s="10" t="str">
        <f aca="false">IF(OR(G228="",G228="なし"),"―",IF(CJ228=0,"入金不要",IF(COUNT(AD228,AF228,AH228,AJ228)=0,IF(AK228="○","手動確認","未入金"),IF(AND(N(AD228)=AC228,IF(AE228="",TRUE(),N(AF228)=AE228),IF(AG228="",TRUE(),N(AH228)=AG228),IF(AI228="",TRUE(),N(AJ228)=AI228)),"一致","不一致"))))</f>
        <v>―</v>
      </c>
      <c r="G228" s="25" t="s">
        <v>181</v>
      </c>
      <c r="H228" s="26"/>
      <c r="I228" s="27"/>
      <c r="J228" s="27"/>
      <c r="K228" s="27"/>
      <c r="L228" s="27"/>
      <c r="M228" s="27"/>
      <c r="N228" s="27"/>
      <c r="O228" s="27"/>
      <c r="P228" s="27"/>
      <c r="Q228" s="27"/>
      <c r="R228" s="27"/>
      <c r="S228" s="27"/>
      <c r="T228" s="27"/>
      <c r="U228" s="27"/>
      <c r="V228" s="27"/>
      <c r="W228" s="27"/>
      <c r="X228" s="27"/>
      <c r="Y228" s="27"/>
      <c r="Z228" s="27"/>
      <c r="AA228" s="10" t="str">
        <f aca="false">IFERROR(INDEX(設定!$E$61:$E$106,MATCH(B228,設定!$B$61:$B$106,0)),"合算")</f>
        <v>合算</v>
      </c>
      <c r="AB228" s="28"/>
      <c r="AC228" s="29" t="str">
        <f aca="false">IF(OR(G228="",G228="なし"),"",IF(AA228="合算",CJ228+N(Z228),IF(AA228="掛金・負担金別",(AY228+AZ228+BD228+BF228+BH228),SUM(AY228:BC228))))</f>
        <v/>
      </c>
      <c r="AD228" s="27"/>
      <c r="AE228" s="29" t="str">
        <f aca="false">IF(OR(G228="",G228="なし"),"",IF(AA228="掛金・負担金別",(BA228+BB228+BC228+BE228+BG228+BI228+N(Z228)),IF(AA228="経理区分別",BD228+BE228,"")))</f>
        <v/>
      </c>
      <c r="AF228" s="27"/>
      <c r="AG228" s="29" t="str">
        <f aca="false">IF(OR(G228="",G228="なし"),"",IF(AA228="経理区分別",BF228+BG228,""))</f>
        <v/>
      </c>
      <c r="AH228" s="27"/>
      <c r="AI228" s="29" t="str">
        <f aca="false">IF(OR(G228="",G228="なし"),"",IF(AA228="経理区分別",BH228+BI228+N(Z228),""))</f>
        <v/>
      </c>
      <c r="AJ228" s="27"/>
      <c r="AK228" s="26"/>
      <c r="AL228" s="26"/>
      <c r="AM228" s="30"/>
      <c r="AN228" s="31"/>
      <c r="AO228" s="31"/>
      <c r="AP228" s="31"/>
      <c r="AQ228" s="31"/>
      <c r="AR228" s="31"/>
      <c r="AS228" s="31"/>
      <c r="AT228" s="31"/>
      <c r="AU228" s="31"/>
      <c r="AV228" s="31"/>
      <c r="AW228" s="31"/>
      <c r="AX228" s="31"/>
      <c r="AY228" s="31" t="n">
        <f aca="false">IF($G228="",AN228,O228)</f>
        <v>0</v>
      </c>
      <c r="AZ228" s="31" t="n">
        <f aca="false">IF($G228="",AO228,P228)</f>
        <v>0</v>
      </c>
      <c r="BA228" s="31" t="n">
        <f aca="false">IF($G228="",AP228,T228)</f>
        <v>0</v>
      </c>
      <c r="BB228" s="31" t="n">
        <f aca="false">IF($G228="",AQ228,U228)</f>
        <v>0</v>
      </c>
      <c r="BC228" s="31" t="n">
        <f aca="false">IF($G228="",AR228,V228)</f>
        <v>0</v>
      </c>
      <c r="BD228" s="31" t="n">
        <f aca="false">IF($G228="",AS228,Q228)</f>
        <v>0</v>
      </c>
      <c r="BE228" s="31" t="n">
        <f aca="false">IF($G228="",AT228,W228)</f>
        <v>0</v>
      </c>
      <c r="BF228" s="31" t="n">
        <f aca="false">IF($G228="",AU228,R228)</f>
        <v>0</v>
      </c>
      <c r="BG228" s="31" t="n">
        <f aca="false">IF($G228="",AV228,X228)</f>
        <v>0</v>
      </c>
      <c r="BH228" s="31" t="n">
        <f aca="false">IF($G228="",AW228,S228)</f>
        <v>0</v>
      </c>
      <c r="BI228" s="31" t="n">
        <f aca="false">IF($G228="",AX228,Y228)</f>
        <v>0</v>
      </c>
      <c r="BJ228" s="31" t="n">
        <f aca="false">IF(CK228="N",BR228,ROUNDDOWN((I228-L228)*設定!$B$10/1000,0)+ROUNDDOWN((I228-L228)*設定!$B$11/1000,0))</f>
        <v>0</v>
      </c>
      <c r="BK228" s="31" t="n">
        <f aca="false">ROUNDDOWN((I228-L228)*設定!$C$10/1000,0)+ROUNDDOWN((I228-L228)*設定!$C$11/1000,0)+ROUNDDOWN(I228*設定!$C$12/1000,0)+IF(CL228="市局型",ROUNDDOWN(I228*設定!$C$16/1000,0),0)</f>
        <v>0</v>
      </c>
      <c r="BL228" s="31" t="n">
        <f aca="false">IF(CK228="N",BT228,ROUNDDOWN((J228-M228)*設定!$B$13/1000,0))</f>
        <v>0</v>
      </c>
      <c r="BM228" s="31" t="n">
        <f aca="false">ROUNDDOWN((J228-M228)*設定!$C$13/1000,0)+IF(CL228="市局型",ROUNDDOWN(J228*設定!$C$17/1000,0),0)</f>
        <v>0</v>
      </c>
      <c r="BN228" s="31" t="n">
        <f aca="false">IF(CK228="N",BV228,ROUNDDOWN((K228-N228)*設定!$B$14/1000,0))</f>
        <v>0</v>
      </c>
      <c r="BO228" s="31" t="n">
        <f aca="false">ROUNDDOWN((K228-N228)*設定!$C$14/1000,0)</f>
        <v>0</v>
      </c>
      <c r="BP228" s="31" t="n">
        <f aca="false">IF(CK228="N",BX228,ROUNDDOWN((J228-M228)*設定!$B$15/1000,0))</f>
        <v>0</v>
      </c>
      <c r="BQ228" s="31" t="n">
        <f aca="false">ROUNDDOWN((J228-M228)*設定!$C$15/1000,0)</f>
        <v>0</v>
      </c>
      <c r="BR228" s="31" t="n">
        <f aca="false">O228+P228</f>
        <v>0</v>
      </c>
      <c r="BS228" s="31" t="n">
        <f aca="false">T228+U228+V228</f>
        <v>0</v>
      </c>
      <c r="BT228" s="31" t="n">
        <f aca="false">Q228</f>
        <v>0</v>
      </c>
      <c r="BU228" s="31" t="n">
        <f aca="false">W228</f>
        <v>0</v>
      </c>
      <c r="BV228" s="31" t="n">
        <f aca="false">R228</f>
        <v>0</v>
      </c>
      <c r="BW228" s="31" t="n">
        <f aca="false">X228</f>
        <v>0</v>
      </c>
      <c r="BX228" s="31" t="n">
        <f aca="false">S228</f>
        <v>0</v>
      </c>
      <c r="BY228" s="31" t="n">
        <f aca="false">Y228</f>
        <v>0</v>
      </c>
      <c r="BZ228" s="32" t="n">
        <f aca="false">IF(BJ228=0,IF(BR228=0,0,1),(BR228-BJ228)/BJ228)</f>
        <v>0</v>
      </c>
      <c r="CA228" s="32" t="n">
        <f aca="false">IF(BK228=0,IF(BS228=0,0,1),(BS228-BK228)/BK228)</f>
        <v>0</v>
      </c>
      <c r="CB228" s="32" t="n">
        <f aca="false">IF(BL228=0,IF(BT228=0,0,1),(BT228-BL228)/BL228)</f>
        <v>0</v>
      </c>
      <c r="CC228" s="32" t="n">
        <f aca="false">IF(BM228=0,IF(BU228=0,0,1),(BU228-BM228)/BM228)</f>
        <v>0</v>
      </c>
      <c r="CD228" s="32" t="n">
        <f aca="false">IF(BN228=0,IF(BV228=0,0,1),(BV228-BN228)/BN228)</f>
        <v>0</v>
      </c>
      <c r="CE228" s="32" t="n">
        <f aca="false">IF(BO228=0,IF(BW228=0,0,1),(BW228-BO228)/BO228)</f>
        <v>0</v>
      </c>
      <c r="CF228" s="32" t="n">
        <f aca="false">IF(BP228=0,IF(BX228=0,0,1),(BX228-BP228)/BP228)</f>
        <v>0</v>
      </c>
      <c r="CG228" s="32" t="n">
        <f aca="false">IF(BQ228=0,IF(BY228=0,0,1),(BY228-BQ228)/BQ228)</f>
        <v>0</v>
      </c>
      <c r="CH228" s="32" t="n">
        <f aca="false">MAX(MAX(BZ228:CG228),-MIN(BZ228:CG228))</f>
        <v>-0</v>
      </c>
      <c r="CI228" s="31" t="n">
        <f aca="false">IF(CO228="","",SUMIFS($CJ$7:$CJ$696,$A$7:$A$696,CO228,$B$7:$B$696,B228))</f>
        <v>0</v>
      </c>
      <c r="CJ228" s="31" t="n">
        <f aca="false">SUM(AY228:BI228)</f>
        <v>0</v>
      </c>
      <c r="CK228" s="31" t="str">
        <f aca="false">IFERROR(INDEX(設定!$F$61:$F$106,MATCH(B228,設定!$B$61:$B$106,0)),"Y")</f>
        <v>N</v>
      </c>
      <c r="CL228" s="31" t="str">
        <f aca="false">IFERROR(INDEX(設定!$G$61:$G$106,MATCH(B228,設定!$B$61:$B$106,0)),"外郭型")</f>
        <v>外郭型</v>
      </c>
      <c r="CM228" s="36" t="str">
        <f aca="false">A228&amp;"|"&amp;B228</f>
        <v>2026-07 月例|地方公共団体
情報システム機構</v>
      </c>
      <c r="CN228" s="34" t="str">
        <f aca="false">IFERROR(INDEX(設定!$D$61:$D$106,MATCH(B228,設定!$B$61:$B$106,0)),"Y")</f>
        <v>Y</v>
      </c>
      <c r="CO228" s="34" t="str">
        <f aca="false">IFERROR(INDEX(設定!$D$20:$D$34,MATCH(A228,設定!$A$20:$A$34,0))&amp;"","")</f>
        <v>2026-06 月例</v>
      </c>
    </row>
    <row r="229" customFormat="false" ht="15" hidden="true" customHeight="false" outlineLevel="0" collapsed="false">
      <c r="A229" s="22" t="s">
        <v>220</v>
      </c>
      <c r="B229" s="23" t="s">
        <v>207</v>
      </c>
      <c r="C229" s="10" t="str">
        <f aca="false">IF(G229="","未受領",IF(G229="なし","報告なし",IF(AL229="○","起票済",IF(OR(AK229="○",F229="一致",F229="入金不要"),"入金確認済","受領済"))))</f>
        <v>入金確認済</v>
      </c>
      <c r="D229" s="10" t="str">
        <f aca="false">IF(OR(G229="",G229="なし"),"―",IF(CN229="N","対象外",IF(AND(I229="",J229="",K229=""),"標報未入力",IF(CH229&gt;=設定!$B$4,"要確認","問題なし"))))</f>
        <v>標報未入力</v>
      </c>
      <c r="E229" s="24" t="str">
        <f aca="false">IF(OR(G229="",G229="なし",CI229="",CJ229=0),"―",IF(CJ229=CI229,"前月同額",IF(CI229=0,"―",IF(ABS(CJ229/CI229-1)&gt;=設定!$B$5,"変動大 "&amp;TEXT(CJ229/CI229-1,"+0%;-0%"),"〇"))))</f>
        <v>前月同額</v>
      </c>
      <c r="F229" s="10" t="str">
        <f aca="false">IF(OR(G229="",G229="なし"),"―",IF(CJ229=0,"入金不要",IF(COUNT(AD229,AF229,AH229,AJ229)=0,IF(AK229="○","手動確認","未入金"),IF(AND(N(AD229)=AC229,IF(AE229="",TRUE(),N(AF229)=AE229),IF(AG229="",TRUE(),N(AH229)=AG229),IF(AI229="",TRUE(),N(AJ229)=AI229)),"一致","不一致"))))</f>
        <v>手動確認</v>
      </c>
      <c r="G229" s="25" t="s">
        <v>167</v>
      </c>
      <c r="H229" s="26"/>
      <c r="I229" s="27"/>
      <c r="J229" s="27"/>
      <c r="K229" s="27"/>
      <c r="L229" s="27"/>
      <c r="M229" s="27"/>
      <c r="N229" s="27"/>
      <c r="O229" s="27" t="n">
        <v>118950</v>
      </c>
      <c r="P229" s="27" t="n">
        <v>9750</v>
      </c>
      <c r="Q229" s="27" t="n">
        <v>84531</v>
      </c>
      <c r="R229" s="27" t="n">
        <v>12877</v>
      </c>
      <c r="S229" s="27" t="n">
        <v>1874</v>
      </c>
      <c r="T229" s="27" t="n">
        <v>118950</v>
      </c>
      <c r="U229" s="27" t="n">
        <v>9750</v>
      </c>
      <c r="V229" s="27" t="n">
        <v>112</v>
      </c>
      <c r="W229" s="27" t="n">
        <v>84613</v>
      </c>
      <c r="X229" s="27" t="n">
        <v>12877</v>
      </c>
      <c r="Y229" s="27" t="n">
        <v>1874</v>
      </c>
      <c r="Z229" s="27"/>
      <c r="AA229" s="10" t="str">
        <f aca="false">IFERROR(INDEX(設定!$E$61:$E$106,MATCH(B229,設定!$B$61:$B$106,0)),"合算")</f>
        <v>合算</v>
      </c>
      <c r="AB229" s="28"/>
      <c r="AC229" s="29" t="n">
        <f aca="false">IF(OR(G229="",G229="なし"),"",IF(AA229="合算",CJ229+N(Z229),IF(AA229="掛金・負担金別",(AY229+AZ229+BD229+BF229+BH229),SUM(AY229:BC229))))</f>
        <v>456158</v>
      </c>
      <c r="AD229" s="27"/>
      <c r="AE229" s="29" t="str">
        <f aca="false">IF(OR(G229="",G229="なし"),"",IF(AA229="掛金・負担金別",(BA229+BB229+BC229+BE229+BG229+BI229+N(Z229)),IF(AA229="経理区分別",BD229+BE229,"")))</f>
        <v/>
      </c>
      <c r="AF229" s="27"/>
      <c r="AG229" s="29" t="str">
        <f aca="false">IF(OR(G229="",G229="なし"),"",IF(AA229="経理区分別",BF229+BG229,""))</f>
        <v/>
      </c>
      <c r="AH229" s="27"/>
      <c r="AI229" s="29" t="str">
        <f aca="false">IF(OR(G229="",G229="なし"),"",IF(AA229="経理区分別",BH229+BI229+N(Z229),""))</f>
        <v/>
      </c>
      <c r="AJ229" s="27"/>
      <c r="AK229" s="26" t="s">
        <v>168</v>
      </c>
      <c r="AL229" s="26"/>
      <c r="AM229" s="30"/>
      <c r="AN229" s="31"/>
      <c r="AO229" s="31"/>
      <c r="AP229" s="31"/>
      <c r="AQ229" s="31"/>
      <c r="AR229" s="31"/>
      <c r="AS229" s="31"/>
      <c r="AT229" s="31"/>
      <c r="AU229" s="31"/>
      <c r="AV229" s="31"/>
      <c r="AW229" s="31"/>
      <c r="AX229" s="31"/>
      <c r="AY229" s="31" t="n">
        <f aca="false">IF($G229="",AN229,O229)</f>
        <v>118950</v>
      </c>
      <c r="AZ229" s="31" t="n">
        <f aca="false">IF($G229="",AO229,P229)</f>
        <v>9750</v>
      </c>
      <c r="BA229" s="31" t="n">
        <f aca="false">IF($G229="",AP229,T229)</f>
        <v>118950</v>
      </c>
      <c r="BB229" s="31" t="n">
        <f aca="false">IF($G229="",AQ229,U229)</f>
        <v>9750</v>
      </c>
      <c r="BC229" s="31" t="n">
        <f aca="false">IF($G229="",AR229,V229)</f>
        <v>112</v>
      </c>
      <c r="BD229" s="31" t="n">
        <f aca="false">IF($G229="",AS229,Q229)</f>
        <v>84531</v>
      </c>
      <c r="BE229" s="31" t="n">
        <f aca="false">IF($G229="",AT229,W229)</f>
        <v>84613</v>
      </c>
      <c r="BF229" s="31" t="n">
        <f aca="false">IF($G229="",AU229,R229)</f>
        <v>12877</v>
      </c>
      <c r="BG229" s="31" t="n">
        <f aca="false">IF($G229="",AV229,X229)</f>
        <v>12877</v>
      </c>
      <c r="BH229" s="31" t="n">
        <f aca="false">IF($G229="",AW229,S229)</f>
        <v>1874</v>
      </c>
      <c r="BI229" s="31" t="n">
        <f aca="false">IF($G229="",AX229,Y229)</f>
        <v>1874</v>
      </c>
      <c r="BJ229" s="31" t="n">
        <f aca="false">IF(CK229="N",BR229,ROUNDDOWN((I229-L229)*設定!$B$10/1000,0)+ROUNDDOWN((I229-L229)*設定!$B$11/1000,0))</f>
        <v>0</v>
      </c>
      <c r="BK229" s="31" t="n">
        <f aca="false">ROUNDDOWN((I229-L229)*設定!$C$10/1000,0)+ROUNDDOWN((I229-L229)*設定!$C$11/1000,0)+ROUNDDOWN(I229*設定!$C$12/1000,0)+IF(CL229="市局型",ROUNDDOWN(I229*設定!$C$16/1000,0),0)</f>
        <v>0</v>
      </c>
      <c r="BL229" s="31" t="n">
        <f aca="false">IF(CK229="N",BT229,ROUNDDOWN((J229-M229)*設定!$B$13/1000,0))</f>
        <v>0</v>
      </c>
      <c r="BM229" s="31" t="n">
        <f aca="false">ROUNDDOWN((J229-M229)*設定!$C$13/1000,0)+IF(CL229="市局型",ROUNDDOWN(J229*設定!$C$17/1000,0),0)</f>
        <v>0</v>
      </c>
      <c r="BN229" s="31" t="n">
        <f aca="false">IF(CK229="N",BV229,ROUNDDOWN((K229-N229)*設定!$B$14/1000,0))</f>
        <v>0</v>
      </c>
      <c r="BO229" s="31" t="n">
        <f aca="false">ROUNDDOWN((K229-N229)*設定!$C$14/1000,0)</f>
        <v>0</v>
      </c>
      <c r="BP229" s="31" t="n">
        <f aca="false">IF(CK229="N",BX229,ROUNDDOWN((J229-M229)*設定!$B$15/1000,0))</f>
        <v>0</v>
      </c>
      <c r="BQ229" s="31" t="n">
        <f aca="false">ROUNDDOWN((J229-M229)*設定!$C$15/1000,0)</f>
        <v>0</v>
      </c>
      <c r="BR229" s="31" t="n">
        <f aca="false">O229+P229</f>
        <v>128700</v>
      </c>
      <c r="BS229" s="31" t="n">
        <f aca="false">T229+U229+V229</f>
        <v>128812</v>
      </c>
      <c r="BT229" s="31" t="n">
        <f aca="false">Q229</f>
        <v>84531</v>
      </c>
      <c r="BU229" s="31" t="n">
        <f aca="false">W229</f>
        <v>84613</v>
      </c>
      <c r="BV229" s="31" t="n">
        <f aca="false">R229</f>
        <v>12877</v>
      </c>
      <c r="BW229" s="31" t="n">
        <f aca="false">X229</f>
        <v>12877</v>
      </c>
      <c r="BX229" s="31" t="n">
        <f aca="false">S229</f>
        <v>1874</v>
      </c>
      <c r="BY229" s="31" t="n">
        <f aca="false">Y229</f>
        <v>1874</v>
      </c>
      <c r="BZ229" s="32" t="n">
        <f aca="false">IF(BJ229=0,IF(BR229=0,0,1),(BR229-BJ229)/BJ229)</f>
        <v>1</v>
      </c>
      <c r="CA229" s="32" t="n">
        <f aca="false">IF(BK229=0,IF(BS229=0,0,1),(BS229-BK229)/BK229)</f>
        <v>1</v>
      </c>
      <c r="CB229" s="32" t="n">
        <f aca="false">IF(BL229=0,IF(BT229=0,0,1),(BT229-BL229)/BL229)</f>
        <v>1</v>
      </c>
      <c r="CC229" s="32" t="n">
        <f aca="false">IF(BM229=0,IF(BU229=0,0,1),(BU229-BM229)/BM229)</f>
        <v>1</v>
      </c>
      <c r="CD229" s="32" t="n">
        <f aca="false">IF(BN229=0,IF(BV229=0,0,1),(BV229-BN229)/BN229)</f>
        <v>1</v>
      </c>
      <c r="CE229" s="32" t="n">
        <f aca="false">IF(BO229=0,IF(BW229=0,0,1),(BW229-BO229)/BO229)</f>
        <v>1</v>
      </c>
      <c r="CF229" s="32" t="n">
        <f aca="false">IF(BP229=0,IF(BX229=0,0,1),(BX229-BP229)/BP229)</f>
        <v>1</v>
      </c>
      <c r="CG229" s="32" t="n">
        <f aca="false">IF(BQ229=0,IF(BY229=0,0,1),(BY229-BQ229)/BQ229)</f>
        <v>1</v>
      </c>
      <c r="CH229" s="32" t="n">
        <f aca="false">MAX(MAX(BZ229:CG229),-MIN(BZ229:CG229))</f>
        <v>1</v>
      </c>
      <c r="CI229" s="31" t="n">
        <f aca="false">IF(CO229="","",SUMIFS($CJ$7:$CJ$696,$A$7:$A$696,CO229,$B$7:$B$696,B229))</f>
        <v>456158</v>
      </c>
      <c r="CJ229" s="31" t="n">
        <f aca="false">SUM(AY229:BI229)</f>
        <v>456158</v>
      </c>
      <c r="CK229" s="31" t="str">
        <f aca="false">IFERROR(INDEX(設定!$F$61:$F$106,MATCH(B229,設定!$B$61:$B$106,0)),"Y")</f>
        <v>Y</v>
      </c>
      <c r="CL229" s="31" t="str">
        <f aca="false">IFERROR(INDEX(設定!$G$61:$G$106,MATCH(B229,設定!$B$61:$B$106,0)),"外郭型")</f>
        <v>外郭型</v>
      </c>
      <c r="CM229" s="33" t="str">
        <f aca="false">A229&amp;"|"&amp;B229</f>
        <v>2026-07 月例|全国市長会</v>
      </c>
      <c r="CN229" s="34" t="str">
        <f aca="false">IFERROR(INDEX(設定!$D$61:$D$106,MATCH(B229,設定!$B$61:$B$106,0)),"Y")</f>
        <v>Y</v>
      </c>
      <c r="CO229" s="34" t="str">
        <f aca="false">IFERROR(INDEX(設定!$D$20:$D$34,MATCH(A229,設定!$A$20:$A$34,0))&amp;"","")</f>
        <v>2026-06 月例</v>
      </c>
    </row>
    <row r="230" customFormat="false" ht="15" hidden="true" customHeight="false" outlineLevel="0" collapsed="false">
      <c r="A230" s="22" t="s">
        <v>220</v>
      </c>
      <c r="B230" s="23" t="s">
        <v>208</v>
      </c>
      <c r="C230" s="10" t="str">
        <f aca="false">IF(G230="","未受領",IF(G230="なし","報告なし",IF(AL230="○","起票済",IF(OR(AK230="○",F230="一致",F230="入金不要"),"入金確認済","受領済"))))</f>
        <v>入金確認済</v>
      </c>
      <c r="D230" s="10" t="str">
        <f aca="false">IF(OR(G230="",G230="なし"),"―",IF(CN230="N","対象外",IF(AND(I230="",J230="",K230=""),"標報未入力",IF(CH230&gt;=設定!$B$4,"要確認","問題なし"))))</f>
        <v>標報未入力</v>
      </c>
      <c r="E230" s="24" t="str">
        <f aca="false">IF(OR(G230="",G230="なし",CI230="",CJ230=0),"―",IF(CJ230=CI230,"前月同額",IF(CI230=0,"―",IF(ABS(CJ230/CI230-1)&gt;=設定!$B$5,"変動大 "&amp;TEXT(CJ230/CI230-1,"+0%;-0%"),"〇"))))</f>
        <v>前月同額</v>
      </c>
      <c r="F230" s="10" t="str">
        <f aca="false">IF(OR(G230="",G230="なし"),"―",IF(CJ230=0,"入金不要",IF(COUNT(AD230,AF230,AH230,AJ230)=0,IF(AK230="○","手動確認","未入金"),IF(AND(N(AD230)=AC230,IF(AE230="",TRUE(),N(AF230)=AE230),IF(AG230="",TRUE(),N(AH230)=AG230),IF(AI230="",TRUE(),N(AJ230)=AI230)),"一致","不一致"))))</f>
        <v>手動確認</v>
      </c>
      <c r="G230" s="25" t="s">
        <v>167</v>
      </c>
      <c r="H230" s="26"/>
      <c r="I230" s="27"/>
      <c r="J230" s="27"/>
      <c r="K230" s="27"/>
      <c r="L230" s="27"/>
      <c r="M230" s="27"/>
      <c r="N230" s="27"/>
      <c r="O230" s="27" t="n">
        <v>145485</v>
      </c>
      <c r="P230" s="27" t="n">
        <v>11925</v>
      </c>
      <c r="Q230" s="27"/>
      <c r="R230" s="27"/>
      <c r="S230" s="27"/>
      <c r="T230" s="27" t="n">
        <v>145485</v>
      </c>
      <c r="U230" s="27" t="n">
        <v>11925</v>
      </c>
      <c r="V230" s="27" t="n">
        <v>138</v>
      </c>
      <c r="W230" s="27"/>
      <c r="X230" s="27"/>
      <c r="Y230" s="27"/>
      <c r="Z230" s="27"/>
      <c r="AA230" s="10" t="str">
        <f aca="false">IFERROR(INDEX(設定!$E$61:$E$106,MATCH(B230,設定!$B$61:$B$106,0)),"合算")</f>
        <v>合算</v>
      </c>
      <c r="AB230" s="28"/>
      <c r="AC230" s="29" t="n">
        <f aca="false">IF(OR(G230="",G230="なし"),"",IF(AA230="合算",CJ230+N(Z230),IF(AA230="掛金・負担金別",(AY230+AZ230+BD230+BF230+BH230),SUM(AY230:BC230))))</f>
        <v>314958</v>
      </c>
      <c r="AD230" s="27"/>
      <c r="AE230" s="29" t="str">
        <f aca="false">IF(OR(G230="",G230="なし"),"",IF(AA230="掛金・負担金別",(BA230+BB230+BC230+BE230+BG230+BI230+N(Z230)),IF(AA230="経理区分別",BD230+BE230,"")))</f>
        <v/>
      </c>
      <c r="AF230" s="27"/>
      <c r="AG230" s="29" t="str">
        <f aca="false">IF(OR(G230="",G230="なし"),"",IF(AA230="経理区分別",BF230+BG230,""))</f>
        <v/>
      </c>
      <c r="AH230" s="27"/>
      <c r="AI230" s="29" t="str">
        <f aca="false">IF(OR(G230="",G230="なし"),"",IF(AA230="経理区分別",BH230+BI230+N(Z230),""))</f>
        <v/>
      </c>
      <c r="AJ230" s="27"/>
      <c r="AK230" s="26" t="s">
        <v>168</v>
      </c>
      <c r="AL230" s="26"/>
      <c r="AM230" s="30"/>
      <c r="AN230" s="31"/>
      <c r="AO230" s="31"/>
      <c r="AP230" s="31"/>
      <c r="AQ230" s="31"/>
      <c r="AR230" s="31"/>
      <c r="AS230" s="31"/>
      <c r="AT230" s="31"/>
      <c r="AU230" s="31"/>
      <c r="AV230" s="31"/>
      <c r="AW230" s="31"/>
      <c r="AX230" s="31"/>
      <c r="AY230" s="31" t="n">
        <f aca="false">IF($G230="",AN230,O230)</f>
        <v>145485</v>
      </c>
      <c r="AZ230" s="31" t="n">
        <f aca="false">IF($G230="",AO230,P230)</f>
        <v>11925</v>
      </c>
      <c r="BA230" s="31" t="n">
        <f aca="false">IF($G230="",AP230,T230)</f>
        <v>145485</v>
      </c>
      <c r="BB230" s="31" t="n">
        <f aca="false">IF($G230="",AQ230,U230)</f>
        <v>11925</v>
      </c>
      <c r="BC230" s="31" t="n">
        <f aca="false">IF($G230="",AR230,V230)</f>
        <v>138</v>
      </c>
      <c r="BD230" s="31" t="n">
        <f aca="false">IF($G230="",AS230,Q230)</f>
        <v>0</v>
      </c>
      <c r="BE230" s="31" t="n">
        <f aca="false">IF($G230="",AT230,W230)</f>
        <v>0</v>
      </c>
      <c r="BF230" s="31" t="n">
        <f aca="false">IF($G230="",AU230,R230)</f>
        <v>0</v>
      </c>
      <c r="BG230" s="31" t="n">
        <f aca="false">IF($G230="",AV230,X230)</f>
        <v>0</v>
      </c>
      <c r="BH230" s="31" t="n">
        <f aca="false">IF($G230="",AW230,S230)</f>
        <v>0</v>
      </c>
      <c r="BI230" s="31" t="n">
        <f aca="false">IF($G230="",AX230,Y230)</f>
        <v>0</v>
      </c>
      <c r="BJ230" s="31" t="n">
        <f aca="false">IF(CK230="N",BR230,ROUNDDOWN((I230-L230)*設定!$B$10/1000,0)+ROUNDDOWN((I230-L230)*設定!$B$11/1000,0))</f>
        <v>0</v>
      </c>
      <c r="BK230" s="31" t="n">
        <f aca="false">ROUNDDOWN((I230-L230)*設定!$C$10/1000,0)+ROUNDDOWN((I230-L230)*設定!$C$11/1000,0)+ROUNDDOWN(I230*設定!$C$12/1000,0)+IF(CL230="市局型",ROUNDDOWN(I230*設定!$C$16/1000,0),0)</f>
        <v>0</v>
      </c>
      <c r="BL230" s="31" t="n">
        <f aca="false">IF(CK230="N",BT230,ROUNDDOWN((J230-M230)*設定!$B$13/1000,0))</f>
        <v>0</v>
      </c>
      <c r="BM230" s="31" t="n">
        <f aca="false">ROUNDDOWN((J230-M230)*設定!$C$13/1000,0)+IF(CL230="市局型",ROUNDDOWN(J230*設定!$C$17/1000,0),0)</f>
        <v>0</v>
      </c>
      <c r="BN230" s="31" t="n">
        <f aca="false">IF(CK230="N",BV230,ROUNDDOWN((K230-N230)*設定!$B$14/1000,0))</f>
        <v>0</v>
      </c>
      <c r="BO230" s="31" t="n">
        <f aca="false">ROUNDDOWN((K230-N230)*設定!$C$14/1000,0)</f>
        <v>0</v>
      </c>
      <c r="BP230" s="31" t="n">
        <f aca="false">IF(CK230="N",BX230,ROUNDDOWN((J230-M230)*設定!$B$15/1000,0))</f>
        <v>0</v>
      </c>
      <c r="BQ230" s="31" t="n">
        <f aca="false">ROUNDDOWN((J230-M230)*設定!$C$15/1000,0)</f>
        <v>0</v>
      </c>
      <c r="BR230" s="31" t="n">
        <f aca="false">O230+P230</f>
        <v>157410</v>
      </c>
      <c r="BS230" s="31" t="n">
        <f aca="false">T230+U230+V230</f>
        <v>157548</v>
      </c>
      <c r="BT230" s="31" t="n">
        <f aca="false">Q230</f>
        <v>0</v>
      </c>
      <c r="BU230" s="31" t="n">
        <f aca="false">W230</f>
        <v>0</v>
      </c>
      <c r="BV230" s="31" t="n">
        <f aca="false">R230</f>
        <v>0</v>
      </c>
      <c r="BW230" s="31" t="n">
        <f aca="false">X230</f>
        <v>0</v>
      </c>
      <c r="BX230" s="31" t="n">
        <f aca="false">S230</f>
        <v>0</v>
      </c>
      <c r="BY230" s="31" t="n">
        <f aca="false">Y230</f>
        <v>0</v>
      </c>
      <c r="BZ230" s="32" t="n">
        <f aca="false">IF(BJ230=0,IF(BR230=0,0,1),(BR230-BJ230)/BJ230)</f>
        <v>1</v>
      </c>
      <c r="CA230" s="32" t="n">
        <f aca="false">IF(BK230=0,IF(BS230=0,0,1),(BS230-BK230)/BK230)</f>
        <v>1</v>
      </c>
      <c r="CB230" s="32" t="n">
        <f aca="false">IF(BL230=0,IF(BT230=0,0,1),(BT230-BL230)/BL230)</f>
        <v>0</v>
      </c>
      <c r="CC230" s="32" t="n">
        <f aca="false">IF(BM230=0,IF(BU230=0,0,1),(BU230-BM230)/BM230)</f>
        <v>0</v>
      </c>
      <c r="CD230" s="32" t="n">
        <f aca="false">IF(BN230=0,IF(BV230=0,0,1),(BV230-BN230)/BN230)</f>
        <v>0</v>
      </c>
      <c r="CE230" s="32" t="n">
        <f aca="false">IF(BO230=0,IF(BW230=0,0,1),(BW230-BO230)/BO230)</f>
        <v>0</v>
      </c>
      <c r="CF230" s="32" t="n">
        <f aca="false">IF(BP230=0,IF(BX230=0,0,1),(BX230-BP230)/BP230)</f>
        <v>0</v>
      </c>
      <c r="CG230" s="32" t="n">
        <f aca="false">IF(BQ230=0,IF(BY230=0,0,1),(BY230-BQ230)/BQ230)</f>
        <v>0</v>
      </c>
      <c r="CH230" s="32" t="n">
        <f aca="false">MAX(MAX(BZ230:CG230),-MIN(BZ230:CG230))</f>
        <v>1</v>
      </c>
      <c r="CI230" s="31" t="n">
        <f aca="false">IF(CO230="","",SUMIFS($CJ$7:$CJ$696,$A$7:$A$696,CO230,$B$7:$B$696,B230))</f>
        <v>314958</v>
      </c>
      <c r="CJ230" s="31" t="n">
        <f aca="false">SUM(AY230:BI230)</f>
        <v>314958</v>
      </c>
      <c r="CK230" s="31" t="str">
        <f aca="false">IFERROR(INDEX(設定!$F$61:$F$106,MATCH(B230,設定!$B$61:$B$106,0)),"Y")</f>
        <v>Y</v>
      </c>
      <c r="CL230" s="31" t="str">
        <f aca="false">IFERROR(INDEX(設定!$G$61:$G$106,MATCH(B230,設定!$B$61:$B$106,0)),"外郭型")</f>
        <v>外郭型</v>
      </c>
      <c r="CM230" s="33" t="str">
        <f aca="false">A230&amp;"|"&amp;B230</f>
        <v>2026-07 月例|高速交通（株）</v>
      </c>
      <c r="CN230" s="34" t="str">
        <f aca="false">IFERROR(INDEX(設定!$D$61:$D$106,MATCH(B230,設定!$B$61:$B$106,0)),"Y")</f>
        <v>Y</v>
      </c>
      <c r="CO230" s="34" t="str">
        <f aca="false">IFERROR(INDEX(設定!$D$20:$D$34,MATCH(A230,設定!$A$20:$A$34,0))&amp;"","")</f>
        <v>2026-06 月例</v>
      </c>
    </row>
    <row r="231" customFormat="false" ht="15" hidden="true" customHeight="false" outlineLevel="0" collapsed="false">
      <c r="A231" s="22" t="s">
        <v>220</v>
      </c>
      <c r="B231" s="23" t="s">
        <v>209</v>
      </c>
      <c r="C231" s="10" t="str">
        <f aca="false">IF(G231="","未受領",IF(G231="なし","報告なし",IF(AL231="○","起票済",IF(OR(AK231="○",F231="一致",F231="入金不要"),"入金確認済","受領済"))))</f>
        <v>入金確認済</v>
      </c>
      <c r="D231" s="10" t="str">
        <f aca="false">IF(OR(G231="",G231="なし"),"―",IF(CN231="N","対象外",IF(AND(I231="",J231="",K231=""),"標報未入力",IF(CH231&gt;=設定!$B$4,"要確認","問題なし"))))</f>
        <v>標報未入力</v>
      </c>
      <c r="E231" s="24" t="str">
        <f aca="false">IF(OR(G231="",G231="なし",CI231="",CJ231=0),"―",IF(CJ231=CI231,"前月同額",IF(CI231=0,"―",IF(ABS(CJ231/CI231-1)&gt;=設定!$B$5,"変動大 "&amp;TEXT(CJ231/CI231-1,"+0%;-0%"),"〇"))))</f>
        <v>変動大 +18%</v>
      </c>
      <c r="F231" s="10" t="str">
        <f aca="false">IF(OR(G231="",G231="なし"),"―",IF(CJ231=0,"入金不要",IF(COUNT(AD231,AF231,AH231,AJ231)=0,IF(AK231="○","手動確認","未入金"),IF(AND(N(AD231)=AC231,IF(AE231="",TRUE(),N(AF231)=AE231),IF(AG231="",TRUE(),N(AH231)=AG231),IF(AI231="",TRUE(),N(AJ231)=AI231)),"一致","不一致"))))</f>
        <v>手動確認</v>
      </c>
      <c r="G231" s="25" t="s">
        <v>167</v>
      </c>
      <c r="H231" s="26"/>
      <c r="I231" s="27"/>
      <c r="J231" s="27"/>
      <c r="K231" s="27"/>
      <c r="L231" s="27"/>
      <c r="M231" s="27"/>
      <c r="N231" s="27"/>
      <c r="O231" s="27" t="n">
        <v>53985</v>
      </c>
      <c r="P231" s="27" t="n">
        <v>4425</v>
      </c>
      <c r="Q231" s="27"/>
      <c r="R231" s="27"/>
      <c r="S231" s="27"/>
      <c r="T231" s="27" t="n">
        <v>53985</v>
      </c>
      <c r="U231" s="27" t="n">
        <v>4425</v>
      </c>
      <c r="V231" s="27" t="n">
        <v>51</v>
      </c>
      <c r="W231" s="27"/>
      <c r="X231" s="27"/>
      <c r="Y231" s="27"/>
      <c r="Z231" s="27"/>
      <c r="AA231" s="10" t="str">
        <f aca="false">IFERROR(INDEX(設定!$E$61:$E$106,MATCH(B231,設定!$B$61:$B$106,0)),"合算")</f>
        <v>合算</v>
      </c>
      <c r="AB231" s="28"/>
      <c r="AC231" s="29" t="n">
        <f aca="false">IF(OR(G231="",G231="なし"),"",IF(AA231="合算",CJ231+N(Z231),IF(AA231="掛金・負担金別",(AY231+AZ231+BD231+BF231+BH231),SUM(AY231:BC231))))</f>
        <v>116871</v>
      </c>
      <c r="AD231" s="27"/>
      <c r="AE231" s="29" t="str">
        <f aca="false">IF(OR(G231="",G231="なし"),"",IF(AA231="掛金・負担金別",(BA231+BB231+BC231+BE231+BG231+BI231+N(Z231)),IF(AA231="経理区分別",BD231+BE231,"")))</f>
        <v/>
      </c>
      <c r="AF231" s="27"/>
      <c r="AG231" s="29" t="str">
        <f aca="false">IF(OR(G231="",G231="なし"),"",IF(AA231="経理区分別",BF231+BG231,""))</f>
        <v/>
      </c>
      <c r="AH231" s="27"/>
      <c r="AI231" s="29" t="str">
        <f aca="false">IF(OR(G231="",G231="なし"),"",IF(AA231="経理区分別",BH231+BI231+N(Z231),""))</f>
        <v/>
      </c>
      <c r="AJ231" s="27"/>
      <c r="AK231" s="26" t="s">
        <v>168</v>
      </c>
      <c r="AL231" s="26"/>
      <c r="AM231" s="30"/>
      <c r="AN231" s="31"/>
      <c r="AO231" s="31"/>
      <c r="AP231" s="31"/>
      <c r="AQ231" s="31"/>
      <c r="AR231" s="31"/>
      <c r="AS231" s="31"/>
      <c r="AT231" s="31"/>
      <c r="AU231" s="31"/>
      <c r="AV231" s="31"/>
      <c r="AW231" s="31"/>
      <c r="AX231" s="31"/>
      <c r="AY231" s="31" t="n">
        <f aca="false">IF($G231="",AN231,O231)</f>
        <v>53985</v>
      </c>
      <c r="AZ231" s="31" t="n">
        <f aca="false">IF($G231="",AO231,P231)</f>
        <v>4425</v>
      </c>
      <c r="BA231" s="31" t="n">
        <f aca="false">IF($G231="",AP231,T231)</f>
        <v>53985</v>
      </c>
      <c r="BB231" s="31" t="n">
        <f aca="false">IF($G231="",AQ231,U231)</f>
        <v>4425</v>
      </c>
      <c r="BC231" s="31" t="n">
        <f aca="false">IF($G231="",AR231,V231)</f>
        <v>51</v>
      </c>
      <c r="BD231" s="31" t="n">
        <f aca="false">IF($G231="",AS231,Q231)</f>
        <v>0</v>
      </c>
      <c r="BE231" s="31" t="n">
        <f aca="false">IF($G231="",AT231,W231)</f>
        <v>0</v>
      </c>
      <c r="BF231" s="31" t="n">
        <f aca="false">IF($G231="",AU231,R231)</f>
        <v>0</v>
      </c>
      <c r="BG231" s="31" t="n">
        <f aca="false">IF($G231="",AV231,X231)</f>
        <v>0</v>
      </c>
      <c r="BH231" s="31" t="n">
        <f aca="false">IF($G231="",AW231,S231)</f>
        <v>0</v>
      </c>
      <c r="BI231" s="31" t="n">
        <f aca="false">IF($G231="",AX231,Y231)</f>
        <v>0</v>
      </c>
      <c r="BJ231" s="31" t="n">
        <f aca="false">IF(CK231="N",BR231,ROUNDDOWN((I231-L231)*設定!$B$10/1000,0)+ROUNDDOWN((I231-L231)*設定!$B$11/1000,0))</f>
        <v>0</v>
      </c>
      <c r="BK231" s="31" t="n">
        <f aca="false">ROUNDDOWN((I231-L231)*設定!$C$10/1000,0)+ROUNDDOWN((I231-L231)*設定!$C$11/1000,0)+ROUNDDOWN(I231*設定!$C$12/1000,0)+IF(CL231="市局型",ROUNDDOWN(I231*設定!$C$16/1000,0),0)</f>
        <v>0</v>
      </c>
      <c r="BL231" s="31" t="n">
        <f aca="false">IF(CK231="N",BT231,ROUNDDOWN((J231-M231)*設定!$B$13/1000,0))</f>
        <v>0</v>
      </c>
      <c r="BM231" s="31" t="n">
        <f aca="false">ROUNDDOWN((J231-M231)*設定!$C$13/1000,0)+IF(CL231="市局型",ROUNDDOWN(J231*設定!$C$17/1000,0),0)</f>
        <v>0</v>
      </c>
      <c r="BN231" s="31" t="n">
        <f aca="false">IF(CK231="N",BV231,ROUNDDOWN((K231-N231)*設定!$B$14/1000,0))</f>
        <v>0</v>
      </c>
      <c r="BO231" s="31" t="n">
        <f aca="false">ROUNDDOWN((K231-N231)*設定!$C$14/1000,0)</f>
        <v>0</v>
      </c>
      <c r="BP231" s="31" t="n">
        <f aca="false">IF(CK231="N",BX231,ROUNDDOWN((J231-M231)*設定!$B$15/1000,0))</f>
        <v>0</v>
      </c>
      <c r="BQ231" s="31" t="n">
        <f aca="false">ROUNDDOWN((J231-M231)*設定!$C$15/1000,0)</f>
        <v>0</v>
      </c>
      <c r="BR231" s="31" t="n">
        <f aca="false">O231+P231</f>
        <v>58410</v>
      </c>
      <c r="BS231" s="31" t="n">
        <f aca="false">T231+U231+V231</f>
        <v>58461</v>
      </c>
      <c r="BT231" s="31" t="n">
        <f aca="false">Q231</f>
        <v>0</v>
      </c>
      <c r="BU231" s="31" t="n">
        <f aca="false">W231</f>
        <v>0</v>
      </c>
      <c r="BV231" s="31" t="n">
        <f aca="false">R231</f>
        <v>0</v>
      </c>
      <c r="BW231" s="31" t="n">
        <f aca="false">X231</f>
        <v>0</v>
      </c>
      <c r="BX231" s="31" t="n">
        <f aca="false">S231</f>
        <v>0</v>
      </c>
      <c r="BY231" s="31" t="n">
        <f aca="false">Y231</f>
        <v>0</v>
      </c>
      <c r="BZ231" s="32" t="n">
        <f aca="false">IF(BJ231=0,IF(BR231=0,0,1),(BR231-BJ231)/BJ231)</f>
        <v>1</v>
      </c>
      <c r="CA231" s="32" t="n">
        <f aca="false">IF(BK231=0,IF(BS231=0,0,1),(BS231-BK231)/BK231)</f>
        <v>1</v>
      </c>
      <c r="CB231" s="32" t="n">
        <f aca="false">IF(BL231=0,IF(BT231=0,0,1),(BT231-BL231)/BL231)</f>
        <v>0</v>
      </c>
      <c r="CC231" s="32" t="n">
        <f aca="false">IF(BM231=0,IF(BU231=0,0,1),(BU231-BM231)/BM231)</f>
        <v>0</v>
      </c>
      <c r="CD231" s="32" t="n">
        <f aca="false">IF(BN231=0,IF(BV231=0,0,1),(BV231-BN231)/BN231)</f>
        <v>0</v>
      </c>
      <c r="CE231" s="32" t="n">
        <f aca="false">IF(BO231=0,IF(BW231=0,0,1),(BW231-BO231)/BO231)</f>
        <v>0</v>
      </c>
      <c r="CF231" s="32" t="n">
        <f aca="false">IF(BP231=0,IF(BX231=0,0,1),(BX231-BP231)/BP231)</f>
        <v>0</v>
      </c>
      <c r="CG231" s="32" t="n">
        <f aca="false">IF(BQ231=0,IF(BY231=0,0,1),(BY231-BQ231)/BQ231)</f>
        <v>0</v>
      </c>
      <c r="CH231" s="32" t="n">
        <f aca="false">MAX(MAX(BZ231:CG231),-MIN(BZ231:CG231))</f>
        <v>1</v>
      </c>
      <c r="CI231" s="31" t="n">
        <f aca="false">IF(CO231="","",SUMIFS($CJ$7:$CJ$696,$A$7:$A$696,CO231,$B$7:$B$696,B231))</f>
        <v>99043</v>
      </c>
      <c r="CJ231" s="31" t="n">
        <f aca="false">SUM(AY231:BI231)</f>
        <v>116871</v>
      </c>
      <c r="CK231" s="31" t="str">
        <f aca="false">IFERROR(INDEX(設定!$F$61:$F$106,MATCH(B231,設定!$B$61:$B$106,0)),"Y")</f>
        <v>Y</v>
      </c>
      <c r="CL231" s="31" t="str">
        <f aca="false">IFERROR(INDEX(設定!$G$61:$G$106,MATCH(B231,設定!$B$61:$B$106,0)),"外郭型")</f>
        <v>外郭型</v>
      </c>
      <c r="CM231" s="33" t="str">
        <f aca="false">A231&amp;"|"&amp;B231</f>
        <v>2026-07 月例|広島駅南口開発（株）</v>
      </c>
      <c r="CN231" s="34" t="str">
        <f aca="false">IFERROR(INDEX(設定!$D$61:$D$106,MATCH(B231,設定!$B$61:$B$106,0)),"Y")</f>
        <v>Y</v>
      </c>
      <c r="CO231" s="34" t="str">
        <f aca="false">IFERROR(INDEX(設定!$D$20:$D$34,MATCH(A231,設定!$A$20:$A$34,0))&amp;"","")</f>
        <v>2026-06 月例</v>
      </c>
    </row>
    <row r="232" customFormat="false" ht="15" hidden="true" customHeight="false" outlineLevel="0" collapsed="false">
      <c r="A232" s="22" t="s">
        <v>220</v>
      </c>
      <c r="B232" s="23" t="s">
        <v>210</v>
      </c>
      <c r="C232" s="10" t="str">
        <f aca="false">IF(G232="","未受領",IF(G232="なし","報告なし",IF(AL232="○","起票済",IF(OR(AK232="○",F232="一致",F232="入金不要"),"入金確認済","受領済"))))</f>
        <v>入金確認済</v>
      </c>
      <c r="D232" s="10" t="str">
        <f aca="false">IF(OR(G232="",G232="なし"),"―",IF(CN232="N","対象外",IF(AND(I232="",J232="",K232=""),"標報未入力",IF(CH232&gt;=設定!$B$4,"要確認","問題なし"))))</f>
        <v>標報未入力</v>
      </c>
      <c r="E232" s="24" t="str">
        <f aca="false">IF(OR(G232="",G232="なし",CI232="",CJ232=0),"―",IF(CJ232=CI232,"前月同額",IF(CI232=0,"―",IF(ABS(CJ232/CI232-1)&gt;=設定!$B$5,"変動大 "&amp;TEXT(CJ232/CI232-1,"+0%;-0%"),"〇"))))</f>
        <v>〇</v>
      </c>
      <c r="F232" s="10" t="str">
        <f aca="false">IF(OR(G232="",G232="なし"),"―",IF(CJ232=0,"入金不要",IF(COUNT(AD232,AF232,AH232,AJ232)=0,IF(AK232="○","手動確認","未入金"),IF(AND(N(AD232)=AC232,IF(AE232="",TRUE(),N(AF232)=AE232),IF(AG232="",TRUE(),N(AH232)=AG232),IF(AI232="",TRUE(),N(AJ232)=AI232)),"一致","不一致"))))</f>
        <v>手動確認</v>
      </c>
      <c r="G232" s="25" t="s">
        <v>167</v>
      </c>
      <c r="H232" s="26"/>
      <c r="I232" s="27"/>
      <c r="J232" s="27"/>
      <c r="K232" s="27"/>
      <c r="L232" s="27"/>
      <c r="M232" s="27"/>
      <c r="N232" s="27"/>
      <c r="O232" s="27" t="n">
        <v>29280</v>
      </c>
      <c r="P232" s="27" t="n">
        <v>2400</v>
      </c>
      <c r="Q232" s="27" t="n">
        <v>16595</v>
      </c>
      <c r="R232" s="27" t="n">
        <v>2528</v>
      </c>
      <c r="S232" s="27" t="n">
        <v>368</v>
      </c>
      <c r="T232" s="27" t="n">
        <v>29280</v>
      </c>
      <c r="U232" s="27" t="n">
        <v>2400</v>
      </c>
      <c r="V232" s="27"/>
      <c r="W232" s="27" t="n">
        <v>15315</v>
      </c>
      <c r="X232" s="27" t="n">
        <v>2528</v>
      </c>
      <c r="Y232" s="27" t="n">
        <v>368</v>
      </c>
      <c r="Z232" s="27"/>
      <c r="AA232" s="10" t="str">
        <f aca="false">IFERROR(INDEX(設定!$E$61:$E$106,MATCH(B232,設定!$B$61:$B$106,0)),"合算")</f>
        <v>合算</v>
      </c>
      <c r="AB232" s="28"/>
      <c r="AC232" s="29" t="n">
        <f aca="false">IF(OR(G232="",G232="なし"),"",IF(AA232="合算",CJ232+N(Z232),IF(AA232="掛金・負担金別",(AY232+AZ232+BD232+BF232+BH232),SUM(AY232:BC232))))</f>
        <v>101062</v>
      </c>
      <c r="AD232" s="27"/>
      <c r="AE232" s="29" t="str">
        <f aca="false">IF(OR(G232="",G232="なし"),"",IF(AA232="掛金・負担金別",(BA232+BB232+BC232+BE232+BG232+BI232+N(Z232)),IF(AA232="経理区分別",BD232+BE232,"")))</f>
        <v/>
      </c>
      <c r="AF232" s="27"/>
      <c r="AG232" s="29" t="str">
        <f aca="false">IF(OR(G232="",G232="なし"),"",IF(AA232="経理区分別",BF232+BG232,""))</f>
        <v/>
      </c>
      <c r="AH232" s="27"/>
      <c r="AI232" s="29" t="str">
        <f aca="false">IF(OR(G232="",G232="なし"),"",IF(AA232="経理区分別",BH232+BI232+N(Z232),""))</f>
        <v/>
      </c>
      <c r="AJ232" s="27"/>
      <c r="AK232" s="26" t="s">
        <v>168</v>
      </c>
      <c r="AL232" s="26"/>
      <c r="AM232" s="30"/>
      <c r="AN232" s="31"/>
      <c r="AO232" s="31"/>
      <c r="AP232" s="31"/>
      <c r="AQ232" s="31"/>
      <c r="AR232" s="31"/>
      <c r="AS232" s="31"/>
      <c r="AT232" s="31"/>
      <c r="AU232" s="31"/>
      <c r="AV232" s="31"/>
      <c r="AW232" s="31"/>
      <c r="AX232" s="31"/>
      <c r="AY232" s="31" t="n">
        <f aca="false">IF($G232="",AN232,O232)</f>
        <v>29280</v>
      </c>
      <c r="AZ232" s="31" t="n">
        <f aca="false">IF($G232="",AO232,P232)</f>
        <v>2400</v>
      </c>
      <c r="BA232" s="31" t="n">
        <f aca="false">IF($G232="",AP232,T232)</f>
        <v>29280</v>
      </c>
      <c r="BB232" s="31" t="n">
        <f aca="false">IF($G232="",AQ232,U232)</f>
        <v>2400</v>
      </c>
      <c r="BC232" s="31" t="n">
        <f aca="false">IF($G232="",AR232,V232)</f>
        <v>0</v>
      </c>
      <c r="BD232" s="31" t="n">
        <f aca="false">IF($G232="",AS232,Q232)</f>
        <v>16595</v>
      </c>
      <c r="BE232" s="31" t="n">
        <f aca="false">IF($G232="",AT232,W232)</f>
        <v>15315</v>
      </c>
      <c r="BF232" s="31" t="n">
        <f aca="false">IF($G232="",AU232,R232)</f>
        <v>2528</v>
      </c>
      <c r="BG232" s="31" t="n">
        <f aca="false">IF($G232="",AV232,X232)</f>
        <v>2528</v>
      </c>
      <c r="BH232" s="31" t="n">
        <f aca="false">IF($G232="",AW232,S232)</f>
        <v>368</v>
      </c>
      <c r="BI232" s="31" t="n">
        <f aca="false">IF($G232="",AX232,Y232)</f>
        <v>368</v>
      </c>
      <c r="BJ232" s="31" t="n">
        <f aca="false">IF(CK232="N",BR232,ROUNDDOWN((I232-L232)*設定!$B$10/1000,0)+ROUNDDOWN((I232-L232)*設定!$B$11/1000,0))</f>
        <v>0</v>
      </c>
      <c r="BK232" s="31" t="n">
        <f aca="false">ROUNDDOWN((I232-L232)*設定!$C$10/1000,0)+ROUNDDOWN((I232-L232)*設定!$C$11/1000,0)+ROUNDDOWN(I232*設定!$C$12/1000,0)+IF(CL232="市局型",ROUNDDOWN(I232*設定!$C$16/1000,0),0)</f>
        <v>0</v>
      </c>
      <c r="BL232" s="31" t="n">
        <f aca="false">IF(CK232="N",BT232,ROUNDDOWN((J232-M232)*設定!$B$13/1000,0))</f>
        <v>0</v>
      </c>
      <c r="BM232" s="31" t="n">
        <f aca="false">ROUNDDOWN((J232-M232)*設定!$C$13/1000,0)+IF(CL232="市局型",ROUNDDOWN(J232*設定!$C$17/1000,0),0)</f>
        <v>0</v>
      </c>
      <c r="BN232" s="31" t="n">
        <f aca="false">IF(CK232="N",BV232,ROUNDDOWN((K232-N232)*設定!$B$14/1000,0))</f>
        <v>0</v>
      </c>
      <c r="BO232" s="31" t="n">
        <f aca="false">ROUNDDOWN((K232-N232)*設定!$C$14/1000,0)</f>
        <v>0</v>
      </c>
      <c r="BP232" s="31" t="n">
        <f aca="false">IF(CK232="N",BX232,ROUNDDOWN((J232-M232)*設定!$B$15/1000,0))</f>
        <v>0</v>
      </c>
      <c r="BQ232" s="31" t="n">
        <f aca="false">ROUNDDOWN((J232-M232)*設定!$C$15/1000,0)</f>
        <v>0</v>
      </c>
      <c r="BR232" s="31" t="n">
        <f aca="false">O232+P232</f>
        <v>31680</v>
      </c>
      <c r="BS232" s="31" t="n">
        <f aca="false">T232+U232+V232</f>
        <v>31680</v>
      </c>
      <c r="BT232" s="31" t="n">
        <f aca="false">Q232</f>
        <v>16595</v>
      </c>
      <c r="BU232" s="31" t="n">
        <f aca="false">W232</f>
        <v>15315</v>
      </c>
      <c r="BV232" s="31" t="n">
        <f aca="false">R232</f>
        <v>2528</v>
      </c>
      <c r="BW232" s="31" t="n">
        <f aca="false">X232</f>
        <v>2528</v>
      </c>
      <c r="BX232" s="31" t="n">
        <f aca="false">S232</f>
        <v>368</v>
      </c>
      <c r="BY232" s="31" t="n">
        <f aca="false">Y232</f>
        <v>368</v>
      </c>
      <c r="BZ232" s="32" t="n">
        <f aca="false">IF(BJ232=0,IF(BR232=0,0,1),(BR232-BJ232)/BJ232)</f>
        <v>1</v>
      </c>
      <c r="CA232" s="32" t="n">
        <f aca="false">IF(BK232=0,IF(BS232=0,0,1),(BS232-BK232)/BK232)</f>
        <v>1</v>
      </c>
      <c r="CB232" s="32" t="n">
        <f aca="false">IF(BL232=0,IF(BT232=0,0,1),(BT232-BL232)/BL232)</f>
        <v>1</v>
      </c>
      <c r="CC232" s="32" t="n">
        <f aca="false">IF(BM232=0,IF(BU232=0,0,1),(BU232-BM232)/BM232)</f>
        <v>1</v>
      </c>
      <c r="CD232" s="32" t="n">
        <f aca="false">IF(BN232=0,IF(BV232=0,0,1),(BV232-BN232)/BN232)</f>
        <v>1</v>
      </c>
      <c r="CE232" s="32" t="n">
        <f aca="false">IF(BO232=0,IF(BW232=0,0,1),(BW232-BO232)/BO232)</f>
        <v>1</v>
      </c>
      <c r="CF232" s="32" t="n">
        <f aca="false">IF(BP232=0,IF(BX232=0,0,1),(BX232-BP232)/BP232)</f>
        <v>1</v>
      </c>
      <c r="CG232" s="32" t="n">
        <f aca="false">IF(BQ232=0,IF(BY232=0,0,1),(BY232-BQ232)/BQ232)</f>
        <v>1</v>
      </c>
      <c r="CH232" s="32" t="n">
        <f aca="false">MAX(MAX(BZ232:CG232),-MIN(BZ232:CG232))</f>
        <v>1</v>
      </c>
      <c r="CI232" s="31" t="n">
        <f aca="false">IF(CO232="","",SUMIFS($CJ$7:$CJ$696,$A$7:$A$696,CO232,$B$7:$B$696,B232))</f>
        <v>103654</v>
      </c>
      <c r="CJ232" s="31" t="n">
        <f aca="false">SUM(AY232:BI232)</f>
        <v>101062</v>
      </c>
      <c r="CK232" s="31" t="str">
        <f aca="false">IFERROR(INDEX(設定!$F$61:$F$106,MATCH(B232,設定!$B$61:$B$106,0)),"Y")</f>
        <v>Y</v>
      </c>
      <c r="CL232" s="31" t="str">
        <f aca="false">IFERROR(INDEX(設定!$G$61:$G$106,MATCH(B232,設定!$B$61:$B$106,0)),"外郭型")</f>
        <v>外郭型</v>
      </c>
      <c r="CM232" s="33" t="str">
        <f aca="false">A232&amp;"|"&amp;B232</f>
        <v>2026-07 月例|市職員労働組合</v>
      </c>
      <c r="CN232" s="34" t="str">
        <f aca="false">IFERROR(INDEX(設定!$D$61:$D$106,MATCH(B232,設定!$B$61:$B$106,0)),"Y")</f>
        <v>Y</v>
      </c>
      <c r="CO232" s="34" t="str">
        <f aca="false">IFERROR(INDEX(設定!$D$20:$D$34,MATCH(A232,設定!$A$20:$A$34,0))&amp;"","")</f>
        <v>2026-06 月例</v>
      </c>
    </row>
    <row r="233" customFormat="false" ht="15" hidden="true" customHeight="false" outlineLevel="0" collapsed="false">
      <c r="A233" s="22" t="s">
        <v>220</v>
      </c>
      <c r="B233" s="23" t="s">
        <v>211</v>
      </c>
      <c r="C233" s="10" t="str">
        <f aca="false">IF(G233="","未受領",IF(G233="なし","報告なし",IF(AL233="○","起票済",IF(OR(AK233="○",F233="一致",F233="入金不要"),"入金確認済","受領済"))))</f>
        <v>未受領</v>
      </c>
      <c r="D233" s="10" t="str">
        <f aca="false">IF(OR(G233="",G233="なし"),"―",IF(CN233="N","対象外",IF(AND(I233="",J233="",K233=""),"標報未入力",IF(CH233&gt;=設定!$B$4,"要確認","問題なし"))))</f>
        <v>―</v>
      </c>
      <c r="E233" s="24" t="str">
        <f aca="false">IF(OR(G233="",G233="なし",CI233="",CJ233=0),"―",IF(CJ233=CI233,"前月同額",IF(CI233=0,"―",IF(ABS(CJ233/CI233-1)&gt;=設定!$B$5,"変動大 "&amp;TEXT(CJ233/CI233-1,"+0%;-0%"),"〇"))))</f>
        <v>―</v>
      </c>
      <c r="F233" s="10" t="str">
        <f aca="false">IF(OR(G233="",G233="なし"),"―",IF(CJ233=0,"入金不要",IF(COUNT(AD233,AF233,AH233,AJ233)=0,IF(AK233="○","手動確認","未入金"),IF(AND(N(AD233)=AC233,IF(AE233="",TRUE(),N(AF233)=AE233),IF(AG233="",TRUE(),N(AH233)=AG233),IF(AI233="",TRUE(),N(AJ233)=AI233)),"一致","不一致"))))</f>
        <v>―</v>
      </c>
      <c r="G233" s="25"/>
      <c r="H233" s="26"/>
      <c r="I233" s="27"/>
      <c r="J233" s="27"/>
      <c r="K233" s="27"/>
      <c r="L233" s="27"/>
      <c r="M233" s="27"/>
      <c r="N233" s="27"/>
      <c r="O233" s="27"/>
      <c r="P233" s="27"/>
      <c r="Q233" s="27"/>
      <c r="R233" s="27"/>
      <c r="S233" s="27"/>
      <c r="T233" s="27"/>
      <c r="U233" s="27"/>
      <c r="V233" s="27"/>
      <c r="W233" s="27"/>
      <c r="X233" s="27"/>
      <c r="Y233" s="27"/>
      <c r="Z233" s="27"/>
      <c r="AA233" s="10" t="str">
        <f aca="false">IFERROR(INDEX(設定!$E$61:$E$106,MATCH(B233,設定!$B$61:$B$106,0)),"合算")</f>
        <v>合算</v>
      </c>
      <c r="AB233" s="28"/>
      <c r="AC233" s="29" t="str">
        <f aca="false">IF(OR(G233="",G233="なし"),"",IF(AA233="合算",CJ233+N(Z233),IF(AA233="掛金・負担金別",(AY233+AZ233+BD233+BF233+BH233),SUM(AY233:BC233))))</f>
        <v/>
      </c>
      <c r="AD233" s="27"/>
      <c r="AE233" s="29" t="str">
        <f aca="false">IF(OR(G233="",G233="なし"),"",IF(AA233="掛金・負担金別",(BA233+BB233+BC233+BE233+BG233+BI233+N(Z233)),IF(AA233="経理区分別",BD233+BE233,"")))</f>
        <v/>
      </c>
      <c r="AF233" s="27"/>
      <c r="AG233" s="29" t="str">
        <f aca="false">IF(OR(G233="",G233="なし"),"",IF(AA233="経理区分別",BF233+BG233,""))</f>
        <v/>
      </c>
      <c r="AH233" s="27"/>
      <c r="AI233" s="29" t="str">
        <f aca="false">IF(OR(G233="",G233="なし"),"",IF(AA233="経理区分別",BH233+BI233+N(Z233),""))</f>
        <v/>
      </c>
      <c r="AJ233" s="27"/>
      <c r="AK233" s="26"/>
      <c r="AL233" s="26"/>
      <c r="AM233" s="30"/>
      <c r="AN233" s="31" t="n">
        <v>0</v>
      </c>
      <c r="AO233" s="31" t="n">
        <v>0</v>
      </c>
      <c r="AP233" s="31" t="n">
        <v>0</v>
      </c>
      <c r="AQ233" s="31" t="n">
        <v>0</v>
      </c>
      <c r="AR233" s="31"/>
      <c r="AS233" s="31" t="n">
        <v>0</v>
      </c>
      <c r="AT233" s="31" t="n">
        <v>0</v>
      </c>
      <c r="AU233" s="31" t="n">
        <v>0</v>
      </c>
      <c r="AV233" s="31" t="n">
        <v>0</v>
      </c>
      <c r="AW233" s="31" t="n">
        <v>0</v>
      </c>
      <c r="AX233" s="31" t="n">
        <v>0</v>
      </c>
      <c r="AY233" s="31" t="n">
        <f aca="false">IF($G233="",AN233,O233)</f>
        <v>0</v>
      </c>
      <c r="AZ233" s="31" t="n">
        <f aca="false">IF($G233="",AO233,P233)</f>
        <v>0</v>
      </c>
      <c r="BA233" s="31" t="n">
        <f aca="false">IF($G233="",AP233,T233)</f>
        <v>0</v>
      </c>
      <c r="BB233" s="31" t="n">
        <f aca="false">IF($G233="",AQ233,U233)</f>
        <v>0</v>
      </c>
      <c r="BC233" s="31" t="n">
        <f aca="false">IF($G233="",AR233,V233)</f>
        <v>0</v>
      </c>
      <c r="BD233" s="31" t="n">
        <f aca="false">IF($G233="",AS233,Q233)</f>
        <v>0</v>
      </c>
      <c r="BE233" s="31" t="n">
        <f aca="false">IF($G233="",AT233,W233)</f>
        <v>0</v>
      </c>
      <c r="BF233" s="31" t="n">
        <f aca="false">IF($G233="",AU233,R233)</f>
        <v>0</v>
      </c>
      <c r="BG233" s="31" t="n">
        <f aca="false">IF($G233="",AV233,X233)</f>
        <v>0</v>
      </c>
      <c r="BH233" s="31" t="n">
        <f aca="false">IF($G233="",AW233,S233)</f>
        <v>0</v>
      </c>
      <c r="BI233" s="31" t="n">
        <f aca="false">IF($G233="",AX233,Y233)</f>
        <v>0</v>
      </c>
      <c r="BJ233" s="31" t="n">
        <f aca="false">IF(CK233="N",BR233,ROUNDDOWN((I233-L233)*設定!$B$10/1000,0)+ROUNDDOWN((I233-L233)*設定!$B$11/1000,0))</f>
        <v>0</v>
      </c>
      <c r="BK233" s="31" t="n">
        <f aca="false">ROUNDDOWN((I233-L233)*設定!$C$10/1000,0)+ROUNDDOWN((I233-L233)*設定!$C$11/1000,0)+ROUNDDOWN(I233*設定!$C$12/1000,0)+IF(CL233="市局型",ROUNDDOWN(I233*設定!$C$16/1000,0),0)</f>
        <v>0</v>
      </c>
      <c r="BL233" s="31" t="n">
        <f aca="false">IF(CK233="N",BT233,ROUNDDOWN((J233-M233)*設定!$B$13/1000,0))</f>
        <v>0</v>
      </c>
      <c r="BM233" s="31" t="n">
        <f aca="false">ROUNDDOWN((J233-M233)*設定!$C$13/1000,0)+IF(CL233="市局型",ROUNDDOWN(J233*設定!$C$17/1000,0),0)</f>
        <v>0</v>
      </c>
      <c r="BN233" s="31" t="n">
        <f aca="false">IF(CK233="N",BV233,ROUNDDOWN((K233-N233)*設定!$B$14/1000,0))</f>
        <v>0</v>
      </c>
      <c r="BO233" s="31" t="n">
        <f aca="false">ROUNDDOWN((K233-N233)*設定!$C$14/1000,0)</f>
        <v>0</v>
      </c>
      <c r="BP233" s="31" t="n">
        <f aca="false">IF(CK233="N",BX233,ROUNDDOWN((J233-M233)*設定!$B$15/1000,0))</f>
        <v>0</v>
      </c>
      <c r="BQ233" s="31" t="n">
        <f aca="false">ROUNDDOWN((J233-M233)*設定!$C$15/1000,0)</f>
        <v>0</v>
      </c>
      <c r="BR233" s="31" t="n">
        <f aca="false">O233+P233</f>
        <v>0</v>
      </c>
      <c r="BS233" s="31" t="n">
        <f aca="false">T233+U233+V233</f>
        <v>0</v>
      </c>
      <c r="BT233" s="31" t="n">
        <f aca="false">Q233</f>
        <v>0</v>
      </c>
      <c r="BU233" s="31" t="n">
        <f aca="false">W233</f>
        <v>0</v>
      </c>
      <c r="BV233" s="31" t="n">
        <f aca="false">R233</f>
        <v>0</v>
      </c>
      <c r="BW233" s="31" t="n">
        <f aca="false">X233</f>
        <v>0</v>
      </c>
      <c r="BX233" s="31" t="n">
        <f aca="false">S233</f>
        <v>0</v>
      </c>
      <c r="BY233" s="31" t="n">
        <f aca="false">Y233</f>
        <v>0</v>
      </c>
      <c r="BZ233" s="32" t="n">
        <f aca="false">IF(BJ233=0,IF(BR233=0,0,1),(BR233-BJ233)/BJ233)</f>
        <v>0</v>
      </c>
      <c r="CA233" s="32" t="n">
        <f aca="false">IF(BK233=0,IF(BS233=0,0,1),(BS233-BK233)/BK233)</f>
        <v>0</v>
      </c>
      <c r="CB233" s="32" t="n">
        <f aca="false">IF(BL233=0,IF(BT233=0,0,1),(BT233-BL233)/BL233)</f>
        <v>0</v>
      </c>
      <c r="CC233" s="32" t="n">
        <f aca="false">IF(BM233=0,IF(BU233=0,0,1),(BU233-BM233)/BM233)</f>
        <v>0</v>
      </c>
      <c r="CD233" s="32" t="n">
        <f aca="false">IF(BN233=0,IF(BV233=0,0,1),(BV233-BN233)/BN233)</f>
        <v>0</v>
      </c>
      <c r="CE233" s="32" t="n">
        <f aca="false">IF(BO233=0,IF(BW233=0,0,1),(BW233-BO233)/BO233)</f>
        <v>0</v>
      </c>
      <c r="CF233" s="32" t="n">
        <f aca="false">IF(BP233=0,IF(BX233=0,0,1),(BX233-BP233)/BP233)</f>
        <v>0</v>
      </c>
      <c r="CG233" s="32" t="n">
        <f aca="false">IF(BQ233=0,IF(BY233=0,0,1),(BY233-BQ233)/BQ233)</f>
        <v>0</v>
      </c>
      <c r="CH233" s="32" t="n">
        <f aca="false">MAX(MAX(BZ233:CG233),-MIN(BZ233:CG233))</f>
        <v>-0</v>
      </c>
      <c r="CI233" s="31" t="n">
        <f aca="false">IF(CO233="","",SUMIFS($CJ$7:$CJ$696,$A$7:$A$696,CO233,$B$7:$B$696,B233))</f>
        <v>0</v>
      </c>
      <c r="CJ233" s="31" t="n">
        <f aca="false">SUM(AY233:BI233)</f>
        <v>0</v>
      </c>
      <c r="CK233" s="31" t="str">
        <f aca="false">IFERROR(INDEX(設定!$F$61:$F$106,MATCH(B233,設定!$B$61:$B$106,0)),"Y")</f>
        <v>N</v>
      </c>
      <c r="CL233" s="31" t="str">
        <f aca="false">IFERROR(INDEX(設定!$G$61:$G$106,MATCH(B233,設定!$B$61:$B$106,0)),"外郭型")</f>
        <v>外郭型</v>
      </c>
      <c r="CM233" s="33" t="str">
        <f aca="false">A233&amp;"|"&amp;B233</f>
        <v>2026-07 月例|自治労労働組合</v>
      </c>
      <c r="CN233" s="34" t="str">
        <f aca="false">IFERROR(INDEX(設定!$D$61:$D$106,MATCH(B233,設定!$B$61:$B$106,0)),"Y")</f>
        <v>Y</v>
      </c>
      <c r="CO233" s="34" t="str">
        <f aca="false">IFERROR(INDEX(設定!$D$20:$D$34,MATCH(A233,設定!$A$20:$A$34,0))&amp;"","")</f>
        <v>2026-06 月例</v>
      </c>
    </row>
    <row r="234" customFormat="false" ht="15" hidden="true" customHeight="false" outlineLevel="0" collapsed="false">
      <c r="A234" s="22" t="s">
        <v>220</v>
      </c>
      <c r="B234" s="23" t="s">
        <v>212</v>
      </c>
      <c r="C234" s="10" t="str">
        <f aca="false">IF(G234="","未受領",IF(G234="なし","報告なし",IF(AL234="○","起票済",IF(OR(AK234="○",F234="一致",F234="入金不要"),"入金確認済","受領済"))))</f>
        <v>入金確認済</v>
      </c>
      <c r="D234" s="10" t="str">
        <f aca="false">IF(OR(G234="",G234="なし"),"―",IF(CN234="N","対象外",IF(AND(I234="",J234="",K234=""),"標報未入力",IF(CH234&gt;=設定!$B$4,"要確認","問題なし"))))</f>
        <v>標報未入力</v>
      </c>
      <c r="E234" s="24" t="str">
        <f aca="false">IF(OR(G234="",G234="なし",CI234="",CJ234=0),"―",IF(CJ234=CI234,"前月同額",IF(CI234=0,"―",IF(ABS(CJ234/CI234-1)&gt;=設定!$B$5,"変動大 "&amp;TEXT(CJ234/CI234-1,"+0%;-0%"),"〇"))))</f>
        <v>前月同額</v>
      </c>
      <c r="F234" s="10" t="str">
        <f aca="false">IF(OR(G234="",G234="なし"),"―",IF(CJ234=0,"入金不要",IF(COUNT(AD234,AF234,AH234,AJ234)=0,IF(AK234="○","手動確認","未入金"),IF(AND(N(AD234)=AC234,IF(AE234="",TRUE(),N(AF234)=AE234),IF(AG234="",TRUE(),N(AH234)=AG234),IF(AI234="",TRUE(),N(AJ234)=AI234)),"一致","不一致"))))</f>
        <v>手動確認</v>
      </c>
      <c r="G234" s="25" t="s">
        <v>167</v>
      </c>
      <c r="H234" s="26"/>
      <c r="I234" s="27"/>
      <c r="J234" s="27"/>
      <c r="K234" s="27"/>
      <c r="L234" s="27"/>
      <c r="M234" s="27"/>
      <c r="N234" s="27"/>
      <c r="O234" s="27" t="n">
        <v>27450</v>
      </c>
      <c r="P234" s="27" t="n">
        <v>2250</v>
      </c>
      <c r="Q234" s="27" t="n">
        <v>31116</v>
      </c>
      <c r="R234" s="27" t="n">
        <v>2370</v>
      </c>
      <c r="S234" s="27" t="n">
        <v>690</v>
      </c>
      <c r="T234" s="27" t="n">
        <v>27450</v>
      </c>
      <c r="U234" s="27" t="n">
        <v>2250</v>
      </c>
      <c r="V234" s="27"/>
      <c r="W234" s="27" t="n">
        <v>31146</v>
      </c>
      <c r="X234" s="27" t="n">
        <v>2370</v>
      </c>
      <c r="Y234" s="27" t="n">
        <v>690</v>
      </c>
      <c r="Z234" s="27"/>
      <c r="AA234" s="10" t="str">
        <f aca="false">IFERROR(INDEX(設定!$E$61:$E$106,MATCH(B234,設定!$B$61:$B$106,0)),"合算")</f>
        <v>合算</v>
      </c>
      <c r="AB234" s="28"/>
      <c r="AC234" s="29" t="n">
        <f aca="false">IF(OR(G234="",G234="なし"),"",IF(AA234="合算",CJ234+N(Z234),IF(AA234="掛金・負担金別",(AY234+AZ234+BD234+BF234+BH234),SUM(AY234:BC234))))</f>
        <v>127782</v>
      </c>
      <c r="AD234" s="27"/>
      <c r="AE234" s="29" t="str">
        <f aca="false">IF(OR(G234="",G234="なし"),"",IF(AA234="掛金・負担金別",(BA234+BB234+BC234+BE234+BG234+BI234+N(Z234)),IF(AA234="経理区分別",BD234+BE234,"")))</f>
        <v/>
      </c>
      <c r="AF234" s="27"/>
      <c r="AG234" s="29" t="str">
        <f aca="false">IF(OR(G234="",G234="なし"),"",IF(AA234="経理区分別",BF234+BG234,""))</f>
        <v/>
      </c>
      <c r="AH234" s="27"/>
      <c r="AI234" s="29" t="str">
        <f aca="false">IF(OR(G234="",G234="なし"),"",IF(AA234="経理区分別",BH234+BI234+N(Z234),""))</f>
        <v/>
      </c>
      <c r="AJ234" s="27"/>
      <c r="AK234" s="26" t="s">
        <v>168</v>
      </c>
      <c r="AL234" s="26"/>
      <c r="AM234" s="30"/>
      <c r="AN234" s="31"/>
      <c r="AO234" s="31"/>
      <c r="AP234" s="31"/>
      <c r="AQ234" s="31"/>
      <c r="AR234" s="31"/>
      <c r="AS234" s="31"/>
      <c r="AT234" s="31"/>
      <c r="AU234" s="31"/>
      <c r="AV234" s="31"/>
      <c r="AW234" s="31"/>
      <c r="AX234" s="31"/>
      <c r="AY234" s="31" t="n">
        <f aca="false">IF($G234="",AN234,O234)</f>
        <v>27450</v>
      </c>
      <c r="AZ234" s="31" t="n">
        <f aca="false">IF($G234="",AO234,P234)</f>
        <v>2250</v>
      </c>
      <c r="BA234" s="31" t="n">
        <f aca="false">IF($G234="",AP234,T234)</f>
        <v>27450</v>
      </c>
      <c r="BB234" s="31" t="n">
        <f aca="false">IF($G234="",AQ234,U234)</f>
        <v>2250</v>
      </c>
      <c r="BC234" s="31" t="n">
        <f aca="false">IF($G234="",AR234,V234)</f>
        <v>0</v>
      </c>
      <c r="BD234" s="31" t="n">
        <f aca="false">IF($G234="",AS234,Q234)</f>
        <v>31116</v>
      </c>
      <c r="BE234" s="31" t="n">
        <f aca="false">IF($G234="",AT234,W234)</f>
        <v>31146</v>
      </c>
      <c r="BF234" s="31" t="n">
        <f aca="false">IF($G234="",AU234,R234)</f>
        <v>2370</v>
      </c>
      <c r="BG234" s="31" t="n">
        <f aca="false">IF($G234="",AV234,X234)</f>
        <v>2370</v>
      </c>
      <c r="BH234" s="31" t="n">
        <f aca="false">IF($G234="",AW234,S234)</f>
        <v>690</v>
      </c>
      <c r="BI234" s="31" t="n">
        <f aca="false">IF($G234="",AX234,Y234)</f>
        <v>690</v>
      </c>
      <c r="BJ234" s="31" t="n">
        <f aca="false">IF(CK234="N",BR234,ROUNDDOWN((I234-L234)*設定!$B$10/1000,0)+ROUNDDOWN((I234-L234)*設定!$B$11/1000,0))</f>
        <v>0</v>
      </c>
      <c r="BK234" s="31" t="n">
        <f aca="false">ROUNDDOWN((I234-L234)*設定!$C$10/1000,0)+ROUNDDOWN((I234-L234)*設定!$C$11/1000,0)+ROUNDDOWN(I234*設定!$C$12/1000,0)+IF(CL234="市局型",ROUNDDOWN(I234*設定!$C$16/1000,0),0)</f>
        <v>0</v>
      </c>
      <c r="BL234" s="31" t="n">
        <f aca="false">IF(CK234="N",BT234,ROUNDDOWN((J234-M234)*設定!$B$13/1000,0))</f>
        <v>0</v>
      </c>
      <c r="BM234" s="31" t="n">
        <f aca="false">ROUNDDOWN((J234-M234)*設定!$C$13/1000,0)+IF(CL234="市局型",ROUNDDOWN(J234*設定!$C$17/1000,0),0)</f>
        <v>0</v>
      </c>
      <c r="BN234" s="31" t="n">
        <f aca="false">IF(CK234="N",BV234,ROUNDDOWN((K234-N234)*設定!$B$14/1000,0))</f>
        <v>0</v>
      </c>
      <c r="BO234" s="31" t="n">
        <f aca="false">ROUNDDOWN((K234-N234)*設定!$C$14/1000,0)</f>
        <v>0</v>
      </c>
      <c r="BP234" s="31" t="n">
        <f aca="false">IF(CK234="N",BX234,ROUNDDOWN((J234-M234)*設定!$B$15/1000,0))</f>
        <v>0</v>
      </c>
      <c r="BQ234" s="31" t="n">
        <f aca="false">ROUNDDOWN((J234-M234)*設定!$C$15/1000,0)</f>
        <v>0</v>
      </c>
      <c r="BR234" s="31" t="n">
        <f aca="false">O234+P234</f>
        <v>29700</v>
      </c>
      <c r="BS234" s="31" t="n">
        <f aca="false">T234+U234+V234</f>
        <v>29700</v>
      </c>
      <c r="BT234" s="31" t="n">
        <f aca="false">Q234</f>
        <v>31116</v>
      </c>
      <c r="BU234" s="31" t="n">
        <f aca="false">W234</f>
        <v>31146</v>
      </c>
      <c r="BV234" s="31" t="n">
        <f aca="false">R234</f>
        <v>2370</v>
      </c>
      <c r="BW234" s="31" t="n">
        <f aca="false">X234</f>
        <v>2370</v>
      </c>
      <c r="BX234" s="31" t="n">
        <f aca="false">S234</f>
        <v>690</v>
      </c>
      <c r="BY234" s="31" t="n">
        <f aca="false">Y234</f>
        <v>690</v>
      </c>
      <c r="BZ234" s="32" t="n">
        <f aca="false">IF(BJ234=0,IF(BR234=0,0,1),(BR234-BJ234)/BJ234)</f>
        <v>1</v>
      </c>
      <c r="CA234" s="32" t="n">
        <f aca="false">IF(BK234=0,IF(BS234=0,0,1),(BS234-BK234)/BK234)</f>
        <v>1</v>
      </c>
      <c r="CB234" s="32" t="n">
        <f aca="false">IF(BL234=0,IF(BT234=0,0,1),(BT234-BL234)/BL234)</f>
        <v>1</v>
      </c>
      <c r="CC234" s="32" t="n">
        <f aca="false">IF(BM234=0,IF(BU234=0,0,1),(BU234-BM234)/BM234)</f>
        <v>1</v>
      </c>
      <c r="CD234" s="32" t="n">
        <f aca="false">IF(BN234=0,IF(BV234=0,0,1),(BV234-BN234)/BN234)</f>
        <v>1</v>
      </c>
      <c r="CE234" s="32" t="n">
        <f aca="false">IF(BO234=0,IF(BW234=0,0,1),(BW234-BO234)/BO234)</f>
        <v>1</v>
      </c>
      <c r="CF234" s="32" t="n">
        <f aca="false">IF(BP234=0,IF(BX234=0,0,1),(BX234-BP234)/BP234)</f>
        <v>1</v>
      </c>
      <c r="CG234" s="32" t="n">
        <f aca="false">IF(BQ234=0,IF(BY234=0,0,1),(BY234-BQ234)/BQ234)</f>
        <v>1</v>
      </c>
      <c r="CH234" s="32" t="n">
        <f aca="false">MAX(MAX(BZ234:CG234),-MIN(BZ234:CG234))</f>
        <v>1</v>
      </c>
      <c r="CI234" s="31" t="n">
        <f aca="false">IF(CO234="","",SUMIFS($CJ$7:$CJ$696,$A$7:$A$696,CO234,$B$7:$B$696,B234))</f>
        <v>127782</v>
      </c>
      <c r="CJ234" s="31" t="n">
        <f aca="false">SUM(AY234:BI234)</f>
        <v>127782</v>
      </c>
      <c r="CK234" s="31" t="str">
        <f aca="false">IFERROR(INDEX(設定!$F$61:$F$106,MATCH(B234,設定!$B$61:$B$106,0)),"Y")</f>
        <v>Y</v>
      </c>
      <c r="CL234" s="31" t="str">
        <f aca="false">IFERROR(INDEX(設定!$G$61:$G$106,MATCH(B234,設定!$B$61:$B$106,0)),"外郭型")</f>
        <v>外郭型</v>
      </c>
      <c r="CM234" s="33" t="str">
        <f aca="false">A234&amp;"|"&amp;B234</f>
        <v>2026-07 月例|病院労働組合</v>
      </c>
      <c r="CN234" s="34" t="str">
        <f aca="false">IFERROR(INDEX(設定!$D$61:$D$106,MATCH(B234,設定!$B$61:$B$106,0)),"Y")</f>
        <v>Y</v>
      </c>
      <c r="CO234" s="34" t="str">
        <f aca="false">IFERROR(INDEX(設定!$D$20:$D$34,MATCH(A234,設定!$A$20:$A$34,0))&amp;"","")</f>
        <v>2026-06 月例</v>
      </c>
    </row>
    <row r="235" customFormat="false" ht="15" hidden="true" customHeight="false" outlineLevel="0" collapsed="false">
      <c r="A235" s="22" t="s">
        <v>220</v>
      </c>
      <c r="B235" s="23" t="s">
        <v>213</v>
      </c>
      <c r="C235" s="10" t="str">
        <f aca="false">IF(G235="","未受領",IF(G235="なし","報告なし",IF(AL235="○","起票済",IF(OR(AK235="○",F235="一致",F235="入金不要"),"入金確認済","受領済"))))</f>
        <v>報告なし</v>
      </c>
      <c r="D235" s="10" t="str">
        <f aca="false">IF(OR(G235="",G235="なし"),"―",IF(CN235="N","対象外",IF(AND(I235="",J235="",K235=""),"標報未入力",IF(CH235&gt;=設定!$B$4,"要確認","問題なし"))))</f>
        <v>―</v>
      </c>
      <c r="E235" s="24" t="str">
        <f aca="false">IF(OR(G235="",G235="なし",CI235="",CJ235=0),"―",IF(CJ235=CI235,"前月同額",IF(CI235=0,"―",IF(ABS(CJ235/CI235-1)&gt;=設定!$B$5,"変動大 "&amp;TEXT(CJ235/CI235-1,"+0%;-0%"),"〇"))))</f>
        <v>―</v>
      </c>
      <c r="F235" s="10" t="str">
        <f aca="false">IF(OR(G235="",G235="なし"),"―",IF(CJ235=0,"入金不要",IF(COUNT(AD235,AF235,AH235,AJ235)=0,IF(AK235="○","手動確認","未入金"),IF(AND(N(AD235)=AC235,IF(AE235="",TRUE(),N(AF235)=AE235),IF(AG235="",TRUE(),N(AH235)=AG235),IF(AI235="",TRUE(),N(AJ235)=AI235)),"一致","不一致"))))</f>
        <v>―</v>
      </c>
      <c r="G235" s="25" t="s">
        <v>181</v>
      </c>
      <c r="H235" s="26"/>
      <c r="I235" s="27"/>
      <c r="J235" s="27"/>
      <c r="K235" s="27"/>
      <c r="L235" s="27"/>
      <c r="M235" s="27"/>
      <c r="N235" s="27"/>
      <c r="O235" s="27"/>
      <c r="P235" s="27"/>
      <c r="Q235" s="27"/>
      <c r="R235" s="27"/>
      <c r="S235" s="27"/>
      <c r="T235" s="27"/>
      <c r="U235" s="27"/>
      <c r="V235" s="27"/>
      <c r="W235" s="27"/>
      <c r="X235" s="27"/>
      <c r="Y235" s="27"/>
      <c r="Z235" s="27"/>
      <c r="AA235" s="10" t="str">
        <f aca="false">IFERROR(INDEX(設定!$E$61:$E$106,MATCH(B235,設定!$B$61:$B$106,0)),"合算")</f>
        <v>合算</v>
      </c>
      <c r="AB235" s="28"/>
      <c r="AC235" s="29" t="str">
        <f aca="false">IF(OR(G235="",G235="なし"),"",IF(AA235="合算",CJ235+N(Z235),IF(AA235="掛金・負担金別",(AY235+AZ235+BD235+BF235+BH235),SUM(AY235:BC235))))</f>
        <v/>
      </c>
      <c r="AD235" s="27"/>
      <c r="AE235" s="29" t="str">
        <f aca="false">IF(OR(G235="",G235="なし"),"",IF(AA235="掛金・負担金別",(BA235+BB235+BC235+BE235+BG235+BI235+N(Z235)),IF(AA235="経理区分別",BD235+BE235,"")))</f>
        <v/>
      </c>
      <c r="AF235" s="27"/>
      <c r="AG235" s="29" t="str">
        <f aca="false">IF(OR(G235="",G235="なし"),"",IF(AA235="経理区分別",BF235+BG235,""))</f>
        <v/>
      </c>
      <c r="AH235" s="27"/>
      <c r="AI235" s="29" t="str">
        <f aca="false">IF(OR(G235="",G235="なし"),"",IF(AA235="経理区分別",BH235+BI235+N(Z235),""))</f>
        <v/>
      </c>
      <c r="AJ235" s="27"/>
      <c r="AK235" s="26"/>
      <c r="AL235" s="26"/>
      <c r="AM235" s="30"/>
      <c r="AN235" s="31"/>
      <c r="AO235" s="31"/>
      <c r="AP235" s="31"/>
      <c r="AQ235" s="31"/>
      <c r="AR235" s="31"/>
      <c r="AS235" s="31"/>
      <c r="AT235" s="31"/>
      <c r="AU235" s="31"/>
      <c r="AV235" s="31"/>
      <c r="AW235" s="31"/>
      <c r="AX235" s="31"/>
      <c r="AY235" s="31" t="n">
        <f aca="false">IF($G235="",AN235,O235)</f>
        <v>0</v>
      </c>
      <c r="AZ235" s="31" t="n">
        <f aca="false">IF($G235="",AO235,P235)</f>
        <v>0</v>
      </c>
      <c r="BA235" s="31" t="n">
        <f aca="false">IF($G235="",AP235,T235)</f>
        <v>0</v>
      </c>
      <c r="BB235" s="31" t="n">
        <f aca="false">IF($G235="",AQ235,U235)</f>
        <v>0</v>
      </c>
      <c r="BC235" s="31" t="n">
        <f aca="false">IF($G235="",AR235,V235)</f>
        <v>0</v>
      </c>
      <c r="BD235" s="31" t="n">
        <f aca="false">IF($G235="",AS235,Q235)</f>
        <v>0</v>
      </c>
      <c r="BE235" s="31" t="n">
        <f aca="false">IF($G235="",AT235,W235)</f>
        <v>0</v>
      </c>
      <c r="BF235" s="31" t="n">
        <f aca="false">IF($G235="",AU235,R235)</f>
        <v>0</v>
      </c>
      <c r="BG235" s="31" t="n">
        <f aca="false">IF($G235="",AV235,X235)</f>
        <v>0</v>
      </c>
      <c r="BH235" s="31" t="n">
        <f aca="false">IF($G235="",AW235,S235)</f>
        <v>0</v>
      </c>
      <c r="BI235" s="31" t="n">
        <f aca="false">IF($G235="",AX235,Y235)</f>
        <v>0</v>
      </c>
      <c r="BJ235" s="31" t="n">
        <f aca="false">IF(CK235="N",BR235,ROUNDDOWN((I235-L235)*設定!$B$10/1000,0)+ROUNDDOWN((I235-L235)*設定!$B$11/1000,0))</f>
        <v>0</v>
      </c>
      <c r="BK235" s="31" t="n">
        <f aca="false">ROUNDDOWN((I235-L235)*設定!$C$10/1000,0)+ROUNDDOWN((I235-L235)*設定!$C$11/1000,0)+ROUNDDOWN(I235*設定!$C$12/1000,0)+IF(CL235="市局型",ROUNDDOWN(I235*設定!$C$16/1000,0),0)</f>
        <v>0</v>
      </c>
      <c r="BL235" s="31" t="n">
        <f aca="false">IF(CK235="N",BT235,ROUNDDOWN((J235-M235)*設定!$B$13/1000,0))</f>
        <v>0</v>
      </c>
      <c r="BM235" s="31" t="n">
        <f aca="false">ROUNDDOWN((J235-M235)*設定!$C$13/1000,0)+IF(CL235="市局型",ROUNDDOWN(J235*設定!$C$17/1000,0),0)</f>
        <v>0</v>
      </c>
      <c r="BN235" s="31" t="n">
        <f aca="false">IF(CK235="N",BV235,ROUNDDOWN((K235-N235)*設定!$B$14/1000,0))</f>
        <v>0</v>
      </c>
      <c r="BO235" s="31" t="n">
        <f aca="false">ROUNDDOWN((K235-N235)*設定!$C$14/1000,0)</f>
        <v>0</v>
      </c>
      <c r="BP235" s="31" t="n">
        <f aca="false">IF(CK235="N",BX235,ROUNDDOWN((J235-M235)*設定!$B$15/1000,0))</f>
        <v>0</v>
      </c>
      <c r="BQ235" s="31" t="n">
        <f aca="false">ROUNDDOWN((J235-M235)*設定!$C$15/1000,0)</f>
        <v>0</v>
      </c>
      <c r="BR235" s="31" t="n">
        <f aca="false">O235+P235</f>
        <v>0</v>
      </c>
      <c r="BS235" s="31" t="n">
        <f aca="false">T235+U235+V235</f>
        <v>0</v>
      </c>
      <c r="BT235" s="31" t="n">
        <f aca="false">Q235</f>
        <v>0</v>
      </c>
      <c r="BU235" s="31" t="n">
        <f aca="false">W235</f>
        <v>0</v>
      </c>
      <c r="BV235" s="31" t="n">
        <f aca="false">R235</f>
        <v>0</v>
      </c>
      <c r="BW235" s="31" t="n">
        <f aca="false">X235</f>
        <v>0</v>
      </c>
      <c r="BX235" s="31" t="n">
        <f aca="false">S235</f>
        <v>0</v>
      </c>
      <c r="BY235" s="31" t="n">
        <f aca="false">Y235</f>
        <v>0</v>
      </c>
      <c r="BZ235" s="32" t="n">
        <f aca="false">IF(BJ235=0,IF(BR235=0,0,1),(BR235-BJ235)/BJ235)</f>
        <v>0</v>
      </c>
      <c r="CA235" s="32" t="n">
        <f aca="false">IF(BK235=0,IF(BS235=0,0,1),(BS235-BK235)/BK235)</f>
        <v>0</v>
      </c>
      <c r="CB235" s="32" t="n">
        <f aca="false">IF(BL235=0,IF(BT235=0,0,1),(BT235-BL235)/BL235)</f>
        <v>0</v>
      </c>
      <c r="CC235" s="32" t="n">
        <f aca="false">IF(BM235=0,IF(BU235=0,0,1),(BU235-BM235)/BM235)</f>
        <v>0</v>
      </c>
      <c r="CD235" s="32" t="n">
        <f aca="false">IF(BN235=0,IF(BV235=0,0,1),(BV235-BN235)/BN235)</f>
        <v>0</v>
      </c>
      <c r="CE235" s="32" t="n">
        <f aca="false">IF(BO235=0,IF(BW235=0,0,1),(BW235-BO235)/BO235)</f>
        <v>0</v>
      </c>
      <c r="CF235" s="32" t="n">
        <f aca="false">IF(BP235=0,IF(BX235=0,0,1),(BX235-BP235)/BP235)</f>
        <v>0</v>
      </c>
      <c r="CG235" s="32" t="n">
        <f aca="false">IF(BQ235=0,IF(BY235=0,0,1),(BY235-BQ235)/BQ235)</f>
        <v>0</v>
      </c>
      <c r="CH235" s="32" t="n">
        <f aca="false">MAX(MAX(BZ235:CG235),-MIN(BZ235:CG235))</f>
        <v>-0</v>
      </c>
      <c r="CI235" s="31" t="n">
        <f aca="false">IF(CO235="","",SUMIFS($CJ$7:$CJ$696,$A$7:$A$696,CO235,$B$7:$B$696,B235))</f>
        <v>0</v>
      </c>
      <c r="CJ235" s="31" t="n">
        <f aca="false">SUM(AY235:BI235)</f>
        <v>0</v>
      </c>
      <c r="CK235" s="31" t="str">
        <f aca="false">IFERROR(INDEX(設定!$F$61:$F$106,MATCH(B235,設定!$B$61:$B$106,0)),"Y")</f>
        <v>N</v>
      </c>
      <c r="CL235" s="31" t="str">
        <f aca="false">IFERROR(INDEX(設定!$G$61:$G$106,MATCH(B235,設定!$B$61:$B$106,0)),"外郭型")</f>
        <v>外郭型</v>
      </c>
      <c r="CM235" s="33" t="str">
        <f aca="false">A235&amp;"|"&amp;B235</f>
        <v>2026-07 月例|水道労働組合</v>
      </c>
      <c r="CN235" s="34" t="str">
        <f aca="false">IFERROR(INDEX(設定!$D$61:$D$106,MATCH(B235,設定!$B$61:$B$106,0)),"Y")</f>
        <v>Y</v>
      </c>
      <c r="CO235" s="34" t="str">
        <f aca="false">IFERROR(INDEX(設定!$D$20:$D$34,MATCH(A235,設定!$A$20:$A$34,0))&amp;"","")</f>
        <v>2026-06 月例</v>
      </c>
    </row>
    <row r="236" customFormat="false" ht="15" hidden="true" customHeight="false" outlineLevel="0" collapsed="false">
      <c r="A236" s="22" t="s">
        <v>220</v>
      </c>
      <c r="B236" s="23" t="s">
        <v>214</v>
      </c>
      <c r="C236" s="10" t="str">
        <f aca="false">IF(G236="","未受領",IF(G236="なし","報告なし",IF(AL236="○","起票済",IF(OR(AK236="○",F236="一致",F236="入金不要"),"入金確認済","受領済"))))</f>
        <v>受領済</v>
      </c>
      <c r="D236" s="10" t="str">
        <f aca="false">IF(OR(G236="",G236="なし"),"―",IF(CN236="N","対象外",IF(AND(I236="",J236="",K236=""),"標報未入力",IF(CH236&gt;=設定!$B$4,"要確認","問題なし"))))</f>
        <v>対象外</v>
      </c>
      <c r="E236" s="24" t="str">
        <f aca="false">IF(OR(G236="",G236="なし",CI236="",CJ236=0),"―",IF(CJ236=CI236,"前月同額",IF(CI236=0,"―",IF(ABS(CJ236/CI236-1)&gt;=設定!$B$5,"変動大 "&amp;TEXT(CJ236/CI236-1,"+0%;-0%"),"〇"))))</f>
        <v>変動大 -21%</v>
      </c>
      <c r="F236" s="10" t="str">
        <f aca="false">IF(OR(G236="",G236="なし"),"―",IF(CJ236=0,"入金不要",IF(COUNT(AD236,AF236,AH236,AJ236)=0,IF(AK236="○","手動確認","未入金"),IF(AND(N(AD236)=AC236,IF(AE236="",TRUE(),N(AF236)=AE236),IF(AG236="",TRUE(),N(AH236)=AG236),IF(AI236="",TRUE(),N(AJ236)=AI236)),"一致","不一致"))))</f>
        <v>未入金</v>
      </c>
      <c r="G236" s="25" t="s">
        <v>167</v>
      </c>
      <c r="H236" s="26"/>
      <c r="I236" s="27"/>
      <c r="J236" s="27"/>
      <c r="K236" s="27"/>
      <c r="L236" s="27"/>
      <c r="M236" s="27"/>
      <c r="N236" s="27"/>
      <c r="O236" s="27"/>
      <c r="P236" s="27"/>
      <c r="Q236" s="27" t="n">
        <v>2297617</v>
      </c>
      <c r="R236" s="27" t="n">
        <v>156680</v>
      </c>
      <c r="S236" s="27" t="n">
        <v>50945</v>
      </c>
      <c r="T236" s="27"/>
      <c r="U236" s="27"/>
      <c r="V236" s="27"/>
      <c r="W236" s="27"/>
      <c r="X236" s="27"/>
      <c r="Y236" s="27"/>
      <c r="Z236" s="27"/>
      <c r="AA236" s="10" t="str">
        <f aca="false">IFERROR(INDEX(設定!$E$61:$E$106,MATCH(B236,設定!$B$61:$B$106,0)),"合算")</f>
        <v>合算</v>
      </c>
      <c r="AB236" s="28"/>
      <c r="AC236" s="29" t="n">
        <f aca="false">IF(OR(G236="",G236="なし"),"",IF(AA236="合算",CJ236+N(Z236),IF(AA236="掛金・負担金別",(AY236+AZ236+BD236+BF236+BH236),SUM(AY236:BC236))))</f>
        <v>2505242</v>
      </c>
      <c r="AD236" s="27"/>
      <c r="AE236" s="29" t="str">
        <f aca="false">IF(OR(G236="",G236="なし"),"",IF(AA236="掛金・負担金別",(BA236+BB236+BC236+BE236+BG236+BI236+N(Z236)),IF(AA236="経理区分別",BD236+BE236,"")))</f>
        <v/>
      </c>
      <c r="AF236" s="27"/>
      <c r="AG236" s="29" t="str">
        <f aca="false">IF(OR(G236="",G236="なし"),"",IF(AA236="経理区分別",BF236+BG236,""))</f>
        <v/>
      </c>
      <c r="AH236" s="27"/>
      <c r="AI236" s="29" t="str">
        <f aca="false">IF(OR(G236="",G236="なし"),"",IF(AA236="経理区分別",BH236+BI236+N(Z236),""))</f>
        <v/>
      </c>
      <c r="AJ236" s="27"/>
      <c r="AK236" s="26"/>
      <c r="AL236" s="26"/>
      <c r="AM236" s="30"/>
      <c r="AN236" s="31"/>
      <c r="AO236" s="31"/>
      <c r="AP236" s="31"/>
      <c r="AQ236" s="31"/>
      <c r="AR236" s="31"/>
      <c r="AS236" s="31"/>
      <c r="AT236" s="31"/>
      <c r="AU236" s="31"/>
      <c r="AV236" s="31"/>
      <c r="AW236" s="31"/>
      <c r="AX236" s="31"/>
      <c r="AY236" s="31" t="n">
        <f aca="false">IF($G236="",AN236,O236)</f>
        <v>0</v>
      </c>
      <c r="AZ236" s="31" t="n">
        <f aca="false">IF($G236="",AO236,P236)</f>
        <v>0</v>
      </c>
      <c r="BA236" s="31" t="n">
        <f aca="false">IF($G236="",AP236,T236)</f>
        <v>0</v>
      </c>
      <c r="BB236" s="31" t="n">
        <f aca="false">IF($G236="",AQ236,U236)</f>
        <v>0</v>
      </c>
      <c r="BC236" s="31" t="n">
        <f aca="false">IF($G236="",AR236,V236)</f>
        <v>0</v>
      </c>
      <c r="BD236" s="31" t="n">
        <f aca="false">IF($G236="",AS236,Q236)</f>
        <v>2297617</v>
      </c>
      <c r="BE236" s="31" t="n">
        <f aca="false">IF($G236="",AT236,W236)</f>
        <v>0</v>
      </c>
      <c r="BF236" s="31" t="n">
        <f aca="false">IF($G236="",AU236,R236)</f>
        <v>156680</v>
      </c>
      <c r="BG236" s="31" t="n">
        <f aca="false">IF($G236="",AV236,X236)</f>
        <v>0</v>
      </c>
      <c r="BH236" s="31" t="n">
        <f aca="false">IF($G236="",AW236,S236)</f>
        <v>50945</v>
      </c>
      <c r="BI236" s="31" t="n">
        <f aca="false">IF($G236="",AX236,Y236)</f>
        <v>0</v>
      </c>
      <c r="BJ236" s="31" t="n">
        <f aca="false">IF(CK236="N",BR236,ROUNDDOWN((I236-L236)*設定!$B$10/1000,0)+ROUNDDOWN((I236-L236)*設定!$B$11/1000,0))</f>
        <v>0</v>
      </c>
      <c r="BK236" s="31" t="n">
        <f aca="false">ROUNDDOWN((I236-L236)*設定!$C$10/1000,0)+ROUNDDOWN((I236-L236)*設定!$C$11/1000,0)+ROUNDDOWN(I236*設定!$C$12/1000,0)+IF(CL236="市局型",ROUNDDOWN(I236*設定!$C$16/1000,0),0)</f>
        <v>0</v>
      </c>
      <c r="BL236" s="31" t="n">
        <f aca="false">IF(CK236="N",BT236,ROUNDDOWN((J236-M236)*設定!$B$13/1000,0))</f>
        <v>0</v>
      </c>
      <c r="BM236" s="31" t="n">
        <f aca="false">ROUNDDOWN((J236-M236)*設定!$C$13/1000,0)+IF(CL236="市局型",ROUNDDOWN(J236*設定!$C$17/1000,0),0)</f>
        <v>0</v>
      </c>
      <c r="BN236" s="31" t="n">
        <f aca="false">IF(CK236="N",BV236,ROUNDDOWN((K236-N236)*設定!$B$14/1000,0))</f>
        <v>0</v>
      </c>
      <c r="BO236" s="31" t="n">
        <f aca="false">ROUNDDOWN((K236-N236)*設定!$C$14/1000,0)</f>
        <v>0</v>
      </c>
      <c r="BP236" s="31" t="n">
        <f aca="false">IF(CK236="N",BX236,ROUNDDOWN((J236-M236)*設定!$B$15/1000,0))</f>
        <v>0</v>
      </c>
      <c r="BQ236" s="31" t="n">
        <f aca="false">ROUNDDOWN((J236-M236)*設定!$C$15/1000,0)</f>
        <v>0</v>
      </c>
      <c r="BR236" s="31" t="n">
        <f aca="false">O236+P236</f>
        <v>0</v>
      </c>
      <c r="BS236" s="31" t="n">
        <f aca="false">T236+U236+V236</f>
        <v>0</v>
      </c>
      <c r="BT236" s="31" t="n">
        <f aca="false">Q236</f>
        <v>2297617</v>
      </c>
      <c r="BU236" s="31" t="n">
        <f aca="false">W236</f>
        <v>0</v>
      </c>
      <c r="BV236" s="31" t="n">
        <f aca="false">R236</f>
        <v>156680</v>
      </c>
      <c r="BW236" s="31" t="n">
        <f aca="false">X236</f>
        <v>0</v>
      </c>
      <c r="BX236" s="31" t="n">
        <f aca="false">S236</f>
        <v>50945</v>
      </c>
      <c r="BY236" s="31" t="n">
        <f aca="false">Y236</f>
        <v>0</v>
      </c>
      <c r="BZ236" s="32" t="n">
        <f aca="false">IF(BJ236=0,IF(BR236=0,0,1),(BR236-BJ236)/BJ236)</f>
        <v>0</v>
      </c>
      <c r="CA236" s="32" t="n">
        <f aca="false">IF(BK236=0,IF(BS236=0,0,1),(BS236-BK236)/BK236)</f>
        <v>0</v>
      </c>
      <c r="CB236" s="32" t="n">
        <f aca="false">IF(BL236=0,IF(BT236=0,0,1),(BT236-BL236)/BL236)</f>
        <v>1</v>
      </c>
      <c r="CC236" s="32" t="n">
        <f aca="false">IF(BM236=0,IF(BU236=0,0,1),(BU236-BM236)/BM236)</f>
        <v>0</v>
      </c>
      <c r="CD236" s="32" t="n">
        <f aca="false">IF(BN236=0,IF(BV236=0,0,1),(BV236-BN236)/BN236)</f>
        <v>1</v>
      </c>
      <c r="CE236" s="32" t="n">
        <f aca="false">IF(BO236=0,IF(BW236=0,0,1),(BW236-BO236)/BO236)</f>
        <v>0</v>
      </c>
      <c r="CF236" s="32" t="n">
        <f aca="false">IF(BP236=0,IF(BX236=0,0,1),(BX236-BP236)/BP236)</f>
        <v>1</v>
      </c>
      <c r="CG236" s="32" t="n">
        <f aca="false">IF(BQ236=0,IF(BY236=0,0,1),(BY236-BQ236)/BQ236)</f>
        <v>0</v>
      </c>
      <c r="CH236" s="32" t="n">
        <f aca="false">MAX(MAX(BZ236:CG236),-MIN(BZ236:CG236))</f>
        <v>1</v>
      </c>
      <c r="CI236" s="31" t="n">
        <f aca="false">IF(CO236="","",SUMIFS($CJ$7:$CJ$696,$A$7:$A$696,CO236,$B$7:$B$696,B236))</f>
        <v>3170929</v>
      </c>
      <c r="CJ236" s="31" t="n">
        <f aca="false">SUM(AY236:BI236)</f>
        <v>2505242</v>
      </c>
      <c r="CK236" s="31" t="str">
        <f aca="false">IFERROR(INDEX(設定!$F$61:$F$106,MATCH(B236,設定!$B$61:$B$106,0)),"Y")</f>
        <v>Y</v>
      </c>
      <c r="CL236" s="31" t="str">
        <f aca="false">IFERROR(INDEX(設定!$G$61:$G$106,MATCH(B236,設定!$B$61:$B$106,0)),"外郭型")</f>
        <v>外郭型</v>
      </c>
      <c r="CM236" s="33" t="str">
        <f aca="false">A236&amp;"|"&amp;B236</f>
        <v>2026-07 月例|任意継続組合員</v>
      </c>
      <c r="CN236" s="34" t="str">
        <f aca="false">IFERROR(INDEX(設定!$D$61:$D$106,MATCH(B236,設定!$B$61:$B$106,0)),"Y")</f>
        <v>N</v>
      </c>
      <c r="CO236" s="34" t="str">
        <f aca="false">IFERROR(INDEX(設定!$D$20:$D$34,MATCH(A236,設定!$A$20:$A$34,0))&amp;"","")</f>
        <v>2026-06 月例</v>
      </c>
    </row>
    <row r="237" customFormat="false" ht="15" hidden="true" customHeight="false" outlineLevel="0" collapsed="false">
      <c r="A237" s="22" t="s">
        <v>221</v>
      </c>
      <c r="B237" s="23" t="s">
        <v>166</v>
      </c>
      <c r="C237" s="10" t="str">
        <f aca="false">IF(G237="","未受領",IF(G237="なし","報告なし",IF(AL237="○","起票済",IF(OR(AK237="○",F237="一致",F237="入金不要"),"入金確認済","受領済"))))</f>
        <v>入金確認済</v>
      </c>
      <c r="D237" s="10" t="str">
        <f aca="false">IF(OR(G237="",G237="なし"),"―",IF(CN237="N","対象外",IF(AND(I237="",J237="",K237=""),"標報未入力",IF(CH237&gt;=設定!$B$4,"要確認","問題なし"))))</f>
        <v>対象外</v>
      </c>
      <c r="E237" s="24" t="str">
        <f aca="false">IF(OR(G237="",G237="なし",CI237="",CJ237=0),"―",IF(CJ237=CI237,"前月同額",IF(CI237=0,"―",IF(ABS(CJ237/CI237-1)&gt;=設定!$B$5,"変動大 "&amp;TEXT(CJ237/CI237-1,"+0%;-0%"),"〇"))))</f>
        <v>〇</v>
      </c>
      <c r="F237" s="10" t="str">
        <f aca="false">IF(OR(G237="",G237="なし"),"―",IF(CJ237=0,"入金不要",IF(COUNT(AD237,AF237,AH237,AJ237)=0,IF(AK237="○","手動確認","未入金"),IF(AND(N(AD237)=AC237,IF(AE237="",TRUE(),N(AF237)=AE237),IF(AG237="",TRUE(),N(AH237)=AG237),IF(AI237="",TRUE(),N(AJ237)=AI237)),"一致","不一致"))))</f>
        <v>手動確認</v>
      </c>
      <c r="G237" s="25" t="s">
        <v>167</v>
      </c>
      <c r="H237" s="26"/>
      <c r="I237" s="27"/>
      <c r="J237" s="27"/>
      <c r="K237" s="27"/>
      <c r="L237" s="27"/>
      <c r="M237" s="27"/>
      <c r="N237" s="27"/>
      <c r="O237" s="27" t="n">
        <v>240011361</v>
      </c>
      <c r="P237" s="27" t="n">
        <v>19665696</v>
      </c>
      <c r="Q237" s="27" t="n">
        <v>174300356</v>
      </c>
      <c r="R237" s="27" t="n">
        <v>16027547</v>
      </c>
      <c r="S237" s="27" t="n">
        <v>3863510</v>
      </c>
      <c r="T237" s="27" t="n">
        <v>344490798</v>
      </c>
      <c r="U237" s="27" t="n">
        <v>19152698</v>
      </c>
      <c r="V237" s="27" t="n">
        <v>232681</v>
      </c>
      <c r="W237" s="27" t="n">
        <v>173680228</v>
      </c>
      <c r="X237" s="27" t="n">
        <v>15616952</v>
      </c>
      <c r="Y237" s="27" t="n">
        <v>3783419</v>
      </c>
      <c r="Z237" s="27"/>
      <c r="AA237" s="10" t="str">
        <f aca="false">IFERROR(INDEX(設定!$E$61:$E$106,MATCH(B237,設定!$B$61:$B$106,0)),"合算")</f>
        <v>合算</v>
      </c>
      <c r="AB237" s="28"/>
      <c r="AC237" s="29" t="n">
        <f aca="false">IF(OR(G237="",G237="なし"),"",IF(AA237="合算",CJ237+N(Z237),IF(AA237="掛金・負担金別",(AY237+AZ237+BD237+BF237+BH237),SUM(AY237:BC237))))</f>
        <v>1010825246</v>
      </c>
      <c r="AD237" s="27"/>
      <c r="AE237" s="29" t="str">
        <f aca="false">IF(OR(G237="",G237="なし"),"",IF(AA237="掛金・負担金別",(BA237+BB237+BC237+BE237+BG237+BI237+N(Z237)),IF(AA237="経理区分別",BD237+BE237,"")))</f>
        <v/>
      </c>
      <c r="AF237" s="27"/>
      <c r="AG237" s="29" t="str">
        <f aca="false">IF(OR(G237="",G237="なし"),"",IF(AA237="経理区分別",BF237+BG237,""))</f>
        <v/>
      </c>
      <c r="AH237" s="27"/>
      <c r="AI237" s="29" t="str">
        <f aca="false">IF(OR(G237="",G237="なし"),"",IF(AA237="経理区分別",BH237+BI237+N(Z237),""))</f>
        <v/>
      </c>
      <c r="AJ237" s="27"/>
      <c r="AK237" s="26" t="s">
        <v>168</v>
      </c>
      <c r="AL237" s="26"/>
      <c r="AM237" s="30"/>
      <c r="AN237" s="31"/>
      <c r="AO237" s="31"/>
      <c r="AP237" s="31"/>
      <c r="AQ237" s="31"/>
      <c r="AR237" s="31"/>
      <c r="AS237" s="31"/>
      <c r="AT237" s="31"/>
      <c r="AU237" s="31"/>
      <c r="AV237" s="31"/>
      <c r="AW237" s="31"/>
      <c r="AX237" s="31"/>
      <c r="AY237" s="31" t="n">
        <f aca="false">IF($G237="",AN237,O237)</f>
        <v>240011361</v>
      </c>
      <c r="AZ237" s="31" t="n">
        <f aca="false">IF($G237="",AO237,P237)</f>
        <v>19665696</v>
      </c>
      <c r="BA237" s="31" t="n">
        <f aca="false">IF($G237="",AP237,T237)</f>
        <v>344490798</v>
      </c>
      <c r="BB237" s="31" t="n">
        <f aca="false">IF($G237="",AQ237,U237)</f>
        <v>19152698</v>
      </c>
      <c r="BC237" s="31" t="n">
        <f aca="false">IF($G237="",AR237,V237)</f>
        <v>232681</v>
      </c>
      <c r="BD237" s="31" t="n">
        <f aca="false">IF($G237="",AS237,Q237)</f>
        <v>174300356</v>
      </c>
      <c r="BE237" s="31" t="n">
        <f aca="false">IF($G237="",AT237,W237)</f>
        <v>173680228</v>
      </c>
      <c r="BF237" s="31" t="n">
        <f aca="false">IF($G237="",AU237,R237)</f>
        <v>16027547</v>
      </c>
      <c r="BG237" s="31" t="n">
        <f aca="false">IF($G237="",AV237,X237)</f>
        <v>15616952</v>
      </c>
      <c r="BH237" s="31" t="n">
        <f aca="false">IF($G237="",AW237,S237)</f>
        <v>3863510</v>
      </c>
      <c r="BI237" s="31" t="n">
        <f aca="false">IF($G237="",AX237,Y237)</f>
        <v>3783419</v>
      </c>
      <c r="BJ237" s="31" t="n">
        <f aca="false">IF(CK237="N",BR237,ROUNDDOWN((I237-L237)*設定!$B$10/1000,0)+ROUNDDOWN((I237-L237)*設定!$B$11/1000,0))</f>
        <v>0</v>
      </c>
      <c r="BK237" s="31" t="n">
        <f aca="false">ROUNDDOWN((I237-L237)*設定!$C$10/1000,0)+ROUNDDOWN((I237-L237)*設定!$C$11/1000,0)+ROUNDDOWN(I237*設定!$C$12/1000,0)+IF(CL237="市局型",ROUNDDOWN(I237*設定!$C$16/1000,0),0)</f>
        <v>0</v>
      </c>
      <c r="BL237" s="31" t="n">
        <f aca="false">IF(CK237="N",BT237,ROUNDDOWN((J237-M237)*設定!$B$13/1000,0))</f>
        <v>0</v>
      </c>
      <c r="BM237" s="31" t="n">
        <f aca="false">ROUNDDOWN((J237-M237)*設定!$C$13/1000,0)+IF(CL237="市局型",ROUNDDOWN(J237*設定!$C$17/1000,0),0)</f>
        <v>0</v>
      </c>
      <c r="BN237" s="31" t="n">
        <f aca="false">IF(CK237="N",BV237,ROUNDDOWN((K237-N237)*設定!$B$14/1000,0))</f>
        <v>0</v>
      </c>
      <c r="BO237" s="31" t="n">
        <f aca="false">ROUNDDOWN((K237-N237)*設定!$C$14/1000,0)</f>
        <v>0</v>
      </c>
      <c r="BP237" s="31" t="n">
        <f aca="false">IF(CK237="N",BX237,ROUNDDOWN((J237-M237)*設定!$B$15/1000,0))</f>
        <v>0</v>
      </c>
      <c r="BQ237" s="31" t="n">
        <f aca="false">ROUNDDOWN((J237-M237)*設定!$C$15/1000,0)</f>
        <v>0</v>
      </c>
      <c r="BR237" s="31" t="n">
        <f aca="false">O237+P237</f>
        <v>259677057</v>
      </c>
      <c r="BS237" s="31" t="n">
        <f aca="false">T237+U237+V237</f>
        <v>363876177</v>
      </c>
      <c r="BT237" s="31" t="n">
        <f aca="false">Q237</f>
        <v>174300356</v>
      </c>
      <c r="BU237" s="31" t="n">
        <f aca="false">W237</f>
        <v>173680228</v>
      </c>
      <c r="BV237" s="31" t="n">
        <f aca="false">R237</f>
        <v>16027547</v>
      </c>
      <c r="BW237" s="31" t="n">
        <f aca="false">X237</f>
        <v>15616952</v>
      </c>
      <c r="BX237" s="31" t="n">
        <f aca="false">S237</f>
        <v>3863510</v>
      </c>
      <c r="BY237" s="31" t="n">
        <f aca="false">Y237</f>
        <v>3783419</v>
      </c>
      <c r="BZ237" s="32" t="n">
        <f aca="false">IF(BJ237=0,IF(BR237=0,0,1),(BR237-BJ237)/BJ237)</f>
        <v>1</v>
      </c>
      <c r="CA237" s="32" t="n">
        <f aca="false">IF(BK237=0,IF(BS237=0,0,1),(BS237-BK237)/BK237)</f>
        <v>1</v>
      </c>
      <c r="CB237" s="32" t="n">
        <f aca="false">IF(BL237=0,IF(BT237=0,0,1),(BT237-BL237)/BL237)</f>
        <v>1</v>
      </c>
      <c r="CC237" s="32" t="n">
        <f aca="false">IF(BM237=0,IF(BU237=0,0,1),(BU237-BM237)/BM237)</f>
        <v>1</v>
      </c>
      <c r="CD237" s="32" t="n">
        <f aca="false">IF(BN237=0,IF(BV237=0,0,1),(BV237-BN237)/BN237)</f>
        <v>1</v>
      </c>
      <c r="CE237" s="32" t="n">
        <f aca="false">IF(BO237=0,IF(BW237=0,0,1),(BW237-BO237)/BO237)</f>
        <v>1</v>
      </c>
      <c r="CF237" s="32" t="n">
        <f aca="false">IF(BP237=0,IF(BX237=0,0,1),(BX237-BP237)/BP237)</f>
        <v>1</v>
      </c>
      <c r="CG237" s="32" t="n">
        <f aca="false">IF(BQ237=0,IF(BY237=0,0,1),(BY237-BQ237)/BQ237)</f>
        <v>1</v>
      </c>
      <c r="CH237" s="32" t="n">
        <f aca="false">MAX(MAX(BZ237:CG237),-MIN(BZ237:CG237))</f>
        <v>1</v>
      </c>
      <c r="CI237" s="31" t="n">
        <f aca="false">IF(CO237="","",SUMIFS($CJ$7:$CJ$696,$A$7:$A$696,CO237,$B$7:$B$696,B237))</f>
        <v>1026590595</v>
      </c>
      <c r="CJ237" s="31" t="n">
        <f aca="false">SUM(AY237:BI237)</f>
        <v>1010825246</v>
      </c>
      <c r="CK237" s="31" t="str">
        <f aca="false">IFERROR(INDEX(設定!$F$61:$F$106,MATCH(B237,設定!$B$61:$B$106,0)),"Y")</f>
        <v>Y</v>
      </c>
      <c r="CL237" s="31" t="str">
        <f aca="false">IFERROR(INDEX(設定!$G$61:$G$106,MATCH(B237,設定!$B$61:$B$106,0)),"外郭型")</f>
        <v>市局型</v>
      </c>
      <c r="CM237" s="33" t="str">
        <f aca="false">A237&amp;"|"&amp;B237</f>
        <v>2026-08 月例|市長部局</v>
      </c>
      <c r="CN237" s="34" t="str">
        <f aca="false">IFERROR(INDEX(設定!$D$61:$D$106,MATCH(B237,設定!$B$61:$B$106,0)),"Y")</f>
        <v>N</v>
      </c>
      <c r="CO237" s="34" t="str">
        <f aca="false">IFERROR(INDEX(設定!$D$20:$D$34,MATCH(A237,設定!$A$20:$A$34,0))&amp;"","")</f>
        <v>2026-07 月例</v>
      </c>
    </row>
    <row r="238" customFormat="false" ht="15" hidden="true" customHeight="false" outlineLevel="0" collapsed="false">
      <c r="A238" s="22" t="s">
        <v>221</v>
      </c>
      <c r="B238" s="23" t="s">
        <v>169</v>
      </c>
      <c r="C238" s="10" t="str">
        <f aca="false">IF(G238="","未受領",IF(G238="なし","報告なし",IF(AL238="○","起票済",IF(OR(AK238="○",F238="一致",F238="入金不要"),"入金確認済","受領済"))))</f>
        <v>入金確認済</v>
      </c>
      <c r="D238" s="10" t="str">
        <f aca="false">IF(OR(G238="",G238="なし"),"―",IF(CN238="N","対象外",IF(AND(I238="",J238="",K238=""),"標報未入力",IF(CH238&gt;=設定!$B$4,"要確認","問題なし"))))</f>
        <v>標報未入力</v>
      </c>
      <c r="E238" s="24" t="str">
        <f aca="false">IF(OR(G238="",G238="なし",CI238="",CJ238=0),"―",IF(CJ238=CI238,"前月同額",IF(CI238=0,"―",IF(ABS(CJ238/CI238-1)&gt;=設定!$B$5,"変動大 "&amp;TEXT(CJ238/CI238-1,"+0%;-0%"),"〇"))))</f>
        <v>〇</v>
      </c>
      <c r="F238" s="10" t="str">
        <f aca="false">IF(OR(G238="",G238="なし"),"―",IF(CJ238=0,"入金不要",IF(COUNT(AD238,AF238,AH238,AJ238)=0,IF(AK238="○","手動確認","未入金"),IF(AND(N(AD238)=AC238,IF(AE238="",TRUE(),N(AF238)=AE238),IF(AG238="",TRUE(),N(AH238)=AG238),IF(AI238="",TRUE(),N(AJ238)=AI238)),"一致","不一致"))))</f>
        <v>手動確認</v>
      </c>
      <c r="G238" s="25" t="s">
        <v>167</v>
      </c>
      <c r="H238" s="26"/>
      <c r="I238" s="27"/>
      <c r="J238" s="27"/>
      <c r="K238" s="27"/>
      <c r="L238" s="27"/>
      <c r="M238" s="27"/>
      <c r="N238" s="27"/>
      <c r="O238" s="27" t="n">
        <v>16588035</v>
      </c>
      <c r="P238" s="27" t="n">
        <v>1359675</v>
      </c>
      <c r="Q238" s="27" t="n">
        <v>9727752</v>
      </c>
      <c r="R238" s="27" t="n">
        <v>1036431</v>
      </c>
      <c r="S238" s="27" t="n">
        <v>215631</v>
      </c>
      <c r="T238" s="27" t="n">
        <v>23873287</v>
      </c>
      <c r="U238" s="27" t="n">
        <v>1356600</v>
      </c>
      <c r="V238" s="27" t="n">
        <v>15939</v>
      </c>
      <c r="W238" s="27" t="n">
        <v>9871456</v>
      </c>
      <c r="X238" s="27" t="n">
        <v>1036430</v>
      </c>
      <c r="Y238" s="27" t="n">
        <v>215235</v>
      </c>
      <c r="Z238" s="27"/>
      <c r="AA238" s="10" t="str">
        <f aca="false">IFERROR(INDEX(設定!$E$61:$E$106,MATCH(B238,設定!$B$61:$B$106,0)),"合算")</f>
        <v>合算</v>
      </c>
      <c r="AB238" s="28"/>
      <c r="AC238" s="29" t="n">
        <f aca="false">IF(OR(G238="",G238="なし"),"",IF(AA238="合算",CJ238+N(Z238),IF(AA238="掛金・負担金別",(AY238+AZ238+BD238+BF238+BH238),SUM(AY238:BC238))))</f>
        <v>65296471</v>
      </c>
      <c r="AD238" s="27"/>
      <c r="AE238" s="29" t="str">
        <f aca="false">IF(OR(G238="",G238="なし"),"",IF(AA238="掛金・負担金別",(BA238+BB238+BC238+BE238+BG238+BI238+N(Z238)),IF(AA238="経理区分別",BD238+BE238,"")))</f>
        <v/>
      </c>
      <c r="AF238" s="27"/>
      <c r="AG238" s="29" t="str">
        <f aca="false">IF(OR(G238="",G238="なし"),"",IF(AA238="経理区分別",BF238+BG238,""))</f>
        <v/>
      </c>
      <c r="AH238" s="27"/>
      <c r="AI238" s="29" t="str">
        <f aca="false">IF(OR(G238="",G238="なし"),"",IF(AA238="経理区分別",BH238+BI238+N(Z238),""))</f>
        <v/>
      </c>
      <c r="AJ238" s="27"/>
      <c r="AK238" s="26" t="s">
        <v>168</v>
      </c>
      <c r="AL238" s="26"/>
      <c r="AM238" s="30"/>
      <c r="AN238" s="31"/>
      <c r="AO238" s="31"/>
      <c r="AP238" s="31"/>
      <c r="AQ238" s="31"/>
      <c r="AR238" s="31"/>
      <c r="AS238" s="31"/>
      <c r="AT238" s="31"/>
      <c r="AU238" s="31"/>
      <c r="AV238" s="31"/>
      <c r="AW238" s="31"/>
      <c r="AX238" s="31"/>
      <c r="AY238" s="31" t="n">
        <f aca="false">IF($G238="",AN238,O238)</f>
        <v>16588035</v>
      </c>
      <c r="AZ238" s="31" t="n">
        <f aca="false">IF($G238="",AO238,P238)</f>
        <v>1359675</v>
      </c>
      <c r="BA238" s="31" t="n">
        <f aca="false">IF($G238="",AP238,T238)</f>
        <v>23873287</v>
      </c>
      <c r="BB238" s="31" t="n">
        <f aca="false">IF($G238="",AQ238,U238)</f>
        <v>1356600</v>
      </c>
      <c r="BC238" s="31" t="n">
        <f aca="false">IF($G238="",AR238,V238)</f>
        <v>15939</v>
      </c>
      <c r="BD238" s="31" t="n">
        <f aca="false">IF($G238="",AS238,Q238)</f>
        <v>9727752</v>
      </c>
      <c r="BE238" s="31" t="n">
        <f aca="false">IF($G238="",AT238,W238)</f>
        <v>9871456</v>
      </c>
      <c r="BF238" s="31" t="n">
        <f aca="false">IF($G238="",AU238,R238)</f>
        <v>1036431</v>
      </c>
      <c r="BG238" s="31" t="n">
        <f aca="false">IF($G238="",AV238,X238)</f>
        <v>1036430</v>
      </c>
      <c r="BH238" s="31" t="n">
        <f aca="false">IF($G238="",AW238,S238)</f>
        <v>215631</v>
      </c>
      <c r="BI238" s="31" t="n">
        <f aca="false">IF($G238="",AX238,Y238)</f>
        <v>215235</v>
      </c>
      <c r="BJ238" s="31" t="n">
        <f aca="false">IF(CK238="N",BR238,ROUNDDOWN((I238-L238)*設定!$B$10/1000,0)+ROUNDDOWN((I238-L238)*設定!$B$11/1000,0))</f>
        <v>0</v>
      </c>
      <c r="BK238" s="31" t="n">
        <f aca="false">ROUNDDOWN((I238-L238)*設定!$C$10/1000,0)+ROUNDDOWN((I238-L238)*設定!$C$11/1000,0)+ROUNDDOWN(I238*設定!$C$12/1000,0)+IF(CL238="市局型",ROUNDDOWN(I238*設定!$C$16/1000,0),0)</f>
        <v>0</v>
      </c>
      <c r="BL238" s="31" t="n">
        <f aca="false">IF(CK238="N",BT238,ROUNDDOWN((J238-M238)*設定!$B$13/1000,0))</f>
        <v>0</v>
      </c>
      <c r="BM238" s="31" t="n">
        <f aca="false">ROUNDDOWN((J238-M238)*設定!$C$13/1000,0)+IF(CL238="市局型",ROUNDDOWN(J238*設定!$C$17/1000,0),0)</f>
        <v>0</v>
      </c>
      <c r="BN238" s="31" t="n">
        <f aca="false">IF(CK238="N",BV238,ROUNDDOWN((K238-N238)*設定!$B$14/1000,0))</f>
        <v>0</v>
      </c>
      <c r="BO238" s="31" t="n">
        <f aca="false">ROUNDDOWN((K238-N238)*設定!$C$14/1000,0)</f>
        <v>0</v>
      </c>
      <c r="BP238" s="31" t="n">
        <f aca="false">IF(CK238="N",BX238,ROUNDDOWN((J238-M238)*設定!$B$15/1000,0))</f>
        <v>0</v>
      </c>
      <c r="BQ238" s="31" t="n">
        <f aca="false">ROUNDDOWN((J238-M238)*設定!$C$15/1000,0)</f>
        <v>0</v>
      </c>
      <c r="BR238" s="31" t="n">
        <f aca="false">O238+P238</f>
        <v>17947710</v>
      </c>
      <c r="BS238" s="31" t="n">
        <f aca="false">T238+U238+V238</f>
        <v>25245826</v>
      </c>
      <c r="BT238" s="31" t="n">
        <f aca="false">Q238</f>
        <v>9727752</v>
      </c>
      <c r="BU238" s="31" t="n">
        <f aca="false">W238</f>
        <v>9871456</v>
      </c>
      <c r="BV238" s="31" t="n">
        <f aca="false">R238</f>
        <v>1036431</v>
      </c>
      <c r="BW238" s="31" t="n">
        <f aca="false">X238</f>
        <v>1036430</v>
      </c>
      <c r="BX238" s="31" t="n">
        <f aca="false">S238</f>
        <v>215631</v>
      </c>
      <c r="BY238" s="31" t="n">
        <f aca="false">Y238</f>
        <v>215235</v>
      </c>
      <c r="BZ238" s="32" t="n">
        <f aca="false">IF(BJ238=0,IF(BR238=0,0,1),(BR238-BJ238)/BJ238)</f>
        <v>1</v>
      </c>
      <c r="CA238" s="32" t="n">
        <f aca="false">IF(BK238=0,IF(BS238=0,0,1),(BS238-BK238)/BK238)</f>
        <v>1</v>
      </c>
      <c r="CB238" s="32" t="n">
        <f aca="false">IF(BL238=0,IF(BT238=0,0,1),(BT238-BL238)/BL238)</f>
        <v>1</v>
      </c>
      <c r="CC238" s="32" t="n">
        <f aca="false">IF(BM238=0,IF(BU238=0,0,1),(BU238-BM238)/BM238)</f>
        <v>1</v>
      </c>
      <c r="CD238" s="32" t="n">
        <f aca="false">IF(BN238=0,IF(BV238=0,0,1),(BV238-BN238)/BN238)</f>
        <v>1</v>
      </c>
      <c r="CE238" s="32" t="n">
        <f aca="false">IF(BO238=0,IF(BW238=0,0,1),(BW238-BO238)/BO238)</f>
        <v>1</v>
      </c>
      <c r="CF238" s="32" t="n">
        <f aca="false">IF(BP238=0,IF(BX238=0,0,1),(BX238-BP238)/BP238)</f>
        <v>1</v>
      </c>
      <c r="CG238" s="32" t="n">
        <f aca="false">IF(BQ238=0,IF(BY238=0,0,1),(BY238-BQ238)/BQ238)</f>
        <v>1</v>
      </c>
      <c r="CH238" s="32" t="n">
        <f aca="false">MAX(MAX(BZ238:CG238),-MIN(BZ238:CG238))</f>
        <v>1</v>
      </c>
      <c r="CI238" s="31" t="n">
        <f aca="false">IF(CO238="","",SUMIFS($CJ$7:$CJ$696,$A$7:$A$696,CO238,$B$7:$B$696,B238))</f>
        <v>65635016</v>
      </c>
      <c r="CJ238" s="31" t="n">
        <f aca="false">SUM(AY238:BI238)</f>
        <v>65296471</v>
      </c>
      <c r="CK238" s="31" t="str">
        <f aca="false">IFERROR(INDEX(設定!$F$61:$F$106,MATCH(B238,設定!$B$61:$B$106,0)),"Y")</f>
        <v>Y</v>
      </c>
      <c r="CL238" s="31" t="str">
        <f aca="false">IFERROR(INDEX(設定!$G$61:$G$106,MATCH(B238,設定!$B$61:$B$106,0)),"外郭型")</f>
        <v>市局型</v>
      </c>
      <c r="CM238" s="33" t="str">
        <f aca="false">A238&amp;"|"&amp;B238</f>
        <v>2026-08 月例|下水道局</v>
      </c>
      <c r="CN238" s="34" t="str">
        <f aca="false">IFERROR(INDEX(設定!$D$61:$D$106,MATCH(B238,設定!$B$61:$B$106,0)),"Y")</f>
        <v>Y</v>
      </c>
      <c r="CO238" s="34" t="str">
        <f aca="false">IFERROR(INDEX(設定!$D$20:$D$34,MATCH(A238,設定!$A$20:$A$34,0))&amp;"","")</f>
        <v>2026-07 月例</v>
      </c>
    </row>
    <row r="239" customFormat="false" ht="15" hidden="true" customHeight="false" outlineLevel="0" collapsed="false">
      <c r="A239" s="22" t="s">
        <v>221</v>
      </c>
      <c r="B239" s="23" t="s">
        <v>170</v>
      </c>
      <c r="C239" s="10" t="str">
        <f aca="false">IF(G239="","未受領",IF(G239="なし","報告なし",IF(AL239="○","起票済",IF(OR(AK239="○",F239="一致",F239="入金不要"),"入金確認済","受領済"))))</f>
        <v>入金確認済</v>
      </c>
      <c r="D239" s="10" t="str">
        <f aca="false">IF(OR(G239="",G239="なし"),"―",IF(CN239="N","対象外",IF(AND(I239="",J239="",K239=""),"標報未入力",IF(CH239&gt;=設定!$B$4,"要確認","問題なし"))))</f>
        <v>対象外</v>
      </c>
      <c r="E239" s="24" t="str">
        <f aca="false">IF(OR(G239="",G239="なし",CI239="",CJ239=0),"―",IF(CJ239=CI239,"前月同額",IF(CI239=0,"―",IF(ABS(CJ239/CI239-1)&gt;=設定!$B$5,"変動大 "&amp;TEXT(CJ239/CI239-1,"+0%;-0%"),"〇"))))</f>
        <v>〇</v>
      </c>
      <c r="F239" s="10" t="str">
        <f aca="false">IF(OR(G239="",G239="なし"),"―",IF(CJ239=0,"入金不要",IF(COUNT(AD239,AF239,AH239,AJ239)=0,IF(AK239="○","手動確認","未入金"),IF(AND(N(AD239)=AC239,IF(AE239="",TRUE(),N(AF239)=AE239),IF(AG239="",TRUE(),N(AH239)=AG239),IF(AI239="",TRUE(),N(AJ239)=AI239)),"一致","不一致"))))</f>
        <v>手動確認</v>
      </c>
      <c r="G239" s="25" t="s">
        <v>167</v>
      </c>
      <c r="H239" s="26"/>
      <c r="I239" s="27"/>
      <c r="J239" s="27"/>
      <c r="K239" s="27"/>
      <c r="L239" s="27"/>
      <c r="M239" s="27"/>
      <c r="N239" s="27"/>
      <c r="O239" s="27" t="n">
        <v>55235805</v>
      </c>
      <c r="P239" s="27" t="n">
        <v>4527525</v>
      </c>
      <c r="Q239" s="27" t="n">
        <v>31992417</v>
      </c>
      <c r="R239" s="27" t="n">
        <v>2081981</v>
      </c>
      <c r="S239" s="27" t="n">
        <v>709180</v>
      </c>
      <c r="T239" s="27" t="n">
        <v>79571664</v>
      </c>
      <c r="U239" s="27" t="n">
        <v>4511700</v>
      </c>
      <c r="V239" s="27" t="n">
        <v>53136</v>
      </c>
      <c r="W239" s="27" t="n">
        <v>32430032</v>
      </c>
      <c r="X239" s="27" t="n">
        <v>2069025</v>
      </c>
      <c r="Y239" s="27" t="n">
        <v>707025</v>
      </c>
      <c r="Z239" s="27"/>
      <c r="AA239" s="10" t="str">
        <f aca="false">IFERROR(INDEX(設定!$E$61:$E$106,MATCH(B239,設定!$B$61:$B$106,0)),"合算")</f>
        <v>合算</v>
      </c>
      <c r="AB239" s="28"/>
      <c r="AC239" s="29" t="n">
        <f aca="false">IF(OR(G239="",G239="なし"),"",IF(AA239="合算",CJ239+N(Z239),IF(AA239="掛金・負担金別",(AY239+AZ239+BD239+BF239+BH239),SUM(AY239:BC239))))</f>
        <v>213889490</v>
      </c>
      <c r="AD239" s="27"/>
      <c r="AE239" s="29" t="str">
        <f aca="false">IF(OR(G239="",G239="なし"),"",IF(AA239="掛金・負担金別",(BA239+BB239+BC239+BE239+BG239+BI239+N(Z239)),IF(AA239="経理区分別",BD239+BE239,"")))</f>
        <v/>
      </c>
      <c r="AF239" s="27"/>
      <c r="AG239" s="29" t="str">
        <f aca="false">IF(OR(G239="",G239="なし"),"",IF(AA239="経理区分別",BF239+BG239,""))</f>
        <v/>
      </c>
      <c r="AH239" s="27"/>
      <c r="AI239" s="29" t="str">
        <f aca="false">IF(OR(G239="",G239="なし"),"",IF(AA239="経理区分別",BH239+BI239+N(Z239),""))</f>
        <v/>
      </c>
      <c r="AJ239" s="27"/>
      <c r="AK239" s="26" t="s">
        <v>168</v>
      </c>
      <c r="AL239" s="26"/>
      <c r="AM239" s="30"/>
      <c r="AN239" s="31"/>
      <c r="AO239" s="31"/>
      <c r="AP239" s="31"/>
      <c r="AQ239" s="31"/>
      <c r="AR239" s="31"/>
      <c r="AS239" s="31"/>
      <c r="AT239" s="31"/>
      <c r="AU239" s="31"/>
      <c r="AV239" s="31"/>
      <c r="AW239" s="31"/>
      <c r="AX239" s="31"/>
      <c r="AY239" s="31" t="n">
        <f aca="false">IF($G239="",AN239,O239)</f>
        <v>55235805</v>
      </c>
      <c r="AZ239" s="31" t="n">
        <f aca="false">IF($G239="",AO239,P239)</f>
        <v>4527525</v>
      </c>
      <c r="BA239" s="31" t="n">
        <f aca="false">IF($G239="",AP239,T239)</f>
        <v>79571664</v>
      </c>
      <c r="BB239" s="31" t="n">
        <f aca="false">IF($G239="",AQ239,U239)</f>
        <v>4511700</v>
      </c>
      <c r="BC239" s="31" t="n">
        <f aca="false">IF($G239="",AR239,V239)</f>
        <v>53136</v>
      </c>
      <c r="BD239" s="31" t="n">
        <f aca="false">IF($G239="",AS239,Q239)</f>
        <v>31992417</v>
      </c>
      <c r="BE239" s="31" t="n">
        <f aca="false">IF($G239="",AT239,W239)</f>
        <v>32430032</v>
      </c>
      <c r="BF239" s="31" t="n">
        <f aca="false">IF($G239="",AU239,R239)</f>
        <v>2081981</v>
      </c>
      <c r="BG239" s="31" t="n">
        <f aca="false">IF($G239="",AV239,X239)</f>
        <v>2069025</v>
      </c>
      <c r="BH239" s="31" t="n">
        <f aca="false">IF($G239="",AW239,S239)</f>
        <v>709180</v>
      </c>
      <c r="BI239" s="31" t="n">
        <f aca="false">IF($G239="",AX239,Y239)</f>
        <v>707025</v>
      </c>
      <c r="BJ239" s="31" t="n">
        <f aca="false">IF(CK239="N",BR239,ROUNDDOWN((I239-L239)*設定!$B$10/1000,0)+ROUNDDOWN((I239-L239)*設定!$B$11/1000,0))</f>
        <v>0</v>
      </c>
      <c r="BK239" s="31" t="n">
        <f aca="false">ROUNDDOWN((I239-L239)*設定!$C$10/1000,0)+ROUNDDOWN((I239-L239)*設定!$C$11/1000,0)+ROUNDDOWN(I239*設定!$C$12/1000,0)+IF(CL239="市局型",ROUNDDOWN(I239*設定!$C$16/1000,0),0)</f>
        <v>0</v>
      </c>
      <c r="BL239" s="31" t="n">
        <f aca="false">IF(CK239="N",BT239,ROUNDDOWN((J239-M239)*設定!$B$13/1000,0))</f>
        <v>0</v>
      </c>
      <c r="BM239" s="31" t="n">
        <f aca="false">ROUNDDOWN((J239-M239)*設定!$C$13/1000,0)+IF(CL239="市局型",ROUNDDOWN(J239*設定!$C$17/1000,0),0)</f>
        <v>0</v>
      </c>
      <c r="BN239" s="31" t="n">
        <f aca="false">IF(CK239="N",BV239,ROUNDDOWN((K239-N239)*設定!$B$14/1000,0))</f>
        <v>0</v>
      </c>
      <c r="BO239" s="31" t="n">
        <f aca="false">ROUNDDOWN((K239-N239)*設定!$C$14/1000,0)</f>
        <v>0</v>
      </c>
      <c r="BP239" s="31" t="n">
        <f aca="false">IF(CK239="N",BX239,ROUNDDOWN((J239-M239)*設定!$B$15/1000,0))</f>
        <v>0</v>
      </c>
      <c r="BQ239" s="31" t="n">
        <f aca="false">ROUNDDOWN((J239-M239)*設定!$C$15/1000,0)</f>
        <v>0</v>
      </c>
      <c r="BR239" s="31" t="n">
        <f aca="false">O239+P239</f>
        <v>59763330</v>
      </c>
      <c r="BS239" s="31" t="n">
        <f aca="false">T239+U239+V239</f>
        <v>84136500</v>
      </c>
      <c r="BT239" s="31" t="n">
        <f aca="false">Q239</f>
        <v>31992417</v>
      </c>
      <c r="BU239" s="31" t="n">
        <f aca="false">W239</f>
        <v>32430032</v>
      </c>
      <c r="BV239" s="31" t="n">
        <f aca="false">R239</f>
        <v>2081981</v>
      </c>
      <c r="BW239" s="31" t="n">
        <f aca="false">X239</f>
        <v>2069025</v>
      </c>
      <c r="BX239" s="31" t="n">
        <f aca="false">S239</f>
        <v>709180</v>
      </c>
      <c r="BY239" s="31" t="n">
        <f aca="false">Y239</f>
        <v>707025</v>
      </c>
      <c r="BZ239" s="32" t="n">
        <f aca="false">IF(BJ239=0,IF(BR239=0,0,1),(BR239-BJ239)/BJ239)</f>
        <v>1</v>
      </c>
      <c r="CA239" s="32" t="n">
        <f aca="false">IF(BK239=0,IF(BS239=0,0,1),(BS239-BK239)/BK239)</f>
        <v>1</v>
      </c>
      <c r="CB239" s="32" t="n">
        <f aca="false">IF(BL239=0,IF(BT239=0,0,1),(BT239-BL239)/BL239)</f>
        <v>1</v>
      </c>
      <c r="CC239" s="32" t="n">
        <f aca="false">IF(BM239=0,IF(BU239=0,0,1),(BU239-BM239)/BM239)</f>
        <v>1</v>
      </c>
      <c r="CD239" s="32" t="n">
        <f aca="false">IF(BN239=0,IF(BV239=0,0,1),(BV239-BN239)/BN239)</f>
        <v>1</v>
      </c>
      <c r="CE239" s="32" t="n">
        <f aca="false">IF(BO239=0,IF(BW239=0,0,1),(BW239-BO239)/BO239)</f>
        <v>1</v>
      </c>
      <c r="CF239" s="32" t="n">
        <f aca="false">IF(BP239=0,IF(BX239=0,0,1),(BX239-BP239)/BP239)</f>
        <v>1</v>
      </c>
      <c r="CG239" s="32" t="n">
        <f aca="false">IF(BQ239=0,IF(BY239=0,0,1),(BY239-BQ239)/BQ239)</f>
        <v>1</v>
      </c>
      <c r="CH239" s="32" t="n">
        <f aca="false">MAX(MAX(BZ239:CG239),-MIN(BZ239:CG239))</f>
        <v>1</v>
      </c>
      <c r="CI239" s="31" t="n">
        <f aca="false">IF(CO239="","",SUMIFS($CJ$7:$CJ$696,$A$7:$A$696,CO239,$B$7:$B$696,B239))</f>
        <v>214555199</v>
      </c>
      <c r="CJ239" s="31" t="n">
        <f aca="false">SUM(AY239:BI239)</f>
        <v>213889490</v>
      </c>
      <c r="CK239" s="31" t="str">
        <f aca="false">IFERROR(INDEX(設定!$F$61:$F$106,MATCH(B239,設定!$B$61:$B$106,0)),"Y")</f>
        <v>Y</v>
      </c>
      <c r="CL239" s="31" t="str">
        <f aca="false">IFERROR(INDEX(設定!$G$61:$G$106,MATCH(B239,設定!$B$61:$B$106,0)),"外郭型")</f>
        <v>市局型</v>
      </c>
      <c r="CM239" s="33" t="str">
        <f aca="false">A239&amp;"|"&amp;B239</f>
        <v>2026-08 月例|消防局</v>
      </c>
      <c r="CN239" s="34" t="str">
        <f aca="false">IFERROR(INDEX(設定!$D$61:$D$106,MATCH(B239,設定!$B$61:$B$106,0)),"Y")</f>
        <v>N</v>
      </c>
      <c r="CO239" s="34" t="str">
        <f aca="false">IFERROR(INDEX(設定!$D$20:$D$34,MATCH(A239,設定!$A$20:$A$34,0))&amp;"","")</f>
        <v>2026-07 月例</v>
      </c>
    </row>
    <row r="240" customFormat="false" ht="15" hidden="true" customHeight="false" outlineLevel="0" collapsed="false">
      <c r="A240" s="22" t="s">
        <v>221</v>
      </c>
      <c r="B240" s="23" t="s">
        <v>171</v>
      </c>
      <c r="C240" s="10" t="str">
        <f aca="false">IF(G240="","未受領",IF(G240="なし","報告なし",IF(AL240="○","起票済",IF(OR(AK240="○",F240="一致",F240="入金不要"),"入金確認済","受領済"))))</f>
        <v>入金確認済</v>
      </c>
      <c r="D240" s="10" t="str">
        <f aca="false">IF(OR(G240="",G240="なし"),"―",IF(CN240="N","対象外",IF(AND(I240="",J240="",K240=""),"標報未入力",IF(CH240&gt;=設定!$B$4,"要確認","問題なし"))))</f>
        <v>標報未入力</v>
      </c>
      <c r="E240" s="24" t="str">
        <f aca="false">IF(OR(G240="",G240="なし",CI240="",CJ240=0),"―",IF(CJ240=CI240,"前月同額",IF(CI240=0,"―",IF(ABS(CJ240/CI240-1)&gt;=設定!$B$5,"変動大 "&amp;TEXT(CJ240/CI240-1,"+0%;-0%"),"〇"))))</f>
        <v>〇</v>
      </c>
      <c r="F240" s="10" t="str">
        <f aca="false">IF(OR(G240="",G240="なし"),"―",IF(CJ240=0,"入金不要",IF(COUNT(AD240,AF240,AH240,AJ240)=0,IF(AK240="○","手動確認","未入金"),IF(AND(N(AD240)=AC240,IF(AE240="",TRUE(),N(AF240)=AE240),IF(AG240="",TRUE(),N(AH240)=AG240),IF(AI240="",TRUE(),N(AJ240)=AI240)),"一致","不一致"))))</f>
        <v>手動確認</v>
      </c>
      <c r="G240" s="25" t="s">
        <v>167</v>
      </c>
      <c r="H240" s="26"/>
      <c r="I240" s="27"/>
      <c r="J240" s="27"/>
      <c r="K240" s="27"/>
      <c r="L240" s="27"/>
      <c r="M240" s="27"/>
      <c r="N240" s="27"/>
      <c r="O240" s="27" t="n">
        <v>1820850</v>
      </c>
      <c r="P240" s="27" t="n">
        <v>149250</v>
      </c>
      <c r="Q240" s="27" t="n">
        <v>1038220</v>
      </c>
      <c r="R240" s="27" t="n">
        <v>103885</v>
      </c>
      <c r="S240" s="27" t="n">
        <v>23014</v>
      </c>
      <c r="T240" s="27" t="n">
        <v>2624436</v>
      </c>
      <c r="U240" s="27" t="n">
        <v>149250</v>
      </c>
      <c r="V240" s="27" t="n">
        <v>1750</v>
      </c>
      <c r="W240" s="27" t="n">
        <v>1055863</v>
      </c>
      <c r="X240" s="27" t="n">
        <v>103885</v>
      </c>
      <c r="Y240" s="27" t="n">
        <v>23023</v>
      </c>
      <c r="Z240" s="27"/>
      <c r="AA240" s="10" t="str">
        <f aca="false">IFERROR(INDEX(設定!$E$61:$E$106,MATCH(B240,設定!$B$61:$B$106,0)),"合算")</f>
        <v>合算</v>
      </c>
      <c r="AB240" s="28"/>
      <c r="AC240" s="29" t="n">
        <f aca="false">IF(OR(G240="",G240="なし"),"",IF(AA240="合算",CJ240+N(Z240),IF(AA240="掛金・負担金別",(AY240+AZ240+BD240+BF240+BH240),SUM(AY240:BC240))))</f>
        <v>7093426</v>
      </c>
      <c r="AD240" s="27"/>
      <c r="AE240" s="29" t="str">
        <f aca="false">IF(OR(G240="",G240="なし"),"",IF(AA240="掛金・負担金別",(BA240+BB240+BC240+BE240+BG240+BI240+N(Z240)),IF(AA240="経理区分別",BD240+BE240,"")))</f>
        <v/>
      </c>
      <c r="AF240" s="27"/>
      <c r="AG240" s="29" t="str">
        <f aca="false">IF(OR(G240="",G240="なし"),"",IF(AA240="経理区分別",BF240+BG240,""))</f>
        <v/>
      </c>
      <c r="AH240" s="27"/>
      <c r="AI240" s="29" t="str">
        <f aca="false">IF(OR(G240="",G240="なし"),"",IF(AA240="経理区分別",BH240+BI240+N(Z240),""))</f>
        <v/>
      </c>
      <c r="AJ240" s="27"/>
      <c r="AK240" s="26" t="s">
        <v>168</v>
      </c>
      <c r="AL240" s="26"/>
      <c r="AM240" s="30"/>
      <c r="AN240" s="31"/>
      <c r="AO240" s="31"/>
      <c r="AP240" s="31"/>
      <c r="AQ240" s="31"/>
      <c r="AR240" s="31"/>
      <c r="AS240" s="31"/>
      <c r="AT240" s="31"/>
      <c r="AU240" s="31"/>
      <c r="AV240" s="31"/>
      <c r="AW240" s="31"/>
      <c r="AX240" s="31"/>
      <c r="AY240" s="31" t="n">
        <f aca="false">IF($G240="",AN240,O240)</f>
        <v>1820850</v>
      </c>
      <c r="AZ240" s="31" t="n">
        <f aca="false">IF($G240="",AO240,P240)</f>
        <v>149250</v>
      </c>
      <c r="BA240" s="31" t="n">
        <f aca="false">IF($G240="",AP240,T240)</f>
        <v>2624436</v>
      </c>
      <c r="BB240" s="31" t="n">
        <f aca="false">IF($G240="",AQ240,U240)</f>
        <v>149250</v>
      </c>
      <c r="BC240" s="31" t="n">
        <f aca="false">IF($G240="",AR240,V240)</f>
        <v>1750</v>
      </c>
      <c r="BD240" s="31" t="n">
        <f aca="false">IF($G240="",AS240,Q240)</f>
        <v>1038220</v>
      </c>
      <c r="BE240" s="31" t="n">
        <f aca="false">IF($G240="",AT240,W240)</f>
        <v>1055863</v>
      </c>
      <c r="BF240" s="31" t="n">
        <f aca="false">IF($G240="",AU240,R240)</f>
        <v>103885</v>
      </c>
      <c r="BG240" s="31" t="n">
        <f aca="false">IF($G240="",AV240,X240)</f>
        <v>103885</v>
      </c>
      <c r="BH240" s="31" t="n">
        <f aca="false">IF($G240="",AW240,S240)</f>
        <v>23014</v>
      </c>
      <c r="BI240" s="31" t="n">
        <f aca="false">IF($G240="",AX240,Y240)</f>
        <v>23023</v>
      </c>
      <c r="BJ240" s="31" t="n">
        <f aca="false">IF(CK240="N",BR240,ROUNDDOWN((I240-L240)*設定!$B$10/1000,0)+ROUNDDOWN((I240-L240)*設定!$B$11/1000,0))</f>
        <v>0</v>
      </c>
      <c r="BK240" s="31" t="n">
        <f aca="false">ROUNDDOWN((I240-L240)*設定!$C$10/1000,0)+ROUNDDOWN((I240-L240)*設定!$C$11/1000,0)+ROUNDDOWN(I240*設定!$C$12/1000,0)+IF(CL240="市局型",ROUNDDOWN(I240*設定!$C$16/1000,0),0)</f>
        <v>0</v>
      </c>
      <c r="BL240" s="31" t="n">
        <f aca="false">IF(CK240="N",BT240,ROUNDDOWN((J240-M240)*設定!$B$13/1000,0))</f>
        <v>0</v>
      </c>
      <c r="BM240" s="31" t="n">
        <f aca="false">ROUNDDOWN((J240-M240)*設定!$C$13/1000,0)+IF(CL240="市局型",ROUNDDOWN(J240*設定!$C$17/1000,0),0)</f>
        <v>0</v>
      </c>
      <c r="BN240" s="31" t="n">
        <f aca="false">IF(CK240="N",BV240,ROUNDDOWN((K240-N240)*設定!$B$14/1000,0))</f>
        <v>0</v>
      </c>
      <c r="BO240" s="31" t="n">
        <f aca="false">ROUNDDOWN((K240-N240)*設定!$C$14/1000,0)</f>
        <v>0</v>
      </c>
      <c r="BP240" s="31" t="n">
        <f aca="false">IF(CK240="N",BX240,ROUNDDOWN((J240-M240)*設定!$B$15/1000,0))</f>
        <v>0</v>
      </c>
      <c r="BQ240" s="31" t="n">
        <f aca="false">ROUNDDOWN((J240-M240)*設定!$C$15/1000,0)</f>
        <v>0</v>
      </c>
      <c r="BR240" s="31" t="n">
        <f aca="false">O240+P240</f>
        <v>1970100</v>
      </c>
      <c r="BS240" s="31" t="n">
        <f aca="false">T240+U240+V240</f>
        <v>2775436</v>
      </c>
      <c r="BT240" s="31" t="n">
        <f aca="false">Q240</f>
        <v>1038220</v>
      </c>
      <c r="BU240" s="31" t="n">
        <f aca="false">W240</f>
        <v>1055863</v>
      </c>
      <c r="BV240" s="31" t="n">
        <f aca="false">R240</f>
        <v>103885</v>
      </c>
      <c r="BW240" s="31" t="n">
        <f aca="false">X240</f>
        <v>103885</v>
      </c>
      <c r="BX240" s="31" t="n">
        <f aca="false">S240</f>
        <v>23014</v>
      </c>
      <c r="BY240" s="31" t="n">
        <f aca="false">Y240</f>
        <v>23023</v>
      </c>
      <c r="BZ240" s="32" t="n">
        <f aca="false">IF(BJ240=0,IF(BR240=0,0,1),(BR240-BJ240)/BJ240)</f>
        <v>1</v>
      </c>
      <c r="CA240" s="32" t="n">
        <f aca="false">IF(BK240=0,IF(BS240=0,0,1),(BS240-BK240)/BK240)</f>
        <v>1</v>
      </c>
      <c r="CB240" s="32" t="n">
        <f aca="false">IF(BL240=0,IF(BT240=0,0,1),(BT240-BL240)/BL240)</f>
        <v>1</v>
      </c>
      <c r="CC240" s="32" t="n">
        <f aca="false">IF(BM240=0,IF(BU240=0,0,1),(BU240-BM240)/BM240)</f>
        <v>1</v>
      </c>
      <c r="CD240" s="32" t="n">
        <f aca="false">IF(BN240=0,IF(BV240=0,0,1),(BV240-BN240)/BN240)</f>
        <v>1</v>
      </c>
      <c r="CE240" s="32" t="n">
        <f aca="false">IF(BO240=0,IF(BW240=0,0,1),(BW240-BO240)/BO240)</f>
        <v>1</v>
      </c>
      <c r="CF240" s="32" t="n">
        <f aca="false">IF(BP240=0,IF(BX240=0,0,1),(BX240-BP240)/BP240)</f>
        <v>1</v>
      </c>
      <c r="CG240" s="32" t="n">
        <f aca="false">IF(BQ240=0,IF(BY240=0,0,1),(BY240-BQ240)/BQ240)</f>
        <v>1</v>
      </c>
      <c r="CH240" s="32" t="n">
        <f aca="false">MAX(MAX(BZ240:CG240),-MIN(BZ240:CG240))</f>
        <v>1</v>
      </c>
      <c r="CI240" s="31" t="n">
        <f aca="false">IF(CO240="","",SUMIFS($CJ$7:$CJ$696,$A$7:$A$696,CO240,$B$7:$B$696,B240))</f>
        <v>7018295</v>
      </c>
      <c r="CJ240" s="31" t="n">
        <f aca="false">SUM(AY240:BI240)</f>
        <v>7093426</v>
      </c>
      <c r="CK240" s="31" t="str">
        <f aca="false">IFERROR(INDEX(設定!$F$61:$F$106,MATCH(B240,設定!$B$61:$B$106,0)),"Y")</f>
        <v>Y</v>
      </c>
      <c r="CL240" s="31" t="str">
        <f aca="false">IFERROR(INDEX(設定!$G$61:$G$106,MATCH(B240,設定!$B$61:$B$106,0)),"外郭型")</f>
        <v>市局型</v>
      </c>
      <c r="CM240" s="33" t="str">
        <f aca="false">A240&amp;"|"&amp;B240</f>
        <v>2026-08 月例|議会事務局</v>
      </c>
      <c r="CN240" s="34" t="str">
        <f aca="false">IFERROR(INDEX(設定!$D$61:$D$106,MATCH(B240,設定!$B$61:$B$106,0)),"Y")</f>
        <v>Y</v>
      </c>
      <c r="CO240" s="34" t="str">
        <f aca="false">IFERROR(INDEX(設定!$D$20:$D$34,MATCH(A240,設定!$A$20:$A$34,0))&amp;"","")</f>
        <v>2026-07 月例</v>
      </c>
    </row>
    <row r="241" customFormat="false" ht="15" hidden="true" customHeight="false" outlineLevel="0" collapsed="false">
      <c r="A241" s="22" t="s">
        <v>221</v>
      </c>
      <c r="B241" s="23" t="s">
        <v>172</v>
      </c>
      <c r="C241" s="10" t="str">
        <f aca="false">IF(G241="","未受領",IF(G241="なし","報告なし",IF(AL241="○","起票済",IF(OR(AK241="○",F241="一致",F241="入金不要"),"入金確認済","受領済"))))</f>
        <v>入金確認済</v>
      </c>
      <c r="D241" s="10" t="str">
        <f aca="false">IF(OR(G241="",G241="なし"),"―",IF(CN241="N","対象外",IF(AND(I241="",J241="",K241=""),"標報未入力",IF(CH241&gt;=設定!$B$4,"要確認","問題なし"))))</f>
        <v>対象外</v>
      </c>
      <c r="E241" s="24" t="str">
        <f aca="false">IF(OR(G241="",G241="なし",CI241="",CJ241=0),"―",IF(CJ241=CI241,"前月同額",IF(CI241=0,"―",IF(ABS(CJ241/CI241-1)&gt;=設定!$B$5,"変動大 "&amp;TEXT(CJ241/CI241-1,"+0%;-0%"),"〇"))))</f>
        <v>〇</v>
      </c>
      <c r="F241" s="10" t="str">
        <f aca="false">IF(OR(G241="",G241="なし"),"―",IF(CJ241=0,"入金不要",IF(COUNT(AD241,AF241,AH241,AJ241)=0,IF(AK241="○","手動確認","未入金"),IF(AND(N(AD241)=AC241,IF(AE241="",TRUE(),N(AF241)=AE241),IF(AG241="",TRUE(),N(AH241)=AG241),IF(AI241="",TRUE(),N(AJ241)=AI241)),"一致","不一致"))))</f>
        <v>手動確認</v>
      </c>
      <c r="G241" s="25" t="s">
        <v>167</v>
      </c>
      <c r="H241" s="26"/>
      <c r="I241" s="27"/>
      <c r="J241" s="27"/>
      <c r="K241" s="27"/>
      <c r="L241" s="27"/>
      <c r="M241" s="27"/>
      <c r="N241" s="27"/>
      <c r="O241" s="27" t="n">
        <v>24341928</v>
      </c>
      <c r="P241" s="27" t="n">
        <v>1995240</v>
      </c>
      <c r="Q241" s="27" t="n">
        <v>23861925</v>
      </c>
      <c r="R241" s="27" t="n">
        <v>2786882</v>
      </c>
      <c r="S241" s="27" t="n">
        <v>528582</v>
      </c>
      <c r="T241" s="27" t="n">
        <v>35033612</v>
      </c>
      <c r="U241" s="27" t="n">
        <v>1995240</v>
      </c>
      <c r="V241" s="27" t="n">
        <v>23280</v>
      </c>
      <c r="W241" s="27" t="n">
        <v>24258573</v>
      </c>
      <c r="X241" s="27" t="n">
        <v>2788577</v>
      </c>
      <c r="Y241" s="27" t="n">
        <v>528695</v>
      </c>
      <c r="Z241" s="27"/>
      <c r="AA241" s="10" t="str">
        <f aca="false">IFERROR(INDEX(設定!$E$61:$E$106,MATCH(B241,設定!$B$61:$B$106,0)),"合算")</f>
        <v>合算</v>
      </c>
      <c r="AB241" s="28"/>
      <c r="AC241" s="29" t="n">
        <f aca="false">IF(OR(G241="",G241="なし"),"",IF(AA241="合算",CJ241+N(Z241),IF(AA241="掛金・負担金別",(AY241+AZ241+BD241+BF241+BH241),SUM(AY241:BC241))))</f>
        <v>118142534</v>
      </c>
      <c r="AD241" s="27"/>
      <c r="AE241" s="29" t="str">
        <f aca="false">IF(OR(G241="",G241="なし"),"",IF(AA241="掛金・負担金別",(BA241+BB241+BC241+BE241+BG241+BI241+N(Z241)),IF(AA241="経理区分別",BD241+BE241,"")))</f>
        <v/>
      </c>
      <c r="AF241" s="27"/>
      <c r="AG241" s="29" t="str">
        <f aca="false">IF(OR(G241="",G241="なし"),"",IF(AA241="経理区分別",BF241+BG241,""))</f>
        <v/>
      </c>
      <c r="AH241" s="27"/>
      <c r="AI241" s="29" t="str">
        <f aca="false">IF(OR(G241="",G241="なし"),"",IF(AA241="経理区分別",BH241+BI241+N(Z241),""))</f>
        <v/>
      </c>
      <c r="AJ241" s="27"/>
      <c r="AK241" s="26" t="s">
        <v>168</v>
      </c>
      <c r="AL241" s="26"/>
      <c r="AM241" s="30"/>
      <c r="AN241" s="31"/>
      <c r="AO241" s="31"/>
      <c r="AP241" s="31"/>
      <c r="AQ241" s="31"/>
      <c r="AR241" s="31"/>
      <c r="AS241" s="31"/>
      <c r="AT241" s="31"/>
      <c r="AU241" s="31"/>
      <c r="AV241" s="31"/>
      <c r="AW241" s="31"/>
      <c r="AX241" s="31"/>
      <c r="AY241" s="31" t="n">
        <f aca="false">IF($G241="",AN241,O241)</f>
        <v>24341928</v>
      </c>
      <c r="AZ241" s="31" t="n">
        <f aca="false">IF($G241="",AO241,P241)</f>
        <v>1995240</v>
      </c>
      <c r="BA241" s="31" t="n">
        <f aca="false">IF($G241="",AP241,T241)</f>
        <v>35033612</v>
      </c>
      <c r="BB241" s="31" t="n">
        <f aca="false">IF($G241="",AQ241,U241)</f>
        <v>1995240</v>
      </c>
      <c r="BC241" s="31" t="n">
        <f aca="false">IF($G241="",AR241,V241)</f>
        <v>23280</v>
      </c>
      <c r="BD241" s="31" t="n">
        <f aca="false">IF($G241="",AS241,Q241)</f>
        <v>23861925</v>
      </c>
      <c r="BE241" s="31" t="n">
        <f aca="false">IF($G241="",AT241,W241)</f>
        <v>24258573</v>
      </c>
      <c r="BF241" s="31" t="n">
        <f aca="false">IF($G241="",AU241,R241)</f>
        <v>2786882</v>
      </c>
      <c r="BG241" s="31" t="n">
        <f aca="false">IF($G241="",AV241,X241)</f>
        <v>2788577</v>
      </c>
      <c r="BH241" s="31" t="n">
        <f aca="false">IF($G241="",AW241,S241)</f>
        <v>528582</v>
      </c>
      <c r="BI241" s="31" t="n">
        <f aca="false">IF($G241="",AX241,Y241)</f>
        <v>528695</v>
      </c>
      <c r="BJ241" s="31" t="n">
        <f aca="false">IF(CK241="N",BR241,ROUNDDOWN((I241-L241)*設定!$B$10/1000,0)+ROUNDDOWN((I241-L241)*設定!$B$11/1000,0))</f>
        <v>0</v>
      </c>
      <c r="BK241" s="31" t="n">
        <f aca="false">ROUNDDOWN((I241-L241)*設定!$C$10/1000,0)+ROUNDDOWN((I241-L241)*設定!$C$11/1000,0)+ROUNDDOWN(I241*設定!$C$12/1000,0)+IF(CL241="市局型",ROUNDDOWN(I241*設定!$C$16/1000,0),0)</f>
        <v>0</v>
      </c>
      <c r="BL241" s="31" t="n">
        <f aca="false">IF(CK241="N",BT241,ROUNDDOWN((J241-M241)*設定!$B$13/1000,0))</f>
        <v>0</v>
      </c>
      <c r="BM241" s="31" t="n">
        <f aca="false">ROUNDDOWN((J241-M241)*設定!$C$13/1000,0)+IF(CL241="市局型",ROUNDDOWN(J241*設定!$C$17/1000,0),0)</f>
        <v>0</v>
      </c>
      <c r="BN241" s="31" t="n">
        <f aca="false">IF(CK241="N",BV241,ROUNDDOWN((K241-N241)*設定!$B$14/1000,0))</f>
        <v>0</v>
      </c>
      <c r="BO241" s="31" t="n">
        <f aca="false">ROUNDDOWN((K241-N241)*設定!$C$14/1000,0)</f>
        <v>0</v>
      </c>
      <c r="BP241" s="31" t="n">
        <f aca="false">IF(CK241="N",BX241,ROUNDDOWN((J241-M241)*設定!$B$15/1000,0))</f>
        <v>0</v>
      </c>
      <c r="BQ241" s="31" t="n">
        <f aca="false">ROUNDDOWN((J241-M241)*設定!$C$15/1000,0)</f>
        <v>0</v>
      </c>
      <c r="BR241" s="31" t="n">
        <f aca="false">O241+P241</f>
        <v>26337168</v>
      </c>
      <c r="BS241" s="31" t="n">
        <f aca="false">T241+U241+V241</f>
        <v>37052132</v>
      </c>
      <c r="BT241" s="31" t="n">
        <f aca="false">Q241</f>
        <v>23861925</v>
      </c>
      <c r="BU241" s="31" t="n">
        <f aca="false">W241</f>
        <v>24258573</v>
      </c>
      <c r="BV241" s="31" t="n">
        <f aca="false">R241</f>
        <v>2786882</v>
      </c>
      <c r="BW241" s="31" t="n">
        <f aca="false">X241</f>
        <v>2788577</v>
      </c>
      <c r="BX241" s="31" t="n">
        <f aca="false">S241</f>
        <v>528582</v>
      </c>
      <c r="BY241" s="31" t="n">
        <f aca="false">Y241</f>
        <v>528695</v>
      </c>
      <c r="BZ241" s="32" t="n">
        <f aca="false">IF(BJ241=0,IF(BR241=0,0,1),(BR241-BJ241)/BJ241)</f>
        <v>1</v>
      </c>
      <c r="CA241" s="32" t="n">
        <f aca="false">IF(BK241=0,IF(BS241=0,0,1),(BS241-BK241)/BK241)</f>
        <v>1</v>
      </c>
      <c r="CB241" s="32" t="n">
        <f aca="false">IF(BL241=0,IF(BT241=0,0,1),(BT241-BL241)/BL241)</f>
        <v>1</v>
      </c>
      <c r="CC241" s="32" t="n">
        <f aca="false">IF(BM241=0,IF(BU241=0,0,1),(BU241-BM241)/BM241)</f>
        <v>1</v>
      </c>
      <c r="CD241" s="32" t="n">
        <f aca="false">IF(BN241=0,IF(BV241=0,0,1),(BV241-BN241)/BN241)</f>
        <v>1</v>
      </c>
      <c r="CE241" s="32" t="n">
        <f aca="false">IF(BO241=0,IF(BW241=0,0,1),(BW241-BO241)/BO241)</f>
        <v>1</v>
      </c>
      <c r="CF241" s="32" t="n">
        <f aca="false">IF(BP241=0,IF(BX241=0,0,1),(BX241-BP241)/BP241)</f>
        <v>1</v>
      </c>
      <c r="CG241" s="32" t="n">
        <f aca="false">IF(BQ241=0,IF(BY241=0,0,1),(BY241-BQ241)/BQ241)</f>
        <v>1</v>
      </c>
      <c r="CH241" s="32" t="n">
        <f aca="false">MAX(MAX(BZ241:CG241),-MIN(BZ241:CG241))</f>
        <v>1</v>
      </c>
      <c r="CI241" s="31" t="n">
        <f aca="false">IF(CO241="","",SUMIFS($CJ$7:$CJ$696,$A$7:$A$696,CO241,$B$7:$B$696,B241))</f>
        <v>119405788</v>
      </c>
      <c r="CJ241" s="31" t="n">
        <f aca="false">SUM(AY241:BI241)</f>
        <v>118142534</v>
      </c>
      <c r="CK241" s="31" t="str">
        <f aca="false">IFERROR(INDEX(設定!$F$61:$F$106,MATCH(B241,設定!$B$61:$B$106,0)),"Y")</f>
        <v>Y</v>
      </c>
      <c r="CL241" s="31" t="str">
        <f aca="false">IFERROR(INDEX(設定!$G$61:$G$106,MATCH(B241,設定!$B$61:$B$106,0)),"外郭型")</f>
        <v>市局型</v>
      </c>
      <c r="CM241" s="33" t="str">
        <f aca="false">A241&amp;"|"&amp;B241</f>
        <v>2026-08 月例|教育委員会（総務課）</v>
      </c>
      <c r="CN241" s="34" t="str">
        <f aca="false">IFERROR(INDEX(設定!$D$61:$D$106,MATCH(B241,設定!$B$61:$B$106,0)),"Y")</f>
        <v>N</v>
      </c>
      <c r="CO241" s="34" t="str">
        <f aca="false">IFERROR(INDEX(設定!$D$20:$D$34,MATCH(A241,設定!$A$20:$A$34,0))&amp;"","")</f>
        <v>2026-07 月例</v>
      </c>
    </row>
    <row r="242" customFormat="false" ht="15" hidden="true" customHeight="false" outlineLevel="0" collapsed="false">
      <c r="A242" s="22" t="s">
        <v>221</v>
      </c>
      <c r="B242" s="23" t="s">
        <v>173</v>
      </c>
      <c r="C242" s="10" t="str">
        <f aca="false">IF(G242="","未受領",IF(G242="なし","報告なし",IF(AL242="○","起票済",IF(OR(AK242="○",F242="一致",F242="入金不要"),"入金確認済","受領済"))))</f>
        <v>入金確認済</v>
      </c>
      <c r="D242" s="10" t="str">
        <f aca="false">IF(OR(G242="",G242="なし"),"―",IF(CN242="N","対象外",IF(AND(I242="",J242="",K242=""),"標報未入力",IF(CH242&gt;=設定!$B$4,"要確認","問題なし"))))</f>
        <v>標報未入力</v>
      </c>
      <c r="E242" s="24" t="str">
        <f aca="false">IF(OR(G242="",G242="なし",CI242="",CJ242=0),"―",IF(CJ242=CI242,"前月同額",IF(CI242=0,"―",IF(ABS(CJ242/CI242-1)&gt;=設定!$B$5,"変動大 "&amp;TEXT(CJ242/CI242-1,"+0%;-0%"),"〇"))))</f>
        <v>前月同額</v>
      </c>
      <c r="F242" s="10" t="str">
        <f aca="false">IF(OR(G242="",G242="なし"),"―",IF(CJ242=0,"入金不要",IF(COUNT(AD242,AF242,AH242,AJ242)=0,IF(AK242="○","手動確認","未入金"),IF(AND(N(AD242)=AC242,IF(AE242="",TRUE(),N(AF242)=AE242),IF(AG242="",TRUE(),N(AH242)=AG242),IF(AI242="",TRUE(),N(AJ242)=AI242)),"一致","不一致"))))</f>
        <v>手動確認</v>
      </c>
      <c r="G242" s="25" t="s">
        <v>167</v>
      </c>
      <c r="H242" s="26"/>
      <c r="I242" s="27"/>
      <c r="J242" s="27"/>
      <c r="K242" s="27"/>
      <c r="L242" s="27"/>
      <c r="M242" s="27"/>
      <c r="N242" s="27"/>
      <c r="O242" s="27" t="n">
        <v>269925</v>
      </c>
      <c r="P242" s="27" t="n">
        <v>22125</v>
      </c>
      <c r="Q242" s="27" t="n">
        <v>173210</v>
      </c>
      <c r="R242" s="27" t="n">
        <v>15800</v>
      </c>
      <c r="S242" s="27" t="n">
        <v>3839</v>
      </c>
      <c r="T242" s="27" t="n">
        <v>387630</v>
      </c>
      <c r="U242" s="27" t="n">
        <v>22125</v>
      </c>
      <c r="V242" s="27" t="n">
        <v>256</v>
      </c>
      <c r="W242" s="27" t="n">
        <v>176117</v>
      </c>
      <c r="X242" s="27" t="n">
        <v>15800</v>
      </c>
      <c r="Y242" s="27" t="n">
        <v>3840</v>
      </c>
      <c r="Z242" s="27"/>
      <c r="AA242" s="10" t="str">
        <f aca="false">IFERROR(INDEX(設定!$E$61:$E$106,MATCH(B242,設定!$B$61:$B$106,0)),"合算")</f>
        <v>合算</v>
      </c>
      <c r="AB242" s="28"/>
      <c r="AC242" s="29" t="n">
        <f aca="false">IF(OR(G242="",G242="なし"),"",IF(AA242="合算",CJ242+N(Z242),IF(AA242="掛金・負担金別",(AY242+AZ242+BD242+BF242+BH242),SUM(AY242:BC242))))</f>
        <v>1090667</v>
      </c>
      <c r="AD242" s="27"/>
      <c r="AE242" s="29" t="str">
        <f aca="false">IF(OR(G242="",G242="なし"),"",IF(AA242="掛金・負担金別",(BA242+BB242+BC242+BE242+BG242+BI242+N(Z242)),IF(AA242="経理区分別",BD242+BE242,"")))</f>
        <v/>
      </c>
      <c r="AF242" s="27"/>
      <c r="AG242" s="29" t="str">
        <f aca="false">IF(OR(G242="",G242="なし"),"",IF(AA242="経理区分別",BF242+BG242,""))</f>
        <v/>
      </c>
      <c r="AH242" s="27"/>
      <c r="AI242" s="29" t="str">
        <f aca="false">IF(OR(G242="",G242="なし"),"",IF(AA242="経理区分別",BH242+BI242+N(Z242),""))</f>
        <v/>
      </c>
      <c r="AJ242" s="27"/>
      <c r="AK242" s="26" t="s">
        <v>168</v>
      </c>
      <c r="AL242" s="26"/>
      <c r="AM242" s="30"/>
      <c r="AN242" s="31"/>
      <c r="AO242" s="31"/>
      <c r="AP242" s="31"/>
      <c r="AQ242" s="31"/>
      <c r="AR242" s="31"/>
      <c r="AS242" s="31"/>
      <c r="AT242" s="31"/>
      <c r="AU242" s="31"/>
      <c r="AV242" s="31"/>
      <c r="AW242" s="31"/>
      <c r="AX242" s="31"/>
      <c r="AY242" s="31" t="n">
        <f aca="false">IF($G242="",AN242,O242)</f>
        <v>269925</v>
      </c>
      <c r="AZ242" s="31" t="n">
        <f aca="false">IF($G242="",AO242,P242)</f>
        <v>22125</v>
      </c>
      <c r="BA242" s="31" t="n">
        <f aca="false">IF($G242="",AP242,T242)</f>
        <v>387630</v>
      </c>
      <c r="BB242" s="31" t="n">
        <f aca="false">IF($G242="",AQ242,U242)</f>
        <v>22125</v>
      </c>
      <c r="BC242" s="31" t="n">
        <f aca="false">IF($G242="",AR242,V242)</f>
        <v>256</v>
      </c>
      <c r="BD242" s="31" t="n">
        <f aca="false">IF($G242="",AS242,Q242)</f>
        <v>173210</v>
      </c>
      <c r="BE242" s="31" t="n">
        <f aca="false">IF($G242="",AT242,W242)</f>
        <v>176117</v>
      </c>
      <c r="BF242" s="31" t="n">
        <f aca="false">IF($G242="",AU242,R242)</f>
        <v>15800</v>
      </c>
      <c r="BG242" s="31" t="n">
        <f aca="false">IF($G242="",AV242,X242)</f>
        <v>15800</v>
      </c>
      <c r="BH242" s="31" t="n">
        <f aca="false">IF($G242="",AW242,S242)</f>
        <v>3839</v>
      </c>
      <c r="BI242" s="31" t="n">
        <f aca="false">IF($G242="",AX242,Y242)</f>
        <v>3840</v>
      </c>
      <c r="BJ242" s="31" t="n">
        <f aca="false">IF(CK242="N",BR242,ROUNDDOWN((I242-L242)*設定!$B$10/1000,0)+ROUNDDOWN((I242-L242)*設定!$B$11/1000,0))</f>
        <v>0</v>
      </c>
      <c r="BK242" s="31" t="n">
        <f aca="false">ROUNDDOWN((I242-L242)*設定!$C$10/1000,0)+ROUNDDOWN((I242-L242)*設定!$C$11/1000,0)+ROUNDDOWN(I242*設定!$C$12/1000,0)+IF(CL242="市局型",ROUNDDOWN(I242*設定!$C$16/1000,0),0)</f>
        <v>0</v>
      </c>
      <c r="BL242" s="31" t="n">
        <f aca="false">IF(CK242="N",BT242,ROUNDDOWN((J242-M242)*設定!$B$13/1000,0))</f>
        <v>0</v>
      </c>
      <c r="BM242" s="31" t="n">
        <f aca="false">ROUNDDOWN((J242-M242)*設定!$C$13/1000,0)+IF(CL242="市局型",ROUNDDOWN(J242*設定!$C$17/1000,0),0)</f>
        <v>0</v>
      </c>
      <c r="BN242" s="31" t="n">
        <f aca="false">IF(CK242="N",BV242,ROUNDDOWN((K242-N242)*設定!$B$14/1000,0))</f>
        <v>0</v>
      </c>
      <c r="BO242" s="31" t="n">
        <f aca="false">ROUNDDOWN((K242-N242)*設定!$C$14/1000,0)</f>
        <v>0</v>
      </c>
      <c r="BP242" s="31" t="n">
        <f aca="false">IF(CK242="N",BX242,ROUNDDOWN((J242-M242)*設定!$B$15/1000,0))</f>
        <v>0</v>
      </c>
      <c r="BQ242" s="31" t="n">
        <f aca="false">ROUNDDOWN((J242-M242)*設定!$C$15/1000,0)</f>
        <v>0</v>
      </c>
      <c r="BR242" s="31" t="n">
        <f aca="false">O242+P242</f>
        <v>292050</v>
      </c>
      <c r="BS242" s="31" t="n">
        <f aca="false">T242+U242+V242</f>
        <v>410011</v>
      </c>
      <c r="BT242" s="31" t="n">
        <f aca="false">Q242</f>
        <v>173210</v>
      </c>
      <c r="BU242" s="31" t="n">
        <f aca="false">W242</f>
        <v>176117</v>
      </c>
      <c r="BV242" s="31" t="n">
        <f aca="false">R242</f>
        <v>15800</v>
      </c>
      <c r="BW242" s="31" t="n">
        <f aca="false">X242</f>
        <v>15800</v>
      </c>
      <c r="BX242" s="31" t="n">
        <f aca="false">S242</f>
        <v>3839</v>
      </c>
      <c r="BY242" s="31" t="n">
        <f aca="false">Y242</f>
        <v>3840</v>
      </c>
      <c r="BZ242" s="32" t="n">
        <f aca="false">IF(BJ242=0,IF(BR242=0,0,1),(BR242-BJ242)/BJ242)</f>
        <v>1</v>
      </c>
      <c r="CA242" s="32" t="n">
        <f aca="false">IF(BK242=0,IF(BS242=0,0,1),(BS242-BK242)/BK242)</f>
        <v>1</v>
      </c>
      <c r="CB242" s="32" t="n">
        <f aca="false">IF(BL242=0,IF(BT242=0,0,1),(BT242-BL242)/BL242)</f>
        <v>1</v>
      </c>
      <c r="CC242" s="32" t="n">
        <f aca="false">IF(BM242=0,IF(BU242=0,0,1),(BU242-BM242)/BM242)</f>
        <v>1</v>
      </c>
      <c r="CD242" s="32" t="n">
        <f aca="false">IF(BN242=0,IF(BV242=0,0,1),(BV242-BN242)/BN242)</f>
        <v>1</v>
      </c>
      <c r="CE242" s="32" t="n">
        <f aca="false">IF(BO242=0,IF(BW242=0,0,1),(BW242-BO242)/BO242)</f>
        <v>1</v>
      </c>
      <c r="CF242" s="32" t="n">
        <f aca="false">IF(BP242=0,IF(BX242=0,0,1),(BX242-BP242)/BP242)</f>
        <v>1</v>
      </c>
      <c r="CG242" s="32" t="n">
        <f aca="false">IF(BQ242=0,IF(BY242=0,0,1),(BY242-BQ242)/BQ242)</f>
        <v>1</v>
      </c>
      <c r="CH242" s="32" t="n">
        <f aca="false">MAX(MAX(BZ242:CG242),-MIN(BZ242:CG242))</f>
        <v>1</v>
      </c>
      <c r="CI242" s="31" t="n">
        <f aca="false">IF(CO242="","",SUMIFS($CJ$7:$CJ$696,$A$7:$A$696,CO242,$B$7:$B$696,B242))</f>
        <v>1090667</v>
      </c>
      <c r="CJ242" s="31" t="n">
        <f aca="false">SUM(AY242:BI242)</f>
        <v>1090667</v>
      </c>
      <c r="CK242" s="31" t="str">
        <f aca="false">IFERROR(INDEX(設定!$F$61:$F$106,MATCH(B242,設定!$B$61:$B$106,0)),"Y")</f>
        <v>Y</v>
      </c>
      <c r="CL242" s="31" t="str">
        <f aca="false">IFERROR(INDEX(設定!$G$61:$G$106,MATCH(B242,設定!$B$61:$B$106,0)),"外郭型")</f>
        <v>市局型</v>
      </c>
      <c r="CM242" s="33" t="str">
        <f aca="false">A242&amp;"|"&amp;B242</f>
        <v>2026-08 月例|選挙管理委員会</v>
      </c>
      <c r="CN242" s="34" t="str">
        <f aca="false">IFERROR(INDEX(設定!$D$61:$D$106,MATCH(B242,設定!$B$61:$B$106,0)),"Y")</f>
        <v>Y</v>
      </c>
      <c r="CO242" s="34" t="str">
        <f aca="false">IFERROR(INDEX(設定!$D$20:$D$34,MATCH(A242,設定!$A$20:$A$34,0))&amp;"","")</f>
        <v>2026-07 月例</v>
      </c>
    </row>
    <row r="243" customFormat="false" ht="15" hidden="true" customHeight="false" outlineLevel="0" collapsed="false">
      <c r="A243" s="22" t="s">
        <v>221</v>
      </c>
      <c r="B243" s="23" t="s">
        <v>174</v>
      </c>
      <c r="C243" s="10" t="str">
        <f aca="false">IF(G243="","未受領",IF(G243="なし","報告なし",IF(AL243="○","起票済",IF(OR(AK243="○",F243="一致",F243="入金不要"),"入金確認済","受領済"))))</f>
        <v>入金確認済</v>
      </c>
      <c r="D243" s="10" t="str">
        <f aca="false">IF(OR(G243="",G243="なし"),"―",IF(CN243="N","対象外",IF(AND(I243="",J243="",K243=""),"標報未入力",IF(CH243&gt;=設定!$B$4,"要確認","問題なし"))))</f>
        <v>標報未入力</v>
      </c>
      <c r="E243" s="24" t="str">
        <f aca="false">IF(OR(G243="",G243="なし",CI243="",CJ243=0),"―",IF(CJ243=CI243,"前月同額",IF(CI243=0,"―",IF(ABS(CJ243/CI243-1)&gt;=設定!$B$5,"変動大 "&amp;TEXT(CJ243/CI243-1,"+0%;-0%"),"〇"))))</f>
        <v>前月同額</v>
      </c>
      <c r="F243" s="10" t="str">
        <f aca="false">IF(OR(G243="",G243="なし"),"―",IF(CJ243=0,"入金不要",IF(COUNT(AD243,AF243,AH243,AJ243)=0,IF(AK243="○","手動確認","未入金"),IF(AND(N(AD243)=AC243,IF(AE243="",TRUE(),N(AF243)=AE243),IF(AG243="",TRUE(),N(AH243)=AG243),IF(AI243="",TRUE(),N(AJ243)=AI243)),"一致","不一致"))))</f>
        <v>手動確認</v>
      </c>
      <c r="G243" s="25" t="s">
        <v>167</v>
      </c>
      <c r="H243" s="26"/>
      <c r="I243" s="27"/>
      <c r="J243" s="27"/>
      <c r="K243" s="27"/>
      <c r="L243" s="27"/>
      <c r="M243" s="27"/>
      <c r="N243" s="27"/>
      <c r="O243" s="27" t="n">
        <v>618540</v>
      </c>
      <c r="P243" s="27" t="n">
        <v>50700</v>
      </c>
      <c r="Q243" s="27" t="n">
        <v>364051</v>
      </c>
      <c r="R243" s="27" t="n">
        <v>30257</v>
      </c>
      <c r="S243" s="27" t="n">
        <v>8070</v>
      </c>
      <c r="T243" s="27" t="n">
        <v>888264</v>
      </c>
      <c r="U243" s="27" t="n">
        <v>50700</v>
      </c>
      <c r="V243" s="27" t="n">
        <v>587</v>
      </c>
      <c r="W243" s="27" t="n">
        <v>370163</v>
      </c>
      <c r="X243" s="27" t="n">
        <v>30257</v>
      </c>
      <c r="Y243" s="27" t="n">
        <v>8073</v>
      </c>
      <c r="Z243" s="27"/>
      <c r="AA243" s="10" t="str">
        <f aca="false">IFERROR(INDEX(設定!$E$61:$E$106,MATCH(B243,設定!$B$61:$B$106,0)),"合算")</f>
        <v>合算</v>
      </c>
      <c r="AB243" s="28"/>
      <c r="AC243" s="29" t="n">
        <f aca="false">IF(OR(G243="",G243="なし"),"",IF(AA243="合算",CJ243+N(Z243),IF(AA243="掛金・負担金別",(AY243+AZ243+BD243+BF243+BH243),SUM(AY243:BC243))))</f>
        <v>2419662</v>
      </c>
      <c r="AD243" s="27"/>
      <c r="AE243" s="29" t="str">
        <f aca="false">IF(OR(G243="",G243="なし"),"",IF(AA243="掛金・負担金別",(BA243+BB243+BC243+BE243+BG243+BI243+N(Z243)),IF(AA243="経理区分別",BD243+BE243,"")))</f>
        <v/>
      </c>
      <c r="AF243" s="27"/>
      <c r="AG243" s="29" t="str">
        <f aca="false">IF(OR(G243="",G243="なし"),"",IF(AA243="経理区分別",BF243+BG243,""))</f>
        <v/>
      </c>
      <c r="AH243" s="27"/>
      <c r="AI243" s="29" t="str">
        <f aca="false">IF(OR(G243="",G243="なし"),"",IF(AA243="経理区分別",BH243+BI243+N(Z243),""))</f>
        <v/>
      </c>
      <c r="AJ243" s="27"/>
      <c r="AK243" s="26" t="s">
        <v>168</v>
      </c>
      <c r="AL243" s="26"/>
      <c r="AM243" s="30"/>
      <c r="AN243" s="31"/>
      <c r="AO243" s="31"/>
      <c r="AP243" s="31"/>
      <c r="AQ243" s="31"/>
      <c r="AR243" s="31"/>
      <c r="AS243" s="31"/>
      <c r="AT243" s="31"/>
      <c r="AU243" s="31"/>
      <c r="AV243" s="31"/>
      <c r="AW243" s="31"/>
      <c r="AX243" s="31"/>
      <c r="AY243" s="31" t="n">
        <f aca="false">IF($G243="",AN243,O243)</f>
        <v>618540</v>
      </c>
      <c r="AZ243" s="31" t="n">
        <f aca="false">IF($G243="",AO243,P243)</f>
        <v>50700</v>
      </c>
      <c r="BA243" s="31" t="n">
        <f aca="false">IF($G243="",AP243,T243)</f>
        <v>888264</v>
      </c>
      <c r="BB243" s="31" t="n">
        <f aca="false">IF($G243="",AQ243,U243)</f>
        <v>50700</v>
      </c>
      <c r="BC243" s="31" t="n">
        <f aca="false">IF($G243="",AR243,V243)</f>
        <v>587</v>
      </c>
      <c r="BD243" s="31" t="n">
        <f aca="false">IF($G243="",AS243,Q243)</f>
        <v>364051</v>
      </c>
      <c r="BE243" s="31" t="n">
        <f aca="false">IF($G243="",AT243,W243)</f>
        <v>370163</v>
      </c>
      <c r="BF243" s="31" t="n">
        <f aca="false">IF($G243="",AU243,R243)</f>
        <v>30257</v>
      </c>
      <c r="BG243" s="31" t="n">
        <f aca="false">IF($G243="",AV243,X243)</f>
        <v>30257</v>
      </c>
      <c r="BH243" s="31" t="n">
        <f aca="false">IF($G243="",AW243,S243)</f>
        <v>8070</v>
      </c>
      <c r="BI243" s="31" t="n">
        <f aca="false">IF($G243="",AX243,Y243)</f>
        <v>8073</v>
      </c>
      <c r="BJ243" s="31" t="n">
        <f aca="false">IF(CK243="N",BR243,ROUNDDOWN((I243-L243)*設定!$B$10/1000,0)+ROUNDDOWN((I243-L243)*設定!$B$11/1000,0))</f>
        <v>0</v>
      </c>
      <c r="BK243" s="31" t="n">
        <f aca="false">ROUNDDOWN((I243-L243)*設定!$C$10/1000,0)+ROUNDDOWN((I243-L243)*設定!$C$11/1000,0)+ROUNDDOWN(I243*設定!$C$12/1000,0)+IF(CL243="市局型",ROUNDDOWN(I243*設定!$C$16/1000,0),0)</f>
        <v>0</v>
      </c>
      <c r="BL243" s="31" t="n">
        <f aca="false">IF(CK243="N",BT243,ROUNDDOWN((J243-M243)*設定!$B$13/1000,0))</f>
        <v>0</v>
      </c>
      <c r="BM243" s="31" t="n">
        <f aca="false">ROUNDDOWN((J243-M243)*設定!$C$13/1000,0)+IF(CL243="市局型",ROUNDDOWN(J243*設定!$C$17/1000,0),0)</f>
        <v>0</v>
      </c>
      <c r="BN243" s="31" t="n">
        <f aca="false">IF(CK243="N",BV243,ROUNDDOWN((K243-N243)*設定!$B$14/1000,0))</f>
        <v>0</v>
      </c>
      <c r="BO243" s="31" t="n">
        <f aca="false">ROUNDDOWN((K243-N243)*設定!$C$14/1000,0)</f>
        <v>0</v>
      </c>
      <c r="BP243" s="31" t="n">
        <f aca="false">IF(CK243="N",BX243,ROUNDDOWN((J243-M243)*設定!$B$15/1000,0))</f>
        <v>0</v>
      </c>
      <c r="BQ243" s="31" t="n">
        <f aca="false">ROUNDDOWN((J243-M243)*設定!$C$15/1000,0)</f>
        <v>0</v>
      </c>
      <c r="BR243" s="31" t="n">
        <f aca="false">O243+P243</f>
        <v>669240</v>
      </c>
      <c r="BS243" s="31" t="n">
        <f aca="false">T243+U243+V243</f>
        <v>939551</v>
      </c>
      <c r="BT243" s="31" t="n">
        <f aca="false">Q243</f>
        <v>364051</v>
      </c>
      <c r="BU243" s="31" t="n">
        <f aca="false">W243</f>
        <v>370163</v>
      </c>
      <c r="BV243" s="31" t="n">
        <f aca="false">R243</f>
        <v>30257</v>
      </c>
      <c r="BW243" s="31" t="n">
        <f aca="false">X243</f>
        <v>30257</v>
      </c>
      <c r="BX243" s="31" t="n">
        <f aca="false">S243</f>
        <v>8070</v>
      </c>
      <c r="BY243" s="31" t="n">
        <f aca="false">Y243</f>
        <v>8073</v>
      </c>
      <c r="BZ243" s="32" t="n">
        <f aca="false">IF(BJ243=0,IF(BR243=0,0,1),(BR243-BJ243)/BJ243)</f>
        <v>1</v>
      </c>
      <c r="CA243" s="32" t="n">
        <f aca="false">IF(BK243=0,IF(BS243=0,0,1),(BS243-BK243)/BK243)</f>
        <v>1</v>
      </c>
      <c r="CB243" s="32" t="n">
        <f aca="false">IF(BL243=0,IF(BT243=0,0,1),(BT243-BL243)/BL243)</f>
        <v>1</v>
      </c>
      <c r="CC243" s="32" t="n">
        <f aca="false">IF(BM243=0,IF(BU243=0,0,1),(BU243-BM243)/BM243)</f>
        <v>1</v>
      </c>
      <c r="CD243" s="32" t="n">
        <f aca="false">IF(BN243=0,IF(BV243=0,0,1),(BV243-BN243)/BN243)</f>
        <v>1</v>
      </c>
      <c r="CE243" s="32" t="n">
        <f aca="false">IF(BO243=0,IF(BW243=0,0,1),(BW243-BO243)/BO243)</f>
        <v>1</v>
      </c>
      <c r="CF243" s="32" t="n">
        <f aca="false">IF(BP243=0,IF(BX243=0,0,1),(BX243-BP243)/BP243)</f>
        <v>1</v>
      </c>
      <c r="CG243" s="32" t="n">
        <f aca="false">IF(BQ243=0,IF(BY243=0,0,1),(BY243-BQ243)/BQ243)</f>
        <v>1</v>
      </c>
      <c r="CH243" s="32" t="n">
        <f aca="false">MAX(MAX(BZ243:CG243),-MIN(BZ243:CG243))</f>
        <v>1</v>
      </c>
      <c r="CI243" s="31" t="n">
        <f aca="false">IF(CO243="","",SUMIFS($CJ$7:$CJ$696,$A$7:$A$696,CO243,$B$7:$B$696,B243))</f>
        <v>2419662</v>
      </c>
      <c r="CJ243" s="31" t="n">
        <f aca="false">SUM(AY243:BI243)</f>
        <v>2419662</v>
      </c>
      <c r="CK243" s="31" t="str">
        <f aca="false">IFERROR(INDEX(設定!$F$61:$F$106,MATCH(B243,設定!$B$61:$B$106,0)),"Y")</f>
        <v>Y</v>
      </c>
      <c r="CL243" s="31" t="str">
        <f aca="false">IFERROR(INDEX(設定!$G$61:$G$106,MATCH(B243,設定!$B$61:$B$106,0)),"外郭型")</f>
        <v>市局型</v>
      </c>
      <c r="CM243" s="33" t="str">
        <f aca="false">A243&amp;"|"&amp;B243</f>
        <v>2026-08 月例|人事委員会</v>
      </c>
      <c r="CN243" s="34" t="str">
        <f aca="false">IFERROR(INDEX(設定!$D$61:$D$106,MATCH(B243,設定!$B$61:$B$106,0)),"Y")</f>
        <v>Y</v>
      </c>
      <c r="CO243" s="34" t="str">
        <f aca="false">IFERROR(INDEX(設定!$D$20:$D$34,MATCH(A243,設定!$A$20:$A$34,0))&amp;"","")</f>
        <v>2026-07 月例</v>
      </c>
    </row>
    <row r="244" customFormat="false" ht="15" hidden="true" customHeight="false" outlineLevel="0" collapsed="false">
      <c r="A244" s="22" t="s">
        <v>221</v>
      </c>
      <c r="B244" s="23" t="s">
        <v>175</v>
      </c>
      <c r="C244" s="10" t="str">
        <f aca="false">IF(G244="","未受領",IF(G244="なし","報告なし",IF(AL244="○","起票済",IF(OR(AK244="○",F244="一致",F244="入金不要"),"入金確認済","受領済"))))</f>
        <v>入金確認済</v>
      </c>
      <c r="D244" s="10" t="str">
        <f aca="false">IF(OR(G244="",G244="なし"),"―",IF(CN244="N","対象外",IF(AND(I244="",J244="",K244=""),"標報未入力",IF(CH244&gt;=設定!$B$4,"要確認","問題なし"))))</f>
        <v>標報未入力</v>
      </c>
      <c r="E244" s="24" t="str">
        <f aca="false">IF(OR(G244="",G244="なし",CI244="",CJ244=0),"―",IF(CJ244=CI244,"前月同額",IF(CI244=0,"―",IF(ABS(CJ244/CI244-1)&gt;=設定!$B$5,"変動大 "&amp;TEXT(CJ244/CI244-1,"+0%;-0%"),"〇"))))</f>
        <v>前月同額</v>
      </c>
      <c r="F244" s="10" t="str">
        <f aca="false">IF(OR(G244="",G244="なし"),"―",IF(CJ244=0,"入金不要",IF(COUNT(AD244,AF244,AH244,AJ244)=0,IF(AK244="○","手動確認","未入金"),IF(AND(N(AD244)=AC244,IF(AE244="",TRUE(),N(AF244)=AE244),IF(AG244="",TRUE(),N(AH244)=AG244),IF(AI244="",TRUE(),N(AJ244)=AI244)),"一致","不一致"))))</f>
        <v>手動確認</v>
      </c>
      <c r="G244" s="25" t="s">
        <v>167</v>
      </c>
      <c r="H244" s="26"/>
      <c r="I244" s="27"/>
      <c r="J244" s="27"/>
      <c r="K244" s="27"/>
      <c r="L244" s="27"/>
      <c r="M244" s="27"/>
      <c r="N244" s="27"/>
      <c r="O244" s="27" t="n">
        <v>1317600</v>
      </c>
      <c r="P244" s="27" t="n">
        <v>108000</v>
      </c>
      <c r="Q244" s="27" t="n">
        <v>766995</v>
      </c>
      <c r="R244" s="27" t="n">
        <v>107914</v>
      </c>
      <c r="S244" s="27" t="n">
        <v>17000</v>
      </c>
      <c r="T244" s="27" t="n">
        <v>1903332</v>
      </c>
      <c r="U244" s="27" t="n">
        <v>108000</v>
      </c>
      <c r="V244" s="27" t="n">
        <v>1275</v>
      </c>
      <c r="W244" s="27" t="n">
        <v>780119</v>
      </c>
      <c r="X244" s="27" t="n">
        <v>107914</v>
      </c>
      <c r="Y244" s="27" t="n">
        <v>17007</v>
      </c>
      <c r="Z244" s="27"/>
      <c r="AA244" s="10" t="str">
        <f aca="false">IFERROR(INDEX(設定!$E$61:$E$106,MATCH(B244,設定!$B$61:$B$106,0)),"合算")</f>
        <v>合算</v>
      </c>
      <c r="AB244" s="28"/>
      <c r="AC244" s="29" t="n">
        <f aca="false">IF(OR(G244="",G244="なし"),"",IF(AA244="合算",CJ244+N(Z244),IF(AA244="掛金・負担金別",(AY244+AZ244+BD244+BF244+BH244),SUM(AY244:BC244))))</f>
        <v>5235156</v>
      </c>
      <c r="AD244" s="27"/>
      <c r="AE244" s="29" t="str">
        <f aca="false">IF(OR(G244="",G244="なし"),"",IF(AA244="掛金・負担金別",(BA244+BB244+BC244+BE244+BG244+BI244+N(Z244)),IF(AA244="経理区分別",BD244+BE244,"")))</f>
        <v/>
      </c>
      <c r="AF244" s="27"/>
      <c r="AG244" s="29" t="str">
        <f aca="false">IF(OR(G244="",G244="なし"),"",IF(AA244="経理区分別",BF244+BG244,""))</f>
        <v/>
      </c>
      <c r="AH244" s="27"/>
      <c r="AI244" s="29" t="str">
        <f aca="false">IF(OR(G244="",G244="なし"),"",IF(AA244="経理区分別",BH244+BI244+N(Z244),""))</f>
        <v/>
      </c>
      <c r="AJ244" s="27"/>
      <c r="AK244" s="26" t="s">
        <v>168</v>
      </c>
      <c r="AL244" s="26"/>
      <c r="AM244" s="30"/>
      <c r="AN244" s="31"/>
      <c r="AO244" s="31"/>
      <c r="AP244" s="31"/>
      <c r="AQ244" s="31"/>
      <c r="AR244" s="31"/>
      <c r="AS244" s="31"/>
      <c r="AT244" s="31"/>
      <c r="AU244" s="31"/>
      <c r="AV244" s="31"/>
      <c r="AW244" s="31"/>
      <c r="AX244" s="31"/>
      <c r="AY244" s="31" t="n">
        <f aca="false">IF($G244="",AN244,O244)</f>
        <v>1317600</v>
      </c>
      <c r="AZ244" s="31" t="n">
        <f aca="false">IF($G244="",AO244,P244)</f>
        <v>108000</v>
      </c>
      <c r="BA244" s="31" t="n">
        <f aca="false">IF($G244="",AP244,T244)</f>
        <v>1903332</v>
      </c>
      <c r="BB244" s="31" t="n">
        <f aca="false">IF($G244="",AQ244,U244)</f>
        <v>108000</v>
      </c>
      <c r="BC244" s="31" t="n">
        <f aca="false">IF($G244="",AR244,V244)</f>
        <v>1275</v>
      </c>
      <c r="BD244" s="31" t="n">
        <f aca="false">IF($G244="",AS244,Q244)</f>
        <v>766995</v>
      </c>
      <c r="BE244" s="31" t="n">
        <f aca="false">IF($G244="",AT244,W244)</f>
        <v>780119</v>
      </c>
      <c r="BF244" s="31" t="n">
        <f aca="false">IF($G244="",AU244,R244)</f>
        <v>107914</v>
      </c>
      <c r="BG244" s="31" t="n">
        <f aca="false">IF($G244="",AV244,X244)</f>
        <v>107914</v>
      </c>
      <c r="BH244" s="31" t="n">
        <f aca="false">IF($G244="",AW244,S244)</f>
        <v>17000</v>
      </c>
      <c r="BI244" s="31" t="n">
        <f aca="false">IF($G244="",AX244,Y244)</f>
        <v>17007</v>
      </c>
      <c r="BJ244" s="31" t="n">
        <f aca="false">IF(CK244="N",BR244,ROUNDDOWN((I244-L244)*設定!$B$10/1000,0)+ROUNDDOWN((I244-L244)*設定!$B$11/1000,0))</f>
        <v>0</v>
      </c>
      <c r="BK244" s="31" t="n">
        <f aca="false">ROUNDDOWN((I244-L244)*設定!$C$10/1000,0)+ROUNDDOWN((I244-L244)*設定!$C$11/1000,0)+ROUNDDOWN(I244*設定!$C$12/1000,0)+IF(CL244="市局型",ROUNDDOWN(I244*設定!$C$16/1000,0),0)</f>
        <v>0</v>
      </c>
      <c r="BL244" s="31" t="n">
        <f aca="false">IF(CK244="N",BT244,ROUNDDOWN((J244-M244)*設定!$B$13/1000,0))</f>
        <v>0</v>
      </c>
      <c r="BM244" s="31" t="n">
        <f aca="false">ROUNDDOWN((J244-M244)*設定!$C$13/1000,0)+IF(CL244="市局型",ROUNDDOWN(J244*設定!$C$17/1000,0),0)</f>
        <v>0</v>
      </c>
      <c r="BN244" s="31" t="n">
        <f aca="false">IF(CK244="N",BV244,ROUNDDOWN((K244-N244)*設定!$B$14/1000,0))</f>
        <v>0</v>
      </c>
      <c r="BO244" s="31" t="n">
        <f aca="false">ROUNDDOWN((K244-N244)*設定!$C$14/1000,0)</f>
        <v>0</v>
      </c>
      <c r="BP244" s="31" t="n">
        <f aca="false">IF(CK244="N",BX244,ROUNDDOWN((J244-M244)*設定!$B$15/1000,0))</f>
        <v>0</v>
      </c>
      <c r="BQ244" s="31" t="n">
        <f aca="false">ROUNDDOWN((J244-M244)*設定!$C$15/1000,0)</f>
        <v>0</v>
      </c>
      <c r="BR244" s="31" t="n">
        <f aca="false">O244+P244</f>
        <v>1425600</v>
      </c>
      <c r="BS244" s="31" t="n">
        <f aca="false">T244+U244+V244</f>
        <v>2012607</v>
      </c>
      <c r="BT244" s="31" t="n">
        <f aca="false">Q244</f>
        <v>766995</v>
      </c>
      <c r="BU244" s="31" t="n">
        <f aca="false">W244</f>
        <v>780119</v>
      </c>
      <c r="BV244" s="31" t="n">
        <f aca="false">R244</f>
        <v>107914</v>
      </c>
      <c r="BW244" s="31" t="n">
        <f aca="false">X244</f>
        <v>107914</v>
      </c>
      <c r="BX244" s="31" t="n">
        <f aca="false">S244</f>
        <v>17000</v>
      </c>
      <c r="BY244" s="31" t="n">
        <f aca="false">Y244</f>
        <v>17007</v>
      </c>
      <c r="BZ244" s="32" t="n">
        <f aca="false">IF(BJ244=0,IF(BR244=0,0,1),(BR244-BJ244)/BJ244)</f>
        <v>1</v>
      </c>
      <c r="CA244" s="32" t="n">
        <f aca="false">IF(BK244=0,IF(BS244=0,0,1),(BS244-BK244)/BK244)</f>
        <v>1</v>
      </c>
      <c r="CB244" s="32" t="n">
        <f aca="false">IF(BL244=0,IF(BT244=0,0,1),(BT244-BL244)/BL244)</f>
        <v>1</v>
      </c>
      <c r="CC244" s="32" t="n">
        <f aca="false">IF(BM244=0,IF(BU244=0,0,1),(BU244-BM244)/BM244)</f>
        <v>1</v>
      </c>
      <c r="CD244" s="32" t="n">
        <f aca="false">IF(BN244=0,IF(BV244=0,0,1),(BV244-BN244)/BN244)</f>
        <v>1</v>
      </c>
      <c r="CE244" s="32" t="n">
        <f aca="false">IF(BO244=0,IF(BW244=0,0,1),(BW244-BO244)/BO244)</f>
        <v>1</v>
      </c>
      <c r="CF244" s="32" t="n">
        <f aca="false">IF(BP244=0,IF(BX244=0,0,1),(BX244-BP244)/BP244)</f>
        <v>1</v>
      </c>
      <c r="CG244" s="32" t="n">
        <f aca="false">IF(BQ244=0,IF(BY244=0,0,1),(BY244-BQ244)/BQ244)</f>
        <v>1</v>
      </c>
      <c r="CH244" s="32" t="n">
        <f aca="false">MAX(MAX(BZ244:CG244),-MIN(BZ244:CG244))</f>
        <v>1</v>
      </c>
      <c r="CI244" s="31" t="n">
        <f aca="false">IF(CO244="","",SUMIFS($CJ$7:$CJ$696,$A$7:$A$696,CO244,$B$7:$B$696,B244))</f>
        <v>5235156</v>
      </c>
      <c r="CJ244" s="31" t="n">
        <f aca="false">SUM(AY244:BI244)</f>
        <v>5235156</v>
      </c>
      <c r="CK244" s="31" t="str">
        <f aca="false">IFERROR(INDEX(設定!$F$61:$F$106,MATCH(B244,設定!$B$61:$B$106,0)),"Y")</f>
        <v>Y</v>
      </c>
      <c r="CL244" s="31" t="str">
        <f aca="false">IFERROR(INDEX(設定!$G$61:$G$106,MATCH(B244,設定!$B$61:$B$106,0)),"外郭型")</f>
        <v>市局型</v>
      </c>
      <c r="CM244" s="33" t="str">
        <f aca="false">A244&amp;"|"&amp;B244</f>
        <v>2026-08 月例|監査事務局</v>
      </c>
      <c r="CN244" s="34" t="str">
        <f aca="false">IFERROR(INDEX(設定!$D$61:$D$106,MATCH(B244,設定!$B$61:$B$106,0)),"Y")</f>
        <v>Y</v>
      </c>
      <c r="CO244" s="34" t="str">
        <f aca="false">IFERROR(INDEX(設定!$D$20:$D$34,MATCH(A244,設定!$A$20:$A$34,0))&amp;"","")</f>
        <v>2026-07 月例</v>
      </c>
    </row>
    <row r="245" customFormat="false" ht="15" hidden="true" customHeight="false" outlineLevel="0" collapsed="false">
      <c r="A245" s="22" t="s">
        <v>221</v>
      </c>
      <c r="B245" s="23" t="s">
        <v>176</v>
      </c>
      <c r="C245" s="10" t="str">
        <f aca="false">IF(G245="","未受領",IF(G245="なし","報告なし",IF(AL245="○","起票済",IF(OR(AK245="○",F245="一致",F245="入金不要"),"入金確認済","受領済"))))</f>
        <v>入金確認済</v>
      </c>
      <c r="D245" s="10" t="str">
        <f aca="false">IF(OR(G245="",G245="なし"),"―",IF(CN245="N","対象外",IF(AND(I245="",J245="",K245=""),"標報未入力",IF(CH245&gt;=設定!$B$4,"要確認","問題なし"))))</f>
        <v>標報未入力</v>
      </c>
      <c r="E245" s="24" t="str">
        <f aca="false">IF(OR(G245="",G245="なし",CI245="",CJ245=0),"―",IF(CJ245=CI245,"前月同額",IF(CI245=0,"―",IF(ABS(CJ245/CI245-1)&gt;=設定!$B$5,"変動大 "&amp;TEXT(CJ245/CI245-1,"+0%;-0%"),"〇"))))</f>
        <v>前月同額</v>
      </c>
      <c r="F245" s="10" t="str">
        <f aca="false">IF(OR(G245="",G245="なし"),"―",IF(CJ245=0,"入金不要",IF(COUNT(AD245,AF245,AH245,AJ245)=0,IF(AK245="○","手動確認","未入金"),IF(AND(N(AD245)=AC245,IF(AE245="",TRUE(),N(AF245)=AE245),IF(AG245="",TRUE(),N(AH245)=AG245),IF(AI245="",TRUE(),N(AJ245)=AI245)),"一致","不一致"))))</f>
        <v>手動確認</v>
      </c>
      <c r="G245" s="25" t="s">
        <v>167</v>
      </c>
      <c r="H245" s="26"/>
      <c r="I245" s="27"/>
      <c r="J245" s="27"/>
      <c r="K245" s="27"/>
      <c r="L245" s="27"/>
      <c r="M245" s="27"/>
      <c r="N245" s="27"/>
      <c r="O245" s="27" t="n">
        <v>396195</v>
      </c>
      <c r="P245" s="27" t="n">
        <v>32475</v>
      </c>
      <c r="Q245" s="27" t="n">
        <v>299021</v>
      </c>
      <c r="R245" s="27" t="n">
        <v>33383</v>
      </c>
      <c r="S245" s="27" t="n">
        <v>6628</v>
      </c>
      <c r="T245" s="27" t="n">
        <v>568962</v>
      </c>
      <c r="U245" s="27" t="n">
        <v>32475</v>
      </c>
      <c r="V245" s="27" t="n">
        <v>376</v>
      </c>
      <c r="W245" s="27" t="n">
        <v>304040</v>
      </c>
      <c r="X245" s="27" t="n">
        <v>33385</v>
      </c>
      <c r="Y245" s="27" t="n">
        <v>6630</v>
      </c>
      <c r="Z245" s="27"/>
      <c r="AA245" s="10" t="str">
        <f aca="false">IFERROR(INDEX(設定!$E$61:$E$106,MATCH(B245,設定!$B$61:$B$106,0)),"合算")</f>
        <v>合算</v>
      </c>
      <c r="AB245" s="28"/>
      <c r="AC245" s="29" t="n">
        <f aca="false">IF(OR(G245="",G245="なし"),"",IF(AA245="合算",CJ245+N(Z245),IF(AA245="掛金・負担金別",(AY245+AZ245+BD245+BF245+BH245),SUM(AY245:BC245))))</f>
        <v>1713570</v>
      </c>
      <c r="AD245" s="27"/>
      <c r="AE245" s="29" t="str">
        <f aca="false">IF(OR(G245="",G245="なし"),"",IF(AA245="掛金・負担金別",(BA245+BB245+BC245+BE245+BG245+BI245+N(Z245)),IF(AA245="経理区分別",BD245+BE245,"")))</f>
        <v/>
      </c>
      <c r="AF245" s="27"/>
      <c r="AG245" s="29" t="str">
        <f aca="false">IF(OR(G245="",G245="なし"),"",IF(AA245="経理区分別",BF245+BG245,""))</f>
        <v/>
      </c>
      <c r="AH245" s="27"/>
      <c r="AI245" s="29" t="str">
        <f aca="false">IF(OR(G245="",G245="なし"),"",IF(AA245="経理区分別",BH245+BI245+N(Z245),""))</f>
        <v/>
      </c>
      <c r="AJ245" s="27"/>
      <c r="AK245" s="26" t="s">
        <v>168</v>
      </c>
      <c r="AL245" s="26"/>
      <c r="AM245" s="30"/>
      <c r="AN245" s="31"/>
      <c r="AO245" s="31"/>
      <c r="AP245" s="31"/>
      <c r="AQ245" s="31"/>
      <c r="AR245" s="31"/>
      <c r="AS245" s="31"/>
      <c r="AT245" s="31"/>
      <c r="AU245" s="31"/>
      <c r="AV245" s="31"/>
      <c r="AW245" s="31"/>
      <c r="AX245" s="31"/>
      <c r="AY245" s="31" t="n">
        <f aca="false">IF($G245="",AN245,O245)</f>
        <v>396195</v>
      </c>
      <c r="AZ245" s="31" t="n">
        <f aca="false">IF($G245="",AO245,P245)</f>
        <v>32475</v>
      </c>
      <c r="BA245" s="31" t="n">
        <f aca="false">IF($G245="",AP245,T245)</f>
        <v>568962</v>
      </c>
      <c r="BB245" s="31" t="n">
        <f aca="false">IF($G245="",AQ245,U245)</f>
        <v>32475</v>
      </c>
      <c r="BC245" s="31" t="n">
        <f aca="false">IF($G245="",AR245,V245)</f>
        <v>376</v>
      </c>
      <c r="BD245" s="31" t="n">
        <f aca="false">IF($G245="",AS245,Q245)</f>
        <v>299021</v>
      </c>
      <c r="BE245" s="31" t="n">
        <f aca="false">IF($G245="",AT245,W245)</f>
        <v>304040</v>
      </c>
      <c r="BF245" s="31" t="n">
        <f aca="false">IF($G245="",AU245,R245)</f>
        <v>33383</v>
      </c>
      <c r="BG245" s="31" t="n">
        <f aca="false">IF($G245="",AV245,X245)</f>
        <v>33385</v>
      </c>
      <c r="BH245" s="31" t="n">
        <f aca="false">IF($G245="",AW245,S245)</f>
        <v>6628</v>
      </c>
      <c r="BI245" s="31" t="n">
        <f aca="false">IF($G245="",AX245,Y245)</f>
        <v>6630</v>
      </c>
      <c r="BJ245" s="31" t="n">
        <f aca="false">IF(CK245="N",BR245,ROUNDDOWN((I245-L245)*設定!$B$10/1000,0)+ROUNDDOWN((I245-L245)*設定!$B$11/1000,0))</f>
        <v>0</v>
      </c>
      <c r="BK245" s="31" t="n">
        <f aca="false">ROUNDDOWN((I245-L245)*設定!$C$10/1000,0)+ROUNDDOWN((I245-L245)*設定!$C$11/1000,0)+ROUNDDOWN(I245*設定!$C$12/1000,0)+IF(CL245="市局型",ROUNDDOWN(I245*設定!$C$16/1000,0),0)</f>
        <v>0</v>
      </c>
      <c r="BL245" s="31" t="n">
        <f aca="false">IF(CK245="N",BT245,ROUNDDOWN((J245-M245)*設定!$B$13/1000,0))</f>
        <v>0</v>
      </c>
      <c r="BM245" s="31" t="n">
        <f aca="false">ROUNDDOWN((J245-M245)*設定!$C$13/1000,0)+IF(CL245="市局型",ROUNDDOWN(J245*設定!$C$17/1000,0),0)</f>
        <v>0</v>
      </c>
      <c r="BN245" s="31" t="n">
        <f aca="false">IF(CK245="N",BV245,ROUNDDOWN((K245-N245)*設定!$B$14/1000,0))</f>
        <v>0</v>
      </c>
      <c r="BO245" s="31" t="n">
        <f aca="false">ROUNDDOWN((K245-N245)*設定!$C$14/1000,0)</f>
        <v>0</v>
      </c>
      <c r="BP245" s="31" t="n">
        <f aca="false">IF(CK245="N",BX245,ROUNDDOWN((J245-M245)*設定!$B$15/1000,0))</f>
        <v>0</v>
      </c>
      <c r="BQ245" s="31" t="n">
        <f aca="false">ROUNDDOWN((J245-M245)*設定!$C$15/1000,0)</f>
        <v>0</v>
      </c>
      <c r="BR245" s="31" t="n">
        <f aca="false">O245+P245</f>
        <v>428670</v>
      </c>
      <c r="BS245" s="31" t="n">
        <f aca="false">T245+U245+V245</f>
        <v>601813</v>
      </c>
      <c r="BT245" s="31" t="n">
        <f aca="false">Q245</f>
        <v>299021</v>
      </c>
      <c r="BU245" s="31" t="n">
        <f aca="false">W245</f>
        <v>304040</v>
      </c>
      <c r="BV245" s="31" t="n">
        <f aca="false">R245</f>
        <v>33383</v>
      </c>
      <c r="BW245" s="31" t="n">
        <f aca="false">X245</f>
        <v>33385</v>
      </c>
      <c r="BX245" s="31" t="n">
        <f aca="false">S245</f>
        <v>6628</v>
      </c>
      <c r="BY245" s="31" t="n">
        <f aca="false">Y245</f>
        <v>6630</v>
      </c>
      <c r="BZ245" s="32" t="n">
        <f aca="false">IF(BJ245=0,IF(BR245=0,0,1),(BR245-BJ245)/BJ245)</f>
        <v>1</v>
      </c>
      <c r="CA245" s="32" t="n">
        <f aca="false">IF(BK245=0,IF(BS245=0,0,1),(BS245-BK245)/BK245)</f>
        <v>1</v>
      </c>
      <c r="CB245" s="32" t="n">
        <f aca="false">IF(BL245=0,IF(BT245=0,0,1),(BT245-BL245)/BL245)</f>
        <v>1</v>
      </c>
      <c r="CC245" s="32" t="n">
        <f aca="false">IF(BM245=0,IF(BU245=0,0,1),(BU245-BM245)/BM245)</f>
        <v>1</v>
      </c>
      <c r="CD245" s="32" t="n">
        <f aca="false">IF(BN245=0,IF(BV245=0,0,1),(BV245-BN245)/BN245)</f>
        <v>1</v>
      </c>
      <c r="CE245" s="32" t="n">
        <f aca="false">IF(BO245=0,IF(BW245=0,0,1),(BW245-BO245)/BO245)</f>
        <v>1</v>
      </c>
      <c r="CF245" s="32" t="n">
        <f aca="false">IF(BP245=0,IF(BX245=0,0,1),(BX245-BP245)/BP245)</f>
        <v>1</v>
      </c>
      <c r="CG245" s="32" t="n">
        <f aca="false">IF(BQ245=0,IF(BY245=0,0,1),(BY245-BQ245)/BQ245)</f>
        <v>1</v>
      </c>
      <c r="CH245" s="32" t="n">
        <f aca="false">MAX(MAX(BZ245:CG245),-MIN(BZ245:CG245))</f>
        <v>1</v>
      </c>
      <c r="CI245" s="31" t="n">
        <f aca="false">IF(CO245="","",SUMIFS($CJ$7:$CJ$696,$A$7:$A$696,CO245,$B$7:$B$696,B245))</f>
        <v>1713570</v>
      </c>
      <c r="CJ245" s="31" t="n">
        <f aca="false">SUM(AY245:BI245)</f>
        <v>1713570</v>
      </c>
      <c r="CK245" s="31" t="str">
        <f aca="false">IFERROR(INDEX(設定!$F$61:$F$106,MATCH(B245,設定!$B$61:$B$106,0)),"Y")</f>
        <v>Y</v>
      </c>
      <c r="CL245" s="31" t="str">
        <f aca="false">IFERROR(INDEX(設定!$G$61:$G$106,MATCH(B245,設定!$B$61:$B$106,0)),"外郭型")</f>
        <v>市局型</v>
      </c>
      <c r="CM245" s="33" t="str">
        <f aca="false">A245&amp;"|"&amp;B245</f>
        <v>2026-08 月例|農業委員会</v>
      </c>
      <c r="CN245" s="34" t="str">
        <f aca="false">IFERROR(INDEX(設定!$D$61:$D$106,MATCH(B245,設定!$B$61:$B$106,0)),"Y")</f>
        <v>Y</v>
      </c>
      <c r="CO245" s="34" t="str">
        <f aca="false">IFERROR(INDEX(設定!$D$20:$D$34,MATCH(A245,設定!$A$20:$A$34,0))&amp;"","")</f>
        <v>2026-07 月例</v>
      </c>
    </row>
    <row r="246" customFormat="false" ht="15" hidden="true" customHeight="false" outlineLevel="0" collapsed="false">
      <c r="A246" s="22" t="s">
        <v>221</v>
      </c>
      <c r="B246" s="23" t="s">
        <v>177</v>
      </c>
      <c r="C246" s="10" t="str">
        <f aca="false">IF(G246="","未受領",IF(G246="なし","報告なし",IF(AL246="○","起票済",IF(OR(AK246="○",F246="一致",F246="入金不要"),"入金確認済","受領済"))))</f>
        <v>入金確認済</v>
      </c>
      <c r="D246" s="10" t="str">
        <f aca="false">IF(OR(G246="",G246="なし"),"―",IF(CN246="N","対象外",IF(AND(I246="",J246="",K246=""),"標報未入力",IF(CH246&gt;=設定!$B$4,"要確認","問題なし"))))</f>
        <v>対象外</v>
      </c>
      <c r="E246" s="24" t="str">
        <f aca="false">IF(OR(G246="",G246="なし",CI246="",CJ246=0),"―",IF(CJ246=CI246,"前月同額",IF(CI246=0,"―",IF(ABS(CJ246/CI246-1)&gt;=設定!$B$5,"変動大 "&amp;TEXT(CJ246/CI246-1,"+0%;-0%"),"〇"))))</f>
        <v>〇</v>
      </c>
      <c r="F246" s="10" t="str">
        <f aca="false">IF(OR(G246="",G246="なし"),"―",IF(CJ246=0,"入金不要",IF(COUNT(AD246,AF246,AH246,AJ246)=0,IF(AK246="○","手動確認","未入金"),IF(AND(N(AD246)=AC246,IF(AE246="",TRUE(),N(AF246)=AE246),IF(AG246="",TRUE(),N(AH246)=AG246),IF(AI246="",TRUE(),N(AJ246)=AI246)),"一致","不一致"))))</f>
        <v>手動確認</v>
      </c>
      <c r="G246" s="25" t="s">
        <v>167</v>
      </c>
      <c r="H246" s="26"/>
      <c r="I246" s="27"/>
      <c r="J246" s="27"/>
      <c r="K246" s="27"/>
      <c r="L246" s="27"/>
      <c r="M246" s="27"/>
      <c r="N246" s="27"/>
      <c r="O246" s="27" t="n">
        <v>22626120</v>
      </c>
      <c r="P246" s="27" t="n">
        <v>1854600</v>
      </c>
      <c r="Q246" s="27" t="n">
        <v>13500472</v>
      </c>
      <c r="R246" s="27" t="n">
        <v>1365752</v>
      </c>
      <c r="S246" s="27" t="n">
        <v>299280</v>
      </c>
      <c r="T246" s="27" t="n">
        <v>32739144</v>
      </c>
      <c r="U246" s="27" t="n">
        <v>1854600</v>
      </c>
      <c r="V246" s="27" t="n">
        <v>21850</v>
      </c>
      <c r="W246" s="27" t="n">
        <v>13734572</v>
      </c>
      <c r="X246" s="27" t="n">
        <v>1365752</v>
      </c>
      <c r="Y246" s="27" t="n">
        <v>299377</v>
      </c>
      <c r="Z246" s="27"/>
      <c r="AA246" s="10" t="str">
        <f aca="false">IFERROR(INDEX(設定!$E$61:$E$106,MATCH(B246,設定!$B$61:$B$106,0)),"合算")</f>
        <v>合算</v>
      </c>
      <c r="AB246" s="28"/>
      <c r="AC246" s="29" t="n">
        <f aca="false">IF(OR(G246="",G246="なし"),"",IF(AA246="合算",CJ246+N(Z246),IF(AA246="掛金・負担金別",(AY246+AZ246+BD246+BF246+BH246),SUM(AY246:BC246))))</f>
        <v>89661519</v>
      </c>
      <c r="AD246" s="27"/>
      <c r="AE246" s="29" t="str">
        <f aca="false">IF(OR(G246="",G246="なし"),"",IF(AA246="掛金・負担金別",(BA246+BB246+BC246+BE246+BG246+BI246+N(Z246)),IF(AA246="経理区分別",BD246+BE246,"")))</f>
        <v/>
      </c>
      <c r="AF246" s="27"/>
      <c r="AG246" s="29" t="str">
        <f aca="false">IF(OR(G246="",G246="なし"),"",IF(AA246="経理区分別",BF246+BG246,""))</f>
        <v/>
      </c>
      <c r="AH246" s="27"/>
      <c r="AI246" s="29" t="str">
        <f aca="false">IF(OR(G246="",G246="なし"),"",IF(AA246="経理区分別",BH246+BI246+N(Z246),""))</f>
        <v/>
      </c>
      <c r="AJ246" s="27"/>
      <c r="AK246" s="26" t="s">
        <v>168</v>
      </c>
      <c r="AL246" s="26"/>
      <c r="AM246" s="30"/>
      <c r="AN246" s="31"/>
      <c r="AO246" s="31"/>
      <c r="AP246" s="31"/>
      <c r="AQ246" s="31"/>
      <c r="AR246" s="31"/>
      <c r="AS246" s="31"/>
      <c r="AT246" s="31"/>
      <c r="AU246" s="31"/>
      <c r="AV246" s="31"/>
      <c r="AW246" s="31"/>
      <c r="AX246" s="31"/>
      <c r="AY246" s="31" t="n">
        <f aca="false">IF($G246="",AN246,O246)</f>
        <v>22626120</v>
      </c>
      <c r="AZ246" s="31" t="n">
        <f aca="false">IF($G246="",AO246,P246)</f>
        <v>1854600</v>
      </c>
      <c r="BA246" s="31" t="n">
        <f aca="false">IF($G246="",AP246,T246)</f>
        <v>32739144</v>
      </c>
      <c r="BB246" s="31" t="n">
        <f aca="false">IF($G246="",AQ246,U246)</f>
        <v>1854600</v>
      </c>
      <c r="BC246" s="31" t="n">
        <f aca="false">IF($G246="",AR246,V246)</f>
        <v>21850</v>
      </c>
      <c r="BD246" s="31" t="n">
        <f aca="false">IF($G246="",AS246,Q246)</f>
        <v>13500472</v>
      </c>
      <c r="BE246" s="31" t="n">
        <f aca="false">IF($G246="",AT246,W246)</f>
        <v>13734572</v>
      </c>
      <c r="BF246" s="31" t="n">
        <f aca="false">IF($G246="",AU246,R246)</f>
        <v>1365752</v>
      </c>
      <c r="BG246" s="31" t="n">
        <f aca="false">IF($G246="",AV246,X246)</f>
        <v>1365752</v>
      </c>
      <c r="BH246" s="31" t="n">
        <f aca="false">IF($G246="",AW246,S246)</f>
        <v>299280</v>
      </c>
      <c r="BI246" s="31" t="n">
        <f aca="false">IF($G246="",AX246,Y246)</f>
        <v>299377</v>
      </c>
      <c r="BJ246" s="31" t="n">
        <f aca="false">IF(CK246="N",BR246,ROUNDDOWN((I246-L246)*設定!$B$10/1000,0)+ROUNDDOWN((I246-L246)*設定!$B$11/1000,0))</f>
        <v>0</v>
      </c>
      <c r="BK246" s="31" t="n">
        <f aca="false">ROUNDDOWN((I246-L246)*設定!$C$10/1000,0)+ROUNDDOWN((I246-L246)*設定!$C$11/1000,0)+ROUNDDOWN(I246*設定!$C$12/1000,0)+IF(CL246="市局型",ROUNDDOWN(I246*設定!$C$16/1000,0),0)</f>
        <v>0</v>
      </c>
      <c r="BL246" s="31" t="n">
        <f aca="false">IF(CK246="N",BT246,ROUNDDOWN((J246-M246)*設定!$B$13/1000,0))</f>
        <v>0</v>
      </c>
      <c r="BM246" s="31" t="n">
        <f aca="false">ROUNDDOWN((J246-M246)*設定!$C$13/1000,0)+IF(CL246="市局型",ROUNDDOWN(J246*設定!$C$17/1000,0),0)</f>
        <v>0</v>
      </c>
      <c r="BN246" s="31" t="n">
        <f aca="false">IF(CK246="N",BV246,ROUNDDOWN((K246-N246)*設定!$B$14/1000,0))</f>
        <v>0</v>
      </c>
      <c r="BO246" s="31" t="n">
        <f aca="false">ROUNDDOWN((K246-N246)*設定!$C$14/1000,0)</f>
        <v>0</v>
      </c>
      <c r="BP246" s="31" t="n">
        <f aca="false">IF(CK246="N",BX246,ROUNDDOWN((J246-M246)*設定!$B$15/1000,0))</f>
        <v>0</v>
      </c>
      <c r="BQ246" s="31" t="n">
        <f aca="false">ROUNDDOWN((J246-M246)*設定!$C$15/1000,0)</f>
        <v>0</v>
      </c>
      <c r="BR246" s="31" t="n">
        <f aca="false">O246+P246</f>
        <v>24480720</v>
      </c>
      <c r="BS246" s="31" t="n">
        <f aca="false">T246+U246+V246</f>
        <v>34615594</v>
      </c>
      <c r="BT246" s="31" t="n">
        <f aca="false">Q246</f>
        <v>13500472</v>
      </c>
      <c r="BU246" s="31" t="n">
        <f aca="false">W246</f>
        <v>13734572</v>
      </c>
      <c r="BV246" s="31" t="n">
        <f aca="false">R246</f>
        <v>1365752</v>
      </c>
      <c r="BW246" s="31" t="n">
        <f aca="false">X246</f>
        <v>1365752</v>
      </c>
      <c r="BX246" s="31" t="n">
        <f aca="false">S246</f>
        <v>299280</v>
      </c>
      <c r="BY246" s="31" t="n">
        <f aca="false">Y246</f>
        <v>299377</v>
      </c>
      <c r="BZ246" s="32" t="n">
        <f aca="false">IF(BJ246=0,IF(BR246=0,0,1),(BR246-BJ246)/BJ246)</f>
        <v>1</v>
      </c>
      <c r="CA246" s="32" t="n">
        <f aca="false">IF(BK246=0,IF(BS246=0,0,1),(BS246-BK246)/BK246)</f>
        <v>1</v>
      </c>
      <c r="CB246" s="32" t="n">
        <f aca="false">IF(BL246=0,IF(BT246=0,0,1),(BT246-BL246)/BL246)</f>
        <v>1</v>
      </c>
      <c r="CC246" s="32" t="n">
        <f aca="false">IF(BM246=0,IF(BU246=0,0,1),(BU246-BM246)/BM246)</f>
        <v>1</v>
      </c>
      <c r="CD246" s="32" t="n">
        <f aca="false">IF(BN246=0,IF(BV246=0,0,1),(BV246-BN246)/BN246)</f>
        <v>1</v>
      </c>
      <c r="CE246" s="32" t="n">
        <f aca="false">IF(BO246=0,IF(BW246=0,0,1),(BW246-BO246)/BO246)</f>
        <v>1</v>
      </c>
      <c r="CF246" s="32" t="n">
        <f aca="false">IF(BP246=0,IF(BX246=0,0,1),(BX246-BP246)/BP246)</f>
        <v>1</v>
      </c>
      <c r="CG246" s="32" t="n">
        <f aca="false">IF(BQ246=0,IF(BY246=0,0,1),(BY246-BQ246)/BQ246)</f>
        <v>1</v>
      </c>
      <c r="CH246" s="32" t="n">
        <f aca="false">MAX(MAX(BZ246:CG246),-MIN(BZ246:CG246))</f>
        <v>1</v>
      </c>
      <c r="CI246" s="31" t="n">
        <f aca="false">IF(CO246="","",SUMIFS($CJ$7:$CJ$696,$A$7:$A$696,CO246,$B$7:$B$696,B246))</f>
        <v>90164243</v>
      </c>
      <c r="CJ246" s="31" t="n">
        <f aca="false">SUM(AY246:BI246)</f>
        <v>89661519</v>
      </c>
      <c r="CK246" s="31" t="str">
        <f aca="false">IFERROR(INDEX(設定!$F$61:$F$106,MATCH(B246,設定!$B$61:$B$106,0)),"Y")</f>
        <v>Y</v>
      </c>
      <c r="CL246" s="31" t="str">
        <f aca="false">IFERROR(INDEX(設定!$G$61:$G$106,MATCH(B246,設定!$B$61:$B$106,0)),"外郭型")</f>
        <v>市局型</v>
      </c>
      <c r="CM246" s="33" t="str">
        <f aca="false">A246&amp;"|"&amp;B246</f>
        <v>2026-08 月例|水道局</v>
      </c>
      <c r="CN246" s="34" t="str">
        <f aca="false">IFERROR(INDEX(設定!$D$61:$D$106,MATCH(B246,設定!$B$61:$B$106,0)),"Y")</f>
        <v>N</v>
      </c>
      <c r="CO246" s="34" t="str">
        <f aca="false">IFERROR(INDEX(設定!$D$20:$D$34,MATCH(A246,設定!$A$20:$A$34,0))&amp;"","")</f>
        <v>2026-07 月例</v>
      </c>
    </row>
    <row r="247" customFormat="false" ht="15" hidden="true" customHeight="false" outlineLevel="0" collapsed="false">
      <c r="A247" s="22" t="s">
        <v>221</v>
      </c>
      <c r="B247" s="23" t="s">
        <v>178</v>
      </c>
      <c r="C247" s="10" t="str">
        <f aca="false">IF(G247="","未受領",IF(G247="なし","報告なし",IF(AL247="○","起票済",IF(OR(AK247="○",F247="一致",F247="入金不要"),"入金確認済","受領済"))))</f>
        <v>入金確認済</v>
      </c>
      <c r="D247" s="10" t="str">
        <f aca="false">IF(OR(G247="",G247="なし"),"―",IF(CN247="N","対象外",IF(AND(I247="",J247="",K247=""),"標報未入力",IF(CH247&gt;=設定!$B$4,"要確認","問題なし"))))</f>
        <v>標報未入力</v>
      </c>
      <c r="E247" s="24" t="str">
        <f aca="false">IF(OR(G247="",G247="なし",CI247="",CJ247=0),"―",IF(CJ247=CI247,"前月同額",IF(CI247=0,"―",IF(ABS(CJ247/CI247-1)&gt;=設定!$B$5,"変動大 "&amp;TEXT(CJ247/CI247-1,"+0%;-0%"),"〇"))))</f>
        <v>前月同額</v>
      </c>
      <c r="F247" s="10" t="str">
        <f aca="false">IF(OR(G247="",G247="なし"),"―",IF(CJ247=0,"入金不要",IF(COUNT(AD247,AF247,AH247,AJ247)=0,IF(AK247="○","手動確認","未入金"),IF(AND(N(AD247)=AC247,IF(AE247="",TRUE(),N(AF247)=AE247),IF(AG247="",TRUE(),N(AH247)=AG247),IF(AI247="",TRUE(),N(AJ247)=AI247)),"一致","不一致"))))</f>
        <v>手動確認</v>
      </c>
      <c r="G247" s="25" t="s">
        <v>167</v>
      </c>
      <c r="H247" s="26"/>
      <c r="I247" s="27"/>
      <c r="J247" s="27"/>
      <c r="K247" s="27"/>
      <c r="L247" s="27"/>
      <c r="M247" s="27"/>
      <c r="N247" s="27"/>
      <c r="O247" s="27" t="n">
        <v>48495</v>
      </c>
      <c r="P247" s="27" t="n">
        <v>3975</v>
      </c>
      <c r="Q247" s="27" t="n">
        <v>27485</v>
      </c>
      <c r="R247" s="27" t="n">
        <v>4187</v>
      </c>
      <c r="S247" s="27" t="n">
        <v>609</v>
      </c>
      <c r="T247" s="27" t="n">
        <v>69642</v>
      </c>
      <c r="U247" s="27" t="n">
        <v>3975</v>
      </c>
      <c r="V247" s="27" t="n">
        <v>46</v>
      </c>
      <c r="W247" s="27" t="n">
        <v>27946</v>
      </c>
      <c r="X247" s="27" t="n">
        <v>4187</v>
      </c>
      <c r="Y247" s="27" t="n">
        <v>609</v>
      </c>
      <c r="Z247" s="27"/>
      <c r="AA247" s="10" t="str">
        <f aca="false">IFERROR(INDEX(設定!$E$61:$E$106,MATCH(B247,設定!$B$61:$B$106,0)),"合算")</f>
        <v>合算</v>
      </c>
      <c r="AB247" s="28"/>
      <c r="AC247" s="29" t="n">
        <f aca="false">IF(OR(G247="",G247="なし"),"",IF(AA247="合算",CJ247+N(Z247),IF(AA247="掛金・負担金別",(AY247+AZ247+BD247+BF247+BH247),SUM(AY247:BC247))))</f>
        <v>191156</v>
      </c>
      <c r="AD247" s="27"/>
      <c r="AE247" s="29" t="str">
        <f aca="false">IF(OR(G247="",G247="なし"),"",IF(AA247="掛金・負担金別",(BA247+BB247+BC247+BE247+BG247+BI247+N(Z247)),IF(AA247="経理区分別",BD247+BE247,"")))</f>
        <v/>
      </c>
      <c r="AF247" s="27"/>
      <c r="AG247" s="29" t="str">
        <f aca="false">IF(OR(G247="",G247="なし"),"",IF(AA247="経理区分別",BF247+BG247,""))</f>
        <v/>
      </c>
      <c r="AH247" s="27"/>
      <c r="AI247" s="29" t="str">
        <f aca="false">IF(OR(G247="",G247="なし"),"",IF(AA247="経理区分別",BH247+BI247+N(Z247),""))</f>
        <v/>
      </c>
      <c r="AJ247" s="27"/>
      <c r="AK247" s="26" t="s">
        <v>168</v>
      </c>
      <c r="AL247" s="26"/>
      <c r="AM247" s="30"/>
      <c r="AN247" s="31"/>
      <c r="AO247" s="31"/>
      <c r="AP247" s="31"/>
      <c r="AQ247" s="31"/>
      <c r="AR247" s="31"/>
      <c r="AS247" s="31"/>
      <c r="AT247" s="31"/>
      <c r="AU247" s="31"/>
      <c r="AV247" s="31"/>
      <c r="AW247" s="31"/>
      <c r="AX247" s="31"/>
      <c r="AY247" s="31" t="n">
        <f aca="false">IF($G247="",AN247,O247)</f>
        <v>48495</v>
      </c>
      <c r="AZ247" s="31" t="n">
        <f aca="false">IF($G247="",AO247,P247)</f>
        <v>3975</v>
      </c>
      <c r="BA247" s="31" t="n">
        <f aca="false">IF($G247="",AP247,T247)</f>
        <v>69642</v>
      </c>
      <c r="BB247" s="31" t="n">
        <f aca="false">IF($G247="",AQ247,U247)</f>
        <v>3975</v>
      </c>
      <c r="BC247" s="31" t="n">
        <f aca="false">IF($G247="",AR247,V247)</f>
        <v>46</v>
      </c>
      <c r="BD247" s="31" t="n">
        <f aca="false">IF($G247="",AS247,Q247)</f>
        <v>27485</v>
      </c>
      <c r="BE247" s="31" t="n">
        <f aca="false">IF($G247="",AT247,W247)</f>
        <v>27946</v>
      </c>
      <c r="BF247" s="31" t="n">
        <f aca="false">IF($G247="",AU247,R247)</f>
        <v>4187</v>
      </c>
      <c r="BG247" s="31" t="n">
        <f aca="false">IF($G247="",AV247,X247)</f>
        <v>4187</v>
      </c>
      <c r="BH247" s="31" t="n">
        <f aca="false">IF($G247="",AW247,S247)</f>
        <v>609</v>
      </c>
      <c r="BI247" s="31" t="n">
        <f aca="false">IF($G247="",AX247,Y247)</f>
        <v>609</v>
      </c>
      <c r="BJ247" s="31" t="n">
        <f aca="false">IF(CK247="N",BR247,ROUNDDOWN((I247-L247)*設定!$B$10/1000,0)+ROUNDDOWN((I247-L247)*設定!$B$11/1000,0))</f>
        <v>0</v>
      </c>
      <c r="BK247" s="31" t="n">
        <f aca="false">ROUNDDOWN((I247-L247)*設定!$C$10/1000,0)+ROUNDDOWN((I247-L247)*設定!$C$11/1000,0)+ROUNDDOWN(I247*設定!$C$12/1000,0)+IF(CL247="市局型",ROUNDDOWN(I247*設定!$C$16/1000,0),0)</f>
        <v>0</v>
      </c>
      <c r="BL247" s="31" t="n">
        <f aca="false">IF(CK247="N",BT247,ROUNDDOWN((J247-M247)*設定!$B$13/1000,0))</f>
        <v>0</v>
      </c>
      <c r="BM247" s="31" t="n">
        <f aca="false">ROUNDDOWN((J247-M247)*設定!$C$13/1000,0)+IF(CL247="市局型",ROUNDDOWN(J247*設定!$C$17/1000,0),0)</f>
        <v>0</v>
      </c>
      <c r="BN247" s="31" t="n">
        <f aca="false">IF(CK247="N",BV247,ROUNDDOWN((K247-N247)*設定!$B$14/1000,0))</f>
        <v>0</v>
      </c>
      <c r="BO247" s="31" t="n">
        <f aca="false">ROUNDDOWN((K247-N247)*設定!$C$14/1000,0)</f>
        <v>0</v>
      </c>
      <c r="BP247" s="31" t="n">
        <f aca="false">IF(CK247="N",BX247,ROUNDDOWN((J247-M247)*設定!$B$15/1000,0))</f>
        <v>0</v>
      </c>
      <c r="BQ247" s="31" t="n">
        <f aca="false">ROUNDDOWN((J247-M247)*設定!$C$15/1000,0)</f>
        <v>0</v>
      </c>
      <c r="BR247" s="31" t="n">
        <f aca="false">O247+P247</f>
        <v>52470</v>
      </c>
      <c r="BS247" s="31" t="n">
        <f aca="false">T247+U247+V247</f>
        <v>73663</v>
      </c>
      <c r="BT247" s="31" t="n">
        <f aca="false">Q247</f>
        <v>27485</v>
      </c>
      <c r="BU247" s="31" t="n">
        <f aca="false">W247</f>
        <v>27946</v>
      </c>
      <c r="BV247" s="31" t="n">
        <f aca="false">R247</f>
        <v>4187</v>
      </c>
      <c r="BW247" s="31" t="n">
        <f aca="false">X247</f>
        <v>4187</v>
      </c>
      <c r="BX247" s="31" t="n">
        <f aca="false">S247</f>
        <v>609</v>
      </c>
      <c r="BY247" s="31" t="n">
        <f aca="false">Y247</f>
        <v>609</v>
      </c>
      <c r="BZ247" s="32" t="n">
        <f aca="false">IF(BJ247=0,IF(BR247=0,0,1),(BR247-BJ247)/BJ247)</f>
        <v>1</v>
      </c>
      <c r="CA247" s="32" t="n">
        <f aca="false">IF(BK247=0,IF(BS247=0,0,1),(BS247-BK247)/BK247)</f>
        <v>1</v>
      </c>
      <c r="CB247" s="32" t="n">
        <f aca="false">IF(BL247=0,IF(BT247=0,0,1),(BT247-BL247)/BL247)</f>
        <v>1</v>
      </c>
      <c r="CC247" s="32" t="n">
        <f aca="false">IF(BM247=0,IF(BU247=0,0,1),(BU247-BM247)/BM247)</f>
        <v>1</v>
      </c>
      <c r="CD247" s="32" t="n">
        <f aca="false">IF(BN247=0,IF(BV247=0,0,1),(BV247-BN247)/BN247)</f>
        <v>1</v>
      </c>
      <c r="CE247" s="32" t="n">
        <f aca="false">IF(BO247=0,IF(BW247=0,0,1),(BW247-BO247)/BO247)</f>
        <v>1</v>
      </c>
      <c r="CF247" s="32" t="n">
        <f aca="false">IF(BP247=0,IF(BX247=0,0,1),(BX247-BP247)/BP247)</f>
        <v>1</v>
      </c>
      <c r="CG247" s="32" t="n">
        <f aca="false">IF(BQ247=0,IF(BY247=0,0,1),(BY247-BQ247)/BQ247)</f>
        <v>1</v>
      </c>
      <c r="CH247" s="32" t="n">
        <f aca="false">MAX(MAX(BZ247:CG247),-MIN(BZ247:CG247))</f>
        <v>1</v>
      </c>
      <c r="CI247" s="31" t="n">
        <f aca="false">IF(CO247="","",SUMIFS($CJ$7:$CJ$696,$A$7:$A$696,CO247,$B$7:$B$696,B247))</f>
        <v>191156</v>
      </c>
      <c r="CJ247" s="31" t="n">
        <f aca="false">SUM(AY247:BI247)</f>
        <v>191156</v>
      </c>
      <c r="CK247" s="31" t="str">
        <f aca="false">IFERROR(INDEX(設定!$F$61:$F$106,MATCH(B247,設定!$B$61:$B$106,0)),"Y")</f>
        <v>Y</v>
      </c>
      <c r="CL247" s="31" t="str">
        <f aca="false">IFERROR(INDEX(設定!$G$61:$G$106,MATCH(B247,設定!$B$61:$B$106,0)),"外郭型")</f>
        <v>市局型</v>
      </c>
      <c r="CM247" s="33" t="str">
        <f aca="false">A247&amp;"|"&amp;B247</f>
        <v>2026-08 月例|医療政策課(安芸市民)</v>
      </c>
      <c r="CN247" s="34" t="str">
        <f aca="false">IFERROR(INDEX(設定!$D$61:$D$106,MATCH(B247,設定!$B$61:$B$106,0)),"Y")</f>
        <v>Y</v>
      </c>
      <c r="CO247" s="34" t="str">
        <f aca="false">IFERROR(INDEX(設定!$D$20:$D$34,MATCH(A247,設定!$A$20:$A$34,0))&amp;"","")</f>
        <v>2026-07 月例</v>
      </c>
    </row>
    <row r="248" customFormat="false" ht="15" hidden="true" customHeight="false" outlineLevel="0" collapsed="false">
      <c r="A248" s="22" t="s">
        <v>221</v>
      </c>
      <c r="B248" s="23" t="s">
        <v>179</v>
      </c>
      <c r="C248" s="10" t="str">
        <f aca="false">IF(G248="","未受領",IF(G248="なし","報告なし",IF(AL248="○","起票済",IF(OR(AK248="○",F248="一致",F248="入金不要"),"入金確認済","受領済"))))</f>
        <v>入金確認済</v>
      </c>
      <c r="D248" s="10" t="str">
        <f aca="false">IF(OR(G248="",G248="なし"),"―",IF(CN248="N","対象外",IF(AND(I248="",J248="",K248=""),"標報未入力",IF(CH248&gt;=設定!$B$4,"要確認","問題なし"))))</f>
        <v>標報未入力</v>
      </c>
      <c r="E248" s="24" t="str">
        <f aca="false">IF(OR(G248="",G248="なし",CI248="",CJ248=0),"―",IF(CJ248=CI248,"前月同額",IF(CI248=0,"―",IF(ABS(CJ248/CI248-1)&gt;=設定!$B$5,"変動大 "&amp;TEXT(CJ248/CI248-1,"+0%;-0%"),"〇"))))</f>
        <v>変動大 -30%</v>
      </c>
      <c r="F248" s="10" t="str">
        <f aca="false">IF(OR(G248="",G248="なし"),"―",IF(CJ248=0,"入金不要",IF(COUNT(AD248,AF248,AH248,AJ248)=0,IF(AK248="○","手動確認","未入金"),IF(AND(N(AD248)=AC248,IF(AE248="",TRUE(),N(AF248)=AE248),IF(AG248="",TRUE(),N(AH248)=AG248),IF(AI248="",TRUE(),N(AJ248)=AI248)),"一致","不一致"))))</f>
        <v>手動確認</v>
      </c>
      <c r="G248" s="25" t="s">
        <v>167</v>
      </c>
      <c r="H248" s="26"/>
      <c r="I248" s="27"/>
      <c r="J248" s="27"/>
      <c r="K248" s="27"/>
      <c r="L248" s="27"/>
      <c r="M248" s="27"/>
      <c r="N248" s="27"/>
      <c r="O248" s="27" t="n">
        <v>0</v>
      </c>
      <c r="P248" s="27" t="n">
        <v>0</v>
      </c>
      <c r="Q248" s="27" t="n">
        <v>269662</v>
      </c>
      <c r="R248" s="27" t="n">
        <v>10428</v>
      </c>
      <c r="S248" s="27" t="n">
        <v>5976</v>
      </c>
      <c r="T248" s="27"/>
      <c r="U248" s="27"/>
      <c r="V248" s="27" t="n">
        <v>0</v>
      </c>
      <c r="W248" s="27" t="n">
        <v>274195</v>
      </c>
      <c r="X248" s="27" t="n">
        <v>10428</v>
      </c>
      <c r="Y248" s="27" t="n">
        <v>5980</v>
      </c>
      <c r="Z248" s="27"/>
      <c r="AA248" s="10" t="str">
        <f aca="false">IFERROR(INDEX(設定!$E$61:$E$106,MATCH(B248,設定!$B$61:$B$106,0)),"合算")</f>
        <v>合算</v>
      </c>
      <c r="AB248" s="28"/>
      <c r="AC248" s="29" t="n">
        <f aca="false">IF(OR(G248="",G248="なし"),"",IF(AA248="合算",CJ248+N(Z248),IF(AA248="掛金・負担金別",(AY248+AZ248+BD248+BF248+BH248),SUM(AY248:BC248))))</f>
        <v>576669</v>
      </c>
      <c r="AD248" s="27"/>
      <c r="AE248" s="29" t="str">
        <f aca="false">IF(OR(G248="",G248="なし"),"",IF(AA248="掛金・負担金別",(BA248+BB248+BC248+BE248+BG248+BI248+N(Z248)),IF(AA248="経理区分別",BD248+BE248,"")))</f>
        <v/>
      </c>
      <c r="AF248" s="27"/>
      <c r="AG248" s="29" t="str">
        <f aca="false">IF(OR(G248="",G248="なし"),"",IF(AA248="経理区分別",BF248+BG248,""))</f>
        <v/>
      </c>
      <c r="AH248" s="27"/>
      <c r="AI248" s="29" t="str">
        <f aca="false">IF(OR(G248="",G248="なし"),"",IF(AA248="経理区分別",BH248+BI248+N(Z248),""))</f>
        <v/>
      </c>
      <c r="AJ248" s="27"/>
      <c r="AK248" s="26" t="s">
        <v>168</v>
      </c>
      <c r="AL248" s="26"/>
      <c r="AM248" s="30"/>
      <c r="AN248" s="31"/>
      <c r="AO248" s="31"/>
      <c r="AP248" s="31"/>
      <c r="AQ248" s="31"/>
      <c r="AR248" s="31"/>
      <c r="AS248" s="31"/>
      <c r="AT248" s="31"/>
      <c r="AU248" s="31"/>
      <c r="AV248" s="31"/>
      <c r="AW248" s="31"/>
      <c r="AX248" s="31"/>
      <c r="AY248" s="31" t="n">
        <f aca="false">IF($G248="",AN248,O248)</f>
        <v>0</v>
      </c>
      <c r="AZ248" s="31" t="n">
        <f aca="false">IF($G248="",AO248,P248)</f>
        <v>0</v>
      </c>
      <c r="BA248" s="31" t="n">
        <f aca="false">IF($G248="",AP248,T248)</f>
        <v>0</v>
      </c>
      <c r="BB248" s="31" t="n">
        <f aca="false">IF($G248="",AQ248,U248)</f>
        <v>0</v>
      </c>
      <c r="BC248" s="31" t="n">
        <f aca="false">IF($G248="",AR248,V248)</f>
        <v>0</v>
      </c>
      <c r="BD248" s="31" t="n">
        <f aca="false">IF($G248="",AS248,Q248)</f>
        <v>269662</v>
      </c>
      <c r="BE248" s="31" t="n">
        <f aca="false">IF($G248="",AT248,W248)</f>
        <v>274195</v>
      </c>
      <c r="BF248" s="31" t="n">
        <f aca="false">IF($G248="",AU248,R248)</f>
        <v>10428</v>
      </c>
      <c r="BG248" s="31" t="n">
        <f aca="false">IF($G248="",AV248,X248)</f>
        <v>10428</v>
      </c>
      <c r="BH248" s="31" t="n">
        <f aca="false">IF($G248="",AW248,S248)</f>
        <v>5976</v>
      </c>
      <c r="BI248" s="31" t="n">
        <f aca="false">IF($G248="",AX248,Y248)</f>
        <v>5980</v>
      </c>
      <c r="BJ248" s="31" t="n">
        <f aca="false">IF(CK248="N",BR248,ROUNDDOWN((I248-L248)*設定!$B$10/1000,0)+ROUNDDOWN((I248-L248)*設定!$B$11/1000,0))</f>
        <v>0</v>
      </c>
      <c r="BK248" s="31" t="n">
        <f aca="false">ROUNDDOWN((I248-L248)*設定!$C$10/1000,0)+ROUNDDOWN((I248-L248)*設定!$C$11/1000,0)+ROUNDDOWN(I248*設定!$C$12/1000,0)+IF(CL248="市局型",ROUNDDOWN(I248*設定!$C$16/1000,0),0)</f>
        <v>0</v>
      </c>
      <c r="BL248" s="31" t="n">
        <f aca="false">IF(CK248="N",BT248,ROUNDDOWN((J248-M248)*設定!$B$13/1000,0))</f>
        <v>0</v>
      </c>
      <c r="BM248" s="31" t="n">
        <f aca="false">ROUNDDOWN((J248-M248)*設定!$C$13/1000,0)+IF(CL248="市局型",ROUNDDOWN(J248*設定!$C$17/1000,0),0)</f>
        <v>0</v>
      </c>
      <c r="BN248" s="31" t="n">
        <f aca="false">IF(CK248="N",BV248,ROUNDDOWN((K248-N248)*設定!$B$14/1000,0))</f>
        <v>0</v>
      </c>
      <c r="BO248" s="31" t="n">
        <f aca="false">ROUNDDOWN((K248-N248)*設定!$C$14/1000,0)</f>
        <v>0</v>
      </c>
      <c r="BP248" s="31" t="n">
        <f aca="false">IF(CK248="N",BX248,ROUNDDOWN((J248-M248)*設定!$B$15/1000,0))</f>
        <v>0</v>
      </c>
      <c r="BQ248" s="31" t="n">
        <f aca="false">ROUNDDOWN((J248-M248)*設定!$C$15/1000,0)</f>
        <v>0</v>
      </c>
      <c r="BR248" s="31" t="n">
        <f aca="false">O248+P248</f>
        <v>0</v>
      </c>
      <c r="BS248" s="31" t="n">
        <f aca="false">T248+U248+V248</f>
        <v>0</v>
      </c>
      <c r="BT248" s="31" t="n">
        <f aca="false">Q248</f>
        <v>269662</v>
      </c>
      <c r="BU248" s="31" t="n">
        <f aca="false">W248</f>
        <v>274195</v>
      </c>
      <c r="BV248" s="31" t="n">
        <f aca="false">R248</f>
        <v>10428</v>
      </c>
      <c r="BW248" s="31" t="n">
        <f aca="false">X248</f>
        <v>10428</v>
      </c>
      <c r="BX248" s="31" t="n">
        <f aca="false">S248</f>
        <v>5976</v>
      </c>
      <c r="BY248" s="31" t="n">
        <f aca="false">Y248</f>
        <v>5980</v>
      </c>
      <c r="BZ248" s="32" t="n">
        <f aca="false">IF(BJ248=0,IF(BR248=0,0,1),(BR248-BJ248)/BJ248)</f>
        <v>0</v>
      </c>
      <c r="CA248" s="32" t="n">
        <f aca="false">IF(BK248=0,IF(BS248=0,0,1),(BS248-BK248)/BK248)</f>
        <v>0</v>
      </c>
      <c r="CB248" s="32" t="n">
        <f aca="false">IF(BL248=0,IF(BT248=0,0,1),(BT248-BL248)/BL248)</f>
        <v>1</v>
      </c>
      <c r="CC248" s="32" t="n">
        <f aca="false">IF(BM248=0,IF(BU248=0,0,1),(BU248-BM248)/BM248)</f>
        <v>1</v>
      </c>
      <c r="CD248" s="32" t="n">
        <f aca="false">IF(BN248=0,IF(BV248=0,0,1),(BV248-BN248)/BN248)</f>
        <v>1</v>
      </c>
      <c r="CE248" s="32" t="n">
        <f aca="false">IF(BO248=0,IF(BW248=0,0,1),(BW248-BO248)/BO248)</f>
        <v>1</v>
      </c>
      <c r="CF248" s="32" t="n">
        <f aca="false">IF(BP248=0,IF(BX248=0,0,1),(BX248-BP248)/BP248)</f>
        <v>1</v>
      </c>
      <c r="CG248" s="32" t="n">
        <f aca="false">IF(BQ248=0,IF(BY248=0,0,1),(BY248-BQ248)/BQ248)</f>
        <v>1</v>
      </c>
      <c r="CH248" s="32" t="n">
        <f aca="false">MAX(MAX(BZ248:CG248),-MIN(BZ248:CG248))</f>
        <v>1</v>
      </c>
      <c r="CI248" s="31" t="n">
        <f aca="false">IF(CO248="","",SUMIFS($CJ$7:$CJ$696,$A$7:$A$696,CO248,$B$7:$B$696,B248))</f>
        <v>820754</v>
      </c>
      <c r="CJ248" s="31" t="n">
        <f aca="false">SUM(AY248:BI248)</f>
        <v>576669</v>
      </c>
      <c r="CK248" s="31" t="str">
        <f aca="false">IFERROR(INDEX(設定!$F$61:$F$106,MATCH(B248,設定!$B$61:$B$106,0)),"Y")</f>
        <v>Y</v>
      </c>
      <c r="CL248" s="31" t="str">
        <f aca="false">IFERROR(INDEX(設定!$G$61:$G$106,MATCH(B248,設定!$B$61:$B$106,0)),"外郭型")</f>
        <v>市局型</v>
      </c>
      <c r="CM248" s="33" t="str">
        <f aca="false">A248&amp;"|"&amp;B248</f>
        <v>2026-08 月例|教育委員会（教育給与課）</v>
      </c>
      <c r="CN248" s="34" t="str">
        <f aca="false">IFERROR(INDEX(設定!$D$61:$D$106,MATCH(B248,設定!$B$61:$B$106,0)),"Y")</f>
        <v>Y</v>
      </c>
      <c r="CO248" s="34" t="str">
        <f aca="false">IFERROR(INDEX(設定!$D$20:$D$34,MATCH(A248,設定!$A$20:$A$34,0))&amp;"","")</f>
        <v>2026-07 月例</v>
      </c>
    </row>
    <row r="249" customFormat="false" ht="15" hidden="true" customHeight="false" outlineLevel="0" collapsed="false">
      <c r="A249" s="22" t="s">
        <v>221</v>
      </c>
      <c r="B249" s="23" t="s">
        <v>180</v>
      </c>
      <c r="C249" s="10" t="str">
        <f aca="false">IF(G249="","未受領",IF(G249="なし","報告なし",IF(AL249="○","起票済",IF(OR(AK249="○",F249="一致",F249="入金不要"),"入金確認済","受領済"))))</f>
        <v>報告なし</v>
      </c>
      <c r="D249" s="10" t="str">
        <f aca="false">IF(OR(G249="",G249="なし"),"―",IF(CN249="N","対象外",IF(AND(I249="",J249="",K249=""),"標報未入力",IF(CH249&gt;=設定!$B$4,"要確認","問題なし"))))</f>
        <v>―</v>
      </c>
      <c r="E249" s="24" t="str">
        <f aca="false">IF(OR(G249="",G249="なし",CI249="",CJ249=0),"―",IF(CJ249=CI249,"前月同額",IF(CI249=0,"―",IF(ABS(CJ249/CI249-1)&gt;=設定!$B$5,"変動大 "&amp;TEXT(CJ249/CI249-1,"+0%;-0%"),"〇"))))</f>
        <v>―</v>
      </c>
      <c r="F249" s="10" t="str">
        <f aca="false">IF(OR(G249="",G249="なし"),"―",IF(CJ249=0,"入金不要",IF(COUNT(AD249,AF249,AH249,AJ249)=0,IF(AK249="○","手動確認","未入金"),IF(AND(N(AD249)=AC249,IF(AE249="",TRUE(),N(AF249)=AE249),IF(AG249="",TRUE(),N(AH249)=AG249),IF(AI249="",TRUE(),N(AJ249)=AI249)),"一致","不一致"))))</f>
        <v>―</v>
      </c>
      <c r="G249" s="25" t="s">
        <v>181</v>
      </c>
      <c r="H249" s="26"/>
      <c r="I249" s="27"/>
      <c r="J249" s="27"/>
      <c r="K249" s="27"/>
      <c r="L249" s="27"/>
      <c r="M249" s="27"/>
      <c r="N249" s="27"/>
      <c r="O249" s="27"/>
      <c r="P249" s="27"/>
      <c r="Q249" s="27"/>
      <c r="R249" s="27"/>
      <c r="S249" s="27"/>
      <c r="T249" s="27"/>
      <c r="U249" s="27"/>
      <c r="V249" s="27"/>
      <c r="W249" s="27"/>
      <c r="X249" s="27"/>
      <c r="Y249" s="27"/>
      <c r="Z249" s="27"/>
      <c r="AA249" s="10" t="str">
        <f aca="false">IFERROR(INDEX(設定!$E$61:$E$106,MATCH(B249,設定!$B$61:$B$106,0)),"合算")</f>
        <v>合算</v>
      </c>
      <c r="AB249" s="28"/>
      <c r="AC249" s="29" t="str">
        <f aca="false">IF(OR(G249="",G249="なし"),"",IF(AA249="合算",CJ249+N(Z249),IF(AA249="掛金・負担金別",(AY249+AZ249+BD249+BF249+BH249),SUM(AY249:BC249))))</f>
        <v/>
      </c>
      <c r="AD249" s="27"/>
      <c r="AE249" s="29" t="str">
        <f aca="false">IF(OR(G249="",G249="なし"),"",IF(AA249="掛金・負担金別",(BA249+BB249+BC249+BE249+BG249+BI249+N(Z249)),IF(AA249="経理区分別",BD249+BE249,"")))</f>
        <v/>
      </c>
      <c r="AF249" s="27"/>
      <c r="AG249" s="29" t="str">
        <f aca="false">IF(OR(G249="",G249="なし"),"",IF(AA249="経理区分別",BF249+BG249,""))</f>
        <v/>
      </c>
      <c r="AH249" s="27"/>
      <c r="AI249" s="29" t="str">
        <f aca="false">IF(OR(G249="",G249="なし"),"",IF(AA249="経理区分別",BH249+BI249+N(Z249),""))</f>
        <v/>
      </c>
      <c r="AJ249" s="27"/>
      <c r="AK249" s="26"/>
      <c r="AL249" s="26"/>
      <c r="AM249" s="30"/>
      <c r="AN249" s="31"/>
      <c r="AO249" s="31"/>
      <c r="AP249" s="31"/>
      <c r="AQ249" s="31"/>
      <c r="AR249" s="31"/>
      <c r="AS249" s="31"/>
      <c r="AT249" s="31"/>
      <c r="AU249" s="31"/>
      <c r="AV249" s="31"/>
      <c r="AW249" s="31"/>
      <c r="AX249" s="31"/>
      <c r="AY249" s="31" t="n">
        <f aca="false">IF($G249="",AN249,O249)</f>
        <v>0</v>
      </c>
      <c r="AZ249" s="31" t="n">
        <f aca="false">IF($G249="",AO249,P249)</f>
        <v>0</v>
      </c>
      <c r="BA249" s="31" t="n">
        <f aca="false">IF($G249="",AP249,T249)</f>
        <v>0</v>
      </c>
      <c r="BB249" s="31" t="n">
        <f aca="false">IF($G249="",AQ249,U249)</f>
        <v>0</v>
      </c>
      <c r="BC249" s="31" t="n">
        <f aca="false">IF($G249="",AR249,V249)</f>
        <v>0</v>
      </c>
      <c r="BD249" s="31" t="n">
        <f aca="false">IF($G249="",AS249,Q249)</f>
        <v>0</v>
      </c>
      <c r="BE249" s="31" t="n">
        <f aca="false">IF($G249="",AT249,W249)</f>
        <v>0</v>
      </c>
      <c r="BF249" s="31" t="n">
        <f aca="false">IF($G249="",AU249,R249)</f>
        <v>0</v>
      </c>
      <c r="BG249" s="31" t="n">
        <f aca="false">IF($G249="",AV249,X249)</f>
        <v>0</v>
      </c>
      <c r="BH249" s="31" t="n">
        <f aca="false">IF($G249="",AW249,S249)</f>
        <v>0</v>
      </c>
      <c r="BI249" s="31" t="n">
        <f aca="false">IF($G249="",AX249,Y249)</f>
        <v>0</v>
      </c>
      <c r="BJ249" s="31" t="n">
        <f aca="false">IF(CK249="N",BR249,ROUNDDOWN((I249-L249)*設定!$B$10/1000,0)+ROUNDDOWN((I249-L249)*設定!$B$11/1000,0))</f>
        <v>0</v>
      </c>
      <c r="BK249" s="31" t="n">
        <f aca="false">ROUNDDOWN((I249-L249)*設定!$C$10/1000,0)+ROUNDDOWN((I249-L249)*設定!$C$11/1000,0)+ROUNDDOWN(I249*設定!$C$12/1000,0)+IF(CL249="市局型",ROUNDDOWN(I249*設定!$C$16/1000,0),0)</f>
        <v>0</v>
      </c>
      <c r="BL249" s="31" t="n">
        <f aca="false">IF(CK249="N",BT249,ROUNDDOWN((J249-M249)*設定!$B$13/1000,0))</f>
        <v>0</v>
      </c>
      <c r="BM249" s="31" t="n">
        <f aca="false">ROUNDDOWN((J249-M249)*設定!$C$13/1000,0)+IF(CL249="市局型",ROUNDDOWN(J249*設定!$C$17/1000,0),0)</f>
        <v>0</v>
      </c>
      <c r="BN249" s="31" t="n">
        <f aca="false">IF(CK249="N",BV249,ROUNDDOWN((K249-N249)*設定!$B$14/1000,0))</f>
        <v>0</v>
      </c>
      <c r="BO249" s="31" t="n">
        <f aca="false">ROUNDDOWN((K249-N249)*設定!$C$14/1000,0)</f>
        <v>0</v>
      </c>
      <c r="BP249" s="31" t="n">
        <f aca="false">IF(CK249="N",BX249,ROUNDDOWN((J249-M249)*設定!$B$15/1000,0))</f>
        <v>0</v>
      </c>
      <c r="BQ249" s="31" t="n">
        <f aca="false">ROUNDDOWN((J249-M249)*設定!$C$15/1000,0)</f>
        <v>0</v>
      </c>
      <c r="BR249" s="31" t="n">
        <f aca="false">O249+P249</f>
        <v>0</v>
      </c>
      <c r="BS249" s="31" t="n">
        <f aca="false">T249+U249+V249</f>
        <v>0</v>
      </c>
      <c r="BT249" s="31" t="n">
        <f aca="false">Q249</f>
        <v>0</v>
      </c>
      <c r="BU249" s="31" t="n">
        <f aca="false">W249</f>
        <v>0</v>
      </c>
      <c r="BV249" s="31" t="n">
        <f aca="false">R249</f>
        <v>0</v>
      </c>
      <c r="BW249" s="31" t="n">
        <f aca="false">X249</f>
        <v>0</v>
      </c>
      <c r="BX249" s="31" t="n">
        <f aca="false">S249</f>
        <v>0</v>
      </c>
      <c r="BY249" s="31" t="n">
        <f aca="false">Y249</f>
        <v>0</v>
      </c>
      <c r="BZ249" s="32" t="n">
        <f aca="false">IF(BJ249=0,IF(BR249=0,0,1),(BR249-BJ249)/BJ249)</f>
        <v>0</v>
      </c>
      <c r="CA249" s="32" t="n">
        <f aca="false">IF(BK249=0,IF(BS249=0,0,1),(BS249-BK249)/BK249)</f>
        <v>0</v>
      </c>
      <c r="CB249" s="32" t="n">
        <f aca="false">IF(BL249=0,IF(BT249=0,0,1),(BT249-BL249)/BL249)</f>
        <v>0</v>
      </c>
      <c r="CC249" s="32" t="n">
        <f aca="false">IF(BM249=0,IF(BU249=0,0,1),(BU249-BM249)/BM249)</f>
        <v>0</v>
      </c>
      <c r="CD249" s="32" t="n">
        <f aca="false">IF(BN249=0,IF(BV249=0,0,1),(BV249-BN249)/BN249)</f>
        <v>0</v>
      </c>
      <c r="CE249" s="32" t="n">
        <f aca="false">IF(BO249=0,IF(BW249=0,0,1),(BW249-BO249)/BO249)</f>
        <v>0</v>
      </c>
      <c r="CF249" s="32" t="n">
        <f aca="false">IF(BP249=0,IF(BX249=0,0,1),(BX249-BP249)/BP249)</f>
        <v>0</v>
      </c>
      <c r="CG249" s="32" t="n">
        <f aca="false">IF(BQ249=0,IF(BY249=0,0,1),(BY249-BQ249)/BQ249)</f>
        <v>0</v>
      </c>
      <c r="CH249" s="32" t="n">
        <f aca="false">MAX(MAX(BZ249:CG249),-MIN(BZ249:CG249))</f>
        <v>-0</v>
      </c>
      <c r="CI249" s="31" t="n">
        <f aca="false">IF(CO249="","",SUMIFS($CJ$7:$CJ$696,$A$7:$A$696,CO249,$B$7:$B$696,B249))</f>
        <v>0</v>
      </c>
      <c r="CJ249" s="31" t="n">
        <f aca="false">SUM(AY249:BI249)</f>
        <v>0</v>
      </c>
      <c r="CK249" s="31" t="str">
        <f aca="false">IFERROR(INDEX(設定!$F$61:$F$106,MATCH(B249,設定!$B$61:$B$106,0)),"Y")</f>
        <v>N</v>
      </c>
      <c r="CL249" s="31" t="str">
        <f aca="false">IFERROR(INDEX(設定!$G$61:$G$106,MATCH(B249,設定!$B$61:$B$106,0)),"外郭型")</f>
        <v>外郭型</v>
      </c>
      <c r="CM249" s="33" t="str">
        <f aca="false">A249&amp;"|"&amp;B249</f>
        <v>2026-08 月例|地方税共同機構</v>
      </c>
      <c r="CN249" s="34" t="str">
        <f aca="false">IFERROR(INDEX(設定!$D$61:$D$106,MATCH(B249,設定!$B$61:$B$106,0)),"Y")</f>
        <v>Y</v>
      </c>
      <c r="CO249" s="34" t="str">
        <f aca="false">IFERROR(INDEX(設定!$D$20:$D$34,MATCH(A249,設定!$A$20:$A$34,0))&amp;"","")</f>
        <v>2026-07 月例</v>
      </c>
    </row>
    <row r="250" customFormat="false" ht="15" hidden="true" customHeight="false" outlineLevel="0" collapsed="false">
      <c r="A250" s="22" t="s">
        <v>221</v>
      </c>
      <c r="B250" s="23" t="s">
        <v>182</v>
      </c>
      <c r="C250" s="10" t="str">
        <f aca="false">IF(G250="","未受領",IF(G250="なし","報告なし",IF(AL250="○","起票済",IF(OR(AK250="○",F250="一致",F250="入金不要"),"入金確認済","受領済"))))</f>
        <v>入金確認済</v>
      </c>
      <c r="D250" s="10" t="str">
        <f aca="false">IF(OR(G250="",G250="なし"),"―",IF(CN250="N","対象外",IF(AND(I250="",J250="",K250=""),"標報未入力",IF(CH250&gt;=設定!$B$4,"要確認","問題なし"))))</f>
        <v>標報未入力</v>
      </c>
      <c r="E250" s="24" t="str">
        <f aca="false">IF(OR(G250="",G250="なし",CI250="",CJ250=0),"―",IF(CJ250=CI250,"前月同額",IF(CI250=0,"―",IF(ABS(CJ250/CI250-1)&gt;=設定!$B$5,"変動大 "&amp;TEXT(CJ250/CI250-1,"+0%;-0%"),"〇"))))</f>
        <v>〇</v>
      </c>
      <c r="F250" s="10" t="str">
        <f aca="false">IF(OR(G250="",G250="なし"),"―",IF(CJ250=0,"入金不要",IF(COUNT(AD250,AF250,AH250,AJ250)=0,IF(AK250="○","手動確認","未入金"),IF(AND(N(AD250)=AC250,IF(AE250="",TRUE(),N(AF250)=AE250),IF(AG250="",TRUE(),N(AH250)=AG250),IF(AI250="",TRUE(),N(AJ250)=AI250)),"一致","不一致"))))</f>
        <v>手動確認</v>
      </c>
      <c r="G250" s="25" t="s">
        <v>167</v>
      </c>
      <c r="H250" s="26"/>
      <c r="I250" s="27"/>
      <c r="J250" s="27"/>
      <c r="K250" s="27"/>
      <c r="L250" s="27"/>
      <c r="M250" s="27"/>
      <c r="N250" s="27"/>
      <c r="O250" s="27" t="n">
        <v>0</v>
      </c>
      <c r="P250" s="27" t="n">
        <v>0</v>
      </c>
      <c r="Q250" s="27" t="n">
        <v>0</v>
      </c>
      <c r="R250" s="27" t="n">
        <v>0</v>
      </c>
      <c r="S250" s="27" t="n">
        <v>0</v>
      </c>
      <c r="T250" s="27" t="n">
        <v>779580</v>
      </c>
      <c r="U250" s="27" t="n">
        <v>63900</v>
      </c>
      <c r="V250" s="27" t="n">
        <v>801</v>
      </c>
      <c r="W250" s="27" t="n">
        <v>440717</v>
      </c>
      <c r="X250" s="27" t="n">
        <v>54036</v>
      </c>
      <c r="Y250" s="27" t="n">
        <v>9764</v>
      </c>
      <c r="Z250" s="27"/>
      <c r="AA250" s="10" t="str">
        <f aca="false">IFERROR(INDEX(設定!$E$61:$E$106,MATCH(B250,設定!$B$61:$B$106,0)),"合算")</f>
        <v>合算</v>
      </c>
      <c r="AB250" s="28"/>
      <c r="AC250" s="29" t="n">
        <f aca="false">IF(OR(G250="",G250="なし"),"",IF(AA250="合算",CJ250+N(Z250),IF(AA250="掛金・負担金別",(AY250+AZ250+BD250+BF250+BH250),SUM(AY250:BC250))))</f>
        <v>1348798</v>
      </c>
      <c r="AD250" s="27"/>
      <c r="AE250" s="29" t="str">
        <f aca="false">IF(OR(G250="",G250="なし"),"",IF(AA250="掛金・負担金別",(BA250+BB250+BC250+BE250+BG250+BI250+N(Z250)),IF(AA250="経理区分別",BD250+BE250,"")))</f>
        <v/>
      </c>
      <c r="AF250" s="27"/>
      <c r="AG250" s="29" t="str">
        <f aca="false">IF(OR(G250="",G250="なし"),"",IF(AA250="経理区分別",BF250+BG250,""))</f>
        <v/>
      </c>
      <c r="AH250" s="27"/>
      <c r="AI250" s="29" t="str">
        <f aca="false">IF(OR(G250="",G250="なし"),"",IF(AA250="経理区分別",BH250+BI250+N(Z250),""))</f>
        <v/>
      </c>
      <c r="AJ250" s="27"/>
      <c r="AK250" s="26" t="s">
        <v>168</v>
      </c>
      <c r="AL250" s="26"/>
      <c r="AM250" s="30"/>
      <c r="AN250" s="31"/>
      <c r="AO250" s="31"/>
      <c r="AP250" s="31"/>
      <c r="AQ250" s="31"/>
      <c r="AR250" s="31"/>
      <c r="AS250" s="31"/>
      <c r="AT250" s="31"/>
      <c r="AU250" s="31"/>
      <c r="AV250" s="31"/>
      <c r="AW250" s="31"/>
      <c r="AX250" s="31"/>
      <c r="AY250" s="31" t="n">
        <f aca="false">IF($G250="",AN250,O250)</f>
        <v>0</v>
      </c>
      <c r="AZ250" s="31" t="n">
        <f aca="false">IF($G250="",AO250,P250)</f>
        <v>0</v>
      </c>
      <c r="BA250" s="31" t="n">
        <f aca="false">IF($G250="",AP250,T250)</f>
        <v>779580</v>
      </c>
      <c r="BB250" s="31" t="n">
        <f aca="false">IF($G250="",AQ250,U250)</f>
        <v>63900</v>
      </c>
      <c r="BC250" s="31" t="n">
        <f aca="false">IF($G250="",AR250,V250)</f>
        <v>801</v>
      </c>
      <c r="BD250" s="31" t="n">
        <f aca="false">IF($G250="",AS250,Q250)</f>
        <v>0</v>
      </c>
      <c r="BE250" s="31" t="n">
        <f aca="false">IF($G250="",AT250,W250)</f>
        <v>440717</v>
      </c>
      <c r="BF250" s="31" t="n">
        <f aca="false">IF($G250="",AU250,R250)</f>
        <v>0</v>
      </c>
      <c r="BG250" s="31" t="n">
        <f aca="false">IF($G250="",AV250,X250)</f>
        <v>54036</v>
      </c>
      <c r="BH250" s="31" t="n">
        <f aca="false">IF($G250="",AW250,S250)</f>
        <v>0</v>
      </c>
      <c r="BI250" s="31" t="n">
        <f aca="false">IF($G250="",AX250,Y250)</f>
        <v>9764</v>
      </c>
      <c r="BJ250" s="31" t="n">
        <f aca="false">IF(CK250="N",BR250,ROUNDDOWN((I250-L250)*設定!$B$10/1000,0)+ROUNDDOWN((I250-L250)*設定!$B$11/1000,0))</f>
        <v>0</v>
      </c>
      <c r="BK250" s="31" t="n">
        <f aca="false">ROUNDDOWN((I250-L250)*設定!$C$10/1000,0)+ROUNDDOWN((I250-L250)*設定!$C$11/1000,0)+ROUNDDOWN(I250*設定!$C$12/1000,0)+IF(CL250="市局型",ROUNDDOWN(I250*設定!$C$16/1000,0),0)</f>
        <v>0</v>
      </c>
      <c r="BL250" s="31" t="n">
        <f aca="false">IF(CK250="N",BT250,ROUNDDOWN((J250-M250)*設定!$B$13/1000,0))</f>
        <v>0</v>
      </c>
      <c r="BM250" s="31" t="n">
        <f aca="false">ROUNDDOWN((J250-M250)*設定!$C$13/1000,0)+IF(CL250="市局型",ROUNDDOWN(J250*設定!$C$17/1000,0),0)</f>
        <v>0</v>
      </c>
      <c r="BN250" s="31" t="n">
        <f aca="false">IF(CK250="N",BV250,ROUNDDOWN((K250-N250)*設定!$B$14/1000,0))</f>
        <v>0</v>
      </c>
      <c r="BO250" s="31" t="n">
        <f aca="false">ROUNDDOWN((K250-N250)*設定!$C$14/1000,0)</f>
        <v>0</v>
      </c>
      <c r="BP250" s="31" t="n">
        <f aca="false">IF(CK250="N",BX250,ROUNDDOWN((J250-M250)*設定!$B$15/1000,0))</f>
        <v>0</v>
      </c>
      <c r="BQ250" s="31" t="n">
        <f aca="false">ROUNDDOWN((J250-M250)*設定!$C$15/1000,0)</f>
        <v>0</v>
      </c>
      <c r="BR250" s="31" t="n">
        <f aca="false">O250+P250</f>
        <v>0</v>
      </c>
      <c r="BS250" s="31" t="n">
        <f aca="false">T250+U250+V250</f>
        <v>844281</v>
      </c>
      <c r="BT250" s="31" t="n">
        <f aca="false">Q250</f>
        <v>0</v>
      </c>
      <c r="BU250" s="31" t="n">
        <f aca="false">W250</f>
        <v>440717</v>
      </c>
      <c r="BV250" s="31" t="n">
        <f aca="false">R250</f>
        <v>0</v>
      </c>
      <c r="BW250" s="31" t="n">
        <f aca="false">X250</f>
        <v>54036</v>
      </c>
      <c r="BX250" s="31" t="n">
        <f aca="false">S250</f>
        <v>0</v>
      </c>
      <c r="BY250" s="31" t="n">
        <f aca="false">Y250</f>
        <v>9764</v>
      </c>
      <c r="BZ250" s="32" t="n">
        <f aca="false">IF(BJ250=0,IF(BR250=0,0,1),(BR250-BJ250)/BJ250)</f>
        <v>0</v>
      </c>
      <c r="CA250" s="32" t="n">
        <f aca="false">IF(BK250=0,IF(BS250=0,0,1),(BS250-BK250)/BK250)</f>
        <v>1</v>
      </c>
      <c r="CB250" s="32" t="n">
        <f aca="false">IF(BL250=0,IF(BT250=0,0,1),(BT250-BL250)/BL250)</f>
        <v>0</v>
      </c>
      <c r="CC250" s="32" t="n">
        <f aca="false">IF(BM250=0,IF(BU250=0,0,1),(BU250-BM250)/BM250)</f>
        <v>1</v>
      </c>
      <c r="CD250" s="32" t="n">
        <f aca="false">IF(BN250=0,IF(BV250=0,0,1),(BV250-BN250)/BN250)</f>
        <v>0</v>
      </c>
      <c r="CE250" s="32" t="n">
        <f aca="false">IF(BO250=0,IF(BW250=0,0,1),(BW250-BO250)/BO250)</f>
        <v>1</v>
      </c>
      <c r="CF250" s="32" t="n">
        <f aca="false">IF(BP250=0,IF(BX250=0,0,1),(BX250-BP250)/BP250)</f>
        <v>0</v>
      </c>
      <c r="CG250" s="32" t="n">
        <f aca="false">IF(BQ250=0,IF(BY250=0,0,1),(BY250-BQ250)/BQ250)</f>
        <v>1</v>
      </c>
      <c r="CH250" s="32" t="n">
        <f aca="false">MAX(MAX(BZ250:CG250),-MIN(BZ250:CG250))</f>
        <v>1</v>
      </c>
      <c r="CI250" s="31" t="n">
        <f aca="false">IF(CO250="","",SUMIFS($CJ$7:$CJ$696,$A$7:$A$696,CO250,$B$7:$B$696,B250))</f>
        <v>1404128</v>
      </c>
      <c r="CJ250" s="31" t="n">
        <f aca="false">SUM(AY250:BI250)</f>
        <v>1348798</v>
      </c>
      <c r="CK250" s="31" t="str">
        <f aca="false">IFERROR(INDEX(設定!$F$61:$F$106,MATCH(B250,設定!$B$61:$B$106,0)),"Y")</f>
        <v>Y</v>
      </c>
      <c r="CL250" s="31" t="str">
        <f aca="false">IFERROR(INDEX(設定!$G$61:$G$106,MATCH(B250,設定!$B$61:$B$106,0)),"外郭型")</f>
        <v>外郭型</v>
      </c>
      <c r="CM250" s="33" t="str">
        <f aca="false">A250&amp;"|"&amp;B250</f>
        <v>2026-08 月例|平和文化センター</v>
      </c>
      <c r="CN250" s="34" t="str">
        <f aca="false">IFERROR(INDEX(設定!$D$61:$D$106,MATCH(B250,設定!$B$61:$B$106,0)),"Y")</f>
        <v>Y</v>
      </c>
      <c r="CO250" s="34" t="str">
        <f aca="false">IFERROR(INDEX(設定!$D$20:$D$34,MATCH(A250,設定!$A$20:$A$34,0))&amp;"","")</f>
        <v>2026-07 月例</v>
      </c>
    </row>
    <row r="251" customFormat="false" ht="15" hidden="true" customHeight="false" outlineLevel="0" collapsed="false">
      <c r="A251" s="22" t="s">
        <v>221</v>
      </c>
      <c r="B251" s="23" t="s">
        <v>183</v>
      </c>
      <c r="C251" s="10" t="str">
        <f aca="false">IF(G251="","未受領",IF(G251="なし","報告なし",IF(AL251="○","起票済",IF(OR(AK251="○",F251="一致",F251="入金不要"),"入金確認済","受領済"))))</f>
        <v>入金確認済</v>
      </c>
      <c r="D251" s="10" t="str">
        <f aca="false">IF(OR(G251="",G251="なし"),"―",IF(CN251="N","対象外",IF(AND(I251="",J251="",K251=""),"標報未入力",IF(CH251&gt;=設定!$B$4,"要確認","問題なし"))))</f>
        <v>標報未入力</v>
      </c>
      <c r="E251" s="24" t="str">
        <f aca="false">IF(OR(G251="",G251="なし",CI251="",CJ251=0),"―",IF(CJ251=CI251,"前月同額",IF(CI251=0,"―",IF(ABS(CJ251/CI251-1)&gt;=設定!$B$5,"変動大 "&amp;TEXT(CJ251/CI251-1,"+0%;-0%"),"〇"))))</f>
        <v>前月同額</v>
      </c>
      <c r="F251" s="10" t="str">
        <f aca="false">IF(OR(G251="",G251="なし"),"―",IF(CJ251=0,"入金不要",IF(COUNT(AD251,AF251,AH251,AJ251)=0,IF(AK251="○","手動確認","未入金"),IF(AND(N(AD251)=AC251,IF(AE251="",TRUE(),N(AF251)=AE251),IF(AG251="",TRUE(),N(AH251)=AG251),IF(AI251="",TRUE(),N(AJ251)=AI251)),"一致","不一致"))))</f>
        <v>手動確認</v>
      </c>
      <c r="G251" s="25" t="s">
        <v>167</v>
      </c>
      <c r="H251" s="26"/>
      <c r="I251" s="27"/>
      <c r="J251" s="27"/>
      <c r="K251" s="27"/>
      <c r="L251" s="27"/>
      <c r="M251" s="27"/>
      <c r="N251" s="27"/>
      <c r="O251" s="27"/>
      <c r="P251" s="27"/>
      <c r="Q251" s="27"/>
      <c r="R251" s="27"/>
      <c r="S251" s="27"/>
      <c r="T251" s="27" t="n">
        <v>2034960</v>
      </c>
      <c r="U251" s="27" t="n">
        <v>166800</v>
      </c>
      <c r="V251" s="27" t="n">
        <v>2038</v>
      </c>
      <c r="W251" s="27" t="n">
        <v>1310786</v>
      </c>
      <c r="X251" s="27" t="n">
        <v>143859</v>
      </c>
      <c r="Y251" s="27" t="n">
        <v>29034</v>
      </c>
      <c r="Z251" s="27"/>
      <c r="AA251" s="10" t="str">
        <f aca="false">IFERROR(INDEX(設定!$E$61:$E$106,MATCH(B251,設定!$B$61:$B$106,0)),"合算")</f>
        <v>合算</v>
      </c>
      <c r="AB251" s="28"/>
      <c r="AC251" s="29" t="n">
        <f aca="false">IF(OR(G251="",G251="なし"),"",IF(AA251="合算",CJ251+N(Z251),IF(AA251="掛金・負担金別",(AY251+AZ251+BD251+BF251+BH251),SUM(AY251:BC251))))</f>
        <v>3687477</v>
      </c>
      <c r="AD251" s="27"/>
      <c r="AE251" s="29" t="str">
        <f aca="false">IF(OR(G251="",G251="なし"),"",IF(AA251="掛金・負担金別",(BA251+BB251+BC251+BE251+BG251+BI251+N(Z251)),IF(AA251="経理区分別",BD251+BE251,"")))</f>
        <v/>
      </c>
      <c r="AF251" s="27"/>
      <c r="AG251" s="29" t="str">
        <f aca="false">IF(OR(G251="",G251="なし"),"",IF(AA251="経理区分別",BF251+BG251,""))</f>
        <v/>
      </c>
      <c r="AH251" s="27"/>
      <c r="AI251" s="29" t="str">
        <f aca="false">IF(OR(G251="",G251="なし"),"",IF(AA251="経理区分別",BH251+BI251+N(Z251),""))</f>
        <v/>
      </c>
      <c r="AJ251" s="27"/>
      <c r="AK251" s="26" t="s">
        <v>168</v>
      </c>
      <c r="AL251" s="26"/>
      <c r="AM251" s="30"/>
      <c r="AN251" s="31"/>
      <c r="AO251" s="31"/>
      <c r="AP251" s="31"/>
      <c r="AQ251" s="31"/>
      <c r="AR251" s="31"/>
      <c r="AS251" s="31"/>
      <c r="AT251" s="31"/>
      <c r="AU251" s="31"/>
      <c r="AV251" s="31"/>
      <c r="AW251" s="31"/>
      <c r="AX251" s="31"/>
      <c r="AY251" s="31" t="n">
        <f aca="false">IF($G251="",AN251,O251)</f>
        <v>0</v>
      </c>
      <c r="AZ251" s="31" t="n">
        <f aca="false">IF($G251="",AO251,P251)</f>
        <v>0</v>
      </c>
      <c r="BA251" s="31" t="n">
        <f aca="false">IF($G251="",AP251,T251)</f>
        <v>2034960</v>
      </c>
      <c r="BB251" s="31" t="n">
        <f aca="false">IF($G251="",AQ251,U251)</f>
        <v>166800</v>
      </c>
      <c r="BC251" s="31" t="n">
        <f aca="false">IF($G251="",AR251,V251)</f>
        <v>2038</v>
      </c>
      <c r="BD251" s="31" t="n">
        <f aca="false">IF($G251="",AS251,Q251)</f>
        <v>0</v>
      </c>
      <c r="BE251" s="31" t="n">
        <f aca="false">IF($G251="",AT251,W251)</f>
        <v>1310786</v>
      </c>
      <c r="BF251" s="31" t="n">
        <f aca="false">IF($G251="",AU251,R251)</f>
        <v>0</v>
      </c>
      <c r="BG251" s="31" t="n">
        <f aca="false">IF($G251="",AV251,X251)</f>
        <v>143859</v>
      </c>
      <c r="BH251" s="31" t="n">
        <f aca="false">IF($G251="",AW251,S251)</f>
        <v>0</v>
      </c>
      <c r="BI251" s="31" t="n">
        <f aca="false">IF($G251="",AX251,Y251)</f>
        <v>29034</v>
      </c>
      <c r="BJ251" s="31" t="n">
        <f aca="false">IF(CK251="N",BR251,ROUNDDOWN((I251-L251)*設定!$B$10/1000,0)+ROUNDDOWN((I251-L251)*設定!$B$11/1000,0))</f>
        <v>0</v>
      </c>
      <c r="BK251" s="31" t="n">
        <f aca="false">ROUNDDOWN((I251-L251)*設定!$C$10/1000,0)+ROUNDDOWN((I251-L251)*設定!$C$11/1000,0)+ROUNDDOWN(I251*設定!$C$12/1000,0)+IF(CL251="市局型",ROUNDDOWN(I251*設定!$C$16/1000,0),0)</f>
        <v>0</v>
      </c>
      <c r="BL251" s="31" t="n">
        <f aca="false">IF(CK251="N",BT251,ROUNDDOWN((J251-M251)*設定!$B$13/1000,0))</f>
        <v>0</v>
      </c>
      <c r="BM251" s="31" t="n">
        <f aca="false">ROUNDDOWN((J251-M251)*設定!$C$13/1000,0)+IF(CL251="市局型",ROUNDDOWN(J251*設定!$C$17/1000,0),0)</f>
        <v>0</v>
      </c>
      <c r="BN251" s="31" t="n">
        <f aca="false">IF(CK251="N",BV251,ROUNDDOWN((K251-N251)*設定!$B$14/1000,0))</f>
        <v>0</v>
      </c>
      <c r="BO251" s="31" t="n">
        <f aca="false">ROUNDDOWN((K251-N251)*設定!$C$14/1000,0)</f>
        <v>0</v>
      </c>
      <c r="BP251" s="31" t="n">
        <f aca="false">IF(CK251="N",BX251,ROUNDDOWN((J251-M251)*設定!$B$15/1000,0))</f>
        <v>0</v>
      </c>
      <c r="BQ251" s="31" t="n">
        <f aca="false">ROUNDDOWN((J251-M251)*設定!$C$15/1000,0)</f>
        <v>0</v>
      </c>
      <c r="BR251" s="31" t="n">
        <f aca="false">O251+P251</f>
        <v>0</v>
      </c>
      <c r="BS251" s="31" t="n">
        <f aca="false">T251+U251+V251</f>
        <v>2203798</v>
      </c>
      <c r="BT251" s="31" t="n">
        <f aca="false">Q251</f>
        <v>0</v>
      </c>
      <c r="BU251" s="31" t="n">
        <f aca="false">W251</f>
        <v>1310786</v>
      </c>
      <c r="BV251" s="31" t="n">
        <f aca="false">R251</f>
        <v>0</v>
      </c>
      <c r="BW251" s="31" t="n">
        <f aca="false">X251</f>
        <v>143859</v>
      </c>
      <c r="BX251" s="31" t="n">
        <f aca="false">S251</f>
        <v>0</v>
      </c>
      <c r="BY251" s="31" t="n">
        <f aca="false">Y251</f>
        <v>29034</v>
      </c>
      <c r="BZ251" s="32" t="n">
        <f aca="false">IF(BJ251=0,IF(BR251=0,0,1),(BR251-BJ251)/BJ251)</f>
        <v>0</v>
      </c>
      <c r="CA251" s="32" t="n">
        <f aca="false">IF(BK251=0,IF(BS251=0,0,1),(BS251-BK251)/BK251)</f>
        <v>1</v>
      </c>
      <c r="CB251" s="32" t="n">
        <f aca="false">IF(BL251=0,IF(BT251=0,0,1),(BT251-BL251)/BL251)</f>
        <v>0</v>
      </c>
      <c r="CC251" s="32" t="n">
        <f aca="false">IF(BM251=0,IF(BU251=0,0,1),(BU251-BM251)/BM251)</f>
        <v>1</v>
      </c>
      <c r="CD251" s="32" t="n">
        <f aca="false">IF(BN251=0,IF(BV251=0,0,1),(BV251-BN251)/BN251)</f>
        <v>0</v>
      </c>
      <c r="CE251" s="32" t="n">
        <f aca="false">IF(BO251=0,IF(BW251=0,0,1),(BW251-BO251)/BO251)</f>
        <v>1</v>
      </c>
      <c r="CF251" s="32" t="n">
        <f aca="false">IF(BP251=0,IF(BX251=0,0,1),(BX251-BP251)/BP251)</f>
        <v>0</v>
      </c>
      <c r="CG251" s="32" t="n">
        <f aca="false">IF(BQ251=0,IF(BY251=0,0,1),(BY251-BQ251)/BQ251)</f>
        <v>1</v>
      </c>
      <c r="CH251" s="32" t="n">
        <f aca="false">MAX(MAX(BZ251:CG251),-MIN(BZ251:CG251))</f>
        <v>1</v>
      </c>
      <c r="CI251" s="31" t="n">
        <f aca="false">IF(CO251="","",SUMIFS($CJ$7:$CJ$696,$A$7:$A$696,CO251,$B$7:$B$696,B251))</f>
        <v>3687477</v>
      </c>
      <c r="CJ251" s="31" t="n">
        <f aca="false">SUM(AY251:BI251)</f>
        <v>3687477</v>
      </c>
      <c r="CK251" s="31" t="str">
        <f aca="false">IFERROR(INDEX(設定!$F$61:$F$106,MATCH(B251,設定!$B$61:$B$106,0)),"Y")</f>
        <v>N</v>
      </c>
      <c r="CL251" s="31" t="str">
        <f aca="false">IFERROR(INDEX(設定!$G$61:$G$106,MATCH(B251,設定!$B$61:$B$106,0)),"外郭型")</f>
        <v>外郭型</v>
      </c>
      <c r="CM251" s="33" t="str">
        <f aca="false">A251&amp;"|"&amp;B251</f>
        <v>2026-08 月例|社会福祉事業団</v>
      </c>
      <c r="CN251" s="34" t="str">
        <f aca="false">IFERROR(INDEX(設定!$D$61:$D$106,MATCH(B251,設定!$B$61:$B$106,0)),"Y")</f>
        <v>Y</v>
      </c>
      <c r="CO251" s="34" t="str">
        <f aca="false">IFERROR(INDEX(設定!$D$20:$D$34,MATCH(A251,設定!$A$20:$A$34,0))&amp;"","")</f>
        <v>2026-07 月例</v>
      </c>
    </row>
    <row r="252" customFormat="false" ht="15" hidden="true" customHeight="false" outlineLevel="0" collapsed="false">
      <c r="A252" s="22" t="s">
        <v>221</v>
      </c>
      <c r="B252" s="23" t="s">
        <v>184</v>
      </c>
      <c r="C252" s="10" t="str">
        <f aca="false">IF(G252="","未受領",IF(G252="なし","報告なし",IF(AL252="○","起票済",IF(OR(AK252="○",F252="一致",F252="入金不要"),"入金確認済","受領済"))))</f>
        <v>入金確認済</v>
      </c>
      <c r="D252" s="10" t="str">
        <f aca="false">IF(OR(G252="",G252="なし"),"―",IF(CN252="N","対象外",IF(AND(I252="",J252="",K252=""),"標報未入力",IF(CH252&gt;=設定!$B$4,"要確認","問題なし"))))</f>
        <v>標報未入力</v>
      </c>
      <c r="E252" s="24" t="str">
        <f aca="false">IF(OR(G252="",G252="なし",CI252="",CJ252=0),"―",IF(CJ252=CI252,"前月同額",IF(CI252=0,"―",IF(ABS(CJ252/CI252-1)&gt;=設定!$B$5,"変動大 "&amp;TEXT(CJ252/CI252-1,"+0%;-0%"),"〇"))))</f>
        <v>前月同額</v>
      </c>
      <c r="F252" s="10" t="str">
        <f aca="false">IF(OR(G252="",G252="なし"),"―",IF(CJ252=0,"入金不要",IF(COUNT(AD252,AF252,AH252,AJ252)=0,IF(AK252="○","手動確認","未入金"),IF(AND(N(AD252)=AC252,IF(AE252="",TRUE(),N(AF252)=AE252),IF(AG252="",TRUE(),N(AH252)=AG252),IF(AI252="",TRUE(),N(AJ252)=AI252)),"一致","不一致"))))</f>
        <v>手動確認</v>
      </c>
      <c r="G252" s="25" t="s">
        <v>167</v>
      </c>
      <c r="H252" s="26"/>
      <c r="I252" s="27"/>
      <c r="J252" s="27"/>
      <c r="K252" s="27"/>
      <c r="L252" s="27"/>
      <c r="M252" s="27"/>
      <c r="N252" s="27"/>
      <c r="O252" s="27"/>
      <c r="P252" s="27"/>
      <c r="Q252" s="27"/>
      <c r="R252" s="27"/>
      <c r="S252" s="27"/>
      <c r="T252" s="27" t="n">
        <v>59475</v>
      </c>
      <c r="U252" s="27" t="n">
        <v>4875</v>
      </c>
      <c r="V252" s="27" t="n">
        <v>56</v>
      </c>
      <c r="W252" s="27" t="n">
        <v>36856</v>
      </c>
      <c r="X252" s="27" t="n">
        <v>5609</v>
      </c>
      <c r="Y252" s="27" t="n">
        <v>816</v>
      </c>
      <c r="Z252" s="27"/>
      <c r="AA252" s="10" t="str">
        <f aca="false">IFERROR(INDEX(設定!$E$61:$E$106,MATCH(B252,設定!$B$61:$B$106,0)),"合算")</f>
        <v>合算</v>
      </c>
      <c r="AB252" s="28"/>
      <c r="AC252" s="29" t="n">
        <f aca="false">IF(OR(G252="",G252="なし"),"",IF(AA252="合算",CJ252+N(Z252),IF(AA252="掛金・負担金別",(AY252+AZ252+BD252+BF252+BH252),SUM(AY252:BC252))))</f>
        <v>107687</v>
      </c>
      <c r="AD252" s="27"/>
      <c r="AE252" s="29" t="str">
        <f aca="false">IF(OR(G252="",G252="なし"),"",IF(AA252="掛金・負担金別",(BA252+BB252+BC252+BE252+BG252+BI252+N(Z252)),IF(AA252="経理区分別",BD252+BE252,"")))</f>
        <v/>
      </c>
      <c r="AF252" s="27"/>
      <c r="AG252" s="29" t="str">
        <f aca="false">IF(OR(G252="",G252="なし"),"",IF(AA252="経理区分別",BF252+BG252,""))</f>
        <v/>
      </c>
      <c r="AH252" s="27"/>
      <c r="AI252" s="29" t="str">
        <f aca="false">IF(OR(G252="",G252="なし"),"",IF(AA252="経理区分別",BH252+BI252+N(Z252),""))</f>
        <v/>
      </c>
      <c r="AJ252" s="27"/>
      <c r="AK252" s="26" t="s">
        <v>168</v>
      </c>
      <c r="AL252" s="26"/>
      <c r="AM252" s="30"/>
      <c r="AN252" s="31"/>
      <c r="AO252" s="31"/>
      <c r="AP252" s="31"/>
      <c r="AQ252" s="31"/>
      <c r="AR252" s="31"/>
      <c r="AS252" s="31"/>
      <c r="AT252" s="31"/>
      <c r="AU252" s="31"/>
      <c r="AV252" s="31"/>
      <c r="AW252" s="31"/>
      <c r="AX252" s="31"/>
      <c r="AY252" s="31" t="n">
        <f aca="false">IF($G252="",AN252,O252)</f>
        <v>0</v>
      </c>
      <c r="AZ252" s="31" t="n">
        <f aca="false">IF($G252="",AO252,P252)</f>
        <v>0</v>
      </c>
      <c r="BA252" s="31" t="n">
        <f aca="false">IF($G252="",AP252,T252)</f>
        <v>59475</v>
      </c>
      <c r="BB252" s="31" t="n">
        <f aca="false">IF($G252="",AQ252,U252)</f>
        <v>4875</v>
      </c>
      <c r="BC252" s="31" t="n">
        <f aca="false">IF($G252="",AR252,V252)</f>
        <v>56</v>
      </c>
      <c r="BD252" s="31" t="n">
        <f aca="false">IF($G252="",AS252,Q252)</f>
        <v>0</v>
      </c>
      <c r="BE252" s="31" t="n">
        <f aca="false">IF($G252="",AT252,W252)</f>
        <v>36856</v>
      </c>
      <c r="BF252" s="31" t="n">
        <f aca="false">IF($G252="",AU252,R252)</f>
        <v>0</v>
      </c>
      <c r="BG252" s="31" t="n">
        <f aca="false">IF($G252="",AV252,X252)</f>
        <v>5609</v>
      </c>
      <c r="BH252" s="31" t="n">
        <f aca="false">IF($G252="",AW252,S252)</f>
        <v>0</v>
      </c>
      <c r="BI252" s="31" t="n">
        <f aca="false">IF($G252="",AX252,Y252)</f>
        <v>816</v>
      </c>
      <c r="BJ252" s="31" t="n">
        <f aca="false">IF(CK252="N",BR252,ROUNDDOWN((I252-L252)*設定!$B$10/1000,0)+ROUNDDOWN((I252-L252)*設定!$B$11/1000,0))</f>
        <v>0</v>
      </c>
      <c r="BK252" s="31" t="n">
        <f aca="false">ROUNDDOWN((I252-L252)*設定!$C$10/1000,0)+ROUNDDOWN((I252-L252)*設定!$C$11/1000,0)+ROUNDDOWN(I252*設定!$C$12/1000,0)+IF(CL252="市局型",ROUNDDOWN(I252*設定!$C$16/1000,0),0)</f>
        <v>0</v>
      </c>
      <c r="BL252" s="31" t="n">
        <f aca="false">IF(CK252="N",BT252,ROUNDDOWN((J252-M252)*設定!$B$13/1000,0))</f>
        <v>0</v>
      </c>
      <c r="BM252" s="31" t="n">
        <f aca="false">ROUNDDOWN((J252-M252)*設定!$C$13/1000,0)+IF(CL252="市局型",ROUNDDOWN(J252*設定!$C$17/1000,0),0)</f>
        <v>0</v>
      </c>
      <c r="BN252" s="31" t="n">
        <f aca="false">IF(CK252="N",BV252,ROUNDDOWN((K252-N252)*設定!$B$14/1000,0))</f>
        <v>0</v>
      </c>
      <c r="BO252" s="31" t="n">
        <f aca="false">ROUNDDOWN((K252-N252)*設定!$C$14/1000,0)</f>
        <v>0</v>
      </c>
      <c r="BP252" s="31" t="n">
        <f aca="false">IF(CK252="N",BX252,ROUNDDOWN((J252-M252)*設定!$B$15/1000,0))</f>
        <v>0</v>
      </c>
      <c r="BQ252" s="31" t="n">
        <f aca="false">ROUNDDOWN((J252-M252)*設定!$C$15/1000,0)</f>
        <v>0</v>
      </c>
      <c r="BR252" s="31" t="n">
        <f aca="false">O252+P252</f>
        <v>0</v>
      </c>
      <c r="BS252" s="31" t="n">
        <f aca="false">T252+U252+V252</f>
        <v>64406</v>
      </c>
      <c r="BT252" s="31" t="n">
        <f aca="false">Q252</f>
        <v>0</v>
      </c>
      <c r="BU252" s="31" t="n">
        <f aca="false">W252</f>
        <v>36856</v>
      </c>
      <c r="BV252" s="31" t="n">
        <f aca="false">R252</f>
        <v>0</v>
      </c>
      <c r="BW252" s="31" t="n">
        <f aca="false">X252</f>
        <v>5609</v>
      </c>
      <c r="BX252" s="31" t="n">
        <f aca="false">S252</f>
        <v>0</v>
      </c>
      <c r="BY252" s="31" t="n">
        <f aca="false">Y252</f>
        <v>816</v>
      </c>
      <c r="BZ252" s="32" t="n">
        <f aca="false">IF(BJ252=0,IF(BR252=0,0,1),(BR252-BJ252)/BJ252)</f>
        <v>0</v>
      </c>
      <c r="CA252" s="32" t="n">
        <f aca="false">IF(BK252=0,IF(BS252=0,0,1),(BS252-BK252)/BK252)</f>
        <v>1</v>
      </c>
      <c r="CB252" s="32" t="n">
        <f aca="false">IF(BL252=0,IF(BT252=0,0,1),(BT252-BL252)/BL252)</f>
        <v>0</v>
      </c>
      <c r="CC252" s="32" t="n">
        <f aca="false">IF(BM252=0,IF(BU252=0,0,1),(BU252-BM252)/BM252)</f>
        <v>1</v>
      </c>
      <c r="CD252" s="32" t="n">
        <f aca="false">IF(BN252=0,IF(BV252=0,0,1),(BV252-BN252)/BN252)</f>
        <v>0</v>
      </c>
      <c r="CE252" s="32" t="n">
        <f aca="false">IF(BO252=0,IF(BW252=0,0,1),(BW252-BO252)/BO252)</f>
        <v>1</v>
      </c>
      <c r="CF252" s="32" t="n">
        <f aca="false">IF(BP252=0,IF(BX252=0,0,1),(BX252-BP252)/BP252)</f>
        <v>0</v>
      </c>
      <c r="CG252" s="32" t="n">
        <f aca="false">IF(BQ252=0,IF(BY252=0,0,1),(BY252-BQ252)/BQ252)</f>
        <v>1</v>
      </c>
      <c r="CH252" s="32" t="n">
        <f aca="false">MAX(MAX(BZ252:CG252),-MIN(BZ252:CG252))</f>
        <v>1</v>
      </c>
      <c r="CI252" s="31" t="n">
        <f aca="false">IF(CO252="","",SUMIFS($CJ$7:$CJ$696,$A$7:$A$696,CO252,$B$7:$B$696,B252))</f>
        <v>107687</v>
      </c>
      <c r="CJ252" s="31" t="n">
        <f aca="false">SUM(AY252:BI252)</f>
        <v>107687</v>
      </c>
      <c r="CK252" s="31" t="str">
        <f aca="false">IFERROR(INDEX(設定!$F$61:$F$106,MATCH(B252,設定!$B$61:$B$106,0)),"Y")</f>
        <v>N</v>
      </c>
      <c r="CL252" s="31" t="str">
        <f aca="false">IFERROR(INDEX(設定!$G$61:$G$106,MATCH(B252,設定!$B$61:$B$106,0)),"外郭型")</f>
        <v>外郭型</v>
      </c>
      <c r="CM252" s="33" t="str">
        <f aca="false">A252&amp;"|"&amp;B252</f>
        <v>2026-08 月例|原爆障害対策協議会</v>
      </c>
      <c r="CN252" s="34" t="str">
        <f aca="false">IFERROR(INDEX(設定!$D$61:$D$106,MATCH(B252,設定!$B$61:$B$106,0)),"Y")</f>
        <v>Y</v>
      </c>
      <c r="CO252" s="34" t="str">
        <f aca="false">IFERROR(INDEX(設定!$D$20:$D$34,MATCH(A252,設定!$A$20:$A$34,0))&amp;"","")</f>
        <v>2026-07 月例</v>
      </c>
    </row>
    <row r="253" customFormat="false" ht="15" hidden="true" customHeight="false" outlineLevel="0" collapsed="false">
      <c r="A253" s="22" t="s">
        <v>221</v>
      </c>
      <c r="B253" s="23" t="s">
        <v>185</v>
      </c>
      <c r="C253" s="10" t="str">
        <f aca="false">IF(G253="","未受領",IF(G253="なし","報告なし",IF(AL253="○","起票済",IF(OR(AK253="○",F253="一致",F253="入金不要"),"入金確認済","受領済"))))</f>
        <v>入金確認済</v>
      </c>
      <c r="D253" s="10" t="str">
        <f aca="false">IF(OR(G253="",G253="なし"),"―",IF(CN253="N","対象外",IF(AND(I253="",J253="",K253=""),"標報未入力",IF(CH253&gt;=設定!$B$4,"要確認","問題なし"))))</f>
        <v>標報未入力</v>
      </c>
      <c r="E253" s="24" t="str">
        <f aca="false">IF(OR(G253="",G253="なし",CI253="",CJ253=0),"―",IF(CJ253=CI253,"前月同額",IF(CI253=0,"―",IF(ABS(CJ253/CI253-1)&gt;=設定!$B$5,"変動大 "&amp;TEXT(CJ253/CI253-1,"+0%;-0%"),"〇"))))</f>
        <v>〇</v>
      </c>
      <c r="F253" s="10" t="str">
        <f aca="false">IF(OR(G253="",G253="なし"),"―",IF(CJ253=0,"入金不要",IF(COUNT(AD253,AF253,AH253,AJ253)=0,IF(AK253="○","手動確認","未入金"),IF(AND(N(AD253)=AC253,IF(AE253="",TRUE(),N(AF253)=AE253),IF(AG253="",TRUE(),N(AH253)=AG253),IF(AI253="",TRUE(),N(AJ253)=AI253)),"一致","不一致"))))</f>
        <v>手動確認</v>
      </c>
      <c r="G253" s="25" t="s">
        <v>167</v>
      </c>
      <c r="H253" s="26"/>
      <c r="I253" s="27"/>
      <c r="J253" s="27"/>
      <c r="K253" s="27"/>
      <c r="L253" s="27"/>
      <c r="M253" s="27"/>
      <c r="N253" s="27"/>
      <c r="O253" s="27"/>
      <c r="P253" s="27"/>
      <c r="Q253" s="27"/>
      <c r="R253" s="27"/>
      <c r="S253" s="27"/>
      <c r="T253" s="27" t="n">
        <v>339465</v>
      </c>
      <c r="U253" s="27" t="n">
        <v>27825</v>
      </c>
      <c r="V253" s="27" t="n">
        <v>395</v>
      </c>
      <c r="W253" s="27" t="n">
        <v>192628</v>
      </c>
      <c r="X253" s="27" t="n">
        <v>26781</v>
      </c>
      <c r="Y253" s="27" t="n">
        <v>4266</v>
      </c>
      <c r="Z253" s="27"/>
      <c r="AA253" s="10" t="str">
        <f aca="false">IFERROR(INDEX(設定!$E$61:$E$106,MATCH(B253,設定!$B$61:$B$106,0)),"合算")</f>
        <v>合算</v>
      </c>
      <c r="AB253" s="28"/>
      <c r="AC253" s="29" t="n">
        <f aca="false">IF(OR(G253="",G253="なし"),"",IF(AA253="合算",CJ253+N(Z253),IF(AA253="掛金・負担金別",(AY253+AZ253+BD253+BF253+BH253),SUM(AY253:BC253))))</f>
        <v>591360</v>
      </c>
      <c r="AD253" s="27"/>
      <c r="AE253" s="29" t="str">
        <f aca="false">IF(OR(G253="",G253="なし"),"",IF(AA253="掛金・負担金別",(BA253+BB253+BC253+BE253+BG253+BI253+N(Z253)),IF(AA253="経理区分別",BD253+BE253,"")))</f>
        <v/>
      </c>
      <c r="AF253" s="27"/>
      <c r="AG253" s="29" t="str">
        <f aca="false">IF(OR(G253="",G253="なし"),"",IF(AA253="経理区分別",BF253+BG253,""))</f>
        <v/>
      </c>
      <c r="AH253" s="27"/>
      <c r="AI253" s="29" t="str">
        <f aca="false">IF(OR(G253="",G253="なし"),"",IF(AA253="経理区分別",BH253+BI253+N(Z253),""))</f>
        <v/>
      </c>
      <c r="AJ253" s="27"/>
      <c r="AK253" s="26" t="s">
        <v>168</v>
      </c>
      <c r="AL253" s="26"/>
      <c r="AM253" s="30"/>
      <c r="AN253" s="31"/>
      <c r="AO253" s="31"/>
      <c r="AP253" s="31"/>
      <c r="AQ253" s="31"/>
      <c r="AR253" s="31"/>
      <c r="AS253" s="31"/>
      <c r="AT253" s="31"/>
      <c r="AU253" s="31"/>
      <c r="AV253" s="31"/>
      <c r="AW253" s="31"/>
      <c r="AX253" s="31"/>
      <c r="AY253" s="31" t="n">
        <f aca="false">IF($G253="",AN253,O253)</f>
        <v>0</v>
      </c>
      <c r="AZ253" s="31" t="n">
        <f aca="false">IF($G253="",AO253,P253)</f>
        <v>0</v>
      </c>
      <c r="BA253" s="31" t="n">
        <f aca="false">IF($G253="",AP253,T253)</f>
        <v>339465</v>
      </c>
      <c r="BB253" s="31" t="n">
        <f aca="false">IF($G253="",AQ253,U253)</f>
        <v>27825</v>
      </c>
      <c r="BC253" s="31" t="n">
        <f aca="false">IF($G253="",AR253,V253)</f>
        <v>395</v>
      </c>
      <c r="BD253" s="31" t="n">
        <f aca="false">IF($G253="",AS253,Q253)</f>
        <v>0</v>
      </c>
      <c r="BE253" s="31" t="n">
        <f aca="false">IF($G253="",AT253,W253)</f>
        <v>192628</v>
      </c>
      <c r="BF253" s="31" t="n">
        <f aca="false">IF($G253="",AU253,R253)</f>
        <v>0</v>
      </c>
      <c r="BG253" s="31" t="n">
        <f aca="false">IF($G253="",AV253,X253)</f>
        <v>26781</v>
      </c>
      <c r="BH253" s="31" t="n">
        <f aca="false">IF($G253="",AW253,S253)</f>
        <v>0</v>
      </c>
      <c r="BI253" s="31" t="n">
        <f aca="false">IF($G253="",AX253,Y253)</f>
        <v>4266</v>
      </c>
      <c r="BJ253" s="31" t="n">
        <f aca="false">IF(CK253="N",BR253,ROUNDDOWN((I253-L253)*設定!$B$10/1000,0)+ROUNDDOWN((I253-L253)*設定!$B$11/1000,0))</f>
        <v>0</v>
      </c>
      <c r="BK253" s="31" t="n">
        <f aca="false">ROUNDDOWN((I253-L253)*設定!$C$10/1000,0)+ROUNDDOWN((I253-L253)*設定!$C$11/1000,0)+ROUNDDOWN(I253*設定!$C$12/1000,0)+IF(CL253="市局型",ROUNDDOWN(I253*設定!$C$16/1000,0),0)</f>
        <v>0</v>
      </c>
      <c r="BL253" s="31" t="n">
        <f aca="false">IF(CK253="N",BT253,ROUNDDOWN((J253-M253)*設定!$B$13/1000,0))</f>
        <v>0</v>
      </c>
      <c r="BM253" s="31" t="n">
        <f aca="false">ROUNDDOWN((J253-M253)*設定!$C$13/1000,0)+IF(CL253="市局型",ROUNDDOWN(J253*設定!$C$17/1000,0),0)</f>
        <v>0</v>
      </c>
      <c r="BN253" s="31" t="n">
        <f aca="false">IF(CK253="N",BV253,ROUNDDOWN((K253-N253)*設定!$B$14/1000,0))</f>
        <v>0</v>
      </c>
      <c r="BO253" s="31" t="n">
        <f aca="false">ROUNDDOWN((K253-N253)*設定!$C$14/1000,0)</f>
        <v>0</v>
      </c>
      <c r="BP253" s="31" t="n">
        <f aca="false">IF(CK253="N",BX253,ROUNDDOWN((J253-M253)*設定!$B$15/1000,0))</f>
        <v>0</v>
      </c>
      <c r="BQ253" s="31" t="n">
        <f aca="false">ROUNDDOWN((J253-M253)*設定!$C$15/1000,0)</f>
        <v>0</v>
      </c>
      <c r="BR253" s="31" t="n">
        <f aca="false">O253+P253</f>
        <v>0</v>
      </c>
      <c r="BS253" s="31" t="n">
        <f aca="false">T253+U253+V253</f>
        <v>367685</v>
      </c>
      <c r="BT253" s="31" t="n">
        <f aca="false">Q253</f>
        <v>0</v>
      </c>
      <c r="BU253" s="31" t="n">
        <f aca="false">W253</f>
        <v>192628</v>
      </c>
      <c r="BV253" s="31" t="n">
        <f aca="false">R253</f>
        <v>0</v>
      </c>
      <c r="BW253" s="31" t="n">
        <f aca="false">X253</f>
        <v>26781</v>
      </c>
      <c r="BX253" s="31" t="n">
        <f aca="false">S253</f>
        <v>0</v>
      </c>
      <c r="BY253" s="31" t="n">
        <f aca="false">Y253</f>
        <v>4266</v>
      </c>
      <c r="BZ253" s="32" t="n">
        <f aca="false">IF(BJ253=0,IF(BR253=0,0,1),(BR253-BJ253)/BJ253)</f>
        <v>0</v>
      </c>
      <c r="CA253" s="32" t="n">
        <f aca="false">IF(BK253=0,IF(BS253=0,0,1),(BS253-BK253)/BK253)</f>
        <v>1</v>
      </c>
      <c r="CB253" s="32" t="n">
        <f aca="false">IF(BL253=0,IF(BT253=0,0,1),(BT253-BL253)/BL253)</f>
        <v>0</v>
      </c>
      <c r="CC253" s="32" t="n">
        <f aca="false">IF(BM253=0,IF(BU253=0,0,1),(BU253-BM253)/BM253)</f>
        <v>1</v>
      </c>
      <c r="CD253" s="32" t="n">
        <f aca="false">IF(BN253=0,IF(BV253=0,0,1),(BV253-BN253)/BN253)</f>
        <v>0</v>
      </c>
      <c r="CE253" s="32" t="n">
        <f aca="false">IF(BO253=0,IF(BW253=0,0,1),(BW253-BO253)/BO253)</f>
        <v>1</v>
      </c>
      <c r="CF253" s="32" t="n">
        <f aca="false">IF(BP253=0,IF(BX253=0,0,1),(BX253-BP253)/BP253)</f>
        <v>0</v>
      </c>
      <c r="CG253" s="32" t="n">
        <f aca="false">IF(BQ253=0,IF(BY253=0,0,1),(BY253-BQ253)/BQ253)</f>
        <v>1</v>
      </c>
      <c r="CH253" s="32" t="n">
        <f aca="false">MAX(MAX(BZ253:CG253),-MIN(BZ253:CG253))</f>
        <v>1</v>
      </c>
      <c r="CI253" s="31" t="n">
        <f aca="false">IF(CO253="","",SUMIFS($CJ$7:$CJ$696,$A$7:$A$696,CO253,$B$7:$B$696,B253))</f>
        <v>640003</v>
      </c>
      <c r="CJ253" s="31" t="n">
        <f aca="false">SUM(AY253:BI253)</f>
        <v>591360</v>
      </c>
      <c r="CK253" s="31" t="str">
        <f aca="false">IFERROR(INDEX(設定!$F$61:$F$106,MATCH(B253,設定!$B$61:$B$106,0)),"Y")</f>
        <v>N</v>
      </c>
      <c r="CL253" s="31" t="str">
        <f aca="false">IFERROR(INDEX(設定!$G$61:$G$106,MATCH(B253,設定!$B$61:$B$106,0)),"外郭型")</f>
        <v>外郭型</v>
      </c>
      <c r="CM253" s="33" t="str">
        <f aca="false">A253&amp;"|"&amp;B253</f>
        <v>2026-08 月例|産業振興センター</v>
      </c>
      <c r="CN253" s="34" t="str">
        <f aca="false">IFERROR(INDEX(設定!$D$61:$D$106,MATCH(B253,設定!$B$61:$B$106,0)),"Y")</f>
        <v>Y</v>
      </c>
      <c r="CO253" s="34" t="str">
        <f aca="false">IFERROR(INDEX(設定!$D$20:$D$34,MATCH(A253,設定!$A$20:$A$34,0))&amp;"","")</f>
        <v>2026-07 月例</v>
      </c>
    </row>
    <row r="254" customFormat="false" ht="15" hidden="true" customHeight="false" outlineLevel="0" collapsed="false">
      <c r="A254" s="22" t="s">
        <v>221</v>
      </c>
      <c r="B254" s="23" t="s">
        <v>186</v>
      </c>
      <c r="C254" s="10" t="str">
        <f aca="false">IF(G254="","未受領",IF(G254="なし","報告なし",IF(AL254="○","起票済",IF(OR(AK254="○",F254="一致",F254="入金不要"),"入金確認済","受領済"))))</f>
        <v>入金確認済</v>
      </c>
      <c r="D254" s="10" t="str">
        <f aca="false">IF(OR(G254="",G254="なし"),"―",IF(CN254="N","対象外",IF(AND(I254="",J254="",K254=""),"標報未入力",IF(CH254&gt;=設定!$B$4,"要確認","問題なし"))))</f>
        <v>標報未入力</v>
      </c>
      <c r="E254" s="24" t="str">
        <f aca="false">IF(OR(G254="",G254="なし",CI254="",CJ254=0),"―",IF(CJ254=CI254,"前月同額",IF(CI254=0,"―",IF(ABS(CJ254/CI254-1)&gt;=設定!$B$5,"変動大 "&amp;TEXT(CJ254/CI254-1,"+0%;-0%"),"〇"))))</f>
        <v>前月同額</v>
      </c>
      <c r="F254" s="10" t="str">
        <f aca="false">IF(OR(G254="",G254="なし"),"―",IF(CJ254=0,"入金不要",IF(COUNT(AD254,AF254,AH254,AJ254)=0,IF(AK254="○","手動確認","未入金"),IF(AND(N(AD254)=AC254,IF(AE254="",TRUE(),N(AF254)=AE254),IF(AG254="",TRUE(),N(AH254)=AG254),IF(AI254="",TRUE(),N(AJ254)=AI254)),"一致","不一致"))))</f>
        <v>手動確認</v>
      </c>
      <c r="G254" s="25" t="s">
        <v>167</v>
      </c>
      <c r="H254" s="26"/>
      <c r="I254" s="27"/>
      <c r="J254" s="27"/>
      <c r="K254" s="27"/>
      <c r="L254" s="27"/>
      <c r="M254" s="27"/>
      <c r="N254" s="27"/>
      <c r="O254" s="27"/>
      <c r="P254" s="27"/>
      <c r="Q254" s="27"/>
      <c r="R254" s="27"/>
      <c r="S254" s="27"/>
      <c r="T254" s="27" t="n">
        <v>45750</v>
      </c>
      <c r="U254" s="27" t="n">
        <v>3750</v>
      </c>
      <c r="V254" s="27" t="n">
        <v>43</v>
      </c>
      <c r="W254" s="27" t="n">
        <v>25955</v>
      </c>
      <c r="X254" s="27" t="n">
        <v>3950</v>
      </c>
      <c r="Y254" s="27" t="n">
        <v>575</v>
      </c>
      <c r="Z254" s="27"/>
      <c r="AA254" s="10" t="str">
        <f aca="false">IFERROR(INDEX(設定!$E$61:$E$106,MATCH(B254,設定!$B$61:$B$106,0)),"合算")</f>
        <v>合算</v>
      </c>
      <c r="AB254" s="28"/>
      <c r="AC254" s="29" t="n">
        <f aca="false">IF(OR(G254="",G254="なし"),"",IF(AA254="合算",CJ254+N(Z254),IF(AA254="掛金・負担金別",(AY254+AZ254+BD254+BF254+BH254),SUM(AY254:BC254))))</f>
        <v>80023</v>
      </c>
      <c r="AD254" s="27"/>
      <c r="AE254" s="29" t="str">
        <f aca="false">IF(OR(G254="",G254="なし"),"",IF(AA254="掛金・負担金別",(BA254+BB254+BC254+BE254+BG254+BI254+N(Z254)),IF(AA254="経理区分別",BD254+BE254,"")))</f>
        <v/>
      </c>
      <c r="AF254" s="27"/>
      <c r="AG254" s="29" t="str">
        <f aca="false">IF(OR(G254="",G254="なし"),"",IF(AA254="経理区分別",BF254+BG254,""))</f>
        <v/>
      </c>
      <c r="AH254" s="27"/>
      <c r="AI254" s="29" t="str">
        <f aca="false">IF(OR(G254="",G254="なし"),"",IF(AA254="経理区分別",BH254+BI254+N(Z254),""))</f>
        <v/>
      </c>
      <c r="AJ254" s="27"/>
      <c r="AK254" s="26" t="s">
        <v>168</v>
      </c>
      <c r="AL254" s="26"/>
      <c r="AM254" s="30"/>
      <c r="AN254" s="31"/>
      <c r="AO254" s="31"/>
      <c r="AP254" s="31"/>
      <c r="AQ254" s="31"/>
      <c r="AR254" s="31"/>
      <c r="AS254" s="31"/>
      <c r="AT254" s="31"/>
      <c r="AU254" s="31"/>
      <c r="AV254" s="31"/>
      <c r="AW254" s="31"/>
      <c r="AX254" s="31"/>
      <c r="AY254" s="31" t="n">
        <f aca="false">IF($G254="",AN254,O254)</f>
        <v>0</v>
      </c>
      <c r="AZ254" s="31" t="n">
        <f aca="false">IF($G254="",AO254,P254)</f>
        <v>0</v>
      </c>
      <c r="BA254" s="31" t="n">
        <f aca="false">IF($G254="",AP254,T254)</f>
        <v>45750</v>
      </c>
      <c r="BB254" s="31" t="n">
        <f aca="false">IF($G254="",AQ254,U254)</f>
        <v>3750</v>
      </c>
      <c r="BC254" s="31" t="n">
        <f aca="false">IF($G254="",AR254,V254)</f>
        <v>43</v>
      </c>
      <c r="BD254" s="31" t="n">
        <f aca="false">IF($G254="",AS254,Q254)</f>
        <v>0</v>
      </c>
      <c r="BE254" s="31" t="n">
        <f aca="false">IF($G254="",AT254,W254)</f>
        <v>25955</v>
      </c>
      <c r="BF254" s="31" t="n">
        <f aca="false">IF($G254="",AU254,R254)</f>
        <v>0</v>
      </c>
      <c r="BG254" s="31" t="n">
        <f aca="false">IF($G254="",AV254,X254)</f>
        <v>3950</v>
      </c>
      <c r="BH254" s="31" t="n">
        <f aca="false">IF($G254="",AW254,S254)</f>
        <v>0</v>
      </c>
      <c r="BI254" s="31" t="n">
        <f aca="false">IF($G254="",AX254,Y254)</f>
        <v>575</v>
      </c>
      <c r="BJ254" s="31" t="n">
        <f aca="false">IF(CK254="N",BR254,ROUNDDOWN((I254-L254)*設定!$B$10/1000,0)+ROUNDDOWN((I254-L254)*設定!$B$11/1000,0))</f>
        <v>0</v>
      </c>
      <c r="BK254" s="31" t="n">
        <f aca="false">ROUNDDOWN((I254-L254)*設定!$C$10/1000,0)+ROUNDDOWN((I254-L254)*設定!$C$11/1000,0)+ROUNDDOWN(I254*設定!$C$12/1000,0)+IF(CL254="市局型",ROUNDDOWN(I254*設定!$C$16/1000,0),0)</f>
        <v>0</v>
      </c>
      <c r="BL254" s="31" t="n">
        <f aca="false">IF(CK254="N",BT254,ROUNDDOWN((J254-M254)*設定!$B$13/1000,0))</f>
        <v>0</v>
      </c>
      <c r="BM254" s="31" t="n">
        <f aca="false">ROUNDDOWN((J254-M254)*設定!$C$13/1000,0)+IF(CL254="市局型",ROUNDDOWN(J254*設定!$C$17/1000,0),0)</f>
        <v>0</v>
      </c>
      <c r="BN254" s="31" t="n">
        <f aca="false">IF(CK254="N",BV254,ROUNDDOWN((K254-N254)*設定!$B$14/1000,0))</f>
        <v>0</v>
      </c>
      <c r="BO254" s="31" t="n">
        <f aca="false">ROUNDDOWN((K254-N254)*設定!$C$14/1000,0)</f>
        <v>0</v>
      </c>
      <c r="BP254" s="31" t="n">
        <f aca="false">IF(CK254="N",BX254,ROUNDDOWN((J254-M254)*設定!$B$15/1000,0))</f>
        <v>0</v>
      </c>
      <c r="BQ254" s="31" t="n">
        <f aca="false">ROUNDDOWN((J254-M254)*設定!$C$15/1000,0)</f>
        <v>0</v>
      </c>
      <c r="BR254" s="31" t="n">
        <f aca="false">O254+P254</f>
        <v>0</v>
      </c>
      <c r="BS254" s="31" t="n">
        <f aca="false">T254+U254+V254</f>
        <v>49543</v>
      </c>
      <c r="BT254" s="31" t="n">
        <f aca="false">Q254</f>
        <v>0</v>
      </c>
      <c r="BU254" s="31" t="n">
        <f aca="false">W254</f>
        <v>25955</v>
      </c>
      <c r="BV254" s="31" t="n">
        <f aca="false">R254</f>
        <v>0</v>
      </c>
      <c r="BW254" s="31" t="n">
        <f aca="false">X254</f>
        <v>3950</v>
      </c>
      <c r="BX254" s="31" t="n">
        <f aca="false">S254</f>
        <v>0</v>
      </c>
      <c r="BY254" s="31" t="n">
        <f aca="false">Y254</f>
        <v>575</v>
      </c>
      <c r="BZ254" s="32" t="n">
        <f aca="false">IF(BJ254=0,IF(BR254=0,0,1),(BR254-BJ254)/BJ254)</f>
        <v>0</v>
      </c>
      <c r="CA254" s="32" t="n">
        <f aca="false">IF(BK254=0,IF(BS254=0,0,1),(BS254-BK254)/BK254)</f>
        <v>1</v>
      </c>
      <c r="CB254" s="32" t="n">
        <f aca="false">IF(BL254=0,IF(BT254=0,0,1),(BT254-BL254)/BL254)</f>
        <v>0</v>
      </c>
      <c r="CC254" s="32" t="n">
        <f aca="false">IF(BM254=0,IF(BU254=0,0,1),(BU254-BM254)/BM254)</f>
        <v>1</v>
      </c>
      <c r="CD254" s="32" t="n">
        <f aca="false">IF(BN254=0,IF(BV254=0,0,1),(BV254-BN254)/BN254)</f>
        <v>0</v>
      </c>
      <c r="CE254" s="32" t="n">
        <f aca="false">IF(BO254=0,IF(BW254=0,0,1),(BW254-BO254)/BO254)</f>
        <v>1</v>
      </c>
      <c r="CF254" s="32" t="n">
        <f aca="false">IF(BP254=0,IF(BX254=0,0,1),(BX254-BP254)/BP254)</f>
        <v>0</v>
      </c>
      <c r="CG254" s="32" t="n">
        <f aca="false">IF(BQ254=0,IF(BY254=0,0,1),(BY254-BQ254)/BQ254)</f>
        <v>1</v>
      </c>
      <c r="CH254" s="32" t="n">
        <f aca="false">MAX(MAX(BZ254:CG254),-MIN(BZ254:CG254))</f>
        <v>1</v>
      </c>
      <c r="CI254" s="31" t="n">
        <f aca="false">IF(CO254="","",SUMIFS($CJ$7:$CJ$696,$A$7:$A$696,CO254,$B$7:$B$696,B254))</f>
        <v>80023</v>
      </c>
      <c r="CJ254" s="31" t="n">
        <f aca="false">SUM(AY254:BI254)</f>
        <v>80023</v>
      </c>
      <c r="CK254" s="31" t="str">
        <f aca="false">IFERROR(INDEX(設定!$F$61:$F$106,MATCH(B254,設定!$B$61:$B$106,0)),"Y")</f>
        <v>N</v>
      </c>
      <c r="CL254" s="31" t="str">
        <f aca="false">IFERROR(INDEX(設定!$G$61:$G$106,MATCH(B254,設定!$B$61:$B$106,0)),"外郭型")</f>
        <v>外郭型</v>
      </c>
      <c r="CM254" s="33" t="str">
        <f aca="false">A254&amp;"|"&amp;B254</f>
        <v>2026-08 月例|ひろしま産業振興</v>
      </c>
      <c r="CN254" s="34" t="str">
        <f aca="false">IFERROR(INDEX(設定!$D$61:$D$106,MATCH(B254,設定!$B$61:$B$106,0)),"Y")</f>
        <v>Y</v>
      </c>
      <c r="CO254" s="34" t="str">
        <f aca="false">IFERROR(INDEX(設定!$D$20:$D$34,MATCH(A254,設定!$A$20:$A$34,0))&amp;"","")</f>
        <v>2026-07 月例</v>
      </c>
    </row>
    <row r="255" customFormat="false" ht="15" hidden="true" customHeight="false" outlineLevel="0" collapsed="false">
      <c r="A255" s="22" t="s">
        <v>221</v>
      </c>
      <c r="B255" s="23" t="s">
        <v>187</v>
      </c>
      <c r="C255" s="10" t="str">
        <f aca="false">IF(G255="","未受領",IF(G255="なし","報告なし",IF(AL255="○","起票済",IF(OR(AK255="○",F255="一致",F255="入金不要"),"入金確認済","受領済"))))</f>
        <v>入金確認済</v>
      </c>
      <c r="D255" s="10" t="str">
        <f aca="false">IF(OR(G255="",G255="なし"),"―",IF(CN255="N","対象外",IF(AND(I255="",J255="",K255=""),"標報未入力",IF(CH255&gt;=設定!$B$4,"要確認","問題なし"))))</f>
        <v>標報未入力</v>
      </c>
      <c r="E255" s="24" t="str">
        <f aca="false">IF(OR(G255="",G255="なし",CI255="",CJ255=0),"―",IF(CJ255=CI255,"前月同額",IF(CI255=0,"―",IF(ABS(CJ255/CI255-1)&gt;=設定!$B$5,"変動大 "&amp;TEXT(CJ255/CI255-1,"+0%;-0%"),"〇"))))</f>
        <v>―</v>
      </c>
      <c r="F255" s="10" t="str">
        <f aca="false">IF(OR(G255="",G255="なし"),"―",IF(CJ255=0,"入金不要",IF(COUNT(AD255,AF255,AH255,AJ255)=0,IF(AK255="○","手動確認","未入金"),IF(AND(N(AD255)=AC255,IF(AE255="",TRUE(),N(AF255)=AE255),IF(AG255="",TRUE(),N(AH255)=AG255),IF(AI255="",TRUE(),N(AJ255)=AI255)),"一致","不一致"))))</f>
        <v>入金不要</v>
      </c>
      <c r="G255" s="25" t="s">
        <v>167</v>
      </c>
      <c r="H255" s="26"/>
      <c r="I255" s="27"/>
      <c r="J255" s="27"/>
      <c r="K255" s="27"/>
      <c r="L255" s="27"/>
      <c r="M255" s="27"/>
      <c r="N255" s="27"/>
      <c r="O255" s="27"/>
      <c r="P255" s="27"/>
      <c r="Q255" s="27"/>
      <c r="R255" s="27"/>
      <c r="S255" s="27"/>
      <c r="T255" s="27" t="n">
        <v>0</v>
      </c>
      <c r="U255" s="27" t="n">
        <v>0</v>
      </c>
      <c r="V255" s="27" t="n">
        <v>0</v>
      </c>
      <c r="W255" s="27" t="n">
        <v>0</v>
      </c>
      <c r="X255" s="27" t="n">
        <v>0</v>
      </c>
      <c r="Y255" s="27" t="n">
        <v>0</v>
      </c>
      <c r="Z255" s="27"/>
      <c r="AA255" s="10" t="str">
        <f aca="false">IFERROR(INDEX(設定!$E$61:$E$106,MATCH(B255,設定!$B$61:$B$106,0)),"合算")</f>
        <v>合算</v>
      </c>
      <c r="AB255" s="28"/>
      <c r="AC255" s="29" t="n">
        <f aca="false">IF(OR(G255="",G255="なし"),"",IF(AA255="合算",CJ255+N(Z255),IF(AA255="掛金・負担金別",(AY255+AZ255+BD255+BF255+BH255),SUM(AY255:BC255))))</f>
        <v>0</v>
      </c>
      <c r="AD255" s="27"/>
      <c r="AE255" s="29" t="str">
        <f aca="false">IF(OR(G255="",G255="なし"),"",IF(AA255="掛金・負担金別",(BA255+BB255+BC255+BE255+BG255+BI255+N(Z255)),IF(AA255="経理区分別",BD255+BE255,"")))</f>
        <v/>
      </c>
      <c r="AF255" s="27"/>
      <c r="AG255" s="29" t="str">
        <f aca="false">IF(OR(G255="",G255="なし"),"",IF(AA255="経理区分別",BF255+BG255,""))</f>
        <v/>
      </c>
      <c r="AH255" s="27"/>
      <c r="AI255" s="29" t="str">
        <f aca="false">IF(OR(G255="",G255="なし"),"",IF(AA255="経理区分別",BH255+BI255+N(Z255),""))</f>
        <v/>
      </c>
      <c r="AJ255" s="27"/>
      <c r="AK255" s="26" t="s">
        <v>168</v>
      </c>
      <c r="AL255" s="26"/>
      <c r="AM255" s="30"/>
      <c r="AN255" s="31"/>
      <c r="AO255" s="31"/>
      <c r="AP255" s="31"/>
      <c r="AQ255" s="31"/>
      <c r="AR255" s="31"/>
      <c r="AS255" s="31"/>
      <c r="AT255" s="31"/>
      <c r="AU255" s="31"/>
      <c r="AV255" s="31"/>
      <c r="AW255" s="31"/>
      <c r="AX255" s="31"/>
      <c r="AY255" s="31" t="n">
        <f aca="false">IF($G255="",AN255,O255)</f>
        <v>0</v>
      </c>
      <c r="AZ255" s="31" t="n">
        <f aca="false">IF($G255="",AO255,P255)</f>
        <v>0</v>
      </c>
      <c r="BA255" s="31" t="n">
        <f aca="false">IF($G255="",AP255,T255)</f>
        <v>0</v>
      </c>
      <c r="BB255" s="31" t="n">
        <f aca="false">IF($G255="",AQ255,U255)</f>
        <v>0</v>
      </c>
      <c r="BC255" s="31" t="n">
        <f aca="false">IF($G255="",AR255,V255)</f>
        <v>0</v>
      </c>
      <c r="BD255" s="31" t="n">
        <f aca="false">IF($G255="",AS255,Q255)</f>
        <v>0</v>
      </c>
      <c r="BE255" s="31" t="n">
        <f aca="false">IF($G255="",AT255,W255)</f>
        <v>0</v>
      </c>
      <c r="BF255" s="31" t="n">
        <f aca="false">IF($G255="",AU255,R255)</f>
        <v>0</v>
      </c>
      <c r="BG255" s="31" t="n">
        <f aca="false">IF($G255="",AV255,X255)</f>
        <v>0</v>
      </c>
      <c r="BH255" s="31" t="n">
        <f aca="false">IF($G255="",AW255,S255)</f>
        <v>0</v>
      </c>
      <c r="BI255" s="31" t="n">
        <f aca="false">IF($G255="",AX255,Y255)</f>
        <v>0</v>
      </c>
      <c r="BJ255" s="31" t="n">
        <f aca="false">IF(CK255="N",BR255,ROUNDDOWN((I255-L255)*設定!$B$10/1000,0)+ROUNDDOWN((I255-L255)*設定!$B$11/1000,0))</f>
        <v>0</v>
      </c>
      <c r="BK255" s="31" t="n">
        <f aca="false">ROUNDDOWN((I255-L255)*設定!$C$10/1000,0)+ROUNDDOWN((I255-L255)*設定!$C$11/1000,0)+ROUNDDOWN(I255*設定!$C$12/1000,0)+IF(CL255="市局型",ROUNDDOWN(I255*設定!$C$16/1000,0),0)</f>
        <v>0</v>
      </c>
      <c r="BL255" s="31" t="n">
        <f aca="false">IF(CK255="N",BT255,ROUNDDOWN((J255-M255)*設定!$B$13/1000,0))</f>
        <v>0</v>
      </c>
      <c r="BM255" s="31" t="n">
        <f aca="false">ROUNDDOWN((J255-M255)*設定!$C$13/1000,0)+IF(CL255="市局型",ROUNDDOWN(J255*設定!$C$17/1000,0),0)</f>
        <v>0</v>
      </c>
      <c r="BN255" s="31" t="n">
        <f aca="false">IF(CK255="N",BV255,ROUNDDOWN((K255-N255)*設定!$B$14/1000,0))</f>
        <v>0</v>
      </c>
      <c r="BO255" s="31" t="n">
        <f aca="false">ROUNDDOWN((K255-N255)*設定!$C$14/1000,0)</f>
        <v>0</v>
      </c>
      <c r="BP255" s="31" t="n">
        <f aca="false">IF(CK255="N",BX255,ROUNDDOWN((J255-M255)*設定!$B$15/1000,0))</f>
        <v>0</v>
      </c>
      <c r="BQ255" s="31" t="n">
        <f aca="false">ROUNDDOWN((J255-M255)*設定!$C$15/1000,0)</f>
        <v>0</v>
      </c>
      <c r="BR255" s="31" t="n">
        <f aca="false">O255+P255</f>
        <v>0</v>
      </c>
      <c r="BS255" s="31" t="n">
        <f aca="false">T255+U255+V255</f>
        <v>0</v>
      </c>
      <c r="BT255" s="31" t="n">
        <f aca="false">Q255</f>
        <v>0</v>
      </c>
      <c r="BU255" s="31" t="n">
        <f aca="false">W255</f>
        <v>0</v>
      </c>
      <c r="BV255" s="31" t="n">
        <f aca="false">R255</f>
        <v>0</v>
      </c>
      <c r="BW255" s="31" t="n">
        <f aca="false">X255</f>
        <v>0</v>
      </c>
      <c r="BX255" s="31" t="n">
        <f aca="false">S255</f>
        <v>0</v>
      </c>
      <c r="BY255" s="31" t="n">
        <f aca="false">Y255</f>
        <v>0</v>
      </c>
      <c r="BZ255" s="32" t="n">
        <f aca="false">IF(BJ255=0,IF(BR255=0,0,1),(BR255-BJ255)/BJ255)</f>
        <v>0</v>
      </c>
      <c r="CA255" s="32" t="n">
        <f aca="false">IF(BK255=0,IF(BS255=0,0,1),(BS255-BK255)/BK255)</f>
        <v>0</v>
      </c>
      <c r="CB255" s="32" t="n">
        <f aca="false">IF(BL255=0,IF(BT255=0,0,1),(BT255-BL255)/BL255)</f>
        <v>0</v>
      </c>
      <c r="CC255" s="32" t="n">
        <f aca="false">IF(BM255=0,IF(BU255=0,0,1),(BU255-BM255)/BM255)</f>
        <v>0</v>
      </c>
      <c r="CD255" s="32" t="n">
        <f aca="false">IF(BN255=0,IF(BV255=0,0,1),(BV255-BN255)/BN255)</f>
        <v>0</v>
      </c>
      <c r="CE255" s="32" t="n">
        <f aca="false">IF(BO255=0,IF(BW255=0,0,1),(BW255-BO255)/BO255)</f>
        <v>0</v>
      </c>
      <c r="CF255" s="32" t="n">
        <f aca="false">IF(BP255=0,IF(BX255=0,0,1),(BX255-BP255)/BP255)</f>
        <v>0</v>
      </c>
      <c r="CG255" s="32" t="n">
        <f aca="false">IF(BQ255=0,IF(BY255=0,0,1),(BY255-BQ255)/BQ255)</f>
        <v>0</v>
      </c>
      <c r="CH255" s="32" t="n">
        <f aca="false">MAX(MAX(BZ255:CG255),-MIN(BZ255:CG255))</f>
        <v>-0</v>
      </c>
      <c r="CI255" s="31" t="n">
        <f aca="false">IF(CO255="","",SUMIFS($CJ$7:$CJ$696,$A$7:$A$696,CO255,$B$7:$B$696,B255))</f>
        <v>0</v>
      </c>
      <c r="CJ255" s="31" t="n">
        <f aca="false">SUM(AY255:BI255)</f>
        <v>0</v>
      </c>
      <c r="CK255" s="31" t="str">
        <f aca="false">IFERROR(INDEX(設定!$F$61:$F$106,MATCH(B255,設定!$B$61:$B$106,0)),"Y")</f>
        <v>N</v>
      </c>
      <c r="CL255" s="31" t="str">
        <f aca="false">IFERROR(INDEX(設定!$G$61:$G$106,MATCH(B255,設定!$B$61:$B$106,0)),"外郭型")</f>
        <v>外郭型</v>
      </c>
      <c r="CM255" s="33" t="str">
        <f aca="false">A255&amp;"|"&amp;B255</f>
        <v>2026-08 月例|都市整備公社　市</v>
      </c>
      <c r="CN255" s="34" t="str">
        <f aca="false">IFERROR(INDEX(設定!$D$61:$D$106,MATCH(B255,設定!$B$61:$B$106,0)),"Y")</f>
        <v>Y</v>
      </c>
      <c r="CO255" s="34" t="str">
        <f aca="false">IFERROR(INDEX(設定!$D$20:$D$34,MATCH(A255,設定!$A$20:$A$34,0))&amp;"","")</f>
        <v>2026-07 月例</v>
      </c>
    </row>
    <row r="256" customFormat="false" ht="15" hidden="true" customHeight="false" outlineLevel="0" collapsed="false">
      <c r="A256" s="22" t="s">
        <v>221</v>
      </c>
      <c r="B256" s="23" t="s">
        <v>188</v>
      </c>
      <c r="C256" s="10" t="str">
        <f aca="false">IF(G256="","未受領",IF(G256="なし","報告なし",IF(AL256="○","起票済",IF(OR(AK256="○",F256="一致",F256="入金不要"),"入金確認済","受領済"))))</f>
        <v>入金確認済</v>
      </c>
      <c r="D256" s="10" t="str">
        <f aca="false">IF(OR(G256="",G256="なし"),"―",IF(CN256="N","対象外",IF(AND(I256="",J256="",K256=""),"標報未入力",IF(CH256&gt;=設定!$B$4,"要確認","問題なし"))))</f>
        <v>標報未入力</v>
      </c>
      <c r="E256" s="24" t="str">
        <f aca="false">IF(OR(G256="",G256="なし",CI256="",CJ256=0),"―",IF(CJ256=CI256,"前月同額",IF(CI256=0,"―",IF(ABS(CJ256/CI256-1)&gt;=設定!$B$5,"変動大 "&amp;TEXT(CJ256/CI256-1,"+0%;-0%"),"〇"))))</f>
        <v>前月同額</v>
      </c>
      <c r="F256" s="10" t="str">
        <f aca="false">IF(OR(G256="",G256="なし"),"―",IF(CJ256=0,"入金不要",IF(COUNT(AD256,AF256,AH256,AJ256)=0,IF(AK256="○","手動確認","未入金"),IF(AND(N(AD256)=AC256,IF(AE256="",TRUE(),N(AF256)=AE256),IF(AG256="",TRUE(),N(AH256)=AG256),IF(AI256="",TRUE(),N(AJ256)=AI256)),"一致","不一致"))))</f>
        <v>手動確認</v>
      </c>
      <c r="G256" s="25" t="s">
        <v>167</v>
      </c>
      <c r="H256" s="26"/>
      <c r="I256" s="27"/>
      <c r="J256" s="27"/>
      <c r="K256" s="27"/>
      <c r="L256" s="27"/>
      <c r="M256" s="27"/>
      <c r="N256" s="27"/>
      <c r="O256" s="27"/>
      <c r="P256" s="27"/>
      <c r="Q256" s="27"/>
      <c r="R256" s="27"/>
      <c r="S256" s="27"/>
      <c r="T256" s="27" t="n">
        <v>193065</v>
      </c>
      <c r="U256" s="27" t="n">
        <v>15825</v>
      </c>
      <c r="V256" s="27" t="n">
        <v>183</v>
      </c>
      <c r="W256" s="27" t="n">
        <v>109530</v>
      </c>
      <c r="X256" s="27" t="n">
        <v>12956</v>
      </c>
      <c r="Y256" s="27" t="n">
        <v>2426</v>
      </c>
      <c r="Z256" s="27"/>
      <c r="AA256" s="10" t="str">
        <f aca="false">IFERROR(INDEX(設定!$E$61:$E$106,MATCH(B256,設定!$B$61:$B$106,0)),"合算")</f>
        <v>合算</v>
      </c>
      <c r="AB256" s="28"/>
      <c r="AC256" s="29" t="n">
        <f aca="false">IF(OR(G256="",G256="なし"),"",IF(AA256="合算",CJ256+N(Z256),IF(AA256="掛金・負担金別",(AY256+AZ256+BD256+BF256+BH256),SUM(AY256:BC256))))</f>
        <v>333985</v>
      </c>
      <c r="AD256" s="27"/>
      <c r="AE256" s="29" t="str">
        <f aca="false">IF(OR(G256="",G256="なし"),"",IF(AA256="掛金・負担金別",(BA256+BB256+BC256+BE256+BG256+BI256+N(Z256)),IF(AA256="経理区分別",BD256+BE256,"")))</f>
        <v/>
      </c>
      <c r="AF256" s="27"/>
      <c r="AG256" s="29" t="str">
        <f aca="false">IF(OR(G256="",G256="なし"),"",IF(AA256="経理区分別",BF256+BG256,""))</f>
        <v/>
      </c>
      <c r="AH256" s="27"/>
      <c r="AI256" s="29" t="str">
        <f aca="false">IF(OR(G256="",G256="なし"),"",IF(AA256="経理区分別",BH256+BI256+N(Z256),""))</f>
        <v/>
      </c>
      <c r="AJ256" s="27"/>
      <c r="AK256" s="26" t="s">
        <v>168</v>
      </c>
      <c r="AL256" s="26"/>
      <c r="AM256" s="30"/>
      <c r="AN256" s="31"/>
      <c r="AO256" s="31"/>
      <c r="AP256" s="31"/>
      <c r="AQ256" s="31"/>
      <c r="AR256" s="31"/>
      <c r="AS256" s="31"/>
      <c r="AT256" s="31"/>
      <c r="AU256" s="31"/>
      <c r="AV256" s="31"/>
      <c r="AW256" s="31"/>
      <c r="AX256" s="31"/>
      <c r="AY256" s="31" t="n">
        <f aca="false">IF($G256="",AN256,O256)</f>
        <v>0</v>
      </c>
      <c r="AZ256" s="31" t="n">
        <f aca="false">IF($G256="",AO256,P256)</f>
        <v>0</v>
      </c>
      <c r="BA256" s="31" t="n">
        <f aca="false">IF($G256="",AP256,T256)</f>
        <v>193065</v>
      </c>
      <c r="BB256" s="31" t="n">
        <f aca="false">IF($G256="",AQ256,U256)</f>
        <v>15825</v>
      </c>
      <c r="BC256" s="31" t="n">
        <f aca="false">IF($G256="",AR256,V256)</f>
        <v>183</v>
      </c>
      <c r="BD256" s="31" t="n">
        <f aca="false">IF($G256="",AS256,Q256)</f>
        <v>0</v>
      </c>
      <c r="BE256" s="31" t="n">
        <f aca="false">IF($G256="",AT256,W256)</f>
        <v>109530</v>
      </c>
      <c r="BF256" s="31" t="n">
        <f aca="false">IF($G256="",AU256,R256)</f>
        <v>0</v>
      </c>
      <c r="BG256" s="31" t="n">
        <f aca="false">IF($G256="",AV256,X256)</f>
        <v>12956</v>
      </c>
      <c r="BH256" s="31" t="n">
        <f aca="false">IF($G256="",AW256,S256)</f>
        <v>0</v>
      </c>
      <c r="BI256" s="31" t="n">
        <f aca="false">IF($G256="",AX256,Y256)</f>
        <v>2426</v>
      </c>
      <c r="BJ256" s="31" t="n">
        <f aca="false">IF(CK256="N",BR256,ROUNDDOWN((I256-L256)*設定!$B$10/1000,0)+ROUNDDOWN((I256-L256)*設定!$B$11/1000,0))</f>
        <v>0</v>
      </c>
      <c r="BK256" s="31" t="n">
        <f aca="false">ROUNDDOWN((I256-L256)*設定!$C$10/1000,0)+ROUNDDOWN((I256-L256)*設定!$C$11/1000,0)+ROUNDDOWN(I256*設定!$C$12/1000,0)+IF(CL256="市局型",ROUNDDOWN(I256*設定!$C$16/1000,0),0)</f>
        <v>0</v>
      </c>
      <c r="BL256" s="31" t="n">
        <f aca="false">IF(CK256="N",BT256,ROUNDDOWN((J256-M256)*設定!$B$13/1000,0))</f>
        <v>0</v>
      </c>
      <c r="BM256" s="31" t="n">
        <f aca="false">ROUNDDOWN((J256-M256)*設定!$C$13/1000,0)+IF(CL256="市局型",ROUNDDOWN(J256*設定!$C$17/1000,0),0)</f>
        <v>0</v>
      </c>
      <c r="BN256" s="31" t="n">
        <f aca="false">IF(CK256="N",BV256,ROUNDDOWN((K256-N256)*設定!$B$14/1000,0))</f>
        <v>0</v>
      </c>
      <c r="BO256" s="31" t="n">
        <f aca="false">ROUNDDOWN((K256-N256)*設定!$C$14/1000,0)</f>
        <v>0</v>
      </c>
      <c r="BP256" s="31" t="n">
        <f aca="false">IF(CK256="N",BX256,ROUNDDOWN((J256-M256)*設定!$B$15/1000,0))</f>
        <v>0</v>
      </c>
      <c r="BQ256" s="31" t="n">
        <f aca="false">ROUNDDOWN((J256-M256)*設定!$C$15/1000,0)</f>
        <v>0</v>
      </c>
      <c r="BR256" s="31" t="n">
        <f aca="false">O256+P256</f>
        <v>0</v>
      </c>
      <c r="BS256" s="31" t="n">
        <f aca="false">T256+U256+V256</f>
        <v>209073</v>
      </c>
      <c r="BT256" s="31" t="n">
        <f aca="false">Q256</f>
        <v>0</v>
      </c>
      <c r="BU256" s="31" t="n">
        <f aca="false">W256</f>
        <v>109530</v>
      </c>
      <c r="BV256" s="31" t="n">
        <f aca="false">R256</f>
        <v>0</v>
      </c>
      <c r="BW256" s="31" t="n">
        <f aca="false">X256</f>
        <v>12956</v>
      </c>
      <c r="BX256" s="31" t="n">
        <f aca="false">S256</f>
        <v>0</v>
      </c>
      <c r="BY256" s="31" t="n">
        <f aca="false">Y256</f>
        <v>2426</v>
      </c>
      <c r="BZ256" s="32" t="n">
        <f aca="false">IF(BJ256=0,IF(BR256=0,0,1),(BR256-BJ256)/BJ256)</f>
        <v>0</v>
      </c>
      <c r="CA256" s="32" t="n">
        <f aca="false">IF(BK256=0,IF(BS256=0,0,1),(BS256-BK256)/BK256)</f>
        <v>1</v>
      </c>
      <c r="CB256" s="32" t="n">
        <f aca="false">IF(BL256=0,IF(BT256=0,0,1),(BT256-BL256)/BL256)</f>
        <v>0</v>
      </c>
      <c r="CC256" s="32" t="n">
        <f aca="false">IF(BM256=0,IF(BU256=0,0,1),(BU256-BM256)/BM256)</f>
        <v>1</v>
      </c>
      <c r="CD256" s="32" t="n">
        <f aca="false">IF(BN256=0,IF(BV256=0,0,1),(BV256-BN256)/BN256)</f>
        <v>0</v>
      </c>
      <c r="CE256" s="32" t="n">
        <f aca="false">IF(BO256=0,IF(BW256=0,0,1),(BW256-BO256)/BO256)</f>
        <v>1</v>
      </c>
      <c r="CF256" s="32" t="n">
        <f aca="false">IF(BP256=0,IF(BX256=0,0,1),(BX256-BP256)/BP256)</f>
        <v>0</v>
      </c>
      <c r="CG256" s="32" t="n">
        <f aca="false">IF(BQ256=0,IF(BY256=0,0,1),(BY256-BQ256)/BQ256)</f>
        <v>1</v>
      </c>
      <c r="CH256" s="32" t="n">
        <f aca="false">MAX(MAX(BZ256:CG256),-MIN(BZ256:CG256))</f>
        <v>1</v>
      </c>
      <c r="CI256" s="31" t="n">
        <f aca="false">IF(CO256="","",SUMIFS($CJ$7:$CJ$696,$A$7:$A$696,CO256,$B$7:$B$696,B256))</f>
        <v>333985</v>
      </c>
      <c r="CJ256" s="31" t="n">
        <f aca="false">SUM(AY256:BI256)</f>
        <v>333985</v>
      </c>
      <c r="CK256" s="31" t="str">
        <f aca="false">IFERROR(INDEX(設定!$F$61:$F$106,MATCH(B256,設定!$B$61:$B$106,0)),"Y")</f>
        <v>N</v>
      </c>
      <c r="CL256" s="31" t="str">
        <f aca="false">IFERROR(INDEX(設定!$G$61:$G$106,MATCH(B256,設定!$B$61:$B$106,0)),"外郭型")</f>
        <v>外郭型</v>
      </c>
      <c r="CM256" s="33" t="str">
        <f aca="false">A256&amp;"|"&amp;B256</f>
        <v>2026-08 月例|都市整備公社　消防</v>
      </c>
      <c r="CN256" s="34" t="str">
        <f aca="false">IFERROR(INDEX(設定!$D$61:$D$106,MATCH(B256,設定!$B$61:$B$106,0)),"Y")</f>
        <v>Y</v>
      </c>
      <c r="CO256" s="34" t="str">
        <f aca="false">IFERROR(INDEX(設定!$D$20:$D$34,MATCH(A256,設定!$A$20:$A$34,0))&amp;"","")</f>
        <v>2026-07 月例</v>
      </c>
    </row>
    <row r="257" customFormat="false" ht="15" hidden="true" customHeight="false" outlineLevel="0" collapsed="false">
      <c r="A257" s="22" t="s">
        <v>221</v>
      </c>
      <c r="B257" s="23" t="s">
        <v>189</v>
      </c>
      <c r="C257" s="10" t="str">
        <f aca="false">IF(G257="","未受領",IF(G257="なし","報告なし",IF(AL257="○","起票済",IF(OR(AK257="○",F257="一致",F257="入金不要"),"入金確認済","受領済"))))</f>
        <v>入金確認済</v>
      </c>
      <c r="D257" s="10" t="str">
        <f aca="false">IF(OR(G257="",G257="なし"),"―",IF(CN257="N","対象外",IF(AND(I257="",J257="",K257=""),"標報未入力",IF(CH257&gt;=設定!$B$4,"要確認","問題なし"))))</f>
        <v>標報未入力</v>
      </c>
      <c r="E257" s="24" t="str">
        <f aca="false">IF(OR(G257="",G257="なし",CI257="",CJ257=0),"―",IF(CJ257=CI257,"前月同額",IF(CI257=0,"―",IF(ABS(CJ257/CI257-1)&gt;=設定!$B$5,"変動大 "&amp;TEXT(CJ257/CI257-1,"+0%;-0%"),"〇"))))</f>
        <v>前月同額</v>
      </c>
      <c r="F257" s="10" t="str">
        <f aca="false">IF(OR(G257="",G257="なし"),"―",IF(CJ257=0,"入金不要",IF(COUNT(AD257,AF257,AH257,AJ257)=0,IF(AK257="○","手動確認","未入金"),IF(AND(N(AD257)=AC257,IF(AE257="",TRUE(),N(AF257)=AE257),IF(AG257="",TRUE(),N(AH257)=AG257),IF(AI257="",TRUE(),N(AJ257)=AI257)),"一致","不一致"))))</f>
        <v>手動確認</v>
      </c>
      <c r="G257" s="25" t="s">
        <v>167</v>
      </c>
      <c r="H257" s="26"/>
      <c r="I257" s="27"/>
      <c r="J257" s="27"/>
      <c r="K257" s="27"/>
      <c r="L257" s="27"/>
      <c r="M257" s="27"/>
      <c r="N257" s="27"/>
      <c r="O257" s="27" t="n">
        <v>241560</v>
      </c>
      <c r="P257" s="27" t="n">
        <v>19800</v>
      </c>
      <c r="Q257" s="27" t="n">
        <v>140019</v>
      </c>
      <c r="R257" s="27" t="n">
        <v>10744</v>
      </c>
      <c r="S257" s="27" t="n">
        <v>3104</v>
      </c>
      <c r="T257" s="27" t="n">
        <v>241560</v>
      </c>
      <c r="U257" s="27" t="n">
        <v>19800</v>
      </c>
      <c r="V257" s="27" t="n">
        <v>229</v>
      </c>
      <c r="W257" s="27" t="n">
        <v>140157</v>
      </c>
      <c r="X257" s="27" t="n">
        <v>10744</v>
      </c>
      <c r="Y257" s="27" t="n">
        <v>3105</v>
      </c>
      <c r="Z257" s="27"/>
      <c r="AA257" s="10" t="str">
        <f aca="false">IFERROR(INDEX(設定!$E$61:$E$106,MATCH(B257,設定!$B$61:$B$106,0)),"合算")</f>
        <v>合算</v>
      </c>
      <c r="AB257" s="28"/>
      <c r="AC257" s="29" t="n">
        <f aca="false">IF(OR(G257="",G257="なし"),"",IF(AA257="合算",CJ257+N(Z257),IF(AA257="掛金・負担金別",(AY257+AZ257+BD257+BF257+BH257),SUM(AY257:BC257))))</f>
        <v>830822</v>
      </c>
      <c r="AD257" s="27"/>
      <c r="AE257" s="29" t="str">
        <f aca="false">IF(OR(G257="",G257="なし"),"",IF(AA257="掛金・負担金別",(BA257+BB257+BC257+BE257+BG257+BI257+N(Z257)),IF(AA257="経理区分別",BD257+BE257,"")))</f>
        <v/>
      </c>
      <c r="AF257" s="27"/>
      <c r="AG257" s="29" t="str">
        <f aca="false">IF(OR(G257="",G257="なし"),"",IF(AA257="経理区分別",BF257+BG257,""))</f>
        <v/>
      </c>
      <c r="AH257" s="27"/>
      <c r="AI257" s="29" t="str">
        <f aca="false">IF(OR(G257="",G257="なし"),"",IF(AA257="経理区分別",BH257+BI257+N(Z257),""))</f>
        <v/>
      </c>
      <c r="AJ257" s="27"/>
      <c r="AK257" s="26" t="s">
        <v>168</v>
      </c>
      <c r="AL257" s="26"/>
      <c r="AM257" s="30"/>
      <c r="AN257" s="31"/>
      <c r="AO257" s="31"/>
      <c r="AP257" s="31"/>
      <c r="AQ257" s="31"/>
      <c r="AR257" s="31"/>
      <c r="AS257" s="31"/>
      <c r="AT257" s="31"/>
      <c r="AU257" s="31"/>
      <c r="AV257" s="31"/>
      <c r="AW257" s="31"/>
      <c r="AX257" s="31"/>
      <c r="AY257" s="31" t="n">
        <f aca="false">IF($G257="",AN257,O257)</f>
        <v>241560</v>
      </c>
      <c r="AZ257" s="31" t="n">
        <f aca="false">IF($G257="",AO257,P257)</f>
        <v>19800</v>
      </c>
      <c r="BA257" s="31" t="n">
        <f aca="false">IF($G257="",AP257,T257)</f>
        <v>241560</v>
      </c>
      <c r="BB257" s="31" t="n">
        <f aca="false">IF($G257="",AQ257,U257)</f>
        <v>19800</v>
      </c>
      <c r="BC257" s="31" t="n">
        <f aca="false">IF($G257="",AR257,V257)</f>
        <v>229</v>
      </c>
      <c r="BD257" s="31" t="n">
        <f aca="false">IF($G257="",AS257,Q257)</f>
        <v>140019</v>
      </c>
      <c r="BE257" s="31" t="n">
        <f aca="false">IF($G257="",AT257,W257)</f>
        <v>140157</v>
      </c>
      <c r="BF257" s="31" t="n">
        <f aca="false">IF($G257="",AU257,R257)</f>
        <v>10744</v>
      </c>
      <c r="BG257" s="31" t="n">
        <f aca="false">IF($G257="",AV257,X257)</f>
        <v>10744</v>
      </c>
      <c r="BH257" s="31" t="n">
        <f aca="false">IF($G257="",AW257,S257)</f>
        <v>3104</v>
      </c>
      <c r="BI257" s="31" t="n">
        <f aca="false">IF($G257="",AX257,Y257)</f>
        <v>3105</v>
      </c>
      <c r="BJ257" s="31" t="n">
        <f aca="false">IF(CK257="N",BR257,ROUNDDOWN((I257-L257)*設定!$B$10/1000,0)+ROUNDDOWN((I257-L257)*設定!$B$11/1000,0))</f>
        <v>0</v>
      </c>
      <c r="BK257" s="31" t="n">
        <f aca="false">ROUNDDOWN((I257-L257)*設定!$C$10/1000,0)+ROUNDDOWN((I257-L257)*設定!$C$11/1000,0)+ROUNDDOWN(I257*設定!$C$12/1000,0)+IF(CL257="市局型",ROUNDDOWN(I257*設定!$C$16/1000,0),0)</f>
        <v>0</v>
      </c>
      <c r="BL257" s="31" t="n">
        <f aca="false">IF(CK257="N",BT257,ROUNDDOWN((J257-M257)*設定!$B$13/1000,0))</f>
        <v>0</v>
      </c>
      <c r="BM257" s="31" t="n">
        <f aca="false">ROUNDDOWN((J257-M257)*設定!$C$13/1000,0)+IF(CL257="市局型",ROUNDDOWN(J257*設定!$C$17/1000,0),0)</f>
        <v>0</v>
      </c>
      <c r="BN257" s="31" t="n">
        <f aca="false">IF(CK257="N",BV257,ROUNDDOWN((K257-N257)*設定!$B$14/1000,0))</f>
        <v>0</v>
      </c>
      <c r="BO257" s="31" t="n">
        <f aca="false">ROUNDDOWN((K257-N257)*設定!$C$14/1000,0)</f>
        <v>0</v>
      </c>
      <c r="BP257" s="31" t="n">
        <f aca="false">IF(CK257="N",BX257,ROUNDDOWN((J257-M257)*設定!$B$15/1000,0))</f>
        <v>0</v>
      </c>
      <c r="BQ257" s="31" t="n">
        <f aca="false">ROUNDDOWN((J257-M257)*設定!$C$15/1000,0)</f>
        <v>0</v>
      </c>
      <c r="BR257" s="31" t="n">
        <f aca="false">O257+P257</f>
        <v>261360</v>
      </c>
      <c r="BS257" s="31" t="n">
        <f aca="false">T257+U257+V257</f>
        <v>261589</v>
      </c>
      <c r="BT257" s="31" t="n">
        <f aca="false">Q257</f>
        <v>140019</v>
      </c>
      <c r="BU257" s="31" t="n">
        <f aca="false">W257</f>
        <v>140157</v>
      </c>
      <c r="BV257" s="31" t="n">
        <f aca="false">R257</f>
        <v>10744</v>
      </c>
      <c r="BW257" s="31" t="n">
        <f aca="false">X257</f>
        <v>10744</v>
      </c>
      <c r="BX257" s="31" t="n">
        <f aca="false">S257</f>
        <v>3104</v>
      </c>
      <c r="BY257" s="31" t="n">
        <f aca="false">Y257</f>
        <v>3105</v>
      </c>
      <c r="BZ257" s="32" t="n">
        <f aca="false">IF(BJ257=0,IF(BR257=0,0,1),(BR257-BJ257)/BJ257)</f>
        <v>1</v>
      </c>
      <c r="CA257" s="32" t="n">
        <f aca="false">IF(BK257=0,IF(BS257=0,0,1),(BS257-BK257)/BK257)</f>
        <v>1</v>
      </c>
      <c r="CB257" s="32" t="n">
        <f aca="false">IF(BL257=0,IF(BT257=0,0,1),(BT257-BL257)/BL257)</f>
        <v>1</v>
      </c>
      <c r="CC257" s="32" t="n">
        <f aca="false">IF(BM257=0,IF(BU257=0,0,1),(BU257-BM257)/BM257)</f>
        <v>1</v>
      </c>
      <c r="CD257" s="32" t="n">
        <f aca="false">IF(BN257=0,IF(BV257=0,0,1),(BV257-BN257)/BN257)</f>
        <v>1</v>
      </c>
      <c r="CE257" s="32" t="n">
        <f aca="false">IF(BO257=0,IF(BW257=0,0,1),(BW257-BO257)/BO257)</f>
        <v>1</v>
      </c>
      <c r="CF257" s="32" t="n">
        <f aca="false">IF(BP257=0,IF(BX257=0,0,1),(BX257-BP257)/BP257)</f>
        <v>1</v>
      </c>
      <c r="CG257" s="32" t="n">
        <f aca="false">IF(BQ257=0,IF(BY257=0,0,1),(BY257-BQ257)/BQ257)</f>
        <v>1</v>
      </c>
      <c r="CH257" s="32" t="n">
        <f aca="false">MAX(MAX(BZ257:CG257),-MIN(BZ257:CG257))</f>
        <v>1</v>
      </c>
      <c r="CI257" s="31" t="n">
        <f aca="false">IF(CO257="","",SUMIFS($CJ$7:$CJ$696,$A$7:$A$696,CO257,$B$7:$B$696,B257))</f>
        <v>830822</v>
      </c>
      <c r="CJ257" s="31" t="n">
        <f aca="false">SUM(AY257:BI257)</f>
        <v>830822</v>
      </c>
      <c r="CK257" s="31" t="str">
        <f aca="false">IFERROR(INDEX(設定!$F$61:$F$106,MATCH(B257,設定!$B$61:$B$106,0)),"Y")</f>
        <v>Y</v>
      </c>
      <c r="CL257" s="31" t="str">
        <f aca="false">IFERROR(INDEX(設定!$G$61:$G$106,MATCH(B257,設定!$B$61:$B$106,0)),"外郭型")</f>
        <v>外郭型</v>
      </c>
      <c r="CM257" s="33" t="str">
        <f aca="false">A257&amp;"|"&amp;B257</f>
        <v>2026-08 月例|日本下水道事業団</v>
      </c>
      <c r="CN257" s="34" t="str">
        <f aca="false">IFERROR(INDEX(設定!$D$61:$D$106,MATCH(B257,設定!$B$61:$B$106,0)),"Y")</f>
        <v>Y</v>
      </c>
      <c r="CO257" s="34" t="str">
        <f aca="false">IFERROR(INDEX(設定!$D$20:$D$34,MATCH(A257,設定!$A$20:$A$34,0))&amp;"","")</f>
        <v>2026-07 月例</v>
      </c>
    </row>
    <row r="258" customFormat="false" ht="15" hidden="true" customHeight="false" outlineLevel="0" collapsed="false">
      <c r="A258" s="22" t="s">
        <v>221</v>
      </c>
      <c r="B258" s="23" t="s">
        <v>190</v>
      </c>
      <c r="C258" s="10" t="str">
        <f aca="false">IF(G258="","未受領",IF(G258="なし","報告なし",IF(AL258="○","起票済",IF(OR(AK258="○",F258="一致",F258="入金不要"),"入金確認済","受領済"))))</f>
        <v>入金確認済</v>
      </c>
      <c r="D258" s="10" t="str">
        <f aca="false">IF(OR(G258="",G258="なし"),"―",IF(CN258="N","対象外",IF(AND(I258="",J258="",K258=""),"標報未入力",IF(CH258&gt;=設定!$B$4,"要確認","問題なし"))))</f>
        <v>標報未入力</v>
      </c>
      <c r="E258" s="24" t="str">
        <f aca="false">IF(OR(G258="",G258="なし",CI258="",CJ258=0),"―",IF(CJ258=CI258,"前月同額",IF(CI258=0,"―",IF(ABS(CJ258/CI258-1)&gt;=設定!$B$5,"変動大 "&amp;TEXT(CJ258/CI258-1,"+0%;-0%"),"〇"))))</f>
        <v>前月同額</v>
      </c>
      <c r="F258" s="10" t="str">
        <f aca="false">IF(OR(G258="",G258="なし"),"―",IF(CJ258=0,"入金不要",IF(COUNT(AD258,AF258,AH258,AJ258)=0,IF(AK258="○","手動確認","未入金"),IF(AND(N(AD258)=AC258,IF(AE258="",TRUE(),N(AF258)=AE258),IF(AG258="",TRUE(),N(AH258)=AG258),IF(AI258="",TRUE(),N(AJ258)=AI258)),"一致","不一致"))))</f>
        <v>手動確認</v>
      </c>
      <c r="G258" s="25" t="s">
        <v>167</v>
      </c>
      <c r="H258" s="26"/>
      <c r="I258" s="27"/>
      <c r="J258" s="27"/>
      <c r="K258" s="27"/>
      <c r="L258" s="27"/>
      <c r="M258" s="27"/>
      <c r="N258" s="27"/>
      <c r="O258" s="27" t="n">
        <v>40260</v>
      </c>
      <c r="P258" s="27" t="n">
        <v>3300</v>
      </c>
      <c r="Q258" s="27" t="n">
        <v>22818</v>
      </c>
      <c r="R258" s="27" t="n">
        <v>0</v>
      </c>
      <c r="S258" s="27" t="n">
        <v>506</v>
      </c>
      <c r="T258" s="27" t="n">
        <v>40260</v>
      </c>
      <c r="U258" s="27" t="n">
        <v>3300</v>
      </c>
      <c r="V258" s="27" t="n">
        <v>38</v>
      </c>
      <c r="W258" s="27" t="n">
        <v>22840</v>
      </c>
      <c r="X258" s="27" t="n">
        <v>0</v>
      </c>
      <c r="Y258" s="27" t="n">
        <v>506</v>
      </c>
      <c r="Z258" s="27"/>
      <c r="AA258" s="10" t="str">
        <f aca="false">IFERROR(INDEX(設定!$E$61:$E$106,MATCH(B258,設定!$B$61:$B$106,0)),"合算")</f>
        <v>合算</v>
      </c>
      <c r="AB258" s="28"/>
      <c r="AC258" s="29" t="n">
        <f aca="false">IF(OR(G258="",G258="なし"),"",IF(AA258="合算",CJ258+N(Z258),IF(AA258="掛金・負担金別",(AY258+AZ258+BD258+BF258+BH258),SUM(AY258:BC258))))</f>
        <v>133828</v>
      </c>
      <c r="AD258" s="27"/>
      <c r="AE258" s="29" t="str">
        <f aca="false">IF(OR(G258="",G258="なし"),"",IF(AA258="掛金・負担金別",(BA258+BB258+BC258+BE258+BG258+BI258+N(Z258)),IF(AA258="経理区分別",BD258+BE258,"")))</f>
        <v/>
      </c>
      <c r="AF258" s="27"/>
      <c r="AG258" s="29" t="str">
        <f aca="false">IF(OR(G258="",G258="なし"),"",IF(AA258="経理区分別",BF258+BG258,""))</f>
        <v/>
      </c>
      <c r="AH258" s="27"/>
      <c r="AI258" s="29" t="str">
        <f aca="false">IF(OR(G258="",G258="なし"),"",IF(AA258="経理区分別",BH258+BI258+N(Z258),""))</f>
        <v/>
      </c>
      <c r="AJ258" s="27"/>
      <c r="AK258" s="26" t="s">
        <v>168</v>
      </c>
      <c r="AL258" s="26"/>
      <c r="AM258" s="30"/>
      <c r="AN258" s="31"/>
      <c r="AO258" s="31"/>
      <c r="AP258" s="31"/>
      <c r="AQ258" s="31"/>
      <c r="AR258" s="31"/>
      <c r="AS258" s="31"/>
      <c r="AT258" s="31"/>
      <c r="AU258" s="31"/>
      <c r="AV258" s="31"/>
      <c r="AW258" s="31"/>
      <c r="AX258" s="31"/>
      <c r="AY258" s="31" t="n">
        <f aca="false">IF($G258="",AN258,O258)</f>
        <v>40260</v>
      </c>
      <c r="AZ258" s="31" t="n">
        <f aca="false">IF($G258="",AO258,P258)</f>
        <v>3300</v>
      </c>
      <c r="BA258" s="31" t="n">
        <f aca="false">IF($G258="",AP258,T258)</f>
        <v>40260</v>
      </c>
      <c r="BB258" s="31" t="n">
        <f aca="false">IF($G258="",AQ258,U258)</f>
        <v>3300</v>
      </c>
      <c r="BC258" s="31" t="n">
        <f aca="false">IF($G258="",AR258,V258)</f>
        <v>38</v>
      </c>
      <c r="BD258" s="31" t="n">
        <f aca="false">IF($G258="",AS258,Q258)</f>
        <v>22818</v>
      </c>
      <c r="BE258" s="31" t="n">
        <f aca="false">IF($G258="",AT258,W258)</f>
        <v>22840</v>
      </c>
      <c r="BF258" s="31" t="n">
        <f aca="false">IF($G258="",AU258,R258)</f>
        <v>0</v>
      </c>
      <c r="BG258" s="31" t="n">
        <f aca="false">IF($G258="",AV258,X258)</f>
        <v>0</v>
      </c>
      <c r="BH258" s="31" t="n">
        <f aca="false">IF($G258="",AW258,S258)</f>
        <v>506</v>
      </c>
      <c r="BI258" s="31" t="n">
        <f aca="false">IF($G258="",AX258,Y258)</f>
        <v>506</v>
      </c>
      <c r="BJ258" s="31" t="n">
        <f aca="false">IF(CK258="N",BR258,ROUNDDOWN((I258-L258)*設定!$B$10/1000,0)+ROUNDDOWN((I258-L258)*設定!$B$11/1000,0))</f>
        <v>0</v>
      </c>
      <c r="BK258" s="31" t="n">
        <f aca="false">ROUNDDOWN((I258-L258)*設定!$C$10/1000,0)+ROUNDDOWN((I258-L258)*設定!$C$11/1000,0)+ROUNDDOWN(I258*設定!$C$12/1000,0)+IF(CL258="市局型",ROUNDDOWN(I258*設定!$C$16/1000,0),0)</f>
        <v>0</v>
      </c>
      <c r="BL258" s="31" t="n">
        <f aca="false">IF(CK258="N",BT258,ROUNDDOWN((J258-M258)*設定!$B$13/1000,0))</f>
        <v>0</v>
      </c>
      <c r="BM258" s="31" t="n">
        <f aca="false">ROUNDDOWN((J258-M258)*設定!$C$13/1000,0)+IF(CL258="市局型",ROUNDDOWN(J258*設定!$C$17/1000,0),0)</f>
        <v>0</v>
      </c>
      <c r="BN258" s="31" t="n">
        <f aca="false">IF(CK258="N",BV258,ROUNDDOWN((K258-N258)*設定!$B$14/1000,0))</f>
        <v>0</v>
      </c>
      <c r="BO258" s="31" t="n">
        <f aca="false">ROUNDDOWN((K258-N258)*設定!$C$14/1000,0)</f>
        <v>0</v>
      </c>
      <c r="BP258" s="31" t="n">
        <f aca="false">IF(CK258="N",BX258,ROUNDDOWN((J258-M258)*設定!$B$15/1000,0))</f>
        <v>0</v>
      </c>
      <c r="BQ258" s="31" t="n">
        <f aca="false">ROUNDDOWN((J258-M258)*設定!$C$15/1000,0)</f>
        <v>0</v>
      </c>
      <c r="BR258" s="31" t="n">
        <f aca="false">O258+P258</f>
        <v>43560</v>
      </c>
      <c r="BS258" s="31" t="n">
        <f aca="false">T258+U258+V258</f>
        <v>43598</v>
      </c>
      <c r="BT258" s="31" t="n">
        <f aca="false">Q258</f>
        <v>22818</v>
      </c>
      <c r="BU258" s="31" t="n">
        <f aca="false">W258</f>
        <v>22840</v>
      </c>
      <c r="BV258" s="31" t="n">
        <f aca="false">R258</f>
        <v>0</v>
      </c>
      <c r="BW258" s="31" t="n">
        <f aca="false">X258</f>
        <v>0</v>
      </c>
      <c r="BX258" s="31" t="n">
        <f aca="false">S258</f>
        <v>506</v>
      </c>
      <c r="BY258" s="31" t="n">
        <f aca="false">Y258</f>
        <v>506</v>
      </c>
      <c r="BZ258" s="32" t="n">
        <f aca="false">IF(BJ258=0,IF(BR258=0,0,1),(BR258-BJ258)/BJ258)</f>
        <v>1</v>
      </c>
      <c r="CA258" s="32" t="n">
        <f aca="false">IF(BK258=0,IF(BS258=0,0,1),(BS258-BK258)/BK258)</f>
        <v>1</v>
      </c>
      <c r="CB258" s="32" t="n">
        <f aca="false">IF(BL258=0,IF(BT258=0,0,1),(BT258-BL258)/BL258)</f>
        <v>1</v>
      </c>
      <c r="CC258" s="32" t="n">
        <f aca="false">IF(BM258=0,IF(BU258=0,0,1),(BU258-BM258)/BM258)</f>
        <v>1</v>
      </c>
      <c r="CD258" s="32" t="n">
        <f aca="false">IF(BN258=0,IF(BV258=0,0,1),(BV258-BN258)/BN258)</f>
        <v>0</v>
      </c>
      <c r="CE258" s="32" t="n">
        <f aca="false">IF(BO258=0,IF(BW258=0,0,1),(BW258-BO258)/BO258)</f>
        <v>0</v>
      </c>
      <c r="CF258" s="32" t="n">
        <f aca="false">IF(BP258=0,IF(BX258=0,0,1),(BX258-BP258)/BP258)</f>
        <v>1</v>
      </c>
      <c r="CG258" s="32" t="n">
        <f aca="false">IF(BQ258=0,IF(BY258=0,0,1),(BY258-BQ258)/BQ258)</f>
        <v>1</v>
      </c>
      <c r="CH258" s="32" t="n">
        <f aca="false">MAX(MAX(BZ258:CG258),-MIN(BZ258:CG258))</f>
        <v>1</v>
      </c>
      <c r="CI258" s="31" t="n">
        <f aca="false">IF(CO258="","",SUMIFS($CJ$7:$CJ$696,$A$7:$A$696,CO258,$B$7:$B$696,B258))</f>
        <v>133828</v>
      </c>
      <c r="CJ258" s="31" t="n">
        <f aca="false">SUM(AY258:BI258)</f>
        <v>133828</v>
      </c>
      <c r="CK258" s="31" t="str">
        <f aca="false">IFERROR(INDEX(設定!$F$61:$F$106,MATCH(B258,設定!$B$61:$B$106,0)),"Y")</f>
        <v>Y</v>
      </c>
      <c r="CL258" s="31" t="str">
        <f aca="false">IFERROR(INDEX(設定!$G$61:$G$106,MATCH(B258,設定!$B$61:$B$106,0)),"外郭型")</f>
        <v>外郭型</v>
      </c>
      <c r="CM258" s="33" t="str">
        <f aca="false">A258&amp;"|"&amp;B258</f>
        <v>2026-08 月例|地方公務員災害補償基金本部</v>
      </c>
      <c r="CN258" s="34" t="str">
        <f aca="false">IFERROR(INDEX(設定!$D$61:$D$106,MATCH(B258,設定!$B$61:$B$106,0)),"Y")</f>
        <v>Y</v>
      </c>
      <c r="CO258" s="34" t="str">
        <f aca="false">IFERROR(INDEX(設定!$D$20:$D$34,MATCH(A258,設定!$A$20:$A$34,0))&amp;"","")</f>
        <v>2026-07 月例</v>
      </c>
    </row>
    <row r="259" customFormat="false" ht="15" hidden="true" customHeight="false" outlineLevel="0" collapsed="false">
      <c r="A259" s="22" t="s">
        <v>221</v>
      </c>
      <c r="B259" s="23" t="s">
        <v>191</v>
      </c>
      <c r="C259" s="10" t="str">
        <f aca="false">IF(G259="","未受領",IF(G259="なし","報告なし",IF(AL259="○","起票済",IF(OR(AK259="○",F259="一致",F259="入金不要"),"入金確認済","受領済"))))</f>
        <v>入金確認済</v>
      </c>
      <c r="D259" s="10" t="str">
        <f aca="false">IF(OR(G259="",G259="なし"),"―",IF(CN259="N","対象外",IF(AND(I259="",J259="",K259=""),"標報未入力",IF(CH259&gt;=設定!$B$4,"要確認","問題なし"))))</f>
        <v>標報未入力</v>
      </c>
      <c r="E259" s="24" t="str">
        <f aca="false">IF(OR(G259="",G259="なし",CI259="",CJ259=0),"―",IF(CJ259=CI259,"前月同額",IF(CI259=0,"―",IF(ABS(CJ259/CI259-1)&gt;=設定!$B$5,"変動大 "&amp;TEXT(CJ259/CI259-1,"+0%;-0%"),"〇"))))</f>
        <v>前月同額</v>
      </c>
      <c r="F259" s="10" t="str">
        <f aca="false">IF(OR(G259="",G259="なし"),"―",IF(CJ259=0,"入金不要",IF(COUNT(AD259,AF259,AH259,AJ259)=0,IF(AK259="○","手動確認","未入金"),IF(AND(N(AD259)=AC259,IF(AE259="",TRUE(),N(AF259)=AE259),IF(AG259="",TRUE(),N(AH259)=AG259),IF(AI259="",TRUE(),N(AJ259)=AI259)),"一致","不一致"))))</f>
        <v>手動確認</v>
      </c>
      <c r="G259" s="25" t="s">
        <v>167</v>
      </c>
      <c r="H259" s="26"/>
      <c r="I259" s="27"/>
      <c r="J259" s="27"/>
      <c r="K259" s="27"/>
      <c r="L259" s="27"/>
      <c r="M259" s="27"/>
      <c r="N259" s="27"/>
      <c r="O259" s="27" t="n">
        <v>107970</v>
      </c>
      <c r="P259" s="27" t="n">
        <v>8850</v>
      </c>
      <c r="Q259" s="27" t="n">
        <v>61194</v>
      </c>
      <c r="R259" s="27" t="n">
        <v>9322</v>
      </c>
      <c r="S259" s="27" t="n">
        <v>1356</v>
      </c>
      <c r="T259" s="27" t="n">
        <v>107970</v>
      </c>
      <c r="U259" s="27" t="n">
        <v>8850</v>
      </c>
      <c r="V259" s="27" t="n">
        <v>102</v>
      </c>
      <c r="W259" s="27" t="n">
        <v>61253</v>
      </c>
      <c r="X259" s="27" t="n">
        <v>9322</v>
      </c>
      <c r="Y259" s="27" t="n">
        <v>1357</v>
      </c>
      <c r="Z259" s="27"/>
      <c r="AA259" s="10" t="str">
        <f aca="false">IFERROR(INDEX(設定!$E$61:$E$106,MATCH(B259,設定!$B$61:$B$106,0)),"合算")</f>
        <v>合算</v>
      </c>
      <c r="AB259" s="28"/>
      <c r="AC259" s="29" t="n">
        <f aca="false">IF(OR(G259="",G259="なし"),"",IF(AA259="合算",CJ259+N(Z259),IF(AA259="掛金・負担金別",(AY259+AZ259+BD259+BF259+BH259),SUM(AY259:BC259))))</f>
        <v>377546</v>
      </c>
      <c r="AD259" s="27"/>
      <c r="AE259" s="29" t="str">
        <f aca="false">IF(OR(G259="",G259="なし"),"",IF(AA259="掛金・負担金別",(BA259+BB259+BC259+BE259+BG259+BI259+N(Z259)),IF(AA259="経理区分別",BD259+BE259,"")))</f>
        <v/>
      </c>
      <c r="AF259" s="27"/>
      <c r="AG259" s="29" t="str">
        <f aca="false">IF(OR(G259="",G259="なし"),"",IF(AA259="経理区分別",BF259+BG259,""))</f>
        <v/>
      </c>
      <c r="AH259" s="27"/>
      <c r="AI259" s="29" t="str">
        <f aca="false">IF(OR(G259="",G259="なし"),"",IF(AA259="経理区分別",BH259+BI259+N(Z259),""))</f>
        <v/>
      </c>
      <c r="AJ259" s="27"/>
      <c r="AK259" s="26" t="s">
        <v>168</v>
      </c>
      <c r="AL259" s="26"/>
      <c r="AM259" s="30"/>
      <c r="AN259" s="31"/>
      <c r="AO259" s="31"/>
      <c r="AP259" s="31"/>
      <c r="AQ259" s="31"/>
      <c r="AR259" s="31"/>
      <c r="AS259" s="31"/>
      <c r="AT259" s="31"/>
      <c r="AU259" s="31"/>
      <c r="AV259" s="31"/>
      <c r="AW259" s="31"/>
      <c r="AX259" s="31"/>
      <c r="AY259" s="31" t="n">
        <f aca="false">IF($G259="",AN259,O259)</f>
        <v>107970</v>
      </c>
      <c r="AZ259" s="31" t="n">
        <f aca="false">IF($G259="",AO259,P259)</f>
        <v>8850</v>
      </c>
      <c r="BA259" s="31" t="n">
        <f aca="false">IF($G259="",AP259,T259)</f>
        <v>107970</v>
      </c>
      <c r="BB259" s="31" t="n">
        <f aca="false">IF($G259="",AQ259,U259)</f>
        <v>8850</v>
      </c>
      <c r="BC259" s="31" t="n">
        <f aca="false">IF($G259="",AR259,V259)</f>
        <v>102</v>
      </c>
      <c r="BD259" s="31" t="n">
        <f aca="false">IF($G259="",AS259,Q259)</f>
        <v>61194</v>
      </c>
      <c r="BE259" s="31" t="n">
        <f aca="false">IF($G259="",AT259,W259)</f>
        <v>61253</v>
      </c>
      <c r="BF259" s="31" t="n">
        <f aca="false">IF($G259="",AU259,R259)</f>
        <v>9322</v>
      </c>
      <c r="BG259" s="31" t="n">
        <f aca="false">IF($G259="",AV259,X259)</f>
        <v>9322</v>
      </c>
      <c r="BH259" s="31" t="n">
        <f aca="false">IF($G259="",AW259,S259)</f>
        <v>1356</v>
      </c>
      <c r="BI259" s="31" t="n">
        <f aca="false">IF($G259="",AX259,Y259)</f>
        <v>1357</v>
      </c>
      <c r="BJ259" s="31" t="n">
        <f aca="false">IF(CK259="N",BR259,ROUNDDOWN((I259-L259)*設定!$B$10/1000,0)+ROUNDDOWN((I259-L259)*設定!$B$11/1000,0))</f>
        <v>0</v>
      </c>
      <c r="BK259" s="31" t="n">
        <f aca="false">ROUNDDOWN((I259-L259)*設定!$C$10/1000,0)+ROUNDDOWN((I259-L259)*設定!$C$11/1000,0)+ROUNDDOWN(I259*設定!$C$12/1000,0)+IF(CL259="市局型",ROUNDDOWN(I259*設定!$C$16/1000,0),0)</f>
        <v>0</v>
      </c>
      <c r="BL259" s="31" t="n">
        <f aca="false">IF(CK259="N",BT259,ROUNDDOWN((J259-M259)*設定!$B$13/1000,0))</f>
        <v>0</v>
      </c>
      <c r="BM259" s="31" t="n">
        <f aca="false">ROUNDDOWN((J259-M259)*設定!$C$13/1000,0)+IF(CL259="市局型",ROUNDDOWN(J259*設定!$C$17/1000,0),0)</f>
        <v>0</v>
      </c>
      <c r="BN259" s="31" t="n">
        <f aca="false">IF(CK259="N",BV259,ROUNDDOWN((K259-N259)*設定!$B$14/1000,0))</f>
        <v>0</v>
      </c>
      <c r="BO259" s="31" t="n">
        <f aca="false">ROUNDDOWN((K259-N259)*設定!$C$14/1000,0)</f>
        <v>0</v>
      </c>
      <c r="BP259" s="31" t="n">
        <f aca="false">IF(CK259="N",BX259,ROUNDDOWN((J259-M259)*設定!$B$15/1000,0))</f>
        <v>0</v>
      </c>
      <c r="BQ259" s="31" t="n">
        <f aca="false">ROUNDDOWN((J259-M259)*設定!$C$15/1000,0)</f>
        <v>0</v>
      </c>
      <c r="BR259" s="31" t="n">
        <f aca="false">O259+P259</f>
        <v>116820</v>
      </c>
      <c r="BS259" s="31" t="n">
        <f aca="false">T259+U259+V259</f>
        <v>116922</v>
      </c>
      <c r="BT259" s="31" t="n">
        <f aca="false">Q259</f>
        <v>61194</v>
      </c>
      <c r="BU259" s="31" t="n">
        <f aca="false">W259</f>
        <v>61253</v>
      </c>
      <c r="BV259" s="31" t="n">
        <f aca="false">R259</f>
        <v>9322</v>
      </c>
      <c r="BW259" s="31" t="n">
        <f aca="false">X259</f>
        <v>9322</v>
      </c>
      <c r="BX259" s="31" t="n">
        <f aca="false">S259</f>
        <v>1356</v>
      </c>
      <c r="BY259" s="31" t="n">
        <f aca="false">Y259</f>
        <v>1357</v>
      </c>
      <c r="BZ259" s="32" t="n">
        <f aca="false">IF(BJ259=0,IF(BR259=0,0,1),(BR259-BJ259)/BJ259)</f>
        <v>1</v>
      </c>
      <c r="CA259" s="32" t="n">
        <f aca="false">IF(BK259=0,IF(BS259=0,0,1),(BS259-BK259)/BK259)</f>
        <v>1</v>
      </c>
      <c r="CB259" s="32" t="n">
        <f aca="false">IF(BL259=0,IF(BT259=0,0,1),(BT259-BL259)/BL259)</f>
        <v>1</v>
      </c>
      <c r="CC259" s="32" t="n">
        <f aca="false">IF(BM259=0,IF(BU259=0,0,1),(BU259-BM259)/BM259)</f>
        <v>1</v>
      </c>
      <c r="CD259" s="32" t="n">
        <f aca="false">IF(BN259=0,IF(BV259=0,0,1),(BV259-BN259)/BN259)</f>
        <v>1</v>
      </c>
      <c r="CE259" s="32" t="n">
        <f aca="false">IF(BO259=0,IF(BW259=0,0,1),(BW259-BO259)/BO259)</f>
        <v>1</v>
      </c>
      <c r="CF259" s="32" t="n">
        <f aca="false">IF(BP259=0,IF(BX259=0,0,1),(BX259-BP259)/BP259)</f>
        <v>1</v>
      </c>
      <c r="CG259" s="32" t="n">
        <f aca="false">IF(BQ259=0,IF(BY259=0,0,1),(BY259-BQ259)/BQ259)</f>
        <v>1</v>
      </c>
      <c r="CH259" s="32" t="n">
        <f aca="false">MAX(MAX(BZ259:CG259),-MIN(BZ259:CG259))</f>
        <v>1</v>
      </c>
      <c r="CI259" s="31" t="n">
        <f aca="false">IF(CO259="","",SUMIFS($CJ$7:$CJ$696,$A$7:$A$696,CO259,$B$7:$B$696,B259))</f>
        <v>377546</v>
      </c>
      <c r="CJ259" s="31" t="n">
        <f aca="false">SUM(AY259:BI259)</f>
        <v>377546</v>
      </c>
      <c r="CK259" s="31" t="str">
        <f aca="false">IFERROR(INDEX(設定!$F$61:$F$106,MATCH(B259,設定!$B$61:$B$106,0)),"Y")</f>
        <v>Y</v>
      </c>
      <c r="CL259" s="31" t="str">
        <f aca="false">IFERROR(INDEX(設定!$G$61:$G$106,MATCH(B259,設定!$B$61:$B$106,0)),"外郭型")</f>
        <v>外郭型</v>
      </c>
      <c r="CM259" s="33" t="str">
        <f aca="false">A259&amp;"|"&amp;B259</f>
        <v>2026-08 月例|救急振興財団</v>
      </c>
      <c r="CN259" s="34" t="str">
        <f aca="false">IFERROR(INDEX(設定!$D$61:$D$106,MATCH(B259,設定!$B$61:$B$106,0)),"Y")</f>
        <v>Y</v>
      </c>
      <c r="CO259" s="34" t="str">
        <f aca="false">IFERROR(INDEX(設定!$D$20:$D$34,MATCH(A259,設定!$A$20:$A$34,0))&amp;"","")</f>
        <v>2026-07 月例</v>
      </c>
    </row>
    <row r="260" customFormat="false" ht="15" hidden="true" customHeight="false" outlineLevel="0" collapsed="false">
      <c r="A260" s="22" t="s">
        <v>221</v>
      </c>
      <c r="B260" s="23" t="s">
        <v>192</v>
      </c>
      <c r="C260" s="10" t="str">
        <f aca="false">IF(G260="","未受領",IF(G260="なし","報告なし",IF(AL260="○","起票済",IF(OR(AK260="○",F260="一致",F260="入金不要"),"入金確認済","受領済"))))</f>
        <v>入金確認済</v>
      </c>
      <c r="D260" s="10" t="str">
        <f aca="false">IF(OR(G260="",G260="なし"),"―",IF(CN260="N","対象外",IF(AND(I260="",J260="",K260=""),"標報未入力",IF(CH260&gt;=設定!$B$4,"要確認","問題なし"))))</f>
        <v>標報未入力</v>
      </c>
      <c r="E260" s="24" t="str">
        <f aca="false">IF(OR(G260="",G260="なし",CI260="",CJ260=0),"―",IF(CJ260=CI260,"前月同額",IF(CI260=0,"―",IF(ABS(CJ260/CI260-1)&gt;=設定!$B$5,"変動大 "&amp;TEXT(CJ260/CI260-1,"+0%;-0%"),"〇"))))</f>
        <v>〇</v>
      </c>
      <c r="F260" s="10" t="str">
        <f aca="false">IF(OR(G260="",G260="なし"),"―",IF(CJ260=0,"入金不要",IF(COUNT(AD260,AF260,AH260,AJ260)=0,IF(AK260="○","手動確認","未入金"),IF(AND(N(AD260)=AC260,IF(AE260="",TRUE(),N(AF260)=AE260),IF(AG260="",TRUE(),N(AH260)=AG260),IF(AI260="",TRUE(),N(AJ260)=AI260)),"一致","不一致"))))</f>
        <v>手動確認</v>
      </c>
      <c r="G260" s="25" t="s">
        <v>167</v>
      </c>
      <c r="H260" s="26"/>
      <c r="I260" s="27"/>
      <c r="J260" s="27"/>
      <c r="K260" s="27"/>
      <c r="L260" s="27"/>
      <c r="M260" s="27"/>
      <c r="N260" s="27"/>
      <c r="O260" s="27" t="n">
        <v>793305</v>
      </c>
      <c r="P260" s="27" t="n">
        <v>65025</v>
      </c>
      <c r="Q260" s="27" t="n">
        <v>449619</v>
      </c>
      <c r="R260" s="27" t="n">
        <v>39816</v>
      </c>
      <c r="S260" s="27" t="n">
        <v>9966</v>
      </c>
      <c r="T260" s="27" t="n">
        <v>793304</v>
      </c>
      <c r="U260" s="27" t="n">
        <v>65024</v>
      </c>
      <c r="V260" s="27" t="n">
        <v>756</v>
      </c>
      <c r="W260" s="27" t="n">
        <v>450061</v>
      </c>
      <c r="X260" s="27" t="n">
        <v>39816</v>
      </c>
      <c r="Y260" s="27" t="n">
        <v>9969</v>
      </c>
      <c r="Z260" s="27"/>
      <c r="AA260" s="10" t="str">
        <f aca="false">IFERROR(INDEX(設定!$E$61:$E$106,MATCH(B260,設定!$B$61:$B$106,0)),"合算")</f>
        <v>合算</v>
      </c>
      <c r="AB260" s="28"/>
      <c r="AC260" s="29" t="n">
        <f aca="false">IF(OR(G260="",G260="なし"),"",IF(AA260="合算",CJ260+N(Z260),IF(AA260="掛金・負担金別",(AY260+AZ260+BD260+BF260+BH260),SUM(AY260:BC260))))</f>
        <v>2716661</v>
      </c>
      <c r="AD260" s="27"/>
      <c r="AE260" s="29" t="str">
        <f aca="false">IF(OR(G260="",G260="なし"),"",IF(AA260="掛金・負担金別",(BA260+BB260+BC260+BE260+BG260+BI260+N(Z260)),IF(AA260="経理区分別",BD260+BE260,"")))</f>
        <v/>
      </c>
      <c r="AF260" s="27"/>
      <c r="AG260" s="29" t="str">
        <f aca="false">IF(OR(G260="",G260="なし"),"",IF(AA260="経理区分別",BF260+BG260,""))</f>
        <v/>
      </c>
      <c r="AH260" s="27"/>
      <c r="AI260" s="29" t="str">
        <f aca="false">IF(OR(G260="",G260="なし"),"",IF(AA260="経理区分別",BH260+BI260+N(Z260),""))</f>
        <v/>
      </c>
      <c r="AJ260" s="27"/>
      <c r="AK260" s="26" t="s">
        <v>168</v>
      </c>
      <c r="AL260" s="26"/>
      <c r="AM260" s="30"/>
      <c r="AN260" s="31"/>
      <c r="AO260" s="31"/>
      <c r="AP260" s="31"/>
      <c r="AQ260" s="31"/>
      <c r="AR260" s="31"/>
      <c r="AS260" s="31"/>
      <c r="AT260" s="31"/>
      <c r="AU260" s="31"/>
      <c r="AV260" s="31"/>
      <c r="AW260" s="31"/>
      <c r="AX260" s="31"/>
      <c r="AY260" s="31" t="n">
        <f aca="false">IF($G260="",AN260,O260)</f>
        <v>793305</v>
      </c>
      <c r="AZ260" s="31" t="n">
        <f aca="false">IF($G260="",AO260,P260)</f>
        <v>65025</v>
      </c>
      <c r="BA260" s="31" t="n">
        <f aca="false">IF($G260="",AP260,T260)</f>
        <v>793304</v>
      </c>
      <c r="BB260" s="31" t="n">
        <f aca="false">IF($G260="",AQ260,U260)</f>
        <v>65024</v>
      </c>
      <c r="BC260" s="31" t="n">
        <f aca="false">IF($G260="",AR260,V260)</f>
        <v>756</v>
      </c>
      <c r="BD260" s="31" t="n">
        <f aca="false">IF($G260="",AS260,Q260)</f>
        <v>449619</v>
      </c>
      <c r="BE260" s="31" t="n">
        <f aca="false">IF($G260="",AT260,W260)</f>
        <v>450061</v>
      </c>
      <c r="BF260" s="31" t="n">
        <f aca="false">IF($G260="",AU260,R260)</f>
        <v>39816</v>
      </c>
      <c r="BG260" s="31" t="n">
        <f aca="false">IF($G260="",AV260,X260)</f>
        <v>39816</v>
      </c>
      <c r="BH260" s="31" t="n">
        <f aca="false">IF($G260="",AW260,S260)</f>
        <v>9966</v>
      </c>
      <c r="BI260" s="31" t="n">
        <f aca="false">IF($G260="",AX260,Y260)</f>
        <v>9969</v>
      </c>
      <c r="BJ260" s="31" t="n">
        <f aca="false">IF(CK260="N",BR260,ROUNDDOWN((I260-L260)*設定!$B$10/1000,0)+ROUNDDOWN((I260-L260)*設定!$B$11/1000,0))</f>
        <v>0</v>
      </c>
      <c r="BK260" s="31" t="n">
        <f aca="false">ROUNDDOWN((I260-L260)*設定!$C$10/1000,0)+ROUNDDOWN((I260-L260)*設定!$C$11/1000,0)+ROUNDDOWN(I260*設定!$C$12/1000,0)+IF(CL260="市局型",ROUNDDOWN(I260*設定!$C$16/1000,0),0)</f>
        <v>0</v>
      </c>
      <c r="BL260" s="31" t="n">
        <f aca="false">IF(CK260="N",BT260,ROUNDDOWN((J260-M260)*設定!$B$13/1000,0))</f>
        <v>0</v>
      </c>
      <c r="BM260" s="31" t="n">
        <f aca="false">ROUNDDOWN((J260-M260)*設定!$C$13/1000,0)+IF(CL260="市局型",ROUNDDOWN(J260*設定!$C$17/1000,0),0)</f>
        <v>0</v>
      </c>
      <c r="BN260" s="31" t="n">
        <f aca="false">IF(CK260="N",BV260,ROUNDDOWN((K260-N260)*設定!$B$14/1000,0))</f>
        <v>0</v>
      </c>
      <c r="BO260" s="31" t="n">
        <f aca="false">ROUNDDOWN((K260-N260)*設定!$C$14/1000,0)</f>
        <v>0</v>
      </c>
      <c r="BP260" s="31" t="n">
        <f aca="false">IF(CK260="N",BX260,ROUNDDOWN((J260-M260)*設定!$B$15/1000,0))</f>
        <v>0</v>
      </c>
      <c r="BQ260" s="31" t="n">
        <f aca="false">ROUNDDOWN((J260-M260)*設定!$C$15/1000,0)</f>
        <v>0</v>
      </c>
      <c r="BR260" s="31" t="n">
        <f aca="false">O260+P260</f>
        <v>858330</v>
      </c>
      <c r="BS260" s="31" t="n">
        <f aca="false">T260+U260+V260</f>
        <v>859084</v>
      </c>
      <c r="BT260" s="31" t="n">
        <f aca="false">Q260</f>
        <v>449619</v>
      </c>
      <c r="BU260" s="31" t="n">
        <f aca="false">W260</f>
        <v>450061</v>
      </c>
      <c r="BV260" s="31" t="n">
        <f aca="false">R260</f>
        <v>39816</v>
      </c>
      <c r="BW260" s="31" t="n">
        <f aca="false">X260</f>
        <v>39816</v>
      </c>
      <c r="BX260" s="31" t="n">
        <f aca="false">S260</f>
        <v>9966</v>
      </c>
      <c r="BY260" s="31" t="n">
        <f aca="false">Y260</f>
        <v>9969</v>
      </c>
      <c r="BZ260" s="32" t="n">
        <f aca="false">IF(BJ260=0,IF(BR260=0,0,1),(BR260-BJ260)/BJ260)</f>
        <v>1</v>
      </c>
      <c r="CA260" s="32" t="n">
        <f aca="false">IF(BK260=0,IF(BS260=0,0,1),(BS260-BK260)/BK260)</f>
        <v>1</v>
      </c>
      <c r="CB260" s="32" t="n">
        <f aca="false">IF(BL260=0,IF(BT260=0,0,1),(BT260-BL260)/BL260)</f>
        <v>1</v>
      </c>
      <c r="CC260" s="32" t="n">
        <f aca="false">IF(BM260=0,IF(BU260=0,0,1),(BU260-BM260)/BM260)</f>
        <v>1</v>
      </c>
      <c r="CD260" s="32" t="n">
        <f aca="false">IF(BN260=0,IF(BV260=0,0,1),(BV260-BN260)/BN260)</f>
        <v>1</v>
      </c>
      <c r="CE260" s="32" t="n">
        <f aca="false">IF(BO260=0,IF(BW260=0,0,1),(BW260-BO260)/BO260)</f>
        <v>1</v>
      </c>
      <c r="CF260" s="32" t="n">
        <f aca="false">IF(BP260=0,IF(BX260=0,0,1),(BX260-BP260)/BP260)</f>
        <v>1</v>
      </c>
      <c r="CG260" s="32" t="n">
        <f aca="false">IF(BQ260=0,IF(BY260=0,0,1),(BY260-BQ260)/BQ260)</f>
        <v>1</v>
      </c>
      <c r="CH260" s="32" t="n">
        <f aca="false">MAX(MAX(BZ260:CG260),-MIN(BZ260:CG260))</f>
        <v>1</v>
      </c>
      <c r="CI260" s="31" t="n">
        <f aca="false">IF(CO260="","",SUMIFS($CJ$7:$CJ$696,$A$7:$A$696,CO260,$B$7:$B$696,B260))</f>
        <v>2591992</v>
      </c>
      <c r="CJ260" s="31" t="n">
        <f aca="false">SUM(AY260:BI260)</f>
        <v>2716661</v>
      </c>
      <c r="CK260" s="31" t="str">
        <f aca="false">IFERROR(INDEX(設定!$F$61:$F$106,MATCH(B260,設定!$B$61:$B$106,0)),"Y")</f>
        <v>Y</v>
      </c>
      <c r="CL260" s="31" t="str">
        <f aca="false">IFERROR(INDEX(設定!$G$61:$G$106,MATCH(B260,設定!$B$61:$B$106,0)),"外郭型")</f>
        <v>外郭型</v>
      </c>
      <c r="CM260" s="33" t="str">
        <f aca="false">A260&amp;"|"&amp;B260</f>
        <v>2026-08 月例|高速道路公社</v>
      </c>
      <c r="CN260" s="34" t="str">
        <f aca="false">IFERROR(INDEX(設定!$D$61:$D$106,MATCH(B260,設定!$B$61:$B$106,0)),"Y")</f>
        <v>Y</v>
      </c>
      <c r="CO260" s="34" t="str">
        <f aca="false">IFERROR(INDEX(設定!$D$20:$D$34,MATCH(A260,設定!$A$20:$A$34,0))&amp;"","")</f>
        <v>2026-07 月例</v>
      </c>
    </row>
    <row r="261" customFormat="false" ht="15" hidden="true" customHeight="false" outlineLevel="0" collapsed="false">
      <c r="A261" s="22" t="s">
        <v>221</v>
      </c>
      <c r="B261" s="23" t="s">
        <v>193</v>
      </c>
      <c r="C261" s="10" t="str">
        <f aca="false">IF(G261="","未受領",IF(G261="なし","報告なし",IF(AL261="○","起票済",IF(OR(AK261="○",F261="一致",F261="入金不要"),"入金確認済","受領済"))))</f>
        <v>入金確認済</v>
      </c>
      <c r="D261" s="10" t="str">
        <f aca="false">IF(OR(G261="",G261="なし"),"―",IF(CN261="N","対象外",IF(AND(I261="",J261="",K261=""),"標報未入力",IF(CH261&gt;=設定!$B$4,"要確認","問題なし"))))</f>
        <v>標報未入力</v>
      </c>
      <c r="E261" s="24" t="str">
        <f aca="false">IF(OR(G261="",G261="なし",CI261="",CJ261=0),"―",IF(CJ261=CI261,"前月同額",IF(CI261=0,"―",IF(ABS(CJ261/CI261-1)&gt;=設定!$B$5,"変動大 "&amp;TEXT(CJ261/CI261-1,"+0%;-0%"),"〇"))))</f>
        <v>前月同額</v>
      </c>
      <c r="F261" s="10" t="str">
        <f aca="false">IF(OR(G261="",G261="なし"),"―",IF(CJ261=0,"入金不要",IF(COUNT(AD261,AF261,AH261,AJ261)=0,IF(AK261="○","手動確認","未入金"),IF(AND(N(AD261)=AC261,IF(AE261="",TRUE(),N(AF261)=AE261),IF(AG261="",TRUE(),N(AH261)=AG261),IF(AI261="",TRUE(),N(AJ261)=AI261)),"一致","不一致"))))</f>
        <v>手動確認</v>
      </c>
      <c r="G261" s="25" t="s">
        <v>167</v>
      </c>
      <c r="H261" s="26"/>
      <c r="I261" s="27"/>
      <c r="J261" s="27"/>
      <c r="K261" s="27"/>
      <c r="L261" s="27"/>
      <c r="M261" s="27"/>
      <c r="N261" s="27"/>
      <c r="O261" s="27"/>
      <c r="P261" s="27"/>
      <c r="Q261" s="27"/>
      <c r="R261" s="27"/>
      <c r="S261" s="27"/>
      <c r="T261" s="27" t="n">
        <v>582855</v>
      </c>
      <c r="U261" s="27" t="n">
        <v>47775</v>
      </c>
      <c r="V261" s="27" t="n">
        <v>579</v>
      </c>
      <c r="W261" s="27" t="n">
        <v>330681</v>
      </c>
      <c r="X261" s="27" t="n">
        <v>28203</v>
      </c>
      <c r="Y261" s="27" t="n">
        <v>7324</v>
      </c>
      <c r="Z261" s="27"/>
      <c r="AA261" s="10" t="str">
        <f aca="false">IFERROR(INDEX(設定!$E$61:$E$106,MATCH(B261,設定!$B$61:$B$106,0)),"合算")</f>
        <v>合算</v>
      </c>
      <c r="AB261" s="28"/>
      <c r="AC261" s="29" t="n">
        <f aca="false">IF(OR(G261="",G261="なし"),"",IF(AA261="合算",CJ261+N(Z261),IF(AA261="掛金・負担金別",(AY261+AZ261+BD261+BF261+BH261),SUM(AY261:BC261))))</f>
        <v>997417</v>
      </c>
      <c r="AD261" s="27"/>
      <c r="AE261" s="29" t="str">
        <f aca="false">IF(OR(G261="",G261="なし"),"",IF(AA261="掛金・負担金別",(BA261+BB261+BC261+BE261+BG261+BI261+N(Z261)),IF(AA261="経理区分別",BD261+BE261,"")))</f>
        <v/>
      </c>
      <c r="AF261" s="27"/>
      <c r="AG261" s="29" t="str">
        <f aca="false">IF(OR(G261="",G261="なし"),"",IF(AA261="経理区分別",BF261+BG261,""))</f>
        <v/>
      </c>
      <c r="AH261" s="27"/>
      <c r="AI261" s="29" t="str">
        <f aca="false">IF(OR(G261="",G261="なし"),"",IF(AA261="経理区分別",BH261+BI261+N(Z261),""))</f>
        <v/>
      </c>
      <c r="AJ261" s="27"/>
      <c r="AK261" s="26" t="s">
        <v>168</v>
      </c>
      <c r="AL261" s="26"/>
      <c r="AM261" s="30"/>
      <c r="AN261" s="31"/>
      <c r="AO261" s="31"/>
      <c r="AP261" s="31"/>
      <c r="AQ261" s="31"/>
      <c r="AR261" s="31"/>
      <c r="AS261" s="31"/>
      <c r="AT261" s="31"/>
      <c r="AU261" s="31"/>
      <c r="AV261" s="31"/>
      <c r="AW261" s="31"/>
      <c r="AX261" s="31"/>
      <c r="AY261" s="31" t="n">
        <f aca="false">IF($G261="",AN261,O261)</f>
        <v>0</v>
      </c>
      <c r="AZ261" s="31" t="n">
        <f aca="false">IF($G261="",AO261,P261)</f>
        <v>0</v>
      </c>
      <c r="BA261" s="31" t="n">
        <f aca="false">IF($G261="",AP261,T261)</f>
        <v>582855</v>
      </c>
      <c r="BB261" s="31" t="n">
        <f aca="false">IF($G261="",AQ261,U261)</f>
        <v>47775</v>
      </c>
      <c r="BC261" s="31" t="n">
        <f aca="false">IF($G261="",AR261,V261)</f>
        <v>579</v>
      </c>
      <c r="BD261" s="31" t="n">
        <f aca="false">IF($G261="",AS261,Q261)</f>
        <v>0</v>
      </c>
      <c r="BE261" s="31" t="n">
        <f aca="false">IF($G261="",AT261,W261)</f>
        <v>330681</v>
      </c>
      <c r="BF261" s="31" t="n">
        <f aca="false">IF($G261="",AU261,R261)</f>
        <v>0</v>
      </c>
      <c r="BG261" s="31" t="n">
        <f aca="false">IF($G261="",AV261,X261)</f>
        <v>28203</v>
      </c>
      <c r="BH261" s="31" t="n">
        <f aca="false">IF($G261="",AW261,S261)</f>
        <v>0</v>
      </c>
      <c r="BI261" s="31" t="n">
        <f aca="false">IF($G261="",AX261,Y261)</f>
        <v>7324</v>
      </c>
      <c r="BJ261" s="31" t="n">
        <f aca="false">IF(CK261="N",BR261,ROUNDDOWN((I261-L261)*設定!$B$10/1000,0)+ROUNDDOWN((I261-L261)*設定!$B$11/1000,0))</f>
        <v>0</v>
      </c>
      <c r="BK261" s="31" t="n">
        <f aca="false">ROUNDDOWN((I261-L261)*設定!$C$10/1000,0)+ROUNDDOWN((I261-L261)*設定!$C$11/1000,0)+ROUNDDOWN(I261*設定!$C$12/1000,0)+IF(CL261="市局型",ROUNDDOWN(I261*設定!$C$16/1000,0),0)</f>
        <v>0</v>
      </c>
      <c r="BL261" s="31" t="n">
        <f aca="false">IF(CK261="N",BT261,ROUNDDOWN((J261-M261)*設定!$B$13/1000,0))</f>
        <v>0</v>
      </c>
      <c r="BM261" s="31" t="n">
        <f aca="false">ROUNDDOWN((J261-M261)*設定!$C$13/1000,0)+IF(CL261="市局型",ROUNDDOWN(J261*設定!$C$17/1000,0),0)</f>
        <v>0</v>
      </c>
      <c r="BN261" s="31" t="n">
        <f aca="false">IF(CK261="N",BV261,ROUNDDOWN((K261-N261)*設定!$B$14/1000,0))</f>
        <v>0</v>
      </c>
      <c r="BO261" s="31" t="n">
        <f aca="false">ROUNDDOWN((K261-N261)*設定!$C$14/1000,0)</f>
        <v>0</v>
      </c>
      <c r="BP261" s="31" t="n">
        <f aca="false">IF(CK261="N",BX261,ROUNDDOWN((J261-M261)*設定!$B$15/1000,0))</f>
        <v>0</v>
      </c>
      <c r="BQ261" s="31" t="n">
        <f aca="false">ROUNDDOWN((J261-M261)*設定!$C$15/1000,0)</f>
        <v>0</v>
      </c>
      <c r="BR261" s="31" t="n">
        <f aca="false">O261+P261</f>
        <v>0</v>
      </c>
      <c r="BS261" s="31" t="n">
        <f aca="false">T261+U261+V261</f>
        <v>631209</v>
      </c>
      <c r="BT261" s="31" t="n">
        <f aca="false">Q261</f>
        <v>0</v>
      </c>
      <c r="BU261" s="31" t="n">
        <f aca="false">W261</f>
        <v>330681</v>
      </c>
      <c r="BV261" s="31" t="n">
        <f aca="false">R261</f>
        <v>0</v>
      </c>
      <c r="BW261" s="31" t="n">
        <f aca="false">X261</f>
        <v>28203</v>
      </c>
      <c r="BX261" s="31" t="n">
        <f aca="false">S261</f>
        <v>0</v>
      </c>
      <c r="BY261" s="31" t="n">
        <f aca="false">Y261</f>
        <v>7324</v>
      </c>
      <c r="BZ261" s="32" t="n">
        <f aca="false">IF(BJ261=0,IF(BR261=0,0,1),(BR261-BJ261)/BJ261)</f>
        <v>0</v>
      </c>
      <c r="CA261" s="32" t="n">
        <f aca="false">IF(BK261=0,IF(BS261=0,0,1),(BS261-BK261)/BK261)</f>
        <v>1</v>
      </c>
      <c r="CB261" s="32" t="n">
        <f aca="false">IF(BL261=0,IF(BT261=0,0,1),(BT261-BL261)/BL261)</f>
        <v>0</v>
      </c>
      <c r="CC261" s="32" t="n">
        <f aca="false">IF(BM261=0,IF(BU261=0,0,1),(BU261-BM261)/BM261)</f>
        <v>1</v>
      </c>
      <c r="CD261" s="32" t="n">
        <f aca="false">IF(BN261=0,IF(BV261=0,0,1),(BV261-BN261)/BN261)</f>
        <v>0</v>
      </c>
      <c r="CE261" s="32" t="n">
        <f aca="false">IF(BO261=0,IF(BW261=0,0,1),(BW261-BO261)/BO261)</f>
        <v>1</v>
      </c>
      <c r="CF261" s="32" t="n">
        <f aca="false">IF(BP261=0,IF(BX261=0,0,1),(BX261-BP261)/BP261)</f>
        <v>0</v>
      </c>
      <c r="CG261" s="32" t="n">
        <f aca="false">IF(BQ261=0,IF(BY261=0,0,1),(BY261-BQ261)/BQ261)</f>
        <v>1</v>
      </c>
      <c r="CH261" s="32" t="n">
        <f aca="false">MAX(MAX(BZ261:CG261),-MIN(BZ261:CG261))</f>
        <v>1</v>
      </c>
      <c r="CI261" s="31" t="n">
        <f aca="false">IF(CO261="","",SUMIFS($CJ$7:$CJ$696,$A$7:$A$696,CO261,$B$7:$B$696,B261))</f>
        <v>997417</v>
      </c>
      <c r="CJ261" s="31" t="n">
        <f aca="false">SUM(AY261:BI261)</f>
        <v>997417</v>
      </c>
      <c r="CK261" s="31" t="str">
        <f aca="false">IFERROR(INDEX(設定!$F$61:$F$106,MATCH(B261,設定!$B$61:$B$106,0)),"Y")</f>
        <v>N</v>
      </c>
      <c r="CL261" s="31" t="str">
        <f aca="false">IFERROR(INDEX(設定!$G$61:$G$106,MATCH(B261,設定!$B$61:$B$106,0)),"外郭型")</f>
        <v>外郭型</v>
      </c>
      <c r="CM261" s="33" t="str">
        <f aca="false">A261&amp;"|"&amp;B261</f>
        <v>2026-08 月例|農林水産振興センタ</v>
      </c>
      <c r="CN261" s="34" t="str">
        <f aca="false">IFERROR(INDEX(設定!$D$61:$D$106,MATCH(B261,設定!$B$61:$B$106,0)),"Y")</f>
        <v>Y</v>
      </c>
      <c r="CO261" s="34" t="str">
        <f aca="false">IFERROR(INDEX(設定!$D$20:$D$34,MATCH(A261,設定!$A$20:$A$34,0))&amp;"","")</f>
        <v>2026-07 月例</v>
      </c>
    </row>
    <row r="262" customFormat="false" ht="15" hidden="true" customHeight="false" outlineLevel="0" collapsed="false">
      <c r="A262" s="22" t="s">
        <v>221</v>
      </c>
      <c r="B262" s="23" t="s">
        <v>194</v>
      </c>
      <c r="C262" s="10" t="str">
        <f aca="false">IF(G262="","未受領",IF(G262="なし","報告なし",IF(AL262="○","起票済",IF(OR(AK262="○",F262="一致",F262="入金不要"),"入金確認済","受領済"))))</f>
        <v>入金確認済</v>
      </c>
      <c r="D262" s="10" t="str">
        <f aca="false">IF(OR(G262="",G262="なし"),"―",IF(CN262="N","対象外",IF(AND(I262="",J262="",K262=""),"標報未入力",IF(CH262&gt;=設定!$B$4,"要確認","問題なし"))))</f>
        <v>標報未入力</v>
      </c>
      <c r="E262" s="24" t="str">
        <f aca="false">IF(OR(G262="",G262="なし",CI262="",CJ262=0),"―",IF(CJ262=CI262,"前月同額",IF(CI262=0,"―",IF(ABS(CJ262/CI262-1)&gt;=設定!$B$5,"変動大 "&amp;TEXT(CJ262/CI262-1,"+0%;-0%"),"〇"))))</f>
        <v>〇</v>
      </c>
      <c r="F262" s="10" t="str">
        <f aca="false">IF(OR(G262="",G262="なし"),"―",IF(CJ262=0,"入金不要",IF(COUNT(AD262,AF262,AH262,AJ262)=0,IF(AK262="○","手動確認","未入金"),IF(AND(N(AD262)=AC262,IF(AE262="",TRUE(),N(AF262)=AE262),IF(AG262="",TRUE(),N(AH262)=AG262),IF(AI262="",TRUE(),N(AJ262)=AI262)),"一致","不一致"))))</f>
        <v>手動確認</v>
      </c>
      <c r="G262" s="25" t="s">
        <v>167</v>
      </c>
      <c r="H262" s="26"/>
      <c r="I262" s="27"/>
      <c r="J262" s="27"/>
      <c r="K262" s="27"/>
      <c r="L262" s="27"/>
      <c r="M262" s="27"/>
      <c r="N262" s="27"/>
      <c r="O262" s="27"/>
      <c r="P262" s="27"/>
      <c r="Q262" s="27"/>
      <c r="R262" s="27"/>
      <c r="S262" s="27"/>
      <c r="T262" s="27" t="n">
        <v>1056825</v>
      </c>
      <c r="U262" s="27" t="n">
        <v>86625</v>
      </c>
      <c r="V262" s="27" t="n">
        <v>1000</v>
      </c>
      <c r="W262" s="27" t="n">
        <v>599038</v>
      </c>
      <c r="X262" s="27" t="n">
        <v>85794</v>
      </c>
      <c r="Y262" s="27" t="n">
        <v>13270</v>
      </c>
      <c r="Z262" s="27"/>
      <c r="AA262" s="10" t="str">
        <f aca="false">IFERROR(INDEX(設定!$E$61:$E$106,MATCH(B262,設定!$B$61:$B$106,0)),"合算")</f>
        <v>合算</v>
      </c>
      <c r="AB262" s="28"/>
      <c r="AC262" s="29" t="n">
        <f aca="false">IF(OR(G262="",G262="なし"),"",IF(AA262="合算",CJ262+N(Z262),IF(AA262="掛金・負担金別",(AY262+AZ262+BD262+BF262+BH262),SUM(AY262:BC262))))</f>
        <v>1842552</v>
      </c>
      <c r="AD262" s="27"/>
      <c r="AE262" s="29" t="str">
        <f aca="false">IF(OR(G262="",G262="なし"),"",IF(AA262="掛金・負担金別",(BA262+BB262+BC262+BE262+BG262+BI262+N(Z262)),IF(AA262="経理区分別",BD262+BE262,"")))</f>
        <v/>
      </c>
      <c r="AF262" s="27"/>
      <c r="AG262" s="29" t="str">
        <f aca="false">IF(OR(G262="",G262="なし"),"",IF(AA262="経理区分別",BF262+BG262,""))</f>
        <v/>
      </c>
      <c r="AH262" s="27"/>
      <c r="AI262" s="29" t="str">
        <f aca="false">IF(OR(G262="",G262="なし"),"",IF(AA262="経理区分別",BH262+BI262+N(Z262),""))</f>
        <v/>
      </c>
      <c r="AJ262" s="27"/>
      <c r="AK262" s="26" t="s">
        <v>168</v>
      </c>
      <c r="AL262" s="26"/>
      <c r="AM262" s="30"/>
      <c r="AN262" s="31"/>
      <c r="AO262" s="31"/>
      <c r="AP262" s="31"/>
      <c r="AQ262" s="31"/>
      <c r="AR262" s="31"/>
      <c r="AS262" s="31"/>
      <c r="AT262" s="31"/>
      <c r="AU262" s="31"/>
      <c r="AV262" s="31"/>
      <c r="AW262" s="31"/>
      <c r="AX262" s="31"/>
      <c r="AY262" s="31" t="n">
        <f aca="false">IF($G262="",AN262,O262)</f>
        <v>0</v>
      </c>
      <c r="AZ262" s="31" t="n">
        <f aca="false">IF($G262="",AO262,P262)</f>
        <v>0</v>
      </c>
      <c r="BA262" s="31" t="n">
        <f aca="false">IF($G262="",AP262,T262)</f>
        <v>1056825</v>
      </c>
      <c r="BB262" s="31" t="n">
        <f aca="false">IF($G262="",AQ262,U262)</f>
        <v>86625</v>
      </c>
      <c r="BC262" s="31" t="n">
        <f aca="false">IF($G262="",AR262,V262)</f>
        <v>1000</v>
      </c>
      <c r="BD262" s="31" t="n">
        <f aca="false">IF($G262="",AS262,Q262)</f>
        <v>0</v>
      </c>
      <c r="BE262" s="31" t="n">
        <f aca="false">IF($G262="",AT262,W262)</f>
        <v>599038</v>
      </c>
      <c r="BF262" s="31" t="n">
        <f aca="false">IF($G262="",AU262,R262)</f>
        <v>0</v>
      </c>
      <c r="BG262" s="31" t="n">
        <f aca="false">IF($G262="",AV262,X262)</f>
        <v>85794</v>
      </c>
      <c r="BH262" s="31" t="n">
        <f aca="false">IF($G262="",AW262,S262)</f>
        <v>0</v>
      </c>
      <c r="BI262" s="31" t="n">
        <f aca="false">IF($G262="",AX262,Y262)</f>
        <v>13270</v>
      </c>
      <c r="BJ262" s="31" t="n">
        <f aca="false">IF(CK262="N",BR262,ROUNDDOWN((I262-L262)*設定!$B$10/1000,0)+ROUNDDOWN((I262-L262)*設定!$B$11/1000,0))</f>
        <v>0</v>
      </c>
      <c r="BK262" s="31" t="n">
        <f aca="false">ROUNDDOWN((I262-L262)*設定!$C$10/1000,0)+ROUNDDOWN((I262-L262)*設定!$C$11/1000,0)+ROUNDDOWN(I262*設定!$C$12/1000,0)+IF(CL262="市局型",ROUNDDOWN(I262*設定!$C$16/1000,0),0)</f>
        <v>0</v>
      </c>
      <c r="BL262" s="31" t="n">
        <f aca="false">IF(CK262="N",BT262,ROUNDDOWN((J262-M262)*設定!$B$13/1000,0))</f>
        <v>0</v>
      </c>
      <c r="BM262" s="31" t="n">
        <f aca="false">ROUNDDOWN((J262-M262)*設定!$C$13/1000,0)+IF(CL262="市局型",ROUNDDOWN(J262*設定!$C$17/1000,0),0)</f>
        <v>0</v>
      </c>
      <c r="BN262" s="31" t="n">
        <f aca="false">IF(CK262="N",BV262,ROUNDDOWN((K262-N262)*設定!$B$14/1000,0))</f>
        <v>0</v>
      </c>
      <c r="BO262" s="31" t="n">
        <f aca="false">ROUNDDOWN((K262-N262)*設定!$C$14/1000,0)</f>
        <v>0</v>
      </c>
      <c r="BP262" s="31" t="n">
        <f aca="false">IF(CK262="N",BX262,ROUNDDOWN((J262-M262)*設定!$B$15/1000,0))</f>
        <v>0</v>
      </c>
      <c r="BQ262" s="31" t="n">
        <f aca="false">ROUNDDOWN((J262-M262)*設定!$C$15/1000,0)</f>
        <v>0</v>
      </c>
      <c r="BR262" s="31" t="n">
        <f aca="false">O262+P262</f>
        <v>0</v>
      </c>
      <c r="BS262" s="31" t="n">
        <f aca="false">T262+U262+V262</f>
        <v>1144450</v>
      </c>
      <c r="BT262" s="31" t="n">
        <f aca="false">Q262</f>
        <v>0</v>
      </c>
      <c r="BU262" s="31" t="n">
        <f aca="false">W262</f>
        <v>599038</v>
      </c>
      <c r="BV262" s="31" t="n">
        <f aca="false">R262</f>
        <v>0</v>
      </c>
      <c r="BW262" s="31" t="n">
        <f aca="false">X262</f>
        <v>85794</v>
      </c>
      <c r="BX262" s="31" t="n">
        <f aca="false">S262</f>
        <v>0</v>
      </c>
      <c r="BY262" s="31" t="n">
        <f aca="false">Y262</f>
        <v>13270</v>
      </c>
      <c r="BZ262" s="32" t="n">
        <f aca="false">IF(BJ262=0,IF(BR262=0,0,1),(BR262-BJ262)/BJ262)</f>
        <v>0</v>
      </c>
      <c r="CA262" s="32" t="n">
        <f aca="false">IF(BK262=0,IF(BS262=0,0,1),(BS262-BK262)/BK262)</f>
        <v>1</v>
      </c>
      <c r="CB262" s="32" t="n">
        <f aca="false">IF(BL262=0,IF(BT262=0,0,1),(BT262-BL262)/BL262)</f>
        <v>0</v>
      </c>
      <c r="CC262" s="32" t="n">
        <f aca="false">IF(BM262=0,IF(BU262=0,0,1),(BU262-BM262)/BM262)</f>
        <v>1</v>
      </c>
      <c r="CD262" s="32" t="n">
        <f aca="false">IF(BN262=0,IF(BV262=0,0,1),(BV262-BN262)/BN262)</f>
        <v>0</v>
      </c>
      <c r="CE262" s="32" t="n">
        <f aca="false">IF(BO262=0,IF(BW262=0,0,1),(BW262-BO262)/BO262)</f>
        <v>1</v>
      </c>
      <c r="CF262" s="32" t="n">
        <f aca="false">IF(BP262=0,IF(BX262=0,0,1),(BX262-BP262)/BP262)</f>
        <v>0</v>
      </c>
      <c r="CG262" s="32" t="n">
        <f aca="false">IF(BQ262=0,IF(BY262=0,0,1),(BY262-BQ262)/BQ262)</f>
        <v>1</v>
      </c>
      <c r="CH262" s="32" t="n">
        <f aca="false">MAX(MAX(BZ262:CG262),-MIN(BZ262:CG262))</f>
        <v>1</v>
      </c>
      <c r="CI262" s="31" t="n">
        <f aca="false">IF(CO262="","",SUMIFS($CJ$7:$CJ$696,$A$7:$A$696,CO262,$B$7:$B$696,B262))</f>
        <v>1851086</v>
      </c>
      <c r="CJ262" s="31" t="n">
        <f aca="false">SUM(AY262:BI262)</f>
        <v>1842552</v>
      </c>
      <c r="CK262" s="31" t="str">
        <f aca="false">IFERROR(INDEX(設定!$F$61:$F$106,MATCH(B262,設定!$B$61:$B$106,0)),"Y")</f>
        <v>N</v>
      </c>
      <c r="CL262" s="31" t="str">
        <f aca="false">IFERROR(INDEX(設定!$G$61:$G$106,MATCH(B262,設定!$B$61:$B$106,0)),"外郭型")</f>
        <v>外郭型</v>
      </c>
      <c r="CM262" s="33" t="str">
        <f aca="false">A262&amp;"|"&amp;B262</f>
        <v>2026-08 月例|文化財団　市長部局</v>
      </c>
      <c r="CN262" s="34" t="str">
        <f aca="false">IFERROR(INDEX(設定!$D$61:$D$106,MATCH(B262,設定!$B$61:$B$106,0)),"Y")</f>
        <v>Y</v>
      </c>
      <c r="CO262" s="34" t="str">
        <f aca="false">IFERROR(INDEX(設定!$D$20:$D$34,MATCH(A262,設定!$A$20:$A$34,0))&amp;"","")</f>
        <v>2026-07 月例</v>
      </c>
    </row>
    <row r="263" customFormat="false" ht="15" hidden="true" customHeight="false" outlineLevel="0" collapsed="false">
      <c r="A263" s="22" t="s">
        <v>221</v>
      </c>
      <c r="B263" s="23" t="s">
        <v>195</v>
      </c>
      <c r="C263" s="10" t="str">
        <f aca="false">IF(G263="","未受領",IF(G263="なし","報告なし",IF(AL263="○","起票済",IF(OR(AK263="○",F263="一致",F263="入金不要"),"入金確認済","受領済"))))</f>
        <v>入金確認済</v>
      </c>
      <c r="D263" s="10" t="str">
        <f aca="false">IF(OR(G263="",G263="なし"),"―",IF(CN263="N","対象外",IF(AND(I263="",J263="",K263=""),"標報未入力",IF(CH263&gt;=設定!$B$4,"要確認","問題なし"))))</f>
        <v>標報未入力</v>
      </c>
      <c r="E263" s="24" t="str">
        <f aca="false">IF(OR(G263="",G263="なし",CI263="",CJ263=0),"―",IF(CJ263=CI263,"前月同額",IF(CI263=0,"―",IF(ABS(CJ263/CI263-1)&gt;=設定!$B$5,"変動大 "&amp;TEXT(CJ263/CI263-1,"+0%;-0%"),"〇"))))</f>
        <v>―</v>
      </c>
      <c r="F263" s="10" t="str">
        <f aca="false">IF(OR(G263="",G263="なし"),"―",IF(CJ263=0,"入金不要",IF(COUNT(AD263,AF263,AH263,AJ263)=0,IF(AK263="○","手動確認","未入金"),IF(AND(N(AD263)=AC263,IF(AE263="",TRUE(),N(AF263)=AE263),IF(AG263="",TRUE(),N(AH263)=AG263),IF(AI263="",TRUE(),N(AJ263)=AI263)),"一致","不一致"))))</f>
        <v>入金不要</v>
      </c>
      <c r="G263" s="25" t="s">
        <v>167</v>
      </c>
      <c r="H263" s="26"/>
      <c r="I263" s="27"/>
      <c r="J263" s="27"/>
      <c r="K263" s="27"/>
      <c r="L263" s="27"/>
      <c r="M263" s="27"/>
      <c r="N263" s="27"/>
      <c r="O263" s="27"/>
      <c r="P263" s="27"/>
      <c r="Q263" s="27"/>
      <c r="R263" s="27"/>
      <c r="S263" s="27"/>
      <c r="T263" s="27" t="n">
        <v>0</v>
      </c>
      <c r="U263" s="27" t="n">
        <v>0</v>
      </c>
      <c r="V263" s="27" t="n">
        <v>0</v>
      </c>
      <c r="W263" s="27" t="n">
        <v>0</v>
      </c>
      <c r="X263" s="27" t="n">
        <v>0</v>
      </c>
      <c r="Y263" s="27" t="n">
        <v>0</v>
      </c>
      <c r="Z263" s="27"/>
      <c r="AA263" s="10" t="str">
        <f aca="false">IFERROR(INDEX(設定!$E$61:$E$106,MATCH(B263,設定!$B$61:$B$106,0)),"合算")</f>
        <v>合算</v>
      </c>
      <c r="AB263" s="28"/>
      <c r="AC263" s="29" t="n">
        <f aca="false">IF(OR(G263="",G263="なし"),"",IF(AA263="合算",CJ263+N(Z263),IF(AA263="掛金・負担金別",(AY263+AZ263+BD263+BF263+BH263),SUM(AY263:BC263))))</f>
        <v>0</v>
      </c>
      <c r="AD263" s="27"/>
      <c r="AE263" s="29" t="str">
        <f aca="false">IF(OR(G263="",G263="なし"),"",IF(AA263="掛金・負担金別",(BA263+BB263+BC263+BE263+BG263+BI263+N(Z263)),IF(AA263="経理区分別",BD263+BE263,"")))</f>
        <v/>
      </c>
      <c r="AF263" s="27"/>
      <c r="AG263" s="29" t="str">
        <f aca="false">IF(OR(G263="",G263="なし"),"",IF(AA263="経理区分別",BF263+BG263,""))</f>
        <v/>
      </c>
      <c r="AH263" s="27"/>
      <c r="AI263" s="29" t="str">
        <f aca="false">IF(OR(G263="",G263="なし"),"",IF(AA263="経理区分別",BH263+BI263+N(Z263),""))</f>
        <v/>
      </c>
      <c r="AJ263" s="27"/>
      <c r="AK263" s="26" t="s">
        <v>168</v>
      </c>
      <c r="AL263" s="26"/>
      <c r="AM263" s="30"/>
      <c r="AN263" s="31"/>
      <c r="AO263" s="31"/>
      <c r="AP263" s="31"/>
      <c r="AQ263" s="31"/>
      <c r="AR263" s="31"/>
      <c r="AS263" s="31"/>
      <c r="AT263" s="31"/>
      <c r="AU263" s="31"/>
      <c r="AV263" s="31"/>
      <c r="AW263" s="31"/>
      <c r="AX263" s="31"/>
      <c r="AY263" s="31" t="n">
        <f aca="false">IF($G263="",AN263,O263)</f>
        <v>0</v>
      </c>
      <c r="AZ263" s="31" t="n">
        <f aca="false">IF($G263="",AO263,P263)</f>
        <v>0</v>
      </c>
      <c r="BA263" s="31" t="n">
        <f aca="false">IF($G263="",AP263,T263)</f>
        <v>0</v>
      </c>
      <c r="BB263" s="31" t="n">
        <f aca="false">IF($G263="",AQ263,U263)</f>
        <v>0</v>
      </c>
      <c r="BC263" s="31" t="n">
        <f aca="false">IF($G263="",AR263,V263)</f>
        <v>0</v>
      </c>
      <c r="BD263" s="31" t="n">
        <f aca="false">IF($G263="",AS263,Q263)</f>
        <v>0</v>
      </c>
      <c r="BE263" s="31" t="n">
        <f aca="false">IF($G263="",AT263,W263)</f>
        <v>0</v>
      </c>
      <c r="BF263" s="31" t="n">
        <f aca="false">IF($G263="",AU263,R263)</f>
        <v>0</v>
      </c>
      <c r="BG263" s="31" t="n">
        <f aca="false">IF($G263="",AV263,X263)</f>
        <v>0</v>
      </c>
      <c r="BH263" s="31" t="n">
        <f aca="false">IF($G263="",AW263,S263)</f>
        <v>0</v>
      </c>
      <c r="BI263" s="31" t="n">
        <f aca="false">IF($G263="",AX263,Y263)</f>
        <v>0</v>
      </c>
      <c r="BJ263" s="31" t="n">
        <f aca="false">IF(CK263="N",BR263,ROUNDDOWN((I263-L263)*設定!$B$10/1000,0)+ROUNDDOWN((I263-L263)*設定!$B$11/1000,0))</f>
        <v>0</v>
      </c>
      <c r="BK263" s="31" t="n">
        <f aca="false">ROUNDDOWN((I263-L263)*設定!$C$10/1000,0)+ROUNDDOWN((I263-L263)*設定!$C$11/1000,0)+ROUNDDOWN(I263*設定!$C$12/1000,0)+IF(CL263="市局型",ROUNDDOWN(I263*設定!$C$16/1000,0),0)</f>
        <v>0</v>
      </c>
      <c r="BL263" s="31" t="n">
        <f aca="false">IF(CK263="N",BT263,ROUNDDOWN((J263-M263)*設定!$B$13/1000,0))</f>
        <v>0</v>
      </c>
      <c r="BM263" s="31" t="n">
        <f aca="false">ROUNDDOWN((J263-M263)*設定!$C$13/1000,0)+IF(CL263="市局型",ROUNDDOWN(J263*設定!$C$17/1000,0),0)</f>
        <v>0</v>
      </c>
      <c r="BN263" s="31" t="n">
        <f aca="false">IF(CK263="N",BV263,ROUNDDOWN((K263-N263)*設定!$B$14/1000,0))</f>
        <v>0</v>
      </c>
      <c r="BO263" s="31" t="n">
        <f aca="false">ROUNDDOWN((K263-N263)*設定!$C$14/1000,0)</f>
        <v>0</v>
      </c>
      <c r="BP263" s="31" t="n">
        <f aca="false">IF(CK263="N",BX263,ROUNDDOWN((J263-M263)*設定!$B$15/1000,0))</f>
        <v>0</v>
      </c>
      <c r="BQ263" s="31" t="n">
        <f aca="false">ROUNDDOWN((J263-M263)*設定!$C$15/1000,0)</f>
        <v>0</v>
      </c>
      <c r="BR263" s="31" t="n">
        <f aca="false">O263+P263</f>
        <v>0</v>
      </c>
      <c r="BS263" s="31" t="n">
        <f aca="false">T263+U263+V263</f>
        <v>0</v>
      </c>
      <c r="BT263" s="31" t="n">
        <f aca="false">Q263</f>
        <v>0</v>
      </c>
      <c r="BU263" s="31" t="n">
        <f aca="false">W263</f>
        <v>0</v>
      </c>
      <c r="BV263" s="31" t="n">
        <f aca="false">R263</f>
        <v>0</v>
      </c>
      <c r="BW263" s="31" t="n">
        <f aca="false">X263</f>
        <v>0</v>
      </c>
      <c r="BX263" s="31" t="n">
        <f aca="false">S263</f>
        <v>0</v>
      </c>
      <c r="BY263" s="31" t="n">
        <f aca="false">Y263</f>
        <v>0</v>
      </c>
      <c r="BZ263" s="32" t="n">
        <f aca="false">IF(BJ263=0,IF(BR263=0,0,1),(BR263-BJ263)/BJ263)</f>
        <v>0</v>
      </c>
      <c r="CA263" s="32" t="n">
        <f aca="false">IF(BK263=0,IF(BS263=0,0,1),(BS263-BK263)/BK263)</f>
        <v>0</v>
      </c>
      <c r="CB263" s="32" t="n">
        <f aca="false">IF(BL263=0,IF(BT263=0,0,1),(BT263-BL263)/BL263)</f>
        <v>0</v>
      </c>
      <c r="CC263" s="32" t="n">
        <f aca="false">IF(BM263=0,IF(BU263=0,0,1),(BU263-BM263)/BM263)</f>
        <v>0</v>
      </c>
      <c r="CD263" s="32" t="n">
        <f aca="false">IF(BN263=0,IF(BV263=0,0,1),(BV263-BN263)/BN263)</f>
        <v>0</v>
      </c>
      <c r="CE263" s="32" t="n">
        <f aca="false">IF(BO263=0,IF(BW263=0,0,1),(BW263-BO263)/BO263)</f>
        <v>0</v>
      </c>
      <c r="CF263" s="32" t="n">
        <f aca="false">IF(BP263=0,IF(BX263=0,0,1),(BX263-BP263)/BP263)</f>
        <v>0</v>
      </c>
      <c r="CG263" s="32" t="n">
        <f aca="false">IF(BQ263=0,IF(BY263=0,0,1),(BY263-BQ263)/BQ263)</f>
        <v>0</v>
      </c>
      <c r="CH263" s="32" t="n">
        <f aca="false">MAX(MAX(BZ263:CG263),-MIN(BZ263:CG263))</f>
        <v>-0</v>
      </c>
      <c r="CI263" s="31" t="n">
        <f aca="false">IF(CO263="","",SUMIFS($CJ$7:$CJ$696,$A$7:$A$696,CO263,$B$7:$B$696,B263))</f>
        <v>0</v>
      </c>
      <c r="CJ263" s="31" t="n">
        <f aca="false">SUM(AY263:BI263)</f>
        <v>0</v>
      </c>
      <c r="CK263" s="31" t="str">
        <f aca="false">IFERROR(INDEX(設定!$F$61:$F$106,MATCH(B263,設定!$B$61:$B$106,0)),"Y")</f>
        <v>N</v>
      </c>
      <c r="CL263" s="31" t="str">
        <f aca="false">IFERROR(INDEX(設定!$G$61:$G$106,MATCH(B263,設定!$B$61:$B$106,0)),"外郭型")</f>
        <v>外郭型</v>
      </c>
      <c r="CM263" s="33" t="str">
        <f aca="false">A263&amp;"|"&amp;B263</f>
        <v>2026-08 月例|文化財団　教育委員会</v>
      </c>
      <c r="CN263" s="34" t="str">
        <f aca="false">IFERROR(INDEX(設定!$D$61:$D$106,MATCH(B263,設定!$B$61:$B$106,0)),"Y")</f>
        <v>Y</v>
      </c>
      <c r="CO263" s="34" t="str">
        <f aca="false">IFERROR(INDEX(設定!$D$20:$D$34,MATCH(A263,設定!$A$20:$A$34,0))&amp;"","")</f>
        <v>2026-07 月例</v>
      </c>
    </row>
    <row r="264" customFormat="false" ht="15" hidden="true" customHeight="false" outlineLevel="0" collapsed="false">
      <c r="A264" s="22" t="s">
        <v>221</v>
      </c>
      <c r="B264" s="23" t="s">
        <v>196</v>
      </c>
      <c r="C264" s="10" t="str">
        <f aca="false">IF(G264="","未受領",IF(G264="なし","報告なし",IF(AL264="○","起票済",IF(OR(AK264="○",F264="一致",F264="入金不要"),"入金確認済","受領済"))))</f>
        <v>入金確認済</v>
      </c>
      <c r="D264" s="10" t="str">
        <f aca="false">IF(OR(G264="",G264="なし"),"―",IF(CN264="N","対象外",IF(AND(I264="",J264="",K264=""),"標報未入力",IF(CH264&gt;=設定!$B$4,"要確認","問題なし"))))</f>
        <v>標報未入力</v>
      </c>
      <c r="E264" s="24" t="str">
        <f aca="false">IF(OR(G264="",G264="なし",CI264="",CJ264=0),"―",IF(CJ264=CI264,"前月同額",IF(CI264=0,"―",IF(ABS(CJ264/CI264-1)&gt;=設定!$B$5,"変動大 "&amp;TEXT(CJ264/CI264-1,"+0%;-0%"),"〇"))))</f>
        <v>前月同額</v>
      </c>
      <c r="F264" s="10" t="str">
        <f aca="false">IF(OR(G264="",G264="なし"),"―",IF(CJ264=0,"入金不要",IF(COUNT(AD264,AF264,AH264,AJ264)=0,IF(AK264="○","手動確認","未入金"),IF(AND(N(AD264)=AC264,IF(AE264="",TRUE(),N(AF264)=AE264),IF(AG264="",TRUE(),N(AH264)=AG264),IF(AI264="",TRUE(),N(AJ264)=AI264)),"一致","不一致"))))</f>
        <v>手動確認</v>
      </c>
      <c r="G264" s="25" t="s">
        <v>167</v>
      </c>
      <c r="H264" s="26"/>
      <c r="I264" s="27"/>
      <c r="J264" s="27"/>
      <c r="K264" s="27"/>
      <c r="L264" s="27"/>
      <c r="M264" s="27"/>
      <c r="N264" s="27"/>
      <c r="O264" s="27"/>
      <c r="P264" s="27"/>
      <c r="Q264" s="27"/>
      <c r="R264" s="27"/>
      <c r="S264" s="27"/>
      <c r="T264" s="27" t="n">
        <v>405345</v>
      </c>
      <c r="U264" s="27" t="n">
        <v>33225</v>
      </c>
      <c r="V264" s="27" t="n">
        <v>383</v>
      </c>
      <c r="W264" s="27" t="n">
        <v>229960</v>
      </c>
      <c r="X264" s="27" t="n">
        <v>34997</v>
      </c>
      <c r="Y264" s="27" t="n">
        <v>5093</v>
      </c>
      <c r="Z264" s="27"/>
      <c r="AA264" s="10" t="str">
        <f aca="false">IFERROR(INDEX(設定!$E$61:$E$106,MATCH(B264,設定!$B$61:$B$106,0)),"合算")</f>
        <v>合算</v>
      </c>
      <c r="AB264" s="28"/>
      <c r="AC264" s="29" t="n">
        <f aca="false">IF(OR(G264="",G264="なし"),"",IF(AA264="合算",CJ264+N(Z264),IF(AA264="掛金・負担金別",(AY264+AZ264+BD264+BF264+BH264),SUM(AY264:BC264))))</f>
        <v>709003</v>
      </c>
      <c r="AD264" s="27"/>
      <c r="AE264" s="29" t="str">
        <f aca="false">IF(OR(G264="",G264="なし"),"",IF(AA264="掛金・負担金別",(BA264+BB264+BC264+BE264+BG264+BI264+N(Z264)),IF(AA264="経理区分別",BD264+BE264,"")))</f>
        <v/>
      </c>
      <c r="AF264" s="27"/>
      <c r="AG264" s="29" t="str">
        <f aca="false">IF(OR(G264="",G264="なし"),"",IF(AA264="経理区分別",BF264+BG264,""))</f>
        <v/>
      </c>
      <c r="AH264" s="27"/>
      <c r="AI264" s="29" t="str">
        <f aca="false">IF(OR(G264="",G264="なし"),"",IF(AA264="経理区分別",BH264+BI264+N(Z264),""))</f>
        <v/>
      </c>
      <c r="AJ264" s="27"/>
      <c r="AK264" s="26" t="s">
        <v>168</v>
      </c>
      <c r="AL264" s="26"/>
      <c r="AM264" s="30"/>
      <c r="AN264" s="31"/>
      <c r="AO264" s="31"/>
      <c r="AP264" s="31"/>
      <c r="AQ264" s="31"/>
      <c r="AR264" s="31"/>
      <c r="AS264" s="31"/>
      <c r="AT264" s="31"/>
      <c r="AU264" s="31"/>
      <c r="AV264" s="31"/>
      <c r="AW264" s="31"/>
      <c r="AX264" s="31"/>
      <c r="AY264" s="31" t="n">
        <f aca="false">IF($G264="",AN264,O264)</f>
        <v>0</v>
      </c>
      <c r="AZ264" s="31" t="n">
        <f aca="false">IF($G264="",AO264,P264)</f>
        <v>0</v>
      </c>
      <c r="BA264" s="31" t="n">
        <f aca="false">IF($G264="",AP264,T264)</f>
        <v>405345</v>
      </c>
      <c r="BB264" s="31" t="n">
        <f aca="false">IF($G264="",AQ264,U264)</f>
        <v>33225</v>
      </c>
      <c r="BC264" s="31" t="n">
        <f aca="false">IF($G264="",AR264,V264)</f>
        <v>383</v>
      </c>
      <c r="BD264" s="31" t="n">
        <f aca="false">IF($G264="",AS264,Q264)</f>
        <v>0</v>
      </c>
      <c r="BE264" s="31" t="n">
        <f aca="false">IF($G264="",AT264,W264)</f>
        <v>229960</v>
      </c>
      <c r="BF264" s="31" t="n">
        <f aca="false">IF($G264="",AU264,R264)</f>
        <v>0</v>
      </c>
      <c r="BG264" s="31" t="n">
        <f aca="false">IF($G264="",AV264,X264)</f>
        <v>34997</v>
      </c>
      <c r="BH264" s="31" t="n">
        <f aca="false">IF($G264="",AW264,S264)</f>
        <v>0</v>
      </c>
      <c r="BI264" s="31" t="n">
        <f aca="false">IF($G264="",AX264,Y264)</f>
        <v>5093</v>
      </c>
      <c r="BJ264" s="31" t="n">
        <f aca="false">IF(CK264="N",BR264,ROUNDDOWN((I264-L264)*設定!$B$10/1000,0)+ROUNDDOWN((I264-L264)*設定!$B$11/1000,0))</f>
        <v>0</v>
      </c>
      <c r="BK264" s="31" t="n">
        <f aca="false">ROUNDDOWN((I264-L264)*設定!$C$10/1000,0)+ROUNDDOWN((I264-L264)*設定!$C$11/1000,0)+ROUNDDOWN(I264*設定!$C$12/1000,0)+IF(CL264="市局型",ROUNDDOWN(I264*設定!$C$16/1000,0),0)</f>
        <v>0</v>
      </c>
      <c r="BL264" s="31" t="n">
        <f aca="false">IF(CK264="N",BT264,ROUNDDOWN((J264-M264)*設定!$B$13/1000,0))</f>
        <v>0</v>
      </c>
      <c r="BM264" s="31" t="n">
        <f aca="false">ROUNDDOWN((J264-M264)*設定!$C$13/1000,0)+IF(CL264="市局型",ROUNDDOWN(J264*設定!$C$17/1000,0),0)</f>
        <v>0</v>
      </c>
      <c r="BN264" s="31" t="n">
        <f aca="false">IF(CK264="N",BV264,ROUNDDOWN((K264-N264)*設定!$B$14/1000,0))</f>
        <v>0</v>
      </c>
      <c r="BO264" s="31" t="n">
        <f aca="false">ROUNDDOWN((K264-N264)*設定!$C$14/1000,0)</f>
        <v>0</v>
      </c>
      <c r="BP264" s="31" t="n">
        <f aca="false">IF(CK264="N",BX264,ROUNDDOWN((J264-M264)*設定!$B$15/1000,0))</f>
        <v>0</v>
      </c>
      <c r="BQ264" s="31" t="n">
        <f aca="false">ROUNDDOWN((J264-M264)*設定!$C$15/1000,0)</f>
        <v>0</v>
      </c>
      <c r="BR264" s="31" t="n">
        <f aca="false">O264+P264</f>
        <v>0</v>
      </c>
      <c r="BS264" s="31" t="n">
        <f aca="false">T264+U264+V264</f>
        <v>438953</v>
      </c>
      <c r="BT264" s="31" t="n">
        <f aca="false">Q264</f>
        <v>0</v>
      </c>
      <c r="BU264" s="31" t="n">
        <f aca="false">W264</f>
        <v>229960</v>
      </c>
      <c r="BV264" s="31" t="n">
        <f aca="false">R264</f>
        <v>0</v>
      </c>
      <c r="BW264" s="31" t="n">
        <f aca="false">X264</f>
        <v>34997</v>
      </c>
      <c r="BX264" s="31" t="n">
        <f aca="false">S264</f>
        <v>0</v>
      </c>
      <c r="BY264" s="31" t="n">
        <f aca="false">Y264</f>
        <v>5093</v>
      </c>
      <c r="BZ264" s="32" t="n">
        <f aca="false">IF(BJ264=0,IF(BR264=0,0,1),(BR264-BJ264)/BJ264)</f>
        <v>0</v>
      </c>
      <c r="CA264" s="32" t="n">
        <f aca="false">IF(BK264=0,IF(BS264=0,0,1),(BS264-BK264)/BK264)</f>
        <v>1</v>
      </c>
      <c r="CB264" s="32" t="n">
        <f aca="false">IF(BL264=0,IF(BT264=0,0,1),(BT264-BL264)/BL264)</f>
        <v>0</v>
      </c>
      <c r="CC264" s="32" t="n">
        <f aca="false">IF(BM264=0,IF(BU264=0,0,1),(BU264-BM264)/BM264)</f>
        <v>1</v>
      </c>
      <c r="CD264" s="32" t="n">
        <f aca="false">IF(BN264=0,IF(BV264=0,0,1),(BV264-BN264)/BN264)</f>
        <v>0</v>
      </c>
      <c r="CE264" s="32" t="n">
        <f aca="false">IF(BO264=0,IF(BW264=0,0,1),(BW264-BO264)/BO264)</f>
        <v>1</v>
      </c>
      <c r="CF264" s="32" t="n">
        <f aca="false">IF(BP264=0,IF(BX264=0,0,1),(BX264-BP264)/BP264)</f>
        <v>0</v>
      </c>
      <c r="CG264" s="32" t="n">
        <f aca="false">IF(BQ264=0,IF(BY264=0,0,1),(BY264-BQ264)/BQ264)</f>
        <v>1</v>
      </c>
      <c r="CH264" s="32" t="n">
        <f aca="false">MAX(MAX(BZ264:CG264),-MIN(BZ264:CG264))</f>
        <v>1</v>
      </c>
      <c r="CI264" s="31" t="n">
        <f aca="false">IF(CO264="","",SUMIFS($CJ$7:$CJ$696,$A$7:$A$696,CO264,$B$7:$B$696,B264))</f>
        <v>709003</v>
      </c>
      <c r="CJ264" s="31" t="n">
        <f aca="false">SUM(AY264:BI264)</f>
        <v>709003</v>
      </c>
      <c r="CK264" s="31" t="str">
        <f aca="false">IFERROR(INDEX(設定!$F$61:$F$106,MATCH(B264,設定!$B$61:$B$106,0)),"Y")</f>
        <v>N</v>
      </c>
      <c r="CL264" s="31" t="str">
        <f aca="false">IFERROR(INDEX(設定!$G$61:$G$106,MATCH(B264,設定!$B$61:$B$106,0)),"外郭型")</f>
        <v>外郭型</v>
      </c>
      <c r="CM264" s="33" t="str">
        <f aca="false">A264&amp;"|"&amp;B264</f>
        <v>2026-08 月例|みどり生きもの協会</v>
      </c>
      <c r="CN264" s="34" t="str">
        <f aca="false">IFERROR(INDEX(設定!$D$61:$D$106,MATCH(B264,設定!$B$61:$B$106,0)),"Y")</f>
        <v>Y</v>
      </c>
      <c r="CO264" s="34" t="str">
        <f aca="false">IFERROR(INDEX(設定!$D$20:$D$34,MATCH(A264,設定!$A$20:$A$34,0))&amp;"","")</f>
        <v>2026-07 月例</v>
      </c>
    </row>
    <row r="265" customFormat="false" ht="15" hidden="true" customHeight="false" outlineLevel="0" collapsed="false">
      <c r="A265" s="22" t="s">
        <v>221</v>
      </c>
      <c r="B265" s="23" t="s">
        <v>197</v>
      </c>
      <c r="C265" s="10" t="str">
        <f aca="false">IF(G265="","未受領",IF(G265="なし","報告なし",IF(AL265="○","起票済",IF(OR(AK265="○",F265="一致",F265="入金不要"),"入金確認済","受領済"))))</f>
        <v>入金確認済</v>
      </c>
      <c r="D265" s="10" t="str">
        <f aca="false">IF(OR(G265="",G265="なし"),"―",IF(CN265="N","対象外",IF(AND(I265="",J265="",K265=""),"標報未入力",IF(CH265&gt;=設定!$B$4,"要確認","問題なし"))))</f>
        <v>標報未入力</v>
      </c>
      <c r="E265" s="24" t="str">
        <f aca="false">IF(OR(G265="",G265="なし",CI265="",CJ265=0),"―",IF(CJ265=CI265,"前月同額",IF(CI265=0,"―",IF(ABS(CJ265/CI265-1)&gt;=設定!$B$5,"変動大 "&amp;TEXT(CJ265/CI265-1,"+0%;-0%"),"〇"))))</f>
        <v>前月同額</v>
      </c>
      <c r="F265" s="10" t="str">
        <f aca="false">IF(OR(G265="",G265="なし"),"―",IF(CJ265=0,"入金不要",IF(COUNT(AD265,AF265,AH265,AJ265)=0,IF(AK265="○","手動確認","未入金"),IF(AND(N(AD265)=AC265,IF(AE265="",TRUE(),N(AF265)=AE265),IF(AG265="",TRUE(),N(AH265)=AG265),IF(AI265="",TRUE(),N(AJ265)=AI265)),"一致","不一致"))))</f>
        <v>手動確認</v>
      </c>
      <c r="G265" s="25" t="s">
        <v>167</v>
      </c>
      <c r="H265" s="26"/>
      <c r="I265" s="27"/>
      <c r="J265" s="27"/>
      <c r="K265" s="27"/>
      <c r="L265" s="27"/>
      <c r="M265" s="27"/>
      <c r="N265" s="27"/>
      <c r="O265" s="27" t="n">
        <v>148230</v>
      </c>
      <c r="P265" s="27" t="n">
        <v>12150</v>
      </c>
      <c r="Q265" s="27" t="n">
        <v>87123</v>
      </c>
      <c r="R265" s="27" t="n">
        <v>10033</v>
      </c>
      <c r="S265" s="27" t="n">
        <v>1931</v>
      </c>
      <c r="T265" s="27" t="n">
        <v>148230</v>
      </c>
      <c r="U265" s="27" t="n">
        <v>12150</v>
      </c>
      <c r="V265" s="27" t="n">
        <v>140</v>
      </c>
      <c r="W265" s="27" t="n">
        <v>87208</v>
      </c>
      <c r="X265" s="27" t="n">
        <v>10033</v>
      </c>
      <c r="Y265" s="27" t="n">
        <v>1932</v>
      </c>
      <c r="Z265" s="27"/>
      <c r="AA265" s="10" t="str">
        <f aca="false">IFERROR(INDEX(設定!$E$61:$E$106,MATCH(B265,設定!$B$61:$B$106,0)),"合算")</f>
        <v>合算</v>
      </c>
      <c r="AB265" s="28"/>
      <c r="AC265" s="29" t="n">
        <f aca="false">IF(OR(G265="",G265="なし"),"",IF(AA265="合算",CJ265+N(Z265),IF(AA265="掛金・負担金別",(AY265+AZ265+BD265+BF265+BH265),SUM(AY265:BC265))))</f>
        <v>519160</v>
      </c>
      <c r="AD265" s="27"/>
      <c r="AE265" s="29" t="str">
        <f aca="false">IF(OR(G265="",G265="なし"),"",IF(AA265="掛金・負担金別",(BA265+BB265+BC265+BE265+BG265+BI265+N(Z265)),IF(AA265="経理区分別",BD265+BE265,"")))</f>
        <v/>
      </c>
      <c r="AF265" s="27"/>
      <c r="AG265" s="29" t="str">
        <f aca="false">IF(OR(G265="",G265="なし"),"",IF(AA265="経理区分別",BF265+BG265,""))</f>
        <v/>
      </c>
      <c r="AH265" s="27"/>
      <c r="AI265" s="29" t="str">
        <f aca="false">IF(OR(G265="",G265="なし"),"",IF(AA265="経理区分別",BH265+BI265+N(Z265),""))</f>
        <v/>
      </c>
      <c r="AJ265" s="27"/>
      <c r="AK265" s="26" t="s">
        <v>168</v>
      </c>
      <c r="AL265" s="26"/>
      <c r="AM265" s="30"/>
      <c r="AN265" s="31"/>
      <c r="AO265" s="31"/>
      <c r="AP265" s="31"/>
      <c r="AQ265" s="31"/>
      <c r="AR265" s="31"/>
      <c r="AS265" s="31"/>
      <c r="AT265" s="31"/>
      <c r="AU265" s="31"/>
      <c r="AV265" s="31"/>
      <c r="AW265" s="31"/>
      <c r="AX265" s="31"/>
      <c r="AY265" s="31" t="n">
        <f aca="false">IF($G265="",AN265,O265)</f>
        <v>148230</v>
      </c>
      <c r="AZ265" s="31" t="n">
        <f aca="false">IF($G265="",AO265,P265)</f>
        <v>12150</v>
      </c>
      <c r="BA265" s="31" t="n">
        <f aca="false">IF($G265="",AP265,T265)</f>
        <v>148230</v>
      </c>
      <c r="BB265" s="31" t="n">
        <f aca="false">IF($G265="",AQ265,U265)</f>
        <v>12150</v>
      </c>
      <c r="BC265" s="31" t="n">
        <f aca="false">IF($G265="",AR265,V265)</f>
        <v>140</v>
      </c>
      <c r="BD265" s="31" t="n">
        <f aca="false">IF($G265="",AS265,Q265)</f>
        <v>87123</v>
      </c>
      <c r="BE265" s="31" t="n">
        <f aca="false">IF($G265="",AT265,W265)</f>
        <v>87208</v>
      </c>
      <c r="BF265" s="31" t="n">
        <f aca="false">IF($G265="",AU265,R265)</f>
        <v>10033</v>
      </c>
      <c r="BG265" s="31" t="n">
        <f aca="false">IF($G265="",AV265,X265)</f>
        <v>10033</v>
      </c>
      <c r="BH265" s="31" t="n">
        <f aca="false">IF($G265="",AW265,S265)</f>
        <v>1931</v>
      </c>
      <c r="BI265" s="31" t="n">
        <f aca="false">IF($G265="",AX265,Y265)</f>
        <v>1932</v>
      </c>
      <c r="BJ265" s="31" t="n">
        <f aca="false">IF(CK265="N",BR265,ROUNDDOWN((I265-L265)*設定!$B$10/1000,0)+ROUNDDOWN((I265-L265)*設定!$B$11/1000,0))</f>
        <v>0</v>
      </c>
      <c r="BK265" s="31" t="n">
        <f aca="false">ROUNDDOWN((I265-L265)*設定!$C$10/1000,0)+ROUNDDOWN((I265-L265)*設定!$C$11/1000,0)+ROUNDDOWN(I265*設定!$C$12/1000,0)+IF(CL265="市局型",ROUNDDOWN(I265*設定!$C$16/1000,0),0)</f>
        <v>0</v>
      </c>
      <c r="BL265" s="31" t="n">
        <f aca="false">IF(CK265="N",BT265,ROUNDDOWN((J265-M265)*設定!$B$13/1000,0))</f>
        <v>0</v>
      </c>
      <c r="BM265" s="31" t="n">
        <f aca="false">ROUNDDOWN((J265-M265)*設定!$C$13/1000,0)+IF(CL265="市局型",ROUNDDOWN(J265*設定!$C$17/1000,0),0)</f>
        <v>0</v>
      </c>
      <c r="BN265" s="31" t="n">
        <f aca="false">IF(CK265="N",BV265,ROUNDDOWN((K265-N265)*設定!$B$14/1000,0))</f>
        <v>0</v>
      </c>
      <c r="BO265" s="31" t="n">
        <f aca="false">ROUNDDOWN((K265-N265)*設定!$C$14/1000,0)</f>
        <v>0</v>
      </c>
      <c r="BP265" s="31" t="n">
        <f aca="false">IF(CK265="N",BX265,ROUNDDOWN((J265-M265)*設定!$B$15/1000,0))</f>
        <v>0</v>
      </c>
      <c r="BQ265" s="31" t="n">
        <f aca="false">ROUNDDOWN((J265-M265)*設定!$C$15/1000,0)</f>
        <v>0</v>
      </c>
      <c r="BR265" s="31" t="n">
        <f aca="false">O265+P265</f>
        <v>160380</v>
      </c>
      <c r="BS265" s="31" t="n">
        <f aca="false">T265+U265+V265</f>
        <v>160520</v>
      </c>
      <c r="BT265" s="31" t="n">
        <f aca="false">Q265</f>
        <v>87123</v>
      </c>
      <c r="BU265" s="31" t="n">
        <f aca="false">W265</f>
        <v>87208</v>
      </c>
      <c r="BV265" s="31" t="n">
        <f aca="false">R265</f>
        <v>10033</v>
      </c>
      <c r="BW265" s="31" t="n">
        <f aca="false">X265</f>
        <v>10033</v>
      </c>
      <c r="BX265" s="31" t="n">
        <f aca="false">S265</f>
        <v>1931</v>
      </c>
      <c r="BY265" s="31" t="n">
        <f aca="false">Y265</f>
        <v>1932</v>
      </c>
      <c r="BZ265" s="32" t="n">
        <f aca="false">IF(BJ265=0,IF(BR265=0,0,1),(BR265-BJ265)/BJ265)</f>
        <v>1</v>
      </c>
      <c r="CA265" s="32" t="n">
        <f aca="false">IF(BK265=0,IF(BS265=0,0,1),(BS265-BK265)/BK265)</f>
        <v>1</v>
      </c>
      <c r="CB265" s="32" t="n">
        <f aca="false">IF(BL265=0,IF(BT265=0,0,1),(BT265-BL265)/BL265)</f>
        <v>1</v>
      </c>
      <c r="CC265" s="32" t="n">
        <f aca="false">IF(BM265=0,IF(BU265=0,0,1),(BU265-BM265)/BM265)</f>
        <v>1</v>
      </c>
      <c r="CD265" s="32" t="n">
        <f aca="false">IF(BN265=0,IF(BV265=0,0,1),(BV265-BN265)/BN265)</f>
        <v>1</v>
      </c>
      <c r="CE265" s="32" t="n">
        <f aca="false">IF(BO265=0,IF(BW265=0,0,1),(BW265-BO265)/BO265)</f>
        <v>1</v>
      </c>
      <c r="CF265" s="32" t="n">
        <f aca="false">IF(BP265=0,IF(BX265=0,0,1),(BX265-BP265)/BP265)</f>
        <v>1</v>
      </c>
      <c r="CG265" s="32" t="n">
        <f aca="false">IF(BQ265=0,IF(BY265=0,0,1),(BY265-BQ265)/BQ265)</f>
        <v>1</v>
      </c>
      <c r="CH265" s="32" t="n">
        <f aca="false">MAX(MAX(BZ265:CG265),-MIN(BZ265:CG265))</f>
        <v>1</v>
      </c>
      <c r="CI265" s="31" t="n">
        <f aca="false">IF(CO265="","",SUMIFS($CJ$7:$CJ$696,$A$7:$A$696,CO265,$B$7:$B$696,B265))</f>
        <v>519160</v>
      </c>
      <c r="CJ265" s="31" t="n">
        <f aca="false">SUM(AY265:BI265)</f>
        <v>519160</v>
      </c>
      <c r="CK265" s="31" t="str">
        <f aca="false">IFERROR(INDEX(設定!$F$61:$F$106,MATCH(B265,設定!$B$61:$B$106,0)),"Y")</f>
        <v>Y</v>
      </c>
      <c r="CL265" s="31" t="str">
        <f aca="false">IFERROR(INDEX(設定!$G$61:$G$106,MATCH(B265,設定!$B$61:$B$106,0)),"外郭型")</f>
        <v>外郭型</v>
      </c>
      <c r="CM265" s="33" t="str">
        <f aca="false">A265&amp;"|"&amp;B265</f>
        <v>2026-08 月例|県下水道公社</v>
      </c>
      <c r="CN265" s="34" t="str">
        <f aca="false">IFERROR(INDEX(設定!$D$61:$D$106,MATCH(B265,設定!$B$61:$B$106,0)),"Y")</f>
        <v>Y</v>
      </c>
      <c r="CO265" s="34" t="str">
        <f aca="false">IFERROR(INDEX(設定!$D$20:$D$34,MATCH(A265,設定!$A$20:$A$34,0))&amp;"","")</f>
        <v>2026-07 月例</v>
      </c>
    </row>
    <row r="266" customFormat="false" ht="26.85" hidden="true" customHeight="false" outlineLevel="0" collapsed="false">
      <c r="A266" s="22" t="s">
        <v>221</v>
      </c>
      <c r="B266" s="35" t="s">
        <v>219</v>
      </c>
      <c r="C266" s="10" t="str">
        <f aca="false">IF(G266="","未受領",IF(G266="なし","報告なし",IF(AL266="○","起票済",IF(OR(AK266="○",F266="一致",F266="入金不要"),"入金確認済","受領済"))))</f>
        <v>入金確認済</v>
      </c>
      <c r="D266" s="10" t="str">
        <f aca="false">IF(OR(G266="",G266="なし"),"―",IF(CN266="N","対象外",IF(AND(I266="",J266="",K266=""),"標報未入力",IF(CH266&gt;=設定!$B$4,"要確認","問題なし"))))</f>
        <v>標報未入力</v>
      </c>
      <c r="E266" s="24" t="str">
        <f aca="false">IF(OR(G266="",G266="なし",CI266="",CJ266=0),"―",IF(CJ266=CI266,"前月同額",IF(CI266=0,"―",IF(ABS(CJ266/CI266-1)&gt;=設定!$B$5,"変動大 "&amp;TEXT(CJ266/CI266-1,"+0%;-0%"),"〇"))))</f>
        <v>前月同額</v>
      </c>
      <c r="F266" s="10" t="str">
        <f aca="false">IF(OR(G266="",G266="なし"),"―",IF(CJ266=0,"入金不要",IF(COUNT(AD266,AF266,AH266,AJ266)=0,IF(AK266="○","手動確認","未入金"),IF(AND(N(AD266)=AC266,IF(AE266="",TRUE(),N(AF266)=AE266),IF(AG266="",TRUE(),N(AH266)=AG266),IF(AI266="",TRUE(),N(AJ266)=AI266)),"一致","不一致"))))</f>
        <v>手動確認</v>
      </c>
      <c r="G266" s="25" t="s">
        <v>167</v>
      </c>
      <c r="H266" s="26"/>
      <c r="I266" s="27"/>
      <c r="J266" s="27"/>
      <c r="K266" s="27"/>
      <c r="L266" s="27"/>
      <c r="M266" s="27"/>
      <c r="N266" s="27"/>
      <c r="O266" s="27"/>
      <c r="P266" s="27"/>
      <c r="Q266" s="27"/>
      <c r="R266" s="27"/>
      <c r="S266" s="27"/>
      <c r="T266" s="27" t="n">
        <v>455670</v>
      </c>
      <c r="U266" s="27" t="n">
        <v>37350</v>
      </c>
      <c r="V266" s="27" t="n">
        <v>432</v>
      </c>
      <c r="W266" s="27" t="n">
        <v>267855</v>
      </c>
      <c r="X266" s="27" t="n">
        <v>21725</v>
      </c>
      <c r="Y266" s="27" t="n">
        <v>5934</v>
      </c>
      <c r="Z266" s="27"/>
      <c r="AA266" s="10" t="str">
        <f aca="false">IFERROR(INDEX(設定!$E$61:$E$106,MATCH(B266,設定!$B$61:$B$106,0)),"合算")</f>
        <v>合算</v>
      </c>
      <c r="AB266" s="28"/>
      <c r="AC266" s="29" t="n">
        <f aca="false">IF(OR(G266="",G266="なし"),"",IF(AA266="合算",CJ266+N(Z266),IF(AA266="掛金・負担金別",(AY266+AZ266+BD266+BF266+BH266),SUM(AY266:BC266))))</f>
        <v>788966</v>
      </c>
      <c r="AD266" s="27"/>
      <c r="AE266" s="29" t="str">
        <f aca="false">IF(OR(G266="",G266="なし"),"",IF(AA266="掛金・負担金別",(BA266+BB266+BC266+BE266+BG266+BI266+N(Z266)),IF(AA266="経理区分別",BD266+BE266,"")))</f>
        <v/>
      </c>
      <c r="AF266" s="27"/>
      <c r="AG266" s="29" t="str">
        <f aca="false">IF(OR(G266="",G266="なし"),"",IF(AA266="経理区分別",BF266+BG266,""))</f>
        <v/>
      </c>
      <c r="AH266" s="27"/>
      <c r="AI266" s="29" t="str">
        <f aca="false">IF(OR(G266="",G266="なし"),"",IF(AA266="経理区分別",BH266+BI266+N(Z266),""))</f>
        <v/>
      </c>
      <c r="AJ266" s="27"/>
      <c r="AK266" s="26" t="s">
        <v>168</v>
      </c>
      <c r="AL266" s="26"/>
      <c r="AM266" s="30"/>
      <c r="AN266" s="31"/>
      <c r="AO266" s="31"/>
      <c r="AP266" s="31"/>
      <c r="AQ266" s="31"/>
      <c r="AR266" s="31"/>
      <c r="AS266" s="31"/>
      <c r="AT266" s="31"/>
      <c r="AU266" s="31"/>
      <c r="AV266" s="31"/>
      <c r="AW266" s="31"/>
      <c r="AX266" s="31"/>
      <c r="AY266" s="31" t="n">
        <f aca="false">IF($G266="",AN266,O266)</f>
        <v>0</v>
      </c>
      <c r="AZ266" s="31" t="n">
        <f aca="false">IF($G266="",AO266,P266)</f>
        <v>0</v>
      </c>
      <c r="BA266" s="31" t="n">
        <f aca="false">IF($G266="",AP266,T266)</f>
        <v>455670</v>
      </c>
      <c r="BB266" s="31" t="n">
        <f aca="false">IF($G266="",AQ266,U266)</f>
        <v>37350</v>
      </c>
      <c r="BC266" s="31" t="n">
        <f aca="false">IF($G266="",AR266,V266)</f>
        <v>432</v>
      </c>
      <c r="BD266" s="31" t="n">
        <f aca="false">IF($G266="",AS266,Q266)</f>
        <v>0</v>
      </c>
      <c r="BE266" s="31" t="n">
        <f aca="false">IF($G266="",AT266,W266)</f>
        <v>267855</v>
      </c>
      <c r="BF266" s="31" t="n">
        <f aca="false">IF($G266="",AU266,R266)</f>
        <v>0</v>
      </c>
      <c r="BG266" s="31" t="n">
        <f aca="false">IF($G266="",AV266,X266)</f>
        <v>21725</v>
      </c>
      <c r="BH266" s="31" t="n">
        <f aca="false">IF($G266="",AW266,S266)</f>
        <v>0</v>
      </c>
      <c r="BI266" s="31" t="n">
        <f aca="false">IF($G266="",AX266,Y266)</f>
        <v>5934</v>
      </c>
      <c r="BJ266" s="31" t="n">
        <f aca="false">IF(CK266="N",BR266,ROUNDDOWN((I266-L266)*設定!$B$10/1000,0)+ROUNDDOWN((I266-L266)*設定!$B$11/1000,0))</f>
        <v>0</v>
      </c>
      <c r="BK266" s="31" t="n">
        <f aca="false">ROUNDDOWN((I266-L266)*設定!$C$10/1000,0)+ROUNDDOWN((I266-L266)*設定!$C$11/1000,0)+ROUNDDOWN(I266*設定!$C$12/1000,0)+IF(CL266="市局型",ROUNDDOWN(I266*設定!$C$16/1000,0),0)</f>
        <v>0</v>
      </c>
      <c r="BL266" s="31" t="n">
        <f aca="false">IF(CK266="N",BT266,ROUNDDOWN((J266-M266)*設定!$B$13/1000,0))</f>
        <v>0</v>
      </c>
      <c r="BM266" s="31" t="n">
        <f aca="false">ROUNDDOWN((J266-M266)*設定!$C$13/1000,0)+IF(CL266="市局型",ROUNDDOWN(J266*設定!$C$17/1000,0),0)</f>
        <v>0</v>
      </c>
      <c r="BN266" s="31" t="n">
        <f aca="false">IF(CK266="N",BV266,ROUNDDOWN((K266-N266)*設定!$B$14/1000,0))</f>
        <v>0</v>
      </c>
      <c r="BO266" s="31" t="n">
        <f aca="false">ROUNDDOWN((K266-N266)*設定!$C$14/1000,0)</f>
        <v>0</v>
      </c>
      <c r="BP266" s="31" t="n">
        <f aca="false">IF(CK266="N",BX266,ROUNDDOWN((J266-M266)*設定!$B$15/1000,0))</f>
        <v>0</v>
      </c>
      <c r="BQ266" s="31" t="n">
        <f aca="false">ROUNDDOWN((J266-M266)*設定!$C$15/1000,0)</f>
        <v>0</v>
      </c>
      <c r="BR266" s="31" t="n">
        <f aca="false">O266+P266</f>
        <v>0</v>
      </c>
      <c r="BS266" s="31" t="n">
        <f aca="false">T266+U266+V266</f>
        <v>493452</v>
      </c>
      <c r="BT266" s="31" t="n">
        <f aca="false">Q266</f>
        <v>0</v>
      </c>
      <c r="BU266" s="31" t="n">
        <f aca="false">W266</f>
        <v>267855</v>
      </c>
      <c r="BV266" s="31" t="n">
        <f aca="false">R266</f>
        <v>0</v>
      </c>
      <c r="BW266" s="31" t="n">
        <f aca="false">X266</f>
        <v>21725</v>
      </c>
      <c r="BX266" s="31" t="n">
        <f aca="false">S266</f>
        <v>0</v>
      </c>
      <c r="BY266" s="31" t="n">
        <f aca="false">Y266</f>
        <v>5934</v>
      </c>
      <c r="BZ266" s="32" t="n">
        <f aca="false">IF(BJ266=0,IF(BR266=0,0,1),(BR266-BJ266)/BJ266)</f>
        <v>0</v>
      </c>
      <c r="CA266" s="32" t="n">
        <f aca="false">IF(BK266=0,IF(BS266=0,0,1),(BS266-BK266)/BK266)</f>
        <v>1</v>
      </c>
      <c r="CB266" s="32" t="n">
        <f aca="false">IF(BL266=0,IF(BT266=0,0,1),(BT266-BL266)/BL266)</f>
        <v>0</v>
      </c>
      <c r="CC266" s="32" t="n">
        <f aca="false">IF(BM266=0,IF(BU266=0,0,1),(BU266-BM266)/BM266)</f>
        <v>1</v>
      </c>
      <c r="CD266" s="32" t="n">
        <f aca="false">IF(BN266=0,IF(BV266=0,0,1),(BV266-BN266)/BN266)</f>
        <v>0</v>
      </c>
      <c r="CE266" s="32" t="n">
        <f aca="false">IF(BO266=0,IF(BW266=0,0,1),(BW266-BO266)/BO266)</f>
        <v>1</v>
      </c>
      <c r="CF266" s="32" t="n">
        <f aca="false">IF(BP266=0,IF(BX266=0,0,1),(BX266-BP266)/BP266)</f>
        <v>0</v>
      </c>
      <c r="CG266" s="32" t="n">
        <f aca="false">IF(BQ266=0,IF(BY266=0,0,1),(BY266-BQ266)/BQ266)</f>
        <v>1</v>
      </c>
      <c r="CH266" s="32" t="n">
        <f aca="false">MAX(MAX(BZ266:CG266),-MIN(BZ266:CG266))</f>
        <v>1</v>
      </c>
      <c r="CI266" s="31" t="n">
        <f aca="false">IF(CO266="","",SUMIFS($CJ$7:$CJ$696,$A$7:$A$696,CO266,$B$7:$B$696,B266))</f>
        <v>788966</v>
      </c>
      <c r="CJ266" s="31" t="n">
        <f aca="false">SUM(AY266:BI266)</f>
        <v>788966</v>
      </c>
      <c r="CK266" s="31" t="str">
        <f aca="false">IFERROR(INDEX(設定!$F$61:$F$106,MATCH(B266,設定!$B$61:$B$106,0)),"Y")</f>
        <v>N</v>
      </c>
      <c r="CL266" s="31" t="str">
        <f aca="false">IFERROR(INDEX(設定!$G$61:$G$106,MATCH(B266,設定!$B$61:$B$106,0)),"外郭型")</f>
        <v>外郭型</v>
      </c>
      <c r="CM266" s="36" t="str">
        <f aca="false">A266&amp;"|"&amp;B266</f>
        <v>2026-08 月例|バス協調・共創
プラットフォーム</v>
      </c>
      <c r="CN266" s="34" t="str">
        <f aca="false">IFERROR(INDEX(設定!$D$61:$D$106,MATCH(B266,設定!$B$61:$B$106,0)),"Y")</f>
        <v>Y</v>
      </c>
      <c r="CO266" s="34" t="str">
        <f aca="false">IFERROR(INDEX(設定!$D$20:$D$34,MATCH(A266,設定!$A$20:$A$34,0))&amp;"","")</f>
        <v>2026-07 月例</v>
      </c>
    </row>
    <row r="267" customFormat="false" ht="15" hidden="true" customHeight="false" outlineLevel="0" collapsed="false">
      <c r="A267" s="22" t="s">
        <v>221</v>
      </c>
      <c r="B267" s="23" t="s">
        <v>199</v>
      </c>
      <c r="C267" s="10" t="str">
        <f aca="false">IF(G267="","未受領",IF(G267="なし","報告なし",IF(AL267="○","起票済",IF(OR(AK267="○",F267="一致",F267="入金不要"),"入金確認済","受領済"))))</f>
        <v>入金確認済</v>
      </c>
      <c r="D267" s="10" t="str">
        <f aca="false">IF(OR(G267="",G267="なし"),"―",IF(CN267="N","対象外",IF(AND(I267="",J267="",K267=""),"標報未入力",IF(CH267&gt;=設定!$B$4,"要確認","問題なし"))))</f>
        <v>標報未入力</v>
      </c>
      <c r="E267" s="24" t="str">
        <f aca="false">IF(OR(G267="",G267="なし",CI267="",CJ267=0),"―",IF(CJ267=CI267,"前月同額",IF(CI267=0,"―",IF(ABS(CJ267/CI267-1)&gt;=設定!$B$5,"変動大 "&amp;TEXT(CJ267/CI267-1,"+0%;-0%"),"〇"))))</f>
        <v>前月同額</v>
      </c>
      <c r="F267" s="10" t="str">
        <f aca="false">IF(OR(G267="",G267="なし"),"―",IF(CJ267=0,"入金不要",IF(COUNT(AD267,AF267,AH267,AJ267)=0,IF(AK267="○","手動確認","未入金"),IF(AND(N(AD267)=AC267,IF(AE267="",TRUE(),N(AF267)=AE267),IF(AG267="",TRUE(),N(AH267)=AG267),IF(AI267="",TRUE(),N(AJ267)=AI267)),"一致","不一致"))))</f>
        <v>手動確認</v>
      </c>
      <c r="G267" s="25" t="s">
        <v>167</v>
      </c>
      <c r="H267" s="26"/>
      <c r="I267" s="27"/>
      <c r="J267" s="27"/>
      <c r="K267" s="27"/>
      <c r="L267" s="27"/>
      <c r="M267" s="27"/>
      <c r="N267" s="27"/>
      <c r="O267" s="27" t="n">
        <v>56730</v>
      </c>
      <c r="P267" s="27" t="n">
        <v>4650</v>
      </c>
      <c r="Q267" s="27" t="n">
        <v>32153</v>
      </c>
      <c r="R267" s="27" t="n">
        <v>4898</v>
      </c>
      <c r="S267" s="27" t="n">
        <v>713</v>
      </c>
      <c r="T267" s="27" t="n">
        <v>56730</v>
      </c>
      <c r="U267" s="27" t="n">
        <v>4650</v>
      </c>
      <c r="V267" s="27" t="n">
        <v>53</v>
      </c>
      <c r="W267" s="27" t="n">
        <v>32184</v>
      </c>
      <c r="X267" s="27" t="n">
        <v>4898</v>
      </c>
      <c r="Y267" s="27" t="n">
        <v>713</v>
      </c>
      <c r="Z267" s="27"/>
      <c r="AA267" s="10" t="str">
        <f aca="false">IFERROR(INDEX(設定!$E$61:$E$106,MATCH(B267,設定!$B$61:$B$106,0)),"合算")</f>
        <v>合算</v>
      </c>
      <c r="AB267" s="28"/>
      <c r="AC267" s="29" t="n">
        <f aca="false">IF(OR(G267="",G267="なし"),"",IF(AA267="合算",CJ267+N(Z267),IF(AA267="掛金・負担金別",(AY267+AZ267+BD267+BF267+BH267),SUM(AY267:BC267))))</f>
        <v>198372</v>
      </c>
      <c r="AD267" s="27"/>
      <c r="AE267" s="29" t="str">
        <f aca="false">IF(OR(G267="",G267="なし"),"",IF(AA267="掛金・負担金別",(BA267+BB267+BC267+BE267+BG267+BI267+N(Z267)),IF(AA267="経理区分別",BD267+BE267,"")))</f>
        <v/>
      </c>
      <c r="AF267" s="27"/>
      <c r="AG267" s="29" t="str">
        <f aca="false">IF(OR(G267="",G267="なし"),"",IF(AA267="経理区分別",BF267+BG267,""))</f>
        <v/>
      </c>
      <c r="AH267" s="27"/>
      <c r="AI267" s="29" t="str">
        <f aca="false">IF(OR(G267="",G267="なし"),"",IF(AA267="経理区分別",BH267+BI267+N(Z267),""))</f>
        <v/>
      </c>
      <c r="AJ267" s="27"/>
      <c r="AK267" s="26" t="s">
        <v>168</v>
      </c>
      <c r="AL267" s="26"/>
      <c r="AM267" s="30"/>
      <c r="AN267" s="31"/>
      <c r="AO267" s="31"/>
      <c r="AP267" s="31"/>
      <c r="AQ267" s="31"/>
      <c r="AR267" s="31"/>
      <c r="AS267" s="31"/>
      <c r="AT267" s="31"/>
      <c r="AU267" s="31"/>
      <c r="AV267" s="31"/>
      <c r="AW267" s="31"/>
      <c r="AX267" s="31"/>
      <c r="AY267" s="31" t="n">
        <f aca="false">IF($G267="",AN267,O267)</f>
        <v>56730</v>
      </c>
      <c r="AZ267" s="31" t="n">
        <f aca="false">IF($G267="",AO267,P267)</f>
        <v>4650</v>
      </c>
      <c r="BA267" s="31" t="n">
        <f aca="false">IF($G267="",AP267,T267)</f>
        <v>56730</v>
      </c>
      <c r="BB267" s="31" t="n">
        <f aca="false">IF($G267="",AQ267,U267)</f>
        <v>4650</v>
      </c>
      <c r="BC267" s="31" t="n">
        <f aca="false">IF($G267="",AR267,V267)</f>
        <v>53</v>
      </c>
      <c r="BD267" s="31" t="n">
        <f aca="false">IF($G267="",AS267,Q267)</f>
        <v>32153</v>
      </c>
      <c r="BE267" s="31" t="n">
        <f aca="false">IF($G267="",AT267,W267)</f>
        <v>32184</v>
      </c>
      <c r="BF267" s="31" t="n">
        <f aca="false">IF($G267="",AU267,R267)</f>
        <v>4898</v>
      </c>
      <c r="BG267" s="31" t="n">
        <f aca="false">IF($G267="",AV267,X267)</f>
        <v>4898</v>
      </c>
      <c r="BH267" s="31" t="n">
        <f aca="false">IF($G267="",AW267,S267)</f>
        <v>713</v>
      </c>
      <c r="BI267" s="31" t="n">
        <f aca="false">IF($G267="",AX267,Y267)</f>
        <v>713</v>
      </c>
      <c r="BJ267" s="31" t="n">
        <f aca="false">IF(CK267="N",BR267,ROUNDDOWN((I267-L267)*設定!$B$10/1000,0)+ROUNDDOWN((I267-L267)*設定!$B$11/1000,0))</f>
        <v>0</v>
      </c>
      <c r="BK267" s="31" t="n">
        <f aca="false">ROUNDDOWN((I267-L267)*設定!$C$10/1000,0)+ROUNDDOWN((I267-L267)*設定!$C$11/1000,0)+ROUNDDOWN(I267*設定!$C$12/1000,0)+IF(CL267="市局型",ROUNDDOWN(I267*設定!$C$16/1000,0),0)</f>
        <v>0</v>
      </c>
      <c r="BL267" s="31" t="n">
        <f aca="false">IF(CK267="N",BT267,ROUNDDOWN((J267-M267)*設定!$B$13/1000,0))</f>
        <v>0</v>
      </c>
      <c r="BM267" s="31" t="n">
        <f aca="false">ROUNDDOWN((J267-M267)*設定!$C$13/1000,0)+IF(CL267="市局型",ROUNDDOWN(J267*設定!$C$17/1000,0),0)</f>
        <v>0</v>
      </c>
      <c r="BN267" s="31" t="n">
        <f aca="false">IF(CK267="N",BV267,ROUNDDOWN((K267-N267)*設定!$B$14/1000,0))</f>
        <v>0</v>
      </c>
      <c r="BO267" s="31" t="n">
        <f aca="false">ROUNDDOWN((K267-N267)*設定!$C$14/1000,0)</f>
        <v>0</v>
      </c>
      <c r="BP267" s="31" t="n">
        <f aca="false">IF(CK267="N",BX267,ROUNDDOWN((J267-M267)*設定!$B$15/1000,0))</f>
        <v>0</v>
      </c>
      <c r="BQ267" s="31" t="n">
        <f aca="false">ROUNDDOWN((J267-M267)*設定!$C$15/1000,0)</f>
        <v>0</v>
      </c>
      <c r="BR267" s="31" t="n">
        <f aca="false">O267+P267</f>
        <v>61380</v>
      </c>
      <c r="BS267" s="31" t="n">
        <f aca="false">T267+U267+V267</f>
        <v>61433</v>
      </c>
      <c r="BT267" s="31" t="n">
        <f aca="false">Q267</f>
        <v>32153</v>
      </c>
      <c r="BU267" s="31" t="n">
        <f aca="false">W267</f>
        <v>32184</v>
      </c>
      <c r="BV267" s="31" t="n">
        <f aca="false">R267</f>
        <v>4898</v>
      </c>
      <c r="BW267" s="31" t="n">
        <f aca="false">X267</f>
        <v>4898</v>
      </c>
      <c r="BX267" s="31" t="n">
        <f aca="false">S267</f>
        <v>713</v>
      </c>
      <c r="BY267" s="31" t="n">
        <f aca="false">Y267</f>
        <v>713</v>
      </c>
      <c r="BZ267" s="32" t="n">
        <f aca="false">IF(BJ267=0,IF(BR267=0,0,1),(BR267-BJ267)/BJ267)</f>
        <v>1</v>
      </c>
      <c r="CA267" s="32" t="n">
        <f aca="false">IF(BK267=0,IF(BS267=0,0,1),(BS267-BK267)/BK267)</f>
        <v>1</v>
      </c>
      <c r="CB267" s="32" t="n">
        <f aca="false">IF(BL267=0,IF(BT267=0,0,1),(BT267-BL267)/BL267)</f>
        <v>1</v>
      </c>
      <c r="CC267" s="32" t="n">
        <f aca="false">IF(BM267=0,IF(BU267=0,0,1),(BU267-BM267)/BM267)</f>
        <v>1</v>
      </c>
      <c r="CD267" s="32" t="n">
        <f aca="false">IF(BN267=0,IF(BV267=0,0,1),(BV267-BN267)/BN267)</f>
        <v>1</v>
      </c>
      <c r="CE267" s="32" t="n">
        <f aca="false">IF(BO267=0,IF(BW267=0,0,1),(BW267-BO267)/BO267)</f>
        <v>1</v>
      </c>
      <c r="CF267" s="32" t="n">
        <f aca="false">IF(BP267=0,IF(BX267=0,0,1),(BX267-BP267)/BP267)</f>
        <v>1</v>
      </c>
      <c r="CG267" s="32" t="n">
        <f aca="false">IF(BQ267=0,IF(BY267=0,0,1),(BY267-BQ267)/BQ267)</f>
        <v>1</v>
      </c>
      <c r="CH267" s="32" t="n">
        <f aca="false">MAX(MAX(BZ267:CG267),-MIN(BZ267:CG267))</f>
        <v>1</v>
      </c>
      <c r="CI267" s="31" t="n">
        <f aca="false">IF(CO267="","",SUMIFS($CJ$7:$CJ$696,$A$7:$A$696,CO267,$B$7:$B$696,B267))</f>
        <v>198372</v>
      </c>
      <c r="CJ267" s="31" t="n">
        <f aca="false">SUM(AY267:BI267)</f>
        <v>198372</v>
      </c>
      <c r="CK267" s="31" t="str">
        <f aca="false">IFERROR(INDEX(設定!$F$61:$F$106,MATCH(B267,設定!$B$61:$B$106,0)),"Y")</f>
        <v>Y</v>
      </c>
      <c r="CL267" s="31" t="str">
        <f aca="false">IFERROR(INDEX(設定!$G$61:$G$106,MATCH(B267,設定!$B$61:$B$106,0)),"外郭型")</f>
        <v>外郭型</v>
      </c>
      <c r="CM267" s="33" t="str">
        <f aca="false">A267&amp;"|"&amp;B267</f>
        <v>2026-08 月例|広島県市長会</v>
      </c>
      <c r="CN267" s="34" t="str">
        <f aca="false">IFERROR(INDEX(設定!$D$61:$D$106,MATCH(B267,設定!$B$61:$B$106,0)),"Y")</f>
        <v>Y</v>
      </c>
      <c r="CO267" s="34" t="str">
        <f aca="false">IFERROR(INDEX(設定!$D$20:$D$34,MATCH(A267,設定!$A$20:$A$34,0))&amp;"","")</f>
        <v>2026-07 月例</v>
      </c>
    </row>
    <row r="268" customFormat="false" ht="15" hidden="true" customHeight="false" outlineLevel="0" collapsed="false">
      <c r="A268" s="22" t="s">
        <v>221</v>
      </c>
      <c r="B268" s="23" t="s">
        <v>200</v>
      </c>
      <c r="C268" s="10" t="str">
        <f aca="false">IF(G268="","未受領",IF(G268="なし","報告なし",IF(AL268="○","起票済",IF(OR(AK268="○",F268="一致",F268="入金不要"),"入金確認済","受領済"))))</f>
        <v>入金確認済</v>
      </c>
      <c r="D268" s="10" t="str">
        <f aca="false">IF(OR(G268="",G268="なし"),"―",IF(CN268="N","対象外",IF(AND(I268="",J268="",K268=""),"標報未入力",IF(CH268&gt;=設定!$B$4,"要確認","問題なし"))))</f>
        <v>標報未入力</v>
      </c>
      <c r="E268" s="24" t="str">
        <f aca="false">IF(OR(G268="",G268="なし",CI268="",CJ268=0),"―",IF(CJ268=CI268,"前月同額",IF(CI268=0,"―",IF(ABS(CJ268/CI268-1)&gt;=設定!$B$5,"変動大 "&amp;TEXT(CJ268/CI268-1,"+0%;-0%"),"〇"))))</f>
        <v>前月同額</v>
      </c>
      <c r="F268" s="10" t="str">
        <f aca="false">IF(OR(G268="",G268="なし"),"―",IF(CJ268=0,"入金不要",IF(COUNT(AD268,AF268,AH268,AJ268)=0,IF(AK268="○","手動確認","未入金"),IF(AND(N(AD268)=AC268,IF(AE268="",TRUE(),N(AF268)=AE268),IF(AG268="",TRUE(),N(AH268)=AG268),IF(AI268="",TRUE(),N(AJ268)=AI268)),"一致","不一致"))))</f>
        <v>手動確認</v>
      </c>
      <c r="G268" s="25" t="s">
        <v>167</v>
      </c>
      <c r="H268" s="26"/>
      <c r="I268" s="27"/>
      <c r="J268" s="27"/>
      <c r="K268" s="27"/>
      <c r="L268" s="27"/>
      <c r="M268" s="27"/>
      <c r="N268" s="27"/>
      <c r="O268" s="27" t="n">
        <v>59475</v>
      </c>
      <c r="P268" s="27" t="n">
        <v>4875</v>
      </c>
      <c r="Q268" s="27" t="n">
        <v>38895</v>
      </c>
      <c r="R268" s="27" t="n">
        <v>5925</v>
      </c>
      <c r="S268" s="27" t="n">
        <v>862</v>
      </c>
      <c r="T268" s="27" t="n">
        <v>59475</v>
      </c>
      <c r="U268" s="27" t="n">
        <v>4875</v>
      </c>
      <c r="V268" s="27" t="n">
        <v>56</v>
      </c>
      <c r="W268" s="27" t="n">
        <v>38932</v>
      </c>
      <c r="X268" s="27" t="n">
        <v>5925</v>
      </c>
      <c r="Y268" s="27" t="n">
        <v>862</v>
      </c>
      <c r="Z268" s="27"/>
      <c r="AA268" s="10" t="str">
        <f aca="false">IFERROR(INDEX(設定!$E$61:$E$106,MATCH(B268,設定!$B$61:$B$106,0)),"合算")</f>
        <v>合算</v>
      </c>
      <c r="AB268" s="28"/>
      <c r="AC268" s="29" t="n">
        <f aca="false">IF(OR(G268="",G268="なし"),"",IF(AA268="合算",CJ268+N(Z268),IF(AA268="掛金・負担金別",(AY268+AZ268+BD268+BF268+BH268),SUM(AY268:BC268))))</f>
        <v>220157</v>
      </c>
      <c r="AD268" s="27"/>
      <c r="AE268" s="29" t="str">
        <f aca="false">IF(OR(G268="",G268="なし"),"",IF(AA268="掛金・負担金別",(BA268+BB268+BC268+BE268+BG268+BI268+N(Z268)),IF(AA268="経理区分別",BD268+BE268,"")))</f>
        <v/>
      </c>
      <c r="AF268" s="27"/>
      <c r="AG268" s="29" t="str">
        <f aca="false">IF(OR(G268="",G268="なし"),"",IF(AA268="経理区分別",BF268+BG268,""))</f>
        <v/>
      </c>
      <c r="AH268" s="27"/>
      <c r="AI268" s="29" t="str">
        <f aca="false">IF(OR(G268="",G268="なし"),"",IF(AA268="経理区分別",BH268+BI268+N(Z268),""))</f>
        <v/>
      </c>
      <c r="AJ268" s="27"/>
      <c r="AK268" s="26" t="s">
        <v>168</v>
      </c>
      <c r="AL268" s="26"/>
      <c r="AM268" s="30"/>
      <c r="AN268" s="31"/>
      <c r="AO268" s="31"/>
      <c r="AP268" s="31"/>
      <c r="AQ268" s="31"/>
      <c r="AR268" s="31"/>
      <c r="AS268" s="31"/>
      <c r="AT268" s="31"/>
      <c r="AU268" s="31"/>
      <c r="AV268" s="31"/>
      <c r="AW268" s="31"/>
      <c r="AX268" s="31"/>
      <c r="AY268" s="31" t="n">
        <f aca="false">IF($G268="",AN268,O268)</f>
        <v>59475</v>
      </c>
      <c r="AZ268" s="31" t="n">
        <f aca="false">IF($G268="",AO268,P268)</f>
        <v>4875</v>
      </c>
      <c r="BA268" s="31" t="n">
        <f aca="false">IF($G268="",AP268,T268)</f>
        <v>59475</v>
      </c>
      <c r="BB268" s="31" t="n">
        <f aca="false">IF($G268="",AQ268,U268)</f>
        <v>4875</v>
      </c>
      <c r="BC268" s="31" t="n">
        <f aca="false">IF($G268="",AR268,V268)</f>
        <v>56</v>
      </c>
      <c r="BD268" s="31" t="n">
        <f aca="false">IF($G268="",AS268,Q268)</f>
        <v>38895</v>
      </c>
      <c r="BE268" s="31" t="n">
        <f aca="false">IF($G268="",AT268,W268)</f>
        <v>38932</v>
      </c>
      <c r="BF268" s="31" t="n">
        <f aca="false">IF($G268="",AU268,R268)</f>
        <v>5925</v>
      </c>
      <c r="BG268" s="31" t="n">
        <f aca="false">IF($G268="",AV268,X268)</f>
        <v>5925</v>
      </c>
      <c r="BH268" s="31" t="n">
        <f aca="false">IF($G268="",AW268,S268)</f>
        <v>862</v>
      </c>
      <c r="BI268" s="31" t="n">
        <f aca="false">IF($G268="",AX268,Y268)</f>
        <v>862</v>
      </c>
      <c r="BJ268" s="31" t="n">
        <f aca="false">IF(CK268="N",BR268,ROUNDDOWN((I268-L268)*設定!$B$10/1000,0)+ROUNDDOWN((I268-L268)*設定!$B$11/1000,0))</f>
        <v>0</v>
      </c>
      <c r="BK268" s="31" t="n">
        <f aca="false">ROUNDDOWN((I268-L268)*設定!$C$10/1000,0)+ROUNDDOWN((I268-L268)*設定!$C$11/1000,0)+ROUNDDOWN(I268*設定!$C$12/1000,0)+IF(CL268="市局型",ROUNDDOWN(I268*設定!$C$16/1000,0),0)</f>
        <v>0</v>
      </c>
      <c r="BL268" s="31" t="n">
        <f aca="false">IF(CK268="N",BT268,ROUNDDOWN((J268-M268)*設定!$B$13/1000,0))</f>
        <v>0</v>
      </c>
      <c r="BM268" s="31" t="n">
        <f aca="false">ROUNDDOWN((J268-M268)*設定!$C$13/1000,0)+IF(CL268="市局型",ROUNDDOWN(J268*設定!$C$17/1000,0),0)</f>
        <v>0</v>
      </c>
      <c r="BN268" s="31" t="n">
        <f aca="false">IF(CK268="N",BV268,ROUNDDOWN((K268-N268)*設定!$B$14/1000,0))</f>
        <v>0</v>
      </c>
      <c r="BO268" s="31" t="n">
        <f aca="false">ROUNDDOWN((K268-N268)*設定!$C$14/1000,0)</f>
        <v>0</v>
      </c>
      <c r="BP268" s="31" t="n">
        <f aca="false">IF(CK268="N",BX268,ROUNDDOWN((J268-M268)*設定!$B$15/1000,0))</f>
        <v>0</v>
      </c>
      <c r="BQ268" s="31" t="n">
        <f aca="false">ROUNDDOWN((J268-M268)*設定!$C$15/1000,0)</f>
        <v>0</v>
      </c>
      <c r="BR268" s="31" t="n">
        <f aca="false">O268+P268</f>
        <v>64350</v>
      </c>
      <c r="BS268" s="31" t="n">
        <f aca="false">T268+U268+V268</f>
        <v>64406</v>
      </c>
      <c r="BT268" s="31" t="n">
        <f aca="false">Q268</f>
        <v>38895</v>
      </c>
      <c r="BU268" s="31" t="n">
        <f aca="false">W268</f>
        <v>38932</v>
      </c>
      <c r="BV268" s="31" t="n">
        <f aca="false">R268</f>
        <v>5925</v>
      </c>
      <c r="BW268" s="31" t="n">
        <f aca="false">X268</f>
        <v>5925</v>
      </c>
      <c r="BX268" s="31" t="n">
        <f aca="false">S268</f>
        <v>862</v>
      </c>
      <c r="BY268" s="31" t="n">
        <f aca="false">Y268</f>
        <v>862</v>
      </c>
      <c r="BZ268" s="32" t="n">
        <f aca="false">IF(BJ268=0,IF(BR268=0,0,1),(BR268-BJ268)/BJ268)</f>
        <v>1</v>
      </c>
      <c r="CA268" s="32" t="n">
        <f aca="false">IF(BK268=0,IF(BS268=0,0,1),(BS268-BK268)/BK268)</f>
        <v>1</v>
      </c>
      <c r="CB268" s="32" t="n">
        <f aca="false">IF(BL268=0,IF(BT268=0,0,1),(BT268-BL268)/BL268)</f>
        <v>1</v>
      </c>
      <c r="CC268" s="32" t="n">
        <f aca="false">IF(BM268=0,IF(BU268=0,0,1),(BU268-BM268)/BM268)</f>
        <v>1</v>
      </c>
      <c r="CD268" s="32" t="n">
        <f aca="false">IF(BN268=0,IF(BV268=0,0,1),(BV268-BN268)/BN268)</f>
        <v>1</v>
      </c>
      <c r="CE268" s="32" t="n">
        <f aca="false">IF(BO268=0,IF(BW268=0,0,1),(BW268-BO268)/BO268)</f>
        <v>1</v>
      </c>
      <c r="CF268" s="32" t="n">
        <f aca="false">IF(BP268=0,IF(BX268=0,0,1),(BX268-BP268)/BP268)</f>
        <v>1</v>
      </c>
      <c r="CG268" s="32" t="n">
        <f aca="false">IF(BQ268=0,IF(BY268=0,0,1),(BY268-BQ268)/BQ268)</f>
        <v>1</v>
      </c>
      <c r="CH268" s="32" t="n">
        <f aca="false">MAX(MAX(BZ268:CG268),-MIN(BZ268:CG268))</f>
        <v>1</v>
      </c>
      <c r="CI268" s="31" t="n">
        <f aca="false">IF(CO268="","",SUMIFS($CJ$7:$CJ$696,$A$7:$A$696,CO268,$B$7:$B$696,B268))</f>
        <v>220157</v>
      </c>
      <c r="CJ268" s="31" t="n">
        <f aca="false">SUM(AY268:BI268)</f>
        <v>220157</v>
      </c>
      <c r="CK268" s="31" t="str">
        <f aca="false">IFERROR(INDEX(設定!$F$61:$F$106,MATCH(B268,設定!$B$61:$B$106,0)),"Y")</f>
        <v>Y</v>
      </c>
      <c r="CL268" s="31" t="str">
        <f aca="false">IFERROR(INDEX(設定!$G$61:$G$106,MATCH(B268,設定!$B$61:$B$106,0)),"外郭型")</f>
        <v>外郭型</v>
      </c>
      <c r="CM268" s="33" t="str">
        <f aca="false">A268&amp;"|"&amp;B268</f>
        <v>2026-08 月例|全国市町村研修財団</v>
      </c>
      <c r="CN268" s="34" t="str">
        <f aca="false">IFERROR(INDEX(設定!$D$61:$D$106,MATCH(B268,設定!$B$61:$B$106,0)),"Y")</f>
        <v>Y</v>
      </c>
      <c r="CO268" s="34" t="str">
        <f aca="false">IFERROR(INDEX(設定!$D$20:$D$34,MATCH(A268,設定!$A$20:$A$34,0))&amp;"","")</f>
        <v>2026-07 月例</v>
      </c>
    </row>
    <row r="269" customFormat="false" ht="15" hidden="true" customHeight="false" outlineLevel="0" collapsed="false">
      <c r="A269" s="22" t="s">
        <v>221</v>
      </c>
      <c r="B269" s="23" t="s">
        <v>201</v>
      </c>
      <c r="C269" s="10" t="str">
        <f aca="false">IF(G269="","未受領",IF(G269="なし","報告なし",IF(AL269="○","起票済",IF(OR(AK269="○",F269="一致",F269="入金不要"),"入金確認済","受領済"))))</f>
        <v>入金確認済</v>
      </c>
      <c r="D269" s="10" t="str">
        <f aca="false">IF(OR(G269="",G269="なし"),"―",IF(CN269="N","対象外",IF(AND(I269="",J269="",K269=""),"標報未入力",IF(CH269&gt;=設定!$B$4,"要確認","問題なし"))))</f>
        <v>標報未入力</v>
      </c>
      <c r="E269" s="24" t="str">
        <f aca="false">IF(OR(G269="",G269="なし",CI269="",CJ269=0),"―",IF(CJ269=CI269,"前月同額",IF(CI269=0,"―",IF(ABS(CJ269/CI269-1)&gt;=設定!$B$5,"変動大 "&amp;TEXT(CJ269/CI269-1,"+0%;-0%"),"〇"))))</f>
        <v>前月同額</v>
      </c>
      <c r="F269" s="10" t="str">
        <f aca="false">IF(OR(G269="",G269="なし"),"―",IF(CJ269=0,"入金不要",IF(COUNT(AD269,AF269,AH269,AJ269)=0,IF(AK269="○","手動確認","未入金"),IF(AND(N(AD269)=AC269,IF(AE269="",TRUE(),N(AF269)=AE269),IF(AG269="",TRUE(),N(AH269)=AG269),IF(AI269="",TRUE(),N(AJ269)=AI269)),"一致","不一致"))))</f>
        <v>手動確認</v>
      </c>
      <c r="G269" s="25" t="s">
        <v>167</v>
      </c>
      <c r="H269" s="26"/>
      <c r="I269" s="27"/>
      <c r="J269" s="27"/>
      <c r="K269" s="27"/>
      <c r="L269" s="27"/>
      <c r="M269" s="27"/>
      <c r="N269" s="27"/>
      <c r="O269" s="27" t="n">
        <v>45750</v>
      </c>
      <c r="P269" s="27" t="n">
        <v>3750</v>
      </c>
      <c r="Q269" s="27" t="n">
        <v>25930</v>
      </c>
      <c r="R269" s="27" t="n">
        <v>0</v>
      </c>
      <c r="S269" s="27" t="n">
        <v>575</v>
      </c>
      <c r="T269" s="27" t="n">
        <v>45750</v>
      </c>
      <c r="U269" s="27" t="n">
        <v>3750</v>
      </c>
      <c r="V269" s="27" t="n">
        <v>43</v>
      </c>
      <c r="W269" s="27" t="n">
        <v>25955</v>
      </c>
      <c r="X269" s="27" t="n">
        <v>0</v>
      </c>
      <c r="Y269" s="27" t="n">
        <v>575</v>
      </c>
      <c r="Z269" s="27"/>
      <c r="AA269" s="10" t="str">
        <f aca="false">IFERROR(INDEX(設定!$E$61:$E$106,MATCH(B269,設定!$B$61:$B$106,0)),"合算")</f>
        <v>合算</v>
      </c>
      <c r="AB269" s="28"/>
      <c r="AC269" s="29" t="n">
        <f aca="false">IF(OR(G269="",G269="なし"),"",IF(AA269="合算",CJ269+N(Z269),IF(AA269="掛金・負担金別",(AY269+AZ269+BD269+BF269+BH269),SUM(AY269:BC269))))</f>
        <v>152078</v>
      </c>
      <c r="AD269" s="27"/>
      <c r="AE269" s="29" t="str">
        <f aca="false">IF(OR(G269="",G269="なし"),"",IF(AA269="掛金・負担金別",(BA269+BB269+BC269+BE269+BG269+BI269+N(Z269)),IF(AA269="経理区分別",BD269+BE269,"")))</f>
        <v/>
      </c>
      <c r="AF269" s="27"/>
      <c r="AG269" s="29" t="str">
        <f aca="false">IF(OR(G269="",G269="なし"),"",IF(AA269="経理区分別",BF269+BG269,""))</f>
        <v/>
      </c>
      <c r="AH269" s="27"/>
      <c r="AI269" s="29" t="str">
        <f aca="false">IF(OR(G269="",G269="なし"),"",IF(AA269="経理区分別",BH269+BI269+N(Z269),""))</f>
        <v/>
      </c>
      <c r="AJ269" s="27"/>
      <c r="AK269" s="26" t="s">
        <v>168</v>
      </c>
      <c r="AL269" s="26"/>
      <c r="AM269" s="30"/>
      <c r="AN269" s="31"/>
      <c r="AO269" s="31"/>
      <c r="AP269" s="31"/>
      <c r="AQ269" s="31"/>
      <c r="AR269" s="31"/>
      <c r="AS269" s="31"/>
      <c r="AT269" s="31"/>
      <c r="AU269" s="31"/>
      <c r="AV269" s="31"/>
      <c r="AW269" s="31"/>
      <c r="AX269" s="31"/>
      <c r="AY269" s="31" t="n">
        <f aca="false">IF($G269="",AN269,O269)</f>
        <v>45750</v>
      </c>
      <c r="AZ269" s="31" t="n">
        <f aca="false">IF($G269="",AO269,P269)</f>
        <v>3750</v>
      </c>
      <c r="BA269" s="31" t="n">
        <f aca="false">IF($G269="",AP269,T269)</f>
        <v>45750</v>
      </c>
      <c r="BB269" s="31" t="n">
        <f aca="false">IF($G269="",AQ269,U269)</f>
        <v>3750</v>
      </c>
      <c r="BC269" s="31" t="n">
        <f aca="false">IF($G269="",AR269,V269)</f>
        <v>43</v>
      </c>
      <c r="BD269" s="31" t="n">
        <f aca="false">IF($G269="",AS269,Q269)</f>
        <v>25930</v>
      </c>
      <c r="BE269" s="31" t="n">
        <f aca="false">IF($G269="",AT269,W269)</f>
        <v>25955</v>
      </c>
      <c r="BF269" s="31" t="n">
        <f aca="false">IF($G269="",AU269,R269)</f>
        <v>0</v>
      </c>
      <c r="BG269" s="31" t="n">
        <f aca="false">IF($G269="",AV269,X269)</f>
        <v>0</v>
      </c>
      <c r="BH269" s="31" t="n">
        <f aca="false">IF($G269="",AW269,S269)</f>
        <v>575</v>
      </c>
      <c r="BI269" s="31" t="n">
        <f aca="false">IF($G269="",AX269,Y269)</f>
        <v>575</v>
      </c>
      <c r="BJ269" s="31" t="n">
        <f aca="false">IF(CK269="N",BR269,ROUNDDOWN((I269-L269)*設定!$B$10/1000,0)+ROUNDDOWN((I269-L269)*設定!$B$11/1000,0))</f>
        <v>0</v>
      </c>
      <c r="BK269" s="31" t="n">
        <f aca="false">ROUNDDOWN((I269-L269)*設定!$C$10/1000,0)+ROUNDDOWN((I269-L269)*設定!$C$11/1000,0)+ROUNDDOWN(I269*設定!$C$12/1000,0)+IF(CL269="市局型",ROUNDDOWN(I269*設定!$C$16/1000,0),0)</f>
        <v>0</v>
      </c>
      <c r="BL269" s="31" t="n">
        <f aca="false">IF(CK269="N",BT269,ROUNDDOWN((J269-M269)*設定!$B$13/1000,0))</f>
        <v>0</v>
      </c>
      <c r="BM269" s="31" t="n">
        <f aca="false">ROUNDDOWN((J269-M269)*設定!$C$13/1000,0)+IF(CL269="市局型",ROUNDDOWN(J269*設定!$C$17/1000,0),0)</f>
        <v>0</v>
      </c>
      <c r="BN269" s="31" t="n">
        <f aca="false">IF(CK269="N",BV269,ROUNDDOWN((K269-N269)*設定!$B$14/1000,0))</f>
        <v>0</v>
      </c>
      <c r="BO269" s="31" t="n">
        <f aca="false">ROUNDDOWN((K269-N269)*設定!$C$14/1000,0)</f>
        <v>0</v>
      </c>
      <c r="BP269" s="31" t="n">
        <f aca="false">IF(CK269="N",BX269,ROUNDDOWN((J269-M269)*設定!$B$15/1000,0))</f>
        <v>0</v>
      </c>
      <c r="BQ269" s="31" t="n">
        <f aca="false">ROUNDDOWN((J269-M269)*設定!$C$15/1000,0)</f>
        <v>0</v>
      </c>
      <c r="BR269" s="31" t="n">
        <f aca="false">O269+P269</f>
        <v>49500</v>
      </c>
      <c r="BS269" s="31" t="n">
        <f aca="false">T269+U269+V269</f>
        <v>49543</v>
      </c>
      <c r="BT269" s="31" t="n">
        <f aca="false">Q269</f>
        <v>25930</v>
      </c>
      <c r="BU269" s="31" t="n">
        <f aca="false">W269</f>
        <v>25955</v>
      </c>
      <c r="BV269" s="31" t="n">
        <f aca="false">R269</f>
        <v>0</v>
      </c>
      <c r="BW269" s="31" t="n">
        <f aca="false">X269</f>
        <v>0</v>
      </c>
      <c r="BX269" s="31" t="n">
        <f aca="false">S269</f>
        <v>575</v>
      </c>
      <c r="BY269" s="31" t="n">
        <f aca="false">Y269</f>
        <v>575</v>
      </c>
      <c r="BZ269" s="32" t="n">
        <f aca="false">IF(BJ269=0,IF(BR269=0,0,1),(BR269-BJ269)/BJ269)</f>
        <v>1</v>
      </c>
      <c r="CA269" s="32" t="n">
        <f aca="false">IF(BK269=0,IF(BS269=0,0,1),(BS269-BK269)/BK269)</f>
        <v>1</v>
      </c>
      <c r="CB269" s="32" t="n">
        <f aca="false">IF(BL269=0,IF(BT269=0,0,1),(BT269-BL269)/BL269)</f>
        <v>1</v>
      </c>
      <c r="CC269" s="32" t="n">
        <f aca="false">IF(BM269=0,IF(BU269=0,0,1),(BU269-BM269)/BM269)</f>
        <v>1</v>
      </c>
      <c r="CD269" s="32" t="n">
        <f aca="false">IF(BN269=0,IF(BV269=0,0,1),(BV269-BN269)/BN269)</f>
        <v>0</v>
      </c>
      <c r="CE269" s="32" t="n">
        <f aca="false">IF(BO269=0,IF(BW269=0,0,1),(BW269-BO269)/BO269)</f>
        <v>0</v>
      </c>
      <c r="CF269" s="32" t="n">
        <f aca="false">IF(BP269=0,IF(BX269=0,0,1),(BX269-BP269)/BP269)</f>
        <v>1</v>
      </c>
      <c r="CG269" s="32" t="n">
        <f aca="false">IF(BQ269=0,IF(BY269=0,0,1),(BY269-BQ269)/BQ269)</f>
        <v>1</v>
      </c>
      <c r="CH269" s="32" t="n">
        <f aca="false">MAX(MAX(BZ269:CG269),-MIN(BZ269:CG269))</f>
        <v>1</v>
      </c>
      <c r="CI269" s="31" t="n">
        <f aca="false">IF(CO269="","",SUMIFS($CJ$7:$CJ$696,$A$7:$A$696,CO269,$B$7:$B$696,B269))</f>
        <v>152078</v>
      </c>
      <c r="CJ269" s="31" t="n">
        <f aca="false">SUM(AY269:BI269)</f>
        <v>152078</v>
      </c>
      <c r="CK269" s="31" t="str">
        <f aca="false">IFERROR(INDEX(設定!$F$61:$F$106,MATCH(B269,設定!$B$61:$B$106,0)),"Y")</f>
        <v>Y</v>
      </c>
      <c r="CL269" s="31" t="str">
        <f aca="false">IFERROR(INDEX(設定!$G$61:$G$106,MATCH(B269,設定!$B$61:$B$106,0)),"外郭型")</f>
        <v>外郭型</v>
      </c>
      <c r="CM269" s="33" t="str">
        <f aca="false">A269&amp;"|"&amp;B269</f>
        <v>2026-08 月例|都市再生機構</v>
      </c>
      <c r="CN269" s="34" t="str">
        <f aca="false">IFERROR(INDEX(設定!$D$61:$D$106,MATCH(B269,設定!$B$61:$B$106,0)),"Y")</f>
        <v>Y</v>
      </c>
      <c r="CO269" s="34" t="str">
        <f aca="false">IFERROR(INDEX(設定!$D$20:$D$34,MATCH(A269,設定!$A$20:$A$34,0))&amp;"","")</f>
        <v>2026-07 月例</v>
      </c>
    </row>
    <row r="270" customFormat="false" ht="15" hidden="true" customHeight="false" outlineLevel="0" collapsed="false">
      <c r="A270" s="22" t="s">
        <v>221</v>
      </c>
      <c r="B270" s="23" t="s">
        <v>202</v>
      </c>
      <c r="C270" s="10" t="str">
        <f aca="false">IF(G270="","未受領",IF(G270="なし","報告なし",IF(AL270="○","起票済",IF(OR(AK270="○",F270="一致",F270="入金不要"),"入金確認済","受領済"))))</f>
        <v>入金確認済</v>
      </c>
      <c r="D270" s="10" t="str">
        <f aca="false">IF(OR(G270="",G270="なし"),"―",IF(CN270="N","対象外",IF(AND(I270="",J270="",K270=""),"標報未入力",IF(CH270&gt;=設定!$B$4,"要確認","問題なし"))))</f>
        <v>標報未入力</v>
      </c>
      <c r="E270" s="24" t="str">
        <f aca="false">IF(OR(G270="",G270="なし",CI270="",CJ270=0),"―",IF(CJ270=CI270,"前月同額",IF(CI270=0,"―",IF(ABS(CJ270/CI270-1)&gt;=設定!$B$5,"変動大 "&amp;TEXT(CJ270/CI270-1,"+0%;-0%"),"〇"))))</f>
        <v>前月同額</v>
      </c>
      <c r="F270" s="10" t="str">
        <f aca="false">IF(OR(G270="",G270="なし"),"―",IF(CJ270=0,"入金不要",IF(COUNT(AD270,AF270,AH270,AJ270)=0,IF(AK270="○","手動確認","未入金"),IF(AND(N(AD270)=AC270,IF(AE270="",TRUE(),N(AF270)=AE270),IF(AG270="",TRUE(),N(AH270)=AG270),IF(AI270="",TRUE(),N(AJ270)=AI270)),"一致","不一致"))))</f>
        <v>手動確認</v>
      </c>
      <c r="G270" s="25" t="s">
        <v>167</v>
      </c>
      <c r="H270" s="26"/>
      <c r="I270" s="27"/>
      <c r="J270" s="27"/>
      <c r="K270" s="27"/>
      <c r="L270" s="27"/>
      <c r="M270" s="27"/>
      <c r="N270" s="27"/>
      <c r="O270" s="27" t="n">
        <v>1231590</v>
      </c>
      <c r="P270" s="27" t="n">
        <v>100950</v>
      </c>
      <c r="Q270" s="27" t="n">
        <v>708914</v>
      </c>
      <c r="R270" s="27" t="n">
        <v>82002</v>
      </c>
      <c r="S270" s="27" t="n">
        <v>15716</v>
      </c>
      <c r="T270" s="27" t="n">
        <v>1231590</v>
      </c>
      <c r="U270" s="27" t="n">
        <v>100950</v>
      </c>
      <c r="V270" s="27" t="n">
        <v>1237</v>
      </c>
      <c r="W270" s="27" t="n">
        <v>709649</v>
      </c>
      <c r="X270" s="27" t="n">
        <v>82002</v>
      </c>
      <c r="Y270" s="27" t="n">
        <v>15720</v>
      </c>
      <c r="Z270" s="27"/>
      <c r="AA270" s="10" t="str">
        <f aca="false">IFERROR(INDEX(設定!$E$61:$E$106,MATCH(B270,設定!$B$61:$B$106,0)),"合算")</f>
        <v>合算</v>
      </c>
      <c r="AB270" s="28"/>
      <c r="AC270" s="29" t="n">
        <f aca="false">IF(OR(G270="",G270="なし"),"",IF(AA270="合算",CJ270+N(Z270),IF(AA270="掛金・負担金別",(AY270+AZ270+BD270+BF270+BH270),SUM(AY270:BC270))))</f>
        <v>4280320</v>
      </c>
      <c r="AD270" s="27"/>
      <c r="AE270" s="29" t="str">
        <f aca="false">IF(OR(G270="",G270="なし"),"",IF(AA270="掛金・負担金別",(BA270+BB270+BC270+BE270+BG270+BI270+N(Z270)),IF(AA270="経理区分別",BD270+BE270,"")))</f>
        <v/>
      </c>
      <c r="AF270" s="27"/>
      <c r="AG270" s="29" t="str">
        <f aca="false">IF(OR(G270="",G270="なし"),"",IF(AA270="経理区分別",BF270+BG270,""))</f>
        <v/>
      </c>
      <c r="AH270" s="27"/>
      <c r="AI270" s="29" t="str">
        <f aca="false">IF(OR(G270="",G270="なし"),"",IF(AA270="経理区分別",BH270+BI270+N(Z270),""))</f>
        <v/>
      </c>
      <c r="AJ270" s="27"/>
      <c r="AK270" s="26" t="s">
        <v>168</v>
      </c>
      <c r="AL270" s="26"/>
      <c r="AM270" s="30"/>
      <c r="AN270" s="31"/>
      <c r="AO270" s="31"/>
      <c r="AP270" s="31"/>
      <c r="AQ270" s="31"/>
      <c r="AR270" s="31"/>
      <c r="AS270" s="31"/>
      <c r="AT270" s="31"/>
      <c r="AU270" s="31"/>
      <c r="AV270" s="31"/>
      <c r="AW270" s="31"/>
      <c r="AX270" s="31"/>
      <c r="AY270" s="31" t="n">
        <f aca="false">IF($G270="",AN270,O270)</f>
        <v>1231590</v>
      </c>
      <c r="AZ270" s="31" t="n">
        <f aca="false">IF($G270="",AO270,P270)</f>
        <v>100950</v>
      </c>
      <c r="BA270" s="31" t="n">
        <f aca="false">IF($G270="",AP270,T270)</f>
        <v>1231590</v>
      </c>
      <c r="BB270" s="31" t="n">
        <f aca="false">IF($G270="",AQ270,U270)</f>
        <v>100950</v>
      </c>
      <c r="BC270" s="31" t="n">
        <f aca="false">IF($G270="",AR270,V270)</f>
        <v>1237</v>
      </c>
      <c r="BD270" s="31" t="n">
        <f aca="false">IF($G270="",AS270,Q270)</f>
        <v>708914</v>
      </c>
      <c r="BE270" s="31" t="n">
        <f aca="false">IF($G270="",AT270,W270)</f>
        <v>709649</v>
      </c>
      <c r="BF270" s="31" t="n">
        <f aca="false">IF($G270="",AU270,R270)</f>
        <v>82002</v>
      </c>
      <c r="BG270" s="31" t="n">
        <f aca="false">IF($G270="",AV270,X270)</f>
        <v>82002</v>
      </c>
      <c r="BH270" s="31" t="n">
        <f aca="false">IF($G270="",AW270,S270)</f>
        <v>15716</v>
      </c>
      <c r="BI270" s="31" t="n">
        <f aca="false">IF($G270="",AX270,Y270)</f>
        <v>15720</v>
      </c>
      <c r="BJ270" s="31" t="n">
        <f aca="false">IF(CK270="N",BR270,ROUNDDOWN((I270-L270)*設定!$B$10/1000,0)+ROUNDDOWN((I270-L270)*設定!$B$11/1000,0))</f>
        <v>0</v>
      </c>
      <c r="BK270" s="31" t="n">
        <f aca="false">ROUNDDOWN((I270-L270)*設定!$C$10/1000,0)+ROUNDDOWN((I270-L270)*設定!$C$11/1000,0)+ROUNDDOWN(I270*設定!$C$12/1000,0)+IF(CL270="市局型",ROUNDDOWN(I270*設定!$C$16/1000,0),0)</f>
        <v>0</v>
      </c>
      <c r="BL270" s="31" t="n">
        <f aca="false">IF(CK270="N",BT270,ROUNDDOWN((J270-M270)*設定!$B$13/1000,0))</f>
        <v>0</v>
      </c>
      <c r="BM270" s="31" t="n">
        <f aca="false">ROUNDDOWN((J270-M270)*設定!$C$13/1000,0)+IF(CL270="市局型",ROUNDDOWN(J270*設定!$C$17/1000,0),0)</f>
        <v>0</v>
      </c>
      <c r="BN270" s="31" t="n">
        <f aca="false">IF(CK270="N",BV270,ROUNDDOWN((K270-N270)*設定!$B$14/1000,0))</f>
        <v>0</v>
      </c>
      <c r="BO270" s="31" t="n">
        <f aca="false">ROUNDDOWN((K270-N270)*設定!$C$14/1000,0)</f>
        <v>0</v>
      </c>
      <c r="BP270" s="31" t="n">
        <f aca="false">IF(CK270="N",BX270,ROUNDDOWN((J270-M270)*設定!$B$15/1000,0))</f>
        <v>0</v>
      </c>
      <c r="BQ270" s="31" t="n">
        <f aca="false">ROUNDDOWN((J270-M270)*設定!$C$15/1000,0)</f>
        <v>0</v>
      </c>
      <c r="BR270" s="31" t="n">
        <f aca="false">O270+P270</f>
        <v>1332540</v>
      </c>
      <c r="BS270" s="31" t="n">
        <f aca="false">T270+U270+V270</f>
        <v>1333777</v>
      </c>
      <c r="BT270" s="31" t="n">
        <f aca="false">Q270</f>
        <v>708914</v>
      </c>
      <c r="BU270" s="31" t="n">
        <f aca="false">W270</f>
        <v>709649</v>
      </c>
      <c r="BV270" s="31" t="n">
        <f aca="false">R270</f>
        <v>82002</v>
      </c>
      <c r="BW270" s="31" t="n">
        <f aca="false">X270</f>
        <v>82002</v>
      </c>
      <c r="BX270" s="31" t="n">
        <f aca="false">S270</f>
        <v>15716</v>
      </c>
      <c r="BY270" s="31" t="n">
        <f aca="false">Y270</f>
        <v>15720</v>
      </c>
      <c r="BZ270" s="32" t="n">
        <f aca="false">IF(BJ270=0,IF(BR270=0,0,1),(BR270-BJ270)/BJ270)</f>
        <v>1</v>
      </c>
      <c r="CA270" s="32" t="n">
        <f aca="false">IF(BK270=0,IF(BS270=0,0,1),(BS270-BK270)/BK270)</f>
        <v>1</v>
      </c>
      <c r="CB270" s="32" t="n">
        <f aca="false">IF(BL270=0,IF(BT270=0,0,1),(BT270-BL270)/BL270)</f>
        <v>1</v>
      </c>
      <c r="CC270" s="32" t="n">
        <f aca="false">IF(BM270=0,IF(BU270=0,0,1),(BU270-BM270)/BM270)</f>
        <v>1</v>
      </c>
      <c r="CD270" s="32" t="n">
        <f aca="false">IF(BN270=0,IF(BV270=0,0,1),(BV270-BN270)/BN270)</f>
        <v>1</v>
      </c>
      <c r="CE270" s="32" t="n">
        <f aca="false">IF(BO270=0,IF(BW270=0,0,1),(BW270-BO270)/BO270)</f>
        <v>1</v>
      </c>
      <c r="CF270" s="32" t="n">
        <f aca="false">IF(BP270=0,IF(BX270=0,0,1),(BX270-BP270)/BP270)</f>
        <v>1</v>
      </c>
      <c r="CG270" s="32" t="n">
        <f aca="false">IF(BQ270=0,IF(BY270=0,0,1),(BY270-BQ270)/BQ270)</f>
        <v>1</v>
      </c>
      <c r="CH270" s="32" t="n">
        <f aca="false">MAX(MAX(BZ270:CG270),-MIN(BZ270:CG270))</f>
        <v>1</v>
      </c>
      <c r="CI270" s="31" t="n">
        <f aca="false">IF(CO270="","",SUMIFS($CJ$7:$CJ$696,$A$7:$A$696,CO270,$B$7:$B$696,B270))</f>
        <v>4280320</v>
      </c>
      <c r="CJ270" s="31" t="n">
        <f aca="false">SUM(AY270:BI270)</f>
        <v>4280320</v>
      </c>
      <c r="CK270" s="31" t="str">
        <f aca="false">IFERROR(INDEX(設定!$F$61:$F$106,MATCH(B270,設定!$B$61:$B$106,0)),"Y")</f>
        <v>Y</v>
      </c>
      <c r="CL270" s="31" t="str">
        <f aca="false">IFERROR(INDEX(設定!$G$61:$G$106,MATCH(B270,設定!$B$61:$B$106,0)),"外郭型")</f>
        <v>外郭型</v>
      </c>
      <c r="CM270" s="33" t="str">
        <f aca="false">A270&amp;"|"&amp;B270</f>
        <v>2026-08 月例|広島市立大学</v>
      </c>
      <c r="CN270" s="34" t="str">
        <f aca="false">IFERROR(INDEX(設定!$D$61:$D$106,MATCH(B270,設定!$B$61:$B$106,0)),"Y")</f>
        <v>Y</v>
      </c>
      <c r="CO270" s="34" t="str">
        <f aca="false">IFERROR(INDEX(設定!$D$20:$D$34,MATCH(A270,設定!$A$20:$A$34,0))&amp;"","")</f>
        <v>2026-07 月例</v>
      </c>
    </row>
    <row r="271" customFormat="false" ht="15" hidden="true" customHeight="false" outlineLevel="0" collapsed="false">
      <c r="A271" s="22" t="s">
        <v>221</v>
      </c>
      <c r="B271" s="23" t="s">
        <v>203</v>
      </c>
      <c r="C271" s="10" t="str">
        <f aca="false">IF(G271="","未受領",IF(G271="なし","報告なし",IF(AL271="○","起票済",IF(OR(AK271="○",F271="一致",F271="入金不要"),"入金確認済","受領済"))))</f>
        <v>入金確認済</v>
      </c>
      <c r="D271" s="10" t="str">
        <f aca="false">IF(OR(G271="",G271="なし"),"―",IF(CN271="N","対象外",IF(AND(I271="",J271="",K271=""),"標報未入力",IF(CH271&gt;=設定!$B$4,"要確認","問題なし"))))</f>
        <v>標報未入力</v>
      </c>
      <c r="E271" s="24" t="str">
        <f aca="false">IF(OR(G271="",G271="なし",CI271="",CJ271=0),"―",IF(CJ271=CI271,"前月同額",IF(CI271=0,"―",IF(ABS(CJ271/CI271-1)&gt;=設定!$B$5,"変動大 "&amp;TEXT(CJ271/CI271-1,"+0%;-0%"),"〇"))))</f>
        <v>〇</v>
      </c>
      <c r="F271" s="10" t="str">
        <f aca="false">IF(OR(G271="",G271="なし"),"―",IF(CJ271=0,"入金不要",IF(COUNT(AD271,AF271,AH271,AJ271)=0,IF(AK271="○","手動確認","未入金"),IF(AND(N(AD271)=AC271,IF(AE271="",TRUE(),N(AF271)=AE271),IF(AG271="",TRUE(),N(AH271)=AG271),IF(AI271="",TRUE(),N(AJ271)=AI271)),"一致","不一致"))))</f>
        <v>手動確認</v>
      </c>
      <c r="G271" s="25" t="s">
        <v>167</v>
      </c>
      <c r="H271" s="26"/>
      <c r="I271" s="27"/>
      <c r="J271" s="27"/>
      <c r="K271" s="27"/>
      <c r="L271" s="27"/>
      <c r="M271" s="27"/>
      <c r="N271" s="27"/>
      <c r="O271" s="27"/>
      <c r="P271" s="27"/>
      <c r="Q271" s="27"/>
      <c r="R271" s="27"/>
      <c r="S271" s="27"/>
      <c r="T271" s="27" t="n">
        <v>245220</v>
      </c>
      <c r="U271" s="27" t="n">
        <v>20100</v>
      </c>
      <c r="V271" s="27" t="n">
        <v>233</v>
      </c>
      <c r="W271" s="27" t="n">
        <v>142234</v>
      </c>
      <c r="X271" s="27" t="n">
        <v>10507</v>
      </c>
      <c r="Y271" s="27" t="n">
        <v>3151</v>
      </c>
      <c r="Z271" s="27"/>
      <c r="AA271" s="10" t="str">
        <f aca="false">IFERROR(INDEX(設定!$E$61:$E$106,MATCH(B271,設定!$B$61:$B$106,0)),"合算")</f>
        <v>合算</v>
      </c>
      <c r="AB271" s="28"/>
      <c r="AC271" s="29" t="n">
        <f aca="false">IF(OR(G271="",G271="なし"),"",IF(AA271="合算",CJ271+N(Z271),IF(AA271="掛金・負担金別",(AY271+AZ271+BD271+BF271+BH271),SUM(AY271:BC271))))</f>
        <v>421445</v>
      </c>
      <c r="AD271" s="27"/>
      <c r="AE271" s="29" t="str">
        <f aca="false">IF(OR(G271="",G271="なし"),"",IF(AA271="掛金・負担金別",(BA271+BB271+BC271+BE271+BG271+BI271+N(Z271)),IF(AA271="経理区分別",BD271+BE271,"")))</f>
        <v/>
      </c>
      <c r="AF271" s="27"/>
      <c r="AG271" s="29" t="str">
        <f aca="false">IF(OR(G271="",G271="なし"),"",IF(AA271="経理区分別",BF271+BG271,""))</f>
        <v/>
      </c>
      <c r="AH271" s="27"/>
      <c r="AI271" s="29" t="str">
        <f aca="false">IF(OR(G271="",G271="なし"),"",IF(AA271="経理区分別",BH271+BI271+N(Z271),""))</f>
        <v/>
      </c>
      <c r="AJ271" s="27"/>
      <c r="AK271" s="26" t="s">
        <v>168</v>
      </c>
      <c r="AL271" s="26"/>
      <c r="AM271" s="30"/>
      <c r="AN271" s="31"/>
      <c r="AO271" s="31"/>
      <c r="AP271" s="31"/>
      <c r="AQ271" s="31"/>
      <c r="AR271" s="31"/>
      <c r="AS271" s="31"/>
      <c r="AT271" s="31"/>
      <c r="AU271" s="31"/>
      <c r="AV271" s="31"/>
      <c r="AW271" s="31"/>
      <c r="AX271" s="31"/>
      <c r="AY271" s="31" t="n">
        <f aca="false">IF($G271="",AN271,O271)</f>
        <v>0</v>
      </c>
      <c r="AZ271" s="31" t="n">
        <f aca="false">IF($G271="",AO271,P271)</f>
        <v>0</v>
      </c>
      <c r="BA271" s="31" t="n">
        <f aca="false">IF($G271="",AP271,T271)</f>
        <v>245220</v>
      </c>
      <c r="BB271" s="31" t="n">
        <f aca="false">IF($G271="",AQ271,U271)</f>
        <v>20100</v>
      </c>
      <c r="BC271" s="31" t="n">
        <f aca="false">IF($G271="",AR271,V271)</f>
        <v>233</v>
      </c>
      <c r="BD271" s="31" t="n">
        <f aca="false">IF($G271="",AS271,Q271)</f>
        <v>0</v>
      </c>
      <c r="BE271" s="31" t="n">
        <f aca="false">IF($G271="",AT271,W271)</f>
        <v>142234</v>
      </c>
      <c r="BF271" s="31" t="n">
        <f aca="false">IF($G271="",AU271,R271)</f>
        <v>0</v>
      </c>
      <c r="BG271" s="31" t="n">
        <f aca="false">IF($G271="",AV271,X271)</f>
        <v>10507</v>
      </c>
      <c r="BH271" s="31" t="n">
        <f aca="false">IF($G271="",AW271,S271)</f>
        <v>0</v>
      </c>
      <c r="BI271" s="31" t="n">
        <f aca="false">IF($G271="",AX271,Y271)</f>
        <v>3151</v>
      </c>
      <c r="BJ271" s="31" t="n">
        <f aca="false">IF(CK271="N",BR271,ROUNDDOWN((I271-L271)*設定!$B$10/1000,0)+ROUNDDOWN((I271-L271)*設定!$B$11/1000,0))</f>
        <v>0</v>
      </c>
      <c r="BK271" s="31" t="n">
        <f aca="false">ROUNDDOWN((I271-L271)*設定!$C$10/1000,0)+ROUNDDOWN((I271-L271)*設定!$C$11/1000,0)+ROUNDDOWN(I271*設定!$C$12/1000,0)+IF(CL271="市局型",ROUNDDOWN(I271*設定!$C$16/1000,0),0)</f>
        <v>0</v>
      </c>
      <c r="BL271" s="31" t="n">
        <f aca="false">IF(CK271="N",BT271,ROUNDDOWN((J271-M271)*設定!$B$13/1000,0))</f>
        <v>0</v>
      </c>
      <c r="BM271" s="31" t="n">
        <f aca="false">ROUNDDOWN((J271-M271)*設定!$C$13/1000,0)+IF(CL271="市局型",ROUNDDOWN(J271*設定!$C$17/1000,0),0)</f>
        <v>0</v>
      </c>
      <c r="BN271" s="31" t="n">
        <f aca="false">IF(CK271="N",BV271,ROUNDDOWN((K271-N271)*設定!$B$14/1000,0))</f>
        <v>0</v>
      </c>
      <c r="BO271" s="31" t="n">
        <f aca="false">ROUNDDOWN((K271-N271)*設定!$C$14/1000,0)</f>
        <v>0</v>
      </c>
      <c r="BP271" s="31" t="n">
        <f aca="false">IF(CK271="N",BX271,ROUNDDOWN((J271-M271)*設定!$B$15/1000,0))</f>
        <v>0</v>
      </c>
      <c r="BQ271" s="31" t="n">
        <f aca="false">ROUNDDOWN((J271-M271)*設定!$C$15/1000,0)</f>
        <v>0</v>
      </c>
      <c r="BR271" s="31" t="n">
        <f aca="false">O271+P271</f>
        <v>0</v>
      </c>
      <c r="BS271" s="31" t="n">
        <f aca="false">T271+U271+V271</f>
        <v>265553</v>
      </c>
      <c r="BT271" s="31" t="n">
        <f aca="false">Q271</f>
        <v>0</v>
      </c>
      <c r="BU271" s="31" t="n">
        <f aca="false">W271</f>
        <v>142234</v>
      </c>
      <c r="BV271" s="31" t="n">
        <f aca="false">R271</f>
        <v>0</v>
      </c>
      <c r="BW271" s="31" t="n">
        <f aca="false">X271</f>
        <v>10507</v>
      </c>
      <c r="BX271" s="31" t="n">
        <f aca="false">S271</f>
        <v>0</v>
      </c>
      <c r="BY271" s="31" t="n">
        <f aca="false">Y271</f>
        <v>3151</v>
      </c>
      <c r="BZ271" s="32" t="n">
        <f aca="false">IF(BJ271=0,IF(BR271=0,0,1),(BR271-BJ271)/BJ271)</f>
        <v>0</v>
      </c>
      <c r="CA271" s="32" t="n">
        <f aca="false">IF(BK271=0,IF(BS271=0,0,1),(BS271-BK271)/BK271)</f>
        <v>1</v>
      </c>
      <c r="CB271" s="32" t="n">
        <f aca="false">IF(BL271=0,IF(BT271=0,0,1),(BT271-BL271)/BL271)</f>
        <v>0</v>
      </c>
      <c r="CC271" s="32" t="n">
        <f aca="false">IF(BM271=0,IF(BU271=0,0,1),(BU271-BM271)/BM271)</f>
        <v>1</v>
      </c>
      <c r="CD271" s="32" t="n">
        <f aca="false">IF(BN271=0,IF(BV271=0,0,1),(BV271-BN271)/BN271)</f>
        <v>0</v>
      </c>
      <c r="CE271" s="32" t="n">
        <f aca="false">IF(BO271=0,IF(BW271=0,0,1),(BW271-BO271)/BO271)</f>
        <v>1</v>
      </c>
      <c r="CF271" s="32" t="n">
        <f aca="false">IF(BP271=0,IF(BX271=0,0,1),(BX271-BP271)/BP271)</f>
        <v>0</v>
      </c>
      <c r="CG271" s="32" t="n">
        <f aca="false">IF(BQ271=0,IF(BY271=0,0,1),(BY271-BQ271)/BQ271)</f>
        <v>1</v>
      </c>
      <c r="CH271" s="32" t="n">
        <f aca="false">MAX(MAX(BZ271:CG271),-MIN(BZ271:CG271))</f>
        <v>1</v>
      </c>
      <c r="CI271" s="31" t="n">
        <f aca="false">IF(CO271="","",SUMIFS($CJ$7:$CJ$696,$A$7:$A$696,CO271,$B$7:$B$696,B271))</f>
        <v>439701</v>
      </c>
      <c r="CJ271" s="31" t="n">
        <f aca="false">SUM(AY271:BI271)</f>
        <v>421445</v>
      </c>
      <c r="CK271" s="31" t="str">
        <f aca="false">IFERROR(INDEX(設定!$F$61:$F$106,MATCH(B271,設定!$B$61:$B$106,0)),"Y")</f>
        <v>N</v>
      </c>
      <c r="CL271" s="31" t="str">
        <f aca="false">IFERROR(INDEX(設定!$G$61:$G$106,MATCH(B271,設定!$B$61:$B$106,0)),"外郭型")</f>
        <v>外郭型</v>
      </c>
      <c r="CM271" s="33" t="str">
        <f aca="false">A271&amp;"|"&amp;B271</f>
        <v>2026-08 月例|社会福祉協議会</v>
      </c>
      <c r="CN271" s="34" t="str">
        <f aca="false">IFERROR(INDEX(設定!$D$61:$D$106,MATCH(B271,設定!$B$61:$B$106,0)),"Y")</f>
        <v>Y</v>
      </c>
      <c r="CO271" s="34" t="str">
        <f aca="false">IFERROR(INDEX(設定!$D$20:$D$34,MATCH(A271,設定!$A$20:$A$34,0))&amp;"","")</f>
        <v>2026-07 月例</v>
      </c>
    </row>
    <row r="272" customFormat="false" ht="15" hidden="true" customHeight="false" outlineLevel="0" collapsed="false">
      <c r="A272" s="22" t="s">
        <v>221</v>
      </c>
      <c r="B272" s="23" t="s">
        <v>204</v>
      </c>
      <c r="C272" s="10" t="str">
        <f aca="false">IF(G272="","未受領",IF(G272="なし","報告なし",IF(AL272="○","起票済",IF(OR(AK272="○",F272="一致",F272="入金不要"),"入金確認済","受領済"))))</f>
        <v>入金確認済</v>
      </c>
      <c r="D272" s="10" t="str">
        <f aca="false">IF(OR(G272="",G272="なし"),"―",IF(CN272="N","対象外",IF(AND(I272="",J272="",K272=""),"標報未入力",IF(CH272&gt;=設定!$B$4,"要確認","問題なし"))))</f>
        <v>対象外</v>
      </c>
      <c r="E272" s="24" t="str">
        <f aca="false">IF(OR(G272="",G272="なし",CI272="",CJ272=0),"―",IF(CJ272=CI272,"前月同額",IF(CI272=0,"―",IF(ABS(CJ272/CI272-1)&gt;=設定!$B$5,"変動大 "&amp;TEXT(CJ272/CI272-1,"+0%;-0%"),"〇"))))</f>
        <v>〇</v>
      </c>
      <c r="F272" s="10" t="str">
        <f aca="false">IF(OR(G272="",G272="なし"),"―",IF(CJ272=0,"入金不要",IF(COUNT(AD272,AF272,AH272,AJ272)=0,IF(AK272="○","手動確認","未入金"),IF(AND(N(AD272)=AC272,IF(AE272="",TRUE(),N(AF272)=AE272),IF(AG272="",TRUE(),N(AH272)=AG272),IF(AI272="",TRUE(),N(AJ272)=AI272)),"一致","不一致"))))</f>
        <v>手動確認</v>
      </c>
      <c r="G272" s="25" t="s">
        <v>167</v>
      </c>
      <c r="H272" s="26"/>
      <c r="I272" s="27"/>
      <c r="J272" s="27"/>
      <c r="K272" s="27"/>
      <c r="L272" s="27"/>
      <c r="M272" s="27"/>
      <c r="N272" s="27"/>
      <c r="O272" s="27" t="n">
        <v>126418505</v>
      </c>
      <c r="P272" s="27" t="n">
        <v>10367948</v>
      </c>
      <c r="Q272" s="27" t="n">
        <v>94190280</v>
      </c>
      <c r="R272" s="27" t="n">
        <v>8065234</v>
      </c>
      <c r="S272" s="27" t="n">
        <v>2089205</v>
      </c>
      <c r="T272" s="27" t="n">
        <v>184607059</v>
      </c>
      <c r="U272" s="27" t="n">
        <v>10367948</v>
      </c>
      <c r="V272" s="27" t="n">
        <v>126507</v>
      </c>
      <c r="W272" s="27" t="n">
        <v>94296058</v>
      </c>
      <c r="X272" s="27" t="n">
        <v>8065234</v>
      </c>
      <c r="Y272" s="27" t="n">
        <v>2089203</v>
      </c>
      <c r="Z272" s="27"/>
      <c r="AA272" s="10" t="str">
        <f aca="false">IFERROR(INDEX(設定!$E$61:$E$106,MATCH(B272,設定!$B$61:$B$106,0)),"合算")</f>
        <v>合算</v>
      </c>
      <c r="AB272" s="28"/>
      <c r="AC272" s="29" t="n">
        <f aca="false">IF(OR(G272="",G272="なし"),"",IF(AA272="合算",CJ272+N(Z272),IF(AA272="掛金・負担金別",(AY272+AZ272+BD272+BF272+BH272),SUM(AY272:BC272))))</f>
        <v>540683181</v>
      </c>
      <c r="AD272" s="27"/>
      <c r="AE272" s="29" t="str">
        <f aca="false">IF(OR(G272="",G272="なし"),"",IF(AA272="掛金・負担金別",(BA272+BB272+BC272+BE272+BG272+BI272+N(Z272)),IF(AA272="経理区分別",BD272+BE272,"")))</f>
        <v/>
      </c>
      <c r="AF272" s="27"/>
      <c r="AG272" s="29" t="str">
        <f aca="false">IF(OR(G272="",G272="なし"),"",IF(AA272="経理区分別",BF272+BG272,""))</f>
        <v/>
      </c>
      <c r="AH272" s="27"/>
      <c r="AI272" s="29" t="str">
        <f aca="false">IF(OR(G272="",G272="なし"),"",IF(AA272="経理区分別",BH272+BI272+N(Z272),""))</f>
        <v/>
      </c>
      <c r="AJ272" s="27"/>
      <c r="AK272" s="26" t="s">
        <v>168</v>
      </c>
      <c r="AL272" s="26"/>
      <c r="AM272" s="30"/>
      <c r="AN272" s="31"/>
      <c r="AO272" s="31"/>
      <c r="AP272" s="31"/>
      <c r="AQ272" s="31"/>
      <c r="AR272" s="31"/>
      <c r="AS272" s="31"/>
      <c r="AT272" s="31"/>
      <c r="AU272" s="31"/>
      <c r="AV272" s="31"/>
      <c r="AW272" s="31"/>
      <c r="AX272" s="31"/>
      <c r="AY272" s="31" t="n">
        <f aca="false">IF($G272="",AN272,O272)</f>
        <v>126418505</v>
      </c>
      <c r="AZ272" s="31" t="n">
        <f aca="false">IF($G272="",AO272,P272)</f>
        <v>10367948</v>
      </c>
      <c r="BA272" s="31" t="n">
        <f aca="false">IF($G272="",AP272,T272)</f>
        <v>184607059</v>
      </c>
      <c r="BB272" s="31" t="n">
        <f aca="false">IF($G272="",AQ272,U272)</f>
        <v>10367948</v>
      </c>
      <c r="BC272" s="31" t="n">
        <f aca="false">IF($G272="",AR272,V272)</f>
        <v>126507</v>
      </c>
      <c r="BD272" s="31" t="n">
        <f aca="false">IF($G272="",AS272,Q272)</f>
        <v>94190280</v>
      </c>
      <c r="BE272" s="31" t="n">
        <f aca="false">IF($G272="",AT272,W272)</f>
        <v>94296058</v>
      </c>
      <c r="BF272" s="31" t="n">
        <f aca="false">IF($G272="",AU272,R272)</f>
        <v>8065234</v>
      </c>
      <c r="BG272" s="31" t="n">
        <f aca="false">IF($G272="",AV272,X272)</f>
        <v>8065234</v>
      </c>
      <c r="BH272" s="31" t="n">
        <f aca="false">IF($G272="",AW272,S272)</f>
        <v>2089205</v>
      </c>
      <c r="BI272" s="31" t="n">
        <f aca="false">IF($G272="",AX272,Y272)</f>
        <v>2089203</v>
      </c>
      <c r="BJ272" s="31" t="n">
        <f aca="false">IF(CK272="N",BR272,ROUNDDOWN((I272-L272)*設定!$B$10/1000,0)+ROUNDDOWN((I272-L272)*設定!$B$11/1000,0))</f>
        <v>0</v>
      </c>
      <c r="BK272" s="31" t="n">
        <f aca="false">ROUNDDOWN((I272-L272)*設定!$C$10/1000,0)+ROUNDDOWN((I272-L272)*設定!$C$11/1000,0)+ROUNDDOWN(I272*設定!$C$12/1000,0)+IF(CL272="市局型",ROUNDDOWN(I272*設定!$C$16/1000,0),0)</f>
        <v>0</v>
      </c>
      <c r="BL272" s="31" t="n">
        <f aca="false">IF(CK272="N",BT272,ROUNDDOWN((J272-M272)*設定!$B$13/1000,0))</f>
        <v>0</v>
      </c>
      <c r="BM272" s="31" t="n">
        <f aca="false">ROUNDDOWN((J272-M272)*設定!$C$13/1000,0)+IF(CL272="市局型",ROUNDDOWN(J272*設定!$C$17/1000,0),0)</f>
        <v>0</v>
      </c>
      <c r="BN272" s="31" t="n">
        <f aca="false">IF(CK272="N",BV272,ROUNDDOWN((K272-N272)*設定!$B$14/1000,0))</f>
        <v>0</v>
      </c>
      <c r="BO272" s="31" t="n">
        <f aca="false">ROUNDDOWN((K272-N272)*設定!$C$14/1000,0)</f>
        <v>0</v>
      </c>
      <c r="BP272" s="31" t="n">
        <f aca="false">IF(CK272="N",BX272,ROUNDDOWN((J272-M272)*設定!$B$15/1000,0))</f>
        <v>0</v>
      </c>
      <c r="BQ272" s="31" t="n">
        <f aca="false">ROUNDDOWN((J272-M272)*設定!$C$15/1000,0)</f>
        <v>0</v>
      </c>
      <c r="BR272" s="31" t="n">
        <f aca="false">O272+P272</f>
        <v>136786453</v>
      </c>
      <c r="BS272" s="31" t="n">
        <f aca="false">T272+U272+V272</f>
        <v>195101514</v>
      </c>
      <c r="BT272" s="31" t="n">
        <f aca="false">Q272</f>
        <v>94190280</v>
      </c>
      <c r="BU272" s="31" t="n">
        <f aca="false">W272</f>
        <v>94296058</v>
      </c>
      <c r="BV272" s="31" t="n">
        <f aca="false">R272</f>
        <v>8065234</v>
      </c>
      <c r="BW272" s="31" t="n">
        <f aca="false">X272</f>
        <v>8065234</v>
      </c>
      <c r="BX272" s="31" t="n">
        <f aca="false">S272</f>
        <v>2089205</v>
      </c>
      <c r="BY272" s="31" t="n">
        <f aca="false">Y272</f>
        <v>2089203</v>
      </c>
      <c r="BZ272" s="32" t="n">
        <f aca="false">IF(BJ272=0,IF(BR272=0,0,1),(BR272-BJ272)/BJ272)</f>
        <v>1</v>
      </c>
      <c r="CA272" s="32" t="n">
        <f aca="false">IF(BK272=0,IF(BS272=0,0,1),(BS272-BK272)/BK272)</f>
        <v>1</v>
      </c>
      <c r="CB272" s="32" t="n">
        <f aca="false">IF(BL272=0,IF(BT272=0,0,1),(BT272-BL272)/BL272)</f>
        <v>1</v>
      </c>
      <c r="CC272" s="32" t="n">
        <f aca="false">IF(BM272=0,IF(BU272=0,0,1),(BU272-BM272)/BM272)</f>
        <v>1</v>
      </c>
      <c r="CD272" s="32" t="n">
        <f aca="false">IF(BN272=0,IF(BV272=0,0,1),(BV272-BN272)/BN272)</f>
        <v>1</v>
      </c>
      <c r="CE272" s="32" t="n">
        <f aca="false">IF(BO272=0,IF(BW272=0,0,1),(BW272-BO272)/BO272)</f>
        <v>1</v>
      </c>
      <c r="CF272" s="32" t="n">
        <f aca="false">IF(BP272=0,IF(BX272=0,0,1),(BX272-BP272)/BP272)</f>
        <v>1</v>
      </c>
      <c r="CG272" s="32" t="n">
        <f aca="false">IF(BQ272=0,IF(BY272=0,0,1),(BY272-BQ272)/BQ272)</f>
        <v>1</v>
      </c>
      <c r="CH272" s="32" t="n">
        <f aca="false">MAX(MAX(BZ272:CG272),-MIN(BZ272:CG272))</f>
        <v>1</v>
      </c>
      <c r="CI272" s="31" t="n">
        <f aca="false">IF(CO272="","",SUMIFS($CJ$7:$CJ$696,$A$7:$A$696,CO272,$B$7:$B$696,B272))</f>
        <v>544308182</v>
      </c>
      <c r="CJ272" s="31" t="n">
        <f aca="false">SUM(AY272:BI272)</f>
        <v>540683181</v>
      </c>
      <c r="CK272" s="31" t="str">
        <f aca="false">IFERROR(INDEX(設定!$F$61:$F$106,MATCH(B272,設定!$B$61:$B$106,0)),"Y")</f>
        <v>Y</v>
      </c>
      <c r="CL272" s="31" t="str">
        <f aca="false">IFERROR(INDEX(設定!$G$61:$G$106,MATCH(B272,設定!$B$61:$B$106,0)),"外郭型")</f>
        <v>外郭型</v>
      </c>
      <c r="CM272" s="33" t="str">
        <f aca="false">A272&amp;"|"&amp;B272</f>
        <v>2026-08 月例|市立病院機構</v>
      </c>
      <c r="CN272" s="34" t="str">
        <f aca="false">IFERROR(INDEX(設定!$D$61:$D$106,MATCH(B272,設定!$B$61:$B$106,0)),"Y")</f>
        <v>N</v>
      </c>
      <c r="CO272" s="34" t="str">
        <f aca="false">IFERROR(INDEX(設定!$D$20:$D$34,MATCH(A272,設定!$A$20:$A$34,0))&amp;"","")</f>
        <v>2026-07 月例</v>
      </c>
    </row>
    <row r="273" customFormat="false" ht="15" hidden="true" customHeight="false" outlineLevel="0" collapsed="false">
      <c r="A273" s="22" t="s">
        <v>221</v>
      </c>
      <c r="B273" s="23" t="s">
        <v>205</v>
      </c>
      <c r="C273" s="10" t="str">
        <f aca="false">IF(G273="","未受領",IF(G273="なし","報告なし",IF(AL273="○","起票済",IF(OR(AK273="○",F273="一致",F273="入金不要"),"入金確認済","受領済"))))</f>
        <v>入金確認済</v>
      </c>
      <c r="D273" s="10" t="str">
        <f aca="false">IF(OR(G273="",G273="なし"),"―",IF(CN273="N","対象外",IF(AND(I273="",J273="",K273=""),"標報未入力",IF(CH273&gt;=設定!$B$4,"要確認","問題なし"))))</f>
        <v>対象外</v>
      </c>
      <c r="E273" s="24" t="str">
        <f aca="false">IF(OR(G273="",G273="なし",CI273="",CJ273=0),"―",IF(CJ273=CI273,"前月同額",IF(CI273=0,"―",IF(ABS(CJ273/CI273-1)&gt;=設定!$B$5,"変動大 "&amp;TEXT(CJ273/CI273-1,"+0%;-0%"),"〇"))))</f>
        <v>前月同額</v>
      </c>
      <c r="F273" s="10" t="str">
        <f aca="false">IF(OR(G273="",G273="なし"),"―",IF(CJ273=0,"入金不要",IF(COUNT(AD273,AF273,AH273,AJ273)=0,IF(AK273="○","手動確認","未入金"),IF(AND(N(AD273)=AC273,IF(AE273="",TRUE(),N(AF273)=AE273),IF(AG273="",TRUE(),N(AH273)=AG273),IF(AI273="",TRUE(),N(AJ273)=AI273)),"一致","不一致"))))</f>
        <v>手動確認</v>
      </c>
      <c r="G273" s="25" t="s">
        <v>167</v>
      </c>
      <c r="H273" s="26"/>
      <c r="I273" s="27"/>
      <c r="J273" s="27"/>
      <c r="K273" s="27"/>
      <c r="L273" s="27"/>
      <c r="M273" s="27"/>
      <c r="N273" s="27"/>
      <c r="O273" s="27"/>
      <c r="P273" s="27"/>
      <c r="Q273" s="27" t="n">
        <v>104755</v>
      </c>
      <c r="R273" s="27" t="n">
        <v>11060</v>
      </c>
      <c r="S273" s="27" t="n">
        <v>2321</v>
      </c>
      <c r="T273" s="27"/>
      <c r="U273" s="27"/>
      <c r="V273" s="27"/>
      <c r="W273" s="27" t="n">
        <v>104857</v>
      </c>
      <c r="X273" s="27" t="n">
        <v>11060</v>
      </c>
      <c r="Y273" s="27" t="n">
        <v>2322</v>
      </c>
      <c r="Z273" s="27"/>
      <c r="AA273" s="10" t="str">
        <f aca="false">IFERROR(INDEX(設定!$E$61:$E$106,MATCH(B273,設定!$B$61:$B$106,0)),"合算")</f>
        <v>合算</v>
      </c>
      <c r="AB273" s="28"/>
      <c r="AC273" s="29" t="n">
        <f aca="false">IF(OR(G273="",G273="なし"),"",IF(AA273="合算",CJ273+N(Z273),IF(AA273="掛金・負担金別",(AY273+AZ273+BD273+BF273+BH273),SUM(AY273:BC273))))</f>
        <v>236375</v>
      </c>
      <c r="AD273" s="27"/>
      <c r="AE273" s="29" t="str">
        <f aca="false">IF(OR(G273="",G273="なし"),"",IF(AA273="掛金・負担金別",(BA273+BB273+BC273+BE273+BG273+BI273+N(Z273)),IF(AA273="経理区分別",BD273+BE273,"")))</f>
        <v/>
      </c>
      <c r="AF273" s="27"/>
      <c r="AG273" s="29" t="str">
        <f aca="false">IF(OR(G273="",G273="なし"),"",IF(AA273="経理区分別",BF273+BG273,""))</f>
        <v/>
      </c>
      <c r="AH273" s="27"/>
      <c r="AI273" s="29" t="str">
        <f aca="false">IF(OR(G273="",G273="なし"),"",IF(AA273="経理区分別",BH273+BI273+N(Z273),""))</f>
        <v/>
      </c>
      <c r="AJ273" s="27"/>
      <c r="AK273" s="26" t="s">
        <v>168</v>
      </c>
      <c r="AL273" s="26"/>
      <c r="AM273" s="30"/>
      <c r="AN273" s="31"/>
      <c r="AO273" s="31"/>
      <c r="AP273" s="31"/>
      <c r="AQ273" s="31"/>
      <c r="AR273" s="31"/>
      <c r="AS273" s="31"/>
      <c r="AT273" s="31"/>
      <c r="AU273" s="31"/>
      <c r="AV273" s="31"/>
      <c r="AW273" s="31"/>
      <c r="AX273" s="31"/>
      <c r="AY273" s="31" t="n">
        <f aca="false">IF($G273="",AN273,O273)</f>
        <v>0</v>
      </c>
      <c r="AZ273" s="31" t="n">
        <f aca="false">IF($G273="",AO273,P273)</f>
        <v>0</v>
      </c>
      <c r="BA273" s="31" t="n">
        <f aca="false">IF($G273="",AP273,T273)</f>
        <v>0</v>
      </c>
      <c r="BB273" s="31" t="n">
        <f aca="false">IF($G273="",AQ273,U273)</f>
        <v>0</v>
      </c>
      <c r="BC273" s="31" t="n">
        <f aca="false">IF($G273="",AR273,V273)</f>
        <v>0</v>
      </c>
      <c r="BD273" s="31" t="n">
        <f aca="false">IF($G273="",AS273,Q273)</f>
        <v>104755</v>
      </c>
      <c r="BE273" s="31" t="n">
        <f aca="false">IF($G273="",AT273,W273)</f>
        <v>104857</v>
      </c>
      <c r="BF273" s="31" t="n">
        <f aca="false">IF($G273="",AU273,R273)</f>
        <v>11060</v>
      </c>
      <c r="BG273" s="31" t="n">
        <f aca="false">IF($G273="",AV273,X273)</f>
        <v>11060</v>
      </c>
      <c r="BH273" s="31" t="n">
        <f aca="false">IF($G273="",AW273,S273)</f>
        <v>2321</v>
      </c>
      <c r="BI273" s="31" t="n">
        <f aca="false">IF($G273="",AX273,Y273)</f>
        <v>2322</v>
      </c>
      <c r="BJ273" s="31" t="n">
        <f aca="false">IF(CK273="N",BR273,ROUNDDOWN((I273-L273)*設定!$B$10/1000,0)+ROUNDDOWN((I273-L273)*設定!$B$11/1000,0))</f>
        <v>0</v>
      </c>
      <c r="BK273" s="31" t="n">
        <f aca="false">ROUNDDOWN((I273-L273)*設定!$C$10/1000,0)+ROUNDDOWN((I273-L273)*設定!$C$11/1000,0)+ROUNDDOWN(I273*設定!$C$12/1000,0)+IF(CL273="市局型",ROUNDDOWN(I273*設定!$C$16/1000,0),0)</f>
        <v>0</v>
      </c>
      <c r="BL273" s="31" t="n">
        <f aca="false">IF(CK273="N",BT273,ROUNDDOWN((J273-M273)*設定!$B$13/1000,0))</f>
        <v>0</v>
      </c>
      <c r="BM273" s="31" t="n">
        <f aca="false">ROUNDDOWN((J273-M273)*設定!$C$13/1000,0)+IF(CL273="市局型",ROUNDDOWN(J273*設定!$C$17/1000,0),0)</f>
        <v>0</v>
      </c>
      <c r="BN273" s="31" t="n">
        <f aca="false">IF(CK273="N",BV273,ROUNDDOWN((K273-N273)*設定!$B$14/1000,0))</f>
        <v>0</v>
      </c>
      <c r="BO273" s="31" t="n">
        <f aca="false">ROUNDDOWN((K273-N273)*設定!$C$14/1000,0)</f>
        <v>0</v>
      </c>
      <c r="BP273" s="31" t="n">
        <f aca="false">IF(CK273="N",BX273,ROUNDDOWN((J273-M273)*設定!$B$15/1000,0))</f>
        <v>0</v>
      </c>
      <c r="BQ273" s="31" t="n">
        <f aca="false">ROUNDDOWN((J273-M273)*設定!$C$15/1000,0)</f>
        <v>0</v>
      </c>
      <c r="BR273" s="31" t="n">
        <f aca="false">O273+P273</f>
        <v>0</v>
      </c>
      <c r="BS273" s="31" t="n">
        <f aca="false">T273+U273+V273</f>
        <v>0</v>
      </c>
      <c r="BT273" s="31" t="n">
        <f aca="false">Q273</f>
        <v>104755</v>
      </c>
      <c r="BU273" s="31" t="n">
        <f aca="false">W273</f>
        <v>104857</v>
      </c>
      <c r="BV273" s="31" t="n">
        <f aca="false">R273</f>
        <v>11060</v>
      </c>
      <c r="BW273" s="31" t="n">
        <f aca="false">X273</f>
        <v>11060</v>
      </c>
      <c r="BX273" s="31" t="n">
        <f aca="false">S273</f>
        <v>2321</v>
      </c>
      <c r="BY273" s="31" t="n">
        <f aca="false">Y273</f>
        <v>2322</v>
      </c>
      <c r="BZ273" s="32" t="n">
        <f aca="false">IF(BJ273=0,IF(BR273=0,0,1),(BR273-BJ273)/BJ273)</f>
        <v>0</v>
      </c>
      <c r="CA273" s="32" t="n">
        <f aca="false">IF(BK273=0,IF(BS273=0,0,1),(BS273-BK273)/BK273)</f>
        <v>0</v>
      </c>
      <c r="CB273" s="32" t="n">
        <f aca="false">IF(BL273=0,IF(BT273=0,0,1),(BT273-BL273)/BL273)</f>
        <v>1</v>
      </c>
      <c r="CC273" s="32" t="n">
        <f aca="false">IF(BM273=0,IF(BU273=0,0,1),(BU273-BM273)/BM273)</f>
        <v>1</v>
      </c>
      <c r="CD273" s="32" t="n">
        <f aca="false">IF(BN273=0,IF(BV273=0,0,1),(BV273-BN273)/BN273)</f>
        <v>1</v>
      </c>
      <c r="CE273" s="32" t="n">
        <f aca="false">IF(BO273=0,IF(BW273=0,0,1),(BW273-BO273)/BO273)</f>
        <v>1</v>
      </c>
      <c r="CF273" s="32" t="n">
        <f aca="false">IF(BP273=0,IF(BX273=0,0,1),(BX273-BP273)/BP273)</f>
        <v>1</v>
      </c>
      <c r="CG273" s="32" t="n">
        <f aca="false">IF(BQ273=0,IF(BY273=0,0,1),(BY273-BQ273)/BQ273)</f>
        <v>1</v>
      </c>
      <c r="CH273" s="32" t="n">
        <f aca="false">MAX(MAX(BZ273:CG273),-MIN(BZ273:CG273))</f>
        <v>1</v>
      </c>
      <c r="CI273" s="31" t="n">
        <f aca="false">IF(CO273="","",SUMIFS($CJ$7:$CJ$696,$A$7:$A$696,CO273,$B$7:$B$696,B273))</f>
        <v>236375</v>
      </c>
      <c r="CJ273" s="31" t="n">
        <f aca="false">SUM(AY273:BI273)</f>
        <v>236375</v>
      </c>
      <c r="CK273" s="31" t="str">
        <f aca="false">IFERROR(INDEX(設定!$F$61:$F$106,MATCH(B273,設定!$B$61:$B$106,0)),"Y")</f>
        <v>Y</v>
      </c>
      <c r="CL273" s="31" t="str">
        <f aca="false">IFERROR(INDEX(設定!$G$61:$G$106,MATCH(B273,設定!$B$61:$B$106,0)),"外郭型")</f>
        <v>外郭型</v>
      </c>
      <c r="CM273" s="33" t="str">
        <f aca="false">A273&amp;"|"&amp;B273</f>
        <v>2026-08 月例|職員共済組合</v>
      </c>
      <c r="CN273" s="34" t="str">
        <f aca="false">IFERROR(INDEX(設定!$D$61:$D$106,MATCH(B273,設定!$B$61:$B$106,0)),"Y")</f>
        <v>N</v>
      </c>
      <c r="CO273" s="34" t="str">
        <f aca="false">IFERROR(INDEX(設定!$D$20:$D$34,MATCH(A273,設定!$A$20:$A$34,0))&amp;"","")</f>
        <v>2026-07 月例</v>
      </c>
    </row>
    <row r="274" customFormat="false" ht="26.85" hidden="true" customHeight="false" outlineLevel="0" collapsed="false">
      <c r="A274" s="22" t="s">
        <v>221</v>
      </c>
      <c r="B274" s="35" t="s">
        <v>216</v>
      </c>
      <c r="C274" s="10" t="str">
        <f aca="false">IF(G274="","未受領",IF(G274="なし","報告なし",IF(AL274="○","起票済",IF(OR(AK274="○",F274="一致",F274="入金不要"),"入金確認済","受領済"))))</f>
        <v>報告なし</v>
      </c>
      <c r="D274" s="10" t="str">
        <f aca="false">IF(OR(G274="",G274="なし"),"―",IF(CN274="N","対象外",IF(AND(I274="",J274="",K274=""),"標報未入力",IF(CH274&gt;=設定!$B$4,"要確認","問題なし"))))</f>
        <v>―</v>
      </c>
      <c r="E274" s="24" t="str">
        <f aca="false">IF(OR(G274="",G274="なし",CI274="",CJ274=0),"―",IF(CJ274=CI274,"前月同額",IF(CI274=0,"―",IF(ABS(CJ274/CI274-1)&gt;=設定!$B$5,"変動大 "&amp;TEXT(CJ274/CI274-1,"+0%;-0%"),"〇"))))</f>
        <v>―</v>
      </c>
      <c r="F274" s="10" t="str">
        <f aca="false">IF(OR(G274="",G274="なし"),"―",IF(CJ274=0,"入金不要",IF(COUNT(AD274,AF274,AH274,AJ274)=0,IF(AK274="○","手動確認","未入金"),IF(AND(N(AD274)=AC274,IF(AE274="",TRUE(),N(AF274)=AE274),IF(AG274="",TRUE(),N(AH274)=AG274),IF(AI274="",TRUE(),N(AJ274)=AI274)),"一致","不一致"))))</f>
        <v>―</v>
      </c>
      <c r="G274" s="25" t="s">
        <v>181</v>
      </c>
      <c r="H274" s="26"/>
      <c r="I274" s="27"/>
      <c r="J274" s="27"/>
      <c r="K274" s="27"/>
      <c r="L274" s="27"/>
      <c r="M274" s="27"/>
      <c r="N274" s="27"/>
      <c r="O274" s="27"/>
      <c r="P274" s="27"/>
      <c r="Q274" s="27"/>
      <c r="R274" s="27"/>
      <c r="S274" s="27"/>
      <c r="T274" s="27"/>
      <c r="U274" s="27"/>
      <c r="V274" s="27"/>
      <c r="W274" s="27"/>
      <c r="X274" s="27"/>
      <c r="Y274" s="27"/>
      <c r="Z274" s="27"/>
      <c r="AA274" s="10" t="str">
        <f aca="false">IFERROR(INDEX(設定!$E$61:$E$106,MATCH(B274,設定!$B$61:$B$106,0)),"合算")</f>
        <v>合算</v>
      </c>
      <c r="AB274" s="28"/>
      <c r="AC274" s="29" t="str">
        <f aca="false">IF(OR(G274="",G274="なし"),"",IF(AA274="合算",CJ274+N(Z274),IF(AA274="掛金・負担金別",(AY274+AZ274+BD274+BF274+BH274),SUM(AY274:BC274))))</f>
        <v/>
      </c>
      <c r="AD274" s="27"/>
      <c r="AE274" s="29" t="str">
        <f aca="false">IF(OR(G274="",G274="なし"),"",IF(AA274="掛金・負担金別",(BA274+BB274+BC274+BE274+BG274+BI274+N(Z274)),IF(AA274="経理区分別",BD274+BE274,"")))</f>
        <v/>
      </c>
      <c r="AF274" s="27"/>
      <c r="AG274" s="29" t="str">
        <f aca="false">IF(OR(G274="",G274="なし"),"",IF(AA274="経理区分別",BF274+BG274,""))</f>
        <v/>
      </c>
      <c r="AH274" s="27"/>
      <c r="AI274" s="29" t="str">
        <f aca="false">IF(OR(G274="",G274="なし"),"",IF(AA274="経理区分別",BH274+BI274+N(Z274),""))</f>
        <v/>
      </c>
      <c r="AJ274" s="27"/>
      <c r="AK274" s="26"/>
      <c r="AL274" s="26"/>
      <c r="AM274" s="30"/>
      <c r="AN274" s="31"/>
      <c r="AO274" s="31"/>
      <c r="AP274" s="31"/>
      <c r="AQ274" s="31"/>
      <c r="AR274" s="31"/>
      <c r="AS274" s="31"/>
      <c r="AT274" s="31"/>
      <c r="AU274" s="31"/>
      <c r="AV274" s="31"/>
      <c r="AW274" s="31"/>
      <c r="AX274" s="31"/>
      <c r="AY274" s="31" t="n">
        <f aca="false">IF($G274="",AN274,O274)</f>
        <v>0</v>
      </c>
      <c r="AZ274" s="31" t="n">
        <f aca="false">IF($G274="",AO274,P274)</f>
        <v>0</v>
      </c>
      <c r="BA274" s="31" t="n">
        <f aca="false">IF($G274="",AP274,T274)</f>
        <v>0</v>
      </c>
      <c r="BB274" s="31" t="n">
        <f aca="false">IF($G274="",AQ274,U274)</f>
        <v>0</v>
      </c>
      <c r="BC274" s="31" t="n">
        <f aca="false">IF($G274="",AR274,V274)</f>
        <v>0</v>
      </c>
      <c r="BD274" s="31" t="n">
        <f aca="false">IF($G274="",AS274,Q274)</f>
        <v>0</v>
      </c>
      <c r="BE274" s="31" t="n">
        <f aca="false">IF($G274="",AT274,W274)</f>
        <v>0</v>
      </c>
      <c r="BF274" s="31" t="n">
        <f aca="false">IF($G274="",AU274,R274)</f>
        <v>0</v>
      </c>
      <c r="BG274" s="31" t="n">
        <f aca="false">IF($G274="",AV274,X274)</f>
        <v>0</v>
      </c>
      <c r="BH274" s="31" t="n">
        <f aca="false">IF($G274="",AW274,S274)</f>
        <v>0</v>
      </c>
      <c r="BI274" s="31" t="n">
        <f aca="false">IF($G274="",AX274,Y274)</f>
        <v>0</v>
      </c>
      <c r="BJ274" s="31" t="n">
        <f aca="false">IF(CK274="N",BR274,ROUNDDOWN((I274-L274)*設定!$B$10/1000,0)+ROUNDDOWN((I274-L274)*設定!$B$11/1000,0))</f>
        <v>0</v>
      </c>
      <c r="BK274" s="31" t="n">
        <f aca="false">ROUNDDOWN((I274-L274)*設定!$C$10/1000,0)+ROUNDDOWN((I274-L274)*設定!$C$11/1000,0)+ROUNDDOWN(I274*設定!$C$12/1000,0)+IF(CL274="市局型",ROUNDDOWN(I274*設定!$C$16/1000,0),0)</f>
        <v>0</v>
      </c>
      <c r="BL274" s="31" t="n">
        <f aca="false">IF(CK274="N",BT274,ROUNDDOWN((J274-M274)*設定!$B$13/1000,0))</f>
        <v>0</v>
      </c>
      <c r="BM274" s="31" t="n">
        <f aca="false">ROUNDDOWN((J274-M274)*設定!$C$13/1000,0)+IF(CL274="市局型",ROUNDDOWN(J274*設定!$C$17/1000,0),0)</f>
        <v>0</v>
      </c>
      <c r="BN274" s="31" t="n">
        <f aca="false">IF(CK274="N",BV274,ROUNDDOWN((K274-N274)*設定!$B$14/1000,0))</f>
        <v>0</v>
      </c>
      <c r="BO274" s="31" t="n">
        <f aca="false">ROUNDDOWN((K274-N274)*設定!$C$14/1000,0)</f>
        <v>0</v>
      </c>
      <c r="BP274" s="31" t="n">
        <f aca="false">IF(CK274="N",BX274,ROUNDDOWN((J274-M274)*設定!$B$15/1000,0))</f>
        <v>0</v>
      </c>
      <c r="BQ274" s="31" t="n">
        <f aca="false">ROUNDDOWN((J274-M274)*設定!$C$15/1000,0)</f>
        <v>0</v>
      </c>
      <c r="BR274" s="31" t="n">
        <f aca="false">O274+P274</f>
        <v>0</v>
      </c>
      <c r="BS274" s="31" t="n">
        <f aca="false">T274+U274+V274</f>
        <v>0</v>
      </c>
      <c r="BT274" s="31" t="n">
        <f aca="false">Q274</f>
        <v>0</v>
      </c>
      <c r="BU274" s="31" t="n">
        <f aca="false">W274</f>
        <v>0</v>
      </c>
      <c r="BV274" s="31" t="n">
        <f aca="false">R274</f>
        <v>0</v>
      </c>
      <c r="BW274" s="31" t="n">
        <f aca="false">X274</f>
        <v>0</v>
      </c>
      <c r="BX274" s="31" t="n">
        <f aca="false">S274</f>
        <v>0</v>
      </c>
      <c r="BY274" s="31" t="n">
        <f aca="false">Y274</f>
        <v>0</v>
      </c>
      <c r="BZ274" s="32" t="n">
        <f aca="false">IF(BJ274=0,IF(BR274=0,0,1),(BR274-BJ274)/BJ274)</f>
        <v>0</v>
      </c>
      <c r="CA274" s="32" t="n">
        <f aca="false">IF(BK274=0,IF(BS274=0,0,1),(BS274-BK274)/BK274)</f>
        <v>0</v>
      </c>
      <c r="CB274" s="32" t="n">
        <f aca="false">IF(BL274=0,IF(BT274=0,0,1),(BT274-BL274)/BL274)</f>
        <v>0</v>
      </c>
      <c r="CC274" s="32" t="n">
        <f aca="false">IF(BM274=0,IF(BU274=0,0,1),(BU274-BM274)/BM274)</f>
        <v>0</v>
      </c>
      <c r="CD274" s="32" t="n">
        <f aca="false">IF(BN274=0,IF(BV274=0,0,1),(BV274-BN274)/BN274)</f>
        <v>0</v>
      </c>
      <c r="CE274" s="32" t="n">
        <f aca="false">IF(BO274=0,IF(BW274=0,0,1),(BW274-BO274)/BO274)</f>
        <v>0</v>
      </c>
      <c r="CF274" s="32" t="n">
        <f aca="false">IF(BP274=0,IF(BX274=0,0,1),(BX274-BP274)/BP274)</f>
        <v>0</v>
      </c>
      <c r="CG274" s="32" t="n">
        <f aca="false">IF(BQ274=0,IF(BY274=0,0,1),(BY274-BQ274)/BQ274)</f>
        <v>0</v>
      </c>
      <c r="CH274" s="32" t="n">
        <f aca="false">MAX(MAX(BZ274:CG274),-MIN(BZ274:CG274))</f>
        <v>-0</v>
      </c>
      <c r="CI274" s="31" t="n">
        <f aca="false">IF(CO274="","",SUMIFS($CJ$7:$CJ$696,$A$7:$A$696,CO274,$B$7:$B$696,B274))</f>
        <v>0</v>
      </c>
      <c r="CJ274" s="31" t="n">
        <f aca="false">SUM(AY274:BI274)</f>
        <v>0</v>
      </c>
      <c r="CK274" s="31" t="str">
        <f aca="false">IFERROR(INDEX(設定!$F$61:$F$106,MATCH(B274,設定!$B$61:$B$106,0)),"Y")</f>
        <v>N</v>
      </c>
      <c r="CL274" s="31" t="str">
        <f aca="false">IFERROR(INDEX(設定!$G$61:$G$106,MATCH(B274,設定!$B$61:$B$106,0)),"外郭型")</f>
        <v>外郭型</v>
      </c>
      <c r="CM274" s="36" t="str">
        <f aca="false">A274&amp;"|"&amp;B274</f>
        <v>2026-08 月例|地方公共団体
情報システム機構</v>
      </c>
      <c r="CN274" s="34" t="str">
        <f aca="false">IFERROR(INDEX(設定!$D$61:$D$106,MATCH(B274,設定!$B$61:$B$106,0)),"Y")</f>
        <v>Y</v>
      </c>
      <c r="CO274" s="34" t="str">
        <f aca="false">IFERROR(INDEX(設定!$D$20:$D$34,MATCH(A274,設定!$A$20:$A$34,0))&amp;"","")</f>
        <v>2026-07 月例</v>
      </c>
    </row>
    <row r="275" customFormat="false" ht="15" hidden="true" customHeight="false" outlineLevel="0" collapsed="false">
      <c r="A275" s="22" t="s">
        <v>221</v>
      </c>
      <c r="B275" s="23" t="s">
        <v>207</v>
      </c>
      <c r="C275" s="10" t="str">
        <f aca="false">IF(G275="","未受領",IF(G275="なし","報告なし",IF(AL275="○","起票済",IF(OR(AK275="○",F275="一致",F275="入金不要"),"入金確認済","受領済"))))</f>
        <v>入金確認済</v>
      </c>
      <c r="D275" s="10" t="str">
        <f aca="false">IF(OR(G275="",G275="なし"),"―",IF(CN275="N","対象外",IF(AND(I275="",J275="",K275=""),"標報未入力",IF(CH275&gt;=設定!$B$4,"要確認","問題なし"))))</f>
        <v>標報未入力</v>
      </c>
      <c r="E275" s="24" t="str">
        <f aca="false">IF(OR(G275="",G275="なし",CI275="",CJ275=0),"―",IF(CJ275=CI275,"前月同額",IF(CI275=0,"―",IF(ABS(CJ275/CI275-1)&gt;=設定!$B$5,"変動大 "&amp;TEXT(CJ275/CI275-1,"+0%;-0%"),"〇"))))</f>
        <v>前月同額</v>
      </c>
      <c r="F275" s="10" t="str">
        <f aca="false">IF(OR(G275="",G275="なし"),"―",IF(CJ275=0,"入金不要",IF(COUNT(AD275,AF275,AH275,AJ275)=0,IF(AK275="○","手動確認","未入金"),IF(AND(N(AD275)=AC275,IF(AE275="",TRUE(),N(AF275)=AE275),IF(AG275="",TRUE(),N(AH275)=AG275),IF(AI275="",TRUE(),N(AJ275)=AI275)),"一致","不一致"))))</f>
        <v>手動確認</v>
      </c>
      <c r="G275" s="25" t="s">
        <v>167</v>
      </c>
      <c r="H275" s="26"/>
      <c r="I275" s="27"/>
      <c r="J275" s="27"/>
      <c r="K275" s="27"/>
      <c r="L275" s="27"/>
      <c r="M275" s="27"/>
      <c r="N275" s="27"/>
      <c r="O275" s="27" t="n">
        <v>118950</v>
      </c>
      <c r="P275" s="27" t="n">
        <v>9750</v>
      </c>
      <c r="Q275" s="27" t="n">
        <v>84531</v>
      </c>
      <c r="R275" s="27" t="n">
        <v>12877</v>
      </c>
      <c r="S275" s="27" t="n">
        <v>1874</v>
      </c>
      <c r="T275" s="27" t="n">
        <v>118950</v>
      </c>
      <c r="U275" s="27" t="n">
        <v>9750</v>
      </c>
      <c r="V275" s="27" t="n">
        <v>112</v>
      </c>
      <c r="W275" s="27" t="n">
        <v>84613</v>
      </c>
      <c r="X275" s="27" t="n">
        <v>12877</v>
      </c>
      <c r="Y275" s="27" t="n">
        <v>1874</v>
      </c>
      <c r="Z275" s="27"/>
      <c r="AA275" s="10" t="str">
        <f aca="false">IFERROR(INDEX(設定!$E$61:$E$106,MATCH(B275,設定!$B$61:$B$106,0)),"合算")</f>
        <v>合算</v>
      </c>
      <c r="AB275" s="28"/>
      <c r="AC275" s="29" t="n">
        <f aca="false">IF(OR(G275="",G275="なし"),"",IF(AA275="合算",CJ275+N(Z275),IF(AA275="掛金・負担金別",(AY275+AZ275+BD275+BF275+BH275),SUM(AY275:BC275))))</f>
        <v>456158</v>
      </c>
      <c r="AD275" s="27"/>
      <c r="AE275" s="29" t="str">
        <f aca="false">IF(OR(G275="",G275="なし"),"",IF(AA275="掛金・負担金別",(BA275+BB275+BC275+BE275+BG275+BI275+N(Z275)),IF(AA275="経理区分別",BD275+BE275,"")))</f>
        <v/>
      </c>
      <c r="AF275" s="27"/>
      <c r="AG275" s="29" t="str">
        <f aca="false">IF(OR(G275="",G275="なし"),"",IF(AA275="経理区分別",BF275+BG275,""))</f>
        <v/>
      </c>
      <c r="AH275" s="27"/>
      <c r="AI275" s="29" t="str">
        <f aca="false">IF(OR(G275="",G275="なし"),"",IF(AA275="経理区分別",BH275+BI275+N(Z275),""))</f>
        <v/>
      </c>
      <c r="AJ275" s="27"/>
      <c r="AK275" s="26" t="s">
        <v>168</v>
      </c>
      <c r="AL275" s="26"/>
      <c r="AM275" s="30"/>
      <c r="AN275" s="31"/>
      <c r="AO275" s="31"/>
      <c r="AP275" s="31"/>
      <c r="AQ275" s="31"/>
      <c r="AR275" s="31"/>
      <c r="AS275" s="31"/>
      <c r="AT275" s="31"/>
      <c r="AU275" s="31"/>
      <c r="AV275" s="31"/>
      <c r="AW275" s="31"/>
      <c r="AX275" s="31"/>
      <c r="AY275" s="31" t="n">
        <f aca="false">IF($G275="",AN275,O275)</f>
        <v>118950</v>
      </c>
      <c r="AZ275" s="31" t="n">
        <f aca="false">IF($G275="",AO275,P275)</f>
        <v>9750</v>
      </c>
      <c r="BA275" s="31" t="n">
        <f aca="false">IF($G275="",AP275,T275)</f>
        <v>118950</v>
      </c>
      <c r="BB275" s="31" t="n">
        <f aca="false">IF($G275="",AQ275,U275)</f>
        <v>9750</v>
      </c>
      <c r="BC275" s="31" t="n">
        <f aca="false">IF($G275="",AR275,V275)</f>
        <v>112</v>
      </c>
      <c r="BD275" s="31" t="n">
        <f aca="false">IF($G275="",AS275,Q275)</f>
        <v>84531</v>
      </c>
      <c r="BE275" s="31" t="n">
        <f aca="false">IF($G275="",AT275,W275)</f>
        <v>84613</v>
      </c>
      <c r="BF275" s="31" t="n">
        <f aca="false">IF($G275="",AU275,R275)</f>
        <v>12877</v>
      </c>
      <c r="BG275" s="31" t="n">
        <f aca="false">IF($G275="",AV275,X275)</f>
        <v>12877</v>
      </c>
      <c r="BH275" s="31" t="n">
        <f aca="false">IF($G275="",AW275,S275)</f>
        <v>1874</v>
      </c>
      <c r="BI275" s="31" t="n">
        <f aca="false">IF($G275="",AX275,Y275)</f>
        <v>1874</v>
      </c>
      <c r="BJ275" s="31" t="n">
        <f aca="false">IF(CK275="N",BR275,ROUNDDOWN((I275-L275)*設定!$B$10/1000,0)+ROUNDDOWN((I275-L275)*設定!$B$11/1000,0))</f>
        <v>0</v>
      </c>
      <c r="BK275" s="31" t="n">
        <f aca="false">ROUNDDOWN((I275-L275)*設定!$C$10/1000,0)+ROUNDDOWN((I275-L275)*設定!$C$11/1000,0)+ROUNDDOWN(I275*設定!$C$12/1000,0)+IF(CL275="市局型",ROUNDDOWN(I275*設定!$C$16/1000,0),0)</f>
        <v>0</v>
      </c>
      <c r="BL275" s="31" t="n">
        <f aca="false">IF(CK275="N",BT275,ROUNDDOWN((J275-M275)*設定!$B$13/1000,0))</f>
        <v>0</v>
      </c>
      <c r="BM275" s="31" t="n">
        <f aca="false">ROUNDDOWN((J275-M275)*設定!$C$13/1000,0)+IF(CL275="市局型",ROUNDDOWN(J275*設定!$C$17/1000,0),0)</f>
        <v>0</v>
      </c>
      <c r="BN275" s="31" t="n">
        <f aca="false">IF(CK275="N",BV275,ROUNDDOWN((K275-N275)*設定!$B$14/1000,0))</f>
        <v>0</v>
      </c>
      <c r="BO275" s="31" t="n">
        <f aca="false">ROUNDDOWN((K275-N275)*設定!$C$14/1000,0)</f>
        <v>0</v>
      </c>
      <c r="BP275" s="31" t="n">
        <f aca="false">IF(CK275="N",BX275,ROUNDDOWN((J275-M275)*設定!$B$15/1000,0))</f>
        <v>0</v>
      </c>
      <c r="BQ275" s="31" t="n">
        <f aca="false">ROUNDDOWN((J275-M275)*設定!$C$15/1000,0)</f>
        <v>0</v>
      </c>
      <c r="BR275" s="31" t="n">
        <f aca="false">O275+P275</f>
        <v>128700</v>
      </c>
      <c r="BS275" s="31" t="n">
        <f aca="false">T275+U275+V275</f>
        <v>128812</v>
      </c>
      <c r="BT275" s="31" t="n">
        <f aca="false">Q275</f>
        <v>84531</v>
      </c>
      <c r="BU275" s="31" t="n">
        <f aca="false">W275</f>
        <v>84613</v>
      </c>
      <c r="BV275" s="31" t="n">
        <f aca="false">R275</f>
        <v>12877</v>
      </c>
      <c r="BW275" s="31" t="n">
        <f aca="false">X275</f>
        <v>12877</v>
      </c>
      <c r="BX275" s="31" t="n">
        <f aca="false">S275</f>
        <v>1874</v>
      </c>
      <c r="BY275" s="31" t="n">
        <f aca="false">Y275</f>
        <v>1874</v>
      </c>
      <c r="BZ275" s="32" t="n">
        <f aca="false">IF(BJ275=0,IF(BR275=0,0,1),(BR275-BJ275)/BJ275)</f>
        <v>1</v>
      </c>
      <c r="CA275" s="32" t="n">
        <f aca="false">IF(BK275=0,IF(BS275=0,0,1),(BS275-BK275)/BK275)</f>
        <v>1</v>
      </c>
      <c r="CB275" s="32" t="n">
        <f aca="false">IF(BL275=0,IF(BT275=0,0,1),(BT275-BL275)/BL275)</f>
        <v>1</v>
      </c>
      <c r="CC275" s="32" t="n">
        <f aca="false">IF(BM275=0,IF(BU275=0,0,1),(BU275-BM275)/BM275)</f>
        <v>1</v>
      </c>
      <c r="CD275" s="32" t="n">
        <f aca="false">IF(BN275=0,IF(BV275=0,0,1),(BV275-BN275)/BN275)</f>
        <v>1</v>
      </c>
      <c r="CE275" s="32" t="n">
        <f aca="false">IF(BO275=0,IF(BW275=0,0,1),(BW275-BO275)/BO275)</f>
        <v>1</v>
      </c>
      <c r="CF275" s="32" t="n">
        <f aca="false">IF(BP275=0,IF(BX275=0,0,1),(BX275-BP275)/BP275)</f>
        <v>1</v>
      </c>
      <c r="CG275" s="32" t="n">
        <f aca="false">IF(BQ275=0,IF(BY275=0,0,1),(BY275-BQ275)/BQ275)</f>
        <v>1</v>
      </c>
      <c r="CH275" s="32" t="n">
        <f aca="false">MAX(MAX(BZ275:CG275),-MIN(BZ275:CG275))</f>
        <v>1</v>
      </c>
      <c r="CI275" s="31" t="n">
        <f aca="false">IF(CO275="","",SUMIFS($CJ$7:$CJ$696,$A$7:$A$696,CO275,$B$7:$B$696,B275))</f>
        <v>456158</v>
      </c>
      <c r="CJ275" s="31" t="n">
        <f aca="false">SUM(AY275:BI275)</f>
        <v>456158</v>
      </c>
      <c r="CK275" s="31" t="str">
        <f aca="false">IFERROR(INDEX(設定!$F$61:$F$106,MATCH(B275,設定!$B$61:$B$106,0)),"Y")</f>
        <v>Y</v>
      </c>
      <c r="CL275" s="31" t="str">
        <f aca="false">IFERROR(INDEX(設定!$G$61:$G$106,MATCH(B275,設定!$B$61:$B$106,0)),"外郭型")</f>
        <v>外郭型</v>
      </c>
      <c r="CM275" s="33" t="str">
        <f aca="false">A275&amp;"|"&amp;B275</f>
        <v>2026-08 月例|全国市長会</v>
      </c>
      <c r="CN275" s="34" t="str">
        <f aca="false">IFERROR(INDEX(設定!$D$61:$D$106,MATCH(B275,設定!$B$61:$B$106,0)),"Y")</f>
        <v>Y</v>
      </c>
      <c r="CO275" s="34" t="str">
        <f aca="false">IFERROR(INDEX(設定!$D$20:$D$34,MATCH(A275,設定!$A$20:$A$34,0))&amp;"","")</f>
        <v>2026-07 月例</v>
      </c>
    </row>
    <row r="276" customFormat="false" ht="15" hidden="true" customHeight="false" outlineLevel="0" collapsed="false">
      <c r="A276" s="22" t="s">
        <v>221</v>
      </c>
      <c r="B276" s="23" t="s">
        <v>208</v>
      </c>
      <c r="C276" s="10" t="str">
        <f aca="false">IF(G276="","未受領",IF(G276="なし","報告なし",IF(AL276="○","起票済",IF(OR(AK276="○",F276="一致",F276="入金不要"),"入金確認済","受領済"))))</f>
        <v>入金確認済</v>
      </c>
      <c r="D276" s="10" t="str">
        <f aca="false">IF(OR(G276="",G276="なし"),"―",IF(CN276="N","対象外",IF(AND(I276="",J276="",K276=""),"標報未入力",IF(CH276&gt;=設定!$B$4,"要確認","問題なし"))))</f>
        <v>標報未入力</v>
      </c>
      <c r="E276" s="24" t="str">
        <f aca="false">IF(OR(G276="",G276="なし",CI276="",CJ276=0),"―",IF(CJ276=CI276,"前月同額",IF(CI276=0,"―",IF(ABS(CJ276/CI276-1)&gt;=設定!$B$5,"変動大 "&amp;TEXT(CJ276/CI276-1,"+0%;-0%"),"〇"))))</f>
        <v>前月同額</v>
      </c>
      <c r="F276" s="10" t="str">
        <f aca="false">IF(OR(G276="",G276="なし"),"―",IF(CJ276=0,"入金不要",IF(COUNT(AD276,AF276,AH276,AJ276)=0,IF(AK276="○","手動確認","未入金"),IF(AND(N(AD276)=AC276,IF(AE276="",TRUE(),N(AF276)=AE276),IF(AG276="",TRUE(),N(AH276)=AG276),IF(AI276="",TRUE(),N(AJ276)=AI276)),"一致","不一致"))))</f>
        <v>手動確認</v>
      </c>
      <c r="G276" s="25" t="s">
        <v>167</v>
      </c>
      <c r="H276" s="26"/>
      <c r="I276" s="27"/>
      <c r="J276" s="27"/>
      <c r="K276" s="27"/>
      <c r="L276" s="27"/>
      <c r="M276" s="27"/>
      <c r="N276" s="27"/>
      <c r="O276" s="27" t="n">
        <v>145485</v>
      </c>
      <c r="P276" s="27" t="n">
        <v>11925</v>
      </c>
      <c r="Q276" s="27"/>
      <c r="R276" s="27"/>
      <c r="S276" s="27"/>
      <c r="T276" s="27" t="n">
        <v>145485</v>
      </c>
      <c r="U276" s="27" t="n">
        <v>11925</v>
      </c>
      <c r="V276" s="27" t="n">
        <v>138</v>
      </c>
      <c r="W276" s="27"/>
      <c r="X276" s="27"/>
      <c r="Y276" s="27"/>
      <c r="Z276" s="27"/>
      <c r="AA276" s="10" t="str">
        <f aca="false">IFERROR(INDEX(設定!$E$61:$E$106,MATCH(B276,設定!$B$61:$B$106,0)),"合算")</f>
        <v>合算</v>
      </c>
      <c r="AB276" s="28"/>
      <c r="AC276" s="29" t="n">
        <f aca="false">IF(OR(G276="",G276="なし"),"",IF(AA276="合算",CJ276+N(Z276),IF(AA276="掛金・負担金別",(AY276+AZ276+BD276+BF276+BH276),SUM(AY276:BC276))))</f>
        <v>314958</v>
      </c>
      <c r="AD276" s="27"/>
      <c r="AE276" s="29" t="str">
        <f aca="false">IF(OR(G276="",G276="なし"),"",IF(AA276="掛金・負担金別",(BA276+BB276+BC276+BE276+BG276+BI276+N(Z276)),IF(AA276="経理区分別",BD276+BE276,"")))</f>
        <v/>
      </c>
      <c r="AF276" s="27"/>
      <c r="AG276" s="29" t="str">
        <f aca="false">IF(OR(G276="",G276="なし"),"",IF(AA276="経理区分別",BF276+BG276,""))</f>
        <v/>
      </c>
      <c r="AH276" s="27"/>
      <c r="AI276" s="29" t="str">
        <f aca="false">IF(OR(G276="",G276="なし"),"",IF(AA276="経理区分別",BH276+BI276+N(Z276),""))</f>
        <v/>
      </c>
      <c r="AJ276" s="27"/>
      <c r="AK276" s="26" t="s">
        <v>168</v>
      </c>
      <c r="AL276" s="26"/>
      <c r="AM276" s="30"/>
      <c r="AN276" s="31"/>
      <c r="AO276" s="31"/>
      <c r="AP276" s="31"/>
      <c r="AQ276" s="31"/>
      <c r="AR276" s="31"/>
      <c r="AS276" s="31"/>
      <c r="AT276" s="31"/>
      <c r="AU276" s="31"/>
      <c r="AV276" s="31"/>
      <c r="AW276" s="31"/>
      <c r="AX276" s="31"/>
      <c r="AY276" s="31" t="n">
        <f aca="false">IF($G276="",AN276,O276)</f>
        <v>145485</v>
      </c>
      <c r="AZ276" s="31" t="n">
        <f aca="false">IF($G276="",AO276,P276)</f>
        <v>11925</v>
      </c>
      <c r="BA276" s="31" t="n">
        <f aca="false">IF($G276="",AP276,T276)</f>
        <v>145485</v>
      </c>
      <c r="BB276" s="31" t="n">
        <f aca="false">IF($G276="",AQ276,U276)</f>
        <v>11925</v>
      </c>
      <c r="BC276" s="31" t="n">
        <f aca="false">IF($G276="",AR276,V276)</f>
        <v>138</v>
      </c>
      <c r="BD276" s="31" t="n">
        <f aca="false">IF($G276="",AS276,Q276)</f>
        <v>0</v>
      </c>
      <c r="BE276" s="31" t="n">
        <f aca="false">IF($G276="",AT276,W276)</f>
        <v>0</v>
      </c>
      <c r="BF276" s="31" t="n">
        <f aca="false">IF($G276="",AU276,R276)</f>
        <v>0</v>
      </c>
      <c r="BG276" s="31" t="n">
        <f aca="false">IF($G276="",AV276,X276)</f>
        <v>0</v>
      </c>
      <c r="BH276" s="31" t="n">
        <f aca="false">IF($G276="",AW276,S276)</f>
        <v>0</v>
      </c>
      <c r="BI276" s="31" t="n">
        <f aca="false">IF($G276="",AX276,Y276)</f>
        <v>0</v>
      </c>
      <c r="BJ276" s="31" t="n">
        <f aca="false">IF(CK276="N",BR276,ROUNDDOWN((I276-L276)*設定!$B$10/1000,0)+ROUNDDOWN((I276-L276)*設定!$B$11/1000,0))</f>
        <v>0</v>
      </c>
      <c r="BK276" s="31" t="n">
        <f aca="false">ROUNDDOWN((I276-L276)*設定!$C$10/1000,0)+ROUNDDOWN((I276-L276)*設定!$C$11/1000,0)+ROUNDDOWN(I276*設定!$C$12/1000,0)+IF(CL276="市局型",ROUNDDOWN(I276*設定!$C$16/1000,0),0)</f>
        <v>0</v>
      </c>
      <c r="BL276" s="31" t="n">
        <f aca="false">IF(CK276="N",BT276,ROUNDDOWN((J276-M276)*設定!$B$13/1000,0))</f>
        <v>0</v>
      </c>
      <c r="BM276" s="31" t="n">
        <f aca="false">ROUNDDOWN((J276-M276)*設定!$C$13/1000,0)+IF(CL276="市局型",ROUNDDOWN(J276*設定!$C$17/1000,0),0)</f>
        <v>0</v>
      </c>
      <c r="BN276" s="31" t="n">
        <f aca="false">IF(CK276="N",BV276,ROUNDDOWN((K276-N276)*設定!$B$14/1000,0))</f>
        <v>0</v>
      </c>
      <c r="BO276" s="31" t="n">
        <f aca="false">ROUNDDOWN((K276-N276)*設定!$C$14/1000,0)</f>
        <v>0</v>
      </c>
      <c r="BP276" s="31" t="n">
        <f aca="false">IF(CK276="N",BX276,ROUNDDOWN((J276-M276)*設定!$B$15/1000,0))</f>
        <v>0</v>
      </c>
      <c r="BQ276" s="31" t="n">
        <f aca="false">ROUNDDOWN((J276-M276)*設定!$C$15/1000,0)</f>
        <v>0</v>
      </c>
      <c r="BR276" s="31" t="n">
        <f aca="false">O276+P276</f>
        <v>157410</v>
      </c>
      <c r="BS276" s="31" t="n">
        <f aca="false">T276+U276+V276</f>
        <v>157548</v>
      </c>
      <c r="BT276" s="31" t="n">
        <f aca="false">Q276</f>
        <v>0</v>
      </c>
      <c r="BU276" s="31" t="n">
        <f aca="false">W276</f>
        <v>0</v>
      </c>
      <c r="BV276" s="31" t="n">
        <f aca="false">R276</f>
        <v>0</v>
      </c>
      <c r="BW276" s="31" t="n">
        <f aca="false">X276</f>
        <v>0</v>
      </c>
      <c r="BX276" s="31" t="n">
        <f aca="false">S276</f>
        <v>0</v>
      </c>
      <c r="BY276" s="31" t="n">
        <f aca="false">Y276</f>
        <v>0</v>
      </c>
      <c r="BZ276" s="32" t="n">
        <f aca="false">IF(BJ276=0,IF(BR276=0,0,1),(BR276-BJ276)/BJ276)</f>
        <v>1</v>
      </c>
      <c r="CA276" s="32" t="n">
        <f aca="false">IF(BK276=0,IF(BS276=0,0,1),(BS276-BK276)/BK276)</f>
        <v>1</v>
      </c>
      <c r="CB276" s="32" t="n">
        <f aca="false">IF(BL276=0,IF(BT276=0,0,1),(BT276-BL276)/BL276)</f>
        <v>0</v>
      </c>
      <c r="CC276" s="32" t="n">
        <f aca="false">IF(BM276=0,IF(BU276=0,0,1),(BU276-BM276)/BM276)</f>
        <v>0</v>
      </c>
      <c r="CD276" s="32" t="n">
        <f aca="false">IF(BN276=0,IF(BV276=0,0,1),(BV276-BN276)/BN276)</f>
        <v>0</v>
      </c>
      <c r="CE276" s="32" t="n">
        <f aca="false">IF(BO276=0,IF(BW276=0,0,1),(BW276-BO276)/BO276)</f>
        <v>0</v>
      </c>
      <c r="CF276" s="32" t="n">
        <f aca="false">IF(BP276=0,IF(BX276=0,0,1),(BX276-BP276)/BP276)</f>
        <v>0</v>
      </c>
      <c r="CG276" s="32" t="n">
        <f aca="false">IF(BQ276=0,IF(BY276=0,0,1),(BY276-BQ276)/BQ276)</f>
        <v>0</v>
      </c>
      <c r="CH276" s="32" t="n">
        <f aca="false">MAX(MAX(BZ276:CG276),-MIN(BZ276:CG276))</f>
        <v>1</v>
      </c>
      <c r="CI276" s="31" t="n">
        <f aca="false">IF(CO276="","",SUMIFS($CJ$7:$CJ$696,$A$7:$A$696,CO276,$B$7:$B$696,B276))</f>
        <v>314958</v>
      </c>
      <c r="CJ276" s="31" t="n">
        <f aca="false">SUM(AY276:BI276)</f>
        <v>314958</v>
      </c>
      <c r="CK276" s="31" t="str">
        <f aca="false">IFERROR(INDEX(設定!$F$61:$F$106,MATCH(B276,設定!$B$61:$B$106,0)),"Y")</f>
        <v>Y</v>
      </c>
      <c r="CL276" s="31" t="str">
        <f aca="false">IFERROR(INDEX(設定!$G$61:$G$106,MATCH(B276,設定!$B$61:$B$106,0)),"外郭型")</f>
        <v>外郭型</v>
      </c>
      <c r="CM276" s="33" t="str">
        <f aca="false">A276&amp;"|"&amp;B276</f>
        <v>2026-08 月例|高速交通（株）</v>
      </c>
      <c r="CN276" s="34" t="str">
        <f aca="false">IFERROR(INDEX(設定!$D$61:$D$106,MATCH(B276,設定!$B$61:$B$106,0)),"Y")</f>
        <v>Y</v>
      </c>
      <c r="CO276" s="34" t="str">
        <f aca="false">IFERROR(INDEX(設定!$D$20:$D$34,MATCH(A276,設定!$A$20:$A$34,0))&amp;"","")</f>
        <v>2026-07 月例</v>
      </c>
    </row>
    <row r="277" customFormat="false" ht="15" hidden="true" customHeight="false" outlineLevel="0" collapsed="false">
      <c r="A277" s="22" t="s">
        <v>221</v>
      </c>
      <c r="B277" s="23" t="s">
        <v>209</v>
      </c>
      <c r="C277" s="10" t="str">
        <f aca="false">IF(G277="","未受領",IF(G277="なし","報告なし",IF(AL277="○","起票済",IF(OR(AK277="○",F277="一致",F277="入金不要"),"入金確認済","受領済"))))</f>
        <v>入金確認済</v>
      </c>
      <c r="D277" s="10" t="str">
        <f aca="false">IF(OR(G277="",G277="なし"),"―",IF(CN277="N","対象外",IF(AND(I277="",J277="",K277=""),"標報未入力",IF(CH277&gt;=設定!$B$4,"要確認","問題なし"))))</f>
        <v>標報未入力</v>
      </c>
      <c r="E277" s="24" t="str">
        <f aca="false">IF(OR(G277="",G277="なし",CI277="",CJ277=0),"―",IF(CJ277=CI277,"前月同額",IF(CI277=0,"―",IF(ABS(CJ277/CI277-1)&gt;=設定!$B$5,"変動大 "&amp;TEXT(CJ277/CI277-1,"+0%;-0%"),"〇"))))</f>
        <v>前月同額</v>
      </c>
      <c r="F277" s="10" t="str">
        <f aca="false">IF(OR(G277="",G277="なし"),"―",IF(CJ277=0,"入金不要",IF(COUNT(AD277,AF277,AH277,AJ277)=0,IF(AK277="○","手動確認","未入金"),IF(AND(N(AD277)=AC277,IF(AE277="",TRUE(),N(AF277)=AE277),IF(AG277="",TRUE(),N(AH277)=AG277),IF(AI277="",TRUE(),N(AJ277)=AI277)),"一致","不一致"))))</f>
        <v>手動確認</v>
      </c>
      <c r="G277" s="25" t="s">
        <v>167</v>
      </c>
      <c r="H277" s="26"/>
      <c r="I277" s="27"/>
      <c r="J277" s="27"/>
      <c r="K277" s="27"/>
      <c r="L277" s="27"/>
      <c r="M277" s="27"/>
      <c r="N277" s="27"/>
      <c r="O277" s="27" t="n">
        <v>53985</v>
      </c>
      <c r="P277" s="27" t="n">
        <v>4425</v>
      </c>
      <c r="Q277" s="27"/>
      <c r="R277" s="27"/>
      <c r="S277" s="27"/>
      <c r="T277" s="27" t="n">
        <v>53985</v>
      </c>
      <c r="U277" s="27" t="n">
        <v>4425</v>
      </c>
      <c r="V277" s="27" t="n">
        <v>51</v>
      </c>
      <c r="W277" s="27"/>
      <c r="X277" s="27"/>
      <c r="Y277" s="27"/>
      <c r="Z277" s="27"/>
      <c r="AA277" s="10" t="str">
        <f aca="false">IFERROR(INDEX(設定!$E$61:$E$106,MATCH(B277,設定!$B$61:$B$106,0)),"合算")</f>
        <v>合算</v>
      </c>
      <c r="AB277" s="28"/>
      <c r="AC277" s="29" t="n">
        <f aca="false">IF(OR(G277="",G277="なし"),"",IF(AA277="合算",CJ277+N(Z277),IF(AA277="掛金・負担金別",(AY277+AZ277+BD277+BF277+BH277),SUM(AY277:BC277))))</f>
        <v>116871</v>
      </c>
      <c r="AD277" s="27"/>
      <c r="AE277" s="29" t="str">
        <f aca="false">IF(OR(G277="",G277="なし"),"",IF(AA277="掛金・負担金別",(BA277+BB277+BC277+BE277+BG277+BI277+N(Z277)),IF(AA277="経理区分別",BD277+BE277,"")))</f>
        <v/>
      </c>
      <c r="AF277" s="27"/>
      <c r="AG277" s="29" t="str">
        <f aca="false">IF(OR(G277="",G277="なし"),"",IF(AA277="経理区分別",BF277+BG277,""))</f>
        <v/>
      </c>
      <c r="AH277" s="27"/>
      <c r="AI277" s="29" t="str">
        <f aca="false">IF(OR(G277="",G277="なし"),"",IF(AA277="経理区分別",BH277+BI277+N(Z277),""))</f>
        <v/>
      </c>
      <c r="AJ277" s="27"/>
      <c r="AK277" s="26" t="s">
        <v>168</v>
      </c>
      <c r="AL277" s="26"/>
      <c r="AM277" s="30"/>
      <c r="AN277" s="31"/>
      <c r="AO277" s="31"/>
      <c r="AP277" s="31"/>
      <c r="AQ277" s="31"/>
      <c r="AR277" s="31"/>
      <c r="AS277" s="31"/>
      <c r="AT277" s="31"/>
      <c r="AU277" s="31"/>
      <c r="AV277" s="31"/>
      <c r="AW277" s="31"/>
      <c r="AX277" s="31"/>
      <c r="AY277" s="31" t="n">
        <f aca="false">IF($G277="",AN277,O277)</f>
        <v>53985</v>
      </c>
      <c r="AZ277" s="31" t="n">
        <f aca="false">IF($G277="",AO277,P277)</f>
        <v>4425</v>
      </c>
      <c r="BA277" s="31" t="n">
        <f aca="false">IF($G277="",AP277,T277)</f>
        <v>53985</v>
      </c>
      <c r="BB277" s="31" t="n">
        <f aca="false">IF($G277="",AQ277,U277)</f>
        <v>4425</v>
      </c>
      <c r="BC277" s="31" t="n">
        <f aca="false">IF($G277="",AR277,V277)</f>
        <v>51</v>
      </c>
      <c r="BD277" s="31" t="n">
        <f aca="false">IF($G277="",AS277,Q277)</f>
        <v>0</v>
      </c>
      <c r="BE277" s="31" t="n">
        <f aca="false">IF($G277="",AT277,W277)</f>
        <v>0</v>
      </c>
      <c r="BF277" s="31" t="n">
        <f aca="false">IF($G277="",AU277,R277)</f>
        <v>0</v>
      </c>
      <c r="BG277" s="31" t="n">
        <f aca="false">IF($G277="",AV277,X277)</f>
        <v>0</v>
      </c>
      <c r="BH277" s="31" t="n">
        <f aca="false">IF($G277="",AW277,S277)</f>
        <v>0</v>
      </c>
      <c r="BI277" s="31" t="n">
        <f aca="false">IF($G277="",AX277,Y277)</f>
        <v>0</v>
      </c>
      <c r="BJ277" s="31" t="n">
        <f aca="false">IF(CK277="N",BR277,ROUNDDOWN((I277-L277)*設定!$B$10/1000,0)+ROUNDDOWN((I277-L277)*設定!$B$11/1000,0))</f>
        <v>0</v>
      </c>
      <c r="BK277" s="31" t="n">
        <f aca="false">ROUNDDOWN((I277-L277)*設定!$C$10/1000,0)+ROUNDDOWN((I277-L277)*設定!$C$11/1000,0)+ROUNDDOWN(I277*設定!$C$12/1000,0)+IF(CL277="市局型",ROUNDDOWN(I277*設定!$C$16/1000,0),0)</f>
        <v>0</v>
      </c>
      <c r="BL277" s="31" t="n">
        <f aca="false">IF(CK277="N",BT277,ROUNDDOWN((J277-M277)*設定!$B$13/1000,0))</f>
        <v>0</v>
      </c>
      <c r="BM277" s="31" t="n">
        <f aca="false">ROUNDDOWN((J277-M277)*設定!$C$13/1000,0)+IF(CL277="市局型",ROUNDDOWN(J277*設定!$C$17/1000,0),0)</f>
        <v>0</v>
      </c>
      <c r="BN277" s="31" t="n">
        <f aca="false">IF(CK277="N",BV277,ROUNDDOWN((K277-N277)*設定!$B$14/1000,0))</f>
        <v>0</v>
      </c>
      <c r="BO277" s="31" t="n">
        <f aca="false">ROUNDDOWN((K277-N277)*設定!$C$14/1000,0)</f>
        <v>0</v>
      </c>
      <c r="BP277" s="31" t="n">
        <f aca="false">IF(CK277="N",BX277,ROUNDDOWN((J277-M277)*設定!$B$15/1000,0))</f>
        <v>0</v>
      </c>
      <c r="BQ277" s="31" t="n">
        <f aca="false">ROUNDDOWN((J277-M277)*設定!$C$15/1000,0)</f>
        <v>0</v>
      </c>
      <c r="BR277" s="31" t="n">
        <f aca="false">O277+P277</f>
        <v>58410</v>
      </c>
      <c r="BS277" s="31" t="n">
        <f aca="false">T277+U277+V277</f>
        <v>58461</v>
      </c>
      <c r="BT277" s="31" t="n">
        <f aca="false">Q277</f>
        <v>0</v>
      </c>
      <c r="BU277" s="31" t="n">
        <f aca="false">W277</f>
        <v>0</v>
      </c>
      <c r="BV277" s="31" t="n">
        <f aca="false">R277</f>
        <v>0</v>
      </c>
      <c r="BW277" s="31" t="n">
        <f aca="false">X277</f>
        <v>0</v>
      </c>
      <c r="BX277" s="31" t="n">
        <f aca="false">S277</f>
        <v>0</v>
      </c>
      <c r="BY277" s="31" t="n">
        <f aca="false">Y277</f>
        <v>0</v>
      </c>
      <c r="BZ277" s="32" t="n">
        <f aca="false">IF(BJ277=0,IF(BR277=0,0,1),(BR277-BJ277)/BJ277)</f>
        <v>1</v>
      </c>
      <c r="CA277" s="32" t="n">
        <f aca="false">IF(BK277=0,IF(BS277=0,0,1),(BS277-BK277)/BK277)</f>
        <v>1</v>
      </c>
      <c r="CB277" s="32" t="n">
        <f aca="false">IF(BL277=0,IF(BT277=0,0,1),(BT277-BL277)/BL277)</f>
        <v>0</v>
      </c>
      <c r="CC277" s="32" t="n">
        <f aca="false">IF(BM277=0,IF(BU277=0,0,1),(BU277-BM277)/BM277)</f>
        <v>0</v>
      </c>
      <c r="CD277" s="32" t="n">
        <f aca="false">IF(BN277=0,IF(BV277=0,0,1),(BV277-BN277)/BN277)</f>
        <v>0</v>
      </c>
      <c r="CE277" s="32" t="n">
        <f aca="false">IF(BO277=0,IF(BW277=0,0,1),(BW277-BO277)/BO277)</f>
        <v>0</v>
      </c>
      <c r="CF277" s="32" t="n">
        <f aca="false">IF(BP277=0,IF(BX277=0,0,1),(BX277-BP277)/BP277)</f>
        <v>0</v>
      </c>
      <c r="CG277" s="32" t="n">
        <f aca="false">IF(BQ277=0,IF(BY277=0,0,1),(BY277-BQ277)/BQ277)</f>
        <v>0</v>
      </c>
      <c r="CH277" s="32" t="n">
        <f aca="false">MAX(MAX(BZ277:CG277),-MIN(BZ277:CG277))</f>
        <v>1</v>
      </c>
      <c r="CI277" s="31" t="n">
        <f aca="false">IF(CO277="","",SUMIFS($CJ$7:$CJ$696,$A$7:$A$696,CO277,$B$7:$B$696,B277))</f>
        <v>116871</v>
      </c>
      <c r="CJ277" s="31" t="n">
        <f aca="false">SUM(AY277:BI277)</f>
        <v>116871</v>
      </c>
      <c r="CK277" s="31" t="str">
        <f aca="false">IFERROR(INDEX(設定!$F$61:$F$106,MATCH(B277,設定!$B$61:$B$106,0)),"Y")</f>
        <v>Y</v>
      </c>
      <c r="CL277" s="31" t="str">
        <f aca="false">IFERROR(INDEX(設定!$G$61:$G$106,MATCH(B277,設定!$B$61:$B$106,0)),"外郭型")</f>
        <v>外郭型</v>
      </c>
      <c r="CM277" s="33" t="str">
        <f aca="false">A277&amp;"|"&amp;B277</f>
        <v>2026-08 月例|広島駅南口開発（株）</v>
      </c>
      <c r="CN277" s="34" t="str">
        <f aca="false">IFERROR(INDEX(設定!$D$61:$D$106,MATCH(B277,設定!$B$61:$B$106,0)),"Y")</f>
        <v>Y</v>
      </c>
      <c r="CO277" s="34" t="str">
        <f aca="false">IFERROR(INDEX(設定!$D$20:$D$34,MATCH(A277,設定!$A$20:$A$34,0))&amp;"","")</f>
        <v>2026-07 月例</v>
      </c>
    </row>
    <row r="278" customFormat="false" ht="15" hidden="true" customHeight="false" outlineLevel="0" collapsed="false">
      <c r="A278" s="22" t="s">
        <v>221</v>
      </c>
      <c r="B278" s="23" t="s">
        <v>210</v>
      </c>
      <c r="C278" s="10" t="str">
        <f aca="false">IF(G278="","未受領",IF(G278="なし","報告なし",IF(AL278="○","起票済",IF(OR(AK278="○",F278="一致",F278="入金不要"),"入金確認済","受領済"))))</f>
        <v>入金確認済</v>
      </c>
      <c r="D278" s="10" t="str">
        <f aca="false">IF(OR(G278="",G278="なし"),"―",IF(CN278="N","対象外",IF(AND(I278="",J278="",K278=""),"標報未入力",IF(CH278&gt;=設定!$B$4,"要確認","問題なし"))))</f>
        <v>標報未入力</v>
      </c>
      <c r="E278" s="24" t="str">
        <f aca="false">IF(OR(G278="",G278="なし",CI278="",CJ278=0),"―",IF(CJ278=CI278,"前月同額",IF(CI278=0,"―",IF(ABS(CJ278/CI278-1)&gt;=設定!$B$5,"変動大 "&amp;TEXT(CJ278/CI278-1,"+0%;-0%"),"〇"))))</f>
        <v>〇</v>
      </c>
      <c r="F278" s="10" t="str">
        <f aca="false">IF(OR(G278="",G278="なし"),"―",IF(CJ278=0,"入金不要",IF(COUNT(AD278,AF278,AH278,AJ278)=0,IF(AK278="○","手動確認","未入金"),IF(AND(N(AD278)=AC278,IF(AE278="",TRUE(),N(AF278)=AE278),IF(AG278="",TRUE(),N(AH278)=AG278),IF(AI278="",TRUE(),N(AJ278)=AI278)),"一致","不一致"))))</f>
        <v>手動確認</v>
      </c>
      <c r="G278" s="25" t="s">
        <v>167</v>
      </c>
      <c r="H278" s="26"/>
      <c r="I278" s="27"/>
      <c r="J278" s="27"/>
      <c r="K278" s="27"/>
      <c r="L278" s="27"/>
      <c r="M278" s="27"/>
      <c r="N278" s="27"/>
      <c r="O278" s="27" t="n">
        <v>29280</v>
      </c>
      <c r="P278" s="27" t="n">
        <v>2400</v>
      </c>
      <c r="Q278" s="27" t="n">
        <v>16595</v>
      </c>
      <c r="R278" s="27" t="n">
        <v>2528</v>
      </c>
      <c r="S278" s="27" t="n">
        <v>368</v>
      </c>
      <c r="T278" s="27" t="n">
        <v>29280</v>
      </c>
      <c r="U278" s="27" t="n">
        <v>2400</v>
      </c>
      <c r="V278" s="27"/>
      <c r="W278" s="27" t="n">
        <v>16611</v>
      </c>
      <c r="X278" s="27" t="n">
        <v>2528</v>
      </c>
      <c r="Y278" s="27" t="n">
        <v>368</v>
      </c>
      <c r="Z278" s="27"/>
      <c r="AA278" s="10" t="str">
        <f aca="false">IFERROR(INDEX(設定!$E$61:$E$106,MATCH(B278,設定!$B$61:$B$106,0)),"合算")</f>
        <v>合算</v>
      </c>
      <c r="AB278" s="28"/>
      <c r="AC278" s="29" t="n">
        <f aca="false">IF(OR(G278="",G278="なし"),"",IF(AA278="合算",CJ278+N(Z278),IF(AA278="掛金・負担金別",(AY278+AZ278+BD278+BF278+BH278),SUM(AY278:BC278))))</f>
        <v>102358</v>
      </c>
      <c r="AD278" s="27"/>
      <c r="AE278" s="29" t="str">
        <f aca="false">IF(OR(G278="",G278="なし"),"",IF(AA278="掛金・負担金別",(BA278+BB278+BC278+BE278+BG278+BI278+N(Z278)),IF(AA278="経理区分別",BD278+BE278,"")))</f>
        <v/>
      </c>
      <c r="AF278" s="27"/>
      <c r="AG278" s="29" t="str">
        <f aca="false">IF(OR(G278="",G278="なし"),"",IF(AA278="経理区分別",BF278+BG278,""))</f>
        <v/>
      </c>
      <c r="AH278" s="27"/>
      <c r="AI278" s="29" t="str">
        <f aca="false">IF(OR(G278="",G278="なし"),"",IF(AA278="経理区分別",BH278+BI278+N(Z278),""))</f>
        <v/>
      </c>
      <c r="AJ278" s="27"/>
      <c r="AK278" s="26" t="s">
        <v>168</v>
      </c>
      <c r="AL278" s="26"/>
      <c r="AM278" s="30"/>
      <c r="AN278" s="31"/>
      <c r="AO278" s="31"/>
      <c r="AP278" s="31"/>
      <c r="AQ278" s="31"/>
      <c r="AR278" s="31"/>
      <c r="AS278" s="31"/>
      <c r="AT278" s="31"/>
      <c r="AU278" s="31"/>
      <c r="AV278" s="31"/>
      <c r="AW278" s="31"/>
      <c r="AX278" s="31"/>
      <c r="AY278" s="31" t="n">
        <f aca="false">IF($G278="",AN278,O278)</f>
        <v>29280</v>
      </c>
      <c r="AZ278" s="31" t="n">
        <f aca="false">IF($G278="",AO278,P278)</f>
        <v>2400</v>
      </c>
      <c r="BA278" s="31" t="n">
        <f aca="false">IF($G278="",AP278,T278)</f>
        <v>29280</v>
      </c>
      <c r="BB278" s="31" t="n">
        <f aca="false">IF($G278="",AQ278,U278)</f>
        <v>2400</v>
      </c>
      <c r="BC278" s="31" t="n">
        <f aca="false">IF($G278="",AR278,V278)</f>
        <v>0</v>
      </c>
      <c r="BD278" s="31" t="n">
        <f aca="false">IF($G278="",AS278,Q278)</f>
        <v>16595</v>
      </c>
      <c r="BE278" s="31" t="n">
        <f aca="false">IF($G278="",AT278,W278)</f>
        <v>16611</v>
      </c>
      <c r="BF278" s="31" t="n">
        <f aca="false">IF($G278="",AU278,R278)</f>
        <v>2528</v>
      </c>
      <c r="BG278" s="31" t="n">
        <f aca="false">IF($G278="",AV278,X278)</f>
        <v>2528</v>
      </c>
      <c r="BH278" s="31" t="n">
        <f aca="false">IF($G278="",AW278,S278)</f>
        <v>368</v>
      </c>
      <c r="BI278" s="31" t="n">
        <f aca="false">IF($G278="",AX278,Y278)</f>
        <v>368</v>
      </c>
      <c r="BJ278" s="31" t="n">
        <f aca="false">IF(CK278="N",BR278,ROUNDDOWN((I278-L278)*設定!$B$10/1000,0)+ROUNDDOWN((I278-L278)*設定!$B$11/1000,0))</f>
        <v>0</v>
      </c>
      <c r="BK278" s="31" t="n">
        <f aca="false">ROUNDDOWN((I278-L278)*設定!$C$10/1000,0)+ROUNDDOWN((I278-L278)*設定!$C$11/1000,0)+ROUNDDOWN(I278*設定!$C$12/1000,0)+IF(CL278="市局型",ROUNDDOWN(I278*設定!$C$16/1000,0),0)</f>
        <v>0</v>
      </c>
      <c r="BL278" s="31" t="n">
        <f aca="false">IF(CK278="N",BT278,ROUNDDOWN((J278-M278)*設定!$B$13/1000,0))</f>
        <v>0</v>
      </c>
      <c r="BM278" s="31" t="n">
        <f aca="false">ROUNDDOWN((J278-M278)*設定!$C$13/1000,0)+IF(CL278="市局型",ROUNDDOWN(J278*設定!$C$17/1000,0),0)</f>
        <v>0</v>
      </c>
      <c r="BN278" s="31" t="n">
        <f aca="false">IF(CK278="N",BV278,ROUNDDOWN((K278-N278)*設定!$B$14/1000,0))</f>
        <v>0</v>
      </c>
      <c r="BO278" s="31" t="n">
        <f aca="false">ROUNDDOWN((K278-N278)*設定!$C$14/1000,0)</f>
        <v>0</v>
      </c>
      <c r="BP278" s="31" t="n">
        <f aca="false">IF(CK278="N",BX278,ROUNDDOWN((J278-M278)*設定!$B$15/1000,0))</f>
        <v>0</v>
      </c>
      <c r="BQ278" s="31" t="n">
        <f aca="false">ROUNDDOWN((J278-M278)*設定!$C$15/1000,0)</f>
        <v>0</v>
      </c>
      <c r="BR278" s="31" t="n">
        <f aca="false">O278+P278</f>
        <v>31680</v>
      </c>
      <c r="BS278" s="31" t="n">
        <f aca="false">T278+U278+V278</f>
        <v>31680</v>
      </c>
      <c r="BT278" s="31" t="n">
        <f aca="false">Q278</f>
        <v>16595</v>
      </c>
      <c r="BU278" s="31" t="n">
        <f aca="false">W278</f>
        <v>16611</v>
      </c>
      <c r="BV278" s="31" t="n">
        <f aca="false">R278</f>
        <v>2528</v>
      </c>
      <c r="BW278" s="31" t="n">
        <f aca="false">X278</f>
        <v>2528</v>
      </c>
      <c r="BX278" s="31" t="n">
        <f aca="false">S278</f>
        <v>368</v>
      </c>
      <c r="BY278" s="31" t="n">
        <f aca="false">Y278</f>
        <v>368</v>
      </c>
      <c r="BZ278" s="32" t="n">
        <f aca="false">IF(BJ278=0,IF(BR278=0,0,1),(BR278-BJ278)/BJ278)</f>
        <v>1</v>
      </c>
      <c r="CA278" s="32" t="n">
        <f aca="false">IF(BK278=0,IF(BS278=0,0,1),(BS278-BK278)/BK278)</f>
        <v>1</v>
      </c>
      <c r="CB278" s="32" t="n">
        <f aca="false">IF(BL278=0,IF(BT278=0,0,1),(BT278-BL278)/BL278)</f>
        <v>1</v>
      </c>
      <c r="CC278" s="32" t="n">
        <f aca="false">IF(BM278=0,IF(BU278=0,0,1),(BU278-BM278)/BM278)</f>
        <v>1</v>
      </c>
      <c r="CD278" s="32" t="n">
        <f aca="false">IF(BN278=0,IF(BV278=0,0,1),(BV278-BN278)/BN278)</f>
        <v>1</v>
      </c>
      <c r="CE278" s="32" t="n">
        <f aca="false">IF(BO278=0,IF(BW278=0,0,1),(BW278-BO278)/BO278)</f>
        <v>1</v>
      </c>
      <c r="CF278" s="32" t="n">
        <f aca="false">IF(BP278=0,IF(BX278=0,0,1),(BX278-BP278)/BP278)</f>
        <v>1</v>
      </c>
      <c r="CG278" s="32" t="n">
        <f aca="false">IF(BQ278=0,IF(BY278=0,0,1),(BY278-BQ278)/BQ278)</f>
        <v>1</v>
      </c>
      <c r="CH278" s="32" t="n">
        <f aca="false">MAX(MAX(BZ278:CG278),-MIN(BZ278:CG278))</f>
        <v>1</v>
      </c>
      <c r="CI278" s="31" t="n">
        <f aca="false">IF(CO278="","",SUMIFS($CJ$7:$CJ$696,$A$7:$A$696,CO278,$B$7:$B$696,B278))</f>
        <v>101062</v>
      </c>
      <c r="CJ278" s="31" t="n">
        <f aca="false">SUM(AY278:BI278)</f>
        <v>102358</v>
      </c>
      <c r="CK278" s="31" t="str">
        <f aca="false">IFERROR(INDEX(設定!$F$61:$F$106,MATCH(B278,設定!$B$61:$B$106,0)),"Y")</f>
        <v>Y</v>
      </c>
      <c r="CL278" s="31" t="str">
        <f aca="false">IFERROR(INDEX(設定!$G$61:$G$106,MATCH(B278,設定!$B$61:$B$106,0)),"外郭型")</f>
        <v>外郭型</v>
      </c>
      <c r="CM278" s="33" t="str">
        <f aca="false">A278&amp;"|"&amp;B278</f>
        <v>2026-08 月例|市職員労働組合</v>
      </c>
      <c r="CN278" s="34" t="str">
        <f aca="false">IFERROR(INDEX(設定!$D$61:$D$106,MATCH(B278,設定!$B$61:$B$106,0)),"Y")</f>
        <v>Y</v>
      </c>
      <c r="CO278" s="34" t="str">
        <f aca="false">IFERROR(INDEX(設定!$D$20:$D$34,MATCH(A278,設定!$A$20:$A$34,0))&amp;"","")</f>
        <v>2026-07 月例</v>
      </c>
    </row>
    <row r="279" customFormat="false" ht="15" hidden="true" customHeight="false" outlineLevel="0" collapsed="false">
      <c r="A279" s="22" t="s">
        <v>221</v>
      </c>
      <c r="B279" s="23" t="s">
        <v>211</v>
      </c>
      <c r="C279" s="10" t="str">
        <f aca="false">IF(G279="","未受領",IF(G279="なし","報告なし",IF(AL279="○","起票済",IF(OR(AK279="○",F279="一致",F279="入金不要"),"入金確認済","受領済"))))</f>
        <v>未受領</v>
      </c>
      <c r="D279" s="10" t="str">
        <f aca="false">IF(OR(G279="",G279="なし"),"―",IF(CN279="N","対象外",IF(AND(I279="",J279="",K279=""),"標報未入力",IF(CH279&gt;=設定!$B$4,"要確認","問題なし"))))</f>
        <v>―</v>
      </c>
      <c r="E279" s="24" t="str">
        <f aca="false">IF(OR(G279="",G279="なし",CI279="",CJ279=0),"―",IF(CJ279=CI279,"前月同額",IF(CI279=0,"―",IF(ABS(CJ279/CI279-1)&gt;=設定!$B$5,"変動大 "&amp;TEXT(CJ279/CI279-1,"+0%;-0%"),"〇"))))</f>
        <v>―</v>
      </c>
      <c r="F279" s="10" t="str">
        <f aca="false">IF(OR(G279="",G279="なし"),"―",IF(CJ279=0,"入金不要",IF(COUNT(AD279,AF279,AH279,AJ279)=0,IF(AK279="○","手動確認","未入金"),IF(AND(N(AD279)=AC279,IF(AE279="",TRUE(),N(AF279)=AE279),IF(AG279="",TRUE(),N(AH279)=AG279),IF(AI279="",TRUE(),N(AJ279)=AI279)),"一致","不一致"))))</f>
        <v>―</v>
      </c>
      <c r="G279" s="25"/>
      <c r="H279" s="26"/>
      <c r="I279" s="27"/>
      <c r="J279" s="27"/>
      <c r="K279" s="27"/>
      <c r="L279" s="27"/>
      <c r="M279" s="27"/>
      <c r="N279" s="27"/>
      <c r="O279" s="27"/>
      <c r="P279" s="27"/>
      <c r="Q279" s="27"/>
      <c r="R279" s="27"/>
      <c r="S279" s="27"/>
      <c r="T279" s="27"/>
      <c r="U279" s="27"/>
      <c r="V279" s="27"/>
      <c r="W279" s="27"/>
      <c r="X279" s="27"/>
      <c r="Y279" s="27"/>
      <c r="Z279" s="27"/>
      <c r="AA279" s="10" t="str">
        <f aca="false">IFERROR(INDEX(設定!$E$61:$E$106,MATCH(B279,設定!$B$61:$B$106,0)),"合算")</f>
        <v>合算</v>
      </c>
      <c r="AB279" s="28"/>
      <c r="AC279" s="29" t="str">
        <f aca="false">IF(OR(G279="",G279="なし"),"",IF(AA279="合算",CJ279+N(Z279),IF(AA279="掛金・負担金別",(AY279+AZ279+BD279+BF279+BH279),SUM(AY279:BC279))))</f>
        <v/>
      </c>
      <c r="AD279" s="27"/>
      <c r="AE279" s="29" t="str">
        <f aca="false">IF(OR(G279="",G279="なし"),"",IF(AA279="掛金・負担金別",(BA279+BB279+BC279+BE279+BG279+BI279+N(Z279)),IF(AA279="経理区分別",BD279+BE279,"")))</f>
        <v/>
      </c>
      <c r="AF279" s="27"/>
      <c r="AG279" s="29" t="str">
        <f aca="false">IF(OR(G279="",G279="なし"),"",IF(AA279="経理区分別",BF279+BG279,""))</f>
        <v/>
      </c>
      <c r="AH279" s="27"/>
      <c r="AI279" s="29" t="str">
        <f aca="false">IF(OR(G279="",G279="なし"),"",IF(AA279="経理区分別",BH279+BI279+N(Z279),""))</f>
        <v/>
      </c>
      <c r="AJ279" s="27"/>
      <c r="AK279" s="26"/>
      <c r="AL279" s="26"/>
      <c r="AM279" s="30"/>
      <c r="AN279" s="31" t="n">
        <v>0</v>
      </c>
      <c r="AO279" s="31" t="n">
        <v>0</v>
      </c>
      <c r="AP279" s="31" t="n">
        <v>0</v>
      </c>
      <c r="AQ279" s="31" t="n">
        <v>0</v>
      </c>
      <c r="AR279" s="31"/>
      <c r="AS279" s="31" t="n">
        <v>0</v>
      </c>
      <c r="AT279" s="31" t="n">
        <v>0</v>
      </c>
      <c r="AU279" s="31" t="n">
        <v>0</v>
      </c>
      <c r="AV279" s="31" t="n">
        <v>0</v>
      </c>
      <c r="AW279" s="31" t="n">
        <v>0</v>
      </c>
      <c r="AX279" s="31" t="n">
        <v>0</v>
      </c>
      <c r="AY279" s="31" t="n">
        <f aca="false">IF($G279="",AN279,O279)</f>
        <v>0</v>
      </c>
      <c r="AZ279" s="31" t="n">
        <f aca="false">IF($G279="",AO279,P279)</f>
        <v>0</v>
      </c>
      <c r="BA279" s="31" t="n">
        <f aca="false">IF($G279="",AP279,T279)</f>
        <v>0</v>
      </c>
      <c r="BB279" s="31" t="n">
        <f aca="false">IF($G279="",AQ279,U279)</f>
        <v>0</v>
      </c>
      <c r="BC279" s="31" t="n">
        <f aca="false">IF($G279="",AR279,V279)</f>
        <v>0</v>
      </c>
      <c r="BD279" s="31" t="n">
        <f aca="false">IF($G279="",AS279,Q279)</f>
        <v>0</v>
      </c>
      <c r="BE279" s="31" t="n">
        <f aca="false">IF($G279="",AT279,W279)</f>
        <v>0</v>
      </c>
      <c r="BF279" s="31" t="n">
        <f aca="false">IF($G279="",AU279,R279)</f>
        <v>0</v>
      </c>
      <c r="BG279" s="31" t="n">
        <f aca="false">IF($G279="",AV279,X279)</f>
        <v>0</v>
      </c>
      <c r="BH279" s="31" t="n">
        <f aca="false">IF($G279="",AW279,S279)</f>
        <v>0</v>
      </c>
      <c r="BI279" s="31" t="n">
        <f aca="false">IF($G279="",AX279,Y279)</f>
        <v>0</v>
      </c>
      <c r="BJ279" s="31" t="n">
        <f aca="false">IF(CK279="N",BR279,ROUNDDOWN((I279-L279)*設定!$B$10/1000,0)+ROUNDDOWN((I279-L279)*設定!$B$11/1000,0))</f>
        <v>0</v>
      </c>
      <c r="BK279" s="31" t="n">
        <f aca="false">ROUNDDOWN((I279-L279)*設定!$C$10/1000,0)+ROUNDDOWN((I279-L279)*設定!$C$11/1000,0)+ROUNDDOWN(I279*設定!$C$12/1000,0)+IF(CL279="市局型",ROUNDDOWN(I279*設定!$C$16/1000,0),0)</f>
        <v>0</v>
      </c>
      <c r="BL279" s="31" t="n">
        <f aca="false">IF(CK279="N",BT279,ROUNDDOWN((J279-M279)*設定!$B$13/1000,0))</f>
        <v>0</v>
      </c>
      <c r="BM279" s="31" t="n">
        <f aca="false">ROUNDDOWN((J279-M279)*設定!$C$13/1000,0)+IF(CL279="市局型",ROUNDDOWN(J279*設定!$C$17/1000,0),0)</f>
        <v>0</v>
      </c>
      <c r="BN279" s="31" t="n">
        <f aca="false">IF(CK279="N",BV279,ROUNDDOWN((K279-N279)*設定!$B$14/1000,0))</f>
        <v>0</v>
      </c>
      <c r="BO279" s="31" t="n">
        <f aca="false">ROUNDDOWN((K279-N279)*設定!$C$14/1000,0)</f>
        <v>0</v>
      </c>
      <c r="BP279" s="31" t="n">
        <f aca="false">IF(CK279="N",BX279,ROUNDDOWN((J279-M279)*設定!$B$15/1000,0))</f>
        <v>0</v>
      </c>
      <c r="BQ279" s="31" t="n">
        <f aca="false">ROUNDDOWN((J279-M279)*設定!$C$15/1000,0)</f>
        <v>0</v>
      </c>
      <c r="BR279" s="31" t="n">
        <f aca="false">O279+P279</f>
        <v>0</v>
      </c>
      <c r="BS279" s="31" t="n">
        <f aca="false">T279+U279+V279</f>
        <v>0</v>
      </c>
      <c r="BT279" s="31" t="n">
        <f aca="false">Q279</f>
        <v>0</v>
      </c>
      <c r="BU279" s="31" t="n">
        <f aca="false">W279</f>
        <v>0</v>
      </c>
      <c r="BV279" s="31" t="n">
        <f aca="false">R279</f>
        <v>0</v>
      </c>
      <c r="BW279" s="31" t="n">
        <f aca="false">X279</f>
        <v>0</v>
      </c>
      <c r="BX279" s="31" t="n">
        <f aca="false">S279</f>
        <v>0</v>
      </c>
      <c r="BY279" s="31" t="n">
        <f aca="false">Y279</f>
        <v>0</v>
      </c>
      <c r="BZ279" s="32" t="n">
        <f aca="false">IF(BJ279=0,IF(BR279=0,0,1),(BR279-BJ279)/BJ279)</f>
        <v>0</v>
      </c>
      <c r="CA279" s="32" t="n">
        <f aca="false">IF(BK279=0,IF(BS279=0,0,1),(BS279-BK279)/BK279)</f>
        <v>0</v>
      </c>
      <c r="CB279" s="32" t="n">
        <f aca="false">IF(BL279=0,IF(BT279=0,0,1),(BT279-BL279)/BL279)</f>
        <v>0</v>
      </c>
      <c r="CC279" s="32" t="n">
        <f aca="false">IF(BM279=0,IF(BU279=0,0,1),(BU279-BM279)/BM279)</f>
        <v>0</v>
      </c>
      <c r="CD279" s="32" t="n">
        <f aca="false">IF(BN279=0,IF(BV279=0,0,1),(BV279-BN279)/BN279)</f>
        <v>0</v>
      </c>
      <c r="CE279" s="32" t="n">
        <f aca="false">IF(BO279=0,IF(BW279=0,0,1),(BW279-BO279)/BO279)</f>
        <v>0</v>
      </c>
      <c r="CF279" s="32" t="n">
        <f aca="false">IF(BP279=0,IF(BX279=0,0,1),(BX279-BP279)/BP279)</f>
        <v>0</v>
      </c>
      <c r="CG279" s="32" t="n">
        <f aca="false">IF(BQ279=0,IF(BY279=0,0,1),(BY279-BQ279)/BQ279)</f>
        <v>0</v>
      </c>
      <c r="CH279" s="32" t="n">
        <f aca="false">MAX(MAX(BZ279:CG279),-MIN(BZ279:CG279))</f>
        <v>-0</v>
      </c>
      <c r="CI279" s="31" t="n">
        <f aca="false">IF(CO279="","",SUMIFS($CJ$7:$CJ$696,$A$7:$A$696,CO279,$B$7:$B$696,B279))</f>
        <v>0</v>
      </c>
      <c r="CJ279" s="31" t="n">
        <f aca="false">SUM(AY279:BI279)</f>
        <v>0</v>
      </c>
      <c r="CK279" s="31" t="str">
        <f aca="false">IFERROR(INDEX(設定!$F$61:$F$106,MATCH(B279,設定!$B$61:$B$106,0)),"Y")</f>
        <v>N</v>
      </c>
      <c r="CL279" s="31" t="str">
        <f aca="false">IFERROR(INDEX(設定!$G$61:$G$106,MATCH(B279,設定!$B$61:$B$106,0)),"外郭型")</f>
        <v>外郭型</v>
      </c>
      <c r="CM279" s="33" t="str">
        <f aca="false">A279&amp;"|"&amp;B279</f>
        <v>2026-08 月例|自治労労働組合</v>
      </c>
      <c r="CN279" s="34" t="str">
        <f aca="false">IFERROR(INDEX(設定!$D$61:$D$106,MATCH(B279,設定!$B$61:$B$106,0)),"Y")</f>
        <v>Y</v>
      </c>
      <c r="CO279" s="34" t="str">
        <f aca="false">IFERROR(INDEX(設定!$D$20:$D$34,MATCH(A279,設定!$A$20:$A$34,0))&amp;"","")</f>
        <v>2026-07 月例</v>
      </c>
    </row>
    <row r="280" customFormat="false" ht="15" hidden="true" customHeight="false" outlineLevel="0" collapsed="false">
      <c r="A280" s="22" t="s">
        <v>221</v>
      </c>
      <c r="B280" s="23" t="s">
        <v>212</v>
      </c>
      <c r="C280" s="10" t="str">
        <f aca="false">IF(G280="","未受領",IF(G280="なし","報告なし",IF(AL280="○","起票済",IF(OR(AK280="○",F280="一致",F280="入金不要"),"入金確認済","受領済"))))</f>
        <v>入金確認済</v>
      </c>
      <c r="D280" s="10" t="str">
        <f aca="false">IF(OR(G280="",G280="なし"),"―",IF(CN280="N","対象外",IF(AND(I280="",J280="",K280=""),"標報未入力",IF(CH280&gt;=設定!$B$4,"要確認","問題なし"))))</f>
        <v>標報未入力</v>
      </c>
      <c r="E280" s="24" t="str">
        <f aca="false">IF(OR(G280="",G280="なし",CI280="",CJ280=0),"―",IF(CJ280=CI280,"前月同額",IF(CI280=0,"―",IF(ABS(CJ280/CI280-1)&gt;=設定!$B$5,"変動大 "&amp;TEXT(CJ280/CI280-1,"+0%;-0%"),"〇"))))</f>
        <v>前月同額</v>
      </c>
      <c r="F280" s="10" t="str">
        <f aca="false">IF(OR(G280="",G280="なし"),"―",IF(CJ280=0,"入金不要",IF(COUNT(AD280,AF280,AH280,AJ280)=0,IF(AK280="○","手動確認","未入金"),IF(AND(N(AD280)=AC280,IF(AE280="",TRUE(),N(AF280)=AE280),IF(AG280="",TRUE(),N(AH280)=AG280),IF(AI280="",TRUE(),N(AJ280)=AI280)),"一致","不一致"))))</f>
        <v>手動確認</v>
      </c>
      <c r="G280" s="25" t="s">
        <v>167</v>
      </c>
      <c r="H280" s="26"/>
      <c r="I280" s="27"/>
      <c r="J280" s="27"/>
      <c r="K280" s="27"/>
      <c r="L280" s="27"/>
      <c r="M280" s="27"/>
      <c r="N280" s="27"/>
      <c r="O280" s="27" t="n">
        <v>27450</v>
      </c>
      <c r="P280" s="27" t="n">
        <v>2250</v>
      </c>
      <c r="Q280" s="27" t="n">
        <v>31116</v>
      </c>
      <c r="R280" s="27" t="n">
        <v>2370</v>
      </c>
      <c r="S280" s="27" t="n">
        <v>690</v>
      </c>
      <c r="T280" s="27" t="n">
        <v>27450</v>
      </c>
      <c r="U280" s="27" t="n">
        <v>2250</v>
      </c>
      <c r="V280" s="27"/>
      <c r="W280" s="27" t="n">
        <v>31146</v>
      </c>
      <c r="X280" s="27" t="n">
        <v>2370</v>
      </c>
      <c r="Y280" s="27" t="n">
        <v>690</v>
      </c>
      <c r="Z280" s="27"/>
      <c r="AA280" s="10" t="str">
        <f aca="false">IFERROR(INDEX(設定!$E$61:$E$106,MATCH(B280,設定!$B$61:$B$106,0)),"合算")</f>
        <v>合算</v>
      </c>
      <c r="AB280" s="28"/>
      <c r="AC280" s="29" t="n">
        <f aca="false">IF(OR(G280="",G280="なし"),"",IF(AA280="合算",CJ280+N(Z280),IF(AA280="掛金・負担金別",(AY280+AZ280+BD280+BF280+BH280),SUM(AY280:BC280))))</f>
        <v>127782</v>
      </c>
      <c r="AD280" s="27"/>
      <c r="AE280" s="29" t="str">
        <f aca="false">IF(OR(G280="",G280="なし"),"",IF(AA280="掛金・負担金別",(BA280+BB280+BC280+BE280+BG280+BI280+N(Z280)),IF(AA280="経理区分別",BD280+BE280,"")))</f>
        <v/>
      </c>
      <c r="AF280" s="27"/>
      <c r="AG280" s="29" t="str">
        <f aca="false">IF(OR(G280="",G280="なし"),"",IF(AA280="経理区分別",BF280+BG280,""))</f>
        <v/>
      </c>
      <c r="AH280" s="27"/>
      <c r="AI280" s="29" t="str">
        <f aca="false">IF(OR(G280="",G280="なし"),"",IF(AA280="経理区分別",BH280+BI280+N(Z280),""))</f>
        <v/>
      </c>
      <c r="AJ280" s="27"/>
      <c r="AK280" s="26" t="s">
        <v>168</v>
      </c>
      <c r="AL280" s="26"/>
      <c r="AM280" s="30"/>
      <c r="AN280" s="31"/>
      <c r="AO280" s="31"/>
      <c r="AP280" s="31"/>
      <c r="AQ280" s="31"/>
      <c r="AR280" s="31"/>
      <c r="AS280" s="31"/>
      <c r="AT280" s="31"/>
      <c r="AU280" s="31"/>
      <c r="AV280" s="31"/>
      <c r="AW280" s="31"/>
      <c r="AX280" s="31"/>
      <c r="AY280" s="31" t="n">
        <f aca="false">IF($G280="",AN280,O280)</f>
        <v>27450</v>
      </c>
      <c r="AZ280" s="31" t="n">
        <f aca="false">IF($G280="",AO280,P280)</f>
        <v>2250</v>
      </c>
      <c r="BA280" s="31" t="n">
        <f aca="false">IF($G280="",AP280,T280)</f>
        <v>27450</v>
      </c>
      <c r="BB280" s="31" t="n">
        <f aca="false">IF($G280="",AQ280,U280)</f>
        <v>2250</v>
      </c>
      <c r="BC280" s="31" t="n">
        <f aca="false">IF($G280="",AR280,V280)</f>
        <v>0</v>
      </c>
      <c r="BD280" s="31" t="n">
        <f aca="false">IF($G280="",AS280,Q280)</f>
        <v>31116</v>
      </c>
      <c r="BE280" s="31" t="n">
        <f aca="false">IF($G280="",AT280,W280)</f>
        <v>31146</v>
      </c>
      <c r="BF280" s="31" t="n">
        <f aca="false">IF($G280="",AU280,R280)</f>
        <v>2370</v>
      </c>
      <c r="BG280" s="31" t="n">
        <f aca="false">IF($G280="",AV280,X280)</f>
        <v>2370</v>
      </c>
      <c r="BH280" s="31" t="n">
        <f aca="false">IF($G280="",AW280,S280)</f>
        <v>690</v>
      </c>
      <c r="BI280" s="31" t="n">
        <f aca="false">IF($G280="",AX280,Y280)</f>
        <v>690</v>
      </c>
      <c r="BJ280" s="31" t="n">
        <f aca="false">IF(CK280="N",BR280,ROUNDDOWN((I280-L280)*設定!$B$10/1000,0)+ROUNDDOWN((I280-L280)*設定!$B$11/1000,0))</f>
        <v>0</v>
      </c>
      <c r="BK280" s="31" t="n">
        <f aca="false">ROUNDDOWN((I280-L280)*設定!$C$10/1000,0)+ROUNDDOWN((I280-L280)*設定!$C$11/1000,0)+ROUNDDOWN(I280*設定!$C$12/1000,0)+IF(CL280="市局型",ROUNDDOWN(I280*設定!$C$16/1000,0),0)</f>
        <v>0</v>
      </c>
      <c r="BL280" s="31" t="n">
        <f aca="false">IF(CK280="N",BT280,ROUNDDOWN((J280-M280)*設定!$B$13/1000,0))</f>
        <v>0</v>
      </c>
      <c r="BM280" s="31" t="n">
        <f aca="false">ROUNDDOWN((J280-M280)*設定!$C$13/1000,0)+IF(CL280="市局型",ROUNDDOWN(J280*設定!$C$17/1000,0),0)</f>
        <v>0</v>
      </c>
      <c r="BN280" s="31" t="n">
        <f aca="false">IF(CK280="N",BV280,ROUNDDOWN((K280-N280)*設定!$B$14/1000,0))</f>
        <v>0</v>
      </c>
      <c r="BO280" s="31" t="n">
        <f aca="false">ROUNDDOWN((K280-N280)*設定!$C$14/1000,0)</f>
        <v>0</v>
      </c>
      <c r="BP280" s="31" t="n">
        <f aca="false">IF(CK280="N",BX280,ROUNDDOWN((J280-M280)*設定!$B$15/1000,0))</f>
        <v>0</v>
      </c>
      <c r="BQ280" s="31" t="n">
        <f aca="false">ROUNDDOWN((J280-M280)*設定!$C$15/1000,0)</f>
        <v>0</v>
      </c>
      <c r="BR280" s="31" t="n">
        <f aca="false">O280+P280</f>
        <v>29700</v>
      </c>
      <c r="BS280" s="31" t="n">
        <f aca="false">T280+U280+V280</f>
        <v>29700</v>
      </c>
      <c r="BT280" s="31" t="n">
        <f aca="false">Q280</f>
        <v>31116</v>
      </c>
      <c r="BU280" s="31" t="n">
        <f aca="false">W280</f>
        <v>31146</v>
      </c>
      <c r="BV280" s="31" t="n">
        <f aca="false">R280</f>
        <v>2370</v>
      </c>
      <c r="BW280" s="31" t="n">
        <f aca="false">X280</f>
        <v>2370</v>
      </c>
      <c r="BX280" s="31" t="n">
        <f aca="false">S280</f>
        <v>690</v>
      </c>
      <c r="BY280" s="31" t="n">
        <f aca="false">Y280</f>
        <v>690</v>
      </c>
      <c r="BZ280" s="32" t="n">
        <f aca="false">IF(BJ280=0,IF(BR280=0,0,1),(BR280-BJ280)/BJ280)</f>
        <v>1</v>
      </c>
      <c r="CA280" s="32" t="n">
        <f aca="false">IF(BK280=0,IF(BS280=0,0,1),(BS280-BK280)/BK280)</f>
        <v>1</v>
      </c>
      <c r="CB280" s="32" t="n">
        <f aca="false">IF(BL280=0,IF(BT280=0,0,1),(BT280-BL280)/BL280)</f>
        <v>1</v>
      </c>
      <c r="CC280" s="32" t="n">
        <f aca="false">IF(BM280=0,IF(BU280=0,0,1),(BU280-BM280)/BM280)</f>
        <v>1</v>
      </c>
      <c r="CD280" s="32" t="n">
        <f aca="false">IF(BN280=0,IF(BV280=0,0,1),(BV280-BN280)/BN280)</f>
        <v>1</v>
      </c>
      <c r="CE280" s="32" t="n">
        <f aca="false">IF(BO280=0,IF(BW280=0,0,1),(BW280-BO280)/BO280)</f>
        <v>1</v>
      </c>
      <c r="CF280" s="32" t="n">
        <f aca="false">IF(BP280=0,IF(BX280=0,0,1),(BX280-BP280)/BP280)</f>
        <v>1</v>
      </c>
      <c r="CG280" s="32" t="n">
        <f aca="false">IF(BQ280=0,IF(BY280=0,0,1),(BY280-BQ280)/BQ280)</f>
        <v>1</v>
      </c>
      <c r="CH280" s="32" t="n">
        <f aca="false">MAX(MAX(BZ280:CG280),-MIN(BZ280:CG280))</f>
        <v>1</v>
      </c>
      <c r="CI280" s="31" t="n">
        <f aca="false">IF(CO280="","",SUMIFS($CJ$7:$CJ$696,$A$7:$A$696,CO280,$B$7:$B$696,B280))</f>
        <v>127782</v>
      </c>
      <c r="CJ280" s="31" t="n">
        <f aca="false">SUM(AY280:BI280)</f>
        <v>127782</v>
      </c>
      <c r="CK280" s="31" t="str">
        <f aca="false">IFERROR(INDEX(設定!$F$61:$F$106,MATCH(B280,設定!$B$61:$B$106,0)),"Y")</f>
        <v>Y</v>
      </c>
      <c r="CL280" s="31" t="str">
        <f aca="false">IFERROR(INDEX(設定!$G$61:$G$106,MATCH(B280,設定!$B$61:$B$106,0)),"外郭型")</f>
        <v>外郭型</v>
      </c>
      <c r="CM280" s="33" t="str">
        <f aca="false">A280&amp;"|"&amp;B280</f>
        <v>2026-08 月例|病院労働組合</v>
      </c>
      <c r="CN280" s="34" t="str">
        <f aca="false">IFERROR(INDEX(設定!$D$61:$D$106,MATCH(B280,設定!$B$61:$B$106,0)),"Y")</f>
        <v>Y</v>
      </c>
      <c r="CO280" s="34" t="str">
        <f aca="false">IFERROR(INDEX(設定!$D$20:$D$34,MATCH(A280,設定!$A$20:$A$34,0))&amp;"","")</f>
        <v>2026-07 月例</v>
      </c>
    </row>
    <row r="281" customFormat="false" ht="15" hidden="true" customHeight="false" outlineLevel="0" collapsed="false">
      <c r="A281" s="22" t="s">
        <v>221</v>
      </c>
      <c r="B281" s="23" t="s">
        <v>213</v>
      </c>
      <c r="C281" s="10" t="str">
        <f aca="false">IF(G281="","未受領",IF(G281="なし","報告なし",IF(AL281="○","起票済",IF(OR(AK281="○",F281="一致",F281="入金不要"),"入金確認済","受領済"))))</f>
        <v>報告なし</v>
      </c>
      <c r="D281" s="10" t="str">
        <f aca="false">IF(OR(G281="",G281="なし"),"―",IF(CN281="N","対象外",IF(AND(I281="",J281="",K281=""),"標報未入力",IF(CH281&gt;=設定!$B$4,"要確認","問題なし"))))</f>
        <v>―</v>
      </c>
      <c r="E281" s="24" t="str">
        <f aca="false">IF(OR(G281="",G281="なし",CI281="",CJ281=0),"―",IF(CJ281=CI281,"前月同額",IF(CI281=0,"―",IF(ABS(CJ281/CI281-1)&gt;=設定!$B$5,"変動大 "&amp;TEXT(CJ281/CI281-1,"+0%;-0%"),"〇"))))</f>
        <v>―</v>
      </c>
      <c r="F281" s="10" t="str">
        <f aca="false">IF(OR(G281="",G281="なし"),"―",IF(CJ281=0,"入金不要",IF(COUNT(AD281,AF281,AH281,AJ281)=0,IF(AK281="○","手動確認","未入金"),IF(AND(N(AD281)=AC281,IF(AE281="",TRUE(),N(AF281)=AE281),IF(AG281="",TRUE(),N(AH281)=AG281),IF(AI281="",TRUE(),N(AJ281)=AI281)),"一致","不一致"))))</f>
        <v>―</v>
      </c>
      <c r="G281" s="25" t="s">
        <v>181</v>
      </c>
      <c r="H281" s="26"/>
      <c r="I281" s="27"/>
      <c r="J281" s="27"/>
      <c r="K281" s="27"/>
      <c r="L281" s="27"/>
      <c r="M281" s="27"/>
      <c r="N281" s="27"/>
      <c r="O281" s="27"/>
      <c r="P281" s="27"/>
      <c r="Q281" s="27"/>
      <c r="R281" s="27"/>
      <c r="S281" s="27"/>
      <c r="T281" s="27"/>
      <c r="U281" s="27"/>
      <c r="V281" s="27"/>
      <c r="W281" s="27"/>
      <c r="X281" s="27"/>
      <c r="Y281" s="27"/>
      <c r="Z281" s="27"/>
      <c r="AA281" s="10" t="str">
        <f aca="false">IFERROR(INDEX(設定!$E$61:$E$106,MATCH(B281,設定!$B$61:$B$106,0)),"合算")</f>
        <v>合算</v>
      </c>
      <c r="AB281" s="28"/>
      <c r="AC281" s="29" t="str">
        <f aca="false">IF(OR(G281="",G281="なし"),"",IF(AA281="合算",CJ281+N(Z281),IF(AA281="掛金・負担金別",(AY281+AZ281+BD281+BF281+BH281),SUM(AY281:BC281))))</f>
        <v/>
      </c>
      <c r="AD281" s="27"/>
      <c r="AE281" s="29" t="str">
        <f aca="false">IF(OR(G281="",G281="なし"),"",IF(AA281="掛金・負担金別",(BA281+BB281+BC281+BE281+BG281+BI281+N(Z281)),IF(AA281="経理区分別",BD281+BE281,"")))</f>
        <v/>
      </c>
      <c r="AF281" s="27"/>
      <c r="AG281" s="29" t="str">
        <f aca="false">IF(OR(G281="",G281="なし"),"",IF(AA281="経理区分別",BF281+BG281,""))</f>
        <v/>
      </c>
      <c r="AH281" s="27"/>
      <c r="AI281" s="29" t="str">
        <f aca="false">IF(OR(G281="",G281="なし"),"",IF(AA281="経理区分別",BH281+BI281+N(Z281),""))</f>
        <v/>
      </c>
      <c r="AJ281" s="27"/>
      <c r="AK281" s="26"/>
      <c r="AL281" s="26"/>
      <c r="AM281" s="30"/>
      <c r="AN281" s="31"/>
      <c r="AO281" s="31"/>
      <c r="AP281" s="31"/>
      <c r="AQ281" s="31"/>
      <c r="AR281" s="31"/>
      <c r="AS281" s="31"/>
      <c r="AT281" s="31"/>
      <c r="AU281" s="31"/>
      <c r="AV281" s="31"/>
      <c r="AW281" s="31"/>
      <c r="AX281" s="31"/>
      <c r="AY281" s="31" t="n">
        <f aca="false">IF($G281="",AN281,O281)</f>
        <v>0</v>
      </c>
      <c r="AZ281" s="31" t="n">
        <f aca="false">IF($G281="",AO281,P281)</f>
        <v>0</v>
      </c>
      <c r="BA281" s="31" t="n">
        <f aca="false">IF($G281="",AP281,T281)</f>
        <v>0</v>
      </c>
      <c r="BB281" s="31" t="n">
        <f aca="false">IF($G281="",AQ281,U281)</f>
        <v>0</v>
      </c>
      <c r="BC281" s="31" t="n">
        <f aca="false">IF($G281="",AR281,V281)</f>
        <v>0</v>
      </c>
      <c r="BD281" s="31" t="n">
        <f aca="false">IF($G281="",AS281,Q281)</f>
        <v>0</v>
      </c>
      <c r="BE281" s="31" t="n">
        <f aca="false">IF($G281="",AT281,W281)</f>
        <v>0</v>
      </c>
      <c r="BF281" s="31" t="n">
        <f aca="false">IF($G281="",AU281,R281)</f>
        <v>0</v>
      </c>
      <c r="BG281" s="31" t="n">
        <f aca="false">IF($G281="",AV281,X281)</f>
        <v>0</v>
      </c>
      <c r="BH281" s="31" t="n">
        <f aca="false">IF($G281="",AW281,S281)</f>
        <v>0</v>
      </c>
      <c r="BI281" s="31" t="n">
        <f aca="false">IF($G281="",AX281,Y281)</f>
        <v>0</v>
      </c>
      <c r="BJ281" s="31" t="n">
        <f aca="false">IF(CK281="N",BR281,ROUNDDOWN((I281-L281)*設定!$B$10/1000,0)+ROUNDDOWN((I281-L281)*設定!$B$11/1000,0))</f>
        <v>0</v>
      </c>
      <c r="BK281" s="31" t="n">
        <f aca="false">ROUNDDOWN((I281-L281)*設定!$C$10/1000,0)+ROUNDDOWN((I281-L281)*設定!$C$11/1000,0)+ROUNDDOWN(I281*設定!$C$12/1000,0)+IF(CL281="市局型",ROUNDDOWN(I281*設定!$C$16/1000,0),0)</f>
        <v>0</v>
      </c>
      <c r="BL281" s="31" t="n">
        <f aca="false">IF(CK281="N",BT281,ROUNDDOWN((J281-M281)*設定!$B$13/1000,0))</f>
        <v>0</v>
      </c>
      <c r="BM281" s="31" t="n">
        <f aca="false">ROUNDDOWN((J281-M281)*設定!$C$13/1000,0)+IF(CL281="市局型",ROUNDDOWN(J281*設定!$C$17/1000,0),0)</f>
        <v>0</v>
      </c>
      <c r="BN281" s="31" t="n">
        <f aca="false">IF(CK281="N",BV281,ROUNDDOWN((K281-N281)*設定!$B$14/1000,0))</f>
        <v>0</v>
      </c>
      <c r="BO281" s="31" t="n">
        <f aca="false">ROUNDDOWN((K281-N281)*設定!$C$14/1000,0)</f>
        <v>0</v>
      </c>
      <c r="BP281" s="31" t="n">
        <f aca="false">IF(CK281="N",BX281,ROUNDDOWN((J281-M281)*設定!$B$15/1000,0))</f>
        <v>0</v>
      </c>
      <c r="BQ281" s="31" t="n">
        <f aca="false">ROUNDDOWN((J281-M281)*設定!$C$15/1000,0)</f>
        <v>0</v>
      </c>
      <c r="BR281" s="31" t="n">
        <f aca="false">O281+P281</f>
        <v>0</v>
      </c>
      <c r="BS281" s="31" t="n">
        <f aca="false">T281+U281+V281</f>
        <v>0</v>
      </c>
      <c r="BT281" s="31" t="n">
        <f aca="false">Q281</f>
        <v>0</v>
      </c>
      <c r="BU281" s="31" t="n">
        <f aca="false">W281</f>
        <v>0</v>
      </c>
      <c r="BV281" s="31" t="n">
        <f aca="false">R281</f>
        <v>0</v>
      </c>
      <c r="BW281" s="31" t="n">
        <f aca="false">X281</f>
        <v>0</v>
      </c>
      <c r="BX281" s="31" t="n">
        <f aca="false">S281</f>
        <v>0</v>
      </c>
      <c r="BY281" s="31" t="n">
        <f aca="false">Y281</f>
        <v>0</v>
      </c>
      <c r="BZ281" s="32" t="n">
        <f aca="false">IF(BJ281=0,IF(BR281=0,0,1),(BR281-BJ281)/BJ281)</f>
        <v>0</v>
      </c>
      <c r="CA281" s="32" t="n">
        <f aca="false">IF(BK281=0,IF(BS281=0,0,1),(BS281-BK281)/BK281)</f>
        <v>0</v>
      </c>
      <c r="CB281" s="32" t="n">
        <f aca="false">IF(BL281=0,IF(BT281=0,0,1),(BT281-BL281)/BL281)</f>
        <v>0</v>
      </c>
      <c r="CC281" s="32" t="n">
        <f aca="false">IF(BM281=0,IF(BU281=0,0,1),(BU281-BM281)/BM281)</f>
        <v>0</v>
      </c>
      <c r="CD281" s="32" t="n">
        <f aca="false">IF(BN281=0,IF(BV281=0,0,1),(BV281-BN281)/BN281)</f>
        <v>0</v>
      </c>
      <c r="CE281" s="32" t="n">
        <f aca="false">IF(BO281=0,IF(BW281=0,0,1),(BW281-BO281)/BO281)</f>
        <v>0</v>
      </c>
      <c r="CF281" s="32" t="n">
        <f aca="false">IF(BP281=0,IF(BX281=0,0,1),(BX281-BP281)/BP281)</f>
        <v>0</v>
      </c>
      <c r="CG281" s="32" t="n">
        <f aca="false">IF(BQ281=0,IF(BY281=0,0,1),(BY281-BQ281)/BQ281)</f>
        <v>0</v>
      </c>
      <c r="CH281" s="32" t="n">
        <f aca="false">MAX(MAX(BZ281:CG281),-MIN(BZ281:CG281))</f>
        <v>-0</v>
      </c>
      <c r="CI281" s="31" t="n">
        <f aca="false">IF(CO281="","",SUMIFS($CJ$7:$CJ$696,$A$7:$A$696,CO281,$B$7:$B$696,B281))</f>
        <v>0</v>
      </c>
      <c r="CJ281" s="31" t="n">
        <f aca="false">SUM(AY281:BI281)</f>
        <v>0</v>
      </c>
      <c r="CK281" s="31" t="str">
        <f aca="false">IFERROR(INDEX(設定!$F$61:$F$106,MATCH(B281,設定!$B$61:$B$106,0)),"Y")</f>
        <v>N</v>
      </c>
      <c r="CL281" s="31" t="str">
        <f aca="false">IFERROR(INDEX(設定!$G$61:$G$106,MATCH(B281,設定!$B$61:$B$106,0)),"外郭型")</f>
        <v>外郭型</v>
      </c>
      <c r="CM281" s="33" t="str">
        <f aca="false">A281&amp;"|"&amp;B281</f>
        <v>2026-08 月例|水道労働組合</v>
      </c>
      <c r="CN281" s="34" t="str">
        <f aca="false">IFERROR(INDEX(設定!$D$61:$D$106,MATCH(B281,設定!$B$61:$B$106,0)),"Y")</f>
        <v>Y</v>
      </c>
      <c r="CO281" s="34" t="str">
        <f aca="false">IFERROR(INDEX(設定!$D$20:$D$34,MATCH(A281,設定!$A$20:$A$34,0))&amp;"","")</f>
        <v>2026-07 月例</v>
      </c>
    </row>
    <row r="282" customFormat="false" ht="15" hidden="true" customHeight="false" outlineLevel="0" collapsed="false">
      <c r="A282" s="22" t="s">
        <v>221</v>
      </c>
      <c r="B282" s="23" t="s">
        <v>214</v>
      </c>
      <c r="C282" s="10" t="str">
        <f aca="false">IF(G282="","未受領",IF(G282="なし","報告なし",IF(AL282="○","起票済",IF(OR(AK282="○",F282="一致",F282="入金不要"),"入金確認済","受領済"))))</f>
        <v>受領済</v>
      </c>
      <c r="D282" s="10" t="str">
        <f aca="false">IF(OR(G282="",G282="なし"),"―",IF(CN282="N","対象外",IF(AND(I282="",J282="",K282=""),"標報未入力",IF(CH282&gt;=設定!$B$4,"要確認","問題なし"))))</f>
        <v>対象外</v>
      </c>
      <c r="E282" s="24" t="str">
        <f aca="false">IF(OR(G282="",G282="なし",CI282="",CJ282=0),"―",IF(CJ282=CI282,"前月同額",IF(CI282=0,"―",IF(ABS(CJ282/CI282-1)&gt;=設定!$B$5,"変動大 "&amp;TEXT(CJ282/CI282-1,"+0%;-0%"),"〇"))))</f>
        <v>変動大 +46%</v>
      </c>
      <c r="F282" s="10" t="str">
        <f aca="false">IF(OR(G282="",G282="なし"),"―",IF(CJ282=0,"入金不要",IF(COUNT(AD282,AF282,AH282,AJ282)=0,IF(AK282="○","手動確認","未入金"),IF(AND(N(AD282)=AC282,IF(AE282="",TRUE(),N(AF282)=AE282),IF(AG282="",TRUE(),N(AH282)=AG282),IF(AI282="",TRUE(),N(AJ282)=AI282)),"一致","不一致"))))</f>
        <v>未入金</v>
      </c>
      <c r="G282" s="25" t="s">
        <v>167</v>
      </c>
      <c r="H282" s="26"/>
      <c r="I282" s="27"/>
      <c r="J282" s="27"/>
      <c r="K282" s="27"/>
      <c r="L282" s="27"/>
      <c r="M282" s="27"/>
      <c r="N282" s="27"/>
      <c r="O282" s="27"/>
      <c r="P282" s="27"/>
      <c r="Q282" s="27" t="n">
        <v>3479204</v>
      </c>
      <c r="R282" s="27" t="n">
        <v>95674</v>
      </c>
      <c r="S282" s="27" t="n">
        <v>77141</v>
      </c>
      <c r="T282" s="27"/>
      <c r="U282" s="27"/>
      <c r="V282" s="27"/>
      <c r="W282" s="27"/>
      <c r="X282" s="27"/>
      <c r="Y282" s="27"/>
      <c r="Z282" s="27"/>
      <c r="AA282" s="10" t="str">
        <f aca="false">IFERROR(INDEX(設定!$E$61:$E$106,MATCH(B282,設定!$B$61:$B$106,0)),"合算")</f>
        <v>合算</v>
      </c>
      <c r="AB282" s="28"/>
      <c r="AC282" s="29" t="n">
        <f aca="false">IF(OR(G282="",G282="なし"),"",IF(AA282="合算",CJ282+N(Z282),IF(AA282="掛金・負担金別",(AY282+AZ282+BD282+BF282+BH282),SUM(AY282:BC282))))</f>
        <v>3652019</v>
      </c>
      <c r="AD282" s="27"/>
      <c r="AE282" s="29" t="str">
        <f aca="false">IF(OR(G282="",G282="なし"),"",IF(AA282="掛金・負担金別",(BA282+BB282+BC282+BE282+BG282+BI282+N(Z282)),IF(AA282="経理区分別",BD282+BE282,"")))</f>
        <v/>
      </c>
      <c r="AF282" s="27"/>
      <c r="AG282" s="29" t="str">
        <f aca="false">IF(OR(G282="",G282="なし"),"",IF(AA282="経理区分別",BF282+BG282,""))</f>
        <v/>
      </c>
      <c r="AH282" s="27"/>
      <c r="AI282" s="29" t="str">
        <f aca="false">IF(OR(G282="",G282="なし"),"",IF(AA282="経理区分別",BH282+BI282+N(Z282),""))</f>
        <v/>
      </c>
      <c r="AJ282" s="27"/>
      <c r="AK282" s="26"/>
      <c r="AL282" s="26"/>
      <c r="AM282" s="30"/>
      <c r="AN282" s="31"/>
      <c r="AO282" s="31"/>
      <c r="AP282" s="31"/>
      <c r="AQ282" s="31"/>
      <c r="AR282" s="31"/>
      <c r="AS282" s="31"/>
      <c r="AT282" s="31"/>
      <c r="AU282" s="31"/>
      <c r="AV282" s="31"/>
      <c r="AW282" s="31"/>
      <c r="AX282" s="31"/>
      <c r="AY282" s="31" t="n">
        <f aca="false">IF($G282="",AN282,O282)</f>
        <v>0</v>
      </c>
      <c r="AZ282" s="31" t="n">
        <f aca="false">IF($G282="",AO282,P282)</f>
        <v>0</v>
      </c>
      <c r="BA282" s="31" t="n">
        <f aca="false">IF($G282="",AP282,T282)</f>
        <v>0</v>
      </c>
      <c r="BB282" s="31" t="n">
        <f aca="false">IF($G282="",AQ282,U282)</f>
        <v>0</v>
      </c>
      <c r="BC282" s="31" t="n">
        <f aca="false">IF($G282="",AR282,V282)</f>
        <v>0</v>
      </c>
      <c r="BD282" s="31" t="n">
        <f aca="false">IF($G282="",AS282,Q282)</f>
        <v>3479204</v>
      </c>
      <c r="BE282" s="31" t="n">
        <f aca="false">IF($G282="",AT282,W282)</f>
        <v>0</v>
      </c>
      <c r="BF282" s="31" t="n">
        <f aca="false">IF($G282="",AU282,R282)</f>
        <v>95674</v>
      </c>
      <c r="BG282" s="31" t="n">
        <f aca="false">IF($G282="",AV282,X282)</f>
        <v>0</v>
      </c>
      <c r="BH282" s="31" t="n">
        <f aca="false">IF($G282="",AW282,S282)</f>
        <v>77141</v>
      </c>
      <c r="BI282" s="31" t="n">
        <f aca="false">IF($G282="",AX282,Y282)</f>
        <v>0</v>
      </c>
      <c r="BJ282" s="31" t="n">
        <f aca="false">IF(CK282="N",BR282,ROUNDDOWN((I282-L282)*設定!$B$10/1000,0)+ROUNDDOWN((I282-L282)*設定!$B$11/1000,0))</f>
        <v>0</v>
      </c>
      <c r="BK282" s="31" t="n">
        <f aca="false">ROUNDDOWN((I282-L282)*設定!$C$10/1000,0)+ROUNDDOWN((I282-L282)*設定!$C$11/1000,0)+ROUNDDOWN(I282*設定!$C$12/1000,0)+IF(CL282="市局型",ROUNDDOWN(I282*設定!$C$16/1000,0),0)</f>
        <v>0</v>
      </c>
      <c r="BL282" s="31" t="n">
        <f aca="false">IF(CK282="N",BT282,ROUNDDOWN((J282-M282)*設定!$B$13/1000,0))</f>
        <v>0</v>
      </c>
      <c r="BM282" s="31" t="n">
        <f aca="false">ROUNDDOWN((J282-M282)*設定!$C$13/1000,0)+IF(CL282="市局型",ROUNDDOWN(J282*設定!$C$17/1000,0),0)</f>
        <v>0</v>
      </c>
      <c r="BN282" s="31" t="n">
        <f aca="false">IF(CK282="N",BV282,ROUNDDOWN((K282-N282)*設定!$B$14/1000,0))</f>
        <v>0</v>
      </c>
      <c r="BO282" s="31" t="n">
        <f aca="false">ROUNDDOWN((K282-N282)*設定!$C$14/1000,0)</f>
        <v>0</v>
      </c>
      <c r="BP282" s="31" t="n">
        <f aca="false">IF(CK282="N",BX282,ROUNDDOWN((J282-M282)*設定!$B$15/1000,0))</f>
        <v>0</v>
      </c>
      <c r="BQ282" s="31" t="n">
        <f aca="false">ROUNDDOWN((J282-M282)*設定!$C$15/1000,0)</f>
        <v>0</v>
      </c>
      <c r="BR282" s="31" t="n">
        <f aca="false">O282+P282</f>
        <v>0</v>
      </c>
      <c r="BS282" s="31" t="n">
        <f aca="false">T282+U282+V282</f>
        <v>0</v>
      </c>
      <c r="BT282" s="31" t="n">
        <f aca="false">Q282</f>
        <v>3479204</v>
      </c>
      <c r="BU282" s="31" t="n">
        <f aca="false">W282</f>
        <v>0</v>
      </c>
      <c r="BV282" s="31" t="n">
        <f aca="false">R282</f>
        <v>95674</v>
      </c>
      <c r="BW282" s="31" t="n">
        <f aca="false">X282</f>
        <v>0</v>
      </c>
      <c r="BX282" s="31" t="n">
        <f aca="false">S282</f>
        <v>77141</v>
      </c>
      <c r="BY282" s="31" t="n">
        <f aca="false">Y282</f>
        <v>0</v>
      </c>
      <c r="BZ282" s="32" t="n">
        <f aca="false">IF(BJ282=0,IF(BR282=0,0,1),(BR282-BJ282)/BJ282)</f>
        <v>0</v>
      </c>
      <c r="CA282" s="32" t="n">
        <f aca="false">IF(BK282=0,IF(BS282=0,0,1),(BS282-BK282)/BK282)</f>
        <v>0</v>
      </c>
      <c r="CB282" s="32" t="n">
        <f aca="false">IF(BL282=0,IF(BT282=0,0,1),(BT282-BL282)/BL282)</f>
        <v>1</v>
      </c>
      <c r="CC282" s="32" t="n">
        <f aca="false">IF(BM282=0,IF(BU282=0,0,1),(BU282-BM282)/BM282)</f>
        <v>0</v>
      </c>
      <c r="CD282" s="32" t="n">
        <f aca="false">IF(BN282=0,IF(BV282=0,0,1),(BV282-BN282)/BN282)</f>
        <v>1</v>
      </c>
      <c r="CE282" s="32" t="n">
        <f aca="false">IF(BO282=0,IF(BW282=0,0,1),(BW282-BO282)/BO282)</f>
        <v>0</v>
      </c>
      <c r="CF282" s="32" t="n">
        <f aca="false">IF(BP282=0,IF(BX282=0,0,1),(BX282-BP282)/BP282)</f>
        <v>1</v>
      </c>
      <c r="CG282" s="32" t="n">
        <f aca="false">IF(BQ282=0,IF(BY282=0,0,1),(BY282-BQ282)/BQ282)</f>
        <v>0</v>
      </c>
      <c r="CH282" s="32" t="n">
        <f aca="false">MAX(MAX(BZ282:CG282),-MIN(BZ282:CG282))</f>
        <v>1</v>
      </c>
      <c r="CI282" s="31" t="n">
        <f aca="false">IF(CO282="","",SUMIFS($CJ$7:$CJ$696,$A$7:$A$696,CO282,$B$7:$B$696,B282))</f>
        <v>2505242</v>
      </c>
      <c r="CJ282" s="31" t="n">
        <f aca="false">SUM(AY282:BI282)</f>
        <v>3652019</v>
      </c>
      <c r="CK282" s="31" t="str">
        <f aca="false">IFERROR(INDEX(設定!$F$61:$F$106,MATCH(B282,設定!$B$61:$B$106,0)),"Y")</f>
        <v>Y</v>
      </c>
      <c r="CL282" s="31" t="str">
        <f aca="false">IFERROR(INDEX(設定!$G$61:$G$106,MATCH(B282,設定!$B$61:$B$106,0)),"外郭型")</f>
        <v>外郭型</v>
      </c>
      <c r="CM282" s="33" t="str">
        <f aca="false">A282&amp;"|"&amp;B282</f>
        <v>2026-08 月例|任意継続組合員</v>
      </c>
      <c r="CN282" s="34" t="str">
        <f aca="false">IFERROR(INDEX(設定!$D$61:$D$106,MATCH(B282,設定!$B$61:$B$106,0)),"Y")</f>
        <v>N</v>
      </c>
      <c r="CO282" s="34" t="str">
        <f aca="false">IFERROR(INDEX(設定!$D$20:$D$34,MATCH(A282,設定!$A$20:$A$34,0))&amp;"","")</f>
        <v>2026-07 月例</v>
      </c>
    </row>
    <row r="283" customFormat="false" ht="15" hidden="true" customHeight="false" outlineLevel="0" collapsed="false">
      <c r="A283" s="22" t="s">
        <v>222</v>
      </c>
      <c r="B283" s="23" t="s">
        <v>166</v>
      </c>
      <c r="C283" s="10" t="str">
        <f aca="false">IF(G283="","未受領",IF(G283="なし","報告なし",IF(AL283="○","起票済",IF(OR(AK283="○",F283="一致",F283="入金不要"),"入金確認済","受領済"))))</f>
        <v>入金確認済</v>
      </c>
      <c r="D283" s="10" t="str">
        <f aca="false">IF(OR(G283="",G283="なし"),"―",IF(CN283="N","対象外",IF(AND(I283="",J283="",K283=""),"標報未入力",IF(CH283&gt;=設定!$B$4,"要確認","問題なし"))))</f>
        <v>対象外</v>
      </c>
      <c r="E283" s="24" t="str">
        <f aca="false">IF(OR(G283="",G283="なし",CI283="",CJ283=0),"―",IF(CJ283=CI283,"前月同額",IF(CI283=0,"―",IF(ABS(CJ283/CI283-1)&gt;=設定!$B$5,"変動大 "&amp;TEXT(CJ283/CI283-1,"+0%;-0%"),"〇"))))</f>
        <v>〇</v>
      </c>
      <c r="F283" s="10" t="str">
        <f aca="false">IF(OR(G283="",G283="なし"),"―",IF(CJ283=0,"入金不要",IF(COUNT(AD283,AF283,AH283,AJ283)=0,IF(AK283="○","手動確認","未入金"),IF(AND(N(AD283)=AC283,IF(AE283="",TRUE(),N(AF283)=AE283),IF(AG283="",TRUE(),N(AH283)=AG283),IF(AI283="",TRUE(),N(AJ283)=AI283)),"一致","不一致"))))</f>
        <v>手動確認</v>
      </c>
      <c r="G283" s="25" t="s">
        <v>167</v>
      </c>
      <c r="H283" s="26"/>
      <c r="I283" s="27"/>
      <c r="J283" s="27"/>
      <c r="K283" s="27"/>
      <c r="L283" s="27"/>
      <c r="M283" s="27"/>
      <c r="N283" s="27"/>
      <c r="O283" s="27" t="n">
        <v>242937806</v>
      </c>
      <c r="P283" s="27" t="n">
        <v>19917809</v>
      </c>
      <c r="Q283" s="27" t="n">
        <v>177136759</v>
      </c>
      <c r="R283" s="27" t="n">
        <v>16364403</v>
      </c>
      <c r="S283" s="27" t="n">
        <v>3924905</v>
      </c>
      <c r="T283" s="27" t="n">
        <v>352845876</v>
      </c>
      <c r="U283" s="27" t="n">
        <v>19611961</v>
      </c>
      <c r="V283" s="27" t="n">
        <v>238649</v>
      </c>
      <c r="W283" s="27" t="n">
        <v>176452442</v>
      </c>
      <c r="X283" s="27" t="n">
        <v>15937267</v>
      </c>
      <c r="Y283" s="27" t="n">
        <v>3843722</v>
      </c>
      <c r="Z283" s="27"/>
      <c r="AA283" s="10" t="str">
        <f aca="false">IFERROR(INDEX(設定!$E$61:$E$106,MATCH(B283,設定!$B$61:$B$106,0)),"合算")</f>
        <v>合算</v>
      </c>
      <c r="AB283" s="28"/>
      <c r="AC283" s="29" t="n">
        <f aca="false">IF(OR(G283="",G283="なし"),"",IF(AA283="合算",CJ283+N(Z283),IF(AA283="掛金・負担金別",(AY283+AZ283+BD283+BF283+BH283),SUM(AY283:BC283))))</f>
        <v>1029211599</v>
      </c>
      <c r="AD283" s="27"/>
      <c r="AE283" s="29" t="str">
        <f aca="false">IF(OR(G283="",G283="なし"),"",IF(AA283="掛金・負担金別",(BA283+BB283+BC283+BE283+BG283+BI283+N(Z283)),IF(AA283="経理区分別",BD283+BE283,"")))</f>
        <v/>
      </c>
      <c r="AF283" s="27"/>
      <c r="AG283" s="29" t="str">
        <f aca="false">IF(OR(G283="",G283="なし"),"",IF(AA283="経理区分別",BF283+BG283,""))</f>
        <v/>
      </c>
      <c r="AH283" s="27"/>
      <c r="AI283" s="29" t="str">
        <f aca="false">IF(OR(G283="",G283="なし"),"",IF(AA283="経理区分別",BH283+BI283+N(Z283),""))</f>
        <v/>
      </c>
      <c r="AJ283" s="27"/>
      <c r="AK283" s="26" t="s">
        <v>168</v>
      </c>
      <c r="AL283" s="26"/>
      <c r="AM283" s="30"/>
      <c r="AN283" s="31"/>
      <c r="AO283" s="31"/>
      <c r="AP283" s="31"/>
      <c r="AQ283" s="31"/>
      <c r="AR283" s="31"/>
      <c r="AS283" s="31"/>
      <c r="AT283" s="31"/>
      <c r="AU283" s="31"/>
      <c r="AV283" s="31"/>
      <c r="AW283" s="31"/>
      <c r="AX283" s="31"/>
      <c r="AY283" s="31" t="n">
        <f aca="false">IF($G283="",AN283,O283)</f>
        <v>242937806</v>
      </c>
      <c r="AZ283" s="31" t="n">
        <f aca="false">IF($G283="",AO283,P283)</f>
        <v>19917809</v>
      </c>
      <c r="BA283" s="31" t="n">
        <f aca="false">IF($G283="",AP283,T283)</f>
        <v>352845876</v>
      </c>
      <c r="BB283" s="31" t="n">
        <f aca="false">IF($G283="",AQ283,U283)</f>
        <v>19611961</v>
      </c>
      <c r="BC283" s="31" t="n">
        <f aca="false">IF($G283="",AR283,V283)</f>
        <v>238649</v>
      </c>
      <c r="BD283" s="31" t="n">
        <f aca="false">IF($G283="",AS283,Q283)</f>
        <v>177136759</v>
      </c>
      <c r="BE283" s="31" t="n">
        <f aca="false">IF($G283="",AT283,W283)</f>
        <v>176452442</v>
      </c>
      <c r="BF283" s="31" t="n">
        <f aca="false">IF($G283="",AU283,R283)</f>
        <v>16364403</v>
      </c>
      <c r="BG283" s="31" t="n">
        <f aca="false">IF($G283="",AV283,X283)</f>
        <v>15937267</v>
      </c>
      <c r="BH283" s="31" t="n">
        <f aca="false">IF($G283="",AW283,S283)</f>
        <v>3924905</v>
      </c>
      <c r="BI283" s="31" t="n">
        <f aca="false">IF($G283="",AX283,Y283)</f>
        <v>3843722</v>
      </c>
      <c r="BJ283" s="31" t="n">
        <f aca="false">IF(CK283="N",BR283,ROUNDDOWN((I283-L283)*設定!$B$10/1000,0)+ROUNDDOWN((I283-L283)*設定!$B$11/1000,0))</f>
        <v>0</v>
      </c>
      <c r="BK283" s="31" t="n">
        <f aca="false">ROUNDDOWN((I283-L283)*設定!$C$10/1000,0)+ROUNDDOWN((I283-L283)*設定!$C$11/1000,0)+ROUNDDOWN(I283*設定!$C$12/1000,0)+IF(CL283="市局型",ROUNDDOWN(I283*設定!$C$16/1000,0),0)</f>
        <v>0</v>
      </c>
      <c r="BL283" s="31" t="n">
        <f aca="false">IF(CK283="N",BT283,ROUNDDOWN((J283-M283)*設定!$B$13/1000,0))</f>
        <v>0</v>
      </c>
      <c r="BM283" s="31" t="n">
        <f aca="false">ROUNDDOWN((J283-M283)*設定!$C$13/1000,0)+IF(CL283="市局型",ROUNDDOWN(J283*設定!$C$17/1000,0),0)</f>
        <v>0</v>
      </c>
      <c r="BN283" s="31" t="n">
        <f aca="false">IF(CK283="N",BV283,ROUNDDOWN((K283-N283)*設定!$B$14/1000,0))</f>
        <v>0</v>
      </c>
      <c r="BO283" s="31" t="n">
        <f aca="false">ROUNDDOWN((K283-N283)*設定!$C$14/1000,0)</f>
        <v>0</v>
      </c>
      <c r="BP283" s="31" t="n">
        <f aca="false">IF(CK283="N",BX283,ROUNDDOWN((J283-M283)*設定!$B$15/1000,0))</f>
        <v>0</v>
      </c>
      <c r="BQ283" s="31" t="n">
        <f aca="false">ROUNDDOWN((J283-M283)*設定!$C$15/1000,0)</f>
        <v>0</v>
      </c>
      <c r="BR283" s="31" t="n">
        <f aca="false">O283+P283</f>
        <v>262855615</v>
      </c>
      <c r="BS283" s="31" t="n">
        <f aca="false">T283+U283+V283</f>
        <v>372696486</v>
      </c>
      <c r="BT283" s="31" t="n">
        <f aca="false">Q283</f>
        <v>177136759</v>
      </c>
      <c r="BU283" s="31" t="n">
        <f aca="false">W283</f>
        <v>176452442</v>
      </c>
      <c r="BV283" s="31" t="n">
        <f aca="false">R283</f>
        <v>16364403</v>
      </c>
      <c r="BW283" s="31" t="n">
        <f aca="false">X283</f>
        <v>15937267</v>
      </c>
      <c r="BX283" s="31" t="n">
        <f aca="false">S283</f>
        <v>3924905</v>
      </c>
      <c r="BY283" s="31" t="n">
        <f aca="false">Y283</f>
        <v>3843722</v>
      </c>
      <c r="BZ283" s="32" t="n">
        <f aca="false">IF(BJ283=0,IF(BR283=0,0,1),(BR283-BJ283)/BJ283)</f>
        <v>1</v>
      </c>
      <c r="CA283" s="32" t="n">
        <f aca="false">IF(BK283=0,IF(BS283=0,0,1),(BS283-BK283)/BK283)</f>
        <v>1</v>
      </c>
      <c r="CB283" s="32" t="n">
        <f aca="false">IF(BL283=0,IF(BT283=0,0,1),(BT283-BL283)/BL283)</f>
        <v>1</v>
      </c>
      <c r="CC283" s="32" t="n">
        <f aca="false">IF(BM283=0,IF(BU283=0,0,1),(BU283-BM283)/BM283)</f>
        <v>1</v>
      </c>
      <c r="CD283" s="32" t="n">
        <f aca="false">IF(BN283=0,IF(BV283=0,0,1),(BV283-BN283)/BN283)</f>
        <v>1</v>
      </c>
      <c r="CE283" s="32" t="n">
        <f aca="false">IF(BO283=0,IF(BW283=0,0,1),(BW283-BO283)/BO283)</f>
        <v>1</v>
      </c>
      <c r="CF283" s="32" t="n">
        <f aca="false">IF(BP283=0,IF(BX283=0,0,1),(BX283-BP283)/BP283)</f>
        <v>1</v>
      </c>
      <c r="CG283" s="32" t="n">
        <f aca="false">IF(BQ283=0,IF(BY283=0,0,1),(BY283-BQ283)/BQ283)</f>
        <v>1</v>
      </c>
      <c r="CH283" s="32" t="n">
        <f aca="false">MAX(MAX(BZ283:CG283),-MIN(BZ283:CG283))</f>
        <v>1</v>
      </c>
      <c r="CI283" s="31" t="n">
        <f aca="false">IF(CO283="","",SUMIFS($CJ$7:$CJ$696,$A$7:$A$696,CO283,$B$7:$B$696,B283))</f>
        <v>1010825246</v>
      </c>
      <c r="CJ283" s="31" t="n">
        <f aca="false">SUM(AY283:BI283)</f>
        <v>1029211599</v>
      </c>
      <c r="CK283" s="31" t="str">
        <f aca="false">IFERROR(INDEX(設定!$F$61:$F$106,MATCH(B283,設定!$B$61:$B$106,0)),"Y")</f>
        <v>Y</v>
      </c>
      <c r="CL283" s="31" t="str">
        <f aca="false">IFERROR(INDEX(設定!$G$61:$G$106,MATCH(B283,設定!$B$61:$B$106,0)),"外郭型")</f>
        <v>市局型</v>
      </c>
      <c r="CM283" s="33" t="str">
        <f aca="false">A283&amp;"|"&amp;B283</f>
        <v>2026-09 月例|市長部局</v>
      </c>
      <c r="CN283" s="34" t="str">
        <f aca="false">IFERROR(INDEX(設定!$D$61:$D$106,MATCH(B283,設定!$B$61:$B$106,0)),"Y")</f>
        <v>N</v>
      </c>
      <c r="CO283" s="34" t="str">
        <f aca="false">IFERROR(INDEX(設定!$D$20:$D$34,MATCH(A283,設定!$A$20:$A$34,0))&amp;"","")</f>
        <v>2026-08 月例</v>
      </c>
    </row>
    <row r="284" customFormat="false" ht="15" hidden="true" customHeight="false" outlineLevel="0" collapsed="false">
      <c r="A284" s="22" t="s">
        <v>222</v>
      </c>
      <c r="B284" s="23" t="s">
        <v>169</v>
      </c>
      <c r="C284" s="10" t="str">
        <f aca="false">IF(G284="","未受領",IF(G284="なし","報告なし",IF(AL284="○","起票済",IF(OR(AK284="○",F284="一致",F284="入金不要"),"入金確認済","受領済"))))</f>
        <v>入金確認済</v>
      </c>
      <c r="D284" s="10" t="str">
        <f aca="false">IF(OR(G284="",G284="なし"),"―",IF(CN284="N","対象外",IF(AND(I284="",J284="",K284=""),"標報未入力",IF(CH284&gt;=設定!$B$4,"要確認","問題なし"))))</f>
        <v>標報未入力</v>
      </c>
      <c r="E284" s="24" t="str">
        <f aca="false">IF(OR(G284="",G284="なし",CI284="",CJ284=0),"―",IF(CJ284=CI284,"前月同額",IF(CI284=0,"―",IF(ABS(CJ284/CI284-1)&gt;=設定!$B$5,"変動大 "&amp;TEXT(CJ284/CI284-1,"+0%;-0%"),"〇"))))</f>
        <v>〇</v>
      </c>
      <c r="F284" s="10" t="str">
        <f aca="false">IF(OR(G284="",G284="なし"),"―",IF(CJ284=0,"入金不要",IF(COUNT(AD284,AF284,AH284,AJ284)=0,IF(AK284="○","手動確認","未入金"),IF(AND(N(AD284)=AC284,IF(AE284="",TRUE(),N(AF284)=AE284),IF(AG284="",TRUE(),N(AH284)=AG284),IF(AI284="",TRUE(),N(AJ284)=AI284)),"一致","不一致"))))</f>
        <v>手動確認</v>
      </c>
      <c r="G284" s="25" t="s">
        <v>167</v>
      </c>
      <c r="H284" s="26"/>
      <c r="I284" s="27"/>
      <c r="J284" s="27"/>
      <c r="K284" s="27"/>
      <c r="L284" s="27"/>
      <c r="M284" s="27"/>
      <c r="N284" s="27"/>
      <c r="O284" s="27" t="n">
        <v>16590780</v>
      </c>
      <c r="P284" s="27" t="n">
        <v>1359900</v>
      </c>
      <c r="Q284" s="27" t="n">
        <v>9734474</v>
      </c>
      <c r="R284" s="27" t="n">
        <v>1041536</v>
      </c>
      <c r="S284" s="27" t="n">
        <v>215781</v>
      </c>
      <c r="T284" s="27" t="n">
        <v>23913219</v>
      </c>
      <c r="U284" s="27" t="n">
        <v>1356825</v>
      </c>
      <c r="V284" s="27" t="n">
        <v>16022</v>
      </c>
      <c r="W284" s="27" t="n">
        <v>9879856</v>
      </c>
      <c r="X284" s="27" t="n">
        <v>1041536</v>
      </c>
      <c r="Y284" s="27" t="n">
        <v>215393</v>
      </c>
      <c r="Z284" s="27"/>
      <c r="AA284" s="10" t="str">
        <f aca="false">IFERROR(INDEX(設定!$E$61:$E$106,MATCH(B284,設定!$B$61:$B$106,0)),"合算")</f>
        <v>合算</v>
      </c>
      <c r="AB284" s="28"/>
      <c r="AC284" s="29" t="n">
        <f aca="false">IF(OR(G284="",G284="なし"),"",IF(AA284="合算",CJ284+N(Z284),IF(AA284="掛金・負担金別",(AY284+AZ284+BD284+BF284+BH284),SUM(AY284:BC284))))</f>
        <v>65365322</v>
      </c>
      <c r="AD284" s="27"/>
      <c r="AE284" s="29" t="str">
        <f aca="false">IF(OR(G284="",G284="なし"),"",IF(AA284="掛金・負担金別",(BA284+BB284+BC284+BE284+BG284+BI284+N(Z284)),IF(AA284="経理区分別",BD284+BE284,"")))</f>
        <v/>
      </c>
      <c r="AF284" s="27"/>
      <c r="AG284" s="29" t="str">
        <f aca="false">IF(OR(G284="",G284="なし"),"",IF(AA284="経理区分別",BF284+BG284,""))</f>
        <v/>
      </c>
      <c r="AH284" s="27"/>
      <c r="AI284" s="29" t="str">
        <f aca="false">IF(OR(G284="",G284="なし"),"",IF(AA284="経理区分別",BH284+BI284+N(Z284),""))</f>
        <v/>
      </c>
      <c r="AJ284" s="27"/>
      <c r="AK284" s="26" t="s">
        <v>168</v>
      </c>
      <c r="AL284" s="26"/>
      <c r="AM284" s="30"/>
      <c r="AN284" s="31"/>
      <c r="AO284" s="31"/>
      <c r="AP284" s="31"/>
      <c r="AQ284" s="31"/>
      <c r="AR284" s="31"/>
      <c r="AS284" s="31"/>
      <c r="AT284" s="31"/>
      <c r="AU284" s="31"/>
      <c r="AV284" s="31"/>
      <c r="AW284" s="31"/>
      <c r="AX284" s="31"/>
      <c r="AY284" s="31" t="n">
        <f aca="false">IF($G284="",AN284,O284)</f>
        <v>16590780</v>
      </c>
      <c r="AZ284" s="31" t="n">
        <f aca="false">IF($G284="",AO284,P284)</f>
        <v>1359900</v>
      </c>
      <c r="BA284" s="31" t="n">
        <f aca="false">IF($G284="",AP284,T284)</f>
        <v>23913219</v>
      </c>
      <c r="BB284" s="31" t="n">
        <f aca="false">IF($G284="",AQ284,U284)</f>
        <v>1356825</v>
      </c>
      <c r="BC284" s="31" t="n">
        <f aca="false">IF($G284="",AR284,V284)</f>
        <v>16022</v>
      </c>
      <c r="BD284" s="31" t="n">
        <f aca="false">IF($G284="",AS284,Q284)</f>
        <v>9734474</v>
      </c>
      <c r="BE284" s="31" t="n">
        <f aca="false">IF($G284="",AT284,W284)</f>
        <v>9879856</v>
      </c>
      <c r="BF284" s="31" t="n">
        <f aca="false">IF($G284="",AU284,R284)</f>
        <v>1041536</v>
      </c>
      <c r="BG284" s="31" t="n">
        <f aca="false">IF($G284="",AV284,X284)</f>
        <v>1041536</v>
      </c>
      <c r="BH284" s="31" t="n">
        <f aca="false">IF($G284="",AW284,S284)</f>
        <v>215781</v>
      </c>
      <c r="BI284" s="31" t="n">
        <f aca="false">IF($G284="",AX284,Y284)</f>
        <v>215393</v>
      </c>
      <c r="BJ284" s="31" t="n">
        <f aca="false">IF(CK284="N",BR284,ROUNDDOWN((I284-L284)*設定!$B$10/1000,0)+ROUNDDOWN((I284-L284)*設定!$B$11/1000,0))</f>
        <v>0</v>
      </c>
      <c r="BK284" s="31" t="n">
        <f aca="false">ROUNDDOWN((I284-L284)*設定!$C$10/1000,0)+ROUNDDOWN((I284-L284)*設定!$C$11/1000,0)+ROUNDDOWN(I284*設定!$C$12/1000,0)+IF(CL284="市局型",ROUNDDOWN(I284*設定!$C$16/1000,0),0)</f>
        <v>0</v>
      </c>
      <c r="BL284" s="31" t="n">
        <f aca="false">IF(CK284="N",BT284,ROUNDDOWN((J284-M284)*設定!$B$13/1000,0))</f>
        <v>0</v>
      </c>
      <c r="BM284" s="31" t="n">
        <f aca="false">ROUNDDOWN((J284-M284)*設定!$C$13/1000,0)+IF(CL284="市局型",ROUNDDOWN(J284*設定!$C$17/1000,0),0)</f>
        <v>0</v>
      </c>
      <c r="BN284" s="31" t="n">
        <f aca="false">IF(CK284="N",BV284,ROUNDDOWN((K284-N284)*設定!$B$14/1000,0))</f>
        <v>0</v>
      </c>
      <c r="BO284" s="31" t="n">
        <f aca="false">ROUNDDOWN((K284-N284)*設定!$C$14/1000,0)</f>
        <v>0</v>
      </c>
      <c r="BP284" s="31" t="n">
        <f aca="false">IF(CK284="N",BX284,ROUNDDOWN((J284-M284)*設定!$B$15/1000,0))</f>
        <v>0</v>
      </c>
      <c r="BQ284" s="31" t="n">
        <f aca="false">ROUNDDOWN((J284-M284)*設定!$C$15/1000,0)</f>
        <v>0</v>
      </c>
      <c r="BR284" s="31" t="n">
        <f aca="false">O284+P284</f>
        <v>17950680</v>
      </c>
      <c r="BS284" s="31" t="n">
        <f aca="false">T284+U284+V284</f>
        <v>25286066</v>
      </c>
      <c r="BT284" s="31" t="n">
        <f aca="false">Q284</f>
        <v>9734474</v>
      </c>
      <c r="BU284" s="31" t="n">
        <f aca="false">W284</f>
        <v>9879856</v>
      </c>
      <c r="BV284" s="31" t="n">
        <f aca="false">R284</f>
        <v>1041536</v>
      </c>
      <c r="BW284" s="31" t="n">
        <f aca="false">X284</f>
        <v>1041536</v>
      </c>
      <c r="BX284" s="31" t="n">
        <f aca="false">S284</f>
        <v>215781</v>
      </c>
      <c r="BY284" s="31" t="n">
        <f aca="false">Y284</f>
        <v>215393</v>
      </c>
      <c r="BZ284" s="32" t="n">
        <f aca="false">IF(BJ284=0,IF(BR284=0,0,1),(BR284-BJ284)/BJ284)</f>
        <v>1</v>
      </c>
      <c r="CA284" s="32" t="n">
        <f aca="false">IF(BK284=0,IF(BS284=0,0,1),(BS284-BK284)/BK284)</f>
        <v>1</v>
      </c>
      <c r="CB284" s="32" t="n">
        <f aca="false">IF(BL284=0,IF(BT284=0,0,1),(BT284-BL284)/BL284)</f>
        <v>1</v>
      </c>
      <c r="CC284" s="32" t="n">
        <f aca="false">IF(BM284=0,IF(BU284=0,0,1),(BU284-BM284)/BM284)</f>
        <v>1</v>
      </c>
      <c r="CD284" s="32" t="n">
        <f aca="false">IF(BN284=0,IF(BV284=0,0,1),(BV284-BN284)/BN284)</f>
        <v>1</v>
      </c>
      <c r="CE284" s="32" t="n">
        <f aca="false">IF(BO284=0,IF(BW284=0,0,1),(BW284-BO284)/BO284)</f>
        <v>1</v>
      </c>
      <c r="CF284" s="32" t="n">
        <f aca="false">IF(BP284=0,IF(BX284=0,0,1),(BX284-BP284)/BP284)</f>
        <v>1</v>
      </c>
      <c r="CG284" s="32" t="n">
        <f aca="false">IF(BQ284=0,IF(BY284=0,0,1),(BY284-BQ284)/BQ284)</f>
        <v>1</v>
      </c>
      <c r="CH284" s="32" t="n">
        <f aca="false">MAX(MAX(BZ284:CG284),-MIN(BZ284:CG284))</f>
        <v>1</v>
      </c>
      <c r="CI284" s="31" t="n">
        <f aca="false">IF(CO284="","",SUMIFS($CJ$7:$CJ$696,$A$7:$A$696,CO284,$B$7:$B$696,B284))</f>
        <v>65296471</v>
      </c>
      <c r="CJ284" s="31" t="n">
        <f aca="false">SUM(AY284:BI284)</f>
        <v>65365322</v>
      </c>
      <c r="CK284" s="31" t="str">
        <f aca="false">IFERROR(INDEX(設定!$F$61:$F$106,MATCH(B284,設定!$B$61:$B$106,0)),"Y")</f>
        <v>Y</v>
      </c>
      <c r="CL284" s="31" t="str">
        <f aca="false">IFERROR(INDEX(設定!$G$61:$G$106,MATCH(B284,設定!$B$61:$B$106,0)),"外郭型")</f>
        <v>市局型</v>
      </c>
      <c r="CM284" s="33" t="str">
        <f aca="false">A284&amp;"|"&amp;B284</f>
        <v>2026-09 月例|下水道局</v>
      </c>
      <c r="CN284" s="34" t="str">
        <f aca="false">IFERROR(INDEX(設定!$D$61:$D$106,MATCH(B284,設定!$B$61:$B$106,0)),"Y")</f>
        <v>Y</v>
      </c>
      <c r="CO284" s="34" t="str">
        <f aca="false">IFERROR(INDEX(設定!$D$20:$D$34,MATCH(A284,設定!$A$20:$A$34,0))&amp;"","")</f>
        <v>2026-08 月例</v>
      </c>
    </row>
    <row r="285" customFormat="false" ht="15" hidden="true" customHeight="false" outlineLevel="0" collapsed="false">
      <c r="A285" s="22" t="s">
        <v>222</v>
      </c>
      <c r="B285" s="23" t="s">
        <v>170</v>
      </c>
      <c r="C285" s="10" t="str">
        <f aca="false">IF(G285="","未受領",IF(G285="なし","報告なし",IF(AL285="○","起票済",IF(OR(AK285="○",F285="一致",F285="入金不要"),"入金確認済","受領済"))))</f>
        <v>入金確認済</v>
      </c>
      <c r="D285" s="10" t="str">
        <f aca="false">IF(OR(G285="",G285="なし"),"―",IF(CN285="N","対象外",IF(AND(I285="",J285="",K285=""),"標報未入力",IF(CH285&gt;=設定!$B$4,"要確認","問題なし"))))</f>
        <v>対象外</v>
      </c>
      <c r="E285" s="24" t="str">
        <f aca="false">IF(OR(G285="",G285="なし",CI285="",CJ285=0),"―",IF(CJ285=CI285,"前月同額",IF(CI285=0,"―",IF(ABS(CJ285/CI285-1)&gt;=設定!$B$5,"変動大 "&amp;TEXT(CJ285/CI285-1,"+0%;-0%"),"〇"))))</f>
        <v>〇</v>
      </c>
      <c r="F285" s="10" t="str">
        <f aca="false">IF(OR(G285="",G285="なし"),"―",IF(CJ285=0,"入金不要",IF(COUNT(AD285,AF285,AH285,AJ285)=0,IF(AK285="○","手動確認","未入金"),IF(AND(N(AD285)=AC285,IF(AE285="",TRUE(),N(AF285)=AE285),IF(AG285="",TRUE(),N(AH285)=AG285),IF(AI285="",TRUE(),N(AJ285)=AI285)),"一致","不一致"))))</f>
        <v>手動確認</v>
      </c>
      <c r="G285" s="25" t="s">
        <v>167</v>
      </c>
      <c r="H285" s="26"/>
      <c r="I285" s="27"/>
      <c r="J285" s="27"/>
      <c r="K285" s="27"/>
      <c r="L285" s="27"/>
      <c r="M285" s="27"/>
      <c r="N285" s="27"/>
      <c r="O285" s="27" t="n">
        <v>55206890</v>
      </c>
      <c r="P285" s="27" t="n">
        <v>4525154</v>
      </c>
      <c r="Q285" s="27" t="n">
        <v>31985730</v>
      </c>
      <c r="R285" s="27" t="n">
        <v>2067746</v>
      </c>
      <c r="S285" s="27" t="n">
        <v>709043</v>
      </c>
      <c r="T285" s="27" t="n">
        <v>79528245</v>
      </c>
      <c r="U285" s="27" t="n">
        <v>4509405</v>
      </c>
      <c r="V285" s="27" t="n">
        <v>53102</v>
      </c>
      <c r="W285" s="27" t="n">
        <v>32423703</v>
      </c>
      <c r="X285" s="27" t="n">
        <v>2054869</v>
      </c>
      <c r="Y285" s="27" t="n">
        <v>706903</v>
      </c>
      <c r="Z285" s="27"/>
      <c r="AA285" s="10" t="str">
        <f aca="false">IFERROR(INDEX(設定!$E$61:$E$106,MATCH(B285,設定!$B$61:$B$106,0)),"合算")</f>
        <v>合算</v>
      </c>
      <c r="AB285" s="28"/>
      <c r="AC285" s="29" t="n">
        <f aca="false">IF(OR(G285="",G285="なし"),"",IF(AA285="合算",CJ285+N(Z285),IF(AA285="掛金・負担金別",(AY285+AZ285+BD285+BF285+BH285),SUM(AY285:BC285))))</f>
        <v>213770790</v>
      </c>
      <c r="AD285" s="27"/>
      <c r="AE285" s="29" t="str">
        <f aca="false">IF(OR(G285="",G285="なし"),"",IF(AA285="掛金・負担金別",(BA285+BB285+BC285+BE285+BG285+BI285+N(Z285)),IF(AA285="経理区分別",BD285+BE285,"")))</f>
        <v/>
      </c>
      <c r="AF285" s="27"/>
      <c r="AG285" s="29" t="str">
        <f aca="false">IF(OR(G285="",G285="なし"),"",IF(AA285="経理区分別",BF285+BG285,""))</f>
        <v/>
      </c>
      <c r="AH285" s="27"/>
      <c r="AI285" s="29" t="str">
        <f aca="false">IF(OR(G285="",G285="なし"),"",IF(AA285="経理区分別",BH285+BI285+N(Z285),""))</f>
        <v/>
      </c>
      <c r="AJ285" s="27"/>
      <c r="AK285" s="26" t="s">
        <v>168</v>
      </c>
      <c r="AL285" s="26"/>
      <c r="AM285" s="30"/>
      <c r="AN285" s="31"/>
      <c r="AO285" s="31"/>
      <c r="AP285" s="31"/>
      <c r="AQ285" s="31"/>
      <c r="AR285" s="31"/>
      <c r="AS285" s="31"/>
      <c r="AT285" s="31"/>
      <c r="AU285" s="31"/>
      <c r="AV285" s="31"/>
      <c r="AW285" s="31"/>
      <c r="AX285" s="31"/>
      <c r="AY285" s="31" t="n">
        <f aca="false">IF($G285="",AN285,O285)</f>
        <v>55206890</v>
      </c>
      <c r="AZ285" s="31" t="n">
        <f aca="false">IF($G285="",AO285,P285)</f>
        <v>4525154</v>
      </c>
      <c r="BA285" s="31" t="n">
        <f aca="false">IF($G285="",AP285,T285)</f>
        <v>79528245</v>
      </c>
      <c r="BB285" s="31" t="n">
        <f aca="false">IF($G285="",AQ285,U285)</f>
        <v>4509405</v>
      </c>
      <c r="BC285" s="31" t="n">
        <f aca="false">IF($G285="",AR285,V285)</f>
        <v>53102</v>
      </c>
      <c r="BD285" s="31" t="n">
        <f aca="false">IF($G285="",AS285,Q285)</f>
        <v>31985730</v>
      </c>
      <c r="BE285" s="31" t="n">
        <f aca="false">IF($G285="",AT285,W285)</f>
        <v>32423703</v>
      </c>
      <c r="BF285" s="31" t="n">
        <f aca="false">IF($G285="",AU285,R285)</f>
        <v>2067746</v>
      </c>
      <c r="BG285" s="31" t="n">
        <f aca="false">IF($G285="",AV285,X285)</f>
        <v>2054869</v>
      </c>
      <c r="BH285" s="31" t="n">
        <f aca="false">IF($G285="",AW285,S285)</f>
        <v>709043</v>
      </c>
      <c r="BI285" s="31" t="n">
        <f aca="false">IF($G285="",AX285,Y285)</f>
        <v>706903</v>
      </c>
      <c r="BJ285" s="31" t="n">
        <f aca="false">IF(CK285="N",BR285,ROUNDDOWN((I285-L285)*設定!$B$10/1000,0)+ROUNDDOWN((I285-L285)*設定!$B$11/1000,0))</f>
        <v>0</v>
      </c>
      <c r="BK285" s="31" t="n">
        <f aca="false">ROUNDDOWN((I285-L285)*設定!$C$10/1000,0)+ROUNDDOWN((I285-L285)*設定!$C$11/1000,0)+ROUNDDOWN(I285*設定!$C$12/1000,0)+IF(CL285="市局型",ROUNDDOWN(I285*設定!$C$16/1000,0),0)</f>
        <v>0</v>
      </c>
      <c r="BL285" s="31" t="n">
        <f aca="false">IF(CK285="N",BT285,ROUNDDOWN((J285-M285)*設定!$B$13/1000,0))</f>
        <v>0</v>
      </c>
      <c r="BM285" s="31" t="n">
        <f aca="false">ROUNDDOWN((J285-M285)*設定!$C$13/1000,0)+IF(CL285="市局型",ROUNDDOWN(J285*設定!$C$17/1000,0),0)</f>
        <v>0</v>
      </c>
      <c r="BN285" s="31" t="n">
        <f aca="false">IF(CK285="N",BV285,ROUNDDOWN((K285-N285)*設定!$B$14/1000,0))</f>
        <v>0</v>
      </c>
      <c r="BO285" s="31" t="n">
        <f aca="false">ROUNDDOWN((K285-N285)*設定!$C$14/1000,0)</f>
        <v>0</v>
      </c>
      <c r="BP285" s="31" t="n">
        <f aca="false">IF(CK285="N",BX285,ROUNDDOWN((J285-M285)*設定!$B$15/1000,0))</f>
        <v>0</v>
      </c>
      <c r="BQ285" s="31" t="n">
        <f aca="false">ROUNDDOWN((J285-M285)*設定!$C$15/1000,0)</f>
        <v>0</v>
      </c>
      <c r="BR285" s="31" t="n">
        <f aca="false">O285+P285</f>
        <v>59732044</v>
      </c>
      <c r="BS285" s="31" t="n">
        <f aca="false">T285+U285+V285</f>
        <v>84090752</v>
      </c>
      <c r="BT285" s="31" t="n">
        <f aca="false">Q285</f>
        <v>31985730</v>
      </c>
      <c r="BU285" s="31" t="n">
        <f aca="false">W285</f>
        <v>32423703</v>
      </c>
      <c r="BV285" s="31" t="n">
        <f aca="false">R285</f>
        <v>2067746</v>
      </c>
      <c r="BW285" s="31" t="n">
        <f aca="false">X285</f>
        <v>2054869</v>
      </c>
      <c r="BX285" s="31" t="n">
        <f aca="false">S285</f>
        <v>709043</v>
      </c>
      <c r="BY285" s="31" t="n">
        <f aca="false">Y285</f>
        <v>706903</v>
      </c>
      <c r="BZ285" s="32" t="n">
        <f aca="false">IF(BJ285=0,IF(BR285=0,0,1),(BR285-BJ285)/BJ285)</f>
        <v>1</v>
      </c>
      <c r="CA285" s="32" t="n">
        <f aca="false">IF(BK285=0,IF(BS285=0,0,1),(BS285-BK285)/BK285)</f>
        <v>1</v>
      </c>
      <c r="CB285" s="32" t="n">
        <f aca="false">IF(BL285=0,IF(BT285=0,0,1),(BT285-BL285)/BL285)</f>
        <v>1</v>
      </c>
      <c r="CC285" s="32" t="n">
        <f aca="false">IF(BM285=0,IF(BU285=0,0,1),(BU285-BM285)/BM285)</f>
        <v>1</v>
      </c>
      <c r="CD285" s="32" t="n">
        <f aca="false">IF(BN285=0,IF(BV285=0,0,1),(BV285-BN285)/BN285)</f>
        <v>1</v>
      </c>
      <c r="CE285" s="32" t="n">
        <f aca="false">IF(BO285=0,IF(BW285=0,0,1),(BW285-BO285)/BO285)</f>
        <v>1</v>
      </c>
      <c r="CF285" s="32" t="n">
        <f aca="false">IF(BP285=0,IF(BX285=0,0,1),(BX285-BP285)/BP285)</f>
        <v>1</v>
      </c>
      <c r="CG285" s="32" t="n">
        <f aca="false">IF(BQ285=0,IF(BY285=0,0,1),(BY285-BQ285)/BQ285)</f>
        <v>1</v>
      </c>
      <c r="CH285" s="32" t="n">
        <f aca="false">MAX(MAX(BZ285:CG285),-MIN(BZ285:CG285))</f>
        <v>1</v>
      </c>
      <c r="CI285" s="31" t="n">
        <f aca="false">IF(CO285="","",SUMIFS($CJ$7:$CJ$696,$A$7:$A$696,CO285,$B$7:$B$696,B285))</f>
        <v>213889490</v>
      </c>
      <c r="CJ285" s="31" t="n">
        <f aca="false">SUM(AY285:BI285)</f>
        <v>213770790</v>
      </c>
      <c r="CK285" s="31" t="str">
        <f aca="false">IFERROR(INDEX(設定!$F$61:$F$106,MATCH(B285,設定!$B$61:$B$106,0)),"Y")</f>
        <v>Y</v>
      </c>
      <c r="CL285" s="31" t="str">
        <f aca="false">IFERROR(INDEX(設定!$G$61:$G$106,MATCH(B285,設定!$B$61:$B$106,0)),"外郭型")</f>
        <v>市局型</v>
      </c>
      <c r="CM285" s="33" t="str">
        <f aca="false">A285&amp;"|"&amp;B285</f>
        <v>2026-09 月例|消防局</v>
      </c>
      <c r="CN285" s="34" t="str">
        <f aca="false">IFERROR(INDEX(設定!$D$61:$D$106,MATCH(B285,設定!$B$61:$B$106,0)),"Y")</f>
        <v>N</v>
      </c>
      <c r="CO285" s="34" t="str">
        <f aca="false">IFERROR(INDEX(設定!$D$20:$D$34,MATCH(A285,設定!$A$20:$A$34,0))&amp;"","")</f>
        <v>2026-08 月例</v>
      </c>
    </row>
    <row r="286" customFormat="false" ht="15" hidden="true" customHeight="false" outlineLevel="0" collapsed="false">
      <c r="A286" s="22" t="s">
        <v>222</v>
      </c>
      <c r="B286" s="23" t="s">
        <v>171</v>
      </c>
      <c r="C286" s="10" t="str">
        <f aca="false">IF(G286="","未受領",IF(G286="なし","報告なし",IF(AL286="○","起票済",IF(OR(AK286="○",F286="一致",F286="入金不要"),"入金確認済","受領済"))))</f>
        <v>入金確認済</v>
      </c>
      <c r="D286" s="10" t="str">
        <f aca="false">IF(OR(G286="",G286="なし"),"―",IF(CN286="N","対象外",IF(AND(I286="",J286="",K286=""),"標報未入力",IF(CH286&gt;=設定!$B$4,"要確認","問題なし"))))</f>
        <v>標報未入力</v>
      </c>
      <c r="E286" s="24" t="str">
        <f aca="false">IF(OR(G286="",G286="なし",CI286="",CJ286=0),"―",IF(CJ286=CI286,"前月同額",IF(CI286=0,"―",IF(ABS(CJ286/CI286-1)&gt;=設定!$B$5,"変動大 "&amp;TEXT(CJ286/CI286-1,"+0%;-0%"),"〇"))))</f>
        <v>〇</v>
      </c>
      <c r="F286" s="10" t="str">
        <f aca="false">IF(OR(G286="",G286="なし"),"―",IF(CJ286=0,"入金不要",IF(COUNT(AD286,AF286,AH286,AJ286)=0,IF(AK286="○","手動確認","未入金"),IF(AND(N(AD286)=AC286,IF(AE286="",TRUE(),N(AF286)=AE286),IF(AG286="",TRUE(),N(AH286)=AG286),IF(AI286="",TRUE(),N(AJ286)=AI286)),"一致","不一致"))))</f>
        <v>手動確認</v>
      </c>
      <c r="G286" s="25" t="s">
        <v>167</v>
      </c>
      <c r="H286" s="26"/>
      <c r="I286" s="27"/>
      <c r="J286" s="27"/>
      <c r="K286" s="27"/>
      <c r="L286" s="27"/>
      <c r="M286" s="27"/>
      <c r="N286" s="27"/>
      <c r="O286" s="27" t="n">
        <v>1792485</v>
      </c>
      <c r="P286" s="27" t="n">
        <v>146925</v>
      </c>
      <c r="Q286" s="27" t="n">
        <v>1025774</v>
      </c>
      <c r="R286" s="27" t="n">
        <v>103016</v>
      </c>
      <c r="S286" s="27" t="n">
        <v>22741</v>
      </c>
      <c r="T286" s="27" t="n">
        <v>2583702</v>
      </c>
      <c r="U286" s="27" t="n">
        <v>146925</v>
      </c>
      <c r="V286" s="27" t="n">
        <v>1723</v>
      </c>
      <c r="W286" s="27" t="n">
        <v>1043208</v>
      </c>
      <c r="X286" s="27" t="n">
        <v>103016</v>
      </c>
      <c r="Y286" s="27" t="n">
        <v>22747</v>
      </c>
      <c r="Z286" s="27"/>
      <c r="AA286" s="10" t="str">
        <f aca="false">IFERROR(INDEX(設定!$E$61:$E$106,MATCH(B286,設定!$B$61:$B$106,0)),"合算")</f>
        <v>合算</v>
      </c>
      <c r="AB286" s="28"/>
      <c r="AC286" s="29" t="n">
        <f aca="false">IF(OR(G286="",G286="なし"),"",IF(AA286="合算",CJ286+N(Z286),IF(AA286="掛金・負担金別",(AY286+AZ286+BD286+BF286+BH286),SUM(AY286:BC286))))</f>
        <v>6992262</v>
      </c>
      <c r="AD286" s="27"/>
      <c r="AE286" s="29" t="str">
        <f aca="false">IF(OR(G286="",G286="なし"),"",IF(AA286="掛金・負担金別",(BA286+BB286+BC286+BE286+BG286+BI286+N(Z286)),IF(AA286="経理区分別",BD286+BE286,"")))</f>
        <v/>
      </c>
      <c r="AF286" s="27"/>
      <c r="AG286" s="29" t="str">
        <f aca="false">IF(OR(G286="",G286="なし"),"",IF(AA286="経理区分別",BF286+BG286,""))</f>
        <v/>
      </c>
      <c r="AH286" s="27"/>
      <c r="AI286" s="29" t="str">
        <f aca="false">IF(OR(G286="",G286="なし"),"",IF(AA286="経理区分別",BH286+BI286+N(Z286),""))</f>
        <v/>
      </c>
      <c r="AJ286" s="27"/>
      <c r="AK286" s="26" t="s">
        <v>168</v>
      </c>
      <c r="AL286" s="26"/>
      <c r="AM286" s="30"/>
      <c r="AN286" s="31"/>
      <c r="AO286" s="31"/>
      <c r="AP286" s="31"/>
      <c r="AQ286" s="31"/>
      <c r="AR286" s="31"/>
      <c r="AS286" s="31"/>
      <c r="AT286" s="31"/>
      <c r="AU286" s="31"/>
      <c r="AV286" s="31"/>
      <c r="AW286" s="31"/>
      <c r="AX286" s="31"/>
      <c r="AY286" s="31" t="n">
        <f aca="false">IF($G286="",AN286,O286)</f>
        <v>1792485</v>
      </c>
      <c r="AZ286" s="31" t="n">
        <f aca="false">IF($G286="",AO286,P286)</f>
        <v>146925</v>
      </c>
      <c r="BA286" s="31" t="n">
        <f aca="false">IF($G286="",AP286,T286)</f>
        <v>2583702</v>
      </c>
      <c r="BB286" s="31" t="n">
        <f aca="false">IF($G286="",AQ286,U286)</f>
        <v>146925</v>
      </c>
      <c r="BC286" s="31" t="n">
        <f aca="false">IF($G286="",AR286,V286)</f>
        <v>1723</v>
      </c>
      <c r="BD286" s="31" t="n">
        <f aca="false">IF($G286="",AS286,Q286)</f>
        <v>1025774</v>
      </c>
      <c r="BE286" s="31" t="n">
        <f aca="false">IF($G286="",AT286,W286)</f>
        <v>1043208</v>
      </c>
      <c r="BF286" s="31" t="n">
        <f aca="false">IF($G286="",AU286,R286)</f>
        <v>103016</v>
      </c>
      <c r="BG286" s="31" t="n">
        <f aca="false">IF($G286="",AV286,X286)</f>
        <v>103016</v>
      </c>
      <c r="BH286" s="31" t="n">
        <f aca="false">IF($G286="",AW286,S286)</f>
        <v>22741</v>
      </c>
      <c r="BI286" s="31" t="n">
        <f aca="false">IF($G286="",AX286,Y286)</f>
        <v>22747</v>
      </c>
      <c r="BJ286" s="31" t="n">
        <f aca="false">IF(CK286="N",BR286,ROUNDDOWN((I286-L286)*設定!$B$10/1000,0)+ROUNDDOWN((I286-L286)*設定!$B$11/1000,0))</f>
        <v>0</v>
      </c>
      <c r="BK286" s="31" t="n">
        <f aca="false">ROUNDDOWN((I286-L286)*設定!$C$10/1000,0)+ROUNDDOWN((I286-L286)*設定!$C$11/1000,0)+ROUNDDOWN(I286*設定!$C$12/1000,0)+IF(CL286="市局型",ROUNDDOWN(I286*設定!$C$16/1000,0),0)</f>
        <v>0</v>
      </c>
      <c r="BL286" s="31" t="n">
        <f aca="false">IF(CK286="N",BT286,ROUNDDOWN((J286-M286)*設定!$B$13/1000,0))</f>
        <v>0</v>
      </c>
      <c r="BM286" s="31" t="n">
        <f aca="false">ROUNDDOWN((J286-M286)*設定!$C$13/1000,0)+IF(CL286="市局型",ROUNDDOWN(J286*設定!$C$17/1000,0),0)</f>
        <v>0</v>
      </c>
      <c r="BN286" s="31" t="n">
        <f aca="false">IF(CK286="N",BV286,ROUNDDOWN((K286-N286)*設定!$B$14/1000,0))</f>
        <v>0</v>
      </c>
      <c r="BO286" s="31" t="n">
        <f aca="false">ROUNDDOWN((K286-N286)*設定!$C$14/1000,0)</f>
        <v>0</v>
      </c>
      <c r="BP286" s="31" t="n">
        <f aca="false">IF(CK286="N",BX286,ROUNDDOWN((J286-M286)*設定!$B$15/1000,0))</f>
        <v>0</v>
      </c>
      <c r="BQ286" s="31" t="n">
        <f aca="false">ROUNDDOWN((J286-M286)*設定!$C$15/1000,0)</f>
        <v>0</v>
      </c>
      <c r="BR286" s="31" t="n">
        <f aca="false">O286+P286</f>
        <v>1939410</v>
      </c>
      <c r="BS286" s="31" t="n">
        <f aca="false">T286+U286+V286</f>
        <v>2732350</v>
      </c>
      <c r="BT286" s="31" t="n">
        <f aca="false">Q286</f>
        <v>1025774</v>
      </c>
      <c r="BU286" s="31" t="n">
        <f aca="false">W286</f>
        <v>1043208</v>
      </c>
      <c r="BV286" s="31" t="n">
        <f aca="false">R286</f>
        <v>103016</v>
      </c>
      <c r="BW286" s="31" t="n">
        <f aca="false">X286</f>
        <v>103016</v>
      </c>
      <c r="BX286" s="31" t="n">
        <f aca="false">S286</f>
        <v>22741</v>
      </c>
      <c r="BY286" s="31" t="n">
        <f aca="false">Y286</f>
        <v>22747</v>
      </c>
      <c r="BZ286" s="32" t="n">
        <f aca="false">IF(BJ286=0,IF(BR286=0,0,1),(BR286-BJ286)/BJ286)</f>
        <v>1</v>
      </c>
      <c r="CA286" s="32" t="n">
        <f aca="false">IF(BK286=0,IF(BS286=0,0,1),(BS286-BK286)/BK286)</f>
        <v>1</v>
      </c>
      <c r="CB286" s="32" t="n">
        <f aca="false">IF(BL286=0,IF(BT286=0,0,1),(BT286-BL286)/BL286)</f>
        <v>1</v>
      </c>
      <c r="CC286" s="32" t="n">
        <f aca="false">IF(BM286=0,IF(BU286=0,0,1),(BU286-BM286)/BM286)</f>
        <v>1</v>
      </c>
      <c r="CD286" s="32" t="n">
        <f aca="false">IF(BN286=0,IF(BV286=0,0,1),(BV286-BN286)/BN286)</f>
        <v>1</v>
      </c>
      <c r="CE286" s="32" t="n">
        <f aca="false">IF(BO286=0,IF(BW286=0,0,1),(BW286-BO286)/BO286)</f>
        <v>1</v>
      </c>
      <c r="CF286" s="32" t="n">
        <f aca="false">IF(BP286=0,IF(BX286=0,0,1),(BX286-BP286)/BP286)</f>
        <v>1</v>
      </c>
      <c r="CG286" s="32" t="n">
        <f aca="false">IF(BQ286=0,IF(BY286=0,0,1),(BY286-BQ286)/BQ286)</f>
        <v>1</v>
      </c>
      <c r="CH286" s="32" t="n">
        <f aca="false">MAX(MAX(BZ286:CG286),-MIN(BZ286:CG286))</f>
        <v>1</v>
      </c>
      <c r="CI286" s="31" t="n">
        <f aca="false">IF(CO286="","",SUMIFS($CJ$7:$CJ$696,$A$7:$A$696,CO286,$B$7:$B$696,B286))</f>
        <v>7093426</v>
      </c>
      <c r="CJ286" s="31" t="n">
        <f aca="false">SUM(AY286:BI286)</f>
        <v>6992262</v>
      </c>
      <c r="CK286" s="31" t="str">
        <f aca="false">IFERROR(INDEX(設定!$F$61:$F$106,MATCH(B286,設定!$B$61:$B$106,0)),"Y")</f>
        <v>Y</v>
      </c>
      <c r="CL286" s="31" t="str">
        <f aca="false">IFERROR(INDEX(設定!$G$61:$G$106,MATCH(B286,設定!$B$61:$B$106,0)),"外郭型")</f>
        <v>市局型</v>
      </c>
      <c r="CM286" s="33" t="str">
        <f aca="false">A286&amp;"|"&amp;B286</f>
        <v>2026-09 月例|議会事務局</v>
      </c>
      <c r="CN286" s="34" t="str">
        <f aca="false">IFERROR(INDEX(設定!$D$61:$D$106,MATCH(B286,設定!$B$61:$B$106,0)),"Y")</f>
        <v>Y</v>
      </c>
      <c r="CO286" s="34" t="str">
        <f aca="false">IFERROR(INDEX(設定!$D$20:$D$34,MATCH(A286,設定!$A$20:$A$34,0))&amp;"","")</f>
        <v>2026-08 月例</v>
      </c>
    </row>
    <row r="287" customFormat="false" ht="15" hidden="true" customHeight="false" outlineLevel="0" collapsed="false">
      <c r="A287" s="22" t="s">
        <v>222</v>
      </c>
      <c r="B287" s="23" t="s">
        <v>172</v>
      </c>
      <c r="C287" s="10" t="str">
        <f aca="false">IF(G287="","未受領",IF(G287="なし","報告なし",IF(AL287="○","起票済",IF(OR(AK287="○",F287="一致",F287="入金不要"),"入金確認済","受領済"))))</f>
        <v>入金確認済</v>
      </c>
      <c r="D287" s="10" t="str">
        <f aca="false">IF(OR(G287="",G287="なし"),"―",IF(CN287="N","対象外",IF(AND(I287="",J287="",K287=""),"標報未入力",IF(CH287&gt;=設定!$B$4,"要確認","問題なし"))))</f>
        <v>対象外</v>
      </c>
      <c r="E287" s="24" t="str">
        <f aca="false">IF(OR(G287="",G287="なし",CI287="",CJ287=0),"―",IF(CJ287=CI287,"前月同額",IF(CI287=0,"―",IF(ABS(CJ287/CI287-1)&gt;=設定!$B$5,"変動大 "&amp;TEXT(CJ287/CI287-1,"+0%;-0%"),"〇"))))</f>
        <v>〇</v>
      </c>
      <c r="F287" s="10" t="str">
        <f aca="false">IF(OR(G287="",G287="なし"),"―",IF(CJ287=0,"入金不要",IF(COUNT(AD287,AF287,AH287,AJ287)=0,IF(AK287="○","手動確認","未入金"),IF(AND(N(AD287)=AC287,IF(AE287="",TRUE(),N(AF287)=AE287),IF(AG287="",TRUE(),N(AH287)=AG287),IF(AI287="",TRUE(),N(AJ287)=AI287)),"一致","不一致"))))</f>
        <v>手動確認</v>
      </c>
      <c r="G287" s="25" t="s">
        <v>167</v>
      </c>
      <c r="H287" s="26"/>
      <c r="I287" s="27"/>
      <c r="J287" s="27"/>
      <c r="K287" s="27"/>
      <c r="L287" s="27"/>
      <c r="M287" s="27"/>
      <c r="N287" s="27"/>
      <c r="O287" s="27" t="n">
        <v>24740685</v>
      </c>
      <c r="P287" s="27" t="n">
        <v>2027925</v>
      </c>
      <c r="Q287" s="27" t="n">
        <v>24442417</v>
      </c>
      <c r="R287" s="27" t="n">
        <v>2870104</v>
      </c>
      <c r="S287" s="27" t="n">
        <v>541422</v>
      </c>
      <c r="T287" s="27" t="n">
        <v>35652138</v>
      </c>
      <c r="U287" s="27" t="n">
        <v>2027925</v>
      </c>
      <c r="V287" s="27" t="n">
        <v>23758</v>
      </c>
      <c r="W287" s="27" t="n">
        <v>24886462</v>
      </c>
      <c r="X287" s="27" t="n">
        <v>2873699</v>
      </c>
      <c r="Y287" s="27" t="n">
        <v>542621</v>
      </c>
      <c r="Z287" s="27"/>
      <c r="AA287" s="10" t="str">
        <f aca="false">IFERROR(INDEX(設定!$E$61:$E$106,MATCH(B287,設定!$B$61:$B$106,0)),"合算")</f>
        <v>合算</v>
      </c>
      <c r="AB287" s="28"/>
      <c r="AC287" s="29" t="n">
        <f aca="false">IF(OR(G287="",G287="なし"),"",IF(AA287="合算",CJ287+N(Z287),IF(AA287="掛金・負担金別",(AY287+AZ287+BD287+BF287+BH287),SUM(AY287:BC287))))</f>
        <v>120629156</v>
      </c>
      <c r="AD287" s="27"/>
      <c r="AE287" s="29" t="str">
        <f aca="false">IF(OR(G287="",G287="なし"),"",IF(AA287="掛金・負担金別",(BA287+BB287+BC287+BE287+BG287+BI287+N(Z287)),IF(AA287="経理区分別",BD287+BE287,"")))</f>
        <v/>
      </c>
      <c r="AF287" s="27"/>
      <c r="AG287" s="29" t="str">
        <f aca="false">IF(OR(G287="",G287="なし"),"",IF(AA287="経理区分別",BF287+BG287,""))</f>
        <v/>
      </c>
      <c r="AH287" s="27"/>
      <c r="AI287" s="29" t="str">
        <f aca="false">IF(OR(G287="",G287="なし"),"",IF(AA287="経理区分別",BH287+BI287+N(Z287),""))</f>
        <v/>
      </c>
      <c r="AJ287" s="27"/>
      <c r="AK287" s="26" t="s">
        <v>168</v>
      </c>
      <c r="AL287" s="26"/>
      <c r="AM287" s="30"/>
      <c r="AN287" s="31"/>
      <c r="AO287" s="31"/>
      <c r="AP287" s="31"/>
      <c r="AQ287" s="31"/>
      <c r="AR287" s="31"/>
      <c r="AS287" s="31"/>
      <c r="AT287" s="31"/>
      <c r="AU287" s="31"/>
      <c r="AV287" s="31"/>
      <c r="AW287" s="31"/>
      <c r="AX287" s="31"/>
      <c r="AY287" s="31" t="n">
        <f aca="false">IF($G287="",AN287,O287)</f>
        <v>24740685</v>
      </c>
      <c r="AZ287" s="31" t="n">
        <f aca="false">IF($G287="",AO287,P287)</f>
        <v>2027925</v>
      </c>
      <c r="BA287" s="31" t="n">
        <f aca="false">IF($G287="",AP287,T287)</f>
        <v>35652138</v>
      </c>
      <c r="BB287" s="31" t="n">
        <f aca="false">IF($G287="",AQ287,U287)</f>
        <v>2027925</v>
      </c>
      <c r="BC287" s="31" t="n">
        <f aca="false">IF($G287="",AR287,V287)</f>
        <v>23758</v>
      </c>
      <c r="BD287" s="31" t="n">
        <f aca="false">IF($G287="",AS287,Q287)</f>
        <v>24442417</v>
      </c>
      <c r="BE287" s="31" t="n">
        <f aca="false">IF($G287="",AT287,W287)</f>
        <v>24886462</v>
      </c>
      <c r="BF287" s="31" t="n">
        <f aca="false">IF($G287="",AU287,R287)</f>
        <v>2870104</v>
      </c>
      <c r="BG287" s="31" t="n">
        <f aca="false">IF($G287="",AV287,X287)</f>
        <v>2873699</v>
      </c>
      <c r="BH287" s="31" t="n">
        <f aca="false">IF($G287="",AW287,S287)</f>
        <v>541422</v>
      </c>
      <c r="BI287" s="31" t="n">
        <f aca="false">IF($G287="",AX287,Y287)</f>
        <v>542621</v>
      </c>
      <c r="BJ287" s="31" t="n">
        <f aca="false">IF(CK287="N",BR287,ROUNDDOWN((I287-L287)*設定!$B$10/1000,0)+ROUNDDOWN((I287-L287)*設定!$B$11/1000,0))</f>
        <v>0</v>
      </c>
      <c r="BK287" s="31" t="n">
        <f aca="false">ROUNDDOWN((I287-L287)*設定!$C$10/1000,0)+ROUNDDOWN((I287-L287)*設定!$C$11/1000,0)+ROUNDDOWN(I287*設定!$C$12/1000,0)+IF(CL287="市局型",ROUNDDOWN(I287*設定!$C$16/1000,0),0)</f>
        <v>0</v>
      </c>
      <c r="BL287" s="31" t="n">
        <f aca="false">IF(CK287="N",BT287,ROUNDDOWN((J287-M287)*設定!$B$13/1000,0))</f>
        <v>0</v>
      </c>
      <c r="BM287" s="31" t="n">
        <f aca="false">ROUNDDOWN((J287-M287)*設定!$C$13/1000,0)+IF(CL287="市局型",ROUNDDOWN(J287*設定!$C$17/1000,0),0)</f>
        <v>0</v>
      </c>
      <c r="BN287" s="31" t="n">
        <f aca="false">IF(CK287="N",BV287,ROUNDDOWN((K287-N287)*設定!$B$14/1000,0))</f>
        <v>0</v>
      </c>
      <c r="BO287" s="31" t="n">
        <f aca="false">ROUNDDOWN((K287-N287)*設定!$C$14/1000,0)</f>
        <v>0</v>
      </c>
      <c r="BP287" s="31" t="n">
        <f aca="false">IF(CK287="N",BX287,ROUNDDOWN((J287-M287)*設定!$B$15/1000,0))</f>
        <v>0</v>
      </c>
      <c r="BQ287" s="31" t="n">
        <f aca="false">ROUNDDOWN((J287-M287)*設定!$C$15/1000,0)</f>
        <v>0</v>
      </c>
      <c r="BR287" s="31" t="n">
        <f aca="false">O287+P287</f>
        <v>26768610</v>
      </c>
      <c r="BS287" s="31" t="n">
        <f aca="false">T287+U287+V287</f>
        <v>37703821</v>
      </c>
      <c r="BT287" s="31" t="n">
        <f aca="false">Q287</f>
        <v>24442417</v>
      </c>
      <c r="BU287" s="31" t="n">
        <f aca="false">W287</f>
        <v>24886462</v>
      </c>
      <c r="BV287" s="31" t="n">
        <f aca="false">R287</f>
        <v>2870104</v>
      </c>
      <c r="BW287" s="31" t="n">
        <f aca="false">X287</f>
        <v>2873699</v>
      </c>
      <c r="BX287" s="31" t="n">
        <f aca="false">S287</f>
        <v>541422</v>
      </c>
      <c r="BY287" s="31" t="n">
        <f aca="false">Y287</f>
        <v>542621</v>
      </c>
      <c r="BZ287" s="32" t="n">
        <f aca="false">IF(BJ287=0,IF(BR287=0,0,1),(BR287-BJ287)/BJ287)</f>
        <v>1</v>
      </c>
      <c r="CA287" s="32" t="n">
        <f aca="false">IF(BK287=0,IF(BS287=0,0,1),(BS287-BK287)/BK287)</f>
        <v>1</v>
      </c>
      <c r="CB287" s="32" t="n">
        <f aca="false">IF(BL287=0,IF(BT287=0,0,1),(BT287-BL287)/BL287)</f>
        <v>1</v>
      </c>
      <c r="CC287" s="32" t="n">
        <f aca="false">IF(BM287=0,IF(BU287=0,0,1),(BU287-BM287)/BM287)</f>
        <v>1</v>
      </c>
      <c r="CD287" s="32" t="n">
        <f aca="false">IF(BN287=0,IF(BV287=0,0,1),(BV287-BN287)/BN287)</f>
        <v>1</v>
      </c>
      <c r="CE287" s="32" t="n">
        <f aca="false">IF(BO287=0,IF(BW287=0,0,1),(BW287-BO287)/BO287)</f>
        <v>1</v>
      </c>
      <c r="CF287" s="32" t="n">
        <f aca="false">IF(BP287=0,IF(BX287=0,0,1),(BX287-BP287)/BP287)</f>
        <v>1</v>
      </c>
      <c r="CG287" s="32" t="n">
        <f aca="false">IF(BQ287=0,IF(BY287=0,0,1),(BY287-BQ287)/BQ287)</f>
        <v>1</v>
      </c>
      <c r="CH287" s="32" t="n">
        <f aca="false">MAX(MAX(BZ287:CG287),-MIN(BZ287:CG287))</f>
        <v>1</v>
      </c>
      <c r="CI287" s="31" t="n">
        <f aca="false">IF(CO287="","",SUMIFS($CJ$7:$CJ$696,$A$7:$A$696,CO287,$B$7:$B$696,B287))</f>
        <v>118142534</v>
      </c>
      <c r="CJ287" s="31" t="n">
        <f aca="false">SUM(AY287:BI287)</f>
        <v>120629156</v>
      </c>
      <c r="CK287" s="31" t="str">
        <f aca="false">IFERROR(INDEX(設定!$F$61:$F$106,MATCH(B287,設定!$B$61:$B$106,0)),"Y")</f>
        <v>Y</v>
      </c>
      <c r="CL287" s="31" t="str">
        <f aca="false">IFERROR(INDEX(設定!$G$61:$G$106,MATCH(B287,設定!$B$61:$B$106,0)),"外郭型")</f>
        <v>市局型</v>
      </c>
      <c r="CM287" s="33" t="str">
        <f aca="false">A287&amp;"|"&amp;B287</f>
        <v>2026-09 月例|教育委員会（総務課）</v>
      </c>
      <c r="CN287" s="34" t="str">
        <f aca="false">IFERROR(INDEX(設定!$D$61:$D$106,MATCH(B287,設定!$B$61:$B$106,0)),"Y")</f>
        <v>N</v>
      </c>
      <c r="CO287" s="34" t="str">
        <f aca="false">IFERROR(INDEX(設定!$D$20:$D$34,MATCH(A287,設定!$A$20:$A$34,0))&amp;"","")</f>
        <v>2026-08 月例</v>
      </c>
    </row>
    <row r="288" customFormat="false" ht="15" hidden="true" customHeight="false" outlineLevel="0" collapsed="false">
      <c r="A288" s="22" t="s">
        <v>222</v>
      </c>
      <c r="B288" s="23" t="s">
        <v>173</v>
      </c>
      <c r="C288" s="10" t="str">
        <f aca="false">IF(G288="","未受領",IF(G288="なし","報告なし",IF(AL288="○","起票済",IF(OR(AK288="○",F288="一致",F288="入金不要"),"入金確認済","受領済"))))</f>
        <v>入金確認済</v>
      </c>
      <c r="D288" s="10" t="str">
        <f aca="false">IF(OR(G288="",G288="なし"),"―",IF(CN288="N","対象外",IF(AND(I288="",J288="",K288=""),"標報未入力",IF(CH288&gt;=設定!$B$4,"要確認","問題なし"))))</f>
        <v>標報未入力</v>
      </c>
      <c r="E288" s="24" t="str">
        <f aca="false">IF(OR(G288="",G288="なし",CI288="",CJ288=0),"―",IF(CJ288=CI288,"前月同額",IF(CI288=0,"―",IF(ABS(CJ288/CI288-1)&gt;=設定!$B$5,"変動大 "&amp;TEXT(CJ288/CI288-1,"+0%;-0%"),"〇"))))</f>
        <v>〇</v>
      </c>
      <c r="F288" s="10" t="str">
        <f aca="false">IF(OR(G288="",G288="なし"),"―",IF(CJ288=0,"入金不要",IF(COUNT(AD288,AF288,AH288,AJ288)=0,IF(AK288="○","手動確認","未入金"),IF(AND(N(AD288)=AC288,IF(AE288="",TRUE(),N(AF288)=AE288),IF(AG288="",TRUE(),N(AH288)=AG288),IF(AI288="",TRUE(),N(AJ288)=AI288)),"一致","不一致"))))</f>
        <v>手動確認</v>
      </c>
      <c r="G288" s="25" t="s">
        <v>167</v>
      </c>
      <c r="H288" s="26"/>
      <c r="I288" s="27"/>
      <c r="J288" s="27"/>
      <c r="K288" s="27"/>
      <c r="L288" s="27"/>
      <c r="M288" s="27"/>
      <c r="N288" s="27"/>
      <c r="O288" s="27" t="n">
        <v>250710</v>
      </c>
      <c r="P288" s="27" t="n">
        <v>20550</v>
      </c>
      <c r="Q288" s="27" t="n">
        <v>162838</v>
      </c>
      <c r="R288" s="27" t="n">
        <v>15879</v>
      </c>
      <c r="S288" s="27" t="n">
        <v>3609</v>
      </c>
      <c r="T288" s="27" t="n">
        <v>360036</v>
      </c>
      <c r="U288" s="27" t="n">
        <v>20550</v>
      </c>
      <c r="V288" s="27" t="n">
        <v>238</v>
      </c>
      <c r="W288" s="27" t="n">
        <v>165572</v>
      </c>
      <c r="X288" s="27" t="n">
        <v>15879</v>
      </c>
      <c r="Y288" s="27" t="n">
        <v>3611</v>
      </c>
      <c r="Z288" s="27"/>
      <c r="AA288" s="10" t="str">
        <f aca="false">IFERROR(INDEX(設定!$E$61:$E$106,MATCH(B288,設定!$B$61:$B$106,0)),"合算")</f>
        <v>合算</v>
      </c>
      <c r="AB288" s="28"/>
      <c r="AC288" s="29" t="n">
        <f aca="false">IF(OR(G288="",G288="なし"),"",IF(AA288="合算",CJ288+N(Z288),IF(AA288="掛金・負担金別",(AY288+AZ288+BD288+BF288+BH288),SUM(AY288:BC288))))</f>
        <v>1019472</v>
      </c>
      <c r="AD288" s="27"/>
      <c r="AE288" s="29" t="str">
        <f aca="false">IF(OR(G288="",G288="なし"),"",IF(AA288="掛金・負担金別",(BA288+BB288+BC288+BE288+BG288+BI288+N(Z288)),IF(AA288="経理区分別",BD288+BE288,"")))</f>
        <v/>
      </c>
      <c r="AF288" s="27"/>
      <c r="AG288" s="29" t="str">
        <f aca="false">IF(OR(G288="",G288="なし"),"",IF(AA288="経理区分別",BF288+BG288,""))</f>
        <v/>
      </c>
      <c r="AH288" s="27"/>
      <c r="AI288" s="29" t="str">
        <f aca="false">IF(OR(G288="",G288="なし"),"",IF(AA288="経理区分別",BH288+BI288+N(Z288),""))</f>
        <v/>
      </c>
      <c r="AJ288" s="27"/>
      <c r="AK288" s="26" t="s">
        <v>168</v>
      </c>
      <c r="AL288" s="26"/>
      <c r="AM288" s="30"/>
      <c r="AN288" s="31"/>
      <c r="AO288" s="31"/>
      <c r="AP288" s="31"/>
      <c r="AQ288" s="31"/>
      <c r="AR288" s="31"/>
      <c r="AS288" s="31"/>
      <c r="AT288" s="31"/>
      <c r="AU288" s="31"/>
      <c r="AV288" s="31"/>
      <c r="AW288" s="31"/>
      <c r="AX288" s="31"/>
      <c r="AY288" s="31" t="n">
        <f aca="false">IF($G288="",AN288,O288)</f>
        <v>250710</v>
      </c>
      <c r="AZ288" s="31" t="n">
        <f aca="false">IF($G288="",AO288,P288)</f>
        <v>20550</v>
      </c>
      <c r="BA288" s="31" t="n">
        <f aca="false">IF($G288="",AP288,T288)</f>
        <v>360036</v>
      </c>
      <c r="BB288" s="31" t="n">
        <f aca="false">IF($G288="",AQ288,U288)</f>
        <v>20550</v>
      </c>
      <c r="BC288" s="31" t="n">
        <f aca="false">IF($G288="",AR288,V288)</f>
        <v>238</v>
      </c>
      <c r="BD288" s="31" t="n">
        <f aca="false">IF($G288="",AS288,Q288)</f>
        <v>162838</v>
      </c>
      <c r="BE288" s="31" t="n">
        <f aca="false">IF($G288="",AT288,W288)</f>
        <v>165572</v>
      </c>
      <c r="BF288" s="31" t="n">
        <f aca="false">IF($G288="",AU288,R288)</f>
        <v>15879</v>
      </c>
      <c r="BG288" s="31" t="n">
        <f aca="false">IF($G288="",AV288,X288)</f>
        <v>15879</v>
      </c>
      <c r="BH288" s="31" t="n">
        <f aca="false">IF($G288="",AW288,S288)</f>
        <v>3609</v>
      </c>
      <c r="BI288" s="31" t="n">
        <f aca="false">IF($G288="",AX288,Y288)</f>
        <v>3611</v>
      </c>
      <c r="BJ288" s="31" t="n">
        <f aca="false">IF(CK288="N",BR288,ROUNDDOWN((I288-L288)*設定!$B$10/1000,0)+ROUNDDOWN((I288-L288)*設定!$B$11/1000,0))</f>
        <v>0</v>
      </c>
      <c r="BK288" s="31" t="n">
        <f aca="false">ROUNDDOWN((I288-L288)*設定!$C$10/1000,0)+ROUNDDOWN((I288-L288)*設定!$C$11/1000,0)+ROUNDDOWN(I288*設定!$C$12/1000,0)+IF(CL288="市局型",ROUNDDOWN(I288*設定!$C$16/1000,0),0)</f>
        <v>0</v>
      </c>
      <c r="BL288" s="31" t="n">
        <f aca="false">IF(CK288="N",BT288,ROUNDDOWN((J288-M288)*設定!$B$13/1000,0))</f>
        <v>0</v>
      </c>
      <c r="BM288" s="31" t="n">
        <f aca="false">ROUNDDOWN((J288-M288)*設定!$C$13/1000,0)+IF(CL288="市局型",ROUNDDOWN(J288*設定!$C$17/1000,0),0)</f>
        <v>0</v>
      </c>
      <c r="BN288" s="31" t="n">
        <f aca="false">IF(CK288="N",BV288,ROUNDDOWN((K288-N288)*設定!$B$14/1000,0))</f>
        <v>0</v>
      </c>
      <c r="BO288" s="31" t="n">
        <f aca="false">ROUNDDOWN((K288-N288)*設定!$C$14/1000,0)</f>
        <v>0</v>
      </c>
      <c r="BP288" s="31" t="n">
        <f aca="false">IF(CK288="N",BX288,ROUNDDOWN((J288-M288)*設定!$B$15/1000,0))</f>
        <v>0</v>
      </c>
      <c r="BQ288" s="31" t="n">
        <f aca="false">ROUNDDOWN((J288-M288)*設定!$C$15/1000,0)</f>
        <v>0</v>
      </c>
      <c r="BR288" s="31" t="n">
        <f aca="false">O288+P288</f>
        <v>271260</v>
      </c>
      <c r="BS288" s="31" t="n">
        <f aca="false">T288+U288+V288</f>
        <v>380824</v>
      </c>
      <c r="BT288" s="31" t="n">
        <f aca="false">Q288</f>
        <v>162838</v>
      </c>
      <c r="BU288" s="31" t="n">
        <f aca="false">W288</f>
        <v>165572</v>
      </c>
      <c r="BV288" s="31" t="n">
        <f aca="false">R288</f>
        <v>15879</v>
      </c>
      <c r="BW288" s="31" t="n">
        <f aca="false">X288</f>
        <v>15879</v>
      </c>
      <c r="BX288" s="31" t="n">
        <f aca="false">S288</f>
        <v>3609</v>
      </c>
      <c r="BY288" s="31" t="n">
        <f aca="false">Y288</f>
        <v>3611</v>
      </c>
      <c r="BZ288" s="32" t="n">
        <f aca="false">IF(BJ288=0,IF(BR288=0,0,1),(BR288-BJ288)/BJ288)</f>
        <v>1</v>
      </c>
      <c r="CA288" s="32" t="n">
        <f aca="false">IF(BK288=0,IF(BS288=0,0,1),(BS288-BK288)/BK288)</f>
        <v>1</v>
      </c>
      <c r="CB288" s="32" t="n">
        <f aca="false">IF(BL288=0,IF(BT288=0,0,1),(BT288-BL288)/BL288)</f>
        <v>1</v>
      </c>
      <c r="CC288" s="32" t="n">
        <f aca="false">IF(BM288=0,IF(BU288=0,0,1),(BU288-BM288)/BM288)</f>
        <v>1</v>
      </c>
      <c r="CD288" s="32" t="n">
        <f aca="false">IF(BN288=0,IF(BV288=0,0,1),(BV288-BN288)/BN288)</f>
        <v>1</v>
      </c>
      <c r="CE288" s="32" t="n">
        <f aca="false">IF(BO288=0,IF(BW288=0,0,1),(BW288-BO288)/BO288)</f>
        <v>1</v>
      </c>
      <c r="CF288" s="32" t="n">
        <f aca="false">IF(BP288=0,IF(BX288=0,0,1),(BX288-BP288)/BP288)</f>
        <v>1</v>
      </c>
      <c r="CG288" s="32" t="n">
        <f aca="false">IF(BQ288=0,IF(BY288=0,0,1),(BY288-BQ288)/BQ288)</f>
        <v>1</v>
      </c>
      <c r="CH288" s="32" t="n">
        <f aca="false">MAX(MAX(BZ288:CG288),-MIN(BZ288:CG288))</f>
        <v>1</v>
      </c>
      <c r="CI288" s="31" t="n">
        <f aca="false">IF(CO288="","",SUMIFS($CJ$7:$CJ$696,$A$7:$A$696,CO288,$B$7:$B$696,B288))</f>
        <v>1090667</v>
      </c>
      <c r="CJ288" s="31" t="n">
        <f aca="false">SUM(AY288:BI288)</f>
        <v>1019472</v>
      </c>
      <c r="CK288" s="31" t="str">
        <f aca="false">IFERROR(INDEX(設定!$F$61:$F$106,MATCH(B288,設定!$B$61:$B$106,0)),"Y")</f>
        <v>Y</v>
      </c>
      <c r="CL288" s="31" t="str">
        <f aca="false">IFERROR(INDEX(設定!$G$61:$G$106,MATCH(B288,設定!$B$61:$B$106,0)),"外郭型")</f>
        <v>市局型</v>
      </c>
      <c r="CM288" s="33" t="str">
        <f aca="false">A288&amp;"|"&amp;B288</f>
        <v>2026-09 月例|選挙管理委員会</v>
      </c>
      <c r="CN288" s="34" t="str">
        <f aca="false">IFERROR(INDEX(設定!$D$61:$D$106,MATCH(B288,設定!$B$61:$B$106,0)),"Y")</f>
        <v>Y</v>
      </c>
      <c r="CO288" s="34" t="str">
        <f aca="false">IFERROR(INDEX(設定!$D$20:$D$34,MATCH(A288,設定!$A$20:$A$34,0))&amp;"","")</f>
        <v>2026-08 月例</v>
      </c>
    </row>
    <row r="289" customFormat="false" ht="15" hidden="true" customHeight="false" outlineLevel="0" collapsed="false">
      <c r="A289" s="22" t="s">
        <v>222</v>
      </c>
      <c r="B289" s="23" t="s">
        <v>174</v>
      </c>
      <c r="C289" s="10" t="str">
        <f aca="false">IF(G289="","未受領",IF(G289="なし","報告なし",IF(AL289="○","起票済",IF(OR(AK289="○",F289="一致",F289="入金不要"),"入金確認済","受領済"))))</f>
        <v>入金確認済</v>
      </c>
      <c r="D289" s="10" t="str">
        <f aca="false">IF(OR(G289="",G289="なし"),"―",IF(CN289="N","対象外",IF(AND(I289="",J289="",K289=""),"標報未入力",IF(CH289&gt;=設定!$B$4,"要確認","問題なし"))))</f>
        <v>標報未入力</v>
      </c>
      <c r="E289" s="24" t="str">
        <f aca="false">IF(OR(G289="",G289="なし",CI289="",CJ289=0),"―",IF(CJ289=CI289,"前月同額",IF(CI289=0,"―",IF(ABS(CJ289/CI289-1)&gt;=設定!$B$5,"変動大 "&amp;TEXT(CJ289/CI289-1,"+0%;-0%"),"〇"))))</f>
        <v>〇</v>
      </c>
      <c r="F289" s="10" t="str">
        <f aca="false">IF(OR(G289="",G289="なし"),"―",IF(CJ289=0,"入金不要",IF(COUNT(AD289,AF289,AH289,AJ289)=0,IF(AK289="○","手動確認","未入金"),IF(AND(N(AD289)=AC289,IF(AE289="",TRUE(),N(AF289)=AE289),IF(AG289="",TRUE(),N(AH289)=AG289),IF(AI289="",TRUE(),N(AJ289)=AI289)),"一致","不一致"))))</f>
        <v>手動確認</v>
      </c>
      <c r="G289" s="25" t="s">
        <v>167</v>
      </c>
      <c r="H289" s="26"/>
      <c r="I289" s="27"/>
      <c r="J289" s="27"/>
      <c r="K289" s="27"/>
      <c r="L289" s="27"/>
      <c r="M289" s="27"/>
      <c r="N289" s="27"/>
      <c r="O289" s="27" t="n">
        <v>616710</v>
      </c>
      <c r="P289" s="27" t="n">
        <v>50550</v>
      </c>
      <c r="Q289" s="27" t="n">
        <v>363015</v>
      </c>
      <c r="R289" s="27" t="n">
        <v>30257</v>
      </c>
      <c r="S289" s="27" t="n">
        <v>8048</v>
      </c>
      <c r="T289" s="27" t="n">
        <v>885636</v>
      </c>
      <c r="U289" s="27" t="n">
        <v>50550</v>
      </c>
      <c r="V289" s="27" t="n">
        <v>585</v>
      </c>
      <c r="W289" s="27" t="n">
        <v>369109</v>
      </c>
      <c r="X289" s="27" t="n">
        <v>30257</v>
      </c>
      <c r="Y289" s="27" t="n">
        <v>8050</v>
      </c>
      <c r="Z289" s="27"/>
      <c r="AA289" s="10" t="str">
        <f aca="false">IFERROR(INDEX(設定!$E$61:$E$106,MATCH(B289,設定!$B$61:$B$106,0)),"合算")</f>
        <v>合算</v>
      </c>
      <c r="AB289" s="28"/>
      <c r="AC289" s="29" t="n">
        <f aca="false">IF(OR(G289="",G289="なし"),"",IF(AA289="合算",CJ289+N(Z289),IF(AA289="掛金・負担金別",(AY289+AZ289+BD289+BF289+BH289),SUM(AY289:BC289))))</f>
        <v>2412767</v>
      </c>
      <c r="AD289" s="27"/>
      <c r="AE289" s="29" t="str">
        <f aca="false">IF(OR(G289="",G289="なし"),"",IF(AA289="掛金・負担金別",(BA289+BB289+BC289+BE289+BG289+BI289+N(Z289)),IF(AA289="経理区分別",BD289+BE289,"")))</f>
        <v/>
      </c>
      <c r="AF289" s="27"/>
      <c r="AG289" s="29" t="str">
        <f aca="false">IF(OR(G289="",G289="なし"),"",IF(AA289="経理区分別",BF289+BG289,""))</f>
        <v/>
      </c>
      <c r="AH289" s="27"/>
      <c r="AI289" s="29" t="str">
        <f aca="false">IF(OR(G289="",G289="なし"),"",IF(AA289="経理区分別",BH289+BI289+N(Z289),""))</f>
        <v/>
      </c>
      <c r="AJ289" s="27"/>
      <c r="AK289" s="26" t="s">
        <v>168</v>
      </c>
      <c r="AL289" s="26"/>
      <c r="AM289" s="30"/>
      <c r="AN289" s="31"/>
      <c r="AO289" s="31"/>
      <c r="AP289" s="31"/>
      <c r="AQ289" s="31"/>
      <c r="AR289" s="31"/>
      <c r="AS289" s="31"/>
      <c r="AT289" s="31"/>
      <c r="AU289" s="31"/>
      <c r="AV289" s="31"/>
      <c r="AW289" s="31"/>
      <c r="AX289" s="31"/>
      <c r="AY289" s="31" t="n">
        <f aca="false">IF($G289="",AN289,O289)</f>
        <v>616710</v>
      </c>
      <c r="AZ289" s="31" t="n">
        <f aca="false">IF($G289="",AO289,P289)</f>
        <v>50550</v>
      </c>
      <c r="BA289" s="31" t="n">
        <f aca="false">IF($G289="",AP289,T289)</f>
        <v>885636</v>
      </c>
      <c r="BB289" s="31" t="n">
        <f aca="false">IF($G289="",AQ289,U289)</f>
        <v>50550</v>
      </c>
      <c r="BC289" s="31" t="n">
        <f aca="false">IF($G289="",AR289,V289)</f>
        <v>585</v>
      </c>
      <c r="BD289" s="31" t="n">
        <f aca="false">IF($G289="",AS289,Q289)</f>
        <v>363015</v>
      </c>
      <c r="BE289" s="31" t="n">
        <f aca="false">IF($G289="",AT289,W289)</f>
        <v>369109</v>
      </c>
      <c r="BF289" s="31" t="n">
        <f aca="false">IF($G289="",AU289,R289)</f>
        <v>30257</v>
      </c>
      <c r="BG289" s="31" t="n">
        <f aca="false">IF($G289="",AV289,X289)</f>
        <v>30257</v>
      </c>
      <c r="BH289" s="31" t="n">
        <f aca="false">IF($G289="",AW289,S289)</f>
        <v>8048</v>
      </c>
      <c r="BI289" s="31" t="n">
        <f aca="false">IF($G289="",AX289,Y289)</f>
        <v>8050</v>
      </c>
      <c r="BJ289" s="31" t="n">
        <f aca="false">IF(CK289="N",BR289,ROUNDDOWN((I289-L289)*設定!$B$10/1000,0)+ROUNDDOWN((I289-L289)*設定!$B$11/1000,0))</f>
        <v>0</v>
      </c>
      <c r="BK289" s="31" t="n">
        <f aca="false">ROUNDDOWN((I289-L289)*設定!$C$10/1000,0)+ROUNDDOWN((I289-L289)*設定!$C$11/1000,0)+ROUNDDOWN(I289*設定!$C$12/1000,0)+IF(CL289="市局型",ROUNDDOWN(I289*設定!$C$16/1000,0),0)</f>
        <v>0</v>
      </c>
      <c r="BL289" s="31" t="n">
        <f aca="false">IF(CK289="N",BT289,ROUNDDOWN((J289-M289)*設定!$B$13/1000,0))</f>
        <v>0</v>
      </c>
      <c r="BM289" s="31" t="n">
        <f aca="false">ROUNDDOWN((J289-M289)*設定!$C$13/1000,0)+IF(CL289="市局型",ROUNDDOWN(J289*設定!$C$17/1000,0),0)</f>
        <v>0</v>
      </c>
      <c r="BN289" s="31" t="n">
        <f aca="false">IF(CK289="N",BV289,ROUNDDOWN((K289-N289)*設定!$B$14/1000,0))</f>
        <v>0</v>
      </c>
      <c r="BO289" s="31" t="n">
        <f aca="false">ROUNDDOWN((K289-N289)*設定!$C$14/1000,0)</f>
        <v>0</v>
      </c>
      <c r="BP289" s="31" t="n">
        <f aca="false">IF(CK289="N",BX289,ROUNDDOWN((J289-M289)*設定!$B$15/1000,0))</f>
        <v>0</v>
      </c>
      <c r="BQ289" s="31" t="n">
        <f aca="false">ROUNDDOWN((J289-M289)*設定!$C$15/1000,0)</f>
        <v>0</v>
      </c>
      <c r="BR289" s="31" t="n">
        <f aca="false">O289+P289</f>
        <v>667260</v>
      </c>
      <c r="BS289" s="31" t="n">
        <f aca="false">T289+U289+V289</f>
        <v>936771</v>
      </c>
      <c r="BT289" s="31" t="n">
        <f aca="false">Q289</f>
        <v>363015</v>
      </c>
      <c r="BU289" s="31" t="n">
        <f aca="false">W289</f>
        <v>369109</v>
      </c>
      <c r="BV289" s="31" t="n">
        <f aca="false">R289</f>
        <v>30257</v>
      </c>
      <c r="BW289" s="31" t="n">
        <f aca="false">X289</f>
        <v>30257</v>
      </c>
      <c r="BX289" s="31" t="n">
        <f aca="false">S289</f>
        <v>8048</v>
      </c>
      <c r="BY289" s="31" t="n">
        <f aca="false">Y289</f>
        <v>8050</v>
      </c>
      <c r="BZ289" s="32" t="n">
        <f aca="false">IF(BJ289=0,IF(BR289=0,0,1),(BR289-BJ289)/BJ289)</f>
        <v>1</v>
      </c>
      <c r="CA289" s="32" t="n">
        <f aca="false">IF(BK289=0,IF(BS289=0,0,1),(BS289-BK289)/BK289)</f>
        <v>1</v>
      </c>
      <c r="CB289" s="32" t="n">
        <f aca="false">IF(BL289=0,IF(BT289=0,0,1),(BT289-BL289)/BL289)</f>
        <v>1</v>
      </c>
      <c r="CC289" s="32" t="n">
        <f aca="false">IF(BM289=0,IF(BU289=0,0,1),(BU289-BM289)/BM289)</f>
        <v>1</v>
      </c>
      <c r="CD289" s="32" t="n">
        <f aca="false">IF(BN289=0,IF(BV289=0,0,1),(BV289-BN289)/BN289)</f>
        <v>1</v>
      </c>
      <c r="CE289" s="32" t="n">
        <f aca="false">IF(BO289=0,IF(BW289=0,0,1),(BW289-BO289)/BO289)</f>
        <v>1</v>
      </c>
      <c r="CF289" s="32" t="n">
        <f aca="false">IF(BP289=0,IF(BX289=0,0,1),(BX289-BP289)/BP289)</f>
        <v>1</v>
      </c>
      <c r="CG289" s="32" t="n">
        <f aca="false">IF(BQ289=0,IF(BY289=0,0,1),(BY289-BQ289)/BQ289)</f>
        <v>1</v>
      </c>
      <c r="CH289" s="32" t="n">
        <f aca="false">MAX(MAX(BZ289:CG289),-MIN(BZ289:CG289))</f>
        <v>1</v>
      </c>
      <c r="CI289" s="31" t="n">
        <f aca="false">IF(CO289="","",SUMIFS($CJ$7:$CJ$696,$A$7:$A$696,CO289,$B$7:$B$696,B289))</f>
        <v>2419662</v>
      </c>
      <c r="CJ289" s="31" t="n">
        <f aca="false">SUM(AY289:BI289)</f>
        <v>2412767</v>
      </c>
      <c r="CK289" s="31" t="str">
        <f aca="false">IFERROR(INDEX(設定!$F$61:$F$106,MATCH(B289,設定!$B$61:$B$106,0)),"Y")</f>
        <v>Y</v>
      </c>
      <c r="CL289" s="31" t="str">
        <f aca="false">IFERROR(INDEX(設定!$G$61:$G$106,MATCH(B289,設定!$B$61:$B$106,0)),"外郭型")</f>
        <v>市局型</v>
      </c>
      <c r="CM289" s="33" t="str">
        <f aca="false">A289&amp;"|"&amp;B289</f>
        <v>2026-09 月例|人事委員会</v>
      </c>
      <c r="CN289" s="34" t="str">
        <f aca="false">IFERROR(INDEX(設定!$D$61:$D$106,MATCH(B289,設定!$B$61:$B$106,0)),"Y")</f>
        <v>Y</v>
      </c>
      <c r="CO289" s="34" t="str">
        <f aca="false">IFERROR(INDEX(設定!$D$20:$D$34,MATCH(A289,設定!$A$20:$A$34,0))&amp;"","")</f>
        <v>2026-08 月例</v>
      </c>
    </row>
    <row r="290" customFormat="false" ht="15" hidden="true" customHeight="false" outlineLevel="0" collapsed="false">
      <c r="A290" s="22" t="s">
        <v>222</v>
      </c>
      <c r="B290" s="23" t="s">
        <v>175</v>
      </c>
      <c r="C290" s="10" t="str">
        <f aca="false">IF(G290="","未受領",IF(G290="なし","報告なし",IF(AL290="○","起票済",IF(OR(AK290="○",F290="一致",F290="入金不要"),"入金確認済","受領済"))))</f>
        <v>入金確認済</v>
      </c>
      <c r="D290" s="10" t="str">
        <f aca="false">IF(OR(G290="",G290="なし"),"―",IF(CN290="N","対象外",IF(AND(I290="",J290="",K290=""),"標報未入力",IF(CH290&gt;=設定!$B$4,"要確認","問題なし"))))</f>
        <v>標報未入力</v>
      </c>
      <c r="E290" s="24" t="str">
        <f aca="false">IF(OR(G290="",G290="なし",CI290="",CJ290=0),"―",IF(CJ290=CI290,"前月同額",IF(CI290=0,"―",IF(ABS(CJ290/CI290-1)&gt;=設定!$B$5,"変動大 "&amp;TEXT(CJ290/CI290-1,"+0%;-0%"),"〇"))))</f>
        <v>〇</v>
      </c>
      <c r="F290" s="10" t="str">
        <f aca="false">IF(OR(G290="",G290="なし"),"―",IF(CJ290=0,"入金不要",IF(COUNT(AD290,AF290,AH290,AJ290)=0,IF(AK290="○","手動確認","未入金"),IF(AND(N(AD290)=AC290,IF(AE290="",TRUE(),N(AF290)=AE290),IF(AG290="",TRUE(),N(AH290)=AG290),IF(AI290="",TRUE(),N(AJ290)=AI290)),"一致","不一致"))))</f>
        <v>手動確認</v>
      </c>
      <c r="G290" s="25" t="s">
        <v>167</v>
      </c>
      <c r="H290" s="26"/>
      <c r="I290" s="27"/>
      <c r="J290" s="27"/>
      <c r="K290" s="27"/>
      <c r="L290" s="27"/>
      <c r="M290" s="27"/>
      <c r="N290" s="27"/>
      <c r="O290" s="27" t="n">
        <v>1305705</v>
      </c>
      <c r="P290" s="27" t="n">
        <v>107025</v>
      </c>
      <c r="Q290" s="27" t="n">
        <v>760772</v>
      </c>
      <c r="R290" s="27" t="n">
        <v>106808</v>
      </c>
      <c r="S290" s="27" t="n">
        <v>16864</v>
      </c>
      <c r="T290" s="27" t="n">
        <v>1886250</v>
      </c>
      <c r="U290" s="27" t="n">
        <v>107025</v>
      </c>
      <c r="V290" s="27" t="n">
        <v>1263</v>
      </c>
      <c r="W290" s="27" t="n">
        <v>773791</v>
      </c>
      <c r="X290" s="27" t="n">
        <v>106808</v>
      </c>
      <c r="Y290" s="27" t="n">
        <v>16870</v>
      </c>
      <c r="Z290" s="27"/>
      <c r="AA290" s="10" t="str">
        <f aca="false">IFERROR(INDEX(設定!$E$61:$E$106,MATCH(B290,設定!$B$61:$B$106,0)),"合算")</f>
        <v>合算</v>
      </c>
      <c r="AB290" s="28"/>
      <c r="AC290" s="29" t="n">
        <f aca="false">IF(OR(G290="",G290="なし"),"",IF(AA290="合算",CJ290+N(Z290),IF(AA290="掛金・負担金別",(AY290+AZ290+BD290+BF290+BH290),SUM(AY290:BC290))))</f>
        <v>5189181</v>
      </c>
      <c r="AD290" s="27"/>
      <c r="AE290" s="29" t="str">
        <f aca="false">IF(OR(G290="",G290="なし"),"",IF(AA290="掛金・負担金別",(BA290+BB290+BC290+BE290+BG290+BI290+N(Z290)),IF(AA290="経理区分別",BD290+BE290,"")))</f>
        <v/>
      </c>
      <c r="AF290" s="27"/>
      <c r="AG290" s="29" t="str">
        <f aca="false">IF(OR(G290="",G290="なし"),"",IF(AA290="経理区分別",BF290+BG290,""))</f>
        <v/>
      </c>
      <c r="AH290" s="27"/>
      <c r="AI290" s="29" t="str">
        <f aca="false">IF(OR(G290="",G290="なし"),"",IF(AA290="経理区分別",BH290+BI290+N(Z290),""))</f>
        <v/>
      </c>
      <c r="AJ290" s="27"/>
      <c r="AK290" s="26" t="s">
        <v>168</v>
      </c>
      <c r="AL290" s="26"/>
      <c r="AM290" s="30"/>
      <c r="AN290" s="31"/>
      <c r="AO290" s="31"/>
      <c r="AP290" s="31"/>
      <c r="AQ290" s="31"/>
      <c r="AR290" s="31"/>
      <c r="AS290" s="31"/>
      <c r="AT290" s="31"/>
      <c r="AU290" s="31"/>
      <c r="AV290" s="31"/>
      <c r="AW290" s="31"/>
      <c r="AX290" s="31"/>
      <c r="AY290" s="31" t="n">
        <f aca="false">IF($G290="",AN290,O290)</f>
        <v>1305705</v>
      </c>
      <c r="AZ290" s="31" t="n">
        <f aca="false">IF($G290="",AO290,P290)</f>
        <v>107025</v>
      </c>
      <c r="BA290" s="31" t="n">
        <f aca="false">IF($G290="",AP290,T290)</f>
        <v>1886250</v>
      </c>
      <c r="BB290" s="31" t="n">
        <f aca="false">IF($G290="",AQ290,U290)</f>
        <v>107025</v>
      </c>
      <c r="BC290" s="31" t="n">
        <f aca="false">IF($G290="",AR290,V290)</f>
        <v>1263</v>
      </c>
      <c r="BD290" s="31" t="n">
        <f aca="false">IF($G290="",AS290,Q290)</f>
        <v>760772</v>
      </c>
      <c r="BE290" s="31" t="n">
        <f aca="false">IF($G290="",AT290,W290)</f>
        <v>773791</v>
      </c>
      <c r="BF290" s="31" t="n">
        <f aca="false">IF($G290="",AU290,R290)</f>
        <v>106808</v>
      </c>
      <c r="BG290" s="31" t="n">
        <f aca="false">IF($G290="",AV290,X290)</f>
        <v>106808</v>
      </c>
      <c r="BH290" s="31" t="n">
        <f aca="false">IF($G290="",AW290,S290)</f>
        <v>16864</v>
      </c>
      <c r="BI290" s="31" t="n">
        <f aca="false">IF($G290="",AX290,Y290)</f>
        <v>16870</v>
      </c>
      <c r="BJ290" s="31" t="n">
        <f aca="false">IF(CK290="N",BR290,ROUNDDOWN((I290-L290)*設定!$B$10/1000,0)+ROUNDDOWN((I290-L290)*設定!$B$11/1000,0))</f>
        <v>0</v>
      </c>
      <c r="BK290" s="31" t="n">
        <f aca="false">ROUNDDOWN((I290-L290)*設定!$C$10/1000,0)+ROUNDDOWN((I290-L290)*設定!$C$11/1000,0)+ROUNDDOWN(I290*設定!$C$12/1000,0)+IF(CL290="市局型",ROUNDDOWN(I290*設定!$C$16/1000,0),0)</f>
        <v>0</v>
      </c>
      <c r="BL290" s="31" t="n">
        <f aca="false">IF(CK290="N",BT290,ROUNDDOWN((J290-M290)*設定!$B$13/1000,0))</f>
        <v>0</v>
      </c>
      <c r="BM290" s="31" t="n">
        <f aca="false">ROUNDDOWN((J290-M290)*設定!$C$13/1000,0)+IF(CL290="市局型",ROUNDDOWN(J290*設定!$C$17/1000,0),0)</f>
        <v>0</v>
      </c>
      <c r="BN290" s="31" t="n">
        <f aca="false">IF(CK290="N",BV290,ROUNDDOWN((K290-N290)*設定!$B$14/1000,0))</f>
        <v>0</v>
      </c>
      <c r="BO290" s="31" t="n">
        <f aca="false">ROUNDDOWN((K290-N290)*設定!$C$14/1000,0)</f>
        <v>0</v>
      </c>
      <c r="BP290" s="31" t="n">
        <f aca="false">IF(CK290="N",BX290,ROUNDDOWN((J290-M290)*設定!$B$15/1000,0))</f>
        <v>0</v>
      </c>
      <c r="BQ290" s="31" t="n">
        <f aca="false">ROUNDDOWN((J290-M290)*設定!$C$15/1000,0)</f>
        <v>0</v>
      </c>
      <c r="BR290" s="31" t="n">
        <f aca="false">O290+P290</f>
        <v>1412730</v>
      </c>
      <c r="BS290" s="31" t="n">
        <f aca="false">T290+U290+V290</f>
        <v>1994538</v>
      </c>
      <c r="BT290" s="31" t="n">
        <f aca="false">Q290</f>
        <v>760772</v>
      </c>
      <c r="BU290" s="31" t="n">
        <f aca="false">W290</f>
        <v>773791</v>
      </c>
      <c r="BV290" s="31" t="n">
        <f aca="false">R290</f>
        <v>106808</v>
      </c>
      <c r="BW290" s="31" t="n">
        <f aca="false">X290</f>
        <v>106808</v>
      </c>
      <c r="BX290" s="31" t="n">
        <f aca="false">S290</f>
        <v>16864</v>
      </c>
      <c r="BY290" s="31" t="n">
        <f aca="false">Y290</f>
        <v>16870</v>
      </c>
      <c r="BZ290" s="32" t="n">
        <f aca="false">IF(BJ290=0,IF(BR290=0,0,1),(BR290-BJ290)/BJ290)</f>
        <v>1</v>
      </c>
      <c r="CA290" s="32" t="n">
        <f aca="false">IF(BK290=0,IF(BS290=0,0,1),(BS290-BK290)/BK290)</f>
        <v>1</v>
      </c>
      <c r="CB290" s="32" t="n">
        <f aca="false">IF(BL290=0,IF(BT290=0,0,1),(BT290-BL290)/BL290)</f>
        <v>1</v>
      </c>
      <c r="CC290" s="32" t="n">
        <f aca="false">IF(BM290=0,IF(BU290=0,0,1),(BU290-BM290)/BM290)</f>
        <v>1</v>
      </c>
      <c r="CD290" s="32" t="n">
        <f aca="false">IF(BN290=0,IF(BV290=0,0,1),(BV290-BN290)/BN290)</f>
        <v>1</v>
      </c>
      <c r="CE290" s="32" t="n">
        <f aca="false">IF(BO290=0,IF(BW290=0,0,1),(BW290-BO290)/BO290)</f>
        <v>1</v>
      </c>
      <c r="CF290" s="32" t="n">
        <f aca="false">IF(BP290=0,IF(BX290=0,0,1),(BX290-BP290)/BP290)</f>
        <v>1</v>
      </c>
      <c r="CG290" s="32" t="n">
        <f aca="false">IF(BQ290=0,IF(BY290=0,0,1),(BY290-BQ290)/BQ290)</f>
        <v>1</v>
      </c>
      <c r="CH290" s="32" t="n">
        <f aca="false">MAX(MAX(BZ290:CG290),-MIN(BZ290:CG290))</f>
        <v>1</v>
      </c>
      <c r="CI290" s="31" t="n">
        <f aca="false">IF(CO290="","",SUMIFS($CJ$7:$CJ$696,$A$7:$A$696,CO290,$B$7:$B$696,B290))</f>
        <v>5235156</v>
      </c>
      <c r="CJ290" s="31" t="n">
        <f aca="false">SUM(AY290:BI290)</f>
        <v>5189181</v>
      </c>
      <c r="CK290" s="31" t="str">
        <f aca="false">IFERROR(INDEX(設定!$F$61:$F$106,MATCH(B290,設定!$B$61:$B$106,0)),"Y")</f>
        <v>Y</v>
      </c>
      <c r="CL290" s="31" t="str">
        <f aca="false">IFERROR(INDEX(設定!$G$61:$G$106,MATCH(B290,設定!$B$61:$B$106,0)),"外郭型")</f>
        <v>市局型</v>
      </c>
      <c r="CM290" s="33" t="str">
        <f aca="false">A290&amp;"|"&amp;B290</f>
        <v>2026-09 月例|監査事務局</v>
      </c>
      <c r="CN290" s="34" t="str">
        <f aca="false">IFERROR(INDEX(設定!$D$61:$D$106,MATCH(B290,設定!$B$61:$B$106,0)),"Y")</f>
        <v>Y</v>
      </c>
      <c r="CO290" s="34" t="str">
        <f aca="false">IFERROR(INDEX(設定!$D$20:$D$34,MATCH(A290,設定!$A$20:$A$34,0))&amp;"","")</f>
        <v>2026-08 月例</v>
      </c>
    </row>
    <row r="291" customFormat="false" ht="15" hidden="true" customHeight="false" outlineLevel="0" collapsed="false">
      <c r="A291" s="22" t="s">
        <v>222</v>
      </c>
      <c r="B291" s="23" t="s">
        <v>176</v>
      </c>
      <c r="C291" s="10" t="str">
        <f aca="false">IF(G291="","未受領",IF(G291="なし","報告なし",IF(AL291="○","起票済",IF(OR(AK291="○",F291="一致",F291="入金不要"),"入金確認済","受領済"))))</f>
        <v>入金確認済</v>
      </c>
      <c r="D291" s="10" t="str">
        <f aca="false">IF(OR(G291="",G291="なし"),"―",IF(CN291="N","対象外",IF(AND(I291="",J291="",K291=""),"標報未入力",IF(CH291&gt;=設定!$B$4,"要確認","問題なし"))))</f>
        <v>標報未入力</v>
      </c>
      <c r="E291" s="24" t="str">
        <f aca="false">IF(OR(G291="",G291="なし",CI291="",CJ291=0),"―",IF(CJ291=CI291,"前月同額",IF(CI291=0,"―",IF(ABS(CJ291/CI291-1)&gt;=設定!$B$5,"変動大 "&amp;TEXT(CJ291/CI291-1,"+0%;-0%"),"〇"))))</f>
        <v>〇</v>
      </c>
      <c r="F291" s="10" t="str">
        <f aca="false">IF(OR(G291="",G291="なし"),"―",IF(CJ291=0,"入金不要",IF(COUNT(AD291,AF291,AH291,AJ291)=0,IF(AK291="○","手動確認","未入金"),IF(AND(N(AD291)=AC291,IF(AE291="",TRUE(),N(AF291)=AE291),IF(AG291="",TRUE(),N(AH291)=AG291),IF(AI291="",TRUE(),N(AJ291)=AI291)),"一致","不一致"))))</f>
        <v>手動確認</v>
      </c>
      <c r="G291" s="25" t="s">
        <v>167</v>
      </c>
      <c r="H291" s="26"/>
      <c r="I291" s="27"/>
      <c r="J291" s="27"/>
      <c r="K291" s="27"/>
      <c r="L291" s="27"/>
      <c r="M291" s="27"/>
      <c r="N291" s="27"/>
      <c r="O291" s="27" t="n">
        <v>401685</v>
      </c>
      <c r="P291" s="27" t="n">
        <v>32925</v>
      </c>
      <c r="Q291" s="27" t="n">
        <v>305452</v>
      </c>
      <c r="R291" s="27" t="n">
        <v>34286</v>
      </c>
      <c r="S291" s="27" t="n">
        <v>6770</v>
      </c>
      <c r="T291" s="27" t="n">
        <v>576846</v>
      </c>
      <c r="U291" s="27" t="n">
        <v>32925</v>
      </c>
      <c r="V291" s="27" t="n">
        <v>381</v>
      </c>
      <c r="W291" s="27" t="n">
        <v>310579</v>
      </c>
      <c r="X291" s="27" t="n">
        <v>34286</v>
      </c>
      <c r="Y291" s="27" t="n">
        <v>6773</v>
      </c>
      <c r="Z291" s="27"/>
      <c r="AA291" s="10" t="str">
        <f aca="false">IFERROR(INDEX(設定!$E$61:$E$106,MATCH(B291,設定!$B$61:$B$106,0)),"合算")</f>
        <v>合算</v>
      </c>
      <c r="AB291" s="28"/>
      <c r="AC291" s="29" t="n">
        <f aca="false">IF(OR(G291="",G291="なし"),"",IF(AA291="合算",CJ291+N(Z291),IF(AA291="掛金・負担金別",(AY291+AZ291+BD291+BF291+BH291),SUM(AY291:BC291))))</f>
        <v>1742908</v>
      </c>
      <c r="AD291" s="27"/>
      <c r="AE291" s="29" t="str">
        <f aca="false">IF(OR(G291="",G291="なし"),"",IF(AA291="掛金・負担金別",(BA291+BB291+BC291+BE291+BG291+BI291+N(Z291)),IF(AA291="経理区分別",BD291+BE291,"")))</f>
        <v/>
      </c>
      <c r="AF291" s="27"/>
      <c r="AG291" s="29" t="str">
        <f aca="false">IF(OR(G291="",G291="なし"),"",IF(AA291="経理区分別",BF291+BG291,""))</f>
        <v/>
      </c>
      <c r="AH291" s="27"/>
      <c r="AI291" s="29" t="str">
        <f aca="false">IF(OR(G291="",G291="なし"),"",IF(AA291="経理区分別",BH291+BI291+N(Z291),""))</f>
        <v/>
      </c>
      <c r="AJ291" s="27"/>
      <c r="AK291" s="26" t="s">
        <v>168</v>
      </c>
      <c r="AL291" s="26"/>
      <c r="AM291" s="30"/>
      <c r="AN291" s="31"/>
      <c r="AO291" s="31"/>
      <c r="AP291" s="31"/>
      <c r="AQ291" s="31"/>
      <c r="AR291" s="31"/>
      <c r="AS291" s="31"/>
      <c r="AT291" s="31"/>
      <c r="AU291" s="31"/>
      <c r="AV291" s="31"/>
      <c r="AW291" s="31"/>
      <c r="AX291" s="31"/>
      <c r="AY291" s="31" t="n">
        <f aca="false">IF($G291="",AN291,O291)</f>
        <v>401685</v>
      </c>
      <c r="AZ291" s="31" t="n">
        <f aca="false">IF($G291="",AO291,P291)</f>
        <v>32925</v>
      </c>
      <c r="BA291" s="31" t="n">
        <f aca="false">IF($G291="",AP291,T291)</f>
        <v>576846</v>
      </c>
      <c r="BB291" s="31" t="n">
        <f aca="false">IF($G291="",AQ291,U291)</f>
        <v>32925</v>
      </c>
      <c r="BC291" s="31" t="n">
        <f aca="false">IF($G291="",AR291,V291)</f>
        <v>381</v>
      </c>
      <c r="BD291" s="31" t="n">
        <f aca="false">IF($G291="",AS291,Q291)</f>
        <v>305452</v>
      </c>
      <c r="BE291" s="31" t="n">
        <f aca="false">IF($G291="",AT291,W291)</f>
        <v>310579</v>
      </c>
      <c r="BF291" s="31" t="n">
        <f aca="false">IF($G291="",AU291,R291)</f>
        <v>34286</v>
      </c>
      <c r="BG291" s="31" t="n">
        <f aca="false">IF($G291="",AV291,X291)</f>
        <v>34286</v>
      </c>
      <c r="BH291" s="31" t="n">
        <f aca="false">IF($G291="",AW291,S291)</f>
        <v>6770</v>
      </c>
      <c r="BI291" s="31" t="n">
        <f aca="false">IF($G291="",AX291,Y291)</f>
        <v>6773</v>
      </c>
      <c r="BJ291" s="31" t="n">
        <f aca="false">IF(CK291="N",BR291,ROUNDDOWN((I291-L291)*設定!$B$10/1000,0)+ROUNDDOWN((I291-L291)*設定!$B$11/1000,0))</f>
        <v>0</v>
      </c>
      <c r="BK291" s="31" t="n">
        <f aca="false">ROUNDDOWN((I291-L291)*設定!$C$10/1000,0)+ROUNDDOWN((I291-L291)*設定!$C$11/1000,0)+ROUNDDOWN(I291*設定!$C$12/1000,0)+IF(CL291="市局型",ROUNDDOWN(I291*設定!$C$16/1000,0),0)</f>
        <v>0</v>
      </c>
      <c r="BL291" s="31" t="n">
        <f aca="false">IF(CK291="N",BT291,ROUNDDOWN((J291-M291)*設定!$B$13/1000,0))</f>
        <v>0</v>
      </c>
      <c r="BM291" s="31" t="n">
        <f aca="false">ROUNDDOWN((J291-M291)*設定!$C$13/1000,0)+IF(CL291="市局型",ROUNDDOWN(J291*設定!$C$17/1000,0),0)</f>
        <v>0</v>
      </c>
      <c r="BN291" s="31" t="n">
        <f aca="false">IF(CK291="N",BV291,ROUNDDOWN((K291-N291)*設定!$B$14/1000,0))</f>
        <v>0</v>
      </c>
      <c r="BO291" s="31" t="n">
        <f aca="false">ROUNDDOWN((K291-N291)*設定!$C$14/1000,0)</f>
        <v>0</v>
      </c>
      <c r="BP291" s="31" t="n">
        <f aca="false">IF(CK291="N",BX291,ROUNDDOWN((J291-M291)*設定!$B$15/1000,0))</f>
        <v>0</v>
      </c>
      <c r="BQ291" s="31" t="n">
        <f aca="false">ROUNDDOWN((J291-M291)*設定!$C$15/1000,0)</f>
        <v>0</v>
      </c>
      <c r="BR291" s="31" t="n">
        <f aca="false">O291+P291</f>
        <v>434610</v>
      </c>
      <c r="BS291" s="31" t="n">
        <f aca="false">T291+U291+V291</f>
        <v>610152</v>
      </c>
      <c r="BT291" s="31" t="n">
        <f aca="false">Q291</f>
        <v>305452</v>
      </c>
      <c r="BU291" s="31" t="n">
        <f aca="false">W291</f>
        <v>310579</v>
      </c>
      <c r="BV291" s="31" t="n">
        <f aca="false">R291</f>
        <v>34286</v>
      </c>
      <c r="BW291" s="31" t="n">
        <f aca="false">X291</f>
        <v>34286</v>
      </c>
      <c r="BX291" s="31" t="n">
        <f aca="false">S291</f>
        <v>6770</v>
      </c>
      <c r="BY291" s="31" t="n">
        <f aca="false">Y291</f>
        <v>6773</v>
      </c>
      <c r="BZ291" s="32" t="n">
        <f aca="false">IF(BJ291=0,IF(BR291=0,0,1),(BR291-BJ291)/BJ291)</f>
        <v>1</v>
      </c>
      <c r="CA291" s="32" t="n">
        <f aca="false">IF(BK291=0,IF(BS291=0,0,1),(BS291-BK291)/BK291)</f>
        <v>1</v>
      </c>
      <c r="CB291" s="32" t="n">
        <f aca="false">IF(BL291=0,IF(BT291=0,0,1),(BT291-BL291)/BL291)</f>
        <v>1</v>
      </c>
      <c r="CC291" s="32" t="n">
        <f aca="false">IF(BM291=0,IF(BU291=0,0,1),(BU291-BM291)/BM291)</f>
        <v>1</v>
      </c>
      <c r="CD291" s="32" t="n">
        <f aca="false">IF(BN291=0,IF(BV291=0,0,1),(BV291-BN291)/BN291)</f>
        <v>1</v>
      </c>
      <c r="CE291" s="32" t="n">
        <f aca="false">IF(BO291=0,IF(BW291=0,0,1),(BW291-BO291)/BO291)</f>
        <v>1</v>
      </c>
      <c r="CF291" s="32" t="n">
        <f aca="false">IF(BP291=0,IF(BX291=0,0,1),(BX291-BP291)/BP291)</f>
        <v>1</v>
      </c>
      <c r="CG291" s="32" t="n">
        <f aca="false">IF(BQ291=0,IF(BY291=0,0,1),(BY291-BQ291)/BQ291)</f>
        <v>1</v>
      </c>
      <c r="CH291" s="32" t="n">
        <f aca="false">MAX(MAX(BZ291:CG291),-MIN(BZ291:CG291))</f>
        <v>1</v>
      </c>
      <c r="CI291" s="31" t="n">
        <f aca="false">IF(CO291="","",SUMIFS($CJ$7:$CJ$696,$A$7:$A$696,CO291,$B$7:$B$696,B291))</f>
        <v>1713570</v>
      </c>
      <c r="CJ291" s="31" t="n">
        <f aca="false">SUM(AY291:BI291)</f>
        <v>1742908</v>
      </c>
      <c r="CK291" s="31" t="str">
        <f aca="false">IFERROR(INDEX(設定!$F$61:$F$106,MATCH(B291,設定!$B$61:$B$106,0)),"Y")</f>
        <v>Y</v>
      </c>
      <c r="CL291" s="31" t="str">
        <f aca="false">IFERROR(INDEX(設定!$G$61:$G$106,MATCH(B291,設定!$B$61:$B$106,0)),"外郭型")</f>
        <v>市局型</v>
      </c>
      <c r="CM291" s="33" t="str">
        <f aca="false">A291&amp;"|"&amp;B291</f>
        <v>2026-09 月例|農業委員会</v>
      </c>
      <c r="CN291" s="34" t="str">
        <f aca="false">IFERROR(INDEX(設定!$D$61:$D$106,MATCH(B291,設定!$B$61:$B$106,0)),"Y")</f>
        <v>Y</v>
      </c>
      <c r="CO291" s="34" t="str">
        <f aca="false">IFERROR(INDEX(設定!$D$20:$D$34,MATCH(A291,設定!$A$20:$A$34,0))&amp;"","")</f>
        <v>2026-08 月例</v>
      </c>
    </row>
    <row r="292" customFormat="false" ht="15" hidden="true" customHeight="false" outlineLevel="0" collapsed="false">
      <c r="A292" s="22" t="s">
        <v>222</v>
      </c>
      <c r="B292" s="23" t="s">
        <v>177</v>
      </c>
      <c r="C292" s="10" t="str">
        <f aca="false">IF(G292="","未受領",IF(G292="なし","報告なし",IF(AL292="○","起票済",IF(OR(AK292="○",F292="一致",F292="入金不要"),"入金確認済","受領済"))))</f>
        <v>入金確認済</v>
      </c>
      <c r="D292" s="10" t="str">
        <f aca="false">IF(OR(G292="",G292="なし"),"―",IF(CN292="N","対象外",IF(AND(I292="",J292="",K292=""),"標報未入力",IF(CH292&gt;=設定!$B$4,"要確認","問題なし"))))</f>
        <v>対象外</v>
      </c>
      <c r="E292" s="24" t="str">
        <f aca="false">IF(OR(G292="",G292="なし",CI292="",CJ292=0),"―",IF(CJ292=CI292,"前月同額",IF(CI292=0,"―",IF(ABS(CJ292/CI292-1)&gt;=設定!$B$5,"変動大 "&amp;TEXT(CJ292/CI292-1,"+0%;-0%"),"〇"))))</f>
        <v>〇</v>
      </c>
      <c r="F292" s="10" t="str">
        <f aca="false">IF(OR(G292="",G292="なし"),"―",IF(CJ292=0,"入金不要",IF(COUNT(AD292,AF292,AH292,AJ292)=0,IF(AK292="○","手動確認","未入金"),IF(AND(N(AD292)=AC292,IF(AE292="",TRUE(),N(AF292)=AE292),IF(AG292="",TRUE(),N(AH292)=AG292),IF(AI292="",TRUE(),N(AJ292)=AI292)),"一致","不一致"))))</f>
        <v>手動確認</v>
      </c>
      <c r="G292" s="25" t="s">
        <v>167</v>
      </c>
      <c r="H292" s="26"/>
      <c r="I292" s="27"/>
      <c r="J292" s="27"/>
      <c r="K292" s="27"/>
      <c r="L292" s="27"/>
      <c r="M292" s="27"/>
      <c r="N292" s="27"/>
      <c r="O292" s="27" t="n">
        <v>23100090</v>
      </c>
      <c r="P292" s="27" t="n">
        <v>1893450</v>
      </c>
      <c r="Q292" s="27" t="n">
        <v>13765012</v>
      </c>
      <c r="R292" s="27" t="n">
        <v>1381939</v>
      </c>
      <c r="S292" s="27" t="n">
        <v>305093</v>
      </c>
      <c r="T292" s="27" t="n">
        <v>33230730</v>
      </c>
      <c r="U292" s="27" t="n">
        <v>1893450</v>
      </c>
      <c r="V292" s="27" t="n">
        <v>22229</v>
      </c>
      <c r="W292" s="27" t="n">
        <v>13995454</v>
      </c>
      <c r="X292" s="27" t="n">
        <v>1381939</v>
      </c>
      <c r="Y292" s="27" t="n">
        <v>305196</v>
      </c>
      <c r="Z292" s="27"/>
      <c r="AA292" s="10" t="str">
        <f aca="false">IFERROR(INDEX(設定!$E$61:$E$106,MATCH(B292,設定!$B$61:$B$106,0)),"合算")</f>
        <v>合算</v>
      </c>
      <c r="AB292" s="28"/>
      <c r="AC292" s="29" t="n">
        <f aca="false">IF(OR(G292="",G292="なし"),"",IF(AA292="合算",CJ292+N(Z292),IF(AA292="掛金・負担金別",(AY292+AZ292+BD292+BF292+BH292),SUM(AY292:BC292))))</f>
        <v>91274582</v>
      </c>
      <c r="AD292" s="27"/>
      <c r="AE292" s="29" t="str">
        <f aca="false">IF(OR(G292="",G292="なし"),"",IF(AA292="掛金・負担金別",(BA292+BB292+BC292+BE292+BG292+BI292+N(Z292)),IF(AA292="経理区分別",BD292+BE292,"")))</f>
        <v/>
      </c>
      <c r="AF292" s="27"/>
      <c r="AG292" s="29" t="str">
        <f aca="false">IF(OR(G292="",G292="なし"),"",IF(AA292="経理区分別",BF292+BG292,""))</f>
        <v/>
      </c>
      <c r="AH292" s="27"/>
      <c r="AI292" s="29" t="str">
        <f aca="false">IF(OR(G292="",G292="なし"),"",IF(AA292="経理区分別",BH292+BI292+N(Z292),""))</f>
        <v/>
      </c>
      <c r="AJ292" s="27"/>
      <c r="AK292" s="26" t="s">
        <v>168</v>
      </c>
      <c r="AL292" s="26"/>
      <c r="AM292" s="30"/>
      <c r="AN292" s="31"/>
      <c r="AO292" s="31"/>
      <c r="AP292" s="31"/>
      <c r="AQ292" s="31"/>
      <c r="AR292" s="31"/>
      <c r="AS292" s="31"/>
      <c r="AT292" s="31"/>
      <c r="AU292" s="31"/>
      <c r="AV292" s="31"/>
      <c r="AW292" s="31"/>
      <c r="AX292" s="31"/>
      <c r="AY292" s="31" t="n">
        <f aca="false">IF($G292="",AN292,O292)</f>
        <v>23100090</v>
      </c>
      <c r="AZ292" s="31" t="n">
        <f aca="false">IF($G292="",AO292,P292)</f>
        <v>1893450</v>
      </c>
      <c r="BA292" s="31" t="n">
        <f aca="false">IF($G292="",AP292,T292)</f>
        <v>33230730</v>
      </c>
      <c r="BB292" s="31" t="n">
        <f aca="false">IF($G292="",AQ292,U292)</f>
        <v>1893450</v>
      </c>
      <c r="BC292" s="31" t="n">
        <f aca="false">IF($G292="",AR292,V292)</f>
        <v>22229</v>
      </c>
      <c r="BD292" s="31" t="n">
        <f aca="false">IF($G292="",AS292,Q292)</f>
        <v>13765012</v>
      </c>
      <c r="BE292" s="31" t="n">
        <f aca="false">IF($G292="",AT292,W292)</f>
        <v>13995454</v>
      </c>
      <c r="BF292" s="31" t="n">
        <f aca="false">IF($G292="",AU292,R292)</f>
        <v>1381939</v>
      </c>
      <c r="BG292" s="31" t="n">
        <f aca="false">IF($G292="",AV292,X292)</f>
        <v>1381939</v>
      </c>
      <c r="BH292" s="31" t="n">
        <f aca="false">IF($G292="",AW292,S292)</f>
        <v>305093</v>
      </c>
      <c r="BI292" s="31" t="n">
        <f aca="false">IF($G292="",AX292,Y292)</f>
        <v>305196</v>
      </c>
      <c r="BJ292" s="31" t="n">
        <f aca="false">IF(CK292="N",BR292,ROUNDDOWN((I292-L292)*設定!$B$10/1000,0)+ROUNDDOWN((I292-L292)*設定!$B$11/1000,0))</f>
        <v>0</v>
      </c>
      <c r="BK292" s="31" t="n">
        <f aca="false">ROUNDDOWN((I292-L292)*設定!$C$10/1000,0)+ROUNDDOWN((I292-L292)*設定!$C$11/1000,0)+ROUNDDOWN(I292*設定!$C$12/1000,0)+IF(CL292="市局型",ROUNDDOWN(I292*設定!$C$16/1000,0),0)</f>
        <v>0</v>
      </c>
      <c r="BL292" s="31" t="n">
        <f aca="false">IF(CK292="N",BT292,ROUNDDOWN((J292-M292)*設定!$B$13/1000,0))</f>
        <v>0</v>
      </c>
      <c r="BM292" s="31" t="n">
        <f aca="false">ROUNDDOWN((J292-M292)*設定!$C$13/1000,0)+IF(CL292="市局型",ROUNDDOWN(J292*設定!$C$17/1000,0),0)</f>
        <v>0</v>
      </c>
      <c r="BN292" s="31" t="n">
        <f aca="false">IF(CK292="N",BV292,ROUNDDOWN((K292-N292)*設定!$B$14/1000,0))</f>
        <v>0</v>
      </c>
      <c r="BO292" s="31" t="n">
        <f aca="false">ROUNDDOWN((K292-N292)*設定!$C$14/1000,0)</f>
        <v>0</v>
      </c>
      <c r="BP292" s="31" t="n">
        <f aca="false">IF(CK292="N",BX292,ROUNDDOWN((J292-M292)*設定!$B$15/1000,0))</f>
        <v>0</v>
      </c>
      <c r="BQ292" s="31" t="n">
        <f aca="false">ROUNDDOWN((J292-M292)*設定!$C$15/1000,0)</f>
        <v>0</v>
      </c>
      <c r="BR292" s="31" t="n">
        <f aca="false">O292+P292</f>
        <v>24993540</v>
      </c>
      <c r="BS292" s="31" t="n">
        <f aca="false">T292+U292+V292</f>
        <v>35146409</v>
      </c>
      <c r="BT292" s="31" t="n">
        <f aca="false">Q292</f>
        <v>13765012</v>
      </c>
      <c r="BU292" s="31" t="n">
        <f aca="false">W292</f>
        <v>13995454</v>
      </c>
      <c r="BV292" s="31" t="n">
        <f aca="false">R292</f>
        <v>1381939</v>
      </c>
      <c r="BW292" s="31" t="n">
        <f aca="false">X292</f>
        <v>1381939</v>
      </c>
      <c r="BX292" s="31" t="n">
        <f aca="false">S292</f>
        <v>305093</v>
      </c>
      <c r="BY292" s="31" t="n">
        <f aca="false">Y292</f>
        <v>305196</v>
      </c>
      <c r="BZ292" s="32" t="n">
        <f aca="false">IF(BJ292=0,IF(BR292=0,0,1),(BR292-BJ292)/BJ292)</f>
        <v>1</v>
      </c>
      <c r="CA292" s="32" t="n">
        <f aca="false">IF(BK292=0,IF(BS292=0,0,1),(BS292-BK292)/BK292)</f>
        <v>1</v>
      </c>
      <c r="CB292" s="32" t="n">
        <f aca="false">IF(BL292=0,IF(BT292=0,0,1),(BT292-BL292)/BL292)</f>
        <v>1</v>
      </c>
      <c r="CC292" s="32" t="n">
        <f aca="false">IF(BM292=0,IF(BU292=0,0,1),(BU292-BM292)/BM292)</f>
        <v>1</v>
      </c>
      <c r="CD292" s="32" t="n">
        <f aca="false">IF(BN292=0,IF(BV292=0,0,1),(BV292-BN292)/BN292)</f>
        <v>1</v>
      </c>
      <c r="CE292" s="32" t="n">
        <f aca="false">IF(BO292=0,IF(BW292=0,0,1),(BW292-BO292)/BO292)</f>
        <v>1</v>
      </c>
      <c r="CF292" s="32" t="n">
        <f aca="false">IF(BP292=0,IF(BX292=0,0,1),(BX292-BP292)/BP292)</f>
        <v>1</v>
      </c>
      <c r="CG292" s="32" t="n">
        <f aca="false">IF(BQ292=0,IF(BY292=0,0,1),(BY292-BQ292)/BQ292)</f>
        <v>1</v>
      </c>
      <c r="CH292" s="32" t="n">
        <f aca="false">MAX(MAX(BZ292:CG292),-MIN(BZ292:CG292))</f>
        <v>1</v>
      </c>
      <c r="CI292" s="31" t="n">
        <f aca="false">IF(CO292="","",SUMIFS($CJ$7:$CJ$696,$A$7:$A$696,CO292,$B$7:$B$696,B292))</f>
        <v>89661519</v>
      </c>
      <c r="CJ292" s="31" t="n">
        <f aca="false">SUM(AY292:BI292)</f>
        <v>91274582</v>
      </c>
      <c r="CK292" s="31" t="str">
        <f aca="false">IFERROR(INDEX(設定!$F$61:$F$106,MATCH(B292,設定!$B$61:$B$106,0)),"Y")</f>
        <v>Y</v>
      </c>
      <c r="CL292" s="31" t="str">
        <f aca="false">IFERROR(INDEX(設定!$G$61:$G$106,MATCH(B292,設定!$B$61:$B$106,0)),"外郭型")</f>
        <v>市局型</v>
      </c>
      <c r="CM292" s="33" t="str">
        <f aca="false">A292&amp;"|"&amp;B292</f>
        <v>2026-09 月例|水道局</v>
      </c>
      <c r="CN292" s="34" t="str">
        <f aca="false">IFERROR(INDEX(設定!$D$61:$D$106,MATCH(B292,設定!$B$61:$B$106,0)),"Y")</f>
        <v>N</v>
      </c>
      <c r="CO292" s="34" t="str">
        <f aca="false">IFERROR(INDEX(設定!$D$20:$D$34,MATCH(A292,設定!$A$20:$A$34,0))&amp;"","")</f>
        <v>2026-08 月例</v>
      </c>
    </row>
    <row r="293" customFormat="false" ht="15" hidden="true" customHeight="false" outlineLevel="0" collapsed="false">
      <c r="A293" s="22" t="s">
        <v>222</v>
      </c>
      <c r="B293" s="23" t="s">
        <v>178</v>
      </c>
      <c r="C293" s="10" t="str">
        <f aca="false">IF(G293="","未受領",IF(G293="なし","報告なし",IF(AL293="○","起票済",IF(OR(AK293="○",F293="一致",F293="入金不要"),"入金確認済","受領済"))))</f>
        <v>入金確認済</v>
      </c>
      <c r="D293" s="10" t="str">
        <f aca="false">IF(OR(G293="",G293="なし"),"―",IF(CN293="N","対象外",IF(AND(I293="",J293="",K293=""),"標報未入力",IF(CH293&gt;=設定!$B$4,"要確認","問題なし"))))</f>
        <v>標報未入力</v>
      </c>
      <c r="E293" s="24" t="str">
        <f aca="false">IF(OR(G293="",G293="なし",CI293="",CJ293=0),"―",IF(CJ293=CI293,"前月同額",IF(CI293=0,"―",IF(ABS(CJ293/CI293-1)&gt;=設定!$B$5,"変動大 "&amp;TEXT(CJ293/CI293-1,"+0%;-0%"),"〇"))))</f>
        <v>前月同額</v>
      </c>
      <c r="F293" s="10" t="str">
        <f aca="false">IF(OR(G293="",G293="なし"),"―",IF(CJ293=0,"入金不要",IF(COUNT(AD293,AF293,AH293,AJ293)=0,IF(AK293="○","手動確認","未入金"),IF(AND(N(AD293)=AC293,IF(AE293="",TRUE(),N(AF293)=AE293),IF(AG293="",TRUE(),N(AH293)=AG293),IF(AI293="",TRUE(),N(AJ293)=AI293)),"一致","不一致"))))</f>
        <v>手動確認</v>
      </c>
      <c r="G293" s="25" t="s">
        <v>167</v>
      </c>
      <c r="H293" s="26"/>
      <c r="I293" s="27"/>
      <c r="J293" s="27"/>
      <c r="K293" s="27"/>
      <c r="L293" s="27"/>
      <c r="M293" s="27"/>
      <c r="N293" s="27"/>
      <c r="O293" s="27" t="n">
        <v>48495</v>
      </c>
      <c r="P293" s="27" t="n">
        <v>3975</v>
      </c>
      <c r="Q293" s="27" t="n">
        <v>27485</v>
      </c>
      <c r="R293" s="27" t="n">
        <v>4187</v>
      </c>
      <c r="S293" s="27" t="n">
        <v>609</v>
      </c>
      <c r="T293" s="27" t="n">
        <v>69642</v>
      </c>
      <c r="U293" s="27" t="n">
        <v>3975</v>
      </c>
      <c r="V293" s="27" t="n">
        <v>46</v>
      </c>
      <c r="W293" s="27" t="n">
        <v>27946</v>
      </c>
      <c r="X293" s="27" t="n">
        <v>4187</v>
      </c>
      <c r="Y293" s="27" t="n">
        <v>609</v>
      </c>
      <c r="Z293" s="27"/>
      <c r="AA293" s="10" t="str">
        <f aca="false">IFERROR(INDEX(設定!$E$61:$E$106,MATCH(B293,設定!$B$61:$B$106,0)),"合算")</f>
        <v>合算</v>
      </c>
      <c r="AB293" s="28"/>
      <c r="AC293" s="29" t="n">
        <f aca="false">IF(OR(G293="",G293="なし"),"",IF(AA293="合算",CJ293+N(Z293),IF(AA293="掛金・負担金別",(AY293+AZ293+BD293+BF293+BH293),SUM(AY293:BC293))))</f>
        <v>191156</v>
      </c>
      <c r="AD293" s="27"/>
      <c r="AE293" s="29" t="str">
        <f aca="false">IF(OR(G293="",G293="なし"),"",IF(AA293="掛金・負担金別",(BA293+BB293+BC293+BE293+BG293+BI293+N(Z293)),IF(AA293="経理区分別",BD293+BE293,"")))</f>
        <v/>
      </c>
      <c r="AF293" s="27"/>
      <c r="AG293" s="29" t="str">
        <f aca="false">IF(OR(G293="",G293="なし"),"",IF(AA293="経理区分別",BF293+BG293,""))</f>
        <v/>
      </c>
      <c r="AH293" s="27"/>
      <c r="AI293" s="29" t="str">
        <f aca="false">IF(OR(G293="",G293="なし"),"",IF(AA293="経理区分別",BH293+BI293+N(Z293),""))</f>
        <v/>
      </c>
      <c r="AJ293" s="27"/>
      <c r="AK293" s="26" t="s">
        <v>168</v>
      </c>
      <c r="AL293" s="26"/>
      <c r="AM293" s="30"/>
      <c r="AN293" s="31"/>
      <c r="AO293" s="31"/>
      <c r="AP293" s="31"/>
      <c r="AQ293" s="31"/>
      <c r="AR293" s="31"/>
      <c r="AS293" s="31"/>
      <c r="AT293" s="31"/>
      <c r="AU293" s="31"/>
      <c r="AV293" s="31"/>
      <c r="AW293" s="31"/>
      <c r="AX293" s="31"/>
      <c r="AY293" s="31" t="n">
        <f aca="false">IF($G293="",AN293,O293)</f>
        <v>48495</v>
      </c>
      <c r="AZ293" s="31" t="n">
        <f aca="false">IF($G293="",AO293,P293)</f>
        <v>3975</v>
      </c>
      <c r="BA293" s="31" t="n">
        <f aca="false">IF($G293="",AP293,T293)</f>
        <v>69642</v>
      </c>
      <c r="BB293" s="31" t="n">
        <f aca="false">IF($G293="",AQ293,U293)</f>
        <v>3975</v>
      </c>
      <c r="BC293" s="31" t="n">
        <f aca="false">IF($G293="",AR293,V293)</f>
        <v>46</v>
      </c>
      <c r="BD293" s="31" t="n">
        <f aca="false">IF($G293="",AS293,Q293)</f>
        <v>27485</v>
      </c>
      <c r="BE293" s="31" t="n">
        <f aca="false">IF($G293="",AT293,W293)</f>
        <v>27946</v>
      </c>
      <c r="BF293" s="31" t="n">
        <f aca="false">IF($G293="",AU293,R293)</f>
        <v>4187</v>
      </c>
      <c r="BG293" s="31" t="n">
        <f aca="false">IF($G293="",AV293,X293)</f>
        <v>4187</v>
      </c>
      <c r="BH293" s="31" t="n">
        <f aca="false">IF($G293="",AW293,S293)</f>
        <v>609</v>
      </c>
      <c r="BI293" s="31" t="n">
        <f aca="false">IF($G293="",AX293,Y293)</f>
        <v>609</v>
      </c>
      <c r="BJ293" s="31" t="n">
        <f aca="false">IF(CK293="N",BR293,ROUNDDOWN((I293-L293)*設定!$B$10/1000,0)+ROUNDDOWN((I293-L293)*設定!$B$11/1000,0))</f>
        <v>0</v>
      </c>
      <c r="BK293" s="31" t="n">
        <f aca="false">ROUNDDOWN((I293-L293)*設定!$C$10/1000,0)+ROUNDDOWN((I293-L293)*設定!$C$11/1000,0)+ROUNDDOWN(I293*設定!$C$12/1000,0)+IF(CL293="市局型",ROUNDDOWN(I293*設定!$C$16/1000,0),0)</f>
        <v>0</v>
      </c>
      <c r="BL293" s="31" t="n">
        <f aca="false">IF(CK293="N",BT293,ROUNDDOWN((J293-M293)*設定!$B$13/1000,0))</f>
        <v>0</v>
      </c>
      <c r="BM293" s="31" t="n">
        <f aca="false">ROUNDDOWN((J293-M293)*設定!$C$13/1000,0)+IF(CL293="市局型",ROUNDDOWN(J293*設定!$C$17/1000,0),0)</f>
        <v>0</v>
      </c>
      <c r="BN293" s="31" t="n">
        <f aca="false">IF(CK293="N",BV293,ROUNDDOWN((K293-N293)*設定!$B$14/1000,0))</f>
        <v>0</v>
      </c>
      <c r="BO293" s="31" t="n">
        <f aca="false">ROUNDDOWN((K293-N293)*設定!$C$14/1000,0)</f>
        <v>0</v>
      </c>
      <c r="BP293" s="31" t="n">
        <f aca="false">IF(CK293="N",BX293,ROUNDDOWN((J293-M293)*設定!$B$15/1000,0))</f>
        <v>0</v>
      </c>
      <c r="BQ293" s="31" t="n">
        <f aca="false">ROUNDDOWN((J293-M293)*設定!$C$15/1000,0)</f>
        <v>0</v>
      </c>
      <c r="BR293" s="31" t="n">
        <f aca="false">O293+P293</f>
        <v>52470</v>
      </c>
      <c r="BS293" s="31" t="n">
        <f aca="false">T293+U293+V293</f>
        <v>73663</v>
      </c>
      <c r="BT293" s="31" t="n">
        <f aca="false">Q293</f>
        <v>27485</v>
      </c>
      <c r="BU293" s="31" t="n">
        <f aca="false">W293</f>
        <v>27946</v>
      </c>
      <c r="BV293" s="31" t="n">
        <f aca="false">R293</f>
        <v>4187</v>
      </c>
      <c r="BW293" s="31" t="n">
        <f aca="false">X293</f>
        <v>4187</v>
      </c>
      <c r="BX293" s="31" t="n">
        <f aca="false">S293</f>
        <v>609</v>
      </c>
      <c r="BY293" s="31" t="n">
        <f aca="false">Y293</f>
        <v>609</v>
      </c>
      <c r="BZ293" s="32" t="n">
        <f aca="false">IF(BJ293=0,IF(BR293=0,0,1),(BR293-BJ293)/BJ293)</f>
        <v>1</v>
      </c>
      <c r="CA293" s="32" t="n">
        <f aca="false">IF(BK293=0,IF(BS293=0,0,1),(BS293-BK293)/BK293)</f>
        <v>1</v>
      </c>
      <c r="CB293" s="32" t="n">
        <f aca="false">IF(BL293=0,IF(BT293=0,0,1),(BT293-BL293)/BL293)</f>
        <v>1</v>
      </c>
      <c r="CC293" s="32" t="n">
        <f aca="false">IF(BM293=0,IF(BU293=0,0,1),(BU293-BM293)/BM293)</f>
        <v>1</v>
      </c>
      <c r="CD293" s="32" t="n">
        <f aca="false">IF(BN293=0,IF(BV293=0,0,1),(BV293-BN293)/BN293)</f>
        <v>1</v>
      </c>
      <c r="CE293" s="32" t="n">
        <f aca="false">IF(BO293=0,IF(BW293=0,0,1),(BW293-BO293)/BO293)</f>
        <v>1</v>
      </c>
      <c r="CF293" s="32" t="n">
        <f aca="false">IF(BP293=0,IF(BX293=0,0,1),(BX293-BP293)/BP293)</f>
        <v>1</v>
      </c>
      <c r="CG293" s="32" t="n">
        <f aca="false">IF(BQ293=0,IF(BY293=0,0,1),(BY293-BQ293)/BQ293)</f>
        <v>1</v>
      </c>
      <c r="CH293" s="32" t="n">
        <f aca="false">MAX(MAX(BZ293:CG293),-MIN(BZ293:CG293))</f>
        <v>1</v>
      </c>
      <c r="CI293" s="31" t="n">
        <f aca="false">IF(CO293="","",SUMIFS($CJ$7:$CJ$696,$A$7:$A$696,CO293,$B$7:$B$696,B293))</f>
        <v>191156</v>
      </c>
      <c r="CJ293" s="31" t="n">
        <f aca="false">SUM(AY293:BI293)</f>
        <v>191156</v>
      </c>
      <c r="CK293" s="31" t="str">
        <f aca="false">IFERROR(INDEX(設定!$F$61:$F$106,MATCH(B293,設定!$B$61:$B$106,0)),"Y")</f>
        <v>Y</v>
      </c>
      <c r="CL293" s="31" t="str">
        <f aca="false">IFERROR(INDEX(設定!$G$61:$G$106,MATCH(B293,設定!$B$61:$B$106,0)),"外郭型")</f>
        <v>市局型</v>
      </c>
      <c r="CM293" s="33" t="str">
        <f aca="false">A293&amp;"|"&amp;B293</f>
        <v>2026-09 月例|医療政策課(安芸市民)</v>
      </c>
      <c r="CN293" s="34" t="str">
        <f aca="false">IFERROR(INDEX(設定!$D$61:$D$106,MATCH(B293,設定!$B$61:$B$106,0)),"Y")</f>
        <v>Y</v>
      </c>
      <c r="CO293" s="34" t="str">
        <f aca="false">IFERROR(INDEX(設定!$D$20:$D$34,MATCH(A293,設定!$A$20:$A$34,0))&amp;"","")</f>
        <v>2026-08 月例</v>
      </c>
    </row>
    <row r="294" customFormat="false" ht="15" hidden="true" customHeight="false" outlineLevel="0" collapsed="false">
      <c r="A294" s="22" t="s">
        <v>222</v>
      </c>
      <c r="B294" s="23" t="s">
        <v>179</v>
      </c>
      <c r="C294" s="10" t="str">
        <f aca="false">IF(G294="","未受領",IF(G294="なし","報告なし",IF(AL294="○","起票済",IF(OR(AK294="○",F294="一致",F294="入金不要"),"入金確認済","受領済"))))</f>
        <v>入金確認済</v>
      </c>
      <c r="D294" s="10" t="str">
        <f aca="false">IF(OR(G294="",G294="なし"),"―",IF(CN294="N","対象外",IF(AND(I294="",J294="",K294=""),"標報未入力",IF(CH294&gt;=設定!$B$4,"要確認","問題なし"))))</f>
        <v>標報未入力</v>
      </c>
      <c r="E294" s="24" t="str">
        <f aca="false">IF(OR(G294="",G294="なし",CI294="",CJ294=0),"―",IF(CJ294=CI294,"前月同額",IF(CI294=0,"―",IF(ABS(CJ294/CI294-1)&gt;=設定!$B$5,"変動大 "&amp;TEXT(CJ294/CI294-1,"+0%;-0%"),"〇"))))</f>
        <v>〇</v>
      </c>
      <c r="F294" s="10" t="str">
        <f aca="false">IF(OR(G294="",G294="なし"),"―",IF(CJ294=0,"入金不要",IF(COUNT(AD294,AF294,AH294,AJ294)=0,IF(AK294="○","手動確認","未入金"),IF(AND(N(AD294)=AC294,IF(AE294="",TRUE(),N(AF294)=AE294),IF(AG294="",TRUE(),N(AH294)=AG294),IF(AI294="",TRUE(),N(AJ294)=AI294)),"一致","不一致"))))</f>
        <v>手動確認</v>
      </c>
      <c r="G294" s="25" t="s">
        <v>167</v>
      </c>
      <c r="H294" s="26"/>
      <c r="I294" s="27"/>
      <c r="J294" s="27"/>
      <c r="K294" s="27"/>
      <c r="L294" s="27"/>
      <c r="M294" s="27"/>
      <c r="N294" s="27"/>
      <c r="O294" s="27" t="n">
        <v>0</v>
      </c>
      <c r="P294" s="27" t="n">
        <v>0</v>
      </c>
      <c r="Q294" s="27" t="n">
        <v>261885</v>
      </c>
      <c r="R294" s="27" t="n">
        <v>10507</v>
      </c>
      <c r="S294" s="27" t="n">
        <v>5803</v>
      </c>
      <c r="T294" s="27"/>
      <c r="U294" s="27"/>
      <c r="V294" s="27" t="n">
        <v>0</v>
      </c>
      <c r="W294" s="27" t="n">
        <v>266286</v>
      </c>
      <c r="X294" s="27" t="n">
        <v>10507</v>
      </c>
      <c r="Y294" s="27" t="n">
        <v>5807</v>
      </c>
      <c r="Z294" s="27"/>
      <c r="AA294" s="10" t="str">
        <f aca="false">IFERROR(INDEX(設定!$E$61:$E$106,MATCH(B294,設定!$B$61:$B$106,0)),"合算")</f>
        <v>合算</v>
      </c>
      <c r="AB294" s="28"/>
      <c r="AC294" s="29" t="n">
        <f aca="false">IF(OR(G294="",G294="なし"),"",IF(AA294="合算",CJ294+N(Z294),IF(AA294="掛金・負担金別",(AY294+AZ294+BD294+BF294+BH294),SUM(AY294:BC294))))</f>
        <v>560795</v>
      </c>
      <c r="AD294" s="27"/>
      <c r="AE294" s="29" t="str">
        <f aca="false">IF(OR(G294="",G294="なし"),"",IF(AA294="掛金・負担金別",(BA294+BB294+BC294+BE294+BG294+BI294+N(Z294)),IF(AA294="経理区分別",BD294+BE294,"")))</f>
        <v/>
      </c>
      <c r="AF294" s="27"/>
      <c r="AG294" s="29" t="str">
        <f aca="false">IF(OR(G294="",G294="なし"),"",IF(AA294="経理区分別",BF294+BG294,""))</f>
        <v/>
      </c>
      <c r="AH294" s="27"/>
      <c r="AI294" s="29" t="str">
        <f aca="false">IF(OR(G294="",G294="なし"),"",IF(AA294="経理区分別",BH294+BI294+N(Z294),""))</f>
        <v/>
      </c>
      <c r="AJ294" s="27"/>
      <c r="AK294" s="26" t="s">
        <v>168</v>
      </c>
      <c r="AL294" s="26"/>
      <c r="AM294" s="30"/>
      <c r="AN294" s="31"/>
      <c r="AO294" s="31"/>
      <c r="AP294" s="31"/>
      <c r="AQ294" s="31"/>
      <c r="AR294" s="31"/>
      <c r="AS294" s="31"/>
      <c r="AT294" s="31"/>
      <c r="AU294" s="31"/>
      <c r="AV294" s="31"/>
      <c r="AW294" s="31"/>
      <c r="AX294" s="31"/>
      <c r="AY294" s="31" t="n">
        <f aca="false">IF($G294="",AN294,O294)</f>
        <v>0</v>
      </c>
      <c r="AZ294" s="31" t="n">
        <f aca="false">IF($G294="",AO294,P294)</f>
        <v>0</v>
      </c>
      <c r="BA294" s="31" t="n">
        <f aca="false">IF($G294="",AP294,T294)</f>
        <v>0</v>
      </c>
      <c r="BB294" s="31" t="n">
        <f aca="false">IF($G294="",AQ294,U294)</f>
        <v>0</v>
      </c>
      <c r="BC294" s="31" t="n">
        <f aca="false">IF($G294="",AR294,V294)</f>
        <v>0</v>
      </c>
      <c r="BD294" s="31" t="n">
        <f aca="false">IF($G294="",AS294,Q294)</f>
        <v>261885</v>
      </c>
      <c r="BE294" s="31" t="n">
        <f aca="false">IF($G294="",AT294,W294)</f>
        <v>266286</v>
      </c>
      <c r="BF294" s="31" t="n">
        <f aca="false">IF($G294="",AU294,R294)</f>
        <v>10507</v>
      </c>
      <c r="BG294" s="31" t="n">
        <f aca="false">IF($G294="",AV294,X294)</f>
        <v>10507</v>
      </c>
      <c r="BH294" s="31" t="n">
        <f aca="false">IF($G294="",AW294,S294)</f>
        <v>5803</v>
      </c>
      <c r="BI294" s="31" t="n">
        <f aca="false">IF($G294="",AX294,Y294)</f>
        <v>5807</v>
      </c>
      <c r="BJ294" s="31" t="n">
        <f aca="false">IF(CK294="N",BR294,ROUNDDOWN((I294-L294)*設定!$B$10/1000,0)+ROUNDDOWN((I294-L294)*設定!$B$11/1000,0))</f>
        <v>0</v>
      </c>
      <c r="BK294" s="31" t="n">
        <f aca="false">ROUNDDOWN((I294-L294)*設定!$C$10/1000,0)+ROUNDDOWN((I294-L294)*設定!$C$11/1000,0)+ROUNDDOWN(I294*設定!$C$12/1000,0)+IF(CL294="市局型",ROUNDDOWN(I294*設定!$C$16/1000,0),0)</f>
        <v>0</v>
      </c>
      <c r="BL294" s="31" t="n">
        <f aca="false">IF(CK294="N",BT294,ROUNDDOWN((J294-M294)*設定!$B$13/1000,0))</f>
        <v>0</v>
      </c>
      <c r="BM294" s="31" t="n">
        <f aca="false">ROUNDDOWN((J294-M294)*設定!$C$13/1000,0)+IF(CL294="市局型",ROUNDDOWN(J294*設定!$C$17/1000,0),0)</f>
        <v>0</v>
      </c>
      <c r="BN294" s="31" t="n">
        <f aca="false">IF(CK294="N",BV294,ROUNDDOWN((K294-N294)*設定!$B$14/1000,0))</f>
        <v>0</v>
      </c>
      <c r="BO294" s="31" t="n">
        <f aca="false">ROUNDDOWN((K294-N294)*設定!$C$14/1000,0)</f>
        <v>0</v>
      </c>
      <c r="BP294" s="31" t="n">
        <f aca="false">IF(CK294="N",BX294,ROUNDDOWN((J294-M294)*設定!$B$15/1000,0))</f>
        <v>0</v>
      </c>
      <c r="BQ294" s="31" t="n">
        <f aca="false">ROUNDDOWN((J294-M294)*設定!$C$15/1000,0)</f>
        <v>0</v>
      </c>
      <c r="BR294" s="31" t="n">
        <f aca="false">O294+P294</f>
        <v>0</v>
      </c>
      <c r="BS294" s="31" t="n">
        <f aca="false">T294+U294+V294</f>
        <v>0</v>
      </c>
      <c r="BT294" s="31" t="n">
        <f aca="false">Q294</f>
        <v>261885</v>
      </c>
      <c r="BU294" s="31" t="n">
        <f aca="false">W294</f>
        <v>266286</v>
      </c>
      <c r="BV294" s="31" t="n">
        <f aca="false">R294</f>
        <v>10507</v>
      </c>
      <c r="BW294" s="31" t="n">
        <f aca="false">X294</f>
        <v>10507</v>
      </c>
      <c r="BX294" s="31" t="n">
        <f aca="false">S294</f>
        <v>5803</v>
      </c>
      <c r="BY294" s="31" t="n">
        <f aca="false">Y294</f>
        <v>5807</v>
      </c>
      <c r="BZ294" s="32" t="n">
        <f aca="false">IF(BJ294=0,IF(BR294=0,0,1),(BR294-BJ294)/BJ294)</f>
        <v>0</v>
      </c>
      <c r="CA294" s="32" t="n">
        <f aca="false">IF(BK294=0,IF(BS294=0,0,1),(BS294-BK294)/BK294)</f>
        <v>0</v>
      </c>
      <c r="CB294" s="32" t="n">
        <f aca="false">IF(BL294=0,IF(BT294=0,0,1),(BT294-BL294)/BL294)</f>
        <v>1</v>
      </c>
      <c r="CC294" s="32" t="n">
        <f aca="false">IF(BM294=0,IF(BU294=0,0,1),(BU294-BM294)/BM294)</f>
        <v>1</v>
      </c>
      <c r="CD294" s="32" t="n">
        <f aca="false">IF(BN294=0,IF(BV294=0,0,1),(BV294-BN294)/BN294)</f>
        <v>1</v>
      </c>
      <c r="CE294" s="32" t="n">
        <f aca="false">IF(BO294=0,IF(BW294=0,0,1),(BW294-BO294)/BO294)</f>
        <v>1</v>
      </c>
      <c r="CF294" s="32" t="n">
        <f aca="false">IF(BP294=0,IF(BX294=0,0,1),(BX294-BP294)/BP294)</f>
        <v>1</v>
      </c>
      <c r="CG294" s="32" t="n">
        <f aca="false">IF(BQ294=0,IF(BY294=0,0,1),(BY294-BQ294)/BQ294)</f>
        <v>1</v>
      </c>
      <c r="CH294" s="32" t="n">
        <f aca="false">MAX(MAX(BZ294:CG294),-MIN(BZ294:CG294))</f>
        <v>1</v>
      </c>
      <c r="CI294" s="31" t="n">
        <f aca="false">IF(CO294="","",SUMIFS($CJ$7:$CJ$696,$A$7:$A$696,CO294,$B$7:$B$696,B294))</f>
        <v>576669</v>
      </c>
      <c r="CJ294" s="31" t="n">
        <f aca="false">SUM(AY294:BI294)</f>
        <v>560795</v>
      </c>
      <c r="CK294" s="31" t="str">
        <f aca="false">IFERROR(INDEX(設定!$F$61:$F$106,MATCH(B294,設定!$B$61:$B$106,0)),"Y")</f>
        <v>Y</v>
      </c>
      <c r="CL294" s="31" t="str">
        <f aca="false">IFERROR(INDEX(設定!$G$61:$G$106,MATCH(B294,設定!$B$61:$B$106,0)),"外郭型")</f>
        <v>市局型</v>
      </c>
      <c r="CM294" s="33" t="str">
        <f aca="false">A294&amp;"|"&amp;B294</f>
        <v>2026-09 月例|教育委員会（教育給与課）</v>
      </c>
      <c r="CN294" s="34" t="str">
        <f aca="false">IFERROR(INDEX(設定!$D$61:$D$106,MATCH(B294,設定!$B$61:$B$106,0)),"Y")</f>
        <v>Y</v>
      </c>
      <c r="CO294" s="34" t="str">
        <f aca="false">IFERROR(INDEX(設定!$D$20:$D$34,MATCH(A294,設定!$A$20:$A$34,0))&amp;"","")</f>
        <v>2026-08 月例</v>
      </c>
    </row>
    <row r="295" customFormat="false" ht="15" hidden="true" customHeight="false" outlineLevel="0" collapsed="false">
      <c r="A295" s="22" t="s">
        <v>222</v>
      </c>
      <c r="B295" s="23" t="s">
        <v>180</v>
      </c>
      <c r="C295" s="10" t="str">
        <f aca="false">IF(G295="","未受領",IF(G295="なし","報告なし",IF(AL295="○","起票済",IF(OR(AK295="○",F295="一致",F295="入金不要"),"入金確認済","受領済"))))</f>
        <v>報告なし</v>
      </c>
      <c r="D295" s="10" t="str">
        <f aca="false">IF(OR(G295="",G295="なし"),"―",IF(CN295="N","対象外",IF(AND(I295="",J295="",K295=""),"標報未入力",IF(CH295&gt;=設定!$B$4,"要確認","問題なし"))))</f>
        <v>―</v>
      </c>
      <c r="E295" s="24" t="str">
        <f aca="false">IF(OR(G295="",G295="なし",CI295="",CJ295=0),"―",IF(CJ295=CI295,"前月同額",IF(CI295=0,"―",IF(ABS(CJ295/CI295-1)&gt;=設定!$B$5,"変動大 "&amp;TEXT(CJ295/CI295-1,"+0%;-0%"),"〇"))))</f>
        <v>―</v>
      </c>
      <c r="F295" s="10" t="str">
        <f aca="false">IF(OR(G295="",G295="なし"),"―",IF(CJ295=0,"入金不要",IF(COUNT(AD295,AF295,AH295,AJ295)=0,IF(AK295="○","手動確認","未入金"),IF(AND(N(AD295)=AC295,IF(AE295="",TRUE(),N(AF295)=AE295),IF(AG295="",TRUE(),N(AH295)=AG295),IF(AI295="",TRUE(),N(AJ295)=AI295)),"一致","不一致"))))</f>
        <v>―</v>
      </c>
      <c r="G295" s="25" t="s">
        <v>181</v>
      </c>
      <c r="H295" s="26"/>
      <c r="I295" s="27"/>
      <c r="J295" s="27"/>
      <c r="K295" s="27"/>
      <c r="L295" s="27"/>
      <c r="M295" s="27"/>
      <c r="N295" s="27"/>
      <c r="O295" s="27"/>
      <c r="P295" s="27"/>
      <c r="Q295" s="27"/>
      <c r="R295" s="27"/>
      <c r="S295" s="27"/>
      <c r="T295" s="27"/>
      <c r="U295" s="27"/>
      <c r="V295" s="27"/>
      <c r="W295" s="27"/>
      <c r="X295" s="27"/>
      <c r="Y295" s="27"/>
      <c r="Z295" s="27"/>
      <c r="AA295" s="10" t="str">
        <f aca="false">IFERROR(INDEX(設定!$E$61:$E$106,MATCH(B295,設定!$B$61:$B$106,0)),"合算")</f>
        <v>合算</v>
      </c>
      <c r="AB295" s="28"/>
      <c r="AC295" s="29" t="str">
        <f aca="false">IF(OR(G295="",G295="なし"),"",IF(AA295="合算",CJ295+N(Z295),IF(AA295="掛金・負担金別",(AY295+AZ295+BD295+BF295+BH295),SUM(AY295:BC295))))</f>
        <v/>
      </c>
      <c r="AD295" s="27"/>
      <c r="AE295" s="29" t="str">
        <f aca="false">IF(OR(G295="",G295="なし"),"",IF(AA295="掛金・負担金別",(BA295+BB295+BC295+BE295+BG295+BI295+N(Z295)),IF(AA295="経理区分別",BD295+BE295,"")))</f>
        <v/>
      </c>
      <c r="AF295" s="27"/>
      <c r="AG295" s="29" t="str">
        <f aca="false">IF(OR(G295="",G295="なし"),"",IF(AA295="経理区分別",BF295+BG295,""))</f>
        <v/>
      </c>
      <c r="AH295" s="27"/>
      <c r="AI295" s="29" t="str">
        <f aca="false">IF(OR(G295="",G295="なし"),"",IF(AA295="経理区分別",BH295+BI295+N(Z295),""))</f>
        <v/>
      </c>
      <c r="AJ295" s="27"/>
      <c r="AK295" s="26"/>
      <c r="AL295" s="26"/>
      <c r="AM295" s="30"/>
      <c r="AN295" s="31"/>
      <c r="AO295" s="31"/>
      <c r="AP295" s="31"/>
      <c r="AQ295" s="31"/>
      <c r="AR295" s="31"/>
      <c r="AS295" s="31"/>
      <c r="AT295" s="31"/>
      <c r="AU295" s="31"/>
      <c r="AV295" s="31"/>
      <c r="AW295" s="31"/>
      <c r="AX295" s="31"/>
      <c r="AY295" s="31" t="n">
        <f aca="false">IF($G295="",AN295,O295)</f>
        <v>0</v>
      </c>
      <c r="AZ295" s="31" t="n">
        <f aca="false">IF($G295="",AO295,P295)</f>
        <v>0</v>
      </c>
      <c r="BA295" s="31" t="n">
        <f aca="false">IF($G295="",AP295,T295)</f>
        <v>0</v>
      </c>
      <c r="BB295" s="31" t="n">
        <f aca="false">IF($G295="",AQ295,U295)</f>
        <v>0</v>
      </c>
      <c r="BC295" s="31" t="n">
        <f aca="false">IF($G295="",AR295,V295)</f>
        <v>0</v>
      </c>
      <c r="BD295" s="31" t="n">
        <f aca="false">IF($G295="",AS295,Q295)</f>
        <v>0</v>
      </c>
      <c r="BE295" s="31" t="n">
        <f aca="false">IF($G295="",AT295,W295)</f>
        <v>0</v>
      </c>
      <c r="BF295" s="31" t="n">
        <f aca="false">IF($G295="",AU295,R295)</f>
        <v>0</v>
      </c>
      <c r="BG295" s="31" t="n">
        <f aca="false">IF($G295="",AV295,X295)</f>
        <v>0</v>
      </c>
      <c r="BH295" s="31" t="n">
        <f aca="false">IF($G295="",AW295,S295)</f>
        <v>0</v>
      </c>
      <c r="BI295" s="31" t="n">
        <f aca="false">IF($G295="",AX295,Y295)</f>
        <v>0</v>
      </c>
      <c r="BJ295" s="31" t="n">
        <f aca="false">IF(CK295="N",BR295,ROUNDDOWN((I295-L295)*設定!$B$10/1000,0)+ROUNDDOWN((I295-L295)*設定!$B$11/1000,0))</f>
        <v>0</v>
      </c>
      <c r="BK295" s="31" t="n">
        <f aca="false">ROUNDDOWN((I295-L295)*設定!$C$10/1000,0)+ROUNDDOWN((I295-L295)*設定!$C$11/1000,0)+ROUNDDOWN(I295*設定!$C$12/1000,0)+IF(CL295="市局型",ROUNDDOWN(I295*設定!$C$16/1000,0),0)</f>
        <v>0</v>
      </c>
      <c r="BL295" s="31" t="n">
        <f aca="false">IF(CK295="N",BT295,ROUNDDOWN((J295-M295)*設定!$B$13/1000,0))</f>
        <v>0</v>
      </c>
      <c r="BM295" s="31" t="n">
        <f aca="false">ROUNDDOWN((J295-M295)*設定!$C$13/1000,0)+IF(CL295="市局型",ROUNDDOWN(J295*設定!$C$17/1000,0),0)</f>
        <v>0</v>
      </c>
      <c r="BN295" s="31" t="n">
        <f aca="false">IF(CK295="N",BV295,ROUNDDOWN((K295-N295)*設定!$B$14/1000,0))</f>
        <v>0</v>
      </c>
      <c r="BO295" s="31" t="n">
        <f aca="false">ROUNDDOWN((K295-N295)*設定!$C$14/1000,0)</f>
        <v>0</v>
      </c>
      <c r="BP295" s="31" t="n">
        <f aca="false">IF(CK295="N",BX295,ROUNDDOWN((J295-M295)*設定!$B$15/1000,0))</f>
        <v>0</v>
      </c>
      <c r="BQ295" s="31" t="n">
        <f aca="false">ROUNDDOWN((J295-M295)*設定!$C$15/1000,0)</f>
        <v>0</v>
      </c>
      <c r="BR295" s="31" t="n">
        <f aca="false">O295+P295</f>
        <v>0</v>
      </c>
      <c r="BS295" s="31" t="n">
        <f aca="false">T295+U295+V295</f>
        <v>0</v>
      </c>
      <c r="BT295" s="31" t="n">
        <f aca="false">Q295</f>
        <v>0</v>
      </c>
      <c r="BU295" s="31" t="n">
        <f aca="false">W295</f>
        <v>0</v>
      </c>
      <c r="BV295" s="31" t="n">
        <f aca="false">R295</f>
        <v>0</v>
      </c>
      <c r="BW295" s="31" t="n">
        <f aca="false">X295</f>
        <v>0</v>
      </c>
      <c r="BX295" s="31" t="n">
        <f aca="false">S295</f>
        <v>0</v>
      </c>
      <c r="BY295" s="31" t="n">
        <f aca="false">Y295</f>
        <v>0</v>
      </c>
      <c r="BZ295" s="32" t="n">
        <f aca="false">IF(BJ295=0,IF(BR295=0,0,1),(BR295-BJ295)/BJ295)</f>
        <v>0</v>
      </c>
      <c r="CA295" s="32" t="n">
        <f aca="false">IF(BK295=0,IF(BS295=0,0,1),(BS295-BK295)/BK295)</f>
        <v>0</v>
      </c>
      <c r="CB295" s="32" t="n">
        <f aca="false">IF(BL295=0,IF(BT295=0,0,1),(BT295-BL295)/BL295)</f>
        <v>0</v>
      </c>
      <c r="CC295" s="32" t="n">
        <f aca="false">IF(BM295=0,IF(BU295=0,0,1),(BU295-BM295)/BM295)</f>
        <v>0</v>
      </c>
      <c r="CD295" s="32" t="n">
        <f aca="false">IF(BN295=0,IF(BV295=0,0,1),(BV295-BN295)/BN295)</f>
        <v>0</v>
      </c>
      <c r="CE295" s="32" t="n">
        <f aca="false">IF(BO295=0,IF(BW295=0,0,1),(BW295-BO295)/BO295)</f>
        <v>0</v>
      </c>
      <c r="CF295" s="32" t="n">
        <f aca="false">IF(BP295=0,IF(BX295=0,0,1),(BX295-BP295)/BP295)</f>
        <v>0</v>
      </c>
      <c r="CG295" s="32" t="n">
        <f aca="false">IF(BQ295=0,IF(BY295=0,0,1),(BY295-BQ295)/BQ295)</f>
        <v>0</v>
      </c>
      <c r="CH295" s="32" t="n">
        <f aca="false">MAX(MAX(BZ295:CG295),-MIN(BZ295:CG295))</f>
        <v>-0</v>
      </c>
      <c r="CI295" s="31" t="n">
        <f aca="false">IF(CO295="","",SUMIFS($CJ$7:$CJ$696,$A$7:$A$696,CO295,$B$7:$B$696,B295))</f>
        <v>0</v>
      </c>
      <c r="CJ295" s="31" t="n">
        <f aca="false">SUM(AY295:BI295)</f>
        <v>0</v>
      </c>
      <c r="CK295" s="31" t="str">
        <f aca="false">IFERROR(INDEX(設定!$F$61:$F$106,MATCH(B295,設定!$B$61:$B$106,0)),"Y")</f>
        <v>N</v>
      </c>
      <c r="CL295" s="31" t="str">
        <f aca="false">IFERROR(INDEX(設定!$G$61:$G$106,MATCH(B295,設定!$B$61:$B$106,0)),"外郭型")</f>
        <v>外郭型</v>
      </c>
      <c r="CM295" s="33" t="str">
        <f aca="false">A295&amp;"|"&amp;B295</f>
        <v>2026-09 月例|地方税共同機構</v>
      </c>
      <c r="CN295" s="34" t="str">
        <f aca="false">IFERROR(INDEX(設定!$D$61:$D$106,MATCH(B295,設定!$B$61:$B$106,0)),"Y")</f>
        <v>Y</v>
      </c>
      <c r="CO295" s="34" t="str">
        <f aca="false">IFERROR(INDEX(設定!$D$20:$D$34,MATCH(A295,設定!$A$20:$A$34,0))&amp;"","")</f>
        <v>2026-08 月例</v>
      </c>
    </row>
    <row r="296" customFormat="false" ht="15" hidden="true" customHeight="false" outlineLevel="0" collapsed="false">
      <c r="A296" s="22" t="s">
        <v>222</v>
      </c>
      <c r="B296" s="23" t="s">
        <v>182</v>
      </c>
      <c r="C296" s="10" t="str">
        <f aca="false">IF(G296="","未受領",IF(G296="なし","報告なし",IF(AL296="○","起票済",IF(OR(AK296="○",F296="一致",F296="入金不要"),"入金確認済","受領済"))))</f>
        <v>入金確認済</v>
      </c>
      <c r="D296" s="10" t="str">
        <f aca="false">IF(OR(G296="",G296="なし"),"―",IF(CN296="N","対象外",IF(AND(I296="",J296="",K296=""),"標報未入力",IF(CH296&gt;=設定!$B$4,"要確認","問題なし"))))</f>
        <v>標報未入力</v>
      </c>
      <c r="E296" s="24" t="str">
        <f aca="false">IF(OR(G296="",G296="なし",CI296="",CJ296=0),"―",IF(CJ296=CI296,"前月同額",IF(CI296=0,"―",IF(ABS(CJ296/CI296-1)&gt;=設定!$B$5,"変動大 "&amp;TEXT(CJ296/CI296-1,"+0%;-0%"),"〇"))))</f>
        <v>〇</v>
      </c>
      <c r="F296" s="10" t="str">
        <f aca="false">IF(OR(G296="",G296="なし"),"―",IF(CJ296=0,"入金不要",IF(COUNT(AD296,AF296,AH296,AJ296)=0,IF(AK296="○","手動確認","未入金"),IF(AND(N(AD296)=AC296,IF(AE296="",TRUE(),N(AF296)=AE296),IF(AG296="",TRUE(),N(AH296)=AG296),IF(AI296="",TRUE(),N(AJ296)=AI296)),"一致","不一致"))))</f>
        <v>手動確認</v>
      </c>
      <c r="G296" s="25" t="s">
        <v>167</v>
      </c>
      <c r="H296" s="26"/>
      <c r="I296" s="27"/>
      <c r="J296" s="27"/>
      <c r="K296" s="27"/>
      <c r="L296" s="27"/>
      <c r="M296" s="27"/>
      <c r="N296" s="27"/>
      <c r="O296" s="27" t="n">
        <v>0</v>
      </c>
      <c r="P296" s="27" t="n">
        <v>0</v>
      </c>
      <c r="Q296" s="27" t="n">
        <v>0</v>
      </c>
      <c r="R296" s="27" t="n">
        <v>0</v>
      </c>
      <c r="S296" s="27" t="n">
        <v>0</v>
      </c>
      <c r="T296" s="27" t="n">
        <v>785070</v>
      </c>
      <c r="U296" s="27" t="n">
        <v>64350</v>
      </c>
      <c r="V296" s="27" t="n">
        <v>776</v>
      </c>
      <c r="W296" s="27" t="n">
        <v>446945</v>
      </c>
      <c r="X296" s="27" t="n">
        <v>55616</v>
      </c>
      <c r="Y296" s="27" t="n">
        <v>9901</v>
      </c>
      <c r="Z296" s="27"/>
      <c r="AA296" s="10" t="str">
        <f aca="false">IFERROR(INDEX(設定!$E$61:$E$106,MATCH(B296,設定!$B$61:$B$106,0)),"合算")</f>
        <v>合算</v>
      </c>
      <c r="AB296" s="28"/>
      <c r="AC296" s="29" t="n">
        <f aca="false">IF(OR(G296="",G296="なし"),"",IF(AA296="合算",CJ296+N(Z296),IF(AA296="掛金・負担金別",(AY296+AZ296+BD296+BF296+BH296),SUM(AY296:BC296))))</f>
        <v>1362658</v>
      </c>
      <c r="AD296" s="27"/>
      <c r="AE296" s="29" t="str">
        <f aca="false">IF(OR(G296="",G296="なし"),"",IF(AA296="掛金・負担金別",(BA296+BB296+BC296+BE296+BG296+BI296+N(Z296)),IF(AA296="経理区分別",BD296+BE296,"")))</f>
        <v/>
      </c>
      <c r="AF296" s="27"/>
      <c r="AG296" s="29" t="str">
        <f aca="false">IF(OR(G296="",G296="なし"),"",IF(AA296="経理区分別",BF296+BG296,""))</f>
        <v/>
      </c>
      <c r="AH296" s="27"/>
      <c r="AI296" s="29" t="str">
        <f aca="false">IF(OR(G296="",G296="なし"),"",IF(AA296="経理区分別",BH296+BI296+N(Z296),""))</f>
        <v/>
      </c>
      <c r="AJ296" s="27"/>
      <c r="AK296" s="26" t="s">
        <v>168</v>
      </c>
      <c r="AL296" s="26"/>
      <c r="AM296" s="30"/>
      <c r="AN296" s="31"/>
      <c r="AO296" s="31"/>
      <c r="AP296" s="31"/>
      <c r="AQ296" s="31"/>
      <c r="AR296" s="31"/>
      <c r="AS296" s="31"/>
      <c r="AT296" s="31"/>
      <c r="AU296" s="31"/>
      <c r="AV296" s="31"/>
      <c r="AW296" s="31"/>
      <c r="AX296" s="31"/>
      <c r="AY296" s="31" t="n">
        <f aca="false">IF($G296="",AN296,O296)</f>
        <v>0</v>
      </c>
      <c r="AZ296" s="31" t="n">
        <f aca="false">IF($G296="",AO296,P296)</f>
        <v>0</v>
      </c>
      <c r="BA296" s="31" t="n">
        <f aca="false">IF($G296="",AP296,T296)</f>
        <v>785070</v>
      </c>
      <c r="BB296" s="31" t="n">
        <f aca="false">IF($G296="",AQ296,U296)</f>
        <v>64350</v>
      </c>
      <c r="BC296" s="31" t="n">
        <f aca="false">IF($G296="",AR296,V296)</f>
        <v>776</v>
      </c>
      <c r="BD296" s="31" t="n">
        <f aca="false">IF($G296="",AS296,Q296)</f>
        <v>0</v>
      </c>
      <c r="BE296" s="31" t="n">
        <f aca="false">IF($G296="",AT296,W296)</f>
        <v>446945</v>
      </c>
      <c r="BF296" s="31" t="n">
        <f aca="false">IF($G296="",AU296,R296)</f>
        <v>0</v>
      </c>
      <c r="BG296" s="31" t="n">
        <f aca="false">IF($G296="",AV296,X296)</f>
        <v>55616</v>
      </c>
      <c r="BH296" s="31" t="n">
        <f aca="false">IF($G296="",AW296,S296)</f>
        <v>0</v>
      </c>
      <c r="BI296" s="31" t="n">
        <f aca="false">IF($G296="",AX296,Y296)</f>
        <v>9901</v>
      </c>
      <c r="BJ296" s="31" t="n">
        <f aca="false">IF(CK296="N",BR296,ROUNDDOWN((I296-L296)*設定!$B$10/1000,0)+ROUNDDOWN((I296-L296)*設定!$B$11/1000,0))</f>
        <v>0</v>
      </c>
      <c r="BK296" s="31" t="n">
        <f aca="false">ROUNDDOWN((I296-L296)*設定!$C$10/1000,0)+ROUNDDOWN((I296-L296)*設定!$C$11/1000,0)+ROUNDDOWN(I296*設定!$C$12/1000,0)+IF(CL296="市局型",ROUNDDOWN(I296*設定!$C$16/1000,0),0)</f>
        <v>0</v>
      </c>
      <c r="BL296" s="31" t="n">
        <f aca="false">IF(CK296="N",BT296,ROUNDDOWN((J296-M296)*設定!$B$13/1000,0))</f>
        <v>0</v>
      </c>
      <c r="BM296" s="31" t="n">
        <f aca="false">ROUNDDOWN((J296-M296)*設定!$C$13/1000,0)+IF(CL296="市局型",ROUNDDOWN(J296*設定!$C$17/1000,0),0)</f>
        <v>0</v>
      </c>
      <c r="BN296" s="31" t="n">
        <f aca="false">IF(CK296="N",BV296,ROUNDDOWN((K296-N296)*設定!$B$14/1000,0))</f>
        <v>0</v>
      </c>
      <c r="BO296" s="31" t="n">
        <f aca="false">ROUNDDOWN((K296-N296)*設定!$C$14/1000,0)</f>
        <v>0</v>
      </c>
      <c r="BP296" s="31" t="n">
        <f aca="false">IF(CK296="N",BX296,ROUNDDOWN((J296-M296)*設定!$B$15/1000,0))</f>
        <v>0</v>
      </c>
      <c r="BQ296" s="31" t="n">
        <f aca="false">ROUNDDOWN((J296-M296)*設定!$C$15/1000,0)</f>
        <v>0</v>
      </c>
      <c r="BR296" s="31" t="n">
        <f aca="false">O296+P296</f>
        <v>0</v>
      </c>
      <c r="BS296" s="31" t="n">
        <f aca="false">T296+U296+V296</f>
        <v>850196</v>
      </c>
      <c r="BT296" s="31" t="n">
        <f aca="false">Q296</f>
        <v>0</v>
      </c>
      <c r="BU296" s="31" t="n">
        <f aca="false">W296</f>
        <v>446945</v>
      </c>
      <c r="BV296" s="31" t="n">
        <f aca="false">R296</f>
        <v>0</v>
      </c>
      <c r="BW296" s="31" t="n">
        <f aca="false">X296</f>
        <v>55616</v>
      </c>
      <c r="BX296" s="31" t="n">
        <f aca="false">S296</f>
        <v>0</v>
      </c>
      <c r="BY296" s="31" t="n">
        <f aca="false">Y296</f>
        <v>9901</v>
      </c>
      <c r="BZ296" s="32" t="n">
        <f aca="false">IF(BJ296=0,IF(BR296=0,0,1),(BR296-BJ296)/BJ296)</f>
        <v>0</v>
      </c>
      <c r="CA296" s="32" t="n">
        <f aca="false">IF(BK296=0,IF(BS296=0,0,1),(BS296-BK296)/BK296)</f>
        <v>1</v>
      </c>
      <c r="CB296" s="32" t="n">
        <f aca="false">IF(BL296=0,IF(BT296=0,0,1),(BT296-BL296)/BL296)</f>
        <v>0</v>
      </c>
      <c r="CC296" s="32" t="n">
        <f aca="false">IF(BM296=0,IF(BU296=0,0,1),(BU296-BM296)/BM296)</f>
        <v>1</v>
      </c>
      <c r="CD296" s="32" t="n">
        <f aca="false">IF(BN296=0,IF(BV296=0,0,1),(BV296-BN296)/BN296)</f>
        <v>0</v>
      </c>
      <c r="CE296" s="32" t="n">
        <f aca="false">IF(BO296=0,IF(BW296=0,0,1),(BW296-BO296)/BO296)</f>
        <v>1</v>
      </c>
      <c r="CF296" s="32" t="n">
        <f aca="false">IF(BP296=0,IF(BX296=0,0,1),(BX296-BP296)/BP296)</f>
        <v>0</v>
      </c>
      <c r="CG296" s="32" t="n">
        <f aca="false">IF(BQ296=0,IF(BY296=0,0,1),(BY296-BQ296)/BQ296)</f>
        <v>1</v>
      </c>
      <c r="CH296" s="32" t="n">
        <f aca="false">MAX(MAX(BZ296:CG296),-MIN(BZ296:CG296))</f>
        <v>1</v>
      </c>
      <c r="CI296" s="31" t="n">
        <f aca="false">IF(CO296="","",SUMIFS($CJ$7:$CJ$696,$A$7:$A$696,CO296,$B$7:$B$696,B296))</f>
        <v>1348798</v>
      </c>
      <c r="CJ296" s="31" t="n">
        <f aca="false">SUM(AY296:BI296)</f>
        <v>1362658</v>
      </c>
      <c r="CK296" s="31" t="str">
        <f aca="false">IFERROR(INDEX(設定!$F$61:$F$106,MATCH(B296,設定!$B$61:$B$106,0)),"Y")</f>
        <v>Y</v>
      </c>
      <c r="CL296" s="31" t="str">
        <f aca="false">IFERROR(INDEX(設定!$G$61:$G$106,MATCH(B296,設定!$B$61:$B$106,0)),"外郭型")</f>
        <v>外郭型</v>
      </c>
      <c r="CM296" s="33" t="str">
        <f aca="false">A296&amp;"|"&amp;B296</f>
        <v>2026-09 月例|平和文化センター</v>
      </c>
      <c r="CN296" s="34" t="str">
        <f aca="false">IFERROR(INDEX(設定!$D$61:$D$106,MATCH(B296,設定!$B$61:$B$106,0)),"Y")</f>
        <v>Y</v>
      </c>
      <c r="CO296" s="34" t="str">
        <f aca="false">IFERROR(INDEX(設定!$D$20:$D$34,MATCH(A296,設定!$A$20:$A$34,0))&amp;"","")</f>
        <v>2026-08 月例</v>
      </c>
    </row>
    <row r="297" customFormat="false" ht="15" hidden="true" customHeight="false" outlineLevel="0" collapsed="false">
      <c r="A297" s="22" t="s">
        <v>222</v>
      </c>
      <c r="B297" s="23" t="s">
        <v>183</v>
      </c>
      <c r="C297" s="10" t="str">
        <f aca="false">IF(G297="","未受領",IF(G297="なし","報告なし",IF(AL297="○","起票済",IF(OR(AK297="○",F297="一致",F297="入金不要"),"入金確認済","受領済"))))</f>
        <v>入金確認済</v>
      </c>
      <c r="D297" s="10" t="str">
        <f aca="false">IF(OR(G297="",G297="なし"),"―",IF(CN297="N","対象外",IF(AND(I297="",J297="",K297=""),"標報未入力",IF(CH297&gt;=設定!$B$4,"要確認","問題なし"))))</f>
        <v>標報未入力</v>
      </c>
      <c r="E297" s="24" t="str">
        <f aca="false">IF(OR(G297="",G297="なし",CI297="",CJ297=0),"―",IF(CJ297=CI297,"前月同額",IF(CI297=0,"―",IF(ABS(CJ297/CI297-1)&gt;=設定!$B$5,"変動大 "&amp;TEXT(CJ297/CI297-1,"+0%;-0%"),"〇"))))</f>
        <v>〇</v>
      </c>
      <c r="F297" s="10" t="str">
        <f aca="false">IF(OR(G297="",G297="なし"),"―",IF(CJ297=0,"入金不要",IF(COUNT(AD297,AF297,AH297,AJ297)=0,IF(AK297="○","手動確認","未入金"),IF(AND(N(AD297)=AC297,IF(AE297="",TRUE(),N(AF297)=AE297),IF(AG297="",TRUE(),N(AH297)=AG297),IF(AI297="",TRUE(),N(AJ297)=AI297)),"一致","不一致"))))</f>
        <v>手動確認</v>
      </c>
      <c r="G297" s="25" t="s">
        <v>167</v>
      </c>
      <c r="H297" s="26"/>
      <c r="I297" s="27"/>
      <c r="J297" s="27"/>
      <c r="K297" s="27"/>
      <c r="L297" s="27"/>
      <c r="M297" s="27"/>
      <c r="N297" s="27"/>
      <c r="O297" s="27"/>
      <c r="P297" s="27"/>
      <c r="Q297" s="27"/>
      <c r="R297" s="27"/>
      <c r="S297" s="27"/>
      <c r="T297" s="27" t="n">
        <v>2013915</v>
      </c>
      <c r="U297" s="27" t="n">
        <v>165075</v>
      </c>
      <c r="V297" s="27" t="n">
        <v>2074</v>
      </c>
      <c r="W297" s="27" t="n">
        <v>1295257</v>
      </c>
      <c r="X297" s="27" t="n">
        <v>146861</v>
      </c>
      <c r="Y297" s="27" t="n">
        <v>28689</v>
      </c>
      <c r="Z297" s="27"/>
      <c r="AA297" s="10" t="str">
        <f aca="false">IFERROR(INDEX(設定!$E$61:$E$106,MATCH(B297,設定!$B$61:$B$106,0)),"合算")</f>
        <v>合算</v>
      </c>
      <c r="AB297" s="28"/>
      <c r="AC297" s="29" t="n">
        <f aca="false">IF(OR(G297="",G297="なし"),"",IF(AA297="合算",CJ297+N(Z297),IF(AA297="掛金・負担金別",(AY297+AZ297+BD297+BF297+BH297),SUM(AY297:BC297))))</f>
        <v>3651871</v>
      </c>
      <c r="AD297" s="27"/>
      <c r="AE297" s="29" t="str">
        <f aca="false">IF(OR(G297="",G297="なし"),"",IF(AA297="掛金・負担金別",(BA297+BB297+BC297+BE297+BG297+BI297+N(Z297)),IF(AA297="経理区分別",BD297+BE297,"")))</f>
        <v/>
      </c>
      <c r="AF297" s="27"/>
      <c r="AG297" s="29" t="str">
        <f aca="false">IF(OR(G297="",G297="なし"),"",IF(AA297="経理区分別",BF297+BG297,""))</f>
        <v/>
      </c>
      <c r="AH297" s="27"/>
      <c r="AI297" s="29" t="str">
        <f aca="false">IF(OR(G297="",G297="なし"),"",IF(AA297="経理区分別",BH297+BI297+N(Z297),""))</f>
        <v/>
      </c>
      <c r="AJ297" s="27"/>
      <c r="AK297" s="26" t="s">
        <v>168</v>
      </c>
      <c r="AL297" s="26"/>
      <c r="AM297" s="30"/>
      <c r="AN297" s="31"/>
      <c r="AO297" s="31"/>
      <c r="AP297" s="31"/>
      <c r="AQ297" s="31"/>
      <c r="AR297" s="31"/>
      <c r="AS297" s="31"/>
      <c r="AT297" s="31"/>
      <c r="AU297" s="31"/>
      <c r="AV297" s="31"/>
      <c r="AW297" s="31"/>
      <c r="AX297" s="31"/>
      <c r="AY297" s="31" t="n">
        <f aca="false">IF($G297="",AN297,O297)</f>
        <v>0</v>
      </c>
      <c r="AZ297" s="31" t="n">
        <f aca="false">IF($G297="",AO297,P297)</f>
        <v>0</v>
      </c>
      <c r="BA297" s="31" t="n">
        <f aca="false">IF($G297="",AP297,T297)</f>
        <v>2013915</v>
      </c>
      <c r="BB297" s="31" t="n">
        <f aca="false">IF($G297="",AQ297,U297)</f>
        <v>165075</v>
      </c>
      <c r="BC297" s="31" t="n">
        <f aca="false">IF($G297="",AR297,V297)</f>
        <v>2074</v>
      </c>
      <c r="BD297" s="31" t="n">
        <f aca="false">IF($G297="",AS297,Q297)</f>
        <v>0</v>
      </c>
      <c r="BE297" s="31" t="n">
        <f aca="false">IF($G297="",AT297,W297)</f>
        <v>1295257</v>
      </c>
      <c r="BF297" s="31" t="n">
        <f aca="false">IF($G297="",AU297,R297)</f>
        <v>0</v>
      </c>
      <c r="BG297" s="31" t="n">
        <f aca="false">IF($G297="",AV297,X297)</f>
        <v>146861</v>
      </c>
      <c r="BH297" s="31" t="n">
        <f aca="false">IF($G297="",AW297,S297)</f>
        <v>0</v>
      </c>
      <c r="BI297" s="31" t="n">
        <f aca="false">IF($G297="",AX297,Y297)</f>
        <v>28689</v>
      </c>
      <c r="BJ297" s="31" t="n">
        <f aca="false">IF(CK297="N",BR297,ROUNDDOWN((I297-L297)*設定!$B$10/1000,0)+ROUNDDOWN((I297-L297)*設定!$B$11/1000,0))</f>
        <v>0</v>
      </c>
      <c r="BK297" s="31" t="n">
        <f aca="false">ROUNDDOWN((I297-L297)*設定!$C$10/1000,0)+ROUNDDOWN((I297-L297)*設定!$C$11/1000,0)+ROUNDDOWN(I297*設定!$C$12/1000,0)+IF(CL297="市局型",ROUNDDOWN(I297*設定!$C$16/1000,0),0)</f>
        <v>0</v>
      </c>
      <c r="BL297" s="31" t="n">
        <f aca="false">IF(CK297="N",BT297,ROUNDDOWN((J297-M297)*設定!$B$13/1000,0))</f>
        <v>0</v>
      </c>
      <c r="BM297" s="31" t="n">
        <f aca="false">ROUNDDOWN((J297-M297)*設定!$C$13/1000,0)+IF(CL297="市局型",ROUNDDOWN(J297*設定!$C$17/1000,0),0)</f>
        <v>0</v>
      </c>
      <c r="BN297" s="31" t="n">
        <f aca="false">IF(CK297="N",BV297,ROUNDDOWN((K297-N297)*設定!$B$14/1000,0))</f>
        <v>0</v>
      </c>
      <c r="BO297" s="31" t="n">
        <f aca="false">ROUNDDOWN((K297-N297)*設定!$C$14/1000,0)</f>
        <v>0</v>
      </c>
      <c r="BP297" s="31" t="n">
        <f aca="false">IF(CK297="N",BX297,ROUNDDOWN((J297-M297)*設定!$B$15/1000,0))</f>
        <v>0</v>
      </c>
      <c r="BQ297" s="31" t="n">
        <f aca="false">ROUNDDOWN((J297-M297)*設定!$C$15/1000,0)</f>
        <v>0</v>
      </c>
      <c r="BR297" s="31" t="n">
        <f aca="false">O297+P297</f>
        <v>0</v>
      </c>
      <c r="BS297" s="31" t="n">
        <f aca="false">T297+U297+V297</f>
        <v>2181064</v>
      </c>
      <c r="BT297" s="31" t="n">
        <f aca="false">Q297</f>
        <v>0</v>
      </c>
      <c r="BU297" s="31" t="n">
        <f aca="false">W297</f>
        <v>1295257</v>
      </c>
      <c r="BV297" s="31" t="n">
        <f aca="false">R297</f>
        <v>0</v>
      </c>
      <c r="BW297" s="31" t="n">
        <f aca="false">X297</f>
        <v>146861</v>
      </c>
      <c r="BX297" s="31" t="n">
        <f aca="false">S297</f>
        <v>0</v>
      </c>
      <c r="BY297" s="31" t="n">
        <f aca="false">Y297</f>
        <v>28689</v>
      </c>
      <c r="BZ297" s="32" t="n">
        <f aca="false">IF(BJ297=0,IF(BR297=0,0,1),(BR297-BJ297)/BJ297)</f>
        <v>0</v>
      </c>
      <c r="CA297" s="32" t="n">
        <f aca="false">IF(BK297=0,IF(BS297=0,0,1),(BS297-BK297)/BK297)</f>
        <v>1</v>
      </c>
      <c r="CB297" s="32" t="n">
        <f aca="false">IF(BL297=0,IF(BT297=0,0,1),(BT297-BL297)/BL297)</f>
        <v>0</v>
      </c>
      <c r="CC297" s="32" t="n">
        <f aca="false">IF(BM297=0,IF(BU297=0,0,1),(BU297-BM297)/BM297)</f>
        <v>1</v>
      </c>
      <c r="CD297" s="32" t="n">
        <f aca="false">IF(BN297=0,IF(BV297=0,0,1),(BV297-BN297)/BN297)</f>
        <v>0</v>
      </c>
      <c r="CE297" s="32" t="n">
        <f aca="false">IF(BO297=0,IF(BW297=0,0,1),(BW297-BO297)/BO297)</f>
        <v>1</v>
      </c>
      <c r="CF297" s="32" t="n">
        <f aca="false">IF(BP297=0,IF(BX297=0,0,1),(BX297-BP297)/BP297)</f>
        <v>0</v>
      </c>
      <c r="CG297" s="32" t="n">
        <f aca="false">IF(BQ297=0,IF(BY297=0,0,1),(BY297-BQ297)/BQ297)</f>
        <v>1</v>
      </c>
      <c r="CH297" s="32" t="n">
        <f aca="false">MAX(MAX(BZ297:CG297),-MIN(BZ297:CG297))</f>
        <v>1</v>
      </c>
      <c r="CI297" s="31" t="n">
        <f aca="false">IF(CO297="","",SUMIFS($CJ$7:$CJ$696,$A$7:$A$696,CO297,$B$7:$B$696,B297))</f>
        <v>3687477</v>
      </c>
      <c r="CJ297" s="31" t="n">
        <f aca="false">SUM(AY297:BI297)</f>
        <v>3651871</v>
      </c>
      <c r="CK297" s="31" t="str">
        <f aca="false">IFERROR(INDEX(設定!$F$61:$F$106,MATCH(B297,設定!$B$61:$B$106,0)),"Y")</f>
        <v>N</v>
      </c>
      <c r="CL297" s="31" t="str">
        <f aca="false">IFERROR(INDEX(設定!$G$61:$G$106,MATCH(B297,設定!$B$61:$B$106,0)),"外郭型")</f>
        <v>外郭型</v>
      </c>
      <c r="CM297" s="33" t="str">
        <f aca="false">A297&amp;"|"&amp;B297</f>
        <v>2026-09 月例|社会福祉事業団</v>
      </c>
      <c r="CN297" s="34" t="str">
        <f aca="false">IFERROR(INDEX(設定!$D$61:$D$106,MATCH(B297,設定!$B$61:$B$106,0)),"Y")</f>
        <v>Y</v>
      </c>
      <c r="CO297" s="34" t="str">
        <f aca="false">IFERROR(INDEX(設定!$D$20:$D$34,MATCH(A297,設定!$A$20:$A$34,0))&amp;"","")</f>
        <v>2026-08 月例</v>
      </c>
    </row>
    <row r="298" customFormat="false" ht="15" hidden="true" customHeight="false" outlineLevel="0" collapsed="false">
      <c r="A298" s="22" t="s">
        <v>222</v>
      </c>
      <c r="B298" s="23" t="s">
        <v>184</v>
      </c>
      <c r="C298" s="10" t="str">
        <f aca="false">IF(G298="","未受領",IF(G298="なし","報告なし",IF(AL298="○","起票済",IF(OR(AK298="○",F298="一致",F298="入金不要"),"入金確認済","受領済"))))</f>
        <v>入金確認済</v>
      </c>
      <c r="D298" s="10" t="str">
        <f aca="false">IF(OR(G298="",G298="なし"),"―",IF(CN298="N","対象外",IF(AND(I298="",J298="",K298=""),"標報未入力",IF(CH298&gt;=設定!$B$4,"要確認","問題なし"))))</f>
        <v>標報未入力</v>
      </c>
      <c r="E298" s="24" t="str">
        <f aca="false">IF(OR(G298="",G298="なし",CI298="",CJ298=0),"―",IF(CJ298=CI298,"前月同額",IF(CI298=0,"―",IF(ABS(CJ298/CI298-1)&gt;=設定!$B$5,"変動大 "&amp;TEXT(CJ298/CI298-1,"+0%;-0%"),"〇"))))</f>
        <v>〇</v>
      </c>
      <c r="F298" s="10" t="str">
        <f aca="false">IF(OR(G298="",G298="なし"),"―",IF(CJ298=0,"入金不要",IF(COUNT(AD298,AF298,AH298,AJ298)=0,IF(AK298="○","手動確認","未入金"),IF(AND(N(AD298)=AC298,IF(AE298="",TRUE(),N(AF298)=AE298),IF(AG298="",TRUE(),N(AH298)=AG298),IF(AI298="",TRUE(),N(AJ298)=AI298)),"一致","不一致"))))</f>
        <v>手動確認</v>
      </c>
      <c r="G298" s="25" t="s">
        <v>167</v>
      </c>
      <c r="H298" s="26"/>
      <c r="I298" s="27"/>
      <c r="J298" s="27"/>
      <c r="K298" s="27"/>
      <c r="L298" s="27"/>
      <c r="M298" s="27"/>
      <c r="N298" s="27"/>
      <c r="O298" s="27"/>
      <c r="P298" s="27"/>
      <c r="Q298" s="27"/>
      <c r="R298" s="27"/>
      <c r="S298" s="27"/>
      <c r="T298" s="27" t="n">
        <v>59475</v>
      </c>
      <c r="U298" s="27" t="n">
        <v>4875</v>
      </c>
      <c r="V298" s="27" t="n">
        <v>56</v>
      </c>
      <c r="W298" s="27" t="n">
        <v>33741</v>
      </c>
      <c r="X298" s="27" t="n">
        <v>5135</v>
      </c>
      <c r="Y298" s="27" t="n">
        <v>747</v>
      </c>
      <c r="Z298" s="27"/>
      <c r="AA298" s="10" t="str">
        <f aca="false">IFERROR(INDEX(設定!$E$61:$E$106,MATCH(B298,設定!$B$61:$B$106,0)),"合算")</f>
        <v>合算</v>
      </c>
      <c r="AB298" s="28"/>
      <c r="AC298" s="29" t="n">
        <f aca="false">IF(OR(G298="",G298="なし"),"",IF(AA298="合算",CJ298+N(Z298),IF(AA298="掛金・負担金別",(AY298+AZ298+BD298+BF298+BH298),SUM(AY298:BC298))))</f>
        <v>104029</v>
      </c>
      <c r="AD298" s="27"/>
      <c r="AE298" s="29" t="str">
        <f aca="false">IF(OR(G298="",G298="なし"),"",IF(AA298="掛金・負担金別",(BA298+BB298+BC298+BE298+BG298+BI298+N(Z298)),IF(AA298="経理区分別",BD298+BE298,"")))</f>
        <v/>
      </c>
      <c r="AF298" s="27"/>
      <c r="AG298" s="29" t="str">
        <f aca="false">IF(OR(G298="",G298="なし"),"",IF(AA298="経理区分別",BF298+BG298,""))</f>
        <v/>
      </c>
      <c r="AH298" s="27"/>
      <c r="AI298" s="29" t="str">
        <f aca="false">IF(OR(G298="",G298="なし"),"",IF(AA298="経理区分別",BH298+BI298+N(Z298),""))</f>
        <v/>
      </c>
      <c r="AJ298" s="27"/>
      <c r="AK298" s="26" t="s">
        <v>168</v>
      </c>
      <c r="AL298" s="26"/>
      <c r="AM298" s="30"/>
      <c r="AN298" s="31"/>
      <c r="AO298" s="31"/>
      <c r="AP298" s="31"/>
      <c r="AQ298" s="31"/>
      <c r="AR298" s="31"/>
      <c r="AS298" s="31"/>
      <c r="AT298" s="31"/>
      <c r="AU298" s="31"/>
      <c r="AV298" s="31"/>
      <c r="AW298" s="31"/>
      <c r="AX298" s="31"/>
      <c r="AY298" s="31" t="n">
        <f aca="false">IF($G298="",AN298,O298)</f>
        <v>0</v>
      </c>
      <c r="AZ298" s="31" t="n">
        <f aca="false">IF($G298="",AO298,P298)</f>
        <v>0</v>
      </c>
      <c r="BA298" s="31" t="n">
        <f aca="false">IF($G298="",AP298,T298)</f>
        <v>59475</v>
      </c>
      <c r="BB298" s="31" t="n">
        <f aca="false">IF($G298="",AQ298,U298)</f>
        <v>4875</v>
      </c>
      <c r="BC298" s="31" t="n">
        <f aca="false">IF($G298="",AR298,V298)</f>
        <v>56</v>
      </c>
      <c r="BD298" s="31" t="n">
        <f aca="false">IF($G298="",AS298,Q298)</f>
        <v>0</v>
      </c>
      <c r="BE298" s="31" t="n">
        <f aca="false">IF($G298="",AT298,W298)</f>
        <v>33741</v>
      </c>
      <c r="BF298" s="31" t="n">
        <f aca="false">IF($G298="",AU298,R298)</f>
        <v>0</v>
      </c>
      <c r="BG298" s="31" t="n">
        <f aca="false">IF($G298="",AV298,X298)</f>
        <v>5135</v>
      </c>
      <c r="BH298" s="31" t="n">
        <f aca="false">IF($G298="",AW298,S298)</f>
        <v>0</v>
      </c>
      <c r="BI298" s="31" t="n">
        <f aca="false">IF($G298="",AX298,Y298)</f>
        <v>747</v>
      </c>
      <c r="BJ298" s="31" t="n">
        <f aca="false">IF(CK298="N",BR298,ROUNDDOWN((I298-L298)*設定!$B$10/1000,0)+ROUNDDOWN((I298-L298)*設定!$B$11/1000,0))</f>
        <v>0</v>
      </c>
      <c r="BK298" s="31" t="n">
        <f aca="false">ROUNDDOWN((I298-L298)*設定!$C$10/1000,0)+ROUNDDOWN((I298-L298)*設定!$C$11/1000,0)+ROUNDDOWN(I298*設定!$C$12/1000,0)+IF(CL298="市局型",ROUNDDOWN(I298*設定!$C$16/1000,0),0)</f>
        <v>0</v>
      </c>
      <c r="BL298" s="31" t="n">
        <f aca="false">IF(CK298="N",BT298,ROUNDDOWN((J298-M298)*設定!$B$13/1000,0))</f>
        <v>0</v>
      </c>
      <c r="BM298" s="31" t="n">
        <f aca="false">ROUNDDOWN((J298-M298)*設定!$C$13/1000,0)+IF(CL298="市局型",ROUNDDOWN(J298*設定!$C$17/1000,0),0)</f>
        <v>0</v>
      </c>
      <c r="BN298" s="31" t="n">
        <f aca="false">IF(CK298="N",BV298,ROUNDDOWN((K298-N298)*設定!$B$14/1000,0))</f>
        <v>0</v>
      </c>
      <c r="BO298" s="31" t="n">
        <f aca="false">ROUNDDOWN((K298-N298)*設定!$C$14/1000,0)</f>
        <v>0</v>
      </c>
      <c r="BP298" s="31" t="n">
        <f aca="false">IF(CK298="N",BX298,ROUNDDOWN((J298-M298)*設定!$B$15/1000,0))</f>
        <v>0</v>
      </c>
      <c r="BQ298" s="31" t="n">
        <f aca="false">ROUNDDOWN((J298-M298)*設定!$C$15/1000,0)</f>
        <v>0</v>
      </c>
      <c r="BR298" s="31" t="n">
        <f aca="false">O298+P298</f>
        <v>0</v>
      </c>
      <c r="BS298" s="31" t="n">
        <f aca="false">T298+U298+V298</f>
        <v>64406</v>
      </c>
      <c r="BT298" s="31" t="n">
        <f aca="false">Q298</f>
        <v>0</v>
      </c>
      <c r="BU298" s="31" t="n">
        <f aca="false">W298</f>
        <v>33741</v>
      </c>
      <c r="BV298" s="31" t="n">
        <f aca="false">R298</f>
        <v>0</v>
      </c>
      <c r="BW298" s="31" t="n">
        <f aca="false">X298</f>
        <v>5135</v>
      </c>
      <c r="BX298" s="31" t="n">
        <f aca="false">S298</f>
        <v>0</v>
      </c>
      <c r="BY298" s="31" t="n">
        <f aca="false">Y298</f>
        <v>747</v>
      </c>
      <c r="BZ298" s="32" t="n">
        <f aca="false">IF(BJ298=0,IF(BR298=0,0,1),(BR298-BJ298)/BJ298)</f>
        <v>0</v>
      </c>
      <c r="CA298" s="32" t="n">
        <f aca="false">IF(BK298=0,IF(BS298=0,0,1),(BS298-BK298)/BK298)</f>
        <v>1</v>
      </c>
      <c r="CB298" s="32" t="n">
        <f aca="false">IF(BL298=0,IF(BT298=0,0,1),(BT298-BL298)/BL298)</f>
        <v>0</v>
      </c>
      <c r="CC298" s="32" t="n">
        <f aca="false">IF(BM298=0,IF(BU298=0,0,1),(BU298-BM298)/BM298)</f>
        <v>1</v>
      </c>
      <c r="CD298" s="32" t="n">
        <f aca="false">IF(BN298=0,IF(BV298=0,0,1),(BV298-BN298)/BN298)</f>
        <v>0</v>
      </c>
      <c r="CE298" s="32" t="n">
        <f aca="false">IF(BO298=0,IF(BW298=0,0,1),(BW298-BO298)/BO298)</f>
        <v>1</v>
      </c>
      <c r="CF298" s="32" t="n">
        <f aca="false">IF(BP298=0,IF(BX298=0,0,1),(BX298-BP298)/BP298)</f>
        <v>0</v>
      </c>
      <c r="CG298" s="32" t="n">
        <f aca="false">IF(BQ298=0,IF(BY298=0,0,1),(BY298-BQ298)/BQ298)</f>
        <v>1</v>
      </c>
      <c r="CH298" s="32" t="n">
        <f aca="false">MAX(MAX(BZ298:CG298),-MIN(BZ298:CG298))</f>
        <v>1</v>
      </c>
      <c r="CI298" s="31" t="n">
        <f aca="false">IF(CO298="","",SUMIFS($CJ$7:$CJ$696,$A$7:$A$696,CO298,$B$7:$B$696,B298))</f>
        <v>107687</v>
      </c>
      <c r="CJ298" s="31" t="n">
        <f aca="false">SUM(AY298:BI298)</f>
        <v>104029</v>
      </c>
      <c r="CK298" s="31" t="str">
        <f aca="false">IFERROR(INDEX(設定!$F$61:$F$106,MATCH(B298,設定!$B$61:$B$106,0)),"Y")</f>
        <v>N</v>
      </c>
      <c r="CL298" s="31" t="str">
        <f aca="false">IFERROR(INDEX(設定!$G$61:$G$106,MATCH(B298,設定!$B$61:$B$106,0)),"外郭型")</f>
        <v>外郭型</v>
      </c>
      <c r="CM298" s="33" t="str">
        <f aca="false">A298&amp;"|"&amp;B298</f>
        <v>2026-09 月例|原爆障害対策協議会</v>
      </c>
      <c r="CN298" s="34" t="str">
        <f aca="false">IFERROR(INDEX(設定!$D$61:$D$106,MATCH(B298,設定!$B$61:$B$106,0)),"Y")</f>
        <v>Y</v>
      </c>
      <c r="CO298" s="34" t="str">
        <f aca="false">IFERROR(INDEX(設定!$D$20:$D$34,MATCH(A298,設定!$A$20:$A$34,0))&amp;"","")</f>
        <v>2026-08 月例</v>
      </c>
    </row>
    <row r="299" customFormat="false" ht="15" hidden="true" customHeight="false" outlineLevel="0" collapsed="false">
      <c r="A299" s="22" t="s">
        <v>222</v>
      </c>
      <c r="B299" s="23" t="s">
        <v>185</v>
      </c>
      <c r="C299" s="10" t="str">
        <f aca="false">IF(G299="","未受領",IF(G299="なし","報告なし",IF(AL299="○","起票済",IF(OR(AK299="○",F299="一致",F299="入金不要"),"入金確認済","受領済"))))</f>
        <v>入金確認済</v>
      </c>
      <c r="D299" s="10" t="str">
        <f aca="false">IF(OR(G299="",G299="なし"),"―",IF(CN299="N","対象外",IF(AND(I299="",J299="",K299=""),"標報未入力",IF(CH299&gt;=設定!$B$4,"要確認","問題なし"))))</f>
        <v>標報未入力</v>
      </c>
      <c r="E299" s="24" t="str">
        <f aca="false">IF(OR(G299="",G299="なし",CI299="",CJ299=0),"―",IF(CJ299=CI299,"前月同額",IF(CI299=0,"―",IF(ABS(CJ299/CI299-1)&gt;=設定!$B$5,"変動大 "&amp;TEXT(CJ299/CI299-1,"+0%;-0%"),"〇"))))</f>
        <v>〇</v>
      </c>
      <c r="F299" s="10" t="str">
        <f aca="false">IF(OR(G299="",G299="なし"),"―",IF(CJ299=0,"入金不要",IF(COUNT(AD299,AF299,AH299,AJ299)=0,IF(AK299="○","手動確認","未入金"),IF(AND(N(AD299)=AC299,IF(AE299="",TRUE(),N(AF299)=AE299),IF(AG299="",TRUE(),N(AH299)=AG299),IF(AI299="",TRUE(),N(AJ299)=AI299)),"一致","不一致"))))</f>
        <v>手動確認</v>
      </c>
      <c r="G299" s="25" t="s">
        <v>167</v>
      </c>
      <c r="H299" s="26"/>
      <c r="I299" s="27"/>
      <c r="J299" s="27"/>
      <c r="K299" s="27"/>
      <c r="L299" s="27"/>
      <c r="M299" s="27"/>
      <c r="N299" s="27"/>
      <c r="O299" s="27"/>
      <c r="P299" s="27"/>
      <c r="Q299" s="27"/>
      <c r="R299" s="27"/>
      <c r="S299" s="27"/>
      <c r="T299" s="27" t="n">
        <v>368745</v>
      </c>
      <c r="U299" s="27" t="n">
        <v>30225</v>
      </c>
      <c r="V299" s="27" t="n">
        <v>395</v>
      </c>
      <c r="W299" s="27" t="n">
        <v>209223</v>
      </c>
      <c r="X299" s="27" t="n">
        <v>26781</v>
      </c>
      <c r="Y299" s="27" t="n">
        <v>4634</v>
      </c>
      <c r="Z299" s="27"/>
      <c r="AA299" s="10" t="str">
        <f aca="false">IFERROR(INDEX(設定!$E$61:$E$106,MATCH(B299,設定!$B$61:$B$106,0)),"合算")</f>
        <v>合算</v>
      </c>
      <c r="AB299" s="28"/>
      <c r="AC299" s="29" t="n">
        <f aca="false">IF(OR(G299="",G299="なし"),"",IF(AA299="合算",CJ299+N(Z299),IF(AA299="掛金・負担金別",(AY299+AZ299+BD299+BF299+BH299),SUM(AY299:BC299))))</f>
        <v>640003</v>
      </c>
      <c r="AD299" s="27"/>
      <c r="AE299" s="29" t="str">
        <f aca="false">IF(OR(G299="",G299="なし"),"",IF(AA299="掛金・負担金別",(BA299+BB299+BC299+BE299+BG299+BI299+N(Z299)),IF(AA299="経理区分別",BD299+BE299,"")))</f>
        <v/>
      </c>
      <c r="AF299" s="27"/>
      <c r="AG299" s="29" t="str">
        <f aca="false">IF(OR(G299="",G299="なし"),"",IF(AA299="経理区分別",BF299+BG299,""))</f>
        <v/>
      </c>
      <c r="AH299" s="27"/>
      <c r="AI299" s="29" t="str">
        <f aca="false">IF(OR(G299="",G299="なし"),"",IF(AA299="経理区分別",BH299+BI299+N(Z299),""))</f>
        <v/>
      </c>
      <c r="AJ299" s="27"/>
      <c r="AK299" s="26" t="s">
        <v>168</v>
      </c>
      <c r="AL299" s="26"/>
      <c r="AM299" s="30"/>
      <c r="AN299" s="31"/>
      <c r="AO299" s="31"/>
      <c r="AP299" s="31"/>
      <c r="AQ299" s="31"/>
      <c r="AR299" s="31"/>
      <c r="AS299" s="31"/>
      <c r="AT299" s="31"/>
      <c r="AU299" s="31"/>
      <c r="AV299" s="31"/>
      <c r="AW299" s="31"/>
      <c r="AX299" s="31"/>
      <c r="AY299" s="31" t="n">
        <f aca="false">IF($G299="",AN299,O299)</f>
        <v>0</v>
      </c>
      <c r="AZ299" s="31" t="n">
        <f aca="false">IF($G299="",AO299,P299)</f>
        <v>0</v>
      </c>
      <c r="BA299" s="31" t="n">
        <f aca="false">IF($G299="",AP299,T299)</f>
        <v>368745</v>
      </c>
      <c r="BB299" s="31" t="n">
        <f aca="false">IF($G299="",AQ299,U299)</f>
        <v>30225</v>
      </c>
      <c r="BC299" s="31" t="n">
        <f aca="false">IF($G299="",AR299,V299)</f>
        <v>395</v>
      </c>
      <c r="BD299" s="31" t="n">
        <f aca="false">IF($G299="",AS299,Q299)</f>
        <v>0</v>
      </c>
      <c r="BE299" s="31" t="n">
        <f aca="false">IF($G299="",AT299,W299)</f>
        <v>209223</v>
      </c>
      <c r="BF299" s="31" t="n">
        <f aca="false">IF($G299="",AU299,R299)</f>
        <v>0</v>
      </c>
      <c r="BG299" s="31" t="n">
        <f aca="false">IF($G299="",AV299,X299)</f>
        <v>26781</v>
      </c>
      <c r="BH299" s="31" t="n">
        <f aca="false">IF($G299="",AW299,S299)</f>
        <v>0</v>
      </c>
      <c r="BI299" s="31" t="n">
        <f aca="false">IF($G299="",AX299,Y299)</f>
        <v>4634</v>
      </c>
      <c r="BJ299" s="31" t="n">
        <f aca="false">IF(CK299="N",BR299,ROUNDDOWN((I299-L299)*設定!$B$10/1000,0)+ROUNDDOWN((I299-L299)*設定!$B$11/1000,0))</f>
        <v>0</v>
      </c>
      <c r="BK299" s="31" t="n">
        <f aca="false">ROUNDDOWN((I299-L299)*設定!$C$10/1000,0)+ROUNDDOWN((I299-L299)*設定!$C$11/1000,0)+ROUNDDOWN(I299*設定!$C$12/1000,0)+IF(CL299="市局型",ROUNDDOWN(I299*設定!$C$16/1000,0),0)</f>
        <v>0</v>
      </c>
      <c r="BL299" s="31" t="n">
        <f aca="false">IF(CK299="N",BT299,ROUNDDOWN((J299-M299)*設定!$B$13/1000,0))</f>
        <v>0</v>
      </c>
      <c r="BM299" s="31" t="n">
        <f aca="false">ROUNDDOWN((J299-M299)*設定!$C$13/1000,0)+IF(CL299="市局型",ROUNDDOWN(J299*設定!$C$17/1000,0),0)</f>
        <v>0</v>
      </c>
      <c r="BN299" s="31" t="n">
        <f aca="false">IF(CK299="N",BV299,ROUNDDOWN((K299-N299)*設定!$B$14/1000,0))</f>
        <v>0</v>
      </c>
      <c r="BO299" s="31" t="n">
        <f aca="false">ROUNDDOWN((K299-N299)*設定!$C$14/1000,0)</f>
        <v>0</v>
      </c>
      <c r="BP299" s="31" t="n">
        <f aca="false">IF(CK299="N",BX299,ROUNDDOWN((J299-M299)*設定!$B$15/1000,0))</f>
        <v>0</v>
      </c>
      <c r="BQ299" s="31" t="n">
        <f aca="false">ROUNDDOWN((J299-M299)*設定!$C$15/1000,0)</f>
        <v>0</v>
      </c>
      <c r="BR299" s="31" t="n">
        <f aca="false">O299+P299</f>
        <v>0</v>
      </c>
      <c r="BS299" s="31" t="n">
        <f aca="false">T299+U299+V299</f>
        <v>399365</v>
      </c>
      <c r="BT299" s="31" t="n">
        <f aca="false">Q299</f>
        <v>0</v>
      </c>
      <c r="BU299" s="31" t="n">
        <f aca="false">W299</f>
        <v>209223</v>
      </c>
      <c r="BV299" s="31" t="n">
        <f aca="false">R299</f>
        <v>0</v>
      </c>
      <c r="BW299" s="31" t="n">
        <f aca="false">X299</f>
        <v>26781</v>
      </c>
      <c r="BX299" s="31" t="n">
        <f aca="false">S299</f>
        <v>0</v>
      </c>
      <c r="BY299" s="31" t="n">
        <f aca="false">Y299</f>
        <v>4634</v>
      </c>
      <c r="BZ299" s="32" t="n">
        <f aca="false">IF(BJ299=0,IF(BR299=0,0,1),(BR299-BJ299)/BJ299)</f>
        <v>0</v>
      </c>
      <c r="CA299" s="32" t="n">
        <f aca="false">IF(BK299=0,IF(BS299=0,0,1),(BS299-BK299)/BK299)</f>
        <v>1</v>
      </c>
      <c r="CB299" s="32" t="n">
        <f aca="false">IF(BL299=0,IF(BT299=0,0,1),(BT299-BL299)/BL299)</f>
        <v>0</v>
      </c>
      <c r="CC299" s="32" t="n">
        <f aca="false">IF(BM299=0,IF(BU299=0,0,1),(BU299-BM299)/BM299)</f>
        <v>1</v>
      </c>
      <c r="CD299" s="32" t="n">
        <f aca="false">IF(BN299=0,IF(BV299=0,0,1),(BV299-BN299)/BN299)</f>
        <v>0</v>
      </c>
      <c r="CE299" s="32" t="n">
        <f aca="false">IF(BO299=0,IF(BW299=0,0,1),(BW299-BO299)/BO299)</f>
        <v>1</v>
      </c>
      <c r="CF299" s="32" t="n">
        <f aca="false">IF(BP299=0,IF(BX299=0,0,1),(BX299-BP299)/BP299)</f>
        <v>0</v>
      </c>
      <c r="CG299" s="32" t="n">
        <f aca="false">IF(BQ299=0,IF(BY299=0,0,1),(BY299-BQ299)/BQ299)</f>
        <v>1</v>
      </c>
      <c r="CH299" s="32" t="n">
        <f aca="false">MAX(MAX(BZ299:CG299),-MIN(BZ299:CG299))</f>
        <v>1</v>
      </c>
      <c r="CI299" s="31" t="n">
        <f aca="false">IF(CO299="","",SUMIFS($CJ$7:$CJ$696,$A$7:$A$696,CO299,$B$7:$B$696,B299))</f>
        <v>591360</v>
      </c>
      <c r="CJ299" s="31" t="n">
        <f aca="false">SUM(AY299:BI299)</f>
        <v>640003</v>
      </c>
      <c r="CK299" s="31" t="str">
        <f aca="false">IFERROR(INDEX(設定!$F$61:$F$106,MATCH(B299,設定!$B$61:$B$106,0)),"Y")</f>
        <v>N</v>
      </c>
      <c r="CL299" s="31" t="str">
        <f aca="false">IFERROR(INDEX(設定!$G$61:$G$106,MATCH(B299,設定!$B$61:$B$106,0)),"外郭型")</f>
        <v>外郭型</v>
      </c>
      <c r="CM299" s="33" t="str">
        <f aca="false">A299&amp;"|"&amp;B299</f>
        <v>2026-09 月例|産業振興センター</v>
      </c>
      <c r="CN299" s="34" t="str">
        <f aca="false">IFERROR(INDEX(設定!$D$61:$D$106,MATCH(B299,設定!$B$61:$B$106,0)),"Y")</f>
        <v>Y</v>
      </c>
      <c r="CO299" s="34" t="str">
        <f aca="false">IFERROR(INDEX(設定!$D$20:$D$34,MATCH(A299,設定!$A$20:$A$34,0))&amp;"","")</f>
        <v>2026-08 月例</v>
      </c>
    </row>
    <row r="300" customFormat="false" ht="15" hidden="true" customHeight="false" outlineLevel="0" collapsed="false">
      <c r="A300" s="22" t="s">
        <v>222</v>
      </c>
      <c r="B300" s="23" t="s">
        <v>186</v>
      </c>
      <c r="C300" s="10" t="str">
        <f aca="false">IF(G300="","未受領",IF(G300="なし","報告なし",IF(AL300="○","起票済",IF(OR(AK300="○",F300="一致",F300="入金不要"),"入金確認済","受領済"))))</f>
        <v>入金確認済</v>
      </c>
      <c r="D300" s="10" t="str">
        <f aca="false">IF(OR(G300="",G300="なし"),"―",IF(CN300="N","対象外",IF(AND(I300="",J300="",K300=""),"標報未入力",IF(CH300&gt;=設定!$B$4,"要確認","問題なし"))))</f>
        <v>標報未入力</v>
      </c>
      <c r="E300" s="24" t="str">
        <f aca="false">IF(OR(G300="",G300="なし",CI300="",CJ300=0),"―",IF(CJ300=CI300,"前月同額",IF(CI300=0,"―",IF(ABS(CJ300/CI300-1)&gt;=設定!$B$5,"変動大 "&amp;TEXT(CJ300/CI300-1,"+0%;-0%"),"〇"))))</f>
        <v>前月同額</v>
      </c>
      <c r="F300" s="10" t="str">
        <f aca="false">IF(OR(G300="",G300="なし"),"―",IF(CJ300=0,"入金不要",IF(COUNT(AD300,AF300,AH300,AJ300)=0,IF(AK300="○","手動確認","未入金"),IF(AND(N(AD300)=AC300,IF(AE300="",TRUE(),N(AF300)=AE300),IF(AG300="",TRUE(),N(AH300)=AG300),IF(AI300="",TRUE(),N(AJ300)=AI300)),"一致","不一致"))))</f>
        <v>手動確認</v>
      </c>
      <c r="G300" s="25" t="s">
        <v>167</v>
      </c>
      <c r="H300" s="26"/>
      <c r="I300" s="27"/>
      <c r="J300" s="27"/>
      <c r="K300" s="27"/>
      <c r="L300" s="27"/>
      <c r="M300" s="27"/>
      <c r="N300" s="27"/>
      <c r="O300" s="27"/>
      <c r="P300" s="27"/>
      <c r="Q300" s="27"/>
      <c r="R300" s="27"/>
      <c r="S300" s="27"/>
      <c r="T300" s="27" t="n">
        <v>45750</v>
      </c>
      <c r="U300" s="27" t="n">
        <v>3750</v>
      </c>
      <c r="V300" s="27" t="n">
        <v>43</v>
      </c>
      <c r="W300" s="27" t="n">
        <v>25955</v>
      </c>
      <c r="X300" s="27" t="n">
        <v>3950</v>
      </c>
      <c r="Y300" s="27" t="n">
        <v>575</v>
      </c>
      <c r="Z300" s="27"/>
      <c r="AA300" s="10" t="str">
        <f aca="false">IFERROR(INDEX(設定!$E$61:$E$106,MATCH(B300,設定!$B$61:$B$106,0)),"合算")</f>
        <v>合算</v>
      </c>
      <c r="AB300" s="28"/>
      <c r="AC300" s="29" t="n">
        <f aca="false">IF(OR(G300="",G300="なし"),"",IF(AA300="合算",CJ300+N(Z300),IF(AA300="掛金・負担金別",(AY300+AZ300+BD300+BF300+BH300),SUM(AY300:BC300))))</f>
        <v>80023</v>
      </c>
      <c r="AD300" s="27"/>
      <c r="AE300" s="29" t="str">
        <f aca="false">IF(OR(G300="",G300="なし"),"",IF(AA300="掛金・負担金別",(BA300+BB300+BC300+BE300+BG300+BI300+N(Z300)),IF(AA300="経理区分別",BD300+BE300,"")))</f>
        <v/>
      </c>
      <c r="AF300" s="27"/>
      <c r="AG300" s="29" t="str">
        <f aca="false">IF(OR(G300="",G300="なし"),"",IF(AA300="経理区分別",BF300+BG300,""))</f>
        <v/>
      </c>
      <c r="AH300" s="27"/>
      <c r="AI300" s="29" t="str">
        <f aca="false">IF(OR(G300="",G300="なし"),"",IF(AA300="経理区分別",BH300+BI300+N(Z300),""))</f>
        <v/>
      </c>
      <c r="AJ300" s="27"/>
      <c r="AK300" s="26" t="s">
        <v>168</v>
      </c>
      <c r="AL300" s="26"/>
      <c r="AM300" s="30"/>
      <c r="AN300" s="31"/>
      <c r="AO300" s="31"/>
      <c r="AP300" s="31"/>
      <c r="AQ300" s="31"/>
      <c r="AR300" s="31"/>
      <c r="AS300" s="31"/>
      <c r="AT300" s="31"/>
      <c r="AU300" s="31"/>
      <c r="AV300" s="31"/>
      <c r="AW300" s="31"/>
      <c r="AX300" s="31"/>
      <c r="AY300" s="31" t="n">
        <f aca="false">IF($G300="",AN300,O300)</f>
        <v>0</v>
      </c>
      <c r="AZ300" s="31" t="n">
        <f aca="false">IF($G300="",AO300,P300)</f>
        <v>0</v>
      </c>
      <c r="BA300" s="31" t="n">
        <f aca="false">IF($G300="",AP300,T300)</f>
        <v>45750</v>
      </c>
      <c r="BB300" s="31" t="n">
        <f aca="false">IF($G300="",AQ300,U300)</f>
        <v>3750</v>
      </c>
      <c r="BC300" s="31" t="n">
        <f aca="false">IF($G300="",AR300,V300)</f>
        <v>43</v>
      </c>
      <c r="BD300" s="31" t="n">
        <f aca="false">IF($G300="",AS300,Q300)</f>
        <v>0</v>
      </c>
      <c r="BE300" s="31" t="n">
        <f aca="false">IF($G300="",AT300,W300)</f>
        <v>25955</v>
      </c>
      <c r="BF300" s="31" t="n">
        <f aca="false">IF($G300="",AU300,R300)</f>
        <v>0</v>
      </c>
      <c r="BG300" s="31" t="n">
        <f aca="false">IF($G300="",AV300,X300)</f>
        <v>3950</v>
      </c>
      <c r="BH300" s="31" t="n">
        <f aca="false">IF($G300="",AW300,S300)</f>
        <v>0</v>
      </c>
      <c r="BI300" s="31" t="n">
        <f aca="false">IF($G300="",AX300,Y300)</f>
        <v>575</v>
      </c>
      <c r="BJ300" s="31" t="n">
        <f aca="false">IF(CK300="N",BR300,ROUNDDOWN((I300-L300)*設定!$B$10/1000,0)+ROUNDDOWN((I300-L300)*設定!$B$11/1000,0))</f>
        <v>0</v>
      </c>
      <c r="BK300" s="31" t="n">
        <f aca="false">ROUNDDOWN((I300-L300)*設定!$C$10/1000,0)+ROUNDDOWN((I300-L300)*設定!$C$11/1000,0)+ROUNDDOWN(I300*設定!$C$12/1000,0)+IF(CL300="市局型",ROUNDDOWN(I300*設定!$C$16/1000,0),0)</f>
        <v>0</v>
      </c>
      <c r="BL300" s="31" t="n">
        <f aca="false">IF(CK300="N",BT300,ROUNDDOWN((J300-M300)*設定!$B$13/1000,0))</f>
        <v>0</v>
      </c>
      <c r="BM300" s="31" t="n">
        <f aca="false">ROUNDDOWN((J300-M300)*設定!$C$13/1000,0)+IF(CL300="市局型",ROUNDDOWN(J300*設定!$C$17/1000,0),0)</f>
        <v>0</v>
      </c>
      <c r="BN300" s="31" t="n">
        <f aca="false">IF(CK300="N",BV300,ROUNDDOWN((K300-N300)*設定!$B$14/1000,0))</f>
        <v>0</v>
      </c>
      <c r="BO300" s="31" t="n">
        <f aca="false">ROUNDDOWN((K300-N300)*設定!$C$14/1000,0)</f>
        <v>0</v>
      </c>
      <c r="BP300" s="31" t="n">
        <f aca="false">IF(CK300="N",BX300,ROUNDDOWN((J300-M300)*設定!$B$15/1000,0))</f>
        <v>0</v>
      </c>
      <c r="BQ300" s="31" t="n">
        <f aca="false">ROUNDDOWN((J300-M300)*設定!$C$15/1000,0)</f>
        <v>0</v>
      </c>
      <c r="BR300" s="31" t="n">
        <f aca="false">O300+P300</f>
        <v>0</v>
      </c>
      <c r="BS300" s="31" t="n">
        <f aca="false">T300+U300+V300</f>
        <v>49543</v>
      </c>
      <c r="BT300" s="31" t="n">
        <f aca="false">Q300</f>
        <v>0</v>
      </c>
      <c r="BU300" s="31" t="n">
        <f aca="false">W300</f>
        <v>25955</v>
      </c>
      <c r="BV300" s="31" t="n">
        <f aca="false">R300</f>
        <v>0</v>
      </c>
      <c r="BW300" s="31" t="n">
        <f aca="false">X300</f>
        <v>3950</v>
      </c>
      <c r="BX300" s="31" t="n">
        <f aca="false">S300</f>
        <v>0</v>
      </c>
      <c r="BY300" s="31" t="n">
        <f aca="false">Y300</f>
        <v>575</v>
      </c>
      <c r="BZ300" s="32" t="n">
        <f aca="false">IF(BJ300=0,IF(BR300=0,0,1),(BR300-BJ300)/BJ300)</f>
        <v>0</v>
      </c>
      <c r="CA300" s="32" t="n">
        <f aca="false">IF(BK300=0,IF(BS300=0,0,1),(BS300-BK300)/BK300)</f>
        <v>1</v>
      </c>
      <c r="CB300" s="32" t="n">
        <f aca="false">IF(BL300=0,IF(BT300=0,0,1),(BT300-BL300)/BL300)</f>
        <v>0</v>
      </c>
      <c r="CC300" s="32" t="n">
        <f aca="false">IF(BM300=0,IF(BU300=0,0,1),(BU300-BM300)/BM300)</f>
        <v>1</v>
      </c>
      <c r="CD300" s="32" t="n">
        <f aca="false">IF(BN300=0,IF(BV300=0,0,1),(BV300-BN300)/BN300)</f>
        <v>0</v>
      </c>
      <c r="CE300" s="32" t="n">
        <f aca="false">IF(BO300=0,IF(BW300=0,0,1),(BW300-BO300)/BO300)</f>
        <v>1</v>
      </c>
      <c r="CF300" s="32" t="n">
        <f aca="false">IF(BP300=0,IF(BX300=0,0,1),(BX300-BP300)/BP300)</f>
        <v>0</v>
      </c>
      <c r="CG300" s="32" t="n">
        <f aca="false">IF(BQ300=0,IF(BY300=0,0,1),(BY300-BQ300)/BQ300)</f>
        <v>1</v>
      </c>
      <c r="CH300" s="32" t="n">
        <f aca="false">MAX(MAX(BZ300:CG300),-MIN(BZ300:CG300))</f>
        <v>1</v>
      </c>
      <c r="CI300" s="31" t="n">
        <f aca="false">IF(CO300="","",SUMIFS($CJ$7:$CJ$696,$A$7:$A$696,CO300,$B$7:$B$696,B300))</f>
        <v>80023</v>
      </c>
      <c r="CJ300" s="31" t="n">
        <f aca="false">SUM(AY300:BI300)</f>
        <v>80023</v>
      </c>
      <c r="CK300" s="31" t="str">
        <f aca="false">IFERROR(INDEX(設定!$F$61:$F$106,MATCH(B300,設定!$B$61:$B$106,0)),"Y")</f>
        <v>N</v>
      </c>
      <c r="CL300" s="31" t="str">
        <f aca="false">IFERROR(INDEX(設定!$G$61:$G$106,MATCH(B300,設定!$B$61:$B$106,0)),"外郭型")</f>
        <v>外郭型</v>
      </c>
      <c r="CM300" s="33" t="str">
        <f aca="false">A300&amp;"|"&amp;B300</f>
        <v>2026-09 月例|ひろしま産業振興</v>
      </c>
      <c r="CN300" s="34" t="str">
        <f aca="false">IFERROR(INDEX(設定!$D$61:$D$106,MATCH(B300,設定!$B$61:$B$106,0)),"Y")</f>
        <v>Y</v>
      </c>
      <c r="CO300" s="34" t="str">
        <f aca="false">IFERROR(INDEX(設定!$D$20:$D$34,MATCH(A300,設定!$A$20:$A$34,0))&amp;"","")</f>
        <v>2026-08 月例</v>
      </c>
    </row>
    <row r="301" customFormat="false" ht="15" hidden="true" customHeight="false" outlineLevel="0" collapsed="false">
      <c r="A301" s="22" t="s">
        <v>222</v>
      </c>
      <c r="B301" s="23" t="s">
        <v>187</v>
      </c>
      <c r="C301" s="10" t="str">
        <f aca="false">IF(G301="","未受領",IF(G301="なし","報告なし",IF(AL301="○","起票済",IF(OR(AK301="○",F301="一致",F301="入金不要"),"入金確認済","受領済"))))</f>
        <v>入金確認済</v>
      </c>
      <c r="D301" s="10" t="str">
        <f aca="false">IF(OR(G301="",G301="なし"),"―",IF(CN301="N","対象外",IF(AND(I301="",J301="",K301=""),"標報未入力",IF(CH301&gt;=設定!$B$4,"要確認","問題なし"))))</f>
        <v>標報未入力</v>
      </c>
      <c r="E301" s="24" t="str">
        <f aca="false">IF(OR(G301="",G301="なし",CI301="",CJ301=0),"―",IF(CJ301=CI301,"前月同額",IF(CI301=0,"―",IF(ABS(CJ301/CI301-1)&gt;=設定!$B$5,"変動大 "&amp;TEXT(CJ301/CI301-1,"+0%;-0%"),"〇"))))</f>
        <v>―</v>
      </c>
      <c r="F301" s="10" t="str">
        <f aca="false">IF(OR(G301="",G301="なし"),"―",IF(CJ301=0,"入金不要",IF(COUNT(AD301,AF301,AH301,AJ301)=0,IF(AK301="○","手動確認","未入金"),IF(AND(N(AD301)=AC301,IF(AE301="",TRUE(),N(AF301)=AE301),IF(AG301="",TRUE(),N(AH301)=AG301),IF(AI301="",TRUE(),N(AJ301)=AI301)),"一致","不一致"))))</f>
        <v>入金不要</v>
      </c>
      <c r="G301" s="25" t="s">
        <v>167</v>
      </c>
      <c r="H301" s="26"/>
      <c r="I301" s="27"/>
      <c r="J301" s="27"/>
      <c r="K301" s="27"/>
      <c r="L301" s="27"/>
      <c r="M301" s="27"/>
      <c r="N301" s="27"/>
      <c r="O301" s="27"/>
      <c r="P301" s="27"/>
      <c r="Q301" s="27"/>
      <c r="R301" s="27"/>
      <c r="S301" s="27"/>
      <c r="T301" s="27" t="n">
        <v>0</v>
      </c>
      <c r="U301" s="27" t="n">
        <v>0</v>
      </c>
      <c r="V301" s="27" t="n">
        <v>0</v>
      </c>
      <c r="W301" s="27" t="n">
        <v>0</v>
      </c>
      <c r="X301" s="27" t="n">
        <v>0</v>
      </c>
      <c r="Y301" s="27" t="n">
        <v>0</v>
      </c>
      <c r="Z301" s="27"/>
      <c r="AA301" s="10" t="str">
        <f aca="false">IFERROR(INDEX(設定!$E$61:$E$106,MATCH(B301,設定!$B$61:$B$106,0)),"合算")</f>
        <v>合算</v>
      </c>
      <c r="AB301" s="28"/>
      <c r="AC301" s="29" t="n">
        <f aca="false">IF(OR(G301="",G301="なし"),"",IF(AA301="合算",CJ301+N(Z301),IF(AA301="掛金・負担金別",(AY301+AZ301+BD301+BF301+BH301),SUM(AY301:BC301))))</f>
        <v>0</v>
      </c>
      <c r="AD301" s="27"/>
      <c r="AE301" s="29" t="str">
        <f aca="false">IF(OR(G301="",G301="なし"),"",IF(AA301="掛金・負担金別",(BA301+BB301+BC301+BE301+BG301+BI301+N(Z301)),IF(AA301="経理区分別",BD301+BE301,"")))</f>
        <v/>
      </c>
      <c r="AF301" s="27"/>
      <c r="AG301" s="29" t="str">
        <f aca="false">IF(OR(G301="",G301="なし"),"",IF(AA301="経理区分別",BF301+BG301,""))</f>
        <v/>
      </c>
      <c r="AH301" s="27"/>
      <c r="AI301" s="29" t="str">
        <f aca="false">IF(OR(G301="",G301="なし"),"",IF(AA301="経理区分別",BH301+BI301+N(Z301),""))</f>
        <v/>
      </c>
      <c r="AJ301" s="27"/>
      <c r="AK301" s="26" t="s">
        <v>168</v>
      </c>
      <c r="AL301" s="26"/>
      <c r="AM301" s="30"/>
      <c r="AN301" s="31"/>
      <c r="AO301" s="31"/>
      <c r="AP301" s="31"/>
      <c r="AQ301" s="31"/>
      <c r="AR301" s="31"/>
      <c r="AS301" s="31"/>
      <c r="AT301" s="31"/>
      <c r="AU301" s="31"/>
      <c r="AV301" s="31"/>
      <c r="AW301" s="31"/>
      <c r="AX301" s="31"/>
      <c r="AY301" s="31" t="n">
        <f aca="false">IF($G301="",AN301,O301)</f>
        <v>0</v>
      </c>
      <c r="AZ301" s="31" t="n">
        <f aca="false">IF($G301="",AO301,P301)</f>
        <v>0</v>
      </c>
      <c r="BA301" s="31" t="n">
        <f aca="false">IF($G301="",AP301,T301)</f>
        <v>0</v>
      </c>
      <c r="BB301" s="31" t="n">
        <f aca="false">IF($G301="",AQ301,U301)</f>
        <v>0</v>
      </c>
      <c r="BC301" s="31" t="n">
        <f aca="false">IF($G301="",AR301,V301)</f>
        <v>0</v>
      </c>
      <c r="BD301" s="31" t="n">
        <f aca="false">IF($G301="",AS301,Q301)</f>
        <v>0</v>
      </c>
      <c r="BE301" s="31" t="n">
        <f aca="false">IF($G301="",AT301,W301)</f>
        <v>0</v>
      </c>
      <c r="BF301" s="31" t="n">
        <f aca="false">IF($G301="",AU301,R301)</f>
        <v>0</v>
      </c>
      <c r="BG301" s="31" t="n">
        <f aca="false">IF($G301="",AV301,X301)</f>
        <v>0</v>
      </c>
      <c r="BH301" s="31" t="n">
        <f aca="false">IF($G301="",AW301,S301)</f>
        <v>0</v>
      </c>
      <c r="BI301" s="31" t="n">
        <f aca="false">IF($G301="",AX301,Y301)</f>
        <v>0</v>
      </c>
      <c r="BJ301" s="31" t="n">
        <f aca="false">IF(CK301="N",BR301,ROUNDDOWN((I301-L301)*設定!$B$10/1000,0)+ROUNDDOWN((I301-L301)*設定!$B$11/1000,0))</f>
        <v>0</v>
      </c>
      <c r="BK301" s="31" t="n">
        <f aca="false">ROUNDDOWN((I301-L301)*設定!$C$10/1000,0)+ROUNDDOWN((I301-L301)*設定!$C$11/1000,0)+ROUNDDOWN(I301*設定!$C$12/1000,0)+IF(CL301="市局型",ROUNDDOWN(I301*設定!$C$16/1000,0),0)</f>
        <v>0</v>
      </c>
      <c r="BL301" s="31" t="n">
        <f aca="false">IF(CK301="N",BT301,ROUNDDOWN((J301-M301)*設定!$B$13/1000,0))</f>
        <v>0</v>
      </c>
      <c r="BM301" s="31" t="n">
        <f aca="false">ROUNDDOWN((J301-M301)*設定!$C$13/1000,0)+IF(CL301="市局型",ROUNDDOWN(J301*設定!$C$17/1000,0),0)</f>
        <v>0</v>
      </c>
      <c r="BN301" s="31" t="n">
        <f aca="false">IF(CK301="N",BV301,ROUNDDOWN((K301-N301)*設定!$B$14/1000,0))</f>
        <v>0</v>
      </c>
      <c r="BO301" s="31" t="n">
        <f aca="false">ROUNDDOWN((K301-N301)*設定!$C$14/1000,0)</f>
        <v>0</v>
      </c>
      <c r="BP301" s="31" t="n">
        <f aca="false">IF(CK301="N",BX301,ROUNDDOWN((J301-M301)*設定!$B$15/1000,0))</f>
        <v>0</v>
      </c>
      <c r="BQ301" s="31" t="n">
        <f aca="false">ROUNDDOWN((J301-M301)*設定!$C$15/1000,0)</f>
        <v>0</v>
      </c>
      <c r="BR301" s="31" t="n">
        <f aca="false">O301+P301</f>
        <v>0</v>
      </c>
      <c r="BS301" s="31" t="n">
        <f aca="false">T301+U301+V301</f>
        <v>0</v>
      </c>
      <c r="BT301" s="31" t="n">
        <f aca="false">Q301</f>
        <v>0</v>
      </c>
      <c r="BU301" s="31" t="n">
        <f aca="false">W301</f>
        <v>0</v>
      </c>
      <c r="BV301" s="31" t="n">
        <f aca="false">R301</f>
        <v>0</v>
      </c>
      <c r="BW301" s="31" t="n">
        <f aca="false">X301</f>
        <v>0</v>
      </c>
      <c r="BX301" s="31" t="n">
        <f aca="false">S301</f>
        <v>0</v>
      </c>
      <c r="BY301" s="31" t="n">
        <f aca="false">Y301</f>
        <v>0</v>
      </c>
      <c r="BZ301" s="32" t="n">
        <f aca="false">IF(BJ301=0,IF(BR301=0,0,1),(BR301-BJ301)/BJ301)</f>
        <v>0</v>
      </c>
      <c r="CA301" s="32" t="n">
        <f aca="false">IF(BK301=0,IF(BS301=0,0,1),(BS301-BK301)/BK301)</f>
        <v>0</v>
      </c>
      <c r="CB301" s="32" t="n">
        <f aca="false">IF(BL301=0,IF(BT301=0,0,1),(BT301-BL301)/BL301)</f>
        <v>0</v>
      </c>
      <c r="CC301" s="32" t="n">
        <f aca="false">IF(BM301=0,IF(BU301=0,0,1),(BU301-BM301)/BM301)</f>
        <v>0</v>
      </c>
      <c r="CD301" s="32" t="n">
        <f aca="false">IF(BN301=0,IF(BV301=0,0,1),(BV301-BN301)/BN301)</f>
        <v>0</v>
      </c>
      <c r="CE301" s="32" t="n">
        <f aca="false">IF(BO301=0,IF(BW301=0,0,1),(BW301-BO301)/BO301)</f>
        <v>0</v>
      </c>
      <c r="CF301" s="32" t="n">
        <f aca="false">IF(BP301=0,IF(BX301=0,0,1),(BX301-BP301)/BP301)</f>
        <v>0</v>
      </c>
      <c r="CG301" s="32" t="n">
        <f aca="false">IF(BQ301=0,IF(BY301=0,0,1),(BY301-BQ301)/BQ301)</f>
        <v>0</v>
      </c>
      <c r="CH301" s="32" t="n">
        <f aca="false">MAX(MAX(BZ301:CG301),-MIN(BZ301:CG301))</f>
        <v>-0</v>
      </c>
      <c r="CI301" s="31" t="n">
        <f aca="false">IF(CO301="","",SUMIFS($CJ$7:$CJ$696,$A$7:$A$696,CO301,$B$7:$B$696,B301))</f>
        <v>0</v>
      </c>
      <c r="CJ301" s="31" t="n">
        <f aca="false">SUM(AY301:BI301)</f>
        <v>0</v>
      </c>
      <c r="CK301" s="31" t="str">
        <f aca="false">IFERROR(INDEX(設定!$F$61:$F$106,MATCH(B301,設定!$B$61:$B$106,0)),"Y")</f>
        <v>N</v>
      </c>
      <c r="CL301" s="31" t="str">
        <f aca="false">IFERROR(INDEX(設定!$G$61:$G$106,MATCH(B301,設定!$B$61:$B$106,0)),"外郭型")</f>
        <v>外郭型</v>
      </c>
      <c r="CM301" s="33" t="str">
        <f aca="false">A301&amp;"|"&amp;B301</f>
        <v>2026-09 月例|都市整備公社　市</v>
      </c>
      <c r="CN301" s="34" t="str">
        <f aca="false">IFERROR(INDEX(設定!$D$61:$D$106,MATCH(B301,設定!$B$61:$B$106,0)),"Y")</f>
        <v>Y</v>
      </c>
      <c r="CO301" s="34" t="str">
        <f aca="false">IFERROR(INDEX(設定!$D$20:$D$34,MATCH(A301,設定!$A$20:$A$34,0))&amp;"","")</f>
        <v>2026-08 月例</v>
      </c>
    </row>
    <row r="302" customFormat="false" ht="15" hidden="true" customHeight="false" outlineLevel="0" collapsed="false">
      <c r="A302" s="22" t="s">
        <v>222</v>
      </c>
      <c r="B302" s="23" t="s">
        <v>188</v>
      </c>
      <c r="C302" s="10" t="str">
        <f aca="false">IF(G302="","未受領",IF(G302="なし","報告なし",IF(AL302="○","起票済",IF(OR(AK302="○",F302="一致",F302="入金不要"),"入金確認済","受領済"))))</f>
        <v>入金確認済</v>
      </c>
      <c r="D302" s="10" t="str">
        <f aca="false">IF(OR(G302="",G302="なし"),"―",IF(CN302="N","対象外",IF(AND(I302="",J302="",K302=""),"標報未入力",IF(CH302&gt;=設定!$B$4,"要確認","問題なし"))))</f>
        <v>標報未入力</v>
      </c>
      <c r="E302" s="24" t="str">
        <f aca="false">IF(OR(G302="",G302="なし",CI302="",CJ302=0),"―",IF(CJ302=CI302,"前月同額",IF(CI302=0,"―",IF(ABS(CJ302/CI302-1)&gt;=設定!$B$5,"変動大 "&amp;TEXT(CJ302/CI302-1,"+0%;-0%"),"〇"))))</f>
        <v>〇</v>
      </c>
      <c r="F302" s="10" t="str">
        <f aca="false">IF(OR(G302="",G302="なし"),"―",IF(CJ302=0,"入金不要",IF(COUNT(AD302,AF302,AH302,AJ302)=0,IF(AK302="○","手動確認","未入金"),IF(AND(N(AD302)=AC302,IF(AE302="",TRUE(),N(AF302)=AE302),IF(AG302="",TRUE(),N(AH302)=AG302),IF(AI302="",TRUE(),N(AJ302)=AI302)),"一致","不一致"))))</f>
        <v>手動確認</v>
      </c>
      <c r="G302" s="25" t="s">
        <v>167</v>
      </c>
      <c r="H302" s="26"/>
      <c r="I302" s="27"/>
      <c r="J302" s="27"/>
      <c r="K302" s="27"/>
      <c r="L302" s="27"/>
      <c r="M302" s="27"/>
      <c r="N302" s="27"/>
      <c r="O302" s="27"/>
      <c r="P302" s="27"/>
      <c r="Q302" s="27"/>
      <c r="R302" s="27"/>
      <c r="S302" s="27"/>
      <c r="T302" s="27" t="n">
        <v>192150</v>
      </c>
      <c r="U302" s="27" t="n">
        <v>15750</v>
      </c>
      <c r="V302" s="27" t="n">
        <v>182</v>
      </c>
      <c r="W302" s="27" t="n">
        <v>109011</v>
      </c>
      <c r="X302" s="27" t="n">
        <v>12877</v>
      </c>
      <c r="Y302" s="27" t="n">
        <v>2415</v>
      </c>
      <c r="Z302" s="27"/>
      <c r="AA302" s="10" t="str">
        <f aca="false">IFERROR(INDEX(設定!$E$61:$E$106,MATCH(B302,設定!$B$61:$B$106,0)),"合算")</f>
        <v>合算</v>
      </c>
      <c r="AB302" s="28"/>
      <c r="AC302" s="29" t="n">
        <f aca="false">IF(OR(G302="",G302="なし"),"",IF(AA302="合算",CJ302+N(Z302),IF(AA302="掛金・負担金別",(AY302+AZ302+BD302+BF302+BH302),SUM(AY302:BC302))))</f>
        <v>332385</v>
      </c>
      <c r="AD302" s="27"/>
      <c r="AE302" s="29" t="str">
        <f aca="false">IF(OR(G302="",G302="なし"),"",IF(AA302="掛金・負担金別",(BA302+BB302+BC302+BE302+BG302+BI302+N(Z302)),IF(AA302="経理区分別",BD302+BE302,"")))</f>
        <v/>
      </c>
      <c r="AF302" s="27"/>
      <c r="AG302" s="29" t="str">
        <f aca="false">IF(OR(G302="",G302="なし"),"",IF(AA302="経理区分別",BF302+BG302,""))</f>
        <v/>
      </c>
      <c r="AH302" s="27"/>
      <c r="AI302" s="29" t="str">
        <f aca="false">IF(OR(G302="",G302="なし"),"",IF(AA302="経理区分別",BH302+BI302+N(Z302),""))</f>
        <v/>
      </c>
      <c r="AJ302" s="27"/>
      <c r="AK302" s="26" t="s">
        <v>168</v>
      </c>
      <c r="AL302" s="26"/>
      <c r="AM302" s="30"/>
      <c r="AN302" s="31"/>
      <c r="AO302" s="31"/>
      <c r="AP302" s="31"/>
      <c r="AQ302" s="31"/>
      <c r="AR302" s="31"/>
      <c r="AS302" s="31"/>
      <c r="AT302" s="31"/>
      <c r="AU302" s="31"/>
      <c r="AV302" s="31"/>
      <c r="AW302" s="31"/>
      <c r="AX302" s="31"/>
      <c r="AY302" s="31" t="n">
        <f aca="false">IF($G302="",AN302,O302)</f>
        <v>0</v>
      </c>
      <c r="AZ302" s="31" t="n">
        <f aca="false">IF($G302="",AO302,P302)</f>
        <v>0</v>
      </c>
      <c r="BA302" s="31" t="n">
        <f aca="false">IF($G302="",AP302,T302)</f>
        <v>192150</v>
      </c>
      <c r="BB302" s="31" t="n">
        <f aca="false">IF($G302="",AQ302,U302)</f>
        <v>15750</v>
      </c>
      <c r="BC302" s="31" t="n">
        <f aca="false">IF($G302="",AR302,V302)</f>
        <v>182</v>
      </c>
      <c r="BD302" s="31" t="n">
        <f aca="false">IF($G302="",AS302,Q302)</f>
        <v>0</v>
      </c>
      <c r="BE302" s="31" t="n">
        <f aca="false">IF($G302="",AT302,W302)</f>
        <v>109011</v>
      </c>
      <c r="BF302" s="31" t="n">
        <f aca="false">IF($G302="",AU302,R302)</f>
        <v>0</v>
      </c>
      <c r="BG302" s="31" t="n">
        <f aca="false">IF($G302="",AV302,X302)</f>
        <v>12877</v>
      </c>
      <c r="BH302" s="31" t="n">
        <f aca="false">IF($G302="",AW302,S302)</f>
        <v>0</v>
      </c>
      <c r="BI302" s="31" t="n">
        <f aca="false">IF($G302="",AX302,Y302)</f>
        <v>2415</v>
      </c>
      <c r="BJ302" s="31" t="n">
        <f aca="false">IF(CK302="N",BR302,ROUNDDOWN((I302-L302)*設定!$B$10/1000,0)+ROUNDDOWN((I302-L302)*設定!$B$11/1000,0))</f>
        <v>0</v>
      </c>
      <c r="BK302" s="31" t="n">
        <f aca="false">ROUNDDOWN((I302-L302)*設定!$C$10/1000,0)+ROUNDDOWN((I302-L302)*設定!$C$11/1000,0)+ROUNDDOWN(I302*設定!$C$12/1000,0)+IF(CL302="市局型",ROUNDDOWN(I302*設定!$C$16/1000,0),0)</f>
        <v>0</v>
      </c>
      <c r="BL302" s="31" t="n">
        <f aca="false">IF(CK302="N",BT302,ROUNDDOWN((J302-M302)*設定!$B$13/1000,0))</f>
        <v>0</v>
      </c>
      <c r="BM302" s="31" t="n">
        <f aca="false">ROUNDDOWN((J302-M302)*設定!$C$13/1000,0)+IF(CL302="市局型",ROUNDDOWN(J302*設定!$C$17/1000,0),0)</f>
        <v>0</v>
      </c>
      <c r="BN302" s="31" t="n">
        <f aca="false">IF(CK302="N",BV302,ROUNDDOWN((K302-N302)*設定!$B$14/1000,0))</f>
        <v>0</v>
      </c>
      <c r="BO302" s="31" t="n">
        <f aca="false">ROUNDDOWN((K302-N302)*設定!$C$14/1000,0)</f>
        <v>0</v>
      </c>
      <c r="BP302" s="31" t="n">
        <f aca="false">IF(CK302="N",BX302,ROUNDDOWN((J302-M302)*設定!$B$15/1000,0))</f>
        <v>0</v>
      </c>
      <c r="BQ302" s="31" t="n">
        <f aca="false">ROUNDDOWN((J302-M302)*設定!$C$15/1000,0)</f>
        <v>0</v>
      </c>
      <c r="BR302" s="31" t="n">
        <f aca="false">O302+P302</f>
        <v>0</v>
      </c>
      <c r="BS302" s="31" t="n">
        <f aca="false">T302+U302+V302</f>
        <v>208082</v>
      </c>
      <c r="BT302" s="31" t="n">
        <f aca="false">Q302</f>
        <v>0</v>
      </c>
      <c r="BU302" s="31" t="n">
        <f aca="false">W302</f>
        <v>109011</v>
      </c>
      <c r="BV302" s="31" t="n">
        <f aca="false">R302</f>
        <v>0</v>
      </c>
      <c r="BW302" s="31" t="n">
        <f aca="false">X302</f>
        <v>12877</v>
      </c>
      <c r="BX302" s="31" t="n">
        <f aca="false">S302</f>
        <v>0</v>
      </c>
      <c r="BY302" s="31" t="n">
        <f aca="false">Y302</f>
        <v>2415</v>
      </c>
      <c r="BZ302" s="32" t="n">
        <f aca="false">IF(BJ302=0,IF(BR302=0,0,1),(BR302-BJ302)/BJ302)</f>
        <v>0</v>
      </c>
      <c r="CA302" s="32" t="n">
        <f aca="false">IF(BK302=0,IF(BS302=0,0,1),(BS302-BK302)/BK302)</f>
        <v>1</v>
      </c>
      <c r="CB302" s="32" t="n">
        <f aca="false">IF(BL302=0,IF(BT302=0,0,1),(BT302-BL302)/BL302)</f>
        <v>0</v>
      </c>
      <c r="CC302" s="32" t="n">
        <f aca="false">IF(BM302=0,IF(BU302=0,0,1),(BU302-BM302)/BM302)</f>
        <v>1</v>
      </c>
      <c r="CD302" s="32" t="n">
        <f aca="false">IF(BN302=0,IF(BV302=0,0,1),(BV302-BN302)/BN302)</f>
        <v>0</v>
      </c>
      <c r="CE302" s="32" t="n">
        <f aca="false">IF(BO302=0,IF(BW302=0,0,1),(BW302-BO302)/BO302)</f>
        <v>1</v>
      </c>
      <c r="CF302" s="32" t="n">
        <f aca="false">IF(BP302=0,IF(BX302=0,0,1),(BX302-BP302)/BP302)</f>
        <v>0</v>
      </c>
      <c r="CG302" s="32" t="n">
        <f aca="false">IF(BQ302=0,IF(BY302=0,0,1),(BY302-BQ302)/BQ302)</f>
        <v>1</v>
      </c>
      <c r="CH302" s="32" t="n">
        <f aca="false">MAX(MAX(BZ302:CG302),-MIN(BZ302:CG302))</f>
        <v>1</v>
      </c>
      <c r="CI302" s="31" t="n">
        <f aca="false">IF(CO302="","",SUMIFS($CJ$7:$CJ$696,$A$7:$A$696,CO302,$B$7:$B$696,B302))</f>
        <v>333985</v>
      </c>
      <c r="CJ302" s="31" t="n">
        <f aca="false">SUM(AY302:BI302)</f>
        <v>332385</v>
      </c>
      <c r="CK302" s="31" t="str">
        <f aca="false">IFERROR(INDEX(設定!$F$61:$F$106,MATCH(B302,設定!$B$61:$B$106,0)),"Y")</f>
        <v>N</v>
      </c>
      <c r="CL302" s="31" t="str">
        <f aca="false">IFERROR(INDEX(設定!$G$61:$G$106,MATCH(B302,設定!$B$61:$B$106,0)),"外郭型")</f>
        <v>外郭型</v>
      </c>
      <c r="CM302" s="33" t="str">
        <f aca="false">A302&amp;"|"&amp;B302</f>
        <v>2026-09 月例|都市整備公社　消防</v>
      </c>
      <c r="CN302" s="34" t="str">
        <f aca="false">IFERROR(INDEX(設定!$D$61:$D$106,MATCH(B302,設定!$B$61:$B$106,0)),"Y")</f>
        <v>Y</v>
      </c>
      <c r="CO302" s="34" t="str">
        <f aca="false">IFERROR(INDEX(設定!$D$20:$D$34,MATCH(A302,設定!$A$20:$A$34,0))&amp;"","")</f>
        <v>2026-08 月例</v>
      </c>
    </row>
    <row r="303" customFormat="false" ht="15" hidden="true" customHeight="false" outlineLevel="0" collapsed="false">
      <c r="A303" s="22" t="s">
        <v>222</v>
      </c>
      <c r="B303" s="23" t="s">
        <v>189</v>
      </c>
      <c r="C303" s="10" t="str">
        <f aca="false">IF(G303="","未受領",IF(G303="なし","報告なし",IF(AL303="○","起票済",IF(OR(AK303="○",F303="一致",F303="入金不要"),"入金確認済","受領済"))))</f>
        <v>入金確認済</v>
      </c>
      <c r="D303" s="10" t="str">
        <f aca="false">IF(OR(G303="",G303="なし"),"―",IF(CN303="N","対象外",IF(AND(I303="",J303="",K303=""),"標報未入力",IF(CH303&gt;=設定!$B$4,"要確認","問題なし"))))</f>
        <v>標報未入力</v>
      </c>
      <c r="E303" s="24" t="str">
        <f aca="false">IF(OR(G303="",G303="なし",CI303="",CJ303=0),"―",IF(CJ303=CI303,"前月同額",IF(CI303=0,"―",IF(ABS(CJ303/CI303-1)&gt;=設定!$B$5,"変動大 "&amp;TEXT(CJ303/CI303-1,"+0%;-0%"),"〇"))))</f>
        <v>〇</v>
      </c>
      <c r="F303" s="10" t="str">
        <f aca="false">IF(OR(G303="",G303="なし"),"―",IF(CJ303=0,"入金不要",IF(COUNT(AD303,AF303,AH303,AJ303)=0,IF(AK303="○","手動確認","未入金"),IF(AND(N(AD303)=AC303,IF(AE303="",TRUE(),N(AF303)=AE303),IF(AG303="",TRUE(),N(AH303)=AG303),IF(AI303="",TRUE(),N(AJ303)=AI303)),"一致","不一致"))))</f>
        <v>手動確認</v>
      </c>
      <c r="G303" s="25" t="s">
        <v>167</v>
      </c>
      <c r="H303" s="26"/>
      <c r="I303" s="27"/>
      <c r="J303" s="27"/>
      <c r="K303" s="27"/>
      <c r="L303" s="27"/>
      <c r="M303" s="27"/>
      <c r="N303" s="27"/>
      <c r="O303" s="27" t="n">
        <v>247050</v>
      </c>
      <c r="P303" s="27" t="n">
        <v>20250</v>
      </c>
      <c r="Q303" s="27" t="n">
        <v>140021</v>
      </c>
      <c r="R303" s="27" t="n">
        <v>10270</v>
      </c>
      <c r="S303" s="27" t="n">
        <v>3104</v>
      </c>
      <c r="T303" s="27" t="n">
        <v>247050</v>
      </c>
      <c r="U303" s="27" t="n">
        <v>20250</v>
      </c>
      <c r="V303" s="27" t="n">
        <v>234</v>
      </c>
      <c r="W303" s="27" t="n">
        <v>140157</v>
      </c>
      <c r="X303" s="27" t="n">
        <v>10270</v>
      </c>
      <c r="Y303" s="27" t="n">
        <v>3105</v>
      </c>
      <c r="Z303" s="27"/>
      <c r="AA303" s="10" t="str">
        <f aca="false">IFERROR(INDEX(設定!$E$61:$E$106,MATCH(B303,設定!$B$61:$B$106,0)),"合算")</f>
        <v>合算</v>
      </c>
      <c r="AB303" s="28"/>
      <c r="AC303" s="29" t="n">
        <f aca="false">IF(OR(G303="",G303="なし"),"",IF(AA303="合算",CJ303+N(Z303),IF(AA303="掛金・負担金別",(AY303+AZ303+BD303+BF303+BH303),SUM(AY303:BC303))))</f>
        <v>841761</v>
      </c>
      <c r="AD303" s="27"/>
      <c r="AE303" s="29" t="str">
        <f aca="false">IF(OR(G303="",G303="なし"),"",IF(AA303="掛金・負担金別",(BA303+BB303+BC303+BE303+BG303+BI303+N(Z303)),IF(AA303="経理区分別",BD303+BE303,"")))</f>
        <v/>
      </c>
      <c r="AF303" s="27"/>
      <c r="AG303" s="29" t="str">
        <f aca="false">IF(OR(G303="",G303="なし"),"",IF(AA303="経理区分別",BF303+BG303,""))</f>
        <v/>
      </c>
      <c r="AH303" s="27"/>
      <c r="AI303" s="29" t="str">
        <f aca="false">IF(OR(G303="",G303="なし"),"",IF(AA303="経理区分別",BH303+BI303+N(Z303),""))</f>
        <v/>
      </c>
      <c r="AJ303" s="27"/>
      <c r="AK303" s="26" t="s">
        <v>168</v>
      </c>
      <c r="AL303" s="26"/>
      <c r="AM303" s="30"/>
      <c r="AN303" s="31"/>
      <c r="AO303" s="31"/>
      <c r="AP303" s="31"/>
      <c r="AQ303" s="31"/>
      <c r="AR303" s="31"/>
      <c r="AS303" s="31"/>
      <c r="AT303" s="31"/>
      <c r="AU303" s="31"/>
      <c r="AV303" s="31"/>
      <c r="AW303" s="31"/>
      <c r="AX303" s="31"/>
      <c r="AY303" s="31" t="n">
        <f aca="false">IF($G303="",AN303,O303)</f>
        <v>247050</v>
      </c>
      <c r="AZ303" s="31" t="n">
        <f aca="false">IF($G303="",AO303,P303)</f>
        <v>20250</v>
      </c>
      <c r="BA303" s="31" t="n">
        <f aca="false">IF($G303="",AP303,T303)</f>
        <v>247050</v>
      </c>
      <c r="BB303" s="31" t="n">
        <f aca="false">IF($G303="",AQ303,U303)</f>
        <v>20250</v>
      </c>
      <c r="BC303" s="31" t="n">
        <f aca="false">IF($G303="",AR303,V303)</f>
        <v>234</v>
      </c>
      <c r="BD303" s="31" t="n">
        <f aca="false">IF($G303="",AS303,Q303)</f>
        <v>140021</v>
      </c>
      <c r="BE303" s="31" t="n">
        <f aca="false">IF($G303="",AT303,W303)</f>
        <v>140157</v>
      </c>
      <c r="BF303" s="31" t="n">
        <f aca="false">IF($G303="",AU303,R303)</f>
        <v>10270</v>
      </c>
      <c r="BG303" s="31" t="n">
        <f aca="false">IF($G303="",AV303,X303)</f>
        <v>10270</v>
      </c>
      <c r="BH303" s="31" t="n">
        <f aca="false">IF($G303="",AW303,S303)</f>
        <v>3104</v>
      </c>
      <c r="BI303" s="31" t="n">
        <f aca="false">IF($G303="",AX303,Y303)</f>
        <v>3105</v>
      </c>
      <c r="BJ303" s="31" t="n">
        <f aca="false">IF(CK303="N",BR303,ROUNDDOWN((I303-L303)*設定!$B$10/1000,0)+ROUNDDOWN((I303-L303)*設定!$B$11/1000,0))</f>
        <v>0</v>
      </c>
      <c r="BK303" s="31" t="n">
        <f aca="false">ROUNDDOWN((I303-L303)*設定!$C$10/1000,0)+ROUNDDOWN((I303-L303)*設定!$C$11/1000,0)+ROUNDDOWN(I303*設定!$C$12/1000,0)+IF(CL303="市局型",ROUNDDOWN(I303*設定!$C$16/1000,0),0)</f>
        <v>0</v>
      </c>
      <c r="BL303" s="31" t="n">
        <f aca="false">IF(CK303="N",BT303,ROUNDDOWN((J303-M303)*設定!$B$13/1000,0))</f>
        <v>0</v>
      </c>
      <c r="BM303" s="31" t="n">
        <f aca="false">ROUNDDOWN((J303-M303)*設定!$C$13/1000,0)+IF(CL303="市局型",ROUNDDOWN(J303*設定!$C$17/1000,0),0)</f>
        <v>0</v>
      </c>
      <c r="BN303" s="31" t="n">
        <f aca="false">IF(CK303="N",BV303,ROUNDDOWN((K303-N303)*設定!$B$14/1000,0))</f>
        <v>0</v>
      </c>
      <c r="BO303" s="31" t="n">
        <f aca="false">ROUNDDOWN((K303-N303)*設定!$C$14/1000,0)</f>
        <v>0</v>
      </c>
      <c r="BP303" s="31" t="n">
        <f aca="false">IF(CK303="N",BX303,ROUNDDOWN((J303-M303)*設定!$B$15/1000,0))</f>
        <v>0</v>
      </c>
      <c r="BQ303" s="31" t="n">
        <f aca="false">ROUNDDOWN((J303-M303)*設定!$C$15/1000,0)</f>
        <v>0</v>
      </c>
      <c r="BR303" s="31" t="n">
        <f aca="false">O303+P303</f>
        <v>267300</v>
      </c>
      <c r="BS303" s="31" t="n">
        <f aca="false">T303+U303+V303</f>
        <v>267534</v>
      </c>
      <c r="BT303" s="31" t="n">
        <f aca="false">Q303</f>
        <v>140021</v>
      </c>
      <c r="BU303" s="31" t="n">
        <f aca="false">W303</f>
        <v>140157</v>
      </c>
      <c r="BV303" s="31" t="n">
        <f aca="false">R303</f>
        <v>10270</v>
      </c>
      <c r="BW303" s="31" t="n">
        <f aca="false">X303</f>
        <v>10270</v>
      </c>
      <c r="BX303" s="31" t="n">
        <f aca="false">S303</f>
        <v>3104</v>
      </c>
      <c r="BY303" s="31" t="n">
        <f aca="false">Y303</f>
        <v>3105</v>
      </c>
      <c r="BZ303" s="32" t="n">
        <f aca="false">IF(BJ303=0,IF(BR303=0,0,1),(BR303-BJ303)/BJ303)</f>
        <v>1</v>
      </c>
      <c r="CA303" s="32" t="n">
        <f aca="false">IF(BK303=0,IF(BS303=0,0,1),(BS303-BK303)/BK303)</f>
        <v>1</v>
      </c>
      <c r="CB303" s="32" t="n">
        <f aca="false">IF(BL303=0,IF(BT303=0,0,1),(BT303-BL303)/BL303)</f>
        <v>1</v>
      </c>
      <c r="CC303" s="32" t="n">
        <f aca="false">IF(BM303=0,IF(BU303=0,0,1),(BU303-BM303)/BM303)</f>
        <v>1</v>
      </c>
      <c r="CD303" s="32" t="n">
        <f aca="false">IF(BN303=0,IF(BV303=0,0,1),(BV303-BN303)/BN303)</f>
        <v>1</v>
      </c>
      <c r="CE303" s="32" t="n">
        <f aca="false">IF(BO303=0,IF(BW303=0,0,1),(BW303-BO303)/BO303)</f>
        <v>1</v>
      </c>
      <c r="CF303" s="32" t="n">
        <f aca="false">IF(BP303=0,IF(BX303=0,0,1),(BX303-BP303)/BP303)</f>
        <v>1</v>
      </c>
      <c r="CG303" s="32" t="n">
        <f aca="false">IF(BQ303=0,IF(BY303=0,0,1),(BY303-BQ303)/BQ303)</f>
        <v>1</v>
      </c>
      <c r="CH303" s="32" t="n">
        <f aca="false">MAX(MAX(BZ303:CG303),-MIN(BZ303:CG303))</f>
        <v>1</v>
      </c>
      <c r="CI303" s="31" t="n">
        <f aca="false">IF(CO303="","",SUMIFS($CJ$7:$CJ$696,$A$7:$A$696,CO303,$B$7:$B$696,B303))</f>
        <v>830822</v>
      </c>
      <c r="CJ303" s="31" t="n">
        <f aca="false">SUM(AY303:BI303)</f>
        <v>841761</v>
      </c>
      <c r="CK303" s="31" t="str">
        <f aca="false">IFERROR(INDEX(設定!$F$61:$F$106,MATCH(B303,設定!$B$61:$B$106,0)),"Y")</f>
        <v>Y</v>
      </c>
      <c r="CL303" s="31" t="str">
        <f aca="false">IFERROR(INDEX(設定!$G$61:$G$106,MATCH(B303,設定!$B$61:$B$106,0)),"外郭型")</f>
        <v>外郭型</v>
      </c>
      <c r="CM303" s="33" t="str">
        <f aca="false">A303&amp;"|"&amp;B303</f>
        <v>2026-09 月例|日本下水道事業団</v>
      </c>
      <c r="CN303" s="34" t="str">
        <f aca="false">IFERROR(INDEX(設定!$D$61:$D$106,MATCH(B303,設定!$B$61:$B$106,0)),"Y")</f>
        <v>Y</v>
      </c>
      <c r="CO303" s="34" t="str">
        <f aca="false">IFERROR(INDEX(設定!$D$20:$D$34,MATCH(A303,設定!$A$20:$A$34,0))&amp;"","")</f>
        <v>2026-08 月例</v>
      </c>
    </row>
    <row r="304" customFormat="false" ht="15" hidden="true" customHeight="false" outlineLevel="0" collapsed="false">
      <c r="A304" s="22" t="s">
        <v>222</v>
      </c>
      <c r="B304" s="23" t="s">
        <v>190</v>
      </c>
      <c r="C304" s="10" t="str">
        <f aca="false">IF(G304="","未受領",IF(G304="なし","報告なし",IF(AL304="○","起票済",IF(OR(AK304="○",F304="一致",F304="入金不要"),"入金確認済","受領済"))))</f>
        <v>入金確認済</v>
      </c>
      <c r="D304" s="10" t="str">
        <f aca="false">IF(OR(G304="",G304="なし"),"―",IF(CN304="N","対象外",IF(AND(I304="",J304="",K304=""),"標報未入力",IF(CH304&gt;=設定!$B$4,"要確認","問題なし"))))</f>
        <v>標報未入力</v>
      </c>
      <c r="E304" s="24" t="str">
        <f aca="false">IF(OR(G304="",G304="なし",CI304="",CJ304=0),"―",IF(CJ304=CI304,"前月同額",IF(CI304=0,"―",IF(ABS(CJ304/CI304-1)&gt;=設定!$B$5,"変動大 "&amp;TEXT(CJ304/CI304-1,"+0%;-0%"),"〇"))))</f>
        <v>〇</v>
      </c>
      <c r="F304" s="10" t="str">
        <f aca="false">IF(OR(G304="",G304="なし"),"―",IF(CJ304=0,"入金不要",IF(COUNT(AD304,AF304,AH304,AJ304)=0,IF(AK304="○","手動確認","未入金"),IF(AND(N(AD304)=AC304,IF(AE304="",TRUE(),N(AF304)=AE304),IF(AG304="",TRUE(),N(AH304)=AG304),IF(AI304="",TRUE(),N(AJ304)=AI304)),"一致","不一致"))))</f>
        <v>手動確認</v>
      </c>
      <c r="G304" s="25" t="s">
        <v>167</v>
      </c>
      <c r="H304" s="26"/>
      <c r="I304" s="27"/>
      <c r="J304" s="27"/>
      <c r="K304" s="27"/>
      <c r="L304" s="27"/>
      <c r="M304" s="27"/>
      <c r="N304" s="27"/>
      <c r="O304" s="27" t="n">
        <v>43005</v>
      </c>
      <c r="P304" s="27" t="n">
        <v>3525</v>
      </c>
      <c r="Q304" s="27" t="n">
        <v>24374</v>
      </c>
      <c r="R304" s="27" t="n">
        <v>0</v>
      </c>
      <c r="S304" s="27" t="n">
        <v>540</v>
      </c>
      <c r="T304" s="27" t="n">
        <v>43005</v>
      </c>
      <c r="U304" s="27" t="n">
        <v>3525</v>
      </c>
      <c r="V304" s="27" t="n">
        <v>40</v>
      </c>
      <c r="W304" s="27" t="n">
        <v>24397</v>
      </c>
      <c r="X304" s="27" t="n">
        <v>0</v>
      </c>
      <c r="Y304" s="27" t="n">
        <v>540</v>
      </c>
      <c r="Z304" s="27"/>
      <c r="AA304" s="10" t="str">
        <f aca="false">IFERROR(INDEX(設定!$E$61:$E$106,MATCH(B304,設定!$B$61:$B$106,0)),"合算")</f>
        <v>合算</v>
      </c>
      <c r="AB304" s="28"/>
      <c r="AC304" s="29" t="n">
        <f aca="false">IF(OR(G304="",G304="なし"),"",IF(AA304="合算",CJ304+N(Z304),IF(AA304="掛金・負担金別",(AY304+AZ304+BD304+BF304+BH304),SUM(AY304:BC304))))</f>
        <v>142951</v>
      </c>
      <c r="AD304" s="27"/>
      <c r="AE304" s="29" t="str">
        <f aca="false">IF(OR(G304="",G304="なし"),"",IF(AA304="掛金・負担金別",(BA304+BB304+BC304+BE304+BG304+BI304+N(Z304)),IF(AA304="経理区分別",BD304+BE304,"")))</f>
        <v/>
      </c>
      <c r="AF304" s="27"/>
      <c r="AG304" s="29" t="str">
        <f aca="false">IF(OR(G304="",G304="なし"),"",IF(AA304="経理区分別",BF304+BG304,""))</f>
        <v/>
      </c>
      <c r="AH304" s="27"/>
      <c r="AI304" s="29" t="str">
        <f aca="false">IF(OR(G304="",G304="なし"),"",IF(AA304="経理区分別",BH304+BI304+N(Z304),""))</f>
        <v/>
      </c>
      <c r="AJ304" s="27"/>
      <c r="AK304" s="26" t="s">
        <v>168</v>
      </c>
      <c r="AL304" s="26"/>
      <c r="AM304" s="30"/>
      <c r="AN304" s="31"/>
      <c r="AO304" s="31"/>
      <c r="AP304" s="31"/>
      <c r="AQ304" s="31"/>
      <c r="AR304" s="31"/>
      <c r="AS304" s="31"/>
      <c r="AT304" s="31"/>
      <c r="AU304" s="31"/>
      <c r="AV304" s="31"/>
      <c r="AW304" s="31"/>
      <c r="AX304" s="31"/>
      <c r="AY304" s="31" t="n">
        <f aca="false">IF($G304="",AN304,O304)</f>
        <v>43005</v>
      </c>
      <c r="AZ304" s="31" t="n">
        <f aca="false">IF($G304="",AO304,P304)</f>
        <v>3525</v>
      </c>
      <c r="BA304" s="31" t="n">
        <f aca="false">IF($G304="",AP304,T304)</f>
        <v>43005</v>
      </c>
      <c r="BB304" s="31" t="n">
        <f aca="false">IF($G304="",AQ304,U304)</f>
        <v>3525</v>
      </c>
      <c r="BC304" s="31" t="n">
        <f aca="false">IF($G304="",AR304,V304)</f>
        <v>40</v>
      </c>
      <c r="BD304" s="31" t="n">
        <f aca="false">IF($G304="",AS304,Q304)</f>
        <v>24374</v>
      </c>
      <c r="BE304" s="31" t="n">
        <f aca="false">IF($G304="",AT304,W304)</f>
        <v>24397</v>
      </c>
      <c r="BF304" s="31" t="n">
        <f aca="false">IF($G304="",AU304,R304)</f>
        <v>0</v>
      </c>
      <c r="BG304" s="31" t="n">
        <f aca="false">IF($G304="",AV304,X304)</f>
        <v>0</v>
      </c>
      <c r="BH304" s="31" t="n">
        <f aca="false">IF($G304="",AW304,S304)</f>
        <v>540</v>
      </c>
      <c r="BI304" s="31" t="n">
        <f aca="false">IF($G304="",AX304,Y304)</f>
        <v>540</v>
      </c>
      <c r="BJ304" s="31" t="n">
        <f aca="false">IF(CK304="N",BR304,ROUNDDOWN((I304-L304)*設定!$B$10/1000,0)+ROUNDDOWN((I304-L304)*設定!$B$11/1000,0))</f>
        <v>0</v>
      </c>
      <c r="BK304" s="31" t="n">
        <f aca="false">ROUNDDOWN((I304-L304)*設定!$C$10/1000,0)+ROUNDDOWN((I304-L304)*設定!$C$11/1000,0)+ROUNDDOWN(I304*設定!$C$12/1000,0)+IF(CL304="市局型",ROUNDDOWN(I304*設定!$C$16/1000,0),0)</f>
        <v>0</v>
      </c>
      <c r="BL304" s="31" t="n">
        <f aca="false">IF(CK304="N",BT304,ROUNDDOWN((J304-M304)*設定!$B$13/1000,0))</f>
        <v>0</v>
      </c>
      <c r="BM304" s="31" t="n">
        <f aca="false">ROUNDDOWN((J304-M304)*設定!$C$13/1000,0)+IF(CL304="市局型",ROUNDDOWN(J304*設定!$C$17/1000,0),0)</f>
        <v>0</v>
      </c>
      <c r="BN304" s="31" t="n">
        <f aca="false">IF(CK304="N",BV304,ROUNDDOWN((K304-N304)*設定!$B$14/1000,0))</f>
        <v>0</v>
      </c>
      <c r="BO304" s="31" t="n">
        <f aca="false">ROUNDDOWN((K304-N304)*設定!$C$14/1000,0)</f>
        <v>0</v>
      </c>
      <c r="BP304" s="31" t="n">
        <f aca="false">IF(CK304="N",BX304,ROUNDDOWN((J304-M304)*設定!$B$15/1000,0))</f>
        <v>0</v>
      </c>
      <c r="BQ304" s="31" t="n">
        <f aca="false">ROUNDDOWN((J304-M304)*設定!$C$15/1000,0)</f>
        <v>0</v>
      </c>
      <c r="BR304" s="31" t="n">
        <f aca="false">O304+P304</f>
        <v>46530</v>
      </c>
      <c r="BS304" s="31" t="n">
        <f aca="false">T304+U304+V304</f>
        <v>46570</v>
      </c>
      <c r="BT304" s="31" t="n">
        <f aca="false">Q304</f>
        <v>24374</v>
      </c>
      <c r="BU304" s="31" t="n">
        <f aca="false">W304</f>
        <v>24397</v>
      </c>
      <c r="BV304" s="31" t="n">
        <f aca="false">R304</f>
        <v>0</v>
      </c>
      <c r="BW304" s="31" t="n">
        <f aca="false">X304</f>
        <v>0</v>
      </c>
      <c r="BX304" s="31" t="n">
        <f aca="false">S304</f>
        <v>540</v>
      </c>
      <c r="BY304" s="31" t="n">
        <f aca="false">Y304</f>
        <v>540</v>
      </c>
      <c r="BZ304" s="32" t="n">
        <f aca="false">IF(BJ304=0,IF(BR304=0,0,1),(BR304-BJ304)/BJ304)</f>
        <v>1</v>
      </c>
      <c r="CA304" s="32" t="n">
        <f aca="false">IF(BK304=0,IF(BS304=0,0,1),(BS304-BK304)/BK304)</f>
        <v>1</v>
      </c>
      <c r="CB304" s="32" t="n">
        <f aca="false">IF(BL304=0,IF(BT304=0,0,1),(BT304-BL304)/BL304)</f>
        <v>1</v>
      </c>
      <c r="CC304" s="32" t="n">
        <f aca="false">IF(BM304=0,IF(BU304=0,0,1),(BU304-BM304)/BM304)</f>
        <v>1</v>
      </c>
      <c r="CD304" s="32" t="n">
        <f aca="false">IF(BN304=0,IF(BV304=0,0,1),(BV304-BN304)/BN304)</f>
        <v>0</v>
      </c>
      <c r="CE304" s="32" t="n">
        <f aca="false">IF(BO304=0,IF(BW304=0,0,1),(BW304-BO304)/BO304)</f>
        <v>0</v>
      </c>
      <c r="CF304" s="32" t="n">
        <f aca="false">IF(BP304=0,IF(BX304=0,0,1),(BX304-BP304)/BP304)</f>
        <v>1</v>
      </c>
      <c r="CG304" s="32" t="n">
        <f aca="false">IF(BQ304=0,IF(BY304=0,0,1),(BY304-BQ304)/BQ304)</f>
        <v>1</v>
      </c>
      <c r="CH304" s="32" t="n">
        <f aca="false">MAX(MAX(BZ304:CG304),-MIN(BZ304:CG304))</f>
        <v>1</v>
      </c>
      <c r="CI304" s="31" t="n">
        <f aca="false">IF(CO304="","",SUMIFS($CJ$7:$CJ$696,$A$7:$A$696,CO304,$B$7:$B$696,B304))</f>
        <v>133828</v>
      </c>
      <c r="CJ304" s="31" t="n">
        <f aca="false">SUM(AY304:BI304)</f>
        <v>142951</v>
      </c>
      <c r="CK304" s="31" t="str">
        <f aca="false">IFERROR(INDEX(設定!$F$61:$F$106,MATCH(B304,設定!$B$61:$B$106,0)),"Y")</f>
        <v>Y</v>
      </c>
      <c r="CL304" s="31" t="str">
        <f aca="false">IFERROR(INDEX(設定!$G$61:$G$106,MATCH(B304,設定!$B$61:$B$106,0)),"外郭型")</f>
        <v>外郭型</v>
      </c>
      <c r="CM304" s="33" t="str">
        <f aca="false">A304&amp;"|"&amp;B304</f>
        <v>2026-09 月例|地方公務員災害補償基金本部</v>
      </c>
      <c r="CN304" s="34" t="str">
        <f aca="false">IFERROR(INDEX(設定!$D$61:$D$106,MATCH(B304,設定!$B$61:$B$106,0)),"Y")</f>
        <v>Y</v>
      </c>
      <c r="CO304" s="34" t="str">
        <f aca="false">IFERROR(INDEX(設定!$D$20:$D$34,MATCH(A304,設定!$A$20:$A$34,0))&amp;"","")</f>
        <v>2026-08 月例</v>
      </c>
    </row>
    <row r="305" customFormat="false" ht="15" hidden="true" customHeight="false" outlineLevel="0" collapsed="false">
      <c r="A305" s="22" t="s">
        <v>222</v>
      </c>
      <c r="B305" s="23" t="s">
        <v>191</v>
      </c>
      <c r="C305" s="10" t="str">
        <f aca="false">IF(G305="","未受領",IF(G305="なし","報告なし",IF(AL305="○","起票済",IF(OR(AK305="○",F305="一致",F305="入金不要"),"入金確認済","受領済"))))</f>
        <v>入金確認済</v>
      </c>
      <c r="D305" s="10" t="str">
        <f aca="false">IF(OR(G305="",G305="なし"),"―",IF(CN305="N","対象外",IF(AND(I305="",J305="",K305=""),"標報未入力",IF(CH305&gt;=設定!$B$4,"要確認","問題なし"))))</f>
        <v>標報未入力</v>
      </c>
      <c r="E305" s="24" t="str">
        <f aca="false">IF(OR(G305="",G305="なし",CI305="",CJ305=0),"―",IF(CJ305=CI305,"前月同額",IF(CI305=0,"―",IF(ABS(CJ305/CI305-1)&gt;=設定!$B$5,"変動大 "&amp;TEXT(CJ305/CI305-1,"+0%;-0%"),"〇"))))</f>
        <v>〇</v>
      </c>
      <c r="F305" s="10" t="str">
        <f aca="false">IF(OR(G305="",G305="なし"),"―",IF(CJ305=0,"入金不要",IF(COUNT(AD305,AF305,AH305,AJ305)=0,IF(AK305="○","手動確認","未入金"),IF(AND(N(AD305)=AC305,IF(AE305="",TRUE(),N(AF305)=AE305),IF(AG305="",TRUE(),N(AH305)=AG305),IF(AI305="",TRUE(),N(AJ305)=AI305)),"一致","不一致"))))</f>
        <v>手動確認</v>
      </c>
      <c r="G305" s="25" t="s">
        <v>167</v>
      </c>
      <c r="H305" s="26"/>
      <c r="I305" s="27"/>
      <c r="J305" s="27"/>
      <c r="K305" s="27"/>
      <c r="L305" s="27"/>
      <c r="M305" s="27"/>
      <c r="N305" s="27"/>
      <c r="O305" s="27" t="n">
        <v>107970</v>
      </c>
      <c r="P305" s="27" t="n">
        <v>8850</v>
      </c>
      <c r="Q305" s="27" t="n">
        <v>61194</v>
      </c>
      <c r="R305" s="27" t="n">
        <v>9322</v>
      </c>
      <c r="S305" s="27" t="n">
        <v>1357</v>
      </c>
      <c r="T305" s="27" t="n">
        <v>107970</v>
      </c>
      <c r="U305" s="27" t="n">
        <v>8850</v>
      </c>
      <c r="V305" s="27" t="n">
        <v>102</v>
      </c>
      <c r="W305" s="27" t="n">
        <v>61253</v>
      </c>
      <c r="X305" s="27" t="n">
        <v>9322</v>
      </c>
      <c r="Y305" s="27" t="n">
        <v>1357</v>
      </c>
      <c r="Z305" s="27"/>
      <c r="AA305" s="10" t="str">
        <f aca="false">IFERROR(INDEX(設定!$E$61:$E$106,MATCH(B305,設定!$B$61:$B$106,0)),"合算")</f>
        <v>合算</v>
      </c>
      <c r="AB305" s="28"/>
      <c r="AC305" s="29" t="n">
        <f aca="false">IF(OR(G305="",G305="なし"),"",IF(AA305="合算",CJ305+N(Z305),IF(AA305="掛金・負担金別",(AY305+AZ305+BD305+BF305+BH305),SUM(AY305:BC305))))</f>
        <v>377547</v>
      </c>
      <c r="AD305" s="27"/>
      <c r="AE305" s="29" t="str">
        <f aca="false">IF(OR(G305="",G305="なし"),"",IF(AA305="掛金・負担金別",(BA305+BB305+BC305+BE305+BG305+BI305+N(Z305)),IF(AA305="経理区分別",BD305+BE305,"")))</f>
        <v/>
      </c>
      <c r="AF305" s="27"/>
      <c r="AG305" s="29" t="str">
        <f aca="false">IF(OR(G305="",G305="なし"),"",IF(AA305="経理区分別",BF305+BG305,""))</f>
        <v/>
      </c>
      <c r="AH305" s="27"/>
      <c r="AI305" s="29" t="str">
        <f aca="false">IF(OR(G305="",G305="なし"),"",IF(AA305="経理区分別",BH305+BI305+N(Z305),""))</f>
        <v/>
      </c>
      <c r="AJ305" s="27"/>
      <c r="AK305" s="26" t="s">
        <v>168</v>
      </c>
      <c r="AL305" s="26"/>
      <c r="AM305" s="30"/>
      <c r="AN305" s="31"/>
      <c r="AO305" s="31"/>
      <c r="AP305" s="31"/>
      <c r="AQ305" s="31"/>
      <c r="AR305" s="31"/>
      <c r="AS305" s="31"/>
      <c r="AT305" s="31"/>
      <c r="AU305" s="31"/>
      <c r="AV305" s="31"/>
      <c r="AW305" s="31"/>
      <c r="AX305" s="31"/>
      <c r="AY305" s="31" t="n">
        <f aca="false">IF($G305="",AN305,O305)</f>
        <v>107970</v>
      </c>
      <c r="AZ305" s="31" t="n">
        <f aca="false">IF($G305="",AO305,P305)</f>
        <v>8850</v>
      </c>
      <c r="BA305" s="31" t="n">
        <f aca="false">IF($G305="",AP305,T305)</f>
        <v>107970</v>
      </c>
      <c r="BB305" s="31" t="n">
        <f aca="false">IF($G305="",AQ305,U305)</f>
        <v>8850</v>
      </c>
      <c r="BC305" s="31" t="n">
        <f aca="false">IF($G305="",AR305,V305)</f>
        <v>102</v>
      </c>
      <c r="BD305" s="31" t="n">
        <f aca="false">IF($G305="",AS305,Q305)</f>
        <v>61194</v>
      </c>
      <c r="BE305" s="31" t="n">
        <f aca="false">IF($G305="",AT305,W305)</f>
        <v>61253</v>
      </c>
      <c r="BF305" s="31" t="n">
        <f aca="false">IF($G305="",AU305,R305)</f>
        <v>9322</v>
      </c>
      <c r="BG305" s="31" t="n">
        <f aca="false">IF($G305="",AV305,X305)</f>
        <v>9322</v>
      </c>
      <c r="BH305" s="31" t="n">
        <f aca="false">IF($G305="",AW305,S305)</f>
        <v>1357</v>
      </c>
      <c r="BI305" s="31" t="n">
        <f aca="false">IF($G305="",AX305,Y305)</f>
        <v>1357</v>
      </c>
      <c r="BJ305" s="31" t="n">
        <f aca="false">IF(CK305="N",BR305,ROUNDDOWN((I305-L305)*設定!$B$10/1000,0)+ROUNDDOWN((I305-L305)*設定!$B$11/1000,0))</f>
        <v>0</v>
      </c>
      <c r="BK305" s="31" t="n">
        <f aca="false">ROUNDDOWN((I305-L305)*設定!$C$10/1000,0)+ROUNDDOWN((I305-L305)*設定!$C$11/1000,0)+ROUNDDOWN(I305*設定!$C$12/1000,0)+IF(CL305="市局型",ROUNDDOWN(I305*設定!$C$16/1000,0),0)</f>
        <v>0</v>
      </c>
      <c r="BL305" s="31" t="n">
        <f aca="false">IF(CK305="N",BT305,ROUNDDOWN((J305-M305)*設定!$B$13/1000,0))</f>
        <v>0</v>
      </c>
      <c r="BM305" s="31" t="n">
        <f aca="false">ROUNDDOWN((J305-M305)*設定!$C$13/1000,0)+IF(CL305="市局型",ROUNDDOWN(J305*設定!$C$17/1000,0),0)</f>
        <v>0</v>
      </c>
      <c r="BN305" s="31" t="n">
        <f aca="false">IF(CK305="N",BV305,ROUNDDOWN((K305-N305)*設定!$B$14/1000,0))</f>
        <v>0</v>
      </c>
      <c r="BO305" s="31" t="n">
        <f aca="false">ROUNDDOWN((K305-N305)*設定!$C$14/1000,0)</f>
        <v>0</v>
      </c>
      <c r="BP305" s="31" t="n">
        <f aca="false">IF(CK305="N",BX305,ROUNDDOWN((J305-M305)*設定!$B$15/1000,0))</f>
        <v>0</v>
      </c>
      <c r="BQ305" s="31" t="n">
        <f aca="false">ROUNDDOWN((J305-M305)*設定!$C$15/1000,0)</f>
        <v>0</v>
      </c>
      <c r="BR305" s="31" t="n">
        <f aca="false">O305+P305</f>
        <v>116820</v>
      </c>
      <c r="BS305" s="31" t="n">
        <f aca="false">T305+U305+V305</f>
        <v>116922</v>
      </c>
      <c r="BT305" s="31" t="n">
        <f aca="false">Q305</f>
        <v>61194</v>
      </c>
      <c r="BU305" s="31" t="n">
        <f aca="false">W305</f>
        <v>61253</v>
      </c>
      <c r="BV305" s="31" t="n">
        <f aca="false">R305</f>
        <v>9322</v>
      </c>
      <c r="BW305" s="31" t="n">
        <f aca="false">X305</f>
        <v>9322</v>
      </c>
      <c r="BX305" s="31" t="n">
        <f aca="false">S305</f>
        <v>1357</v>
      </c>
      <c r="BY305" s="31" t="n">
        <f aca="false">Y305</f>
        <v>1357</v>
      </c>
      <c r="BZ305" s="32" t="n">
        <f aca="false">IF(BJ305=0,IF(BR305=0,0,1),(BR305-BJ305)/BJ305)</f>
        <v>1</v>
      </c>
      <c r="CA305" s="32" t="n">
        <f aca="false">IF(BK305=0,IF(BS305=0,0,1),(BS305-BK305)/BK305)</f>
        <v>1</v>
      </c>
      <c r="CB305" s="32" t="n">
        <f aca="false">IF(BL305=0,IF(BT305=0,0,1),(BT305-BL305)/BL305)</f>
        <v>1</v>
      </c>
      <c r="CC305" s="32" t="n">
        <f aca="false">IF(BM305=0,IF(BU305=0,0,1),(BU305-BM305)/BM305)</f>
        <v>1</v>
      </c>
      <c r="CD305" s="32" t="n">
        <f aca="false">IF(BN305=0,IF(BV305=0,0,1),(BV305-BN305)/BN305)</f>
        <v>1</v>
      </c>
      <c r="CE305" s="32" t="n">
        <f aca="false">IF(BO305=0,IF(BW305=0,0,1),(BW305-BO305)/BO305)</f>
        <v>1</v>
      </c>
      <c r="CF305" s="32" t="n">
        <f aca="false">IF(BP305=0,IF(BX305=0,0,1),(BX305-BP305)/BP305)</f>
        <v>1</v>
      </c>
      <c r="CG305" s="32" t="n">
        <f aca="false">IF(BQ305=0,IF(BY305=0,0,1),(BY305-BQ305)/BQ305)</f>
        <v>1</v>
      </c>
      <c r="CH305" s="32" t="n">
        <f aca="false">MAX(MAX(BZ305:CG305),-MIN(BZ305:CG305))</f>
        <v>1</v>
      </c>
      <c r="CI305" s="31" t="n">
        <f aca="false">IF(CO305="","",SUMIFS($CJ$7:$CJ$696,$A$7:$A$696,CO305,$B$7:$B$696,B305))</f>
        <v>377546</v>
      </c>
      <c r="CJ305" s="31" t="n">
        <f aca="false">SUM(AY305:BI305)</f>
        <v>377547</v>
      </c>
      <c r="CK305" s="31" t="str">
        <f aca="false">IFERROR(INDEX(設定!$F$61:$F$106,MATCH(B305,設定!$B$61:$B$106,0)),"Y")</f>
        <v>Y</v>
      </c>
      <c r="CL305" s="31" t="str">
        <f aca="false">IFERROR(INDEX(設定!$G$61:$G$106,MATCH(B305,設定!$B$61:$B$106,0)),"外郭型")</f>
        <v>外郭型</v>
      </c>
      <c r="CM305" s="33" t="str">
        <f aca="false">A305&amp;"|"&amp;B305</f>
        <v>2026-09 月例|救急振興財団</v>
      </c>
      <c r="CN305" s="34" t="str">
        <f aca="false">IFERROR(INDEX(設定!$D$61:$D$106,MATCH(B305,設定!$B$61:$B$106,0)),"Y")</f>
        <v>Y</v>
      </c>
      <c r="CO305" s="34" t="str">
        <f aca="false">IFERROR(INDEX(設定!$D$20:$D$34,MATCH(A305,設定!$A$20:$A$34,0))&amp;"","")</f>
        <v>2026-08 月例</v>
      </c>
    </row>
    <row r="306" customFormat="false" ht="15" hidden="true" customHeight="false" outlineLevel="0" collapsed="false">
      <c r="A306" s="22" t="s">
        <v>222</v>
      </c>
      <c r="B306" s="23" t="s">
        <v>192</v>
      </c>
      <c r="C306" s="10" t="str">
        <f aca="false">IF(G306="","未受領",IF(G306="なし","報告なし",IF(AL306="○","起票済",IF(OR(AK306="○",F306="一致",F306="入金不要"),"入金確認済","受領済"))))</f>
        <v>入金確認済</v>
      </c>
      <c r="D306" s="10" t="str">
        <f aca="false">IF(OR(G306="",G306="なし"),"―",IF(CN306="N","対象外",IF(AND(I306="",J306="",K306=""),"標報未入力",IF(CH306&gt;=設定!$B$4,"要確認","問題なし"))))</f>
        <v>標報未入力</v>
      </c>
      <c r="E306" s="24" t="str">
        <f aca="false">IF(OR(G306="",G306="なし",CI306="",CJ306=0),"―",IF(CJ306=CI306,"前月同額",IF(CI306=0,"―",IF(ABS(CJ306/CI306-1)&gt;=設定!$B$5,"変動大 "&amp;TEXT(CJ306/CI306-1,"+0%;-0%"),"〇"))))</f>
        <v>〇</v>
      </c>
      <c r="F306" s="10" t="str">
        <f aca="false">IF(OR(G306="",G306="なし"),"―",IF(CJ306=0,"入金不要",IF(COUNT(AD306,AF306,AH306,AJ306)=0,IF(AK306="○","手動確認","未入金"),IF(AND(N(AD306)=AC306,IF(AE306="",TRUE(),N(AF306)=AE306),IF(AG306="",TRUE(),N(AH306)=AG306),IF(AI306="",TRUE(),N(AJ306)=AI306)),"一致","不一致"))))</f>
        <v>手動確認</v>
      </c>
      <c r="G306" s="25" t="s">
        <v>167</v>
      </c>
      <c r="H306" s="26"/>
      <c r="I306" s="27"/>
      <c r="J306" s="27"/>
      <c r="K306" s="27"/>
      <c r="L306" s="27"/>
      <c r="M306" s="27"/>
      <c r="N306" s="27"/>
      <c r="O306" s="27" t="n">
        <v>816180</v>
      </c>
      <c r="P306" s="27" t="n">
        <v>66900</v>
      </c>
      <c r="Q306" s="27" t="n">
        <v>462583</v>
      </c>
      <c r="R306" s="27" t="n">
        <v>40527</v>
      </c>
      <c r="S306" s="27" t="n">
        <v>10254</v>
      </c>
      <c r="T306" s="27" t="n">
        <v>816180</v>
      </c>
      <c r="U306" s="27" t="n">
        <v>66900</v>
      </c>
      <c r="V306" s="27" t="n">
        <v>775</v>
      </c>
      <c r="W306" s="27" t="n">
        <v>463037</v>
      </c>
      <c r="X306" s="27" t="n">
        <v>40527</v>
      </c>
      <c r="Y306" s="27" t="n">
        <v>10258</v>
      </c>
      <c r="Z306" s="27"/>
      <c r="AA306" s="10" t="str">
        <f aca="false">IFERROR(INDEX(設定!$E$61:$E$106,MATCH(B306,設定!$B$61:$B$106,0)),"合算")</f>
        <v>合算</v>
      </c>
      <c r="AB306" s="28"/>
      <c r="AC306" s="29" t="n">
        <f aca="false">IF(OR(G306="",G306="なし"),"",IF(AA306="合算",CJ306+N(Z306),IF(AA306="掛金・負担金別",(AY306+AZ306+BD306+BF306+BH306),SUM(AY306:BC306))))</f>
        <v>2794121</v>
      </c>
      <c r="AD306" s="27"/>
      <c r="AE306" s="29" t="str">
        <f aca="false">IF(OR(G306="",G306="なし"),"",IF(AA306="掛金・負担金別",(BA306+BB306+BC306+BE306+BG306+BI306+N(Z306)),IF(AA306="経理区分別",BD306+BE306,"")))</f>
        <v/>
      </c>
      <c r="AF306" s="27"/>
      <c r="AG306" s="29" t="str">
        <f aca="false">IF(OR(G306="",G306="なし"),"",IF(AA306="経理区分別",BF306+BG306,""))</f>
        <v/>
      </c>
      <c r="AH306" s="27"/>
      <c r="AI306" s="29" t="str">
        <f aca="false">IF(OR(G306="",G306="なし"),"",IF(AA306="経理区分別",BH306+BI306+N(Z306),""))</f>
        <v/>
      </c>
      <c r="AJ306" s="27"/>
      <c r="AK306" s="26" t="s">
        <v>168</v>
      </c>
      <c r="AL306" s="26"/>
      <c r="AM306" s="30"/>
      <c r="AN306" s="31"/>
      <c r="AO306" s="31"/>
      <c r="AP306" s="31"/>
      <c r="AQ306" s="31"/>
      <c r="AR306" s="31"/>
      <c r="AS306" s="31"/>
      <c r="AT306" s="31"/>
      <c r="AU306" s="31"/>
      <c r="AV306" s="31"/>
      <c r="AW306" s="31"/>
      <c r="AX306" s="31"/>
      <c r="AY306" s="31" t="n">
        <f aca="false">IF($G306="",AN306,O306)</f>
        <v>816180</v>
      </c>
      <c r="AZ306" s="31" t="n">
        <f aca="false">IF($G306="",AO306,P306)</f>
        <v>66900</v>
      </c>
      <c r="BA306" s="31" t="n">
        <f aca="false">IF($G306="",AP306,T306)</f>
        <v>816180</v>
      </c>
      <c r="BB306" s="31" t="n">
        <f aca="false">IF($G306="",AQ306,U306)</f>
        <v>66900</v>
      </c>
      <c r="BC306" s="31" t="n">
        <f aca="false">IF($G306="",AR306,V306)</f>
        <v>775</v>
      </c>
      <c r="BD306" s="31" t="n">
        <f aca="false">IF($G306="",AS306,Q306)</f>
        <v>462583</v>
      </c>
      <c r="BE306" s="31" t="n">
        <f aca="false">IF($G306="",AT306,W306)</f>
        <v>463037</v>
      </c>
      <c r="BF306" s="31" t="n">
        <f aca="false">IF($G306="",AU306,R306)</f>
        <v>40527</v>
      </c>
      <c r="BG306" s="31" t="n">
        <f aca="false">IF($G306="",AV306,X306)</f>
        <v>40527</v>
      </c>
      <c r="BH306" s="31" t="n">
        <f aca="false">IF($G306="",AW306,S306)</f>
        <v>10254</v>
      </c>
      <c r="BI306" s="31" t="n">
        <f aca="false">IF($G306="",AX306,Y306)</f>
        <v>10258</v>
      </c>
      <c r="BJ306" s="31" t="n">
        <f aca="false">IF(CK306="N",BR306,ROUNDDOWN((I306-L306)*設定!$B$10/1000,0)+ROUNDDOWN((I306-L306)*設定!$B$11/1000,0))</f>
        <v>0</v>
      </c>
      <c r="BK306" s="31" t="n">
        <f aca="false">ROUNDDOWN((I306-L306)*設定!$C$10/1000,0)+ROUNDDOWN((I306-L306)*設定!$C$11/1000,0)+ROUNDDOWN(I306*設定!$C$12/1000,0)+IF(CL306="市局型",ROUNDDOWN(I306*設定!$C$16/1000,0),0)</f>
        <v>0</v>
      </c>
      <c r="BL306" s="31" t="n">
        <f aca="false">IF(CK306="N",BT306,ROUNDDOWN((J306-M306)*設定!$B$13/1000,0))</f>
        <v>0</v>
      </c>
      <c r="BM306" s="31" t="n">
        <f aca="false">ROUNDDOWN((J306-M306)*設定!$C$13/1000,0)+IF(CL306="市局型",ROUNDDOWN(J306*設定!$C$17/1000,0),0)</f>
        <v>0</v>
      </c>
      <c r="BN306" s="31" t="n">
        <f aca="false">IF(CK306="N",BV306,ROUNDDOWN((K306-N306)*設定!$B$14/1000,0))</f>
        <v>0</v>
      </c>
      <c r="BO306" s="31" t="n">
        <f aca="false">ROUNDDOWN((K306-N306)*設定!$C$14/1000,0)</f>
        <v>0</v>
      </c>
      <c r="BP306" s="31" t="n">
        <f aca="false">IF(CK306="N",BX306,ROUNDDOWN((J306-M306)*設定!$B$15/1000,0))</f>
        <v>0</v>
      </c>
      <c r="BQ306" s="31" t="n">
        <f aca="false">ROUNDDOWN((J306-M306)*設定!$C$15/1000,0)</f>
        <v>0</v>
      </c>
      <c r="BR306" s="31" t="n">
        <f aca="false">O306+P306</f>
        <v>883080</v>
      </c>
      <c r="BS306" s="31" t="n">
        <f aca="false">T306+U306+V306</f>
        <v>883855</v>
      </c>
      <c r="BT306" s="31" t="n">
        <f aca="false">Q306</f>
        <v>462583</v>
      </c>
      <c r="BU306" s="31" t="n">
        <f aca="false">W306</f>
        <v>463037</v>
      </c>
      <c r="BV306" s="31" t="n">
        <f aca="false">R306</f>
        <v>40527</v>
      </c>
      <c r="BW306" s="31" t="n">
        <f aca="false">X306</f>
        <v>40527</v>
      </c>
      <c r="BX306" s="31" t="n">
        <f aca="false">S306</f>
        <v>10254</v>
      </c>
      <c r="BY306" s="31" t="n">
        <f aca="false">Y306</f>
        <v>10258</v>
      </c>
      <c r="BZ306" s="32" t="n">
        <f aca="false">IF(BJ306=0,IF(BR306=0,0,1),(BR306-BJ306)/BJ306)</f>
        <v>1</v>
      </c>
      <c r="CA306" s="32" t="n">
        <f aca="false">IF(BK306=0,IF(BS306=0,0,1),(BS306-BK306)/BK306)</f>
        <v>1</v>
      </c>
      <c r="CB306" s="32" t="n">
        <f aca="false">IF(BL306=0,IF(BT306=0,0,1),(BT306-BL306)/BL306)</f>
        <v>1</v>
      </c>
      <c r="CC306" s="32" t="n">
        <f aca="false">IF(BM306=0,IF(BU306=0,0,1),(BU306-BM306)/BM306)</f>
        <v>1</v>
      </c>
      <c r="CD306" s="32" t="n">
        <f aca="false">IF(BN306=0,IF(BV306=0,0,1),(BV306-BN306)/BN306)</f>
        <v>1</v>
      </c>
      <c r="CE306" s="32" t="n">
        <f aca="false">IF(BO306=0,IF(BW306=0,0,1),(BW306-BO306)/BO306)</f>
        <v>1</v>
      </c>
      <c r="CF306" s="32" t="n">
        <f aca="false">IF(BP306=0,IF(BX306=0,0,1),(BX306-BP306)/BP306)</f>
        <v>1</v>
      </c>
      <c r="CG306" s="32" t="n">
        <f aca="false">IF(BQ306=0,IF(BY306=0,0,1),(BY306-BQ306)/BQ306)</f>
        <v>1</v>
      </c>
      <c r="CH306" s="32" t="n">
        <f aca="false">MAX(MAX(BZ306:CG306),-MIN(BZ306:CG306))</f>
        <v>1</v>
      </c>
      <c r="CI306" s="31" t="n">
        <f aca="false">IF(CO306="","",SUMIFS($CJ$7:$CJ$696,$A$7:$A$696,CO306,$B$7:$B$696,B306))</f>
        <v>2716661</v>
      </c>
      <c r="CJ306" s="31" t="n">
        <f aca="false">SUM(AY306:BI306)</f>
        <v>2794121</v>
      </c>
      <c r="CK306" s="31" t="str">
        <f aca="false">IFERROR(INDEX(設定!$F$61:$F$106,MATCH(B306,設定!$B$61:$B$106,0)),"Y")</f>
        <v>Y</v>
      </c>
      <c r="CL306" s="31" t="str">
        <f aca="false">IFERROR(INDEX(設定!$G$61:$G$106,MATCH(B306,設定!$B$61:$B$106,0)),"外郭型")</f>
        <v>外郭型</v>
      </c>
      <c r="CM306" s="33" t="str">
        <f aca="false">A306&amp;"|"&amp;B306</f>
        <v>2026-09 月例|高速道路公社</v>
      </c>
      <c r="CN306" s="34" t="str">
        <f aca="false">IFERROR(INDEX(設定!$D$61:$D$106,MATCH(B306,設定!$B$61:$B$106,0)),"Y")</f>
        <v>Y</v>
      </c>
      <c r="CO306" s="34" t="str">
        <f aca="false">IFERROR(INDEX(設定!$D$20:$D$34,MATCH(A306,設定!$A$20:$A$34,0))&amp;"","")</f>
        <v>2026-08 月例</v>
      </c>
    </row>
    <row r="307" customFormat="false" ht="15" hidden="true" customHeight="false" outlineLevel="0" collapsed="false">
      <c r="A307" s="22" t="s">
        <v>222</v>
      </c>
      <c r="B307" s="23" t="s">
        <v>193</v>
      </c>
      <c r="C307" s="10" t="str">
        <f aca="false">IF(G307="","未受領",IF(G307="なし","報告なし",IF(AL307="○","起票済",IF(OR(AK307="○",F307="一致",F307="入金不要"),"入金確認済","受領済"))))</f>
        <v>入金確認済</v>
      </c>
      <c r="D307" s="10" t="str">
        <f aca="false">IF(OR(G307="",G307="なし"),"―",IF(CN307="N","対象外",IF(AND(I307="",J307="",K307=""),"標報未入力",IF(CH307&gt;=設定!$B$4,"要確認","問題なし"))))</f>
        <v>標報未入力</v>
      </c>
      <c r="E307" s="24" t="str">
        <f aca="false">IF(OR(G307="",G307="なし",CI307="",CJ307=0),"―",IF(CJ307=CI307,"前月同額",IF(CI307=0,"―",IF(ABS(CJ307/CI307-1)&gt;=設定!$B$5,"変動大 "&amp;TEXT(CJ307/CI307-1,"+0%;-0%"),"〇"))))</f>
        <v>〇</v>
      </c>
      <c r="F307" s="10" t="str">
        <f aca="false">IF(OR(G307="",G307="なし"),"―",IF(CJ307=0,"入金不要",IF(COUNT(AD307,AF307,AH307,AJ307)=0,IF(AK307="○","手動確認","未入金"),IF(AND(N(AD307)=AC307,IF(AE307="",TRUE(),N(AF307)=AE307),IF(AG307="",TRUE(),N(AH307)=AG307),IF(AI307="",TRUE(),N(AJ307)=AI307)),"一致","不一致"))))</f>
        <v>手動確認</v>
      </c>
      <c r="G307" s="25" t="s">
        <v>167</v>
      </c>
      <c r="H307" s="26"/>
      <c r="I307" s="27"/>
      <c r="J307" s="27"/>
      <c r="K307" s="27"/>
      <c r="L307" s="27"/>
      <c r="M307" s="27"/>
      <c r="N307" s="27"/>
      <c r="O307" s="27"/>
      <c r="P307" s="27"/>
      <c r="Q307" s="27"/>
      <c r="R307" s="27"/>
      <c r="S307" s="27"/>
      <c r="T307" s="27" t="n">
        <v>570960</v>
      </c>
      <c r="U307" s="27" t="n">
        <v>46800</v>
      </c>
      <c r="V307" s="27" t="n">
        <v>567</v>
      </c>
      <c r="W307" s="27" t="n">
        <v>323933</v>
      </c>
      <c r="X307" s="27" t="n">
        <v>26781</v>
      </c>
      <c r="Y307" s="27" t="n">
        <v>7176</v>
      </c>
      <c r="Z307" s="27"/>
      <c r="AA307" s="10" t="str">
        <f aca="false">IFERROR(INDEX(設定!$E$61:$E$106,MATCH(B307,設定!$B$61:$B$106,0)),"合算")</f>
        <v>合算</v>
      </c>
      <c r="AB307" s="28"/>
      <c r="AC307" s="29" t="n">
        <f aca="false">IF(OR(G307="",G307="なし"),"",IF(AA307="合算",CJ307+N(Z307),IF(AA307="掛金・負担金別",(AY307+AZ307+BD307+BF307+BH307),SUM(AY307:BC307))))</f>
        <v>976217</v>
      </c>
      <c r="AD307" s="27"/>
      <c r="AE307" s="29" t="str">
        <f aca="false">IF(OR(G307="",G307="なし"),"",IF(AA307="掛金・負担金別",(BA307+BB307+BC307+BE307+BG307+BI307+N(Z307)),IF(AA307="経理区分別",BD307+BE307,"")))</f>
        <v/>
      </c>
      <c r="AF307" s="27"/>
      <c r="AG307" s="29" t="str">
        <f aca="false">IF(OR(G307="",G307="なし"),"",IF(AA307="経理区分別",BF307+BG307,""))</f>
        <v/>
      </c>
      <c r="AH307" s="27"/>
      <c r="AI307" s="29" t="str">
        <f aca="false">IF(OR(G307="",G307="なし"),"",IF(AA307="経理区分別",BH307+BI307+N(Z307),""))</f>
        <v/>
      </c>
      <c r="AJ307" s="27"/>
      <c r="AK307" s="26" t="s">
        <v>168</v>
      </c>
      <c r="AL307" s="26"/>
      <c r="AM307" s="30"/>
      <c r="AN307" s="31"/>
      <c r="AO307" s="31"/>
      <c r="AP307" s="31"/>
      <c r="AQ307" s="31"/>
      <c r="AR307" s="31"/>
      <c r="AS307" s="31"/>
      <c r="AT307" s="31"/>
      <c r="AU307" s="31"/>
      <c r="AV307" s="31"/>
      <c r="AW307" s="31"/>
      <c r="AX307" s="31"/>
      <c r="AY307" s="31" t="n">
        <f aca="false">IF($G307="",AN307,O307)</f>
        <v>0</v>
      </c>
      <c r="AZ307" s="31" t="n">
        <f aca="false">IF($G307="",AO307,P307)</f>
        <v>0</v>
      </c>
      <c r="BA307" s="31" t="n">
        <f aca="false">IF($G307="",AP307,T307)</f>
        <v>570960</v>
      </c>
      <c r="BB307" s="31" t="n">
        <f aca="false">IF($G307="",AQ307,U307)</f>
        <v>46800</v>
      </c>
      <c r="BC307" s="31" t="n">
        <f aca="false">IF($G307="",AR307,V307)</f>
        <v>567</v>
      </c>
      <c r="BD307" s="31" t="n">
        <f aca="false">IF($G307="",AS307,Q307)</f>
        <v>0</v>
      </c>
      <c r="BE307" s="31" t="n">
        <f aca="false">IF($G307="",AT307,W307)</f>
        <v>323933</v>
      </c>
      <c r="BF307" s="31" t="n">
        <f aca="false">IF($G307="",AU307,R307)</f>
        <v>0</v>
      </c>
      <c r="BG307" s="31" t="n">
        <f aca="false">IF($G307="",AV307,X307)</f>
        <v>26781</v>
      </c>
      <c r="BH307" s="31" t="n">
        <f aca="false">IF($G307="",AW307,S307)</f>
        <v>0</v>
      </c>
      <c r="BI307" s="31" t="n">
        <f aca="false">IF($G307="",AX307,Y307)</f>
        <v>7176</v>
      </c>
      <c r="BJ307" s="31" t="n">
        <f aca="false">IF(CK307="N",BR307,ROUNDDOWN((I307-L307)*設定!$B$10/1000,0)+ROUNDDOWN((I307-L307)*設定!$B$11/1000,0))</f>
        <v>0</v>
      </c>
      <c r="BK307" s="31" t="n">
        <f aca="false">ROUNDDOWN((I307-L307)*設定!$C$10/1000,0)+ROUNDDOWN((I307-L307)*設定!$C$11/1000,0)+ROUNDDOWN(I307*設定!$C$12/1000,0)+IF(CL307="市局型",ROUNDDOWN(I307*設定!$C$16/1000,0),0)</f>
        <v>0</v>
      </c>
      <c r="BL307" s="31" t="n">
        <f aca="false">IF(CK307="N",BT307,ROUNDDOWN((J307-M307)*設定!$B$13/1000,0))</f>
        <v>0</v>
      </c>
      <c r="BM307" s="31" t="n">
        <f aca="false">ROUNDDOWN((J307-M307)*設定!$C$13/1000,0)+IF(CL307="市局型",ROUNDDOWN(J307*設定!$C$17/1000,0),0)</f>
        <v>0</v>
      </c>
      <c r="BN307" s="31" t="n">
        <f aca="false">IF(CK307="N",BV307,ROUNDDOWN((K307-N307)*設定!$B$14/1000,0))</f>
        <v>0</v>
      </c>
      <c r="BO307" s="31" t="n">
        <f aca="false">ROUNDDOWN((K307-N307)*設定!$C$14/1000,0)</f>
        <v>0</v>
      </c>
      <c r="BP307" s="31" t="n">
        <f aca="false">IF(CK307="N",BX307,ROUNDDOWN((J307-M307)*設定!$B$15/1000,0))</f>
        <v>0</v>
      </c>
      <c r="BQ307" s="31" t="n">
        <f aca="false">ROUNDDOWN((J307-M307)*設定!$C$15/1000,0)</f>
        <v>0</v>
      </c>
      <c r="BR307" s="31" t="n">
        <f aca="false">O307+P307</f>
        <v>0</v>
      </c>
      <c r="BS307" s="31" t="n">
        <f aca="false">T307+U307+V307</f>
        <v>618327</v>
      </c>
      <c r="BT307" s="31" t="n">
        <f aca="false">Q307</f>
        <v>0</v>
      </c>
      <c r="BU307" s="31" t="n">
        <f aca="false">W307</f>
        <v>323933</v>
      </c>
      <c r="BV307" s="31" t="n">
        <f aca="false">R307</f>
        <v>0</v>
      </c>
      <c r="BW307" s="31" t="n">
        <f aca="false">X307</f>
        <v>26781</v>
      </c>
      <c r="BX307" s="31" t="n">
        <f aca="false">S307</f>
        <v>0</v>
      </c>
      <c r="BY307" s="31" t="n">
        <f aca="false">Y307</f>
        <v>7176</v>
      </c>
      <c r="BZ307" s="32" t="n">
        <f aca="false">IF(BJ307=0,IF(BR307=0,0,1),(BR307-BJ307)/BJ307)</f>
        <v>0</v>
      </c>
      <c r="CA307" s="32" t="n">
        <f aca="false">IF(BK307=0,IF(BS307=0,0,1),(BS307-BK307)/BK307)</f>
        <v>1</v>
      </c>
      <c r="CB307" s="32" t="n">
        <f aca="false">IF(BL307=0,IF(BT307=0,0,1),(BT307-BL307)/BL307)</f>
        <v>0</v>
      </c>
      <c r="CC307" s="32" t="n">
        <f aca="false">IF(BM307=0,IF(BU307=0,0,1),(BU307-BM307)/BM307)</f>
        <v>1</v>
      </c>
      <c r="CD307" s="32" t="n">
        <f aca="false">IF(BN307=0,IF(BV307=0,0,1),(BV307-BN307)/BN307)</f>
        <v>0</v>
      </c>
      <c r="CE307" s="32" t="n">
        <f aca="false">IF(BO307=0,IF(BW307=0,0,1),(BW307-BO307)/BO307)</f>
        <v>1</v>
      </c>
      <c r="CF307" s="32" t="n">
        <f aca="false">IF(BP307=0,IF(BX307=0,0,1),(BX307-BP307)/BP307)</f>
        <v>0</v>
      </c>
      <c r="CG307" s="32" t="n">
        <f aca="false">IF(BQ307=0,IF(BY307=0,0,1),(BY307-BQ307)/BQ307)</f>
        <v>1</v>
      </c>
      <c r="CH307" s="32" t="n">
        <f aca="false">MAX(MAX(BZ307:CG307),-MIN(BZ307:CG307))</f>
        <v>1</v>
      </c>
      <c r="CI307" s="31" t="n">
        <f aca="false">IF(CO307="","",SUMIFS($CJ$7:$CJ$696,$A$7:$A$696,CO307,$B$7:$B$696,B307))</f>
        <v>997417</v>
      </c>
      <c r="CJ307" s="31" t="n">
        <f aca="false">SUM(AY307:BI307)</f>
        <v>976217</v>
      </c>
      <c r="CK307" s="31" t="str">
        <f aca="false">IFERROR(INDEX(設定!$F$61:$F$106,MATCH(B307,設定!$B$61:$B$106,0)),"Y")</f>
        <v>N</v>
      </c>
      <c r="CL307" s="31" t="str">
        <f aca="false">IFERROR(INDEX(設定!$G$61:$G$106,MATCH(B307,設定!$B$61:$B$106,0)),"外郭型")</f>
        <v>外郭型</v>
      </c>
      <c r="CM307" s="33" t="str">
        <f aca="false">A307&amp;"|"&amp;B307</f>
        <v>2026-09 月例|農林水産振興センタ</v>
      </c>
      <c r="CN307" s="34" t="str">
        <f aca="false">IFERROR(INDEX(設定!$D$61:$D$106,MATCH(B307,設定!$B$61:$B$106,0)),"Y")</f>
        <v>Y</v>
      </c>
      <c r="CO307" s="34" t="str">
        <f aca="false">IFERROR(INDEX(設定!$D$20:$D$34,MATCH(A307,設定!$A$20:$A$34,0))&amp;"","")</f>
        <v>2026-08 月例</v>
      </c>
    </row>
    <row r="308" customFormat="false" ht="15" hidden="true" customHeight="false" outlineLevel="0" collapsed="false">
      <c r="A308" s="22" t="s">
        <v>222</v>
      </c>
      <c r="B308" s="23" t="s">
        <v>194</v>
      </c>
      <c r="C308" s="10" t="str">
        <f aca="false">IF(G308="","未受領",IF(G308="なし","報告なし",IF(AL308="○","起票済",IF(OR(AK308="○",F308="一致",F308="入金不要"),"入金確認済","受領済"))))</f>
        <v>入金確認済</v>
      </c>
      <c r="D308" s="10" t="str">
        <f aca="false">IF(OR(G308="",G308="なし"),"―",IF(CN308="N","対象外",IF(AND(I308="",J308="",K308=""),"標報未入力",IF(CH308&gt;=設定!$B$4,"要確認","問題なし"))))</f>
        <v>標報未入力</v>
      </c>
      <c r="E308" s="24" t="str">
        <f aca="false">IF(OR(G308="",G308="なし",CI308="",CJ308=0),"―",IF(CJ308=CI308,"前月同額",IF(CI308=0,"―",IF(ABS(CJ308/CI308-1)&gt;=設定!$B$5,"変動大 "&amp;TEXT(CJ308/CI308-1,"+0%;-0%"),"〇"))))</f>
        <v>〇</v>
      </c>
      <c r="F308" s="10" t="str">
        <f aca="false">IF(OR(G308="",G308="なし"),"―",IF(CJ308=0,"入金不要",IF(COUNT(AD308,AF308,AH308,AJ308)=0,IF(AK308="○","手動確認","未入金"),IF(AND(N(AD308)=AC308,IF(AE308="",TRUE(),N(AF308)=AE308),IF(AG308="",TRUE(),N(AH308)=AG308),IF(AI308="",TRUE(),N(AJ308)=AI308)),"一致","不一致"))))</f>
        <v>手動確認</v>
      </c>
      <c r="G308" s="25" t="s">
        <v>167</v>
      </c>
      <c r="H308" s="26"/>
      <c r="I308" s="27"/>
      <c r="J308" s="27"/>
      <c r="K308" s="27"/>
      <c r="L308" s="27"/>
      <c r="M308" s="27"/>
      <c r="N308" s="27"/>
      <c r="O308" s="27"/>
      <c r="P308" s="27"/>
      <c r="Q308" s="27"/>
      <c r="R308" s="27"/>
      <c r="S308" s="27"/>
      <c r="T308" s="27" t="n">
        <v>1051335</v>
      </c>
      <c r="U308" s="27" t="n">
        <v>86175</v>
      </c>
      <c r="V308" s="27" t="n">
        <v>996</v>
      </c>
      <c r="W308" s="27" t="n">
        <v>598000</v>
      </c>
      <c r="X308" s="27" t="n">
        <v>85636</v>
      </c>
      <c r="Y308" s="27" t="n">
        <v>13247</v>
      </c>
      <c r="Z308" s="27"/>
      <c r="AA308" s="10" t="str">
        <f aca="false">IFERROR(INDEX(設定!$E$61:$E$106,MATCH(B308,設定!$B$61:$B$106,0)),"合算")</f>
        <v>合算</v>
      </c>
      <c r="AB308" s="28"/>
      <c r="AC308" s="29" t="n">
        <f aca="false">IF(OR(G308="",G308="なし"),"",IF(AA308="合算",CJ308+N(Z308),IF(AA308="掛金・負担金別",(AY308+AZ308+BD308+BF308+BH308),SUM(AY308:BC308))))</f>
        <v>1835389</v>
      </c>
      <c r="AD308" s="27"/>
      <c r="AE308" s="29" t="str">
        <f aca="false">IF(OR(G308="",G308="なし"),"",IF(AA308="掛金・負担金別",(BA308+BB308+BC308+BE308+BG308+BI308+N(Z308)),IF(AA308="経理区分別",BD308+BE308,"")))</f>
        <v/>
      </c>
      <c r="AF308" s="27"/>
      <c r="AG308" s="29" t="str">
        <f aca="false">IF(OR(G308="",G308="なし"),"",IF(AA308="経理区分別",BF308+BG308,""))</f>
        <v/>
      </c>
      <c r="AH308" s="27"/>
      <c r="AI308" s="29" t="str">
        <f aca="false">IF(OR(G308="",G308="なし"),"",IF(AA308="経理区分別",BH308+BI308+N(Z308),""))</f>
        <v/>
      </c>
      <c r="AJ308" s="27"/>
      <c r="AK308" s="26" t="s">
        <v>168</v>
      </c>
      <c r="AL308" s="26"/>
      <c r="AM308" s="30"/>
      <c r="AN308" s="31"/>
      <c r="AO308" s="31"/>
      <c r="AP308" s="31"/>
      <c r="AQ308" s="31"/>
      <c r="AR308" s="31"/>
      <c r="AS308" s="31"/>
      <c r="AT308" s="31"/>
      <c r="AU308" s="31"/>
      <c r="AV308" s="31"/>
      <c r="AW308" s="31"/>
      <c r="AX308" s="31"/>
      <c r="AY308" s="31" t="n">
        <f aca="false">IF($G308="",AN308,O308)</f>
        <v>0</v>
      </c>
      <c r="AZ308" s="31" t="n">
        <f aca="false">IF($G308="",AO308,P308)</f>
        <v>0</v>
      </c>
      <c r="BA308" s="31" t="n">
        <f aca="false">IF($G308="",AP308,T308)</f>
        <v>1051335</v>
      </c>
      <c r="BB308" s="31" t="n">
        <f aca="false">IF($G308="",AQ308,U308)</f>
        <v>86175</v>
      </c>
      <c r="BC308" s="31" t="n">
        <f aca="false">IF($G308="",AR308,V308)</f>
        <v>996</v>
      </c>
      <c r="BD308" s="31" t="n">
        <f aca="false">IF($G308="",AS308,Q308)</f>
        <v>0</v>
      </c>
      <c r="BE308" s="31" t="n">
        <f aca="false">IF($G308="",AT308,W308)</f>
        <v>598000</v>
      </c>
      <c r="BF308" s="31" t="n">
        <f aca="false">IF($G308="",AU308,R308)</f>
        <v>0</v>
      </c>
      <c r="BG308" s="31" t="n">
        <f aca="false">IF($G308="",AV308,X308)</f>
        <v>85636</v>
      </c>
      <c r="BH308" s="31" t="n">
        <f aca="false">IF($G308="",AW308,S308)</f>
        <v>0</v>
      </c>
      <c r="BI308" s="31" t="n">
        <f aca="false">IF($G308="",AX308,Y308)</f>
        <v>13247</v>
      </c>
      <c r="BJ308" s="31" t="n">
        <f aca="false">IF(CK308="N",BR308,ROUNDDOWN((I308-L308)*設定!$B$10/1000,0)+ROUNDDOWN((I308-L308)*設定!$B$11/1000,0))</f>
        <v>0</v>
      </c>
      <c r="BK308" s="31" t="n">
        <f aca="false">ROUNDDOWN((I308-L308)*設定!$C$10/1000,0)+ROUNDDOWN((I308-L308)*設定!$C$11/1000,0)+ROUNDDOWN(I308*設定!$C$12/1000,0)+IF(CL308="市局型",ROUNDDOWN(I308*設定!$C$16/1000,0),0)</f>
        <v>0</v>
      </c>
      <c r="BL308" s="31" t="n">
        <f aca="false">IF(CK308="N",BT308,ROUNDDOWN((J308-M308)*設定!$B$13/1000,0))</f>
        <v>0</v>
      </c>
      <c r="BM308" s="31" t="n">
        <f aca="false">ROUNDDOWN((J308-M308)*設定!$C$13/1000,0)+IF(CL308="市局型",ROUNDDOWN(J308*設定!$C$17/1000,0),0)</f>
        <v>0</v>
      </c>
      <c r="BN308" s="31" t="n">
        <f aca="false">IF(CK308="N",BV308,ROUNDDOWN((K308-N308)*設定!$B$14/1000,0))</f>
        <v>0</v>
      </c>
      <c r="BO308" s="31" t="n">
        <f aca="false">ROUNDDOWN((K308-N308)*設定!$C$14/1000,0)</f>
        <v>0</v>
      </c>
      <c r="BP308" s="31" t="n">
        <f aca="false">IF(CK308="N",BX308,ROUNDDOWN((J308-M308)*設定!$B$15/1000,0))</f>
        <v>0</v>
      </c>
      <c r="BQ308" s="31" t="n">
        <f aca="false">ROUNDDOWN((J308-M308)*設定!$C$15/1000,0)</f>
        <v>0</v>
      </c>
      <c r="BR308" s="31" t="n">
        <f aca="false">O308+P308</f>
        <v>0</v>
      </c>
      <c r="BS308" s="31" t="n">
        <f aca="false">T308+U308+V308</f>
        <v>1138506</v>
      </c>
      <c r="BT308" s="31" t="n">
        <f aca="false">Q308</f>
        <v>0</v>
      </c>
      <c r="BU308" s="31" t="n">
        <f aca="false">W308</f>
        <v>598000</v>
      </c>
      <c r="BV308" s="31" t="n">
        <f aca="false">R308</f>
        <v>0</v>
      </c>
      <c r="BW308" s="31" t="n">
        <f aca="false">X308</f>
        <v>85636</v>
      </c>
      <c r="BX308" s="31" t="n">
        <f aca="false">S308</f>
        <v>0</v>
      </c>
      <c r="BY308" s="31" t="n">
        <f aca="false">Y308</f>
        <v>13247</v>
      </c>
      <c r="BZ308" s="32" t="n">
        <f aca="false">IF(BJ308=0,IF(BR308=0,0,1),(BR308-BJ308)/BJ308)</f>
        <v>0</v>
      </c>
      <c r="CA308" s="32" t="n">
        <f aca="false">IF(BK308=0,IF(BS308=0,0,1),(BS308-BK308)/BK308)</f>
        <v>1</v>
      </c>
      <c r="CB308" s="32" t="n">
        <f aca="false">IF(BL308=0,IF(BT308=0,0,1),(BT308-BL308)/BL308)</f>
        <v>0</v>
      </c>
      <c r="CC308" s="32" t="n">
        <f aca="false">IF(BM308=0,IF(BU308=0,0,1),(BU308-BM308)/BM308)</f>
        <v>1</v>
      </c>
      <c r="CD308" s="32" t="n">
        <f aca="false">IF(BN308=0,IF(BV308=0,0,1),(BV308-BN308)/BN308)</f>
        <v>0</v>
      </c>
      <c r="CE308" s="32" t="n">
        <f aca="false">IF(BO308=0,IF(BW308=0,0,1),(BW308-BO308)/BO308)</f>
        <v>1</v>
      </c>
      <c r="CF308" s="32" t="n">
        <f aca="false">IF(BP308=0,IF(BX308=0,0,1),(BX308-BP308)/BP308)</f>
        <v>0</v>
      </c>
      <c r="CG308" s="32" t="n">
        <f aca="false">IF(BQ308=0,IF(BY308=0,0,1),(BY308-BQ308)/BQ308)</f>
        <v>1</v>
      </c>
      <c r="CH308" s="32" t="n">
        <f aca="false">MAX(MAX(BZ308:CG308),-MIN(BZ308:CG308))</f>
        <v>1</v>
      </c>
      <c r="CI308" s="31" t="n">
        <f aca="false">IF(CO308="","",SUMIFS($CJ$7:$CJ$696,$A$7:$A$696,CO308,$B$7:$B$696,B308))</f>
        <v>1842552</v>
      </c>
      <c r="CJ308" s="31" t="n">
        <f aca="false">SUM(AY308:BI308)</f>
        <v>1835389</v>
      </c>
      <c r="CK308" s="31" t="str">
        <f aca="false">IFERROR(INDEX(設定!$F$61:$F$106,MATCH(B308,設定!$B$61:$B$106,0)),"Y")</f>
        <v>N</v>
      </c>
      <c r="CL308" s="31" t="str">
        <f aca="false">IFERROR(INDEX(設定!$G$61:$G$106,MATCH(B308,設定!$B$61:$B$106,0)),"外郭型")</f>
        <v>外郭型</v>
      </c>
      <c r="CM308" s="33" t="str">
        <f aca="false">A308&amp;"|"&amp;B308</f>
        <v>2026-09 月例|文化財団　市長部局</v>
      </c>
      <c r="CN308" s="34" t="str">
        <f aca="false">IFERROR(INDEX(設定!$D$61:$D$106,MATCH(B308,設定!$B$61:$B$106,0)),"Y")</f>
        <v>Y</v>
      </c>
      <c r="CO308" s="34" t="str">
        <f aca="false">IFERROR(INDEX(設定!$D$20:$D$34,MATCH(A308,設定!$A$20:$A$34,0))&amp;"","")</f>
        <v>2026-08 月例</v>
      </c>
    </row>
    <row r="309" customFormat="false" ht="15" hidden="true" customHeight="false" outlineLevel="0" collapsed="false">
      <c r="A309" s="22" t="s">
        <v>222</v>
      </c>
      <c r="B309" s="23" t="s">
        <v>195</v>
      </c>
      <c r="C309" s="10" t="str">
        <f aca="false">IF(G309="","未受領",IF(G309="なし","報告なし",IF(AL309="○","起票済",IF(OR(AK309="○",F309="一致",F309="入金不要"),"入金確認済","受領済"))))</f>
        <v>入金確認済</v>
      </c>
      <c r="D309" s="10" t="str">
        <f aca="false">IF(OR(G309="",G309="なし"),"―",IF(CN309="N","対象外",IF(AND(I309="",J309="",K309=""),"標報未入力",IF(CH309&gt;=設定!$B$4,"要確認","問題なし"))))</f>
        <v>標報未入力</v>
      </c>
      <c r="E309" s="24" t="str">
        <f aca="false">IF(OR(G309="",G309="なし",CI309="",CJ309=0),"―",IF(CJ309=CI309,"前月同額",IF(CI309=0,"―",IF(ABS(CJ309/CI309-1)&gt;=設定!$B$5,"変動大 "&amp;TEXT(CJ309/CI309-1,"+0%;-0%"),"〇"))))</f>
        <v>―</v>
      </c>
      <c r="F309" s="10" t="str">
        <f aca="false">IF(OR(G309="",G309="なし"),"―",IF(CJ309=0,"入金不要",IF(COUNT(AD309,AF309,AH309,AJ309)=0,IF(AK309="○","手動確認","未入金"),IF(AND(N(AD309)=AC309,IF(AE309="",TRUE(),N(AF309)=AE309),IF(AG309="",TRUE(),N(AH309)=AG309),IF(AI309="",TRUE(),N(AJ309)=AI309)),"一致","不一致"))))</f>
        <v>入金不要</v>
      </c>
      <c r="G309" s="25" t="s">
        <v>167</v>
      </c>
      <c r="H309" s="26"/>
      <c r="I309" s="27"/>
      <c r="J309" s="27"/>
      <c r="K309" s="27"/>
      <c r="L309" s="27"/>
      <c r="M309" s="27"/>
      <c r="N309" s="27"/>
      <c r="O309" s="27"/>
      <c r="P309" s="27"/>
      <c r="Q309" s="27"/>
      <c r="R309" s="27"/>
      <c r="S309" s="27"/>
      <c r="T309" s="27" t="n">
        <v>0</v>
      </c>
      <c r="U309" s="27" t="n">
        <v>0</v>
      </c>
      <c r="V309" s="27" t="n">
        <v>0</v>
      </c>
      <c r="W309" s="27" t="n">
        <v>0</v>
      </c>
      <c r="X309" s="27" t="n">
        <v>0</v>
      </c>
      <c r="Y309" s="27" t="n">
        <v>0</v>
      </c>
      <c r="Z309" s="27"/>
      <c r="AA309" s="10" t="str">
        <f aca="false">IFERROR(INDEX(設定!$E$61:$E$106,MATCH(B309,設定!$B$61:$B$106,0)),"合算")</f>
        <v>合算</v>
      </c>
      <c r="AB309" s="28"/>
      <c r="AC309" s="29" t="n">
        <f aca="false">IF(OR(G309="",G309="なし"),"",IF(AA309="合算",CJ309+N(Z309),IF(AA309="掛金・負担金別",(AY309+AZ309+BD309+BF309+BH309),SUM(AY309:BC309))))</f>
        <v>0</v>
      </c>
      <c r="AD309" s="27"/>
      <c r="AE309" s="29" t="str">
        <f aca="false">IF(OR(G309="",G309="なし"),"",IF(AA309="掛金・負担金別",(BA309+BB309+BC309+BE309+BG309+BI309+N(Z309)),IF(AA309="経理区分別",BD309+BE309,"")))</f>
        <v/>
      </c>
      <c r="AF309" s="27"/>
      <c r="AG309" s="29" t="str">
        <f aca="false">IF(OR(G309="",G309="なし"),"",IF(AA309="経理区分別",BF309+BG309,""))</f>
        <v/>
      </c>
      <c r="AH309" s="27"/>
      <c r="AI309" s="29" t="str">
        <f aca="false">IF(OR(G309="",G309="なし"),"",IF(AA309="経理区分別",BH309+BI309+N(Z309),""))</f>
        <v/>
      </c>
      <c r="AJ309" s="27"/>
      <c r="AK309" s="26" t="s">
        <v>168</v>
      </c>
      <c r="AL309" s="26"/>
      <c r="AM309" s="30"/>
      <c r="AN309" s="31"/>
      <c r="AO309" s="31"/>
      <c r="AP309" s="31"/>
      <c r="AQ309" s="31"/>
      <c r="AR309" s="31"/>
      <c r="AS309" s="31"/>
      <c r="AT309" s="31"/>
      <c r="AU309" s="31"/>
      <c r="AV309" s="31"/>
      <c r="AW309" s="31"/>
      <c r="AX309" s="31"/>
      <c r="AY309" s="31" t="n">
        <f aca="false">IF($G309="",AN309,O309)</f>
        <v>0</v>
      </c>
      <c r="AZ309" s="31" t="n">
        <f aca="false">IF($G309="",AO309,P309)</f>
        <v>0</v>
      </c>
      <c r="BA309" s="31" t="n">
        <f aca="false">IF($G309="",AP309,T309)</f>
        <v>0</v>
      </c>
      <c r="BB309" s="31" t="n">
        <f aca="false">IF($G309="",AQ309,U309)</f>
        <v>0</v>
      </c>
      <c r="BC309" s="31" t="n">
        <f aca="false">IF($G309="",AR309,V309)</f>
        <v>0</v>
      </c>
      <c r="BD309" s="31" t="n">
        <f aca="false">IF($G309="",AS309,Q309)</f>
        <v>0</v>
      </c>
      <c r="BE309" s="31" t="n">
        <f aca="false">IF($G309="",AT309,W309)</f>
        <v>0</v>
      </c>
      <c r="BF309" s="31" t="n">
        <f aca="false">IF($G309="",AU309,R309)</f>
        <v>0</v>
      </c>
      <c r="BG309" s="31" t="n">
        <f aca="false">IF($G309="",AV309,X309)</f>
        <v>0</v>
      </c>
      <c r="BH309" s="31" t="n">
        <f aca="false">IF($G309="",AW309,S309)</f>
        <v>0</v>
      </c>
      <c r="BI309" s="31" t="n">
        <f aca="false">IF($G309="",AX309,Y309)</f>
        <v>0</v>
      </c>
      <c r="BJ309" s="31" t="n">
        <f aca="false">IF(CK309="N",BR309,ROUNDDOWN((I309-L309)*設定!$B$10/1000,0)+ROUNDDOWN((I309-L309)*設定!$B$11/1000,0))</f>
        <v>0</v>
      </c>
      <c r="BK309" s="31" t="n">
        <f aca="false">ROUNDDOWN((I309-L309)*設定!$C$10/1000,0)+ROUNDDOWN((I309-L309)*設定!$C$11/1000,0)+ROUNDDOWN(I309*設定!$C$12/1000,0)+IF(CL309="市局型",ROUNDDOWN(I309*設定!$C$16/1000,0),0)</f>
        <v>0</v>
      </c>
      <c r="BL309" s="31" t="n">
        <f aca="false">IF(CK309="N",BT309,ROUNDDOWN((J309-M309)*設定!$B$13/1000,0))</f>
        <v>0</v>
      </c>
      <c r="BM309" s="31" t="n">
        <f aca="false">ROUNDDOWN((J309-M309)*設定!$C$13/1000,0)+IF(CL309="市局型",ROUNDDOWN(J309*設定!$C$17/1000,0),0)</f>
        <v>0</v>
      </c>
      <c r="BN309" s="31" t="n">
        <f aca="false">IF(CK309="N",BV309,ROUNDDOWN((K309-N309)*設定!$B$14/1000,0))</f>
        <v>0</v>
      </c>
      <c r="BO309" s="31" t="n">
        <f aca="false">ROUNDDOWN((K309-N309)*設定!$C$14/1000,0)</f>
        <v>0</v>
      </c>
      <c r="BP309" s="31" t="n">
        <f aca="false">IF(CK309="N",BX309,ROUNDDOWN((J309-M309)*設定!$B$15/1000,0))</f>
        <v>0</v>
      </c>
      <c r="BQ309" s="31" t="n">
        <f aca="false">ROUNDDOWN((J309-M309)*設定!$C$15/1000,0)</f>
        <v>0</v>
      </c>
      <c r="BR309" s="31" t="n">
        <f aca="false">O309+P309</f>
        <v>0</v>
      </c>
      <c r="BS309" s="31" t="n">
        <f aca="false">T309+U309+V309</f>
        <v>0</v>
      </c>
      <c r="BT309" s="31" t="n">
        <f aca="false">Q309</f>
        <v>0</v>
      </c>
      <c r="BU309" s="31" t="n">
        <f aca="false">W309</f>
        <v>0</v>
      </c>
      <c r="BV309" s="31" t="n">
        <f aca="false">R309</f>
        <v>0</v>
      </c>
      <c r="BW309" s="31" t="n">
        <f aca="false">X309</f>
        <v>0</v>
      </c>
      <c r="BX309" s="31" t="n">
        <f aca="false">S309</f>
        <v>0</v>
      </c>
      <c r="BY309" s="31" t="n">
        <f aca="false">Y309</f>
        <v>0</v>
      </c>
      <c r="BZ309" s="32" t="n">
        <f aca="false">IF(BJ309=0,IF(BR309=0,0,1),(BR309-BJ309)/BJ309)</f>
        <v>0</v>
      </c>
      <c r="CA309" s="32" t="n">
        <f aca="false">IF(BK309=0,IF(BS309=0,0,1),(BS309-BK309)/BK309)</f>
        <v>0</v>
      </c>
      <c r="CB309" s="32" t="n">
        <f aca="false">IF(BL309=0,IF(BT309=0,0,1),(BT309-BL309)/BL309)</f>
        <v>0</v>
      </c>
      <c r="CC309" s="32" t="n">
        <f aca="false">IF(BM309=0,IF(BU309=0,0,1),(BU309-BM309)/BM309)</f>
        <v>0</v>
      </c>
      <c r="CD309" s="32" t="n">
        <f aca="false">IF(BN309=0,IF(BV309=0,0,1),(BV309-BN309)/BN309)</f>
        <v>0</v>
      </c>
      <c r="CE309" s="32" t="n">
        <f aca="false">IF(BO309=0,IF(BW309=0,0,1),(BW309-BO309)/BO309)</f>
        <v>0</v>
      </c>
      <c r="CF309" s="32" t="n">
        <f aca="false">IF(BP309=0,IF(BX309=0,0,1),(BX309-BP309)/BP309)</f>
        <v>0</v>
      </c>
      <c r="CG309" s="32" t="n">
        <f aca="false">IF(BQ309=0,IF(BY309=0,0,1),(BY309-BQ309)/BQ309)</f>
        <v>0</v>
      </c>
      <c r="CH309" s="32" t="n">
        <f aca="false">MAX(MAX(BZ309:CG309),-MIN(BZ309:CG309))</f>
        <v>-0</v>
      </c>
      <c r="CI309" s="31" t="n">
        <f aca="false">IF(CO309="","",SUMIFS($CJ$7:$CJ$696,$A$7:$A$696,CO309,$B$7:$B$696,B309))</f>
        <v>0</v>
      </c>
      <c r="CJ309" s="31" t="n">
        <f aca="false">SUM(AY309:BI309)</f>
        <v>0</v>
      </c>
      <c r="CK309" s="31" t="str">
        <f aca="false">IFERROR(INDEX(設定!$F$61:$F$106,MATCH(B309,設定!$B$61:$B$106,0)),"Y")</f>
        <v>N</v>
      </c>
      <c r="CL309" s="31" t="str">
        <f aca="false">IFERROR(INDEX(設定!$G$61:$G$106,MATCH(B309,設定!$B$61:$B$106,0)),"外郭型")</f>
        <v>外郭型</v>
      </c>
      <c r="CM309" s="33" t="str">
        <f aca="false">A309&amp;"|"&amp;B309</f>
        <v>2026-09 月例|文化財団　教育委員会</v>
      </c>
      <c r="CN309" s="34" t="str">
        <f aca="false">IFERROR(INDEX(設定!$D$61:$D$106,MATCH(B309,設定!$B$61:$B$106,0)),"Y")</f>
        <v>Y</v>
      </c>
      <c r="CO309" s="34" t="str">
        <f aca="false">IFERROR(INDEX(設定!$D$20:$D$34,MATCH(A309,設定!$A$20:$A$34,0))&amp;"","")</f>
        <v>2026-08 月例</v>
      </c>
    </row>
    <row r="310" customFormat="false" ht="15" hidden="true" customHeight="false" outlineLevel="0" collapsed="false">
      <c r="A310" s="22" t="s">
        <v>222</v>
      </c>
      <c r="B310" s="23" t="s">
        <v>196</v>
      </c>
      <c r="C310" s="10" t="str">
        <f aca="false">IF(G310="","未受領",IF(G310="なし","報告なし",IF(AL310="○","起票済",IF(OR(AK310="○",F310="一致",F310="入金不要"),"入金確認済","受領済"))))</f>
        <v>入金確認済</v>
      </c>
      <c r="D310" s="10" t="str">
        <f aca="false">IF(OR(G310="",G310="なし"),"―",IF(CN310="N","対象外",IF(AND(I310="",J310="",K310=""),"標報未入力",IF(CH310&gt;=設定!$B$4,"要確認","問題なし"))))</f>
        <v>標報未入力</v>
      </c>
      <c r="E310" s="24" t="str">
        <f aca="false">IF(OR(G310="",G310="なし",CI310="",CJ310=0),"―",IF(CJ310=CI310,"前月同額",IF(CI310=0,"―",IF(ABS(CJ310/CI310-1)&gt;=設定!$B$5,"変動大 "&amp;TEXT(CJ310/CI310-1,"+0%;-0%"),"〇"))))</f>
        <v>〇</v>
      </c>
      <c r="F310" s="10" t="str">
        <f aca="false">IF(OR(G310="",G310="なし"),"―",IF(CJ310=0,"入金不要",IF(COUNT(AD310,AF310,AH310,AJ310)=0,IF(AK310="○","手動確認","未入金"),IF(AND(N(AD310)=AC310,IF(AE310="",TRUE(),N(AF310)=AE310),IF(AG310="",TRUE(),N(AH310)=AG310),IF(AI310="",TRUE(),N(AJ310)=AI310)),"一致","不一致"))))</f>
        <v>手動確認</v>
      </c>
      <c r="G310" s="25" t="s">
        <v>167</v>
      </c>
      <c r="H310" s="26"/>
      <c r="I310" s="27"/>
      <c r="J310" s="27"/>
      <c r="K310" s="27"/>
      <c r="L310" s="27"/>
      <c r="M310" s="27"/>
      <c r="N310" s="27"/>
      <c r="O310" s="27"/>
      <c r="P310" s="27"/>
      <c r="Q310" s="27"/>
      <c r="R310" s="27"/>
      <c r="S310" s="27"/>
      <c r="T310" s="27" t="n">
        <v>412665</v>
      </c>
      <c r="U310" s="27" t="n">
        <v>33825</v>
      </c>
      <c r="V310" s="27" t="n">
        <v>389</v>
      </c>
      <c r="W310" s="27" t="n">
        <v>234113</v>
      </c>
      <c r="X310" s="27" t="n">
        <v>35629</v>
      </c>
      <c r="Y310" s="27" t="n">
        <v>5186</v>
      </c>
      <c r="Z310" s="27"/>
      <c r="AA310" s="10" t="str">
        <f aca="false">IFERROR(INDEX(設定!$E$61:$E$106,MATCH(B310,設定!$B$61:$B$106,0)),"合算")</f>
        <v>合算</v>
      </c>
      <c r="AB310" s="28"/>
      <c r="AC310" s="29" t="n">
        <f aca="false">IF(OR(G310="",G310="なし"),"",IF(AA310="合算",CJ310+N(Z310),IF(AA310="掛金・負担金別",(AY310+AZ310+BD310+BF310+BH310),SUM(AY310:BC310))))</f>
        <v>721807</v>
      </c>
      <c r="AD310" s="27"/>
      <c r="AE310" s="29" t="str">
        <f aca="false">IF(OR(G310="",G310="なし"),"",IF(AA310="掛金・負担金別",(BA310+BB310+BC310+BE310+BG310+BI310+N(Z310)),IF(AA310="経理区分別",BD310+BE310,"")))</f>
        <v/>
      </c>
      <c r="AF310" s="27"/>
      <c r="AG310" s="29" t="str">
        <f aca="false">IF(OR(G310="",G310="なし"),"",IF(AA310="経理区分別",BF310+BG310,""))</f>
        <v/>
      </c>
      <c r="AH310" s="27"/>
      <c r="AI310" s="29" t="str">
        <f aca="false">IF(OR(G310="",G310="なし"),"",IF(AA310="経理区分別",BH310+BI310+N(Z310),""))</f>
        <v/>
      </c>
      <c r="AJ310" s="27"/>
      <c r="AK310" s="26" t="s">
        <v>168</v>
      </c>
      <c r="AL310" s="26"/>
      <c r="AM310" s="30"/>
      <c r="AN310" s="31"/>
      <c r="AO310" s="31"/>
      <c r="AP310" s="31"/>
      <c r="AQ310" s="31"/>
      <c r="AR310" s="31"/>
      <c r="AS310" s="31"/>
      <c r="AT310" s="31"/>
      <c r="AU310" s="31"/>
      <c r="AV310" s="31"/>
      <c r="AW310" s="31"/>
      <c r="AX310" s="31"/>
      <c r="AY310" s="31" t="n">
        <f aca="false">IF($G310="",AN310,O310)</f>
        <v>0</v>
      </c>
      <c r="AZ310" s="31" t="n">
        <f aca="false">IF($G310="",AO310,P310)</f>
        <v>0</v>
      </c>
      <c r="BA310" s="31" t="n">
        <f aca="false">IF($G310="",AP310,T310)</f>
        <v>412665</v>
      </c>
      <c r="BB310" s="31" t="n">
        <f aca="false">IF($G310="",AQ310,U310)</f>
        <v>33825</v>
      </c>
      <c r="BC310" s="31" t="n">
        <f aca="false">IF($G310="",AR310,V310)</f>
        <v>389</v>
      </c>
      <c r="BD310" s="31" t="n">
        <f aca="false">IF($G310="",AS310,Q310)</f>
        <v>0</v>
      </c>
      <c r="BE310" s="31" t="n">
        <f aca="false">IF($G310="",AT310,W310)</f>
        <v>234113</v>
      </c>
      <c r="BF310" s="31" t="n">
        <f aca="false">IF($G310="",AU310,R310)</f>
        <v>0</v>
      </c>
      <c r="BG310" s="31" t="n">
        <f aca="false">IF($G310="",AV310,X310)</f>
        <v>35629</v>
      </c>
      <c r="BH310" s="31" t="n">
        <f aca="false">IF($G310="",AW310,S310)</f>
        <v>0</v>
      </c>
      <c r="BI310" s="31" t="n">
        <f aca="false">IF($G310="",AX310,Y310)</f>
        <v>5186</v>
      </c>
      <c r="BJ310" s="31" t="n">
        <f aca="false">IF(CK310="N",BR310,ROUNDDOWN((I310-L310)*設定!$B$10/1000,0)+ROUNDDOWN((I310-L310)*設定!$B$11/1000,0))</f>
        <v>0</v>
      </c>
      <c r="BK310" s="31" t="n">
        <f aca="false">ROUNDDOWN((I310-L310)*設定!$C$10/1000,0)+ROUNDDOWN((I310-L310)*設定!$C$11/1000,0)+ROUNDDOWN(I310*設定!$C$12/1000,0)+IF(CL310="市局型",ROUNDDOWN(I310*設定!$C$16/1000,0),0)</f>
        <v>0</v>
      </c>
      <c r="BL310" s="31" t="n">
        <f aca="false">IF(CK310="N",BT310,ROUNDDOWN((J310-M310)*設定!$B$13/1000,0))</f>
        <v>0</v>
      </c>
      <c r="BM310" s="31" t="n">
        <f aca="false">ROUNDDOWN((J310-M310)*設定!$C$13/1000,0)+IF(CL310="市局型",ROUNDDOWN(J310*設定!$C$17/1000,0),0)</f>
        <v>0</v>
      </c>
      <c r="BN310" s="31" t="n">
        <f aca="false">IF(CK310="N",BV310,ROUNDDOWN((K310-N310)*設定!$B$14/1000,0))</f>
        <v>0</v>
      </c>
      <c r="BO310" s="31" t="n">
        <f aca="false">ROUNDDOWN((K310-N310)*設定!$C$14/1000,0)</f>
        <v>0</v>
      </c>
      <c r="BP310" s="31" t="n">
        <f aca="false">IF(CK310="N",BX310,ROUNDDOWN((J310-M310)*設定!$B$15/1000,0))</f>
        <v>0</v>
      </c>
      <c r="BQ310" s="31" t="n">
        <f aca="false">ROUNDDOWN((J310-M310)*設定!$C$15/1000,0)</f>
        <v>0</v>
      </c>
      <c r="BR310" s="31" t="n">
        <f aca="false">O310+P310</f>
        <v>0</v>
      </c>
      <c r="BS310" s="31" t="n">
        <f aca="false">T310+U310+V310</f>
        <v>446879</v>
      </c>
      <c r="BT310" s="31" t="n">
        <f aca="false">Q310</f>
        <v>0</v>
      </c>
      <c r="BU310" s="31" t="n">
        <f aca="false">W310</f>
        <v>234113</v>
      </c>
      <c r="BV310" s="31" t="n">
        <f aca="false">R310</f>
        <v>0</v>
      </c>
      <c r="BW310" s="31" t="n">
        <f aca="false">X310</f>
        <v>35629</v>
      </c>
      <c r="BX310" s="31" t="n">
        <f aca="false">S310</f>
        <v>0</v>
      </c>
      <c r="BY310" s="31" t="n">
        <f aca="false">Y310</f>
        <v>5186</v>
      </c>
      <c r="BZ310" s="32" t="n">
        <f aca="false">IF(BJ310=0,IF(BR310=0,0,1),(BR310-BJ310)/BJ310)</f>
        <v>0</v>
      </c>
      <c r="CA310" s="32" t="n">
        <f aca="false">IF(BK310=0,IF(BS310=0,0,1),(BS310-BK310)/BK310)</f>
        <v>1</v>
      </c>
      <c r="CB310" s="32" t="n">
        <f aca="false">IF(BL310=0,IF(BT310=0,0,1),(BT310-BL310)/BL310)</f>
        <v>0</v>
      </c>
      <c r="CC310" s="32" t="n">
        <f aca="false">IF(BM310=0,IF(BU310=0,0,1),(BU310-BM310)/BM310)</f>
        <v>1</v>
      </c>
      <c r="CD310" s="32" t="n">
        <f aca="false">IF(BN310=0,IF(BV310=0,0,1),(BV310-BN310)/BN310)</f>
        <v>0</v>
      </c>
      <c r="CE310" s="32" t="n">
        <f aca="false">IF(BO310=0,IF(BW310=0,0,1),(BW310-BO310)/BO310)</f>
        <v>1</v>
      </c>
      <c r="CF310" s="32" t="n">
        <f aca="false">IF(BP310=0,IF(BX310=0,0,1),(BX310-BP310)/BP310)</f>
        <v>0</v>
      </c>
      <c r="CG310" s="32" t="n">
        <f aca="false">IF(BQ310=0,IF(BY310=0,0,1),(BY310-BQ310)/BQ310)</f>
        <v>1</v>
      </c>
      <c r="CH310" s="32" t="n">
        <f aca="false">MAX(MAX(BZ310:CG310),-MIN(BZ310:CG310))</f>
        <v>1</v>
      </c>
      <c r="CI310" s="31" t="n">
        <f aca="false">IF(CO310="","",SUMIFS($CJ$7:$CJ$696,$A$7:$A$696,CO310,$B$7:$B$696,B310))</f>
        <v>709003</v>
      </c>
      <c r="CJ310" s="31" t="n">
        <f aca="false">SUM(AY310:BI310)</f>
        <v>721807</v>
      </c>
      <c r="CK310" s="31" t="str">
        <f aca="false">IFERROR(INDEX(設定!$F$61:$F$106,MATCH(B310,設定!$B$61:$B$106,0)),"Y")</f>
        <v>N</v>
      </c>
      <c r="CL310" s="31" t="str">
        <f aca="false">IFERROR(INDEX(設定!$G$61:$G$106,MATCH(B310,設定!$B$61:$B$106,0)),"外郭型")</f>
        <v>外郭型</v>
      </c>
      <c r="CM310" s="33" t="str">
        <f aca="false">A310&amp;"|"&amp;B310</f>
        <v>2026-09 月例|みどり生きもの協会</v>
      </c>
      <c r="CN310" s="34" t="str">
        <f aca="false">IFERROR(INDEX(設定!$D$61:$D$106,MATCH(B310,設定!$B$61:$B$106,0)),"Y")</f>
        <v>Y</v>
      </c>
      <c r="CO310" s="34" t="str">
        <f aca="false">IFERROR(INDEX(設定!$D$20:$D$34,MATCH(A310,設定!$A$20:$A$34,0))&amp;"","")</f>
        <v>2026-08 月例</v>
      </c>
    </row>
    <row r="311" customFormat="false" ht="15" hidden="true" customHeight="false" outlineLevel="0" collapsed="false">
      <c r="A311" s="22" t="s">
        <v>222</v>
      </c>
      <c r="B311" s="23" t="s">
        <v>197</v>
      </c>
      <c r="C311" s="10" t="str">
        <f aca="false">IF(G311="","未受領",IF(G311="なし","報告なし",IF(AL311="○","起票済",IF(OR(AK311="○",F311="一致",F311="入金不要"),"入金確認済","受領済"))))</f>
        <v>入金確認済</v>
      </c>
      <c r="D311" s="10" t="str">
        <f aca="false">IF(OR(G311="",G311="なし"),"―",IF(CN311="N","対象外",IF(AND(I311="",J311="",K311=""),"標報未入力",IF(CH311&gt;=設定!$B$4,"要確認","問題なし"))))</f>
        <v>標報未入力</v>
      </c>
      <c r="E311" s="24" t="str">
        <f aca="false">IF(OR(G311="",G311="なし",CI311="",CJ311=0),"―",IF(CJ311=CI311,"前月同額",IF(CI311=0,"―",IF(ABS(CJ311/CI311-1)&gt;=設定!$B$5,"変動大 "&amp;TEXT(CJ311/CI311-1,"+0%;-0%"),"〇"))))</f>
        <v>〇</v>
      </c>
      <c r="F311" s="10" t="str">
        <f aca="false">IF(OR(G311="",G311="なし"),"―",IF(CJ311=0,"入金不要",IF(COUNT(AD311,AF311,AH311,AJ311)=0,IF(AK311="○","手動確認","未入金"),IF(AND(N(AD311)=AC311,IF(AE311="",TRUE(),N(AF311)=AE311),IF(AG311="",TRUE(),N(AH311)=AG311),IF(AI311="",TRUE(),N(AJ311)=AI311)),"一致","不一致"))))</f>
        <v>手動確認</v>
      </c>
      <c r="G311" s="25" t="s">
        <v>167</v>
      </c>
      <c r="H311" s="26"/>
      <c r="I311" s="27"/>
      <c r="J311" s="27"/>
      <c r="K311" s="27"/>
      <c r="L311" s="27"/>
      <c r="M311" s="27"/>
      <c r="N311" s="27"/>
      <c r="O311" s="27" t="n">
        <v>148230</v>
      </c>
      <c r="P311" s="27" t="n">
        <v>12150</v>
      </c>
      <c r="Q311" s="27" t="n">
        <v>84012</v>
      </c>
      <c r="R311" s="27" t="n">
        <v>9322</v>
      </c>
      <c r="S311" s="27" t="n">
        <v>1862</v>
      </c>
      <c r="T311" s="27" t="n">
        <v>148230</v>
      </c>
      <c r="U311" s="27" t="n">
        <v>12150</v>
      </c>
      <c r="V311" s="27" t="n">
        <v>140</v>
      </c>
      <c r="W311" s="27" t="n">
        <v>84094</v>
      </c>
      <c r="X311" s="27" t="n">
        <v>9322</v>
      </c>
      <c r="Y311" s="27" t="n">
        <v>1863</v>
      </c>
      <c r="Z311" s="27"/>
      <c r="AA311" s="10" t="str">
        <f aca="false">IFERROR(INDEX(設定!$E$61:$E$106,MATCH(B311,設定!$B$61:$B$106,0)),"合算")</f>
        <v>合算</v>
      </c>
      <c r="AB311" s="28"/>
      <c r="AC311" s="29" t="n">
        <f aca="false">IF(OR(G311="",G311="なし"),"",IF(AA311="合算",CJ311+N(Z311),IF(AA311="掛金・負担金別",(AY311+AZ311+BD311+BF311+BH311),SUM(AY311:BC311))))</f>
        <v>511375</v>
      </c>
      <c r="AD311" s="27"/>
      <c r="AE311" s="29" t="str">
        <f aca="false">IF(OR(G311="",G311="なし"),"",IF(AA311="掛金・負担金別",(BA311+BB311+BC311+BE311+BG311+BI311+N(Z311)),IF(AA311="経理区分別",BD311+BE311,"")))</f>
        <v/>
      </c>
      <c r="AF311" s="27"/>
      <c r="AG311" s="29" t="str">
        <f aca="false">IF(OR(G311="",G311="なし"),"",IF(AA311="経理区分別",BF311+BG311,""))</f>
        <v/>
      </c>
      <c r="AH311" s="27"/>
      <c r="AI311" s="29" t="str">
        <f aca="false">IF(OR(G311="",G311="なし"),"",IF(AA311="経理区分別",BH311+BI311+N(Z311),""))</f>
        <v/>
      </c>
      <c r="AJ311" s="27"/>
      <c r="AK311" s="26" t="s">
        <v>168</v>
      </c>
      <c r="AL311" s="26"/>
      <c r="AM311" s="30"/>
      <c r="AN311" s="31"/>
      <c r="AO311" s="31"/>
      <c r="AP311" s="31"/>
      <c r="AQ311" s="31"/>
      <c r="AR311" s="31"/>
      <c r="AS311" s="31"/>
      <c r="AT311" s="31"/>
      <c r="AU311" s="31"/>
      <c r="AV311" s="31"/>
      <c r="AW311" s="31"/>
      <c r="AX311" s="31"/>
      <c r="AY311" s="31" t="n">
        <f aca="false">IF($G311="",AN311,O311)</f>
        <v>148230</v>
      </c>
      <c r="AZ311" s="31" t="n">
        <f aca="false">IF($G311="",AO311,P311)</f>
        <v>12150</v>
      </c>
      <c r="BA311" s="31" t="n">
        <f aca="false">IF($G311="",AP311,T311)</f>
        <v>148230</v>
      </c>
      <c r="BB311" s="31" t="n">
        <f aca="false">IF($G311="",AQ311,U311)</f>
        <v>12150</v>
      </c>
      <c r="BC311" s="31" t="n">
        <f aca="false">IF($G311="",AR311,V311)</f>
        <v>140</v>
      </c>
      <c r="BD311" s="31" t="n">
        <f aca="false">IF($G311="",AS311,Q311)</f>
        <v>84012</v>
      </c>
      <c r="BE311" s="31" t="n">
        <f aca="false">IF($G311="",AT311,W311)</f>
        <v>84094</v>
      </c>
      <c r="BF311" s="31" t="n">
        <f aca="false">IF($G311="",AU311,R311)</f>
        <v>9322</v>
      </c>
      <c r="BG311" s="31" t="n">
        <f aca="false">IF($G311="",AV311,X311)</f>
        <v>9322</v>
      </c>
      <c r="BH311" s="31" t="n">
        <f aca="false">IF($G311="",AW311,S311)</f>
        <v>1862</v>
      </c>
      <c r="BI311" s="31" t="n">
        <f aca="false">IF($G311="",AX311,Y311)</f>
        <v>1863</v>
      </c>
      <c r="BJ311" s="31" t="n">
        <f aca="false">IF(CK311="N",BR311,ROUNDDOWN((I311-L311)*設定!$B$10/1000,0)+ROUNDDOWN((I311-L311)*設定!$B$11/1000,0))</f>
        <v>0</v>
      </c>
      <c r="BK311" s="31" t="n">
        <f aca="false">ROUNDDOWN((I311-L311)*設定!$C$10/1000,0)+ROUNDDOWN((I311-L311)*設定!$C$11/1000,0)+ROUNDDOWN(I311*設定!$C$12/1000,0)+IF(CL311="市局型",ROUNDDOWN(I311*設定!$C$16/1000,0),0)</f>
        <v>0</v>
      </c>
      <c r="BL311" s="31" t="n">
        <f aca="false">IF(CK311="N",BT311,ROUNDDOWN((J311-M311)*設定!$B$13/1000,0))</f>
        <v>0</v>
      </c>
      <c r="BM311" s="31" t="n">
        <f aca="false">ROUNDDOWN((J311-M311)*設定!$C$13/1000,0)+IF(CL311="市局型",ROUNDDOWN(J311*設定!$C$17/1000,0),0)</f>
        <v>0</v>
      </c>
      <c r="BN311" s="31" t="n">
        <f aca="false">IF(CK311="N",BV311,ROUNDDOWN((K311-N311)*設定!$B$14/1000,0))</f>
        <v>0</v>
      </c>
      <c r="BO311" s="31" t="n">
        <f aca="false">ROUNDDOWN((K311-N311)*設定!$C$14/1000,0)</f>
        <v>0</v>
      </c>
      <c r="BP311" s="31" t="n">
        <f aca="false">IF(CK311="N",BX311,ROUNDDOWN((J311-M311)*設定!$B$15/1000,0))</f>
        <v>0</v>
      </c>
      <c r="BQ311" s="31" t="n">
        <f aca="false">ROUNDDOWN((J311-M311)*設定!$C$15/1000,0)</f>
        <v>0</v>
      </c>
      <c r="BR311" s="31" t="n">
        <f aca="false">O311+P311</f>
        <v>160380</v>
      </c>
      <c r="BS311" s="31" t="n">
        <f aca="false">T311+U311+V311</f>
        <v>160520</v>
      </c>
      <c r="BT311" s="31" t="n">
        <f aca="false">Q311</f>
        <v>84012</v>
      </c>
      <c r="BU311" s="31" t="n">
        <f aca="false">W311</f>
        <v>84094</v>
      </c>
      <c r="BV311" s="31" t="n">
        <f aca="false">R311</f>
        <v>9322</v>
      </c>
      <c r="BW311" s="31" t="n">
        <f aca="false">X311</f>
        <v>9322</v>
      </c>
      <c r="BX311" s="31" t="n">
        <f aca="false">S311</f>
        <v>1862</v>
      </c>
      <c r="BY311" s="31" t="n">
        <f aca="false">Y311</f>
        <v>1863</v>
      </c>
      <c r="BZ311" s="32" t="n">
        <f aca="false">IF(BJ311=0,IF(BR311=0,0,1),(BR311-BJ311)/BJ311)</f>
        <v>1</v>
      </c>
      <c r="CA311" s="32" t="n">
        <f aca="false">IF(BK311=0,IF(BS311=0,0,1),(BS311-BK311)/BK311)</f>
        <v>1</v>
      </c>
      <c r="CB311" s="32" t="n">
        <f aca="false">IF(BL311=0,IF(BT311=0,0,1),(BT311-BL311)/BL311)</f>
        <v>1</v>
      </c>
      <c r="CC311" s="32" t="n">
        <f aca="false">IF(BM311=0,IF(BU311=0,0,1),(BU311-BM311)/BM311)</f>
        <v>1</v>
      </c>
      <c r="CD311" s="32" t="n">
        <f aca="false">IF(BN311=0,IF(BV311=0,0,1),(BV311-BN311)/BN311)</f>
        <v>1</v>
      </c>
      <c r="CE311" s="32" t="n">
        <f aca="false">IF(BO311=0,IF(BW311=0,0,1),(BW311-BO311)/BO311)</f>
        <v>1</v>
      </c>
      <c r="CF311" s="32" t="n">
        <f aca="false">IF(BP311=0,IF(BX311=0,0,1),(BX311-BP311)/BP311)</f>
        <v>1</v>
      </c>
      <c r="CG311" s="32" t="n">
        <f aca="false">IF(BQ311=0,IF(BY311=0,0,1),(BY311-BQ311)/BQ311)</f>
        <v>1</v>
      </c>
      <c r="CH311" s="32" t="n">
        <f aca="false">MAX(MAX(BZ311:CG311),-MIN(BZ311:CG311))</f>
        <v>1</v>
      </c>
      <c r="CI311" s="31" t="n">
        <f aca="false">IF(CO311="","",SUMIFS($CJ$7:$CJ$696,$A$7:$A$696,CO311,$B$7:$B$696,B311))</f>
        <v>519160</v>
      </c>
      <c r="CJ311" s="31" t="n">
        <f aca="false">SUM(AY311:BI311)</f>
        <v>511375</v>
      </c>
      <c r="CK311" s="31" t="str">
        <f aca="false">IFERROR(INDEX(設定!$F$61:$F$106,MATCH(B311,設定!$B$61:$B$106,0)),"Y")</f>
        <v>Y</v>
      </c>
      <c r="CL311" s="31" t="str">
        <f aca="false">IFERROR(INDEX(設定!$G$61:$G$106,MATCH(B311,設定!$B$61:$B$106,0)),"外郭型")</f>
        <v>外郭型</v>
      </c>
      <c r="CM311" s="33" t="str">
        <f aca="false">A311&amp;"|"&amp;B311</f>
        <v>2026-09 月例|県下水道公社</v>
      </c>
      <c r="CN311" s="34" t="str">
        <f aca="false">IFERROR(INDEX(設定!$D$61:$D$106,MATCH(B311,設定!$B$61:$B$106,0)),"Y")</f>
        <v>Y</v>
      </c>
      <c r="CO311" s="34" t="str">
        <f aca="false">IFERROR(INDEX(設定!$D$20:$D$34,MATCH(A311,設定!$A$20:$A$34,0))&amp;"","")</f>
        <v>2026-08 月例</v>
      </c>
    </row>
    <row r="312" customFormat="false" ht="26.85" hidden="true" customHeight="false" outlineLevel="0" collapsed="false">
      <c r="A312" s="22" t="s">
        <v>222</v>
      </c>
      <c r="B312" s="35" t="s">
        <v>219</v>
      </c>
      <c r="C312" s="10" t="str">
        <f aca="false">IF(G312="","未受領",IF(G312="なし","報告なし",IF(AL312="○","起票済",IF(OR(AK312="○",F312="一致",F312="入金不要"),"入金確認済","受領済"))))</f>
        <v>入金確認済</v>
      </c>
      <c r="D312" s="10" t="str">
        <f aca="false">IF(OR(G312="",G312="なし"),"―",IF(CN312="N","対象外",IF(AND(I312="",J312="",K312=""),"標報未入力",IF(CH312&gt;=設定!$B$4,"要確認","問題なし"))))</f>
        <v>標報未入力</v>
      </c>
      <c r="E312" s="24" t="str">
        <f aca="false">IF(OR(G312="",G312="なし",CI312="",CJ312=0),"―",IF(CJ312=CI312,"前月同額",IF(CI312=0,"―",IF(ABS(CJ312/CI312-1)&gt;=設定!$B$5,"変動大 "&amp;TEXT(CJ312/CI312-1,"+0%;-0%"),"〇"))))</f>
        <v>〇</v>
      </c>
      <c r="F312" s="10" t="str">
        <f aca="false">IF(OR(G312="",G312="なし"),"―",IF(CJ312=0,"入金不要",IF(COUNT(AD312,AF312,AH312,AJ312)=0,IF(AK312="○","手動確認","未入金"),IF(AND(N(AD312)=AC312,IF(AE312="",TRUE(),N(AF312)=AE312),IF(AG312="",TRUE(),N(AH312)=AG312),IF(AI312="",TRUE(),N(AJ312)=AI312)),"一致","不一致"))))</f>
        <v>手動確認</v>
      </c>
      <c r="G312" s="25" t="s">
        <v>167</v>
      </c>
      <c r="H312" s="26"/>
      <c r="I312" s="27"/>
      <c r="J312" s="27"/>
      <c r="K312" s="27"/>
      <c r="L312" s="27"/>
      <c r="M312" s="27"/>
      <c r="N312" s="27"/>
      <c r="O312" s="27"/>
      <c r="P312" s="27"/>
      <c r="Q312" s="27"/>
      <c r="R312" s="27"/>
      <c r="S312" s="27"/>
      <c r="T312" s="27" t="n">
        <v>444690</v>
      </c>
      <c r="U312" s="27" t="n">
        <v>36450</v>
      </c>
      <c r="V312" s="27" t="n">
        <v>422</v>
      </c>
      <c r="W312" s="27" t="n">
        <v>261626</v>
      </c>
      <c r="X312" s="27" t="n">
        <v>21251</v>
      </c>
      <c r="Y312" s="27" t="n">
        <v>5796</v>
      </c>
      <c r="Z312" s="27"/>
      <c r="AA312" s="10" t="str">
        <f aca="false">IFERROR(INDEX(設定!$E$61:$E$106,MATCH(B312,設定!$B$61:$B$106,0)),"合算")</f>
        <v>合算</v>
      </c>
      <c r="AB312" s="28"/>
      <c r="AC312" s="29" t="n">
        <f aca="false">IF(OR(G312="",G312="なし"),"",IF(AA312="合算",CJ312+N(Z312),IF(AA312="掛金・負担金別",(AY312+AZ312+BD312+BF312+BH312),SUM(AY312:BC312))))</f>
        <v>770235</v>
      </c>
      <c r="AD312" s="27"/>
      <c r="AE312" s="29" t="str">
        <f aca="false">IF(OR(G312="",G312="なし"),"",IF(AA312="掛金・負担金別",(BA312+BB312+BC312+BE312+BG312+BI312+N(Z312)),IF(AA312="経理区分別",BD312+BE312,"")))</f>
        <v/>
      </c>
      <c r="AF312" s="27"/>
      <c r="AG312" s="29" t="str">
        <f aca="false">IF(OR(G312="",G312="なし"),"",IF(AA312="経理区分別",BF312+BG312,""))</f>
        <v/>
      </c>
      <c r="AH312" s="27"/>
      <c r="AI312" s="29" t="str">
        <f aca="false">IF(OR(G312="",G312="なし"),"",IF(AA312="経理区分別",BH312+BI312+N(Z312),""))</f>
        <v/>
      </c>
      <c r="AJ312" s="27"/>
      <c r="AK312" s="26" t="s">
        <v>168</v>
      </c>
      <c r="AL312" s="26"/>
      <c r="AM312" s="30"/>
      <c r="AN312" s="31"/>
      <c r="AO312" s="31"/>
      <c r="AP312" s="31"/>
      <c r="AQ312" s="31"/>
      <c r="AR312" s="31"/>
      <c r="AS312" s="31"/>
      <c r="AT312" s="31"/>
      <c r="AU312" s="31"/>
      <c r="AV312" s="31"/>
      <c r="AW312" s="31"/>
      <c r="AX312" s="31"/>
      <c r="AY312" s="31" t="n">
        <f aca="false">IF($G312="",AN312,O312)</f>
        <v>0</v>
      </c>
      <c r="AZ312" s="31" t="n">
        <f aca="false">IF($G312="",AO312,P312)</f>
        <v>0</v>
      </c>
      <c r="BA312" s="31" t="n">
        <f aca="false">IF($G312="",AP312,T312)</f>
        <v>444690</v>
      </c>
      <c r="BB312" s="31" t="n">
        <f aca="false">IF($G312="",AQ312,U312)</f>
        <v>36450</v>
      </c>
      <c r="BC312" s="31" t="n">
        <f aca="false">IF($G312="",AR312,V312)</f>
        <v>422</v>
      </c>
      <c r="BD312" s="31" t="n">
        <f aca="false">IF($G312="",AS312,Q312)</f>
        <v>0</v>
      </c>
      <c r="BE312" s="31" t="n">
        <f aca="false">IF($G312="",AT312,W312)</f>
        <v>261626</v>
      </c>
      <c r="BF312" s="31" t="n">
        <f aca="false">IF($G312="",AU312,R312)</f>
        <v>0</v>
      </c>
      <c r="BG312" s="31" t="n">
        <f aca="false">IF($G312="",AV312,X312)</f>
        <v>21251</v>
      </c>
      <c r="BH312" s="31" t="n">
        <f aca="false">IF($G312="",AW312,S312)</f>
        <v>0</v>
      </c>
      <c r="BI312" s="31" t="n">
        <f aca="false">IF($G312="",AX312,Y312)</f>
        <v>5796</v>
      </c>
      <c r="BJ312" s="31" t="n">
        <f aca="false">IF(CK312="N",BR312,ROUNDDOWN((I312-L312)*設定!$B$10/1000,0)+ROUNDDOWN((I312-L312)*設定!$B$11/1000,0))</f>
        <v>0</v>
      </c>
      <c r="BK312" s="31" t="n">
        <f aca="false">ROUNDDOWN((I312-L312)*設定!$C$10/1000,0)+ROUNDDOWN((I312-L312)*設定!$C$11/1000,0)+ROUNDDOWN(I312*設定!$C$12/1000,0)+IF(CL312="市局型",ROUNDDOWN(I312*設定!$C$16/1000,0),0)</f>
        <v>0</v>
      </c>
      <c r="BL312" s="31" t="n">
        <f aca="false">IF(CK312="N",BT312,ROUNDDOWN((J312-M312)*設定!$B$13/1000,0))</f>
        <v>0</v>
      </c>
      <c r="BM312" s="31" t="n">
        <f aca="false">ROUNDDOWN((J312-M312)*設定!$C$13/1000,0)+IF(CL312="市局型",ROUNDDOWN(J312*設定!$C$17/1000,0),0)</f>
        <v>0</v>
      </c>
      <c r="BN312" s="31" t="n">
        <f aca="false">IF(CK312="N",BV312,ROUNDDOWN((K312-N312)*設定!$B$14/1000,0))</f>
        <v>0</v>
      </c>
      <c r="BO312" s="31" t="n">
        <f aca="false">ROUNDDOWN((K312-N312)*設定!$C$14/1000,0)</f>
        <v>0</v>
      </c>
      <c r="BP312" s="31" t="n">
        <f aca="false">IF(CK312="N",BX312,ROUNDDOWN((J312-M312)*設定!$B$15/1000,0))</f>
        <v>0</v>
      </c>
      <c r="BQ312" s="31" t="n">
        <f aca="false">ROUNDDOWN((J312-M312)*設定!$C$15/1000,0)</f>
        <v>0</v>
      </c>
      <c r="BR312" s="31" t="n">
        <f aca="false">O312+P312</f>
        <v>0</v>
      </c>
      <c r="BS312" s="31" t="n">
        <f aca="false">T312+U312+V312</f>
        <v>481562</v>
      </c>
      <c r="BT312" s="31" t="n">
        <f aca="false">Q312</f>
        <v>0</v>
      </c>
      <c r="BU312" s="31" t="n">
        <f aca="false">W312</f>
        <v>261626</v>
      </c>
      <c r="BV312" s="31" t="n">
        <f aca="false">R312</f>
        <v>0</v>
      </c>
      <c r="BW312" s="31" t="n">
        <f aca="false">X312</f>
        <v>21251</v>
      </c>
      <c r="BX312" s="31" t="n">
        <f aca="false">S312</f>
        <v>0</v>
      </c>
      <c r="BY312" s="31" t="n">
        <f aca="false">Y312</f>
        <v>5796</v>
      </c>
      <c r="BZ312" s="32" t="n">
        <f aca="false">IF(BJ312=0,IF(BR312=0,0,1),(BR312-BJ312)/BJ312)</f>
        <v>0</v>
      </c>
      <c r="CA312" s="32" t="n">
        <f aca="false">IF(BK312=0,IF(BS312=0,0,1),(BS312-BK312)/BK312)</f>
        <v>1</v>
      </c>
      <c r="CB312" s="32" t="n">
        <f aca="false">IF(BL312=0,IF(BT312=0,0,1),(BT312-BL312)/BL312)</f>
        <v>0</v>
      </c>
      <c r="CC312" s="32" t="n">
        <f aca="false">IF(BM312=0,IF(BU312=0,0,1),(BU312-BM312)/BM312)</f>
        <v>1</v>
      </c>
      <c r="CD312" s="32" t="n">
        <f aca="false">IF(BN312=0,IF(BV312=0,0,1),(BV312-BN312)/BN312)</f>
        <v>0</v>
      </c>
      <c r="CE312" s="32" t="n">
        <f aca="false">IF(BO312=0,IF(BW312=0,0,1),(BW312-BO312)/BO312)</f>
        <v>1</v>
      </c>
      <c r="CF312" s="32" t="n">
        <f aca="false">IF(BP312=0,IF(BX312=0,0,1),(BX312-BP312)/BP312)</f>
        <v>0</v>
      </c>
      <c r="CG312" s="32" t="n">
        <f aca="false">IF(BQ312=0,IF(BY312=0,0,1),(BY312-BQ312)/BQ312)</f>
        <v>1</v>
      </c>
      <c r="CH312" s="32" t="n">
        <f aca="false">MAX(MAX(BZ312:CG312),-MIN(BZ312:CG312))</f>
        <v>1</v>
      </c>
      <c r="CI312" s="31" t="n">
        <f aca="false">IF(CO312="","",SUMIFS($CJ$7:$CJ$696,$A$7:$A$696,CO312,$B$7:$B$696,B312))</f>
        <v>788966</v>
      </c>
      <c r="CJ312" s="31" t="n">
        <f aca="false">SUM(AY312:BI312)</f>
        <v>770235</v>
      </c>
      <c r="CK312" s="31" t="str">
        <f aca="false">IFERROR(INDEX(設定!$F$61:$F$106,MATCH(B312,設定!$B$61:$B$106,0)),"Y")</f>
        <v>N</v>
      </c>
      <c r="CL312" s="31" t="str">
        <f aca="false">IFERROR(INDEX(設定!$G$61:$G$106,MATCH(B312,設定!$B$61:$B$106,0)),"外郭型")</f>
        <v>外郭型</v>
      </c>
      <c r="CM312" s="36" t="str">
        <f aca="false">A312&amp;"|"&amp;B312</f>
        <v>2026-09 月例|バス協調・共創
プラットフォーム</v>
      </c>
      <c r="CN312" s="34" t="str">
        <f aca="false">IFERROR(INDEX(設定!$D$61:$D$106,MATCH(B312,設定!$B$61:$B$106,0)),"Y")</f>
        <v>Y</v>
      </c>
      <c r="CO312" s="34" t="str">
        <f aca="false">IFERROR(INDEX(設定!$D$20:$D$34,MATCH(A312,設定!$A$20:$A$34,0))&amp;"","")</f>
        <v>2026-08 月例</v>
      </c>
    </row>
    <row r="313" customFormat="false" ht="15" hidden="true" customHeight="false" outlineLevel="0" collapsed="false">
      <c r="A313" s="22" t="s">
        <v>222</v>
      </c>
      <c r="B313" s="23" t="s">
        <v>199</v>
      </c>
      <c r="C313" s="10" t="str">
        <f aca="false">IF(G313="","未受領",IF(G313="なし","報告なし",IF(AL313="○","起票済",IF(OR(AK313="○",F313="一致",F313="入金不要"),"入金確認済","受領済"))))</f>
        <v>入金確認済</v>
      </c>
      <c r="D313" s="10" t="str">
        <f aca="false">IF(OR(G313="",G313="なし"),"―",IF(CN313="N","対象外",IF(AND(I313="",J313="",K313=""),"標報未入力",IF(CH313&gt;=設定!$B$4,"要確認","問題なし"))))</f>
        <v>標報未入力</v>
      </c>
      <c r="E313" s="24" t="str">
        <f aca="false">IF(OR(G313="",G313="なし",CI313="",CJ313=0),"―",IF(CJ313=CI313,"前月同額",IF(CI313=0,"―",IF(ABS(CJ313/CI313-1)&gt;=設定!$B$5,"変動大 "&amp;TEXT(CJ313/CI313-1,"+0%;-0%"),"〇"))))</f>
        <v>〇</v>
      </c>
      <c r="F313" s="10" t="str">
        <f aca="false">IF(OR(G313="",G313="なし"),"―",IF(CJ313=0,"入金不要",IF(COUNT(AD313,AF313,AH313,AJ313)=0,IF(AK313="○","手動確認","未入金"),IF(AND(N(AD313)=AC313,IF(AE313="",TRUE(),N(AF313)=AE313),IF(AG313="",TRUE(),N(AH313)=AG313),IF(AI313="",TRUE(),N(AJ313)=AI313)),"一致","不一致"))))</f>
        <v>手動確認</v>
      </c>
      <c r="G313" s="25" t="s">
        <v>167</v>
      </c>
      <c r="H313" s="26"/>
      <c r="I313" s="27"/>
      <c r="J313" s="27"/>
      <c r="K313" s="27"/>
      <c r="L313" s="27"/>
      <c r="M313" s="27"/>
      <c r="N313" s="27"/>
      <c r="O313" s="27" t="n">
        <v>53985</v>
      </c>
      <c r="P313" s="27" t="n">
        <v>4425</v>
      </c>
      <c r="Q313" s="27" t="n">
        <v>30597</v>
      </c>
      <c r="R313" s="27" t="n">
        <v>4661</v>
      </c>
      <c r="S313" s="27" t="n">
        <v>678</v>
      </c>
      <c r="T313" s="27" t="n">
        <v>53985</v>
      </c>
      <c r="U313" s="27" t="n">
        <v>4425</v>
      </c>
      <c r="V313" s="27" t="n">
        <v>51</v>
      </c>
      <c r="W313" s="27" t="n">
        <v>30626</v>
      </c>
      <c r="X313" s="27" t="n">
        <v>4661</v>
      </c>
      <c r="Y313" s="27" t="n">
        <v>678</v>
      </c>
      <c r="Z313" s="27"/>
      <c r="AA313" s="10" t="str">
        <f aca="false">IFERROR(INDEX(設定!$E$61:$E$106,MATCH(B313,設定!$B$61:$B$106,0)),"合算")</f>
        <v>合算</v>
      </c>
      <c r="AB313" s="28"/>
      <c r="AC313" s="29" t="n">
        <f aca="false">IF(OR(G313="",G313="なし"),"",IF(AA313="合算",CJ313+N(Z313),IF(AA313="掛金・負担金別",(AY313+AZ313+BD313+BF313+BH313),SUM(AY313:BC313))))</f>
        <v>188772</v>
      </c>
      <c r="AD313" s="27"/>
      <c r="AE313" s="29" t="str">
        <f aca="false">IF(OR(G313="",G313="なし"),"",IF(AA313="掛金・負担金別",(BA313+BB313+BC313+BE313+BG313+BI313+N(Z313)),IF(AA313="経理区分別",BD313+BE313,"")))</f>
        <v/>
      </c>
      <c r="AF313" s="27"/>
      <c r="AG313" s="29" t="str">
        <f aca="false">IF(OR(G313="",G313="なし"),"",IF(AA313="経理区分別",BF313+BG313,""))</f>
        <v/>
      </c>
      <c r="AH313" s="27"/>
      <c r="AI313" s="29" t="str">
        <f aca="false">IF(OR(G313="",G313="なし"),"",IF(AA313="経理区分別",BH313+BI313+N(Z313),""))</f>
        <v/>
      </c>
      <c r="AJ313" s="27"/>
      <c r="AK313" s="26" t="s">
        <v>168</v>
      </c>
      <c r="AL313" s="26"/>
      <c r="AM313" s="30"/>
      <c r="AN313" s="31"/>
      <c r="AO313" s="31"/>
      <c r="AP313" s="31"/>
      <c r="AQ313" s="31"/>
      <c r="AR313" s="31"/>
      <c r="AS313" s="31"/>
      <c r="AT313" s="31"/>
      <c r="AU313" s="31"/>
      <c r="AV313" s="31"/>
      <c r="AW313" s="31"/>
      <c r="AX313" s="31"/>
      <c r="AY313" s="31" t="n">
        <f aca="false">IF($G313="",AN313,O313)</f>
        <v>53985</v>
      </c>
      <c r="AZ313" s="31" t="n">
        <f aca="false">IF($G313="",AO313,P313)</f>
        <v>4425</v>
      </c>
      <c r="BA313" s="31" t="n">
        <f aca="false">IF($G313="",AP313,T313)</f>
        <v>53985</v>
      </c>
      <c r="BB313" s="31" t="n">
        <f aca="false">IF($G313="",AQ313,U313)</f>
        <v>4425</v>
      </c>
      <c r="BC313" s="31" t="n">
        <f aca="false">IF($G313="",AR313,V313)</f>
        <v>51</v>
      </c>
      <c r="BD313" s="31" t="n">
        <f aca="false">IF($G313="",AS313,Q313)</f>
        <v>30597</v>
      </c>
      <c r="BE313" s="31" t="n">
        <f aca="false">IF($G313="",AT313,W313)</f>
        <v>30626</v>
      </c>
      <c r="BF313" s="31" t="n">
        <f aca="false">IF($G313="",AU313,R313)</f>
        <v>4661</v>
      </c>
      <c r="BG313" s="31" t="n">
        <f aca="false">IF($G313="",AV313,X313)</f>
        <v>4661</v>
      </c>
      <c r="BH313" s="31" t="n">
        <f aca="false">IF($G313="",AW313,S313)</f>
        <v>678</v>
      </c>
      <c r="BI313" s="31" t="n">
        <f aca="false">IF($G313="",AX313,Y313)</f>
        <v>678</v>
      </c>
      <c r="BJ313" s="31" t="n">
        <f aca="false">IF(CK313="N",BR313,ROUNDDOWN((I313-L313)*設定!$B$10/1000,0)+ROUNDDOWN((I313-L313)*設定!$B$11/1000,0))</f>
        <v>0</v>
      </c>
      <c r="BK313" s="31" t="n">
        <f aca="false">ROUNDDOWN((I313-L313)*設定!$C$10/1000,0)+ROUNDDOWN((I313-L313)*設定!$C$11/1000,0)+ROUNDDOWN(I313*設定!$C$12/1000,0)+IF(CL313="市局型",ROUNDDOWN(I313*設定!$C$16/1000,0),0)</f>
        <v>0</v>
      </c>
      <c r="BL313" s="31" t="n">
        <f aca="false">IF(CK313="N",BT313,ROUNDDOWN((J313-M313)*設定!$B$13/1000,0))</f>
        <v>0</v>
      </c>
      <c r="BM313" s="31" t="n">
        <f aca="false">ROUNDDOWN((J313-M313)*設定!$C$13/1000,0)+IF(CL313="市局型",ROUNDDOWN(J313*設定!$C$17/1000,0),0)</f>
        <v>0</v>
      </c>
      <c r="BN313" s="31" t="n">
        <f aca="false">IF(CK313="N",BV313,ROUNDDOWN((K313-N313)*設定!$B$14/1000,0))</f>
        <v>0</v>
      </c>
      <c r="BO313" s="31" t="n">
        <f aca="false">ROUNDDOWN((K313-N313)*設定!$C$14/1000,0)</f>
        <v>0</v>
      </c>
      <c r="BP313" s="31" t="n">
        <f aca="false">IF(CK313="N",BX313,ROUNDDOWN((J313-M313)*設定!$B$15/1000,0))</f>
        <v>0</v>
      </c>
      <c r="BQ313" s="31" t="n">
        <f aca="false">ROUNDDOWN((J313-M313)*設定!$C$15/1000,0)</f>
        <v>0</v>
      </c>
      <c r="BR313" s="31" t="n">
        <f aca="false">O313+P313</f>
        <v>58410</v>
      </c>
      <c r="BS313" s="31" t="n">
        <f aca="false">T313+U313+V313</f>
        <v>58461</v>
      </c>
      <c r="BT313" s="31" t="n">
        <f aca="false">Q313</f>
        <v>30597</v>
      </c>
      <c r="BU313" s="31" t="n">
        <f aca="false">W313</f>
        <v>30626</v>
      </c>
      <c r="BV313" s="31" t="n">
        <f aca="false">R313</f>
        <v>4661</v>
      </c>
      <c r="BW313" s="31" t="n">
        <f aca="false">X313</f>
        <v>4661</v>
      </c>
      <c r="BX313" s="31" t="n">
        <f aca="false">S313</f>
        <v>678</v>
      </c>
      <c r="BY313" s="31" t="n">
        <f aca="false">Y313</f>
        <v>678</v>
      </c>
      <c r="BZ313" s="32" t="n">
        <f aca="false">IF(BJ313=0,IF(BR313=0,0,1),(BR313-BJ313)/BJ313)</f>
        <v>1</v>
      </c>
      <c r="CA313" s="32" t="n">
        <f aca="false">IF(BK313=0,IF(BS313=0,0,1),(BS313-BK313)/BK313)</f>
        <v>1</v>
      </c>
      <c r="CB313" s="32" t="n">
        <f aca="false">IF(BL313=0,IF(BT313=0,0,1),(BT313-BL313)/BL313)</f>
        <v>1</v>
      </c>
      <c r="CC313" s="32" t="n">
        <f aca="false">IF(BM313=0,IF(BU313=0,0,1),(BU313-BM313)/BM313)</f>
        <v>1</v>
      </c>
      <c r="CD313" s="32" t="n">
        <f aca="false">IF(BN313=0,IF(BV313=0,0,1),(BV313-BN313)/BN313)</f>
        <v>1</v>
      </c>
      <c r="CE313" s="32" t="n">
        <f aca="false">IF(BO313=0,IF(BW313=0,0,1),(BW313-BO313)/BO313)</f>
        <v>1</v>
      </c>
      <c r="CF313" s="32" t="n">
        <f aca="false">IF(BP313=0,IF(BX313=0,0,1),(BX313-BP313)/BP313)</f>
        <v>1</v>
      </c>
      <c r="CG313" s="32" t="n">
        <f aca="false">IF(BQ313=0,IF(BY313=0,0,1),(BY313-BQ313)/BQ313)</f>
        <v>1</v>
      </c>
      <c r="CH313" s="32" t="n">
        <f aca="false">MAX(MAX(BZ313:CG313),-MIN(BZ313:CG313))</f>
        <v>1</v>
      </c>
      <c r="CI313" s="31" t="n">
        <f aca="false">IF(CO313="","",SUMIFS($CJ$7:$CJ$696,$A$7:$A$696,CO313,$B$7:$B$696,B313))</f>
        <v>198372</v>
      </c>
      <c r="CJ313" s="31" t="n">
        <f aca="false">SUM(AY313:BI313)</f>
        <v>188772</v>
      </c>
      <c r="CK313" s="31" t="str">
        <f aca="false">IFERROR(INDEX(設定!$F$61:$F$106,MATCH(B313,設定!$B$61:$B$106,0)),"Y")</f>
        <v>Y</v>
      </c>
      <c r="CL313" s="31" t="str">
        <f aca="false">IFERROR(INDEX(設定!$G$61:$G$106,MATCH(B313,設定!$B$61:$B$106,0)),"外郭型")</f>
        <v>外郭型</v>
      </c>
      <c r="CM313" s="33" t="str">
        <f aca="false">A313&amp;"|"&amp;B313</f>
        <v>2026-09 月例|広島県市長会</v>
      </c>
      <c r="CN313" s="34" t="str">
        <f aca="false">IFERROR(INDEX(設定!$D$61:$D$106,MATCH(B313,設定!$B$61:$B$106,0)),"Y")</f>
        <v>Y</v>
      </c>
      <c r="CO313" s="34" t="str">
        <f aca="false">IFERROR(INDEX(設定!$D$20:$D$34,MATCH(A313,設定!$A$20:$A$34,0))&amp;"","")</f>
        <v>2026-08 月例</v>
      </c>
    </row>
    <row r="314" customFormat="false" ht="15" hidden="true" customHeight="false" outlineLevel="0" collapsed="false">
      <c r="A314" s="22" t="s">
        <v>222</v>
      </c>
      <c r="B314" s="23" t="s">
        <v>200</v>
      </c>
      <c r="C314" s="10" t="str">
        <f aca="false">IF(G314="","未受領",IF(G314="なし","報告なし",IF(AL314="○","起票済",IF(OR(AK314="○",F314="一致",F314="入金不要"),"入金確認済","受領済"))))</f>
        <v>入金確認済</v>
      </c>
      <c r="D314" s="10" t="str">
        <f aca="false">IF(OR(G314="",G314="なし"),"―",IF(CN314="N","対象外",IF(AND(I314="",J314="",K314=""),"標報未入力",IF(CH314&gt;=設定!$B$4,"要確認","問題なし"))))</f>
        <v>標報未入力</v>
      </c>
      <c r="E314" s="24" t="str">
        <f aca="false">IF(OR(G314="",G314="なし",CI314="",CJ314=0),"―",IF(CJ314=CI314,"前月同額",IF(CI314=0,"―",IF(ABS(CJ314/CI314-1)&gt;=設定!$B$5,"変動大 "&amp;TEXT(CJ314/CI314-1,"+0%;-0%"),"〇"))))</f>
        <v>〇</v>
      </c>
      <c r="F314" s="10" t="str">
        <f aca="false">IF(OR(G314="",G314="なし"),"―",IF(CJ314=0,"入金不要",IF(COUNT(AD314,AF314,AH314,AJ314)=0,IF(AK314="○","手動確認","未入金"),IF(AND(N(AD314)=AC314,IF(AE314="",TRUE(),N(AF314)=AE314),IF(AG314="",TRUE(),N(AH314)=AG314),IF(AI314="",TRUE(),N(AJ314)=AI314)),"一致","不一致"))))</f>
        <v>手動確認</v>
      </c>
      <c r="G314" s="25" t="s">
        <v>167</v>
      </c>
      <c r="H314" s="26"/>
      <c r="I314" s="27"/>
      <c r="J314" s="27"/>
      <c r="K314" s="27"/>
      <c r="L314" s="27"/>
      <c r="M314" s="27"/>
      <c r="N314" s="27"/>
      <c r="O314" s="27" t="n">
        <v>59475</v>
      </c>
      <c r="P314" s="27" t="n">
        <v>4875</v>
      </c>
      <c r="Q314" s="27" t="n">
        <v>36820</v>
      </c>
      <c r="R314" s="27" t="n">
        <v>5609</v>
      </c>
      <c r="S314" s="27" t="n">
        <v>816</v>
      </c>
      <c r="T314" s="27" t="n">
        <v>59475</v>
      </c>
      <c r="U314" s="27" t="n">
        <v>4875</v>
      </c>
      <c r="V314" s="27" t="n">
        <v>56</v>
      </c>
      <c r="W314" s="27" t="n">
        <v>36856</v>
      </c>
      <c r="X314" s="27" t="n">
        <v>5609</v>
      </c>
      <c r="Y314" s="27" t="n">
        <v>816</v>
      </c>
      <c r="Z314" s="27"/>
      <c r="AA314" s="10" t="str">
        <f aca="false">IFERROR(INDEX(設定!$E$61:$E$106,MATCH(B314,設定!$B$61:$B$106,0)),"合算")</f>
        <v>合算</v>
      </c>
      <c r="AB314" s="28"/>
      <c r="AC314" s="29" t="n">
        <f aca="false">IF(OR(G314="",G314="なし"),"",IF(AA314="合算",CJ314+N(Z314),IF(AA314="掛金・負担金別",(AY314+AZ314+BD314+BF314+BH314),SUM(AY314:BC314))))</f>
        <v>215282</v>
      </c>
      <c r="AD314" s="27"/>
      <c r="AE314" s="29" t="str">
        <f aca="false">IF(OR(G314="",G314="なし"),"",IF(AA314="掛金・負担金別",(BA314+BB314+BC314+BE314+BG314+BI314+N(Z314)),IF(AA314="経理区分別",BD314+BE314,"")))</f>
        <v/>
      </c>
      <c r="AF314" s="27"/>
      <c r="AG314" s="29" t="str">
        <f aca="false">IF(OR(G314="",G314="なし"),"",IF(AA314="経理区分別",BF314+BG314,""))</f>
        <v/>
      </c>
      <c r="AH314" s="27"/>
      <c r="AI314" s="29" t="str">
        <f aca="false">IF(OR(G314="",G314="なし"),"",IF(AA314="経理区分別",BH314+BI314+N(Z314),""))</f>
        <v/>
      </c>
      <c r="AJ314" s="27"/>
      <c r="AK314" s="26" t="s">
        <v>168</v>
      </c>
      <c r="AL314" s="26"/>
      <c r="AM314" s="30"/>
      <c r="AN314" s="31"/>
      <c r="AO314" s="31"/>
      <c r="AP314" s="31"/>
      <c r="AQ314" s="31"/>
      <c r="AR314" s="31"/>
      <c r="AS314" s="31"/>
      <c r="AT314" s="31"/>
      <c r="AU314" s="31"/>
      <c r="AV314" s="31"/>
      <c r="AW314" s="31"/>
      <c r="AX314" s="31"/>
      <c r="AY314" s="31" t="n">
        <f aca="false">IF($G314="",AN314,O314)</f>
        <v>59475</v>
      </c>
      <c r="AZ314" s="31" t="n">
        <f aca="false">IF($G314="",AO314,P314)</f>
        <v>4875</v>
      </c>
      <c r="BA314" s="31" t="n">
        <f aca="false">IF($G314="",AP314,T314)</f>
        <v>59475</v>
      </c>
      <c r="BB314" s="31" t="n">
        <f aca="false">IF($G314="",AQ314,U314)</f>
        <v>4875</v>
      </c>
      <c r="BC314" s="31" t="n">
        <f aca="false">IF($G314="",AR314,V314)</f>
        <v>56</v>
      </c>
      <c r="BD314" s="31" t="n">
        <f aca="false">IF($G314="",AS314,Q314)</f>
        <v>36820</v>
      </c>
      <c r="BE314" s="31" t="n">
        <f aca="false">IF($G314="",AT314,W314)</f>
        <v>36856</v>
      </c>
      <c r="BF314" s="31" t="n">
        <f aca="false">IF($G314="",AU314,R314)</f>
        <v>5609</v>
      </c>
      <c r="BG314" s="31" t="n">
        <f aca="false">IF($G314="",AV314,X314)</f>
        <v>5609</v>
      </c>
      <c r="BH314" s="31" t="n">
        <f aca="false">IF($G314="",AW314,S314)</f>
        <v>816</v>
      </c>
      <c r="BI314" s="31" t="n">
        <f aca="false">IF($G314="",AX314,Y314)</f>
        <v>816</v>
      </c>
      <c r="BJ314" s="31" t="n">
        <f aca="false">IF(CK314="N",BR314,ROUNDDOWN((I314-L314)*設定!$B$10/1000,0)+ROUNDDOWN((I314-L314)*設定!$B$11/1000,0))</f>
        <v>0</v>
      </c>
      <c r="BK314" s="31" t="n">
        <f aca="false">ROUNDDOWN((I314-L314)*設定!$C$10/1000,0)+ROUNDDOWN((I314-L314)*設定!$C$11/1000,0)+ROUNDDOWN(I314*設定!$C$12/1000,0)+IF(CL314="市局型",ROUNDDOWN(I314*設定!$C$16/1000,0),0)</f>
        <v>0</v>
      </c>
      <c r="BL314" s="31" t="n">
        <f aca="false">IF(CK314="N",BT314,ROUNDDOWN((J314-M314)*設定!$B$13/1000,0))</f>
        <v>0</v>
      </c>
      <c r="BM314" s="31" t="n">
        <f aca="false">ROUNDDOWN((J314-M314)*設定!$C$13/1000,0)+IF(CL314="市局型",ROUNDDOWN(J314*設定!$C$17/1000,0),0)</f>
        <v>0</v>
      </c>
      <c r="BN314" s="31" t="n">
        <f aca="false">IF(CK314="N",BV314,ROUNDDOWN((K314-N314)*設定!$B$14/1000,0))</f>
        <v>0</v>
      </c>
      <c r="BO314" s="31" t="n">
        <f aca="false">ROUNDDOWN((K314-N314)*設定!$C$14/1000,0)</f>
        <v>0</v>
      </c>
      <c r="BP314" s="31" t="n">
        <f aca="false">IF(CK314="N",BX314,ROUNDDOWN((J314-M314)*設定!$B$15/1000,0))</f>
        <v>0</v>
      </c>
      <c r="BQ314" s="31" t="n">
        <f aca="false">ROUNDDOWN((J314-M314)*設定!$C$15/1000,0)</f>
        <v>0</v>
      </c>
      <c r="BR314" s="31" t="n">
        <f aca="false">O314+P314</f>
        <v>64350</v>
      </c>
      <c r="BS314" s="31" t="n">
        <f aca="false">T314+U314+V314</f>
        <v>64406</v>
      </c>
      <c r="BT314" s="31" t="n">
        <f aca="false">Q314</f>
        <v>36820</v>
      </c>
      <c r="BU314" s="31" t="n">
        <f aca="false">W314</f>
        <v>36856</v>
      </c>
      <c r="BV314" s="31" t="n">
        <f aca="false">R314</f>
        <v>5609</v>
      </c>
      <c r="BW314" s="31" t="n">
        <f aca="false">X314</f>
        <v>5609</v>
      </c>
      <c r="BX314" s="31" t="n">
        <f aca="false">S314</f>
        <v>816</v>
      </c>
      <c r="BY314" s="31" t="n">
        <f aca="false">Y314</f>
        <v>816</v>
      </c>
      <c r="BZ314" s="32" t="n">
        <f aca="false">IF(BJ314=0,IF(BR314=0,0,1),(BR314-BJ314)/BJ314)</f>
        <v>1</v>
      </c>
      <c r="CA314" s="32" t="n">
        <f aca="false">IF(BK314=0,IF(BS314=0,0,1),(BS314-BK314)/BK314)</f>
        <v>1</v>
      </c>
      <c r="CB314" s="32" t="n">
        <f aca="false">IF(BL314=0,IF(BT314=0,0,1),(BT314-BL314)/BL314)</f>
        <v>1</v>
      </c>
      <c r="CC314" s="32" t="n">
        <f aca="false">IF(BM314=0,IF(BU314=0,0,1),(BU314-BM314)/BM314)</f>
        <v>1</v>
      </c>
      <c r="CD314" s="32" t="n">
        <f aca="false">IF(BN314=0,IF(BV314=0,0,1),(BV314-BN314)/BN314)</f>
        <v>1</v>
      </c>
      <c r="CE314" s="32" t="n">
        <f aca="false">IF(BO314=0,IF(BW314=0,0,1),(BW314-BO314)/BO314)</f>
        <v>1</v>
      </c>
      <c r="CF314" s="32" t="n">
        <f aca="false">IF(BP314=0,IF(BX314=0,0,1),(BX314-BP314)/BP314)</f>
        <v>1</v>
      </c>
      <c r="CG314" s="32" t="n">
        <f aca="false">IF(BQ314=0,IF(BY314=0,0,1),(BY314-BQ314)/BQ314)</f>
        <v>1</v>
      </c>
      <c r="CH314" s="32" t="n">
        <f aca="false">MAX(MAX(BZ314:CG314),-MIN(BZ314:CG314))</f>
        <v>1</v>
      </c>
      <c r="CI314" s="31" t="n">
        <f aca="false">IF(CO314="","",SUMIFS($CJ$7:$CJ$696,$A$7:$A$696,CO314,$B$7:$B$696,B314))</f>
        <v>220157</v>
      </c>
      <c r="CJ314" s="31" t="n">
        <f aca="false">SUM(AY314:BI314)</f>
        <v>215282</v>
      </c>
      <c r="CK314" s="31" t="str">
        <f aca="false">IFERROR(INDEX(設定!$F$61:$F$106,MATCH(B314,設定!$B$61:$B$106,0)),"Y")</f>
        <v>Y</v>
      </c>
      <c r="CL314" s="31" t="str">
        <f aca="false">IFERROR(INDEX(設定!$G$61:$G$106,MATCH(B314,設定!$B$61:$B$106,0)),"外郭型")</f>
        <v>外郭型</v>
      </c>
      <c r="CM314" s="33" t="str">
        <f aca="false">A314&amp;"|"&amp;B314</f>
        <v>2026-09 月例|全国市町村研修財団</v>
      </c>
      <c r="CN314" s="34" t="str">
        <f aca="false">IFERROR(INDEX(設定!$D$61:$D$106,MATCH(B314,設定!$B$61:$B$106,0)),"Y")</f>
        <v>Y</v>
      </c>
      <c r="CO314" s="34" t="str">
        <f aca="false">IFERROR(INDEX(設定!$D$20:$D$34,MATCH(A314,設定!$A$20:$A$34,0))&amp;"","")</f>
        <v>2026-08 月例</v>
      </c>
    </row>
    <row r="315" customFormat="false" ht="15" hidden="true" customHeight="false" outlineLevel="0" collapsed="false">
      <c r="A315" s="22" t="s">
        <v>222</v>
      </c>
      <c r="B315" s="23" t="s">
        <v>201</v>
      </c>
      <c r="C315" s="10" t="str">
        <f aca="false">IF(G315="","未受領",IF(G315="なし","報告なし",IF(AL315="○","起票済",IF(OR(AK315="○",F315="一致",F315="入金不要"),"入金確認済","受領済"))))</f>
        <v>入金確認済</v>
      </c>
      <c r="D315" s="10" t="str">
        <f aca="false">IF(OR(G315="",G315="なし"),"―",IF(CN315="N","対象外",IF(AND(I315="",J315="",K315=""),"標報未入力",IF(CH315&gt;=設定!$B$4,"要確認","問題なし"))))</f>
        <v>標報未入力</v>
      </c>
      <c r="E315" s="24" t="str">
        <f aca="false">IF(OR(G315="",G315="なし",CI315="",CJ315=0),"―",IF(CJ315=CI315,"前月同額",IF(CI315=0,"―",IF(ABS(CJ315/CI315-1)&gt;=設定!$B$5,"変動大 "&amp;TEXT(CJ315/CI315-1,"+0%;-0%"),"〇"))))</f>
        <v>前月同額</v>
      </c>
      <c r="F315" s="10" t="str">
        <f aca="false">IF(OR(G315="",G315="なし"),"―",IF(CJ315=0,"入金不要",IF(COUNT(AD315,AF315,AH315,AJ315)=0,IF(AK315="○","手動確認","未入金"),IF(AND(N(AD315)=AC315,IF(AE315="",TRUE(),N(AF315)=AE315),IF(AG315="",TRUE(),N(AH315)=AG315),IF(AI315="",TRUE(),N(AJ315)=AI315)),"一致","不一致"))))</f>
        <v>手動確認</v>
      </c>
      <c r="G315" s="25" t="s">
        <v>167</v>
      </c>
      <c r="H315" s="26"/>
      <c r="I315" s="27"/>
      <c r="J315" s="27"/>
      <c r="K315" s="27"/>
      <c r="L315" s="27"/>
      <c r="M315" s="27"/>
      <c r="N315" s="27"/>
      <c r="O315" s="27" t="n">
        <v>45750</v>
      </c>
      <c r="P315" s="27" t="n">
        <v>3750</v>
      </c>
      <c r="Q315" s="27" t="n">
        <v>25930</v>
      </c>
      <c r="R315" s="27" t="n">
        <v>0</v>
      </c>
      <c r="S315" s="27" t="n">
        <v>575</v>
      </c>
      <c r="T315" s="27" t="n">
        <v>45750</v>
      </c>
      <c r="U315" s="27" t="n">
        <v>3750</v>
      </c>
      <c r="V315" s="27" t="n">
        <v>43</v>
      </c>
      <c r="W315" s="27" t="n">
        <v>25955</v>
      </c>
      <c r="X315" s="27" t="n">
        <v>0</v>
      </c>
      <c r="Y315" s="27" t="n">
        <v>575</v>
      </c>
      <c r="Z315" s="27"/>
      <c r="AA315" s="10" t="str">
        <f aca="false">IFERROR(INDEX(設定!$E$61:$E$106,MATCH(B315,設定!$B$61:$B$106,0)),"合算")</f>
        <v>合算</v>
      </c>
      <c r="AB315" s="28"/>
      <c r="AC315" s="29" t="n">
        <f aca="false">IF(OR(G315="",G315="なし"),"",IF(AA315="合算",CJ315+N(Z315),IF(AA315="掛金・負担金別",(AY315+AZ315+BD315+BF315+BH315),SUM(AY315:BC315))))</f>
        <v>152078</v>
      </c>
      <c r="AD315" s="27"/>
      <c r="AE315" s="29" t="str">
        <f aca="false">IF(OR(G315="",G315="なし"),"",IF(AA315="掛金・負担金別",(BA315+BB315+BC315+BE315+BG315+BI315+N(Z315)),IF(AA315="経理区分別",BD315+BE315,"")))</f>
        <v/>
      </c>
      <c r="AF315" s="27"/>
      <c r="AG315" s="29" t="str">
        <f aca="false">IF(OR(G315="",G315="なし"),"",IF(AA315="経理区分別",BF315+BG315,""))</f>
        <v/>
      </c>
      <c r="AH315" s="27"/>
      <c r="AI315" s="29" t="str">
        <f aca="false">IF(OR(G315="",G315="なし"),"",IF(AA315="経理区分別",BH315+BI315+N(Z315),""))</f>
        <v/>
      </c>
      <c r="AJ315" s="27"/>
      <c r="AK315" s="26" t="s">
        <v>168</v>
      </c>
      <c r="AL315" s="26"/>
      <c r="AM315" s="30"/>
      <c r="AN315" s="31"/>
      <c r="AO315" s="31"/>
      <c r="AP315" s="31"/>
      <c r="AQ315" s="31"/>
      <c r="AR315" s="31"/>
      <c r="AS315" s="31"/>
      <c r="AT315" s="31"/>
      <c r="AU315" s="31"/>
      <c r="AV315" s="31"/>
      <c r="AW315" s="31"/>
      <c r="AX315" s="31"/>
      <c r="AY315" s="31" t="n">
        <f aca="false">IF($G315="",AN315,O315)</f>
        <v>45750</v>
      </c>
      <c r="AZ315" s="31" t="n">
        <f aca="false">IF($G315="",AO315,P315)</f>
        <v>3750</v>
      </c>
      <c r="BA315" s="31" t="n">
        <f aca="false">IF($G315="",AP315,T315)</f>
        <v>45750</v>
      </c>
      <c r="BB315" s="31" t="n">
        <f aca="false">IF($G315="",AQ315,U315)</f>
        <v>3750</v>
      </c>
      <c r="BC315" s="31" t="n">
        <f aca="false">IF($G315="",AR315,V315)</f>
        <v>43</v>
      </c>
      <c r="BD315" s="31" t="n">
        <f aca="false">IF($G315="",AS315,Q315)</f>
        <v>25930</v>
      </c>
      <c r="BE315" s="31" t="n">
        <f aca="false">IF($G315="",AT315,W315)</f>
        <v>25955</v>
      </c>
      <c r="BF315" s="31" t="n">
        <f aca="false">IF($G315="",AU315,R315)</f>
        <v>0</v>
      </c>
      <c r="BG315" s="31" t="n">
        <f aca="false">IF($G315="",AV315,X315)</f>
        <v>0</v>
      </c>
      <c r="BH315" s="31" t="n">
        <f aca="false">IF($G315="",AW315,S315)</f>
        <v>575</v>
      </c>
      <c r="BI315" s="31" t="n">
        <f aca="false">IF($G315="",AX315,Y315)</f>
        <v>575</v>
      </c>
      <c r="BJ315" s="31" t="n">
        <f aca="false">IF(CK315="N",BR315,ROUNDDOWN((I315-L315)*設定!$B$10/1000,0)+ROUNDDOWN((I315-L315)*設定!$B$11/1000,0))</f>
        <v>0</v>
      </c>
      <c r="BK315" s="31" t="n">
        <f aca="false">ROUNDDOWN((I315-L315)*設定!$C$10/1000,0)+ROUNDDOWN((I315-L315)*設定!$C$11/1000,0)+ROUNDDOWN(I315*設定!$C$12/1000,0)+IF(CL315="市局型",ROUNDDOWN(I315*設定!$C$16/1000,0),0)</f>
        <v>0</v>
      </c>
      <c r="BL315" s="31" t="n">
        <f aca="false">IF(CK315="N",BT315,ROUNDDOWN((J315-M315)*設定!$B$13/1000,0))</f>
        <v>0</v>
      </c>
      <c r="BM315" s="31" t="n">
        <f aca="false">ROUNDDOWN((J315-M315)*設定!$C$13/1000,0)+IF(CL315="市局型",ROUNDDOWN(J315*設定!$C$17/1000,0),0)</f>
        <v>0</v>
      </c>
      <c r="BN315" s="31" t="n">
        <f aca="false">IF(CK315="N",BV315,ROUNDDOWN((K315-N315)*設定!$B$14/1000,0))</f>
        <v>0</v>
      </c>
      <c r="BO315" s="31" t="n">
        <f aca="false">ROUNDDOWN((K315-N315)*設定!$C$14/1000,0)</f>
        <v>0</v>
      </c>
      <c r="BP315" s="31" t="n">
        <f aca="false">IF(CK315="N",BX315,ROUNDDOWN((J315-M315)*設定!$B$15/1000,0))</f>
        <v>0</v>
      </c>
      <c r="BQ315" s="31" t="n">
        <f aca="false">ROUNDDOWN((J315-M315)*設定!$C$15/1000,0)</f>
        <v>0</v>
      </c>
      <c r="BR315" s="31" t="n">
        <f aca="false">O315+P315</f>
        <v>49500</v>
      </c>
      <c r="BS315" s="31" t="n">
        <f aca="false">T315+U315+V315</f>
        <v>49543</v>
      </c>
      <c r="BT315" s="31" t="n">
        <f aca="false">Q315</f>
        <v>25930</v>
      </c>
      <c r="BU315" s="31" t="n">
        <f aca="false">W315</f>
        <v>25955</v>
      </c>
      <c r="BV315" s="31" t="n">
        <f aca="false">R315</f>
        <v>0</v>
      </c>
      <c r="BW315" s="31" t="n">
        <f aca="false">X315</f>
        <v>0</v>
      </c>
      <c r="BX315" s="31" t="n">
        <f aca="false">S315</f>
        <v>575</v>
      </c>
      <c r="BY315" s="31" t="n">
        <f aca="false">Y315</f>
        <v>575</v>
      </c>
      <c r="BZ315" s="32" t="n">
        <f aca="false">IF(BJ315=0,IF(BR315=0,0,1),(BR315-BJ315)/BJ315)</f>
        <v>1</v>
      </c>
      <c r="CA315" s="32" t="n">
        <f aca="false">IF(BK315=0,IF(BS315=0,0,1),(BS315-BK315)/BK315)</f>
        <v>1</v>
      </c>
      <c r="CB315" s="32" t="n">
        <f aca="false">IF(BL315=0,IF(BT315=0,0,1),(BT315-BL315)/BL315)</f>
        <v>1</v>
      </c>
      <c r="CC315" s="32" t="n">
        <f aca="false">IF(BM315=0,IF(BU315=0,0,1),(BU315-BM315)/BM315)</f>
        <v>1</v>
      </c>
      <c r="CD315" s="32" t="n">
        <f aca="false">IF(BN315=0,IF(BV315=0,0,1),(BV315-BN315)/BN315)</f>
        <v>0</v>
      </c>
      <c r="CE315" s="32" t="n">
        <f aca="false">IF(BO315=0,IF(BW315=0,0,1),(BW315-BO315)/BO315)</f>
        <v>0</v>
      </c>
      <c r="CF315" s="32" t="n">
        <f aca="false">IF(BP315=0,IF(BX315=0,0,1),(BX315-BP315)/BP315)</f>
        <v>1</v>
      </c>
      <c r="CG315" s="32" t="n">
        <f aca="false">IF(BQ315=0,IF(BY315=0,0,1),(BY315-BQ315)/BQ315)</f>
        <v>1</v>
      </c>
      <c r="CH315" s="32" t="n">
        <f aca="false">MAX(MAX(BZ315:CG315),-MIN(BZ315:CG315))</f>
        <v>1</v>
      </c>
      <c r="CI315" s="31" t="n">
        <f aca="false">IF(CO315="","",SUMIFS($CJ$7:$CJ$696,$A$7:$A$696,CO315,$B$7:$B$696,B315))</f>
        <v>152078</v>
      </c>
      <c r="CJ315" s="31" t="n">
        <f aca="false">SUM(AY315:BI315)</f>
        <v>152078</v>
      </c>
      <c r="CK315" s="31" t="str">
        <f aca="false">IFERROR(INDEX(設定!$F$61:$F$106,MATCH(B315,設定!$B$61:$B$106,0)),"Y")</f>
        <v>Y</v>
      </c>
      <c r="CL315" s="31" t="str">
        <f aca="false">IFERROR(INDEX(設定!$G$61:$G$106,MATCH(B315,設定!$B$61:$B$106,0)),"外郭型")</f>
        <v>外郭型</v>
      </c>
      <c r="CM315" s="33" t="str">
        <f aca="false">A315&amp;"|"&amp;B315</f>
        <v>2026-09 月例|都市再生機構</v>
      </c>
      <c r="CN315" s="34" t="str">
        <f aca="false">IFERROR(INDEX(設定!$D$61:$D$106,MATCH(B315,設定!$B$61:$B$106,0)),"Y")</f>
        <v>Y</v>
      </c>
      <c r="CO315" s="34" t="str">
        <f aca="false">IFERROR(INDEX(設定!$D$20:$D$34,MATCH(A315,設定!$A$20:$A$34,0))&amp;"","")</f>
        <v>2026-08 月例</v>
      </c>
    </row>
    <row r="316" customFormat="false" ht="15" hidden="true" customHeight="false" outlineLevel="0" collapsed="false">
      <c r="A316" s="22" t="s">
        <v>222</v>
      </c>
      <c r="B316" s="23" t="s">
        <v>202</v>
      </c>
      <c r="C316" s="10" t="str">
        <f aca="false">IF(G316="","未受領",IF(G316="なし","報告なし",IF(AL316="○","起票済",IF(OR(AK316="○",F316="一致",F316="入金不要"),"入金確認済","受領済"))))</f>
        <v>入金確認済</v>
      </c>
      <c r="D316" s="10" t="str">
        <f aca="false">IF(OR(G316="",G316="なし"),"―",IF(CN316="N","対象外",IF(AND(I316="",J316="",K316=""),"標報未入力",IF(CH316&gt;=設定!$B$4,"要確認","問題なし"))))</f>
        <v>標報未入力</v>
      </c>
      <c r="E316" s="24" t="str">
        <f aca="false">IF(OR(G316="",G316="なし",CI316="",CJ316=0),"―",IF(CJ316=CI316,"前月同額",IF(CI316=0,"―",IF(ABS(CJ316/CI316-1)&gt;=設定!$B$5,"変動大 "&amp;TEXT(CJ316/CI316-1,"+0%;-0%"),"〇"))))</f>
        <v>〇</v>
      </c>
      <c r="F316" s="10" t="str">
        <f aca="false">IF(OR(G316="",G316="なし"),"―",IF(CJ316=0,"入金不要",IF(COUNT(AD316,AF316,AH316,AJ316)=0,IF(AK316="○","手動確認","未入金"),IF(AND(N(AD316)=AC316,IF(AE316="",TRUE(),N(AF316)=AE316),IF(AG316="",TRUE(),N(AH316)=AG316),IF(AI316="",TRUE(),N(AJ316)=AI316)),"一致","不一致"))))</f>
        <v>手動確認</v>
      </c>
      <c r="G316" s="25" t="s">
        <v>167</v>
      </c>
      <c r="H316" s="26"/>
      <c r="I316" s="27"/>
      <c r="J316" s="27"/>
      <c r="K316" s="27"/>
      <c r="L316" s="27"/>
      <c r="M316" s="27"/>
      <c r="N316" s="27"/>
      <c r="O316" s="27" t="n">
        <v>1236165</v>
      </c>
      <c r="P316" s="27" t="n">
        <v>101325</v>
      </c>
      <c r="Q316" s="27" t="n">
        <v>702171</v>
      </c>
      <c r="R316" s="27" t="n">
        <v>80185</v>
      </c>
      <c r="S316" s="27" t="n">
        <v>15566</v>
      </c>
      <c r="T316" s="27" t="n">
        <v>1236165</v>
      </c>
      <c r="U316" s="27" t="n">
        <v>101325</v>
      </c>
      <c r="V316" s="27" t="n">
        <v>1241</v>
      </c>
      <c r="W316" s="27" t="n">
        <v>702901</v>
      </c>
      <c r="X316" s="27" t="n">
        <v>80185</v>
      </c>
      <c r="Y316" s="27" t="n">
        <v>15571</v>
      </c>
      <c r="Z316" s="27"/>
      <c r="AA316" s="10" t="str">
        <f aca="false">IFERROR(INDEX(設定!$E$61:$E$106,MATCH(B316,設定!$B$61:$B$106,0)),"合算")</f>
        <v>合算</v>
      </c>
      <c r="AB316" s="28"/>
      <c r="AC316" s="29" t="n">
        <f aca="false">IF(OR(G316="",G316="なし"),"",IF(AA316="合算",CJ316+N(Z316),IF(AA316="掛金・負担金別",(AY316+AZ316+BD316+BF316+BH316),SUM(AY316:BC316))))</f>
        <v>4272800</v>
      </c>
      <c r="AD316" s="27"/>
      <c r="AE316" s="29" t="str">
        <f aca="false">IF(OR(G316="",G316="なし"),"",IF(AA316="掛金・負担金別",(BA316+BB316+BC316+BE316+BG316+BI316+N(Z316)),IF(AA316="経理区分別",BD316+BE316,"")))</f>
        <v/>
      </c>
      <c r="AF316" s="27"/>
      <c r="AG316" s="29" t="str">
        <f aca="false">IF(OR(G316="",G316="なし"),"",IF(AA316="経理区分別",BF316+BG316,""))</f>
        <v/>
      </c>
      <c r="AH316" s="27"/>
      <c r="AI316" s="29" t="str">
        <f aca="false">IF(OR(G316="",G316="なし"),"",IF(AA316="経理区分別",BH316+BI316+N(Z316),""))</f>
        <v/>
      </c>
      <c r="AJ316" s="27"/>
      <c r="AK316" s="26" t="s">
        <v>168</v>
      </c>
      <c r="AL316" s="26"/>
      <c r="AM316" s="30"/>
      <c r="AN316" s="31"/>
      <c r="AO316" s="31"/>
      <c r="AP316" s="31"/>
      <c r="AQ316" s="31"/>
      <c r="AR316" s="31"/>
      <c r="AS316" s="31"/>
      <c r="AT316" s="31"/>
      <c r="AU316" s="31"/>
      <c r="AV316" s="31"/>
      <c r="AW316" s="31"/>
      <c r="AX316" s="31"/>
      <c r="AY316" s="31" t="n">
        <f aca="false">IF($G316="",AN316,O316)</f>
        <v>1236165</v>
      </c>
      <c r="AZ316" s="31" t="n">
        <f aca="false">IF($G316="",AO316,P316)</f>
        <v>101325</v>
      </c>
      <c r="BA316" s="31" t="n">
        <f aca="false">IF($G316="",AP316,T316)</f>
        <v>1236165</v>
      </c>
      <c r="BB316" s="31" t="n">
        <f aca="false">IF($G316="",AQ316,U316)</f>
        <v>101325</v>
      </c>
      <c r="BC316" s="31" t="n">
        <f aca="false">IF($G316="",AR316,V316)</f>
        <v>1241</v>
      </c>
      <c r="BD316" s="31" t="n">
        <f aca="false">IF($G316="",AS316,Q316)</f>
        <v>702171</v>
      </c>
      <c r="BE316" s="31" t="n">
        <f aca="false">IF($G316="",AT316,W316)</f>
        <v>702901</v>
      </c>
      <c r="BF316" s="31" t="n">
        <f aca="false">IF($G316="",AU316,R316)</f>
        <v>80185</v>
      </c>
      <c r="BG316" s="31" t="n">
        <f aca="false">IF($G316="",AV316,X316)</f>
        <v>80185</v>
      </c>
      <c r="BH316" s="31" t="n">
        <f aca="false">IF($G316="",AW316,S316)</f>
        <v>15566</v>
      </c>
      <c r="BI316" s="31" t="n">
        <f aca="false">IF($G316="",AX316,Y316)</f>
        <v>15571</v>
      </c>
      <c r="BJ316" s="31" t="n">
        <f aca="false">IF(CK316="N",BR316,ROUNDDOWN((I316-L316)*設定!$B$10/1000,0)+ROUNDDOWN((I316-L316)*設定!$B$11/1000,0))</f>
        <v>0</v>
      </c>
      <c r="BK316" s="31" t="n">
        <f aca="false">ROUNDDOWN((I316-L316)*設定!$C$10/1000,0)+ROUNDDOWN((I316-L316)*設定!$C$11/1000,0)+ROUNDDOWN(I316*設定!$C$12/1000,0)+IF(CL316="市局型",ROUNDDOWN(I316*設定!$C$16/1000,0),0)</f>
        <v>0</v>
      </c>
      <c r="BL316" s="31" t="n">
        <f aca="false">IF(CK316="N",BT316,ROUNDDOWN((J316-M316)*設定!$B$13/1000,0))</f>
        <v>0</v>
      </c>
      <c r="BM316" s="31" t="n">
        <f aca="false">ROUNDDOWN((J316-M316)*設定!$C$13/1000,0)+IF(CL316="市局型",ROUNDDOWN(J316*設定!$C$17/1000,0),0)</f>
        <v>0</v>
      </c>
      <c r="BN316" s="31" t="n">
        <f aca="false">IF(CK316="N",BV316,ROUNDDOWN((K316-N316)*設定!$B$14/1000,0))</f>
        <v>0</v>
      </c>
      <c r="BO316" s="31" t="n">
        <f aca="false">ROUNDDOWN((K316-N316)*設定!$C$14/1000,0)</f>
        <v>0</v>
      </c>
      <c r="BP316" s="31" t="n">
        <f aca="false">IF(CK316="N",BX316,ROUNDDOWN((J316-M316)*設定!$B$15/1000,0))</f>
        <v>0</v>
      </c>
      <c r="BQ316" s="31" t="n">
        <f aca="false">ROUNDDOWN((J316-M316)*設定!$C$15/1000,0)</f>
        <v>0</v>
      </c>
      <c r="BR316" s="31" t="n">
        <f aca="false">O316+P316</f>
        <v>1337490</v>
      </c>
      <c r="BS316" s="31" t="n">
        <f aca="false">T316+U316+V316</f>
        <v>1338731</v>
      </c>
      <c r="BT316" s="31" t="n">
        <f aca="false">Q316</f>
        <v>702171</v>
      </c>
      <c r="BU316" s="31" t="n">
        <f aca="false">W316</f>
        <v>702901</v>
      </c>
      <c r="BV316" s="31" t="n">
        <f aca="false">R316</f>
        <v>80185</v>
      </c>
      <c r="BW316" s="31" t="n">
        <f aca="false">X316</f>
        <v>80185</v>
      </c>
      <c r="BX316" s="31" t="n">
        <f aca="false">S316</f>
        <v>15566</v>
      </c>
      <c r="BY316" s="31" t="n">
        <f aca="false">Y316</f>
        <v>15571</v>
      </c>
      <c r="BZ316" s="32" t="n">
        <f aca="false">IF(BJ316=0,IF(BR316=0,0,1),(BR316-BJ316)/BJ316)</f>
        <v>1</v>
      </c>
      <c r="CA316" s="32" t="n">
        <f aca="false">IF(BK316=0,IF(BS316=0,0,1),(BS316-BK316)/BK316)</f>
        <v>1</v>
      </c>
      <c r="CB316" s="32" t="n">
        <f aca="false">IF(BL316=0,IF(BT316=0,0,1),(BT316-BL316)/BL316)</f>
        <v>1</v>
      </c>
      <c r="CC316" s="32" t="n">
        <f aca="false">IF(BM316=0,IF(BU316=0,0,1),(BU316-BM316)/BM316)</f>
        <v>1</v>
      </c>
      <c r="CD316" s="32" t="n">
        <f aca="false">IF(BN316=0,IF(BV316=0,0,1),(BV316-BN316)/BN316)</f>
        <v>1</v>
      </c>
      <c r="CE316" s="32" t="n">
        <f aca="false">IF(BO316=0,IF(BW316=0,0,1),(BW316-BO316)/BO316)</f>
        <v>1</v>
      </c>
      <c r="CF316" s="32" t="n">
        <f aca="false">IF(BP316=0,IF(BX316=0,0,1),(BX316-BP316)/BP316)</f>
        <v>1</v>
      </c>
      <c r="CG316" s="32" t="n">
        <f aca="false">IF(BQ316=0,IF(BY316=0,0,1),(BY316-BQ316)/BQ316)</f>
        <v>1</v>
      </c>
      <c r="CH316" s="32" t="n">
        <f aca="false">MAX(MAX(BZ316:CG316),-MIN(BZ316:CG316))</f>
        <v>1</v>
      </c>
      <c r="CI316" s="31" t="n">
        <f aca="false">IF(CO316="","",SUMIFS($CJ$7:$CJ$696,$A$7:$A$696,CO316,$B$7:$B$696,B316))</f>
        <v>4280320</v>
      </c>
      <c r="CJ316" s="31" t="n">
        <f aca="false">SUM(AY316:BI316)</f>
        <v>4272800</v>
      </c>
      <c r="CK316" s="31" t="str">
        <f aca="false">IFERROR(INDEX(設定!$F$61:$F$106,MATCH(B316,設定!$B$61:$B$106,0)),"Y")</f>
        <v>Y</v>
      </c>
      <c r="CL316" s="31" t="str">
        <f aca="false">IFERROR(INDEX(設定!$G$61:$G$106,MATCH(B316,設定!$B$61:$B$106,0)),"外郭型")</f>
        <v>外郭型</v>
      </c>
      <c r="CM316" s="33" t="str">
        <f aca="false">A316&amp;"|"&amp;B316</f>
        <v>2026-09 月例|広島市立大学</v>
      </c>
      <c r="CN316" s="34" t="str">
        <f aca="false">IFERROR(INDEX(設定!$D$61:$D$106,MATCH(B316,設定!$B$61:$B$106,0)),"Y")</f>
        <v>Y</v>
      </c>
      <c r="CO316" s="34" t="str">
        <f aca="false">IFERROR(INDEX(設定!$D$20:$D$34,MATCH(A316,設定!$A$20:$A$34,0))&amp;"","")</f>
        <v>2026-08 月例</v>
      </c>
    </row>
    <row r="317" customFormat="false" ht="15" hidden="true" customHeight="false" outlineLevel="0" collapsed="false">
      <c r="A317" s="22" t="s">
        <v>222</v>
      </c>
      <c r="B317" s="23" t="s">
        <v>203</v>
      </c>
      <c r="C317" s="10" t="str">
        <f aca="false">IF(G317="","未受領",IF(G317="なし","報告なし",IF(AL317="○","起票済",IF(OR(AK317="○",F317="一致",F317="入金不要"),"入金確認済","受領済"))))</f>
        <v>入金確認済</v>
      </c>
      <c r="D317" s="10" t="str">
        <f aca="false">IF(OR(G317="",G317="なし"),"―",IF(CN317="N","対象外",IF(AND(I317="",J317="",K317=""),"標報未入力",IF(CH317&gt;=設定!$B$4,"要確認","問題なし"))))</f>
        <v>標報未入力</v>
      </c>
      <c r="E317" s="24" t="str">
        <f aca="false">IF(OR(G317="",G317="なし",CI317="",CJ317=0),"―",IF(CJ317=CI317,"前月同額",IF(CI317=0,"―",IF(ABS(CJ317/CI317-1)&gt;=設定!$B$5,"変動大 "&amp;TEXT(CJ317/CI317-1,"+0%;-0%"),"〇"))))</f>
        <v>〇</v>
      </c>
      <c r="F317" s="10" t="str">
        <f aca="false">IF(OR(G317="",G317="なし"),"―",IF(CJ317=0,"入金不要",IF(COUNT(AD317,AF317,AH317,AJ317)=0,IF(AK317="○","手動確認","未入金"),IF(AND(N(AD317)=AC317,IF(AE317="",TRUE(),N(AF317)=AE317),IF(AG317="",TRUE(),N(AH317)=AG317),IF(AI317="",TRUE(),N(AJ317)=AI317)),"一致","不一致"))))</f>
        <v>手動確認</v>
      </c>
      <c r="G317" s="25" t="s">
        <v>167</v>
      </c>
      <c r="H317" s="26"/>
      <c r="I317" s="27"/>
      <c r="J317" s="27"/>
      <c r="K317" s="27"/>
      <c r="L317" s="27"/>
      <c r="M317" s="27"/>
      <c r="N317" s="27"/>
      <c r="O317" s="27"/>
      <c r="P317" s="27"/>
      <c r="Q317" s="27"/>
      <c r="R317" s="27"/>
      <c r="S317" s="27"/>
      <c r="T317" s="27" t="n">
        <v>256200</v>
      </c>
      <c r="U317" s="27" t="n">
        <v>21000</v>
      </c>
      <c r="V317" s="27" t="n">
        <v>243</v>
      </c>
      <c r="W317" s="27" t="n">
        <v>152096</v>
      </c>
      <c r="X317" s="27" t="n">
        <v>11297</v>
      </c>
      <c r="Y317" s="27" t="n">
        <v>3369</v>
      </c>
      <c r="Z317" s="27"/>
      <c r="AA317" s="10" t="str">
        <f aca="false">IFERROR(INDEX(設定!$E$61:$E$106,MATCH(B317,設定!$B$61:$B$106,0)),"合算")</f>
        <v>合算</v>
      </c>
      <c r="AB317" s="28"/>
      <c r="AC317" s="29" t="n">
        <f aca="false">IF(OR(G317="",G317="なし"),"",IF(AA317="合算",CJ317+N(Z317),IF(AA317="掛金・負担金別",(AY317+AZ317+BD317+BF317+BH317),SUM(AY317:BC317))))</f>
        <v>444205</v>
      </c>
      <c r="AD317" s="27"/>
      <c r="AE317" s="29" t="str">
        <f aca="false">IF(OR(G317="",G317="なし"),"",IF(AA317="掛金・負担金別",(BA317+BB317+BC317+BE317+BG317+BI317+N(Z317)),IF(AA317="経理区分別",BD317+BE317,"")))</f>
        <v/>
      </c>
      <c r="AF317" s="27"/>
      <c r="AG317" s="29" t="str">
        <f aca="false">IF(OR(G317="",G317="なし"),"",IF(AA317="経理区分別",BF317+BG317,""))</f>
        <v/>
      </c>
      <c r="AH317" s="27"/>
      <c r="AI317" s="29" t="str">
        <f aca="false">IF(OR(G317="",G317="なし"),"",IF(AA317="経理区分別",BH317+BI317+N(Z317),""))</f>
        <v/>
      </c>
      <c r="AJ317" s="27"/>
      <c r="AK317" s="26" t="s">
        <v>168</v>
      </c>
      <c r="AL317" s="26"/>
      <c r="AM317" s="30"/>
      <c r="AN317" s="31"/>
      <c r="AO317" s="31"/>
      <c r="AP317" s="31"/>
      <c r="AQ317" s="31"/>
      <c r="AR317" s="31"/>
      <c r="AS317" s="31"/>
      <c r="AT317" s="31"/>
      <c r="AU317" s="31"/>
      <c r="AV317" s="31"/>
      <c r="AW317" s="31"/>
      <c r="AX317" s="31"/>
      <c r="AY317" s="31" t="n">
        <f aca="false">IF($G317="",AN317,O317)</f>
        <v>0</v>
      </c>
      <c r="AZ317" s="31" t="n">
        <f aca="false">IF($G317="",AO317,P317)</f>
        <v>0</v>
      </c>
      <c r="BA317" s="31" t="n">
        <f aca="false">IF($G317="",AP317,T317)</f>
        <v>256200</v>
      </c>
      <c r="BB317" s="31" t="n">
        <f aca="false">IF($G317="",AQ317,U317)</f>
        <v>21000</v>
      </c>
      <c r="BC317" s="31" t="n">
        <f aca="false">IF($G317="",AR317,V317)</f>
        <v>243</v>
      </c>
      <c r="BD317" s="31" t="n">
        <f aca="false">IF($G317="",AS317,Q317)</f>
        <v>0</v>
      </c>
      <c r="BE317" s="31" t="n">
        <f aca="false">IF($G317="",AT317,W317)</f>
        <v>152096</v>
      </c>
      <c r="BF317" s="31" t="n">
        <f aca="false">IF($G317="",AU317,R317)</f>
        <v>0</v>
      </c>
      <c r="BG317" s="31" t="n">
        <f aca="false">IF($G317="",AV317,X317)</f>
        <v>11297</v>
      </c>
      <c r="BH317" s="31" t="n">
        <f aca="false">IF($G317="",AW317,S317)</f>
        <v>0</v>
      </c>
      <c r="BI317" s="31" t="n">
        <f aca="false">IF($G317="",AX317,Y317)</f>
        <v>3369</v>
      </c>
      <c r="BJ317" s="31" t="n">
        <f aca="false">IF(CK317="N",BR317,ROUNDDOWN((I317-L317)*設定!$B$10/1000,0)+ROUNDDOWN((I317-L317)*設定!$B$11/1000,0))</f>
        <v>0</v>
      </c>
      <c r="BK317" s="31" t="n">
        <f aca="false">ROUNDDOWN((I317-L317)*設定!$C$10/1000,0)+ROUNDDOWN((I317-L317)*設定!$C$11/1000,0)+ROUNDDOWN(I317*設定!$C$12/1000,0)+IF(CL317="市局型",ROUNDDOWN(I317*設定!$C$16/1000,0),0)</f>
        <v>0</v>
      </c>
      <c r="BL317" s="31" t="n">
        <f aca="false">IF(CK317="N",BT317,ROUNDDOWN((J317-M317)*設定!$B$13/1000,0))</f>
        <v>0</v>
      </c>
      <c r="BM317" s="31" t="n">
        <f aca="false">ROUNDDOWN((J317-M317)*設定!$C$13/1000,0)+IF(CL317="市局型",ROUNDDOWN(J317*設定!$C$17/1000,0),0)</f>
        <v>0</v>
      </c>
      <c r="BN317" s="31" t="n">
        <f aca="false">IF(CK317="N",BV317,ROUNDDOWN((K317-N317)*設定!$B$14/1000,0))</f>
        <v>0</v>
      </c>
      <c r="BO317" s="31" t="n">
        <f aca="false">ROUNDDOWN((K317-N317)*設定!$C$14/1000,0)</f>
        <v>0</v>
      </c>
      <c r="BP317" s="31" t="n">
        <f aca="false">IF(CK317="N",BX317,ROUNDDOWN((J317-M317)*設定!$B$15/1000,0))</f>
        <v>0</v>
      </c>
      <c r="BQ317" s="31" t="n">
        <f aca="false">ROUNDDOWN((J317-M317)*設定!$C$15/1000,0)</f>
        <v>0</v>
      </c>
      <c r="BR317" s="31" t="n">
        <f aca="false">O317+P317</f>
        <v>0</v>
      </c>
      <c r="BS317" s="31" t="n">
        <f aca="false">T317+U317+V317</f>
        <v>277443</v>
      </c>
      <c r="BT317" s="31" t="n">
        <f aca="false">Q317</f>
        <v>0</v>
      </c>
      <c r="BU317" s="31" t="n">
        <f aca="false">W317</f>
        <v>152096</v>
      </c>
      <c r="BV317" s="31" t="n">
        <f aca="false">R317</f>
        <v>0</v>
      </c>
      <c r="BW317" s="31" t="n">
        <f aca="false">X317</f>
        <v>11297</v>
      </c>
      <c r="BX317" s="31" t="n">
        <f aca="false">S317</f>
        <v>0</v>
      </c>
      <c r="BY317" s="31" t="n">
        <f aca="false">Y317</f>
        <v>3369</v>
      </c>
      <c r="BZ317" s="32" t="n">
        <f aca="false">IF(BJ317=0,IF(BR317=0,0,1),(BR317-BJ317)/BJ317)</f>
        <v>0</v>
      </c>
      <c r="CA317" s="32" t="n">
        <f aca="false">IF(BK317=0,IF(BS317=0,0,1),(BS317-BK317)/BK317)</f>
        <v>1</v>
      </c>
      <c r="CB317" s="32" t="n">
        <f aca="false">IF(BL317=0,IF(BT317=0,0,1),(BT317-BL317)/BL317)</f>
        <v>0</v>
      </c>
      <c r="CC317" s="32" t="n">
        <f aca="false">IF(BM317=0,IF(BU317=0,0,1),(BU317-BM317)/BM317)</f>
        <v>1</v>
      </c>
      <c r="CD317" s="32" t="n">
        <f aca="false">IF(BN317=0,IF(BV317=0,0,1),(BV317-BN317)/BN317)</f>
        <v>0</v>
      </c>
      <c r="CE317" s="32" t="n">
        <f aca="false">IF(BO317=0,IF(BW317=0,0,1),(BW317-BO317)/BO317)</f>
        <v>1</v>
      </c>
      <c r="CF317" s="32" t="n">
        <f aca="false">IF(BP317=0,IF(BX317=0,0,1),(BX317-BP317)/BP317)</f>
        <v>0</v>
      </c>
      <c r="CG317" s="32" t="n">
        <f aca="false">IF(BQ317=0,IF(BY317=0,0,1),(BY317-BQ317)/BQ317)</f>
        <v>1</v>
      </c>
      <c r="CH317" s="32" t="n">
        <f aca="false">MAX(MAX(BZ317:CG317),-MIN(BZ317:CG317))</f>
        <v>1</v>
      </c>
      <c r="CI317" s="31" t="n">
        <f aca="false">IF(CO317="","",SUMIFS($CJ$7:$CJ$696,$A$7:$A$696,CO317,$B$7:$B$696,B317))</f>
        <v>421445</v>
      </c>
      <c r="CJ317" s="31" t="n">
        <f aca="false">SUM(AY317:BI317)</f>
        <v>444205</v>
      </c>
      <c r="CK317" s="31" t="str">
        <f aca="false">IFERROR(INDEX(設定!$F$61:$F$106,MATCH(B317,設定!$B$61:$B$106,0)),"Y")</f>
        <v>N</v>
      </c>
      <c r="CL317" s="31" t="str">
        <f aca="false">IFERROR(INDEX(設定!$G$61:$G$106,MATCH(B317,設定!$B$61:$B$106,0)),"外郭型")</f>
        <v>外郭型</v>
      </c>
      <c r="CM317" s="33" t="str">
        <f aca="false">A317&amp;"|"&amp;B317</f>
        <v>2026-09 月例|社会福祉協議会</v>
      </c>
      <c r="CN317" s="34" t="str">
        <f aca="false">IFERROR(INDEX(設定!$D$61:$D$106,MATCH(B317,設定!$B$61:$B$106,0)),"Y")</f>
        <v>Y</v>
      </c>
      <c r="CO317" s="34" t="str">
        <f aca="false">IFERROR(INDEX(設定!$D$20:$D$34,MATCH(A317,設定!$A$20:$A$34,0))&amp;"","")</f>
        <v>2026-08 月例</v>
      </c>
    </row>
    <row r="318" customFormat="false" ht="15" hidden="true" customHeight="false" outlineLevel="0" collapsed="false">
      <c r="A318" s="22" t="s">
        <v>222</v>
      </c>
      <c r="B318" s="23" t="s">
        <v>204</v>
      </c>
      <c r="C318" s="10" t="str">
        <f aca="false">IF(G318="","未受領",IF(G318="なし","報告なし",IF(AL318="○","起票済",IF(OR(AK318="○",F318="一致",F318="入金不要"),"入金確認済","受領済"))))</f>
        <v>入金確認済</v>
      </c>
      <c r="D318" s="10" t="str">
        <f aca="false">IF(OR(G318="",G318="なし"),"―",IF(CN318="N","対象外",IF(AND(I318="",J318="",K318=""),"標報未入力",IF(CH318&gt;=設定!$B$4,"要確認","問題なし"))))</f>
        <v>対象外</v>
      </c>
      <c r="E318" s="24" t="str">
        <f aca="false">IF(OR(G318="",G318="なし",CI318="",CJ318=0),"―",IF(CJ318=CI318,"前月同額",IF(CI318=0,"―",IF(ABS(CJ318/CI318-1)&gt;=設定!$B$5,"変動大 "&amp;TEXT(CJ318/CI318-1,"+0%;-0%"),"〇"))))</f>
        <v>〇</v>
      </c>
      <c r="F318" s="10" t="str">
        <f aca="false">IF(OR(G318="",G318="なし"),"―",IF(CJ318=0,"入金不要",IF(COUNT(AD318,AF318,AH318,AJ318)=0,IF(AK318="○","手動確認","未入金"),IF(AND(N(AD318)=AC318,IF(AE318="",TRUE(),N(AF318)=AE318),IF(AG318="",TRUE(),N(AH318)=AG318),IF(AI318="",TRUE(),N(AJ318)=AI318)),"一致","不一致"))))</f>
        <v>手動確認</v>
      </c>
      <c r="G318" s="25" t="s">
        <v>167</v>
      </c>
      <c r="H318" s="26"/>
      <c r="I318" s="27"/>
      <c r="J318" s="27"/>
      <c r="K318" s="27"/>
      <c r="L318" s="27"/>
      <c r="M318" s="27"/>
      <c r="N318" s="27"/>
      <c r="O318" s="27" t="n">
        <v>128122523</v>
      </c>
      <c r="P318" s="27" t="n">
        <v>10458518</v>
      </c>
      <c r="Q318" s="27" t="n">
        <v>93939323</v>
      </c>
      <c r="R318" s="27" t="n">
        <v>8077450</v>
      </c>
      <c r="S318" s="27" t="n">
        <v>2082320</v>
      </c>
      <c r="T318" s="27" t="n">
        <v>186990337</v>
      </c>
      <c r="U318" s="27" t="n">
        <v>10458518</v>
      </c>
      <c r="V318" s="27" t="n">
        <v>128050</v>
      </c>
      <c r="W318" s="27" t="n">
        <v>94044383</v>
      </c>
      <c r="X318" s="27" t="n">
        <v>8077450</v>
      </c>
      <c r="Y318" s="27" t="n">
        <v>2082319</v>
      </c>
      <c r="Z318" s="27"/>
      <c r="AA318" s="10" t="str">
        <f aca="false">IFERROR(INDEX(設定!$E$61:$E$106,MATCH(B318,設定!$B$61:$B$106,0)),"合算")</f>
        <v>合算</v>
      </c>
      <c r="AB318" s="28"/>
      <c r="AC318" s="29" t="n">
        <f aca="false">IF(OR(G318="",G318="なし"),"",IF(AA318="合算",CJ318+N(Z318),IF(AA318="掛金・負担金別",(AY318+AZ318+BD318+BF318+BH318),SUM(AY318:BC318))))</f>
        <v>544461191</v>
      </c>
      <c r="AD318" s="27"/>
      <c r="AE318" s="29" t="str">
        <f aca="false">IF(OR(G318="",G318="なし"),"",IF(AA318="掛金・負担金別",(BA318+BB318+BC318+BE318+BG318+BI318+N(Z318)),IF(AA318="経理区分別",BD318+BE318,"")))</f>
        <v/>
      </c>
      <c r="AF318" s="27"/>
      <c r="AG318" s="29" t="str">
        <f aca="false">IF(OR(G318="",G318="なし"),"",IF(AA318="経理区分別",BF318+BG318,""))</f>
        <v/>
      </c>
      <c r="AH318" s="27"/>
      <c r="AI318" s="29" t="str">
        <f aca="false">IF(OR(G318="",G318="なし"),"",IF(AA318="経理区分別",BH318+BI318+N(Z318),""))</f>
        <v/>
      </c>
      <c r="AJ318" s="27"/>
      <c r="AK318" s="26" t="s">
        <v>168</v>
      </c>
      <c r="AL318" s="26"/>
      <c r="AM318" s="30"/>
      <c r="AN318" s="31"/>
      <c r="AO318" s="31"/>
      <c r="AP318" s="31"/>
      <c r="AQ318" s="31"/>
      <c r="AR318" s="31"/>
      <c r="AS318" s="31"/>
      <c r="AT318" s="31"/>
      <c r="AU318" s="31"/>
      <c r="AV318" s="31"/>
      <c r="AW318" s="31"/>
      <c r="AX318" s="31"/>
      <c r="AY318" s="31" t="n">
        <f aca="false">IF($G318="",AN318,O318)</f>
        <v>128122523</v>
      </c>
      <c r="AZ318" s="31" t="n">
        <f aca="false">IF($G318="",AO318,P318)</f>
        <v>10458518</v>
      </c>
      <c r="BA318" s="31" t="n">
        <f aca="false">IF($G318="",AP318,T318)</f>
        <v>186990337</v>
      </c>
      <c r="BB318" s="31" t="n">
        <f aca="false">IF($G318="",AQ318,U318)</f>
        <v>10458518</v>
      </c>
      <c r="BC318" s="31" t="n">
        <f aca="false">IF($G318="",AR318,V318)</f>
        <v>128050</v>
      </c>
      <c r="BD318" s="31" t="n">
        <f aca="false">IF($G318="",AS318,Q318)</f>
        <v>93939323</v>
      </c>
      <c r="BE318" s="31" t="n">
        <f aca="false">IF($G318="",AT318,W318)</f>
        <v>94044383</v>
      </c>
      <c r="BF318" s="31" t="n">
        <f aca="false">IF($G318="",AU318,R318)</f>
        <v>8077450</v>
      </c>
      <c r="BG318" s="31" t="n">
        <f aca="false">IF($G318="",AV318,X318)</f>
        <v>8077450</v>
      </c>
      <c r="BH318" s="31" t="n">
        <f aca="false">IF($G318="",AW318,S318)</f>
        <v>2082320</v>
      </c>
      <c r="BI318" s="31" t="n">
        <f aca="false">IF($G318="",AX318,Y318)</f>
        <v>2082319</v>
      </c>
      <c r="BJ318" s="31" t="n">
        <f aca="false">IF(CK318="N",BR318,ROUNDDOWN((I318-L318)*設定!$B$10/1000,0)+ROUNDDOWN((I318-L318)*設定!$B$11/1000,0))</f>
        <v>0</v>
      </c>
      <c r="BK318" s="31" t="n">
        <f aca="false">ROUNDDOWN((I318-L318)*設定!$C$10/1000,0)+ROUNDDOWN((I318-L318)*設定!$C$11/1000,0)+ROUNDDOWN(I318*設定!$C$12/1000,0)+IF(CL318="市局型",ROUNDDOWN(I318*設定!$C$16/1000,0),0)</f>
        <v>0</v>
      </c>
      <c r="BL318" s="31" t="n">
        <f aca="false">IF(CK318="N",BT318,ROUNDDOWN((J318-M318)*設定!$B$13/1000,0))</f>
        <v>0</v>
      </c>
      <c r="BM318" s="31" t="n">
        <f aca="false">ROUNDDOWN((J318-M318)*設定!$C$13/1000,0)+IF(CL318="市局型",ROUNDDOWN(J318*設定!$C$17/1000,0),0)</f>
        <v>0</v>
      </c>
      <c r="BN318" s="31" t="n">
        <f aca="false">IF(CK318="N",BV318,ROUNDDOWN((K318-N318)*設定!$B$14/1000,0))</f>
        <v>0</v>
      </c>
      <c r="BO318" s="31" t="n">
        <f aca="false">ROUNDDOWN((K318-N318)*設定!$C$14/1000,0)</f>
        <v>0</v>
      </c>
      <c r="BP318" s="31" t="n">
        <f aca="false">IF(CK318="N",BX318,ROUNDDOWN((J318-M318)*設定!$B$15/1000,0))</f>
        <v>0</v>
      </c>
      <c r="BQ318" s="31" t="n">
        <f aca="false">ROUNDDOWN((J318-M318)*設定!$C$15/1000,0)</f>
        <v>0</v>
      </c>
      <c r="BR318" s="31" t="n">
        <f aca="false">O318+P318</f>
        <v>138581041</v>
      </c>
      <c r="BS318" s="31" t="n">
        <f aca="false">T318+U318+V318</f>
        <v>197576905</v>
      </c>
      <c r="BT318" s="31" t="n">
        <f aca="false">Q318</f>
        <v>93939323</v>
      </c>
      <c r="BU318" s="31" t="n">
        <f aca="false">W318</f>
        <v>94044383</v>
      </c>
      <c r="BV318" s="31" t="n">
        <f aca="false">R318</f>
        <v>8077450</v>
      </c>
      <c r="BW318" s="31" t="n">
        <f aca="false">X318</f>
        <v>8077450</v>
      </c>
      <c r="BX318" s="31" t="n">
        <f aca="false">S318</f>
        <v>2082320</v>
      </c>
      <c r="BY318" s="31" t="n">
        <f aca="false">Y318</f>
        <v>2082319</v>
      </c>
      <c r="BZ318" s="32" t="n">
        <f aca="false">IF(BJ318=0,IF(BR318=0,0,1),(BR318-BJ318)/BJ318)</f>
        <v>1</v>
      </c>
      <c r="CA318" s="32" t="n">
        <f aca="false">IF(BK318=0,IF(BS318=0,0,1),(BS318-BK318)/BK318)</f>
        <v>1</v>
      </c>
      <c r="CB318" s="32" t="n">
        <f aca="false">IF(BL318=0,IF(BT318=0,0,1),(BT318-BL318)/BL318)</f>
        <v>1</v>
      </c>
      <c r="CC318" s="32" t="n">
        <f aca="false">IF(BM318=0,IF(BU318=0,0,1),(BU318-BM318)/BM318)</f>
        <v>1</v>
      </c>
      <c r="CD318" s="32" t="n">
        <f aca="false">IF(BN318=0,IF(BV318=0,0,1),(BV318-BN318)/BN318)</f>
        <v>1</v>
      </c>
      <c r="CE318" s="32" t="n">
        <f aca="false">IF(BO318=0,IF(BW318=0,0,1),(BW318-BO318)/BO318)</f>
        <v>1</v>
      </c>
      <c r="CF318" s="32" t="n">
        <f aca="false">IF(BP318=0,IF(BX318=0,0,1),(BX318-BP318)/BP318)</f>
        <v>1</v>
      </c>
      <c r="CG318" s="32" t="n">
        <f aca="false">IF(BQ318=0,IF(BY318=0,0,1),(BY318-BQ318)/BQ318)</f>
        <v>1</v>
      </c>
      <c r="CH318" s="32" t="n">
        <f aca="false">MAX(MAX(BZ318:CG318),-MIN(BZ318:CG318))</f>
        <v>1</v>
      </c>
      <c r="CI318" s="31" t="n">
        <f aca="false">IF(CO318="","",SUMIFS($CJ$7:$CJ$696,$A$7:$A$696,CO318,$B$7:$B$696,B318))</f>
        <v>540683181</v>
      </c>
      <c r="CJ318" s="31" t="n">
        <f aca="false">SUM(AY318:BI318)</f>
        <v>544461191</v>
      </c>
      <c r="CK318" s="31" t="str">
        <f aca="false">IFERROR(INDEX(設定!$F$61:$F$106,MATCH(B318,設定!$B$61:$B$106,0)),"Y")</f>
        <v>Y</v>
      </c>
      <c r="CL318" s="31" t="str">
        <f aca="false">IFERROR(INDEX(設定!$G$61:$G$106,MATCH(B318,設定!$B$61:$B$106,0)),"外郭型")</f>
        <v>外郭型</v>
      </c>
      <c r="CM318" s="33" t="str">
        <f aca="false">A318&amp;"|"&amp;B318</f>
        <v>2026-09 月例|市立病院機構</v>
      </c>
      <c r="CN318" s="34" t="str">
        <f aca="false">IFERROR(INDEX(設定!$D$61:$D$106,MATCH(B318,設定!$B$61:$B$106,0)),"Y")</f>
        <v>N</v>
      </c>
      <c r="CO318" s="34" t="str">
        <f aca="false">IFERROR(INDEX(設定!$D$20:$D$34,MATCH(A318,設定!$A$20:$A$34,0))&amp;"","")</f>
        <v>2026-08 月例</v>
      </c>
    </row>
    <row r="319" customFormat="false" ht="15" hidden="true" customHeight="false" outlineLevel="0" collapsed="false">
      <c r="A319" s="22" t="s">
        <v>222</v>
      </c>
      <c r="B319" s="23" t="s">
        <v>205</v>
      </c>
      <c r="C319" s="10" t="str">
        <f aca="false">IF(G319="","未受領",IF(G319="なし","報告なし",IF(AL319="○","起票済",IF(OR(AK319="○",F319="一致",F319="入金不要"),"入金確認済","受領済"))))</f>
        <v>入金確認済</v>
      </c>
      <c r="D319" s="10" t="str">
        <f aca="false">IF(OR(G319="",G319="なし"),"―",IF(CN319="N","対象外",IF(AND(I319="",J319="",K319=""),"標報未入力",IF(CH319&gt;=設定!$B$4,"要確認","問題なし"))))</f>
        <v>対象外</v>
      </c>
      <c r="E319" s="24" t="str">
        <f aca="false">IF(OR(G319="",G319="なし",CI319="",CJ319=0),"―",IF(CJ319=CI319,"前月同額",IF(CI319=0,"―",IF(ABS(CJ319/CI319-1)&gt;=設定!$B$5,"変動大 "&amp;TEXT(CJ319/CI319-1,"+0%;-0%"),"〇"))))</f>
        <v>〇</v>
      </c>
      <c r="F319" s="10" t="str">
        <f aca="false">IF(OR(G319="",G319="なし"),"―",IF(CJ319=0,"入金不要",IF(COUNT(AD319,AF319,AH319,AJ319)=0,IF(AK319="○","手動確認","未入金"),IF(AND(N(AD319)=AC319,IF(AE319="",TRUE(),N(AF319)=AE319),IF(AG319="",TRUE(),N(AH319)=AG319),IF(AI319="",TRUE(),N(AJ319)=AI319)),"一致","不一致"))))</f>
        <v>手動確認</v>
      </c>
      <c r="G319" s="25" t="s">
        <v>167</v>
      </c>
      <c r="H319" s="26"/>
      <c r="I319" s="27"/>
      <c r="J319" s="27"/>
      <c r="K319" s="27"/>
      <c r="L319" s="27"/>
      <c r="M319" s="27"/>
      <c r="N319" s="27"/>
      <c r="O319" s="27"/>
      <c r="P319" s="27"/>
      <c r="Q319" s="27" t="n">
        <v>104236</v>
      </c>
      <c r="R319" s="27" t="n">
        <v>11218</v>
      </c>
      <c r="S319" s="27" t="n">
        <v>2309</v>
      </c>
      <c r="T319" s="27"/>
      <c r="U319" s="27"/>
      <c r="V319" s="27"/>
      <c r="W319" s="27" t="n">
        <v>104338</v>
      </c>
      <c r="X319" s="27" t="n">
        <v>11218</v>
      </c>
      <c r="Y319" s="27" t="n">
        <v>2311</v>
      </c>
      <c r="Z319" s="27"/>
      <c r="AA319" s="10" t="str">
        <f aca="false">IFERROR(INDEX(設定!$E$61:$E$106,MATCH(B319,設定!$B$61:$B$106,0)),"合算")</f>
        <v>合算</v>
      </c>
      <c r="AB319" s="28"/>
      <c r="AC319" s="29" t="n">
        <f aca="false">IF(OR(G319="",G319="なし"),"",IF(AA319="合算",CJ319+N(Z319),IF(AA319="掛金・負担金別",(AY319+AZ319+BD319+BF319+BH319),SUM(AY319:BC319))))</f>
        <v>235630</v>
      </c>
      <c r="AD319" s="27"/>
      <c r="AE319" s="29" t="str">
        <f aca="false">IF(OR(G319="",G319="なし"),"",IF(AA319="掛金・負担金別",(BA319+BB319+BC319+BE319+BG319+BI319+N(Z319)),IF(AA319="経理区分別",BD319+BE319,"")))</f>
        <v/>
      </c>
      <c r="AF319" s="27"/>
      <c r="AG319" s="29" t="str">
        <f aca="false">IF(OR(G319="",G319="なし"),"",IF(AA319="経理区分別",BF319+BG319,""))</f>
        <v/>
      </c>
      <c r="AH319" s="27"/>
      <c r="AI319" s="29" t="str">
        <f aca="false">IF(OR(G319="",G319="なし"),"",IF(AA319="経理区分別",BH319+BI319+N(Z319),""))</f>
        <v/>
      </c>
      <c r="AJ319" s="27"/>
      <c r="AK319" s="26" t="s">
        <v>168</v>
      </c>
      <c r="AL319" s="26"/>
      <c r="AM319" s="30"/>
      <c r="AN319" s="31"/>
      <c r="AO319" s="31"/>
      <c r="AP319" s="31"/>
      <c r="AQ319" s="31"/>
      <c r="AR319" s="31"/>
      <c r="AS319" s="31"/>
      <c r="AT319" s="31"/>
      <c r="AU319" s="31"/>
      <c r="AV319" s="31"/>
      <c r="AW319" s="31"/>
      <c r="AX319" s="31"/>
      <c r="AY319" s="31" t="n">
        <f aca="false">IF($G319="",AN319,O319)</f>
        <v>0</v>
      </c>
      <c r="AZ319" s="31" t="n">
        <f aca="false">IF($G319="",AO319,P319)</f>
        <v>0</v>
      </c>
      <c r="BA319" s="31" t="n">
        <f aca="false">IF($G319="",AP319,T319)</f>
        <v>0</v>
      </c>
      <c r="BB319" s="31" t="n">
        <f aca="false">IF($G319="",AQ319,U319)</f>
        <v>0</v>
      </c>
      <c r="BC319" s="31" t="n">
        <f aca="false">IF($G319="",AR319,V319)</f>
        <v>0</v>
      </c>
      <c r="BD319" s="31" t="n">
        <f aca="false">IF($G319="",AS319,Q319)</f>
        <v>104236</v>
      </c>
      <c r="BE319" s="31" t="n">
        <f aca="false">IF($G319="",AT319,W319)</f>
        <v>104338</v>
      </c>
      <c r="BF319" s="31" t="n">
        <f aca="false">IF($G319="",AU319,R319)</f>
        <v>11218</v>
      </c>
      <c r="BG319" s="31" t="n">
        <f aca="false">IF($G319="",AV319,X319)</f>
        <v>11218</v>
      </c>
      <c r="BH319" s="31" t="n">
        <f aca="false">IF($G319="",AW319,S319)</f>
        <v>2309</v>
      </c>
      <c r="BI319" s="31" t="n">
        <f aca="false">IF($G319="",AX319,Y319)</f>
        <v>2311</v>
      </c>
      <c r="BJ319" s="31" t="n">
        <f aca="false">IF(CK319="N",BR319,ROUNDDOWN((I319-L319)*設定!$B$10/1000,0)+ROUNDDOWN((I319-L319)*設定!$B$11/1000,0))</f>
        <v>0</v>
      </c>
      <c r="BK319" s="31" t="n">
        <f aca="false">ROUNDDOWN((I319-L319)*設定!$C$10/1000,0)+ROUNDDOWN((I319-L319)*設定!$C$11/1000,0)+ROUNDDOWN(I319*設定!$C$12/1000,0)+IF(CL319="市局型",ROUNDDOWN(I319*設定!$C$16/1000,0),0)</f>
        <v>0</v>
      </c>
      <c r="BL319" s="31" t="n">
        <f aca="false">IF(CK319="N",BT319,ROUNDDOWN((J319-M319)*設定!$B$13/1000,0))</f>
        <v>0</v>
      </c>
      <c r="BM319" s="31" t="n">
        <f aca="false">ROUNDDOWN((J319-M319)*設定!$C$13/1000,0)+IF(CL319="市局型",ROUNDDOWN(J319*設定!$C$17/1000,0),0)</f>
        <v>0</v>
      </c>
      <c r="BN319" s="31" t="n">
        <f aca="false">IF(CK319="N",BV319,ROUNDDOWN((K319-N319)*設定!$B$14/1000,0))</f>
        <v>0</v>
      </c>
      <c r="BO319" s="31" t="n">
        <f aca="false">ROUNDDOWN((K319-N319)*設定!$C$14/1000,0)</f>
        <v>0</v>
      </c>
      <c r="BP319" s="31" t="n">
        <f aca="false">IF(CK319="N",BX319,ROUNDDOWN((J319-M319)*設定!$B$15/1000,0))</f>
        <v>0</v>
      </c>
      <c r="BQ319" s="31" t="n">
        <f aca="false">ROUNDDOWN((J319-M319)*設定!$C$15/1000,0)</f>
        <v>0</v>
      </c>
      <c r="BR319" s="31" t="n">
        <f aca="false">O319+P319</f>
        <v>0</v>
      </c>
      <c r="BS319" s="31" t="n">
        <f aca="false">T319+U319+V319</f>
        <v>0</v>
      </c>
      <c r="BT319" s="31" t="n">
        <f aca="false">Q319</f>
        <v>104236</v>
      </c>
      <c r="BU319" s="31" t="n">
        <f aca="false">W319</f>
        <v>104338</v>
      </c>
      <c r="BV319" s="31" t="n">
        <f aca="false">R319</f>
        <v>11218</v>
      </c>
      <c r="BW319" s="31" t="n">
        <f aca="false">X319</f>
        <v>11218</v>
      </c>
      <c r="BX319" s="31" t="n">
        <f aca="false">S319</f>
        <v>2309</v>
      </c>
      <c r="BY319" s="31" t="n">
        <f aca="false">Y319</f>
        <v>2311</v>
      </c>
      <c r="BZ319" s="32" t="n">
        <f aca="false">IF(BJ319=0,IF(BR319=0,0,1),(BR319-BJ319)/BJ319)</f>
        <v>0</v>
      </c>
      <c r="CA319" s="32" t="n">
        <f aca="false">IF(BK319=0,IF(BS319=0,0,1),(BS319-BK319)/BK319)</f>
        <v>0</v>
      </c>
      <c r="CB319" s="32" t="n">
        <f aca="false">IF(BL319=0,IF(BT319=0,0,1),(BT319-BL319)/BL319)</f>
        <v>1</v>
      </c>
      <c r="CC319" s="32" t="n">
        <f aca="false">IF(BM319=0,IF(BU319=0,0,1),(BU319-BM319)/BM319)</f>
        <v>1</v>
      </c>
      <c r="CD319" s="32" t="n">
        <f aca="false">IF(BN319=0,IF(BV319=0,0,1),(BV319-BN319)/BN319)</f>
        <v>1</v>
      </c>
      <c r="CE319" s="32" t="n">
        <f aca="false">IF(BO319=0,IF(BW319=0,0,1),(BW319-BO319)/BO319)</f>
        <v>1</v>
      </c>
      <c r="CF319" s="32" t="n">
        <f aca="false">IF(BP319=0,IF(BX319=0,0,1),(BX319-BP319)/BP319)</f>
        <v>1</v>
      </c>
      <c r="CG319" s="32" t="n">
        <f aca="false">IF(BQ319=0,IF(BY319=0,0,1),(BY319-BQ319)/BQ319)</f>
        <v>1</v>
      </c>
      <c r="CH319" s="32" t="n">
        <f aca="false">MAX(MAX(BZ319:CG319),-MIN(BZ319:CG319))</f>
        <v>1</v>
      </c>
      <c r="CI319" s="31" t="n">
        <f aca="false">IF(CO319="","",SUMIFS($CJ$7:$CJ$696,$A$7:$A$696,CO319,$B$7:$B$696,B319))</f>
        <v>236375</v>
      </c>
      <c r="CJ319" s="31" t="n">
        <f aca="false">SUM(AY319:BI319)</f>
        <v>235630</v>
      </c>
      <c r="CK319" s="31" t="str">
        <f aca="false">IFERROR(INDEX(設定!$F$61:$F$106,MATCH(B319,設定!$B$61:$B$106,0)),"Y")</f>
        <v>Y</v>
      </c>
      <c r="CL319" s="31" t="str">
        <f aca="false">IFERROR(INDEX(設定!$G$61:$G$106,MATCH(B319,設定!$B$61:$B$106,0)),"外郭型")</f>
        <v>外郭型</v>
      </c>
      <c r="CM319" s="33" t="str">
        <f aca="false">A319&amp;"|"&amp;B319</f>
        <v>2026-09 月例|職員共済組合</v>
      </c>
      <c r="CN319" s="34" t="str">
        <f aca="false">IFERROR(INDEX(設定!$D$61:$D$106,MATCH(B319,設定!$B$61:$B$106,0)),"Y")</f>
        <v>N</v>
      </c>
      <c r="CO319" s="34" t="str">
        <f aca="false">IFERROR(INDEX(設定!$D$20:$D$34,MATCH(A319,設定!$A$20:$A$34,0))&amp;"","")</f>
        <v>2026-08 月例</v>
      </c>
    </row>
    <row r="320" customFormat="false" ht="26.85" hidden="true" customHeight="false" outlineLevel="0" collapsed="false">
      <c r="A320" s="22" t="s">
        <v>222</v>
      </c>
      <c r="B320" s="35" t="s">
        <v>206</v>
      </c>
      <c r="C320" s="10" t="str">
        <f aca="false">IF(G320="","未受領",IF(G320="なし","報告なし",IF(AL320="○","起票済",IF(OR(AK320="○",F320="一致",F320="入金不要"),"入金確認済","受領済"))))</f>
        <v>報告なし</v>
      </c>
      <c r="D320" s="10" t="str">
        <f aca="false">IF(OR(G320="",G320="なし"),"―",IF(CN320="N","対象外",IF(AND(I320="",J320="",K320=""),"標報未入力",IF(CH320&gt;=設定!$B$4,"要確認","問題なし"))))</f>
        <v>―</v>
      </c>
      <c r="E320" s="24" t="str">
        <f aca="false">IF(OR(G320="",G320="なし",CI320="",CJ320=0),"―",IF(CJ320=CI320,"前月同額",IF(CI320=0,"―",IF(ABS(CJ320/CI320-1)&gt;=設定!$B$5,"変動大 "&amp;TEXT(CJ320/CI320-1,"+0%;-0%"),"〇"))))</f>
        <v>―</v>
      </c>
      <c r="F320" s="10" t="str">
        <f aca="false">IF(OR(G320="",G320="なし"),"―",IF(CJ320=0,"入金不要",IF(COUNT(AD320,AF320,AH320,AJ320)=0,IF(AK320="○","手動確認","未入金"),IF(AND(N(AD320)=AC320,IF(AE320="",TRUE(),N(AF320)=AE320),IF(AG320="",TRUE(),N(AH320)=AG320),IF(AI320="",TRUE(),N(AJ320)=AI320)),"一致","不一致"))))</f>
        <v>―</v>
      </c>
      <c r="G320" s="25" t="s">
        <v>181</v>
      </c>
      <c r="H320" s="26"/>
      <c r="I320" s="27"/>
      <c r="J320" s="27"/>
      <c r="K320" s="27"/>
      <c r="L320" s="27"/>
      <c r="M320" s="27"/>
      <c r="N320" s="27"/>
      <c r="O320" s="27"/>
      <c r="P320" s="27"/>
      <c r="Q320" s="27"/>
      <c r="R320" s="27"/>
      <c r="S320" s="27"/>
      <c r="T320" s="27"/>
      <c r="U320" s="27"/>
      <c r="V320" s="27"/>
      <c r="W320" s="27"/>
      <c r="X320" s="27"/>
      <c r="Y320" s="27"/>
      <c r="Z320" s="27"/>
      <c r="AA320" s="10" t="str">
        <f aca="false">IFERROR(INDEX(設定!$E$61:$E$106,MATCH(B320,設定!$B$61:$B$106,0)),"合算")</f>
        <v>合算</v>
      </c>
      <c r="AB320" s="28"/>
      <c r="AC320" s="29" t="str">
        <f aca="false">IF(OR(G320="",G320="なし"),"",IF(AA320="合算",CJ320+N(Z320),IF(AA320="掛金・負担金別",(AY320+AZ320+BD320+BF320+BH320),SUM(AY320:BC320))))</f>
        <v/>
      </c>
      <c r="AD320" s="27"/>
      <c r="AE320" s="29" t="str">
        <f aca="false">IF(OR(G320="",G320="なし"),"",IF(AA320="掛金・負担金別",(BA320+BB320+BC320+BE320+BG320+BI320+N(Z320)),IF(AA320="経理区分別",BD320+BE320,"")))</f>
        <v/>
      </c>
      <c r="AF320" s="27"/>
      <c r="AG320" s="29" t="str">
        <f aca="false">IF(OR(G320="",G320="なし"),"",IF(AA320="経理区分別",BF320+BG320,""))</f>
        <v/>
      </c>
      <c r="AH320" s="27"/>
      <c r="AI320" s="29" t="str">
        <f aca="false">IF(OR(G320="",G320="なし"),"",IF(AA320="経理区分別",BH320+BI320+N(Z320),""))</f>
        <v/>
      </c>
      <c r="AJ320" s="27"/>
      <c r="AK320" s="26"/>
      <c r="AL320" s="26"/>
      <c r="AM320" s="30"/>
      <c r="AN320" s="31"/>
      <c r="AO320" s="31"/>
      <c r="AP320" s="31"/>
      <c r="AQ320" s="31"/>
      <c r="AR320" s="31"/>
      <c r="AS320" s="31"/>
      <c r="AT320" s="31"/>
      <c r="AU320" s="31"/>
      <c r="AV320" s="31"/>
      <c r="AW320" s="31"/>
      <c r="AX320" s="31"/>
      <c r="AY320" s="31" t="n">
        <f aca="false">IF($G320="",AN320,O320)</f>
        <v>0</v>
      </c>
      <c r="AZ320" s="31" t="n">
        <f aca="false">IF($G320="",AO320,P320)</f>
        <v>0</v>
      </c>
      <c r="BA320" s="31" t="n">
        <f aca="false">IF($G320="",AP320,T320)</f>
        <v>0</v>
      </c>
      <c r="BB320" s="31" t="n">
        <f aca="false">IF($G320="",AQ320,U320)</f>
        <v>0</v>
      </c>
      <c r="BC320" s="31" t="n">
        <f aca="false">IF($G320="",AR320,V320)</f>
        <v>0</v>
      </c>
      <c r="BD320" s="31" t="n">
        <f aca="false">IF($G320="",AS320,Q320)</f>
        <v>0</v>
      </c>
      <c r="BE320" s="31" t="n">
        <f aca="false">IF($G320="",AT320,W320)</f>
        <v>0</v>
      </c>
      <c r="BF320" s="31" t="n">
        <f aca="false">IF($G320="",AU320,R320)</f>
        <v>0</v>
      </c>
      <c r="BG320" s="31" t="n">
        <f aca="false">IF($G320="",AV320,X320)</f>
        <v>0</v>
      </c>
      <c r="BH320" s="31" t="n">
        <f aca="false">IF($G320="",AW320,S320)</f>
        <v>0</v>
      </c>
      <c r="BI320" s="31" t="n">
        <f aca="false">IF($G320="",AX320,Y320)</f>
        <v>0</v>
      </c>
      <c r="BJ320" s="31" t="n">
        <f aca="false">IF(CK320="N",BR320,ROUNDDOWN((I320-L320)*設定!$B$10/1000,0)+ROUNDDOWN((I320-L320)*設定!$B$11/1000,0))</f>
        <v>0</v>
      </c>
      <c r="BK320" s="31" t="n">
        <f aca="false">ROUNDDOWN((I320-L320)*設定!$C$10/1000,0)+ROUNDDOWN((I320-L320)*設定!$C$11/1000,0)+ROUNDDOWN(I320*設定!$C$12/1000,0)+IF(CL320="市局型",ROUNDDOWN(I320*設定!$C$16/1000,0),0)</f>
        <v>0</v>
      </c>
      <c r="BL320" s="31" t="n">
        <f aca="false">IF(CK320="N",BT320,ROUNDDOWN((J320-M320)*設定!$B$13/1000,0))</f>
        <v>0</v>
      </c>
      <c r="BM320" s="31" t="n">
        <f aca="false">ROUNDDOWN((J320-M320)*設定!$C$13/1000,0)+IF(CL320="市局型",ROUNDDOWN(J320*設定!$C$17/1000,0),0)</f>
        <v>0</v>
      </c>
      <c r="BN320" s="31" t="n">
        <f aca="false">IF(CK320="N",BV320,ROUNDDOWN((K320-N320)*設定!$B$14/1000,0))</f>
        <v>0</v>
      </c>
      <c r="BO320" s="31" t="n">
        <f aca="false">ROUNDDOWN((K320-N320)*設定!$C$14/1000,0)</f>
        <v>0</v>
      </c>
      <c r="BP320" s="31" t="n">
        <f aca="false">IF(CK320="N",BX320,ROUNDDOWN((J320-M320)*設定!$B$15/1000,0))</f>
        <v>0</v>
      </c>
      <c r="BQ320" s="31" t="n">
        <f aca="false">ROUNDDOWN((J320-M320)*設定!$C$15/1000,0)</f>
        <v>0</v>
      </c>
      <c r="BR320" s="31" t="n">
        <f aca="false">O320+P320</f>
        <v>0</v>
      </c>
      <c r="BS320" s="31" t="n">
        <f aca="false">T320+U320+V320</f>
        <v>0</v>
      </c>
      <c r="BT320" s="31" t="n">
        <f aca="false">Q320</f>
        <v>0</v>
      </c>
      <c r="BU320" s="31" t="n">
        <f aca="false">W320</f>
        <v>0</v>
      </c>
      <c r="BV320" s="31" t="n">
        <f aca="false">R320</f>
        <v>0</v>
      </c>
      <c r="BW320" s="31" t="n">
        <f aca="false">X320</f>
        <v>0</v>
      </c>
      <c r="BX320" s="31" t="n">
        <f aca="false">S320</f>
        <v>0</v>
      </c>
      <c r="BY320" s="31" t="n">
        <f aca="false">Y320</f>
        <v>0</v>
      </c>
      <c r="BZ320" s="32" t="n">
        <f aca="false">IF(BJ320=0,IF(BR320=0,0,1),(BR320-BJ320)/BJ320)</f>
        <v>0</v>
      </c>
      <c r="CA320" s="32" t="n">
        <f aca="false">IF(BK320=0,IF(BS320=0,0,1),(BS320-BK320)/BK320)</f>
        <v>0</v>
      </c>
      <c r="CB320" s="32" t="n">
        <f aca="false">IF(BL320=0,IF(BT320=0,0,1),(BT320-BL320)/BL320)</f>
        <v>0</v>
      </c>
      <c r="CC320" s="32" t="n">
        <f aca="false">IF(BM320=0,IF(BU320=0,0,1),(BU320-BM320)/BM320)</f>
        <v>0</v>
      </c>
      <c r="CD320" s="32" t="n">
        <f aca="false">IF(BN320=0,IF(BV320=0,0,1),(BV320-BN320)/BN320)</f>
        <v>0</v>
      </c>
      <c r="CE320" s="32" t="n">
        <f aca="false">IF(BO320=0,IF(BW320=0,0,1),(BW320-BO320)/BO320)</f>
        <v>0</v>
      </c>
      <c r="CF320" s="32" t="n">
        <f aca="false">IF(BP320=0,IF(BX320=0,0,1),(BX320-BP320)/BP320)</f>
        <v>0</v>
      </c>
      <c r="CG320" s="32" t="n">
        <f aca="false">IF(BQ320=0,IF(BY320=0,0,1),(BY320-BQ320)/BQ320)</f>
        <v>0</v>
      </c>
      <c r="CH320" s="32" t="n">
        <f aca="false">MAX(MAX(BZ320:CG320),-MIN(BZ320:CG320))</f>
        <v>-0</v>
      </c>
      <c r="CI320" s="31" t="n">
        <f aca="false">IF(CO320="","",SUMIFS($CJ$7:$CJ$696,$A$7:$A$696,CO320,$B$7:$B$696,B320))</f>
        <v>0</v>
      </c>
      <c r="CJ320" s="31" t="n">
        <f aca="false">SUM(AY320:BI320)</f>
        <v>0</v>
      </c>
      <c r="CK320" s="31" t="str">
        <f aca="false">IFERROR(INDEX(設定!$F$61:$F$106,MATCH(B320,設定!$B$61:$B$106,0)),"Y")</f>
        <v>N</v>
      </c>
      <c r="CL320" s="31" t="str">
        <f aca="false">IFERROR(INDEX(設定!$G$61:$G$106,MATCH(B320,設定!$B$61:$B$106,0)),"外郭型")</f>
        <v>外郭型</v>
      </c>
      <c r="CM320" s="36" t="str">
        <f aca="false">A320&amp;"|"&amp;B320</f>
        <v>2026-09 月例|地方公共団体
情報システム機構</v>
      </c>
      <c r="CN320" s="34" t="str">
        <f aca="false">IFERROR(INDEX(設定!$D$61:$D$106,MATCH(B320,設定!$B$61:$B$106,0)),"Y")</f>
        <v>Y</v>
      </c>
      <c r="CO320" s="34" t="str">
        <f aca="false">IFERROR(INDEX(設定!$D$20:$D$34,MATCH(A320,設定!$A$20:$A$34,0))&amp;"","")</f>
        <v>2026-08 月例</v>
      </c>
    </row>
    <row r="321" customFormat="false" ht="15" hidden="true" customHeight="false" outlineLevel="0" collapsed="false">
      <c r="A321" s="22" t="s">
        <v>222</v>
      </c>
      <c r="B321" s="23" t="s">
        <v>207</v>
      </c>
      <c r="C321" s="10" t="str">
        <f aca="false">IF(G321="","未受領",IF(G321="なし","報告なし",IF(AL321="○","起票済",IF(OR(AK321="○",F321="一致",F321="入金不要"),"入金確認済","受領済"))))</f>
        <v>入金確認済</v>
      </c>
      <c r="D321" s="10" t="str">
        <f aca="false">IF(OR(G321="",G321="なし"),"―",IF(CN321="N","対象外",IF(AND(I321="",J321="",K321=""),"標報未入力",IF(CH321&gt;=設定!$B$4,"要確認","問題なし"))))</f>
        <v>標報未入力</v>
      </c>
      <c r="E321" s="24" t="str">
        <f aca="false">IF(OR(G321="",G321="なし",CI321="",CJ321=0),"―",IF(CJ321=CI321,"前月同額",IF(CI321=0,"―",IF(ABS(CJ321/CI321-1)&gt;=設定!$B$5,"変動大 "&amp;TEXT(CJ321/CI321-1,"+0%;-0%"),"〇"))))</f>
        <v>〇</v>
      </c>
      <c r="F321" s="10" t="str">
        <f aca="false">IF(OR(G321="",G321="なし"),"―",IF(CJ321=0,"入金不要",IF(COUNT(AD321,AF321,AH321,AJ321)=0,IF(AK321="○","手動確認","未入金"),IF(AND(N(AD321)=AC321,IF(AE321="",TRUE(),N(AF321)=AE321),IF(AG321="",TRUE(),N(AH321)=AG321),IF(AI321="",TRUE(),N(AJ321)=AI321)),"一致","不一致"))))</f>
        <v>手動確認</v>
      </c>
      <c r="G321" s="25" t="s">
        <v>167</v>
      </c>
      <c r="H321" s="26"/>
      <c r="I321" s="27"/>
      <c r="J321" s="27"/>
      <c r="K321" s="27"/>
      <c r="L321" s="27"/>
      <c r="M321" s="27"/>
      <c r="N321" s="27"/>
      <c r="O321" s="27" t="n">
        <v>118950</v>
      </c>
      <c r="P321" s="27" t="n">
        <v>9750</v>
      </c>
      <c r="Q321" s="27" t="n">
        <v>86605</v>
      </c>
      <c r="R321" s="27" t="n">
        <v>13193</v>
      </c>
      <c r="S321" s="27" t="n">
        <v>1920</v>
      </c>
      <c r="T321" s="27" t="n">
        <v>118950</v>
      </c>
      <c r="U321" s="27" t="n">
        <v>9750</v>
      </c>
      <c r="V321" s="27" t="n">
        <v>112</v>
      </c>
      <c r="W321" s="27" t="n">
        <v>86689</v>
      </c>
      <c r="X321" s="27" t="n">
        <v>13193</v>
      </c>
      <c r="Y321" s="27" t="n">
        <v>1920</v>
      </c>
      <c r="Z321" s="27"/>
      <c r="AA321" s="10" t="str">
        <f aca="false">IFERROR(INDEX(設定!$E$61:$E$106,MATCH(B321,設定!$B$61:$B$106,0)),"合算")</f>
        <v>合算</v>
      </c>
      <c r="AB321" s="28"/>
      <c r="AC321" s="29" t="n">
        <f aca="false">IF(OR(G321="",G321="なし"),"",IF(AA321="合算",CJ321+N(Z321),IF(AA321="掛金・負担金別",(AY321+AZ321+BD321+BF321+BH321),SUM(AY321:BC321))))</f>
        <v>461032</v>
      </c>
      <c r="AD321" s="27"/>
      <c r="AE321" s="29" t="str">
        <f aca="false">IF(OR(G321="",G321="なし"),"",IF(AA321="掛金・負担金別",(BA321+BB321+BC321+BE321+BG321+BI321+N(Z321)),IF(AA321="経理区分別",BD321+BE321,"")))</f>
        <v/>
      </c>
      <c r="AF321" s="27"/>
      <c r="AG321" s="29" t="str">
        <f aca="false">IF(OR(G321="",G321="なし"),"",IF(AA321="経理区分別",BF321+BG321,""))</f>
        <v/>
      </c>
      <c r="AH321" s="27"/>
      <c r="AI321" s="29" t="str">
        <f aca="false">IF(OR(G321="",G321="なし"),"",IF(AA321="経理区分別",BH321+BI321+N(Z321),""))</f>
        <v/>
      </c>
      <c r="AJ321" s="27"/>
      <c r="AK321" s="26" t="s">
        <v>168</v>
      </c>
      <c r="AL321" s="26"/>
      <c r="AM321" s="30"/>
      <c r="AN321" s="31"/>
      <c r="AO321" s="31"/>
      <c r="AP321" s="31"/>
      <c r="AQ321" s="31"/>
      <c r="AR321" s="31"/>
      <c r="AS321" s="31"/>
      <c r="AT321" s="31"/>
      <c r="AU321" s="31"/>
      <c r="AV321" s="31"/>
      <c r="AW321" s="31"/>
      <c r="AX321" s="31"/>
      <c r="AY321" s="31" t="n">
        <f aca="false">IF($G321="",AN321,O321)</f>
        <v>118950</v>
      </c>
      <c r="AZ321" s="31" t="n">
        <f aca="false">IF($G321="",AO321,P321)</f>
        <v>9750</v>
      </c>
      <c r="BA321" s="31" t="n">
        <f aca="false">IF($G321="",AP321,T321)</f>
        <v>118950</v>
      </c>
      <c r="BB321" s="31" t="n">
        <f aca="false">IF($G321="",AQ321,U321)</f>
        <v>9750</v>
      </c>
      <c r="BC321" s="31" t="n">
        <f aca="false">IF($G321="",AR321,V321)</f>
        <v>112</v>
      </c>
      <c r="BD321" s="31" t="n">
        <f aca="false">IF($G321="",AS321,Q321)</f>
        <v>86605</v>
      </c>
      <c r="BE321" s="31" t="n">
        <f aca="false">IF($G321="",AT321,W321)</f>
        <v>86689</v>
      </c>
      <c r="BF321" s="31" t="n">
        <f aca="false">IF($G321="",AU321,R321)</f>
        <v>13193</v>
      </c>
      <c r="BG321" s="31" t="n">
        <f aca="false">IF($G321="",AV321,X321)</f>
        <v>13193</v>
      </c>
      <c r="BH321" s="31" t="n">
        <f aca="false">IF($G321="",AW321,S321)</f>
        <v>1920</v>
      </c>
      <c r="BI321" s="31" t="n">
        <f aca="false">IF($G321="",AX321,Y321)</f>
        <v>1920</v>
      </c>
      <c r="BJ321" s="31" t="n">
        <f aca="false">IF(CK321="N",BR321,ROUNDDOWN((I321-L321)*設定!$B$10/1000,0)+ROUNDDOWN((I321-L321)*設定!$B$11/1000,0))</f>
        <v>0</v>
      </c>
      <c r="BK321" s="31" t="n">
        <f aca="false">ROUNDDOWN((I321-L321)*設定!$C$10/1000,0)+ROUNDDOWN((I321-L321)*設定!$C$11/1000,0)+ROUNDDOWN(I321*設定!$C$12/1000,0)+IF(CL321="市局型",ROUNDDOWN(I321*設定!$C$16/1000,0),0)</f>
        <v>0</v>
      </c>
      <c r="BL321" s="31" t="n">
        <f aca="false">IF(CK321="N",BT321,ROUNDDOWN((J321-M321)*設定!$B$13/1000,0))</f>
        <v>0</v>
      </c>
      <c r="BM321" s="31" t="n">
        <f aca="false">ROUNDDOWN((J321-M321)*設定!$C$13/1000,0)+IF(CL321="市局型",ROUNDDOWN(J321*設定!$C$17/1000,0),0)</f>
        <v>0</v>
      </c>
      <c r="BN321" s="31" t="n">
        <f aca="false">IF(CK321="N",BV321,ROUNDDOWN((K321-N321)*設定!$B$14/1000,0))</f>
        <v>0</v>
      </c>
      <c r="BO321" s="31" t="n">
        <f aca="false">ROUNDDOWN((K321-N321)*設定!$C$14/1000,0)</f>
        <v>0</v>
      </c>
      <c r="BP321" s="31" t="n">
        <f aca="false">IF(CK321="N",BX321,ROUNDDOWN((J321-M321)*設定!$B$15/1000,0))</f>
        <v>0</v>
      </c>
      <c r="BQ321" s="31" t="n">
        <f aca="false">ROUNDDOWN((J321-M321)*設定!$C$15/1000,0)</f>
        <v>0</v>
      </c>
      <c r="BR321" s="31" t="n">
        <f aca="false">O321+P321</f>
        <v>128700</v>
      </c>
      <c r="BS321" s="31" t="n">
        <f aca="false">T321+U321+V321</f>
        <v>128812</v>
      </c>
      <c r="BT321" s="31" t="n">
        <f aca="false">Q321</f>
        <v>86605</v>
      </c>
      <c r="BU321" s="31" t="n">
        <f aca="false">W321</f>
        <v>86689</v>
      </c>
      <c r="BV321" s="31" t="n">
        <f aca="false">R321</f>
        <v>13193</v>
      </c>
      <c r="BW321" s="31" t="n">
        <f aca="false">X321</f>
        <v>13193</v>
      </c>
      <c r="BX321" s="31" t="n">
        <f aca="false">S321</f>
        <v>1920</v>
      </c>
      <c r="BY321" s="31" t="n">
        <f aca="false">Y321</f>
        <v>1920</v>
      </c>
      <c r="BZ321" s="32" t="n">
        <f aca="false">IF(BJ321=0,IF(BR321=0,0,1),(BR321-BJ321)/BJ321)</f>
        <v>1</v>
      </c>
      <c r="CA321" s="32" t="n">
        <f aca="false">IF(BK321=0,IF(BS321=0,0,1),(BS321-BK321)/BK321)</f>
        <v>1</v>
      </c>
      <c r="CB321" s="32" t="n">
        <f aca="false">IF(BL321=0,IF(BT321=0,0,1),(BT321-BL321)/BL321)</f>
        <v>1</v>
      </c>
      <c r="CC321" s="32" t="n">
        <f aca="false">IF(BM321=0,IF(BU321=0,0,1),(BU321-BM321)/BM321)</f>
        <v>1</v>
      </c>
      <c r="CD321" s="32" t="n">
        <f aca="false">IF(BN321=0,IF(BV321=0,0,1),(BV321-BN321)/BN321)</f>
        <v>1</v>
      </c>
      <c r="CE321" s="32" t="n">
        <f aca="false">IF(BO321=0,IF(BW321=0,0,1),(BW321-BO321)/BO321)</f>
        <v>1</v>
      </c>
      <c r="CF321" s="32" t="n">
        <f aca="false">IF(BP321=0,IF(BX321=0,0,1),(BX321-BP321)/BP321)</f>
        <v>1</v>
      </c>
      <c r="CG321" s="32" t="n">
        <f aca="false">IF(BQ321=0,IF(BY321=0,0,1),(BY321-BQ321)/BQ321)</f>
        <v>1</v>
      </c>
      <c r="CH321" s="32" t="n">
        <f aca="false">MAX(MAX(BZ321:CG321),-MIN(BZ321:CG321))</f>
        <v>1</v>
      </c>
      <c r="CI321" s="31" t="n">
        <f aca="false">IF(CO321="","",SUMIFS($CJ$7:$CJ$696,$A$7:$A$696,CO321,$B$7:$B$696,B321))</f>
        <v>456158</v>
      </c>
      <c r="CJ321" s="31" t="n">
        <f aca="false">SUM(AY321:BI321)</f>
        <v>461032</v>
      </c>
      <c r="CK321" s="31" t="str">
        <f aca="false">IFERROR(INDEX(設定!$F$61:$F$106,MATCH(B321,設定!$B$61:$B$106,0)),"Y")</f>
        <v>Y</v>
      </c>
      <c r="CL321" s="31" t="str">
        <f aca="false">IFERROR(INDEX(設定!$G$61:$G$106,MATCH(B321,設定!$B$61:$B$106,0)),"外郭型")</f>
        <v>外郭型</v>
      </c>
      <c r="CM321" s="33" t="str">
        <f aca="false">A321&amp;"|"&amp;B321</f>
        <v>2026-09 月例|全国市長会</v>
      </c>
      <c r="CN321" s="34" t="str">
        <f aca="false">IFERROR(INDEX(設定!$D$61:$D$106,MATCH(B321,設定!$B$61:$B$106,0)),"Y")</f>
        <v>Y</v>
      </c>
      <c r="CO321" s="34" t="str">
        <f aca="false">IFERROR(INDEX(設定!$D$20:$D$34,MATCH(A321,設定!$A$20:$A$34,0))&amp;"","")</f>
        <v>2026-08 月例</v>
      </c>
    </row>
    <row r="322" customFormat="false" ht="15" hidden="true" customHeight="false" outlineLevel="0" collapsed="false">
      <c r="A322" s="22" t="s">
        <v>222</v>
      </c>
      <c r="B322" s="23" t="s">
        <v>208</v>
      </c>
      <c r="C322" s="10" t="str">
        <f aca="false">IF(G322="","未受領",IF(G322="なし","報告なし",IF(AL322="○","起票済",IF(OR(AK322="○",F322="一致",F322="入金不要"),"入金確認済","受領済"))))</f>
        <v>入金確認済</v>
      </c>
      <c r="D322" s="10" t="str">
        <f aca="false">IF(OR(G322="",G322="なし"),"―",IF(CN322="N","対象外",IF(AND(I322="",J322="",K322=""),"標報未入力",IF(CH322&gt;=設定!$B$4,"要確認","問題なし"))))</f>
        <v>標報未入力</v>
      </c>
      <c r="E322" s="24" t="str">
        <f aca="false">IF(OR(G322="",G322="なし",CI322="",CJ322=0),"―",IF(CJ322=CI322,"前月同額",IF(CI322=0,"―",IF(ABS(CJ322/CI322-1)&gt;=設定!$B$5,"変動大 "&amp;TEXT(CJ322/CI322-1,"+0%;-0%"),"〇"))))</f>
        <v>〇</v>
      </c>
      <c r="F322" s="10" t="str">
        <f aca="false">IF(OR(G322="",G322="なし"),"―",IF(CJ322=0,"入金不要",IF(COUNT(AD322,AF322,AH322,AJ322)=0,IF(AK322="○","手動確認","未入金"),IF(AND(N(AD322)=AC322,IF(AE322="",TRUE(),N(AF322)=AE322),IF(AG322="",TRUE(),N(AH322)=AG322),IF(AI322="",TRUE(),N(AJ322)=AI322)),"一致","不一致"))))</f>
        <v>手動確認</v>
      </c>
      <c r="G322" s="25" t="s">
        <v>167</v>
      </c>
      <c r="H322" s="26"/>
      <c r="I322" s="27"/>
      <c r="J322" s="27"/>
      <c r="K322" s="27"/>
      <c r="L322" s="27"/>
      <c r="M322" s="27"/>
      <c r="N322" s="27"/>
      <c r="O322" s="27" t="n">
        <v>142740</v>
      </c>
      <c r="P322" s="27" t="n">
        <v>11700</v>
      </c>
      <c r="Q322" s="27"/>
      <c r="R322" s="27"/>
      <c r="S322" s="27"/>
      <c r="T322" s="27" t="n">
        <v>142740</v>
      </c>
      <c r="U322" s="27" t="n">
        <v>11700</v>
      </c>
      <c r="V322" s="27" t="n">
        <v>135</v>
      </c>
      <c r="W322" s="27"/>
      <c r="X322" s="27"/>
      <c r="Y322" s="27"/>
      <c r="Z322" s="27"/>
      <c r="AA322" s="10" t="str">
        <f aca="false">IFERROR(INDEX(設定!$E$61:$E$106,MATCH(B322,設定!$B$61:$B$106,0)),"合算")</f>
        <v>合算</v>
      </c>
      <c r="AB322" s="28"/>
      <c r="AC322" s="29" t="n">
        <f aca="false">IF(OR(G322="",G322="なし"),"",IF(AA322="合算",CJ322+N(Z322),IF(AA322="掛金・負担金別",(AY322+AZ322+BD322+BF322+BH322),SUM(AY322:BC322))))</f>
        <v>309015</v>
      </c>
      <c r="AD322" s="27"/>
      <c r="AE322" s="29" t="str">
        <f aca="false">IF(OR(G322="",G322="なし"),"",IF(AA322="掛金・負担金別",(BA322+BB322+BC322+BE322+BG322+BI322+N(Z322)),IF(AA322="経理区分別",BD322+BE322,"")))</f>
        <v/>
      </c>
      <c r="AF322" s="27"/>
      <c r="AG322" s="29" t="str">
        <f aca="false">IF(OR(G322="",G322="なし"),"",IF(AA322="経理区分別",BF322+BG322,""))</f>
        <v/>
      </c>
      <c r="AH322" s="27"/>
      <c r="AI322" s="29" t="str">
        <f aca="false">IF(OR(G322="",G322="なし"),"",IF(AA322="経理区分別",BH322+BI322+N(Z322),""))</f>
        <v/>
      </c>
      <c r="AJ322" s="27"/>
      <c r="AK322" s="26" t="s">
        <v>168</v>
      </c>
      <c r="AL322" s="26"/>
      <c r="AM322" s="30"/>
      <c r="AN322" s="31"/>
      <c r="AO322" s="31"/>
      <c r="AP322" s="31"/>
      <c r="AQ322" s="31"/>
      <c r="AR322" s="31"/>
      <c r="AS322" s="31"/>
      <c r="AT322" s="31"/>
      <c r="AU322" s="31"/>
      <c r="AV322" s="31"/>
      <c r="AW322" s="31"/>
      <c r="AX322" s="31"/>
      <c r="AY322" s="31" t="n">
        <f aca="false">IF($G322="",AN322,O322)</f>
        <v>142740</v>
      </c>
      <c r="AZ322" s="31" t="n">
        <f aca="false">IF($G322="",AO322,P322)</f>
        <v>11700</v>
      </c>
      <c r="BA322" s="31" t="n">
        <f aca="false">IF($G322="",AP322,T322)</f>
        <v>142740</v>
      </c>
      <c r="BB322" s="31" t="n">
        <f aca="false">IF($G322="",AQ322,U322)</f>
        <v>11700</v>
      </c>
      <c r="BC322" s="31" t="n">
        <f aca="false">IF($G322="",AR322,V322)</f>
        <v>135</v>
      </c>
      <c r="BD322" s="31" t="n">
        <f aca="false">IF($G322="",AS322,Q322)</f>
        <v>0</v>
      </c>
      <c r="BE322" s="31" t="n">
        <f aca="false">IF($G322="",AT322,W322)</f>
        <v>0</v>
      </c>
      <c r="BF322" s="31" t="n">
        <f aca="false">IF($G322="",AU322,R322)</f>
        <v>0</v>
      </c>
      <c r="BG322" s="31" t="n">
        <f aca="false">IF($G322="",AV322,X322)</f>
        <v>0</v>
      </c>
      <c r="BH322" s="31" t="n">
        <f aca="false">IF($G322="",AW322,S322)</f>
        <v>0</v>
      </c>
      <c r="BI322" s="31" t="n">
        <f aca="false">IF($G322="",AX322,Y322)</f>
        <v>0</v>
      </c>
      <c r="BJ322" s="31" t="n">
        <f aca="false">IF(CK322="N",BR322,ROUNDDOWN((I322-L322)*設定!$B$10/1000,0)+ROUNDDOWN((I322-L322)*設定!$B$11/1000,0))</f>
        <v>0</v>
      </c>
      <c r="BK322" s="31" t="n">
        <f aca="false">ROUNDDOWN((I322-L322)*設定!$C$10/1000,0)+ROUNDDOWN((I322-L322)*設定!$C$11/1000,0)+ROUNDDOWN(I322*設定!$C$12/1000,0)+IF(CL322="市局型",ROUNDDOWN(I322*設定!$C$16/1000,0),0)</f>
        <v>0</v>
      </c>
      <c r="BL322" s="31" t="n">
        <f aca="false">IF(CK322="N",BT322,ROUNDDOWN((J322-M322)*設定!$B$13/1000,0))</f>
        <v>0</v>
      </c>
      <c r="BM322" s="31" t="n">
        <f aca="false">ROUNDDOWN((J322-M322)*設定!$C$13/1000,0)+IF(CL322="市局型",ROUNDDOWN(J322*設定!$C$17/1000,0),0)</f>
        <v>0</v>
      </c>
      <c r="BN322" s="31" t="n">
        <f aca="false">IF(CK322="N",BV322,ROUNDDOWN((K322-N322)*設定!$B$14/1000,0))</f>
        <v>0</v>
      </c>
      <c r="BO322" s="31" t="n">
        <f aca="false">ROUNDDOWN((K322-N322)*設定!$C$14/1000,0)</f>
        <v>0</v>
      </c>
      <c r="BP322" s="31" t="n">
        <f aca="false">IF(CK322="N",BX322,ROUNDDOWN((J322-M322)*設定!$B$15/1000,0))</f>
        <v>0</v>
      </c>
      <c r="BQ322" s="31" t="n">
        <f aca="false">ROUNDDOWN((J322-M322)*設定!$C$15/1000,0)</f>
        <v>0</v>
      </c>
      <c r="BR322" s="31" t="n">
        <f aca="false">O322+P322</f>
        <v>154440</v>
      </c>
      <c r="BS322" s="31" t="n">
        <f aca="false">T322+U322+V322</f>
        <v>154575</v>
      </c>
      <c r="BT322" s="31" t="n">
        <f aca="false">Q322</f>
        <v>0</v>
      </c>
      <c r="BU322" s="31" t="n">
        <f aca="false">W322</f>
        <v>0</v>
      </c>
      <c r="BV322" s="31" t="n">
        <f aca="false">R322</f>
        <v>0</v>
      </c>
      <c r="BW322" s="31" t="n">
        <f aca="false">X322</f>
        <v>0</v>
      </c>
      <c r="BX322" s="31" t="n">
        <f aca="false">S322</f>
        <v>0</v>
      </c>
      <c r="BY322" s="31" t="n">
        <f aca="false">Y322</f>
        <v>0</v>
      </c>
      <c r="BZ322" s="32" t="n">
        <f aca="false">IF(BJ322=0,IF(BR322=0,0,1),(BR322-BJ322)/BJ322)</f>
        <v>1</v>
      </c>
      <c r="CA322" s="32" t="n">
        <f aca="false">IF(BK322=0,IF(BS322=0,0,1),(BS322-BK322)/BK322)</f>
        <v>1</v>
      </c>
      <c r="CB322" s="32" t="n">
        <f aca="false">IF(BL322=0,IF(BT322=0,0,1),(BT322-BL322)/BL322)</f>
        <v>0</v>
      </c>
      <c r="CC322" s="32" t="n">
        <f aca="false">IF(BM322=0,IF(BU322=0,0,1),(BU322-BM322)/BM322)</f>
        <v>0</v>
      </c>
      <c r="CD322" s="32" t="n">
        <f aca="false">IF(BN322=0,IF(BV322=0,0,1),(BV322-BN322)/BN322)</f>
        <v>0</v>
      </c>
      <c r="CE322" s="32" t="n">
        <f aca="false">IF(BO322=0,IF(BW322=0,0,1),(BW322-BO322)/BO322)</f>
        <v>0</v>
      </c>
      <c r="CF322" s="32" t="n">
        <f aca="false">IF(BP322=0,IF(BX322=0,0,1),(BX322-BP322)/BP322)</f>
        <v>0</v>
      </c>
      <c r="CG322" s="32" t="n">
        <f aca="false">IF(BQ322=0,IF(BY322=0,0,1),(BY322-BQ322)/BQ322)</f>
        <v>0</v>
      </c>
      <c r="CH322" s="32" t="n">
        <f aca="false">MAX(MAX(BZ322:CG322),-MIN(BZ322:CG322))</f>
        <v>1</v>
      </c>
      <c r="CI322" s="31" t="n">
        <f aca="false">IF(CO322="","",SUMIFS($CJ$7:$CJ$696,$A$7:$A$696,CO322,$B$7:$B$696,B322))</f>
        <v>314958</v>
      </c>
      <c r="CJ322" s="31" t="n">
        <f aca="false">SUM(AY322:BI322)</f>
        <v>309015</v>
      </c>
      <c r="CK322" s="31" t="str">
        <f aca="false">IFERROR(INDEX(設定!$F$61:$F$106,MATCH(B322,設定!$B$61:$B$106,0)),"Y")</f>
        <v>Y</v>
      </c>
      <c r="CL322" s="31" t="str">
        <f aca="false">IFERROR(INDEX(設定!$G$61:$G$106,MATCH(B322,設定!$B$61:$B$106,0)),"外郭型")</f>
        <v>外郭型</v>
      </c>
      <c r="CM322" s="33" t="str">
        <f aca="false">A322&amp;"|"&amp;B322</f>
        <v>2026-09 月例|高速交通（株）</v>
      </c>
      <c r="CN322" s="34" t="str">
        <f aca="false">IFERROR(INDEX(設定!$D$61:$D$106,MATCH(B322,設定!$B$61:$B$106,0)),"Y")</f>
        <v>Y</v>
      </c>
      <c r="CO322" s="34" t="str">
        <f aca="false">IFERROR(INDEX(設定!$D$20:$D$34,MATCH(A322,設定!$A$20:$A$34,0))&amp;"","")</f>
        <v>2026-08 月例</v>
      </c>
    </row>
    <row r="323" customFormat="false" ht="15" hidden="true" customHeight="false" outlineLevel="0" collapsed="false">
      <c r="A323" s="22" t="s">
        <v>222</v>
      </c>
      <c r="B323" s="23" t="s">
        <v>209</v>
      </c>
      <c r="C323" s="10" t="str">
        <f aca="false">IF(G323="","未受領",IF(G323="なし","報告なし",IF(AL323="○","起票済",IF(OR(AK323="○",F323="一致",F323="入金不要"),"入金確認済","受領済"))))</f>
        <v>入金確認済</v>
      </c>
      <c r="D323" s="10" t="str">
        <f aca="false">IF(OR(G323="",G323="なし"),"―",IF(CN323="N","対象外",IF(AND(I323="",J323="",K323=""),"標報未入力",IF(CH323&gt;=設定!$B$4,"要確認","問題なし"))))</f>
        <v>標報未入力</v>
      </c>
      <c r="E323" s="24" t="str">
        <f aca="false">IF(OR(G323="",G323="なし",CI323="",CJ323=0),"―",IF(CJ323=CI323,"前月同額",IF(CI323=0,"―",IF(ABS(CJ323/CI323-1)&gt;=設定!$B$5,"変動大 "&amp;TEXT(CJ323/CI323-1,"+0%;-0%"),"〇"))))</f>
        <v>前月同額</v>
      </c>
      <c r="F323" s="10" t="str">
        <f aca="false">IF(OR(G323="",G323="なし"),"―",IF(CJ323=0,"入金不要",IF(COUNT(AD323,AF323,AH323,AJ323)=0,IF(AK323="○","手動確認","未入金"),IF(AND(N(AD323)=AC323,IF(AE323="",TRUE(),N(AF323)=AE323),IF(AG323="",TRUE(),N(AH323)=AG323),IF(AI323="",TRUE(),N(AJ323)=AI323)),"一致","不一致"))))</f>
        <v>手動確認</v>
      </c>
      <c r="G323" s="25" t="s">
        <v>167</v>
      </c>
      <c r="H323" s="26"/>
      <c r="I323" s="27"/>
      <c r="J323" s="27"/>
      <c r="K323" s="27"/>
      <c r="L323" s="27"/>
      <c r="M323" s="27"/>
      <c r="N323" s="27"/>
      <c r="O323" s="27" t="n">
        <v>53985</v>
      </c>
      <c r="P323" s="27" t="n">
        <v>4425</v>
      </c>
      <c r="Q323" s="27"/>
      <c r="R323" s="27"/>
      <c r="S323" s="27"/>
      <c r="T323" s="27" t="n">
        <v>53985</v>
      </c>
      <c r="U323" s="27" t="n">
        <v>4425</v>
      </c>
      <c r="V323" s="27" t="n">
        <v>51</v>
      </c>
      <c r="W323" s="27"/>
      <c r="X323" s="27"/>
      <c r="Y323" s="27"/>
      <c r="Z323" s="27"/>
      <c r="AA323" s="10" t="str">
        <f aca="false">IFERROR(INDEX(設定!$E$61:$E$106,MATCH(B323,設定!$B$61:$B$106,0)),"合算")</f>
        <v>合算</v>
      </c>
      <c r="AB323" s="28"/>
      <c r="AC323" s="29" t="n">
        <f aca="false">IF(OR(G323="",G323="なし"),"",IF(AA323="合算",CJ323+N(Z323),IF(AA323="掛金・負担金別",(AY323+AZ323+BD323+BF323+BH323),SUM(AY323:BC323))))</f>
        <v>116871</v>
      </c>
      <c r="AD323" s="27"/>
      <c r="AE323" s="29" t="str">
        <f aca="false">IF(OR(G323="",G323="なし"),"",IF(AA323="掛金・負担金別",(BA323+BB323+BC323+BE323+BG323+BI323+N(Z323)),IF(AA323="経理区分別",BD323+BE323,"")))</f>
        <v/>
      </c>
      <c r="AF323" s="27"/>
      <c r="AG323" s="29" t="str">
        <f aca="false">IF(OR(G323="",G323="なし"),"",IF(AA323="経理区分別",BF323+BG323,""))</f>
        <v/>
      </c>
      <c r="AH323" s="27"/>
      <c r="AI323" s="29" t="str">
        <f aca="false">IF(OR(G323="",G323="なし"),"",IF(AA323="経理区分別",BH323+BI323+N(Z323),""))</f>
        <v/>
      </c>
      <c r="AJ323" s="27"/>
      <c r="AK323" s="26" t="s">
        <v>168</v>
      </c>
      <c r="AL323" s="26"/>
      <c r="AM323" s="30"/>
      <c r="AN323" s="31"/>
      <c r="AO323" s="31"/>
      <c r="AP323" s="31"/>
      <c r="AQ323" s="31"/>
      <c r="AR323" s="31"/>
      <c r="AS323" s="31"/>
      <c r="AT323" s="31"/>
      <c r="AU323" s="31"/>
      <c r="AV323" s="31"/>
      <c r="AW323" s="31"/>
      <c r="AX323" s="31"/>
      <c r="AY323" s="31" t="n">
        <f aca="false">IF($G323="",AN323,O323)</f>
        <v>53985</v>
      </c>
      <c r="AZ323" s="31" t="n">
        <f aca="false">IF($G323="",AO323,P323)</f>
        <v>4425</v>
      </c>
      <c r="BA323" s="31" t="n">
        <f aca="false">IF($G323="",AP323,T323)</f>
        <v>53985</v>
      </c>
      <c r="BB323" s="31" t="n">
        <f aca="false">IF($G323="",AQ323,U323)</f>
        <v>4425</v>
      </c>
      <c r="BC323" s="31" t="n">
        <f aca="false">IF($G323="",AR323,V323)</f>
        <v>51</v>
      </c>
      <c r="BD323" s="31" t="n">
        <f aca="false">IF($G323="",AS323,Q323)</f>
        <v>0</v>
      </c>
      <c r="BE323" s="31" t="n">
        <f aca="false">IF($G323="",AT323,W323)</f>
        <v>0</v>
      </c>
      <c r="BF323" s="31" t="n">
        <f aca="false">IF($G323="",AU323,R323)</f>
        <v>0</v>
      </c>
      <c r="BG323" s="31" t="n">
        <f aca="false">IF($G323="",AV323,X323)</f>
        <v>0</v>
      </c>
      <c r="BH323" s="31" t="n">
        <f aca="false">IF($G323="",AW323,S323)</f>
        <v>0</v>
      </c>
      <c r="BI323" s="31" t="n">
        <f aca="false">IF($G323="",AX323,Y323)</f>
        <v>0</v>
      </c>
      <c r="BJ323" s="31" t="n">
        <f aca="false">IF(CK323="N",BR323,ROUNDDOWN((I323-L323)*設定!$B$10/1000,0)+ROUNDDOWN((I323-L323)*設定!$B$11/1000,0))</f>
        <v>0</v>
      </c>
      <c r="BK323" s="31" t="n">
        <f aca="false">ROUNDDOWN((I323-L323)*設定!$C$10/1000,0)+ROUNDDOWN((I323-L323)*設定!$C$11/1000,0)+ROUNDDOWN(I323*設定!$C$12/1000,0)+IF(CL323="市局型",ROUNDDOWN(I323*設定!$C$16/1000,0),0)</f>
        <v>0</v>
      </c>
      <c r="BL323" s="31" t="n">
        <f aca="false">IF(CK323="N",BT323,ROUNDDOWN((J323-M323)*設定!$B$13/1000,0))</f>
        <v>0</v>
      </c>
      <c r="BM323" s="31" t="n">
        <f aca="false">ROUNDDOWN((J323-M323)*設定!$C$13/1000,0)+IF(CL323="市局型",ROUNDDOWN(J323*設定!$C$17/1000,0),0)</f>
        <v>0</v>
      </c>
      <c r="BN323" s="31" t="n">
        <f aca="false">IF(CK323="N",BV323,ROUNDDOWN((K323-N323)*設定!$B$14/1000,0))</f>
        <v>0</v>
      </c>
      <c r="BO323" s="31" t="n">
        <f aca="false">ROUNDDOWN((K323-N323)*設定!$C$14/1000,0)</f>
        <v>0</v>
      </c>
      <c r="BP323" s="31" t="n">
        <f aca="false">IF(CK323="N",BX323,ROUNDDOWN((J323-M323)*設定!$B$15/1000,0))</f>
        <v>0</v>
      </c>
      <c r="BQ323" s="31" t="n">
        <f aca="false">ROUNDDOWN((J323-M323)*設定!$C$15/1000,0)</f>
        <v>0</v>
      </c>
      <c r="BR323" s="31" t="n">
        <f aca="false">O323+P323</f>
        <v>58410</v>
      </c>
      <c r="BS323" s="31" t="n">
        <f aca="false">T323+U323+V323</f>
        <v>58461</v>
      </c>
      <c r="BT323" s="31" t="n">
        <f aca="false">Q323</f>
        <v>0</v>
      </c>
      <c r="BU323" s="31" t="n">
        <f aca="false">W323</f>
        <v>0</v>
      </c>
      <c r="BV323" s="31" t="n">
        <f aca="false">R323</f>
        <v>0</v>
      </c>
      <c r="BW323" s="31" t="n">
        <f aca="false">X323</f>
        <v>0</v>
      </c>
      <c r="BX323" s="31" t="n">
        <f aca="false">S323</f>
        <v>0</v>
      </c>
      <c r="BY323" s="31" t="n">
        <f aca="false">Y323</f>
        <v>0</v>
      </c>
      <c r="BZ323" s="32" t="n">
        <f aca="false">IF(BJ323=0,IF(BR323=0,0,1),(BR323-BJ323)/BJ323)</f>
        <v>1</v>
      </c>
      <c r="CA323" s="32" t="n">
        <f aca="false">IF(BK323=0,IF(BS323=0,0,1),(BS323-BK323)/BK323)</f>
        <v>1</v>
      </c>
      <c r="CB323" s="32" t="n">
        <f aca="false">IF(BL323=0,IF(BT323=0,0,1),(BT323-BL323)/BL323)</f>
        <v>0</v>
      </c>
      <c r="CC323" s="32" t="n">
        <f aca="false">IF(BM323=0,IF(BU323=0,0,1),(BU323-BM323)/BM323)</f>
        <v>0</v>
      </c>
      <c r="CD323" s="32" t="n">
        <f aca="false">IF(BN323=0,IF(BV323=0,0,1),(BV323-BN323)/BN323)</f>
        <v>0</v>
      </c>
      <c r="CE323" s="32" t="n">
        <f aca="false">IF(BO323=0,IF(BW323=0,0,1),(BW323-BO323)/BO323)</f>
        <v>0</v>
      </c>
      <c r="CF323" s="32" t="n">
        <f aca="false">IF(BP323=0,IF(BX323=0,0,1),(BX323-BP323)/BP323)</f>
        <v>0</v>
      </c>
      <c r="CG323" s="32" t="n">
        <f aca="false">IF(BQ323=0,IF(BY323=0,0,1),(BY323-BQ323)/BQ323)</f>
        <v>0</v>
      </c>
      <c r="CH323" s="32" t="n">
        <f aca="false">MAX(MAX(BZ323:CG323),-MIN(BZ323:CG323))</f>
        <v>1</v>
      </c>
      <c r="CI323" s="31" t="n">
        <f aca="false">IF(CO323="","",SUMIFS($CJ$7:$CJ$696,$A$7:$A$696,CO323,$B$7:$B$696,B323))</f>
        <v>116871</v>
      </c>
      <c r="CJ323" s="31" t="n">
        <f aca="false">SUM(AY323:BI323)</f>
        <v>116871</v>
      </c>
      <c r="CK323" s="31" t="str">
        <f aca="false">IFERROR(INDEX(設定!$F$61:$F$106,MATCH(B323,設定!$B$61:$B$106,0)),"Y")</f>
        <v>Y</v>
      </c>
      <c r="CL323" s="31" t="str">
        <f aca="false">IFERROR(INDEX(設定!$G$61:$G$106,MATCH(B323,設定!$B$61:$B$106,0)),"外郭型")</f>
        <v>外郭型</v>
      </c>
      <c r="CM323" s="33" t="str">
        <f aca="false">A323&amp;"|"&amp;B323</f>
        <v>2026-09 月例|広島駅南口開発（株）</v>
      </c>
      <c r="CN323" s="34" t="str">
        <f aca="false">IFERROR(INDEX(設定!$D$61:$D$106,MATCH(B323,設定!$B$61:$B$106,0)),"Y")</f>
        <v>Y</v>
      </c>
      <c r="CO323" s="34" t="str">
        <f aca="false">IFERROR(INDEX(設定!$D$20:$D$34,MATCH(A323,設定!$A$20:$A$34,0))&amp;"","")</f>
        <v>2026-08 月例</v>
      </c>
    </row>
    <row r="324" customFormat="false" ht="15" hidden="true" customHeight="false" outlineLevel="0" collapsed="false">
      <c r="A324" s="22" t="s">
        <v>222</v>
      </c>
      <c r="B324" s="23" t="s">
        <v>210</v>
      </c>
      <c r="C324" s="10" t="str">
        <f aca="false">IF(G324="","未受領",IF(G324="なし","報告なし",IF(AL324="○","起票済",IF(OR(AK324="○",F324="一致",F324="入金不要"),"入金確認済","受領済"))))</f>
        <v>入金確認済</v>
      </c>
      <c r="D324" s="10" t="str">
        <f aca="false">IF(OR(G324="",G324="なし"),"―",IF(CN324="N","対象外",IF(AND(I324="",J324="",K324=""),"標報未入力",IF(CH324&gt;=設定!$B$4,"要確認","問題なし"))))</f>
        <v>標報未入力</v>
      </c>
      <c r="E324" s="24" t="str">
        <f aca="false">IF(OR(G324="",G324="なし",CI324="",CJ324=0),"―",IF(CJ324=CI324,"前月同額",IF(CI324=0,"―",IF(ABS(CJ324/CI324-1)&gt;=設定!$B$5,"変動大 "&amp;TEXT(CJ324/CI324-1,"+0%;-0%"),"〇"))))</f>
        <v>〇</v>
      </c>
      <c r="F324" s="10" t="str">
        <f aca="false">IF(OR(G324="",G324="なし"),"―",IF(CJ324=0,"入金不要",IF(COUNT(AD324,AF324,AH324,AJ324)=0,IF(AK324="○","手動確認","未入金"),IF(AND(N(AD324)=AC324,IF(AE324="",TRUE(),N(AF324)=AE324),IF(AG324="",TRUE(),N(AH324)=AG324),IF(AI324="",TRUE(),N(AJ324)=AI324)),"一致","不一致"))))</f>
        <v>手動確認</v>
      </c>
      <c r="G324" s="25" t="s">
        <v>167</v>
      </c>
      <c r="H324" s="26"/>
      <c r="I324" s="27"/>
      <c r="J324" s="27"/>
      <c r="K324" s="27"/>
      <c r="L324" s="27"/>
      <c r="M324" s="27"/>
      <c r="N324" s="27"/>
      <c r="O324" s="27" t="n">
        <v>31110</v>
      </c>
      <c r="P324" s="27" t="n">
        <v>2550</v>
      </c>
      <c r="Q324" s="27" t="n">
        <v>17632</v>
      </c>
      <c r="R324" s="27" t="n">
        <v>2686</v>
      </c>
      <c r="S324" s="27" t="n">
        <v>391</v>
      </c>
      <c r="T324" s="27" t="n">
        <v>31110</v>
      </c>
      <c r="U324" s="27" t="n">
        <v>2550</v>
      </c>
      <c r="V324" s="27"/>
      <c r="W324" s="27" t="n">
        <v>17649</v>
      </c>
      <c r="X324" s="27" t="n">
        <v>2686</v>
      </c>
      <c r="Y324" s="27" t="n">
        <v>391</v>
      </c>
      <c r="Z324" s="27"/>
      <c r="AA324" s="10" t="str">
        <f aca="false">IFERROR(INDEX(設定!$E$61:$E$106,MATCH(B324,設定!$B$61:$B$106,0)),"合算")</f>
        <v>合算</v>
      </c>
      <c r="AB324" s="28"/>
      <c r="AC324" s="29" t="n">
        <f aca="false">IF(OR(G324="",G324="なし"),"",IF(AA324="合算",CJ324+N(Z324),IF(AA324="掛金・負担金別",(AY324+AZ324+BD324+BF324+BH324),SUM(AY324:BC324))))</f>
        <v>108755</v>
      </c>
      <c r="AD324" s="27"/>
      <c r="AE324" s="29" t="str">
        <f aca="false">IF(OR(G324="",G324="なし"),"",IF(AA324="掛金・負担金別",(BA324+BB324+BC324+BE324+BG324+BI324+N(Z324)),IF(AA324="経理区分別",BD324+BE324,"")))</f>
        <v/>
      </c>
      <c r="AF324" s="27"/>
      <c r="AG324" s="29" t="str">
        <f aca="false">IF(OR(G324="",G324="なし"),"",IF(AA324="経理区分別",BF324+BG324,""))</f>
        <v/>
      </c>
      <c r="AH324" s="27"/>
      <c r="AI324" s="29" t="str">
        <f aca="false">IF(OR(G324="",G324="なし"),"",IF(AA324="経理区分別",BH324+BI324+N(Z324),""))</f>
        <v/>
      </c>
      <c r="AJ324" s="27"/>
      <c r="AK324" s="26" t="s">
        <v>168</v>
      </c>
      <c r="AL324" s="26"/>
      <c r="AM324" s="30"/>
      <c r="AN324" s="31"/>
      <c r="AO324" s="31"/>
      <c r="AP324" s="31"/>
      <c r="AQ324" s="31"/>
      <c r="AR324" s="31"/>
      <c r="AS324" s="31"/>
      <c r="AT324" s="31"/>
      <c r="AU324" s="31"/>
      <c r="AV324" s="31"/>
      <c r="AW324" s="31"/>
      <c r="AX324" s="31"/>
      <c r="AY324" s="31" t="n">
        <f aca="false">IF($G324="",AN324,O324)</f>
        <v>31110</v>
      </c>
      <c r="AZ324" s="31" t="n">
        <f aca="false">IF($G324="",AO324,P324)</f>
        <v>2550</v>
      </c>
      <c r="BA324" s="31" t="n">
        <f aca="false">IF($G324="",AP324,T324)</f>
        <v>31110</v>
      </c>
      <c r="BB324" s="31" t="n">
        <f aca="false">IF($G324="",AQ324,U324)</f>
        <v>2550</v>
      </c>
      <c r="BC324" s="31" t="n">
        <f aca="false">IF($G324="",AR324,V324)</f>
        <v>0</v>
      </c>
      <c r="BD324" s="31" t="n">
        <f aca="false">IF($G324="",AS324,Q324)</f>
        <v>17632</v>
      </c>
      <c r="BE324" s="31" t="n">
        <f aca="false">IF($G324="",AT324,W324)</f>
        <v>17649</v>
      </c>
      <c r="BF324" s="31" t="n">
        <f aca="false">IF($G324="",AU324,R324)</f>
        <v>2686</v>
      </c>
      <c r="BG324" s="31" t="n">
        <f aca="false">IF($G324="",AV324,X324)</f>
        <v>2686</v>
      </c>
      <c r="BH324" s="31" t="n">
        <f aca="false">IF($G324="",AW324,S324)</f>
        <v>391</v>
      </c>
      <c r="BI324" s="31" t="n">
        <f aca="false">IF($G324="",AX324,Y324)</f>
        <v>391</v>
      </c>
      <c r="BJ324" s="31" t="n">
        <f aca="false">IF(CK324="N",BR324,ROUNDDOWN((I324-L324)*設定!$B$10/1000,0)+ROUNDDOWN((I324-L324)*設定!$B$11/1000,0))</f>
        <v>0</v>
      </c>
      <c r="BK324" s="31" t="n">
        <f aca="false">ROUNDDOWN((I324-L324)*設定!$C$10/1000,0)+ROUNDDOWN((I324-L324)*設定!$C$11/1000,0)+ROUNDDOWN(I324*設定!$C$12/1000,0)+IF(CL324="市局型",ROUNDDOWN(I324*設定!$C$16/1000,0),0)</f>
        <v>0</v>
      </c>
      <c r="BL324" s="31" t="n">
        <f aca="false">IF(CK324="N",BT324,ROUNDDOWN((J324-M324)*設定!$B$13/1000,0))</f>
        <v>0</v>
      </c>
      <c r="BM324" s="31" t="n">
        <f aca="false">ROUNDDOWN((J324-M324)*設定!$C$13/1000,0)+IF(CL324="市局型",ROUNDDOWN(J324*設定!$C$17/1000,0),0)</f>
        <v>0</v>
      </c>
      <c r="BN324" s="31" t="n">
        <f aca="false">IF(CK324="N",BV324,ROUNDDOWN((K324-N324)*設定!$B$14/1000,0))</f>
        <v>0</v>
      </c>
      <c r="BO324" s="31" t="n">
        <f aca="false">ROUNDDOWN((K324-N324)*設定!$C$14/1000,0)</f>
        <v>0</v>
      </c>
      <c r="BP324" s="31" t="n">
        <f aca="false">IF(CK324="N",BX324,ROUNDDOWN((J324-M324)*設定!$B$15/1000,0))</f>
        <v>0</v>
      </c>
      <c r="BQ324" s="31" t="n">
        <f aca="false">ROUNDDOWN((J324-M324)*設定!$C$15/1000,0)</f>
        <v>0</v>
      </c>
      <c r="BR324" s="31" t="n">
        <f aca="false">O324+P324</f>
        <v>33660</v>
      </c>
      <c r="BS324" s="31" t="n">
        <f aca="false">T324+U324+V324</f>
        <v>33660</v>
      </c>
      <c r="BT324" s="31" t="n">
        <f aca="false">Q324</f>
        <v>17632</v>
      </c>
      <c r="BU324" s="31" t="n">
        <f aca="false">W324</f>
        <v>17649</v>
      </c>
      <c r="BV324" s="31" t="n">
        <f aca="false">R324</f>
        <v>2686</v>
      </c>
      <c r="BW324" s="31" t="n">
        <f aca="false">X324</f>
        <v>2686</v>
      </c>
      <c r="BX324" s="31" t="n">
        <f aca="false">S324</f>
        <v>391</v>
      </c>
      <c r="BY324" s="31" t="n">
        <f aca="false">Y324</f>
        <v>391</v>
      </c>
      <c r="BZ324" s="32" t="n">
        <f aca="false">IF(BJ324=0,IF(BR324=0,0,1),(BR324-BJ324)/BJ324)</f>
        <v>1</v>
      </c>
      <c r="CA324" s="32" t="n">
        <f aca="false">IF(BK324=0,IF(BS324=0,0,1),(BS324-BK324)/BK324)</f>
        <v>1</v>
      </c>
      <c r="CB324" s="32" t="n">
        <f aca="false">IF(BL324=0,IF(BT324=0,0,1),(BT324-BL324)/BL324)</f>
        <v>1</v>
      </c>
      <c r="CC324" s="32" t="n">
        <f aca="false">IF(BM324=0,IF(BU324=0,0,1),(BU324-BM324)/BM324)</f>
        <v>1</v>
      </c>
      <c r="CD324" s="32" t="n">
        <f aca="false">IF(BN324=0,IF(BV324=0,0,1),(BV324-BN324)/BN324)</f>
        <v>1</v>
      </c>
      <c r="CE324" s="32" t="n">
        <f aca="false">IF(BO324=0,IF(BW324=0,0,1),(BW324-BO324)/BO324)</f>
        <v>1</v>
      </c>
      <c r="CF324" s="32" t="n">
        <f aca="false">IF(BP324=0,IF(BX324=0,0,1),(BX324-BP324)/BP324)</f>
        <v>1</v>
      </c>
      <c r="CG324" s="32" t="n">
        <f aca="false">IF(BQ324=0,IF(BY324=0,0,1),(BY324-BQ324)/BQ324)</f>
        <v>1</v>
      </c>
      <c r="CH324" s="32" t="n">
        <f aca="false">MAX(MAX(BZ324:CG324),-MIN(BZ324:CG324))</f>
        <v>1</v>
      </c>
      <c r="CI324" s="31" t="n">
        <f aca="false">IF(CO324="","",SUMIFS($CJ$7:$CJ$696,$A$7:$A$696,CO324,$B$7:$B$696,B324))</f>
        <v>102358</v>
      </c>
      <c r="CJ324" s="31" t="n">
        <f aca="false">SUM(AY324:BI324)</f>
        <v>108755</v>
      </c>
      <c r="CK324" s="31" t="str">
        <f aca="false">IFERROR(INDEX(設定!$F$61:$F$106,MATCH(B324,設定!$B$61:$B$106,0)),"Y")</f>
        <v>Y</v>
      </c>
      <c r="CL324" s="31" t="str">
        <f aca="false">IFERROR(INDEX(設定!$G$61:$G$106,MATCH(B324,設定!$B$61:$B$106,0)),"外郭型")</f>
        <v>外郭型</v>
      </c>
      <c r="CM324" s="33" t="str">
        <f aca="false">A324&amp;"|"&amp;B324</f>
        <v>2026-09 月例|市職員労働組合</v>
      </c>
      <c r="CN324" s="34" t="str">
        <f aca="false">IFERROR(INDEX(設定!$D$61:$D$106,MATCH(B324,設定!$B$61:$B$106,0)),"Y")</f>
        <v>Y</v>
      </c>
      <c r="CO324" s="34" t="str">
        <f aca="false">IFERROR(INDEX(設定!$D$20:$D$34,MATCH(A324,設定!$A$20:$A$34,0))&amp;"","")</f>
        <v>2026-08 月例</v>
      </c>
    </row>
    <row r="325" customFormat="false" ht="15" hidden="true" customHeight="false" outlineLevel="0" collapsed="false">
      <c r="A325" s="22" t="s">
        <v>222</v>
      </c>
      <c r="B325" s="23" t="s">
        <v>211</v>
      </c>
      <c r="C325" s="10" t="str">
        <f aca="false">IF(G325="","未受領",IF(G325="なし","報告なし",IF(AL325="○","起票済",IF(OR(AK325="○",F325="一致",F325="入金不要"),"入金確認済","受領済"))))</f>
        <v>未受領</v>
      </c>
      <c r="D325" s="10" t="str">
        <f aca="false">IF(OR(G325="",G325="なし"),"―",IF(CN325="N","対象外",IF(AND(I325="",J325="",K325=""),"標報未入力",IF(CH325&gt;=設定!$B$4,"要確認","問題なし"))))</f>
        <v>―</v>
      </c>
      <c r="E325" s="24" t="str">
        <f aca="false">IF(OR(G325="",G325="なし",CI325="",CJ325=0),"―",IF(CJ325=CI325,"前月同額",IF(CI325=0,"―",IF(ABS(CJ325/CI325-1)&gt;=設定!$B$5,"変動大 "&amp;TEXT(CJ325/CI325-1,"+0%;-0%"),"〇"))))</f>
        <v>―</v>
      </c>
      <c r="F325" s="10" t="str">
        <f aca="false">IF(OR(G325="",G325="なし"),"―",IF(CJ325=0,"入金不要",IF(COUNT(AD325,AF325,AH325,AJ325)=0,IF(AK325="○","手動確認","未入金"),IF(AND(N(AD325)=AC325,IF(AE325="",TRUE(),N(AF325)=AE325),IF(AG325="",TRUE(),N(AH325)=AG325),IF(AI325="",TRUE(),N(AJ325)=AI325)),"一致","不一致"))))</f>
        <v>―</v>
      </c>
      <c r="G325" s="25"/>
      <c r="H325" s="26"/>
      <c r="I325" s="27"/>
      <c r="J325" s="27"/>
      <c r="K325" s="27"/>
      <c r="L325" s="27"/>
      <c r="M325" s="27"/>
      <c r="N325" s="27"/>
      <c r="O325" s="27"/>
      <c r="P325" s="27"/>
      <c r="Q325" s="27"/>
      <c r="R325" s="27"/>
      <c r="S325" s="27"/>
      <c r="T325" s="27"/>
      <c r="U325" s="27"/>
      <c r="V325" s="27"/>
      <c r="W325" s="27"/>
      <c r="X325" s="27"/>
      <c r="Y325" s="27"/>
      <c r="Z325" s="27"/>
      <c r="AA325" s="10" t="str">
        <f aca="false">IFERROR(INDEX(設定!$E$61:$E$106,MATCH(B325,設定!$B$61:$B$106,0)),"合算")</f>
        <v>合算</v>
      </c>
      <c r="AB325" s="28"/>
      <c r="AC325" s="29" t="str">
        <f aca="false">IF(OR(G325="",G325="なし"),"",IF(AA325="合算",CJ325+N(Z325),IF(AA325="掛金・負担金別",(AY325+AZ325+BD325+BF325+BH325),SUM(AY325:BC325))))</f>
        <v/>
      </c>
      <c r="AD325" s="27"/>
      <c r="AE325" s="29" t="str">
        <f aca="false">IF(OR(G325="",G325="なし"),"",IF(AA325="掛金・負担金別",(BA325+BB325+BC325+BE325+BG325+BI325+N(Z325)),IF(AA325="経理区分別",BD325+BE325,"")))</f>
        <v/>
      </c>
      <c r="AF325" s="27"/>
      <c r="AG325" s="29" t="str">
        <f aca="false">IF(OR(G325="",G325="なし"),"",IF(AA325="経理区分別",BF325+BG325,""))</f>
        <v/>
      </c>
      <c r="AH325" s="27"/>
      <c r="AI325" s="29" t="str">
        <f aca="false">IF(OR(G325="",G325="なし"),"",IF(AA325="経理区分別",BH325+BI325+N(Z325),""))</f>
        <v/>
      </c>
      <c r="AJ325" s="27"/>
      <c r="AK325" s="26"/>
      <c r="AL325" s="26"/>
      <c r="AM325" s="30"/>
      <c r="AN325" s="31" t="n">
        <v>0</v>
      </c>
      <c r="AO325" s="31" t="n">
        <v>0</v>
      </c>
      <c r="AP325" s="31" t="n">
        <v>0</v>
      </c>
      <c r="AQ325" s="31" t="n">
        <v>0</v>
      </c>
      <c r="AR325" s="31"/>
      <c r="AS325" s="31" t="n">
        <v>0</v>
      </c>
      <c r="AT325" s="31" t="n">
        <v>0</v>
      </c>
      <c r="AU325" s="31" t="n">
        <v>0</v>
      </c>
      <c r="AV325" s="31" t="n">
        <v>0</v>
      </c>
      <c r="AW325" s="31" t="n">
        <v>0</v>
      </c>
      <c r="AX325" s="31" t="n">
        <v>0</v>
      </c>
      <c r="AY325" s="31" t="n">
        <f aca="false">IF($G325="",AN325,O325)</f>
        <v>0</v>
      </c>
      <c r="AZ325" s="31" t="n">
        <f aca="false">IF($G325="",AO325,P325)</f>
        <v>0</v>
      </c>
      <c r="BA325" s="31" t="n">
        <f aca="false">IF($G325="",AP325,T325)</f>
        <v>0</v>
      </c>
      <c r="BB325" s="31" t="n">
        <f aca="false">IF($G325="",AQ325,U325)</f>
        <v>0</v>
      </c>
      <c r="BC325" s="31" t="n">
        <f aca="false">IF($G325="",AR325,V325)</f>
        <v>0</v>
      </c>
      <c r="BD325" s="31" t="n">
        <f aca="false">IF($G325="",AS325,Q325)</f>
        <v>0</v>
      </c>
      <c r="BE325" s="31" t="n">
        <f aca="false">IF($G325="",AT325,W325)</f>
        <v>0</v>
      </c>
      <c r="BF325" s="31" t="n">
        <f aca="false">IF($G325="",AU325,R325)</f>
        <v>0</v>
      </c>
      <c r="BG325" s="31" t="n">
        <f aca="false">IF($G325="",AV325,X325)</f>
        <v>0</v>
      </c>
      <c r="BH325" s="31" t="n">
        <f aca="false">IF($G325="",AW325,S325)</f>
        <v>0</v>
      </c>
      <c r="BI325" s="31" t="n">
        <f aca="false">IF($G325="",AX325,Y325)</f>
        <v>0</v>
      </c>
      <c r="BJ325" s="31" t="n">
        <f aca="false">IF(CK325="N",BR325,ROUNDDOWN((I325-L325)*設定!$B$10/1000,0)+ROUNDDOWN((I325-L325)*設定!$B$11/1000,0))</f>
        <v>0</v>
      </c>
      <c r="BK325" s="31" t="n">
        <f aca="false">ROUNDDOWN((I325-L325)*設定!$C$10/1000,0)+ROUNDDOWN((I325-L325)*設定!$C$11/1000,0)+ROUNDDOWN(I325*設定!$C$12/1000,0)+IF(CL325="市局型",ROUNDDOWN(I325*設定!$C$16/1000,0),0)</f>
        <v>0</v>
      </c>
      <c r="BL325" s="31" t="n">
        <f aca="false">IF(CK325="N",BT325,ROUNDDOWN((J325-M325)*設定!$B$13/1000,0))</f>
        <v>0</v>
      </c>
      <c r="BM325" s="31" t="n">
        <f aca="false">ROUNDDOWN((J325-M325)*設定!$C$13/1000,0)+IF(CL325="市局型",ROUNDDOWN(J325*設定!$C$17/1000,0),0)</f>
        <v>0</v>
      </c>
      <c r="BN325" s="31" t="n">
        <f aca="false">IF(CK325="N",BV325,ROUNDDOWN((K325-N325)*設定!$B$14/1000,0))</f>
        <v>0</v>
      </c>
      <c r="BO325" s="31" t="n">
        <f aca="false">ROUNDDOWN((K325-N325)*設定!$C$14/1000,0)</f>
        <v>0</v>
      </c>
      <c r="BP325" s="31" t="n">
        <f aca="false">IF(CK325="N",BX325,ROUNDDOWN((J325-M325)*設定!$B$15/1000,0))</f>
        <v>0</v>
      </c>
      <c r="BQ325" s="31" t="n">
        <f aca="false">ROUNDDOWN((J325-M325)*設定!$C$15/1000,0)</f>
        <v>0</v>
      </c>
      <c r="BR325" s="31" t="n">
        <f aca="false">O325+P325</f>
        <v>0</v>
      </c>
      <c r="BS325" s="31" t="n">
        <f aca="false">T325+U325+V325</f>
        <v>0</v>
      </c>
      <c r="BT325" s="31" t="n">
        <f aca="false">Q325</f>
        <v>0</v>
      </c>
      <c r="BU325" s="31" t="n">
        <f aca="false">W325</f>
        <v>0</v>
      </c>
      <c r="BV325" s="31" t="n">
        <f aca="false">R325</f>
        <v>0</v>
      </c>
      <c r="BW325" s="31" t="n">
        <f aca="false">X325</f>
        <v>0</v>
      </c>
      <c r="BX325" s="31" t="n">
        <f aca="false">S325</f>
        <v>0</v>
      </c>
      <c r="BY325" s="31" t="n">
        <f aca="false">Y325</f>
        <v>0</v>
      </c>
      <c r="BZ325" s="32" t="n">
        <f aca="false">IF(BJ325=0,IF(BR325=0,0,1),(BR325-BJ325)/BJ325)</f>
        <v>0</v>
      </c>
      <c r="CA325" s="32" t="n">
        <f aca="false">IF(BK325=0,IF(BS325=0,0,1),(BS325-BK325)/BK325)</f>
        <v>0</v>
      </c>
      <c r="CB325" s="32" t="n">
        <f aca="false">IF(BL325=0,IF(BT325=0,0,1),(BT325-BL325)/BL325)</f>
        <v>0</v>
      </c>
      <c r="CC325" s="32" t="n">
        <f aca="false">IF(BM325=0,IF(BU325=0,0,1),(BU325-BM325)/BM325)</f>
        <v>0</v>
      </c>
      <c r="CD325" s="32" t="n">
        <f aca="false">IF(BN325=0,IF(BV325=0,0,1),(BV325-BN325)/BN325)</f>
        <v>0</v>
      </c>
      <c r="CE325" s="32" t="n">
        <f aca="false">IF(BO325=0,IF(BW325=0,0,1),(BW325-BO325)/BO325)</f>
        <v>0</v>
      </c>
      <c r="CF325" s="32" t="n">
        <f aca="false">IF(BP325=0,IF(BX325=0,0,1),(BX325-BP325)/BP325)</f>
        <v>0</v>
      </c>
      <c r="CG325" s="32" t="n">
        <f aca="false">IF(BQ325=0,IF(BY325=0,0,1),(BY325-BQ325)/BQ325)</f>
        <v>0</v>
      </c>
      <c r="CH325" s="32" t="n">
        <f aca="false">MAX(MAX(BZ325:CG325),-MIN(BZ325:CG325))</f>
        <v>-0</v>
      </c>
      <c r="CI325" s="31" t="n">
        <f aca="false">IF(CO325="","",SUMIFS($CJ$7:$CJ$696,$A$7:$A$696,CO325,$B$7:$B$696,B325))</f>
        <v>0</v>
      </c>
      <c r="CJ325" s="31" t="n">
        <f aca="false">SUM(AY325:BI325)</f>
        <v>0</v>
      </c>
      <c r="CK325" s="31" t="str">
        <f aca="false">IFERROR(INDEX(設定!$F$61:$F$106,MATCH(B325,設定!$B$61:$B$106,0)),"Y")</f>
        <v>N</v>
      </c>
      <c r="CL325" s="31" t="str">
        <f aca="false">IFERROR(INDEX(設定!$G$61:$G$106,MATCH(B325,設定!$B$61:$B$106,0)),"外郭型")</f>
        <v>外郭型</v>
      </c>
      <c r="CM325" s="33" t="str">
        <f aca="false">A325&amp;"|"&amp;B325</f>
        <v>2026-09 月例|自治労労働組合</v>
      </c>
      <c r="CN325" s="34" t="str">
        <f aca="false">IFERROR(INDEX(設定!$D$61:$D$106,MATCH(B325,設定!$B$61:$B$106,0)),"Y")</f>
        <v>Y</v>
      </c>
      <c r="CO325" s="34" t="str">
        <f aca="false">IFERROR(INDEX(設定!$D$20:$D$34,MATCH(A325,設定!$A$20:$A$34,0))&amp;"","")</f>
        <v>2026-08 月例</v>
      </c>
    </row>
    <row r="326" customFormat="false" ht="15" hidden="true" customHeight="false" outlineLevel="0" collapsed="false">
      <c r="A326" s="22" t="s">
        <v>222</v>
      </c>
      <c r="B326" s="23" t="s">
        <v>212</v>
      </c>
      <c r="C326" s="10" t="str">
        <f aca="false">IF(G326="","未受領",IF(G326="なし","報告なし",IF(AL326="○","起票済",IF(OR(AK326="○",F326="一致",F326="入金不要"),"入金確認済","受領済"))))</f>
        <v>入金確認済</v>
      </c>
      <c r="D326" s="10" t="str">
        <f aca="false">IF(OR(G326="",G326="なし"),"―",IF(CN326="N","対象外",IF(AND(I326="",J326="",K326=""),"標報未入力",IF(CH326&gt;=設定!$B$4,"要確認","問題なし"))))</f>
        <v>標報未入力</v>
      </c>
      <c r="E326" s="24" t="str">
        <f aca="false">IF(OR(G326="",G326="なし",CI326="",CJ326=0),"―",IF(CJ326=CI326,"前月同額",IF(CI326=0,"―",IF(ABS(CJ326/CI326-1)&gt;=設定!$B$5,"変動大 "&amp;TEXT(CJ326/CI326-1,"+0%;-0%"),"〇"))))</f>
        <v>〇</v>
      </c>
      <c r="F326" s="10" t="str">
        <f aca="false">IF(OR(G326="",G326="なし"),"―",IF(CJ326=0,"入金不要",IF(COUNT(AD326,AF326,AH326,AJ326)=0,IF(AK326="○","手動確認","未入金"),IF(AND(N(AD326)=AC326,IF(AE326="",TRUE(),N(AF326)=AE326),IF(AG326="",TRUE(),N(AH326)=AG326),IF(AI326="",TRUE(),N(AJ326)=AI326)),"一致","不一致"))))</f>
        <v>手動確認</v>
      </c>
      <c r="G326" s="25" t="s">
        <v>167</v>
      </c>
      <c r="H326" s="26"/>
      <c r="I326" s="27"/>
      <c r="J326" s="27"/>
      <c r="K326" s="27"/>
      <c r="L326" s="27"/>
      <c r="M326" s="27"/>
      <c r="N326" s="27"/>
      <c r="O326" s="27" t="n">
        <v>29280</v>
      </c>
      <c r="P326" s="27" t="n">
        <v>2400</v>
      </c>
      <c r="Q326" s="27" t="n">
        <v>32153</v>
      </c>
      <c r="R326" s="27" t="n">
        <v>2370</v>
      </c>
      <c r="S326" s="27" t="n">
        <v>713</v>
      </c>
      <c r="T326" s="27" t="n">
        <v>29280</v>
      </c>
      <c r="U326" s="27" t="n">
        <v>2400</v>
      </c>
      <c r="V326" s="27"/>
      <c r="W326" s="27" t="n">
        <v>32184</v>
      </c>
      <c r="X326" s="27" t="n">
        <v>2370</v>
      </c>
      <c r="Y326" s="27" t="n">
        <v>713</v>
      </c>
      <c r="Z326" s="27"/>
      <c r="AA326" s="10" t="str">
        <f aca="false">IFERROR(INDEX(設定!$E$61:$E$106,MATCH(B326,設定!$B$61:$B$106,0)),"合算")</f>
        <v>合算</v>
      </c>
      <c r="AB326" s="28"/>
      <c r="AC326" s="29" t="n">
        <f aca="false">IF(OR(G326="",G326="なし"),"",IF(AA326="合算",CJ326+N(Z326),IF(AA326="掛金・負担金別",(AY326+AZ326+BD326+BF326+BH326),SUM(AY326:BC326))))</f>
        <v>133863</v>
      </c>
      <c r="AD326" s="27"/>
      <c r="AE326" s="29" t="str">
        <f aca="false">IF(OR(G326="",G326="なし"),"",IF(AA326="掛金・負担金別",(BA326+BB326+BC326+BE326+BG326+BI326+N(Z326)),IF(AA326="経理区分別",BD326+BE326,"")))</f>
        <v/>
      </c>
      <c r="AF326" s="27"/>
      <c r="AG326" s="29" t="str">
        <f aca="false">IF(OR(G326="",G326="なし"),"",IF(AA326="経理区分別",BF326+BG326,""))</f>
        <v/>
      </c>
      <c r="AH326" s="27"/>
      <c r="AI326" s="29" t="str">
        <f aca="false">IF(OR(G326="",G326="なし"),"",IF(AA326="経理区分別",BH326+BI326+N(Z326),""))</f>
        <v/>
      </c>
      <c r="AJ326" s="27"/>
      <c r="AK326" s="26" t="s">
        <v>168</v>
      </c>
      <c r="AL326" s="26"/>
      <c r="AM326" s="30"/>
      <c r="AN326" s="31"/>
      <c r="AO326" s="31"/>
      <c r="AP326" s="31"/>
      <c r="AQ326" s="31"/>
      <c r="AR326" s="31"/>
      <c r="AS326" s="31"/>
      <c r="AT326" s="31"/>
      <c r="AU326" s="31"/>
      <c r="AV326" s="31"/>
      <c r="AW326" s="31"/>
      <c r="AX326" s="31"/>
      <c r="AY326" s="31" t="n">
        <f aca="false">IF($G326="",AN326,O326)</f>
        <v>29280</v>
      </c>
      <c r="AZ326" s="31" t="n">
        <f aca="false">IF($G326="",AO326,P326)</f>
        <v>2400</v>
      </c>
      <c r="BA326" s="31" t="n">
        <f aca="false">IF($G326="",AP326,T326)</f>
        <v>29280</v>
      </c>
      <c r="BB326" s="31" t="n">
        <f aca="false">IF($G326="",AQ326,U326)</f>
        <v>2400</v>
      </c>
      <c r="BC326" s="31" t="n">
        <f aca="false">IF($G326="",AR326,V326)</f>
        <v>0</v>
      </c>
      <c r="BD326" s="31" t="n">
        <f aca="false">IF($G326="",AS326,Q326)</f>
        <v>32153</v>
      </c>
      <c r="BE326" s="31" t="n">
        <f aca="false">IF($G326="",AT326,W326)</f>
        <v>32184</v>
      </c>
      <c r="BF326" s="31" t="n">
        <f aca="false">IF($G326="",AU326,R326)</f>
        <v>2370</v>
      </c>
      <c r="BG326" s="31" t="n">
        <f aca="false">IF($G326="",AV326,X326)</f>
        <v>2370</v>
      </c>
      <c r="BH326" s="31" t="n">
        <f aca="false">IF($G326="",AW326,S326)</f>
        <v>713</v>
      </c>
      <c r="BI326" s="31" t="n">
        <f aca="false">IF($G326="",AX326,Y326)</f>
        <v>713</v>
      </c>
      <c r="BJ326" s="31" t="n">
        <f aca="false">IF(CK326="N",BR326,ROUNDDOWN((I326-L326)*設定!$B$10/1000,0)+ROUNDDOWN((I326-L326)*設定!$B$11/1000,0))</f>
        <v>0</v>
      </c>
      <c r="BK326" s="31" t="n">
        <f aca="false">ROUNDDOWN((I326-L326)*設定!$C$10/1000,0)+ROUNDDOWN((I326-L326)*設定!$C$11/1000,0)+ROUNDDOWN(I326*設定!$C$12/1000,0)+IF(CL326="市局型",ROUNDDOWN(I326*設定!$C$16/1000,0),0)</f>
        <v>0</v>
      </c>
      <c r="BL326" s="31" t="n">
        <f aca="false">IF(CK326="N",BT326,ROUNDDOWN((J326-M326)*設定!$B$13/1000,0))</f>
        <v>0</v>
      </c>
      <c r="BM326" s="31" t="n">
        <f aca="false">ROUNDDOWN((J326-M326)*設定!$C$13/1000,0)+IF(CL326="市局型",ROUNDDOWN(J326*設定!$C$17/1000,0),0)</f>
        <v>0</v>
      </c>
      <c r="BN326" s="31" t="n">
        <f aca="false">IF(CK326="N",BV326,ROUNDDOWN((K326-N326)*設定!$B$14/1000,0))</f>
        <v>0</v>
      </c>
      <c r="BO326" s="31" t="n">
        <f aca="false">ROUNDDOWN((K326-N326)*設定!$C$14/1000,0)</f>
        <v>0</v>
      </c>
      <c r="BP326" s="31" t="n">
        <f aca="false">IF(CK326="N",BX326,ROUNDDOWN((J326-M326)*設定!$B$15/1000,0))</f>
        <v>0</v>
      </c>
      <c r="BQ326" s="31" t="n">
        <f aca="false">ROUNDDOWN((J326-M326)*設定!$C$15/1000,0)</f>
        <v>0</v>
      </c>
      <c r="BR326" s="31" t="n">
        <f aca="false">O326+P326</f>
        <v>31680</v>
      </c>
      <c r="BS326" s="31" t="n">
        <f aca="false">T326+U326+V326</f>
        <v>31680</v>
      </c>
      <c r="BT326" s="31" t="n">
        <f aca="false">Q326</f>
        <v>32153</v>
      </c>
      <c r="BU326" s="31" t="n">
        <f aca="false">W326</f>
        <v>32184</v>
      </c>
      <c r="BV326" s="31" t="n">
        <f aca="false">R326</f>
        <v>2370</v>
      </c>
      <c r="BW326" s="31" t="n">
        <f aca="false">X326</f>
        <v>2370</v>
      </c>
      <c r="BX326" s="31" t="n">
        <f aca="false">S326</f>
        <v>713</v>
      </c>
      <c r="BY326" s="31" t="n">
        <f aca="false">Y326</f>
        <v>713</v>
      </c>
      <c r="BZ326" s="32" t="n">
        <f aca="false">IF(BJ326=0,IF(BR326=0,0,1),(BR326-BJ326)/BJ326)</f>
        <v>1</v>
      </c>
      <c r="CA326" s="32" t="n">
        <f aca="false">IF(BK326=0,IF(BS326=0,0,1),(BS326-BK326)/BK326)</f>
        <v>1</v>
      </c>
      <c r="CB326" s="32" t="n">
        <f aca="false">IF(BL326=0,IF(BT326=0,0,1),(BT326-BL326)/BL326)</f>
        <v>1</v>
      </c>
      <c r="CC326" s="32" t="n">
        <f aca="false">IF(BM326=0,IF(BU326=0,0,1),(BU326-BM326)/BM326)</f>
        <v>1</v>
      </c>
      <c r="CD326" s="32" t="n">
        <f aca="false">IF(BN326=0,IF(BV326=0,0,1),(BV326-BN326)/BN326)</f>
        <v>1</v>
      </c>
      <c r="CE326" s="32" t="n">
        <f aca="false">IF(BO326=0,IF(BW326=0,0,1),(BW326-BO326)/BO326)</f>
        <v>1</v>
      </c>
      <c r="CF326" s="32" t="n">
        <f aca="false">IF(BP326=0,IF(BX326=0,0,1),(BX326-BP326)/BP326)</f>
        <v>1</v>
      </c>
      <c r="CG326" s="32" t="n">
        <f aca="false">IF(BQ326=0,IF(BY326=0,0,1),(BY326-BQ326)/BQ326)</f>
        <v>1</v>
      </c>
      <c r="CH326" s="32" t="n">
        <f aca="false">MAX(MAX(BZ326:CG326),-MIN(BZ326:CG326))</f>
        <v>1</v>
      </c>
      <c r="CI326" s="31" t="n">
        <f aca="false">IF(CO326="","",SUMIFS($CJ$7:$CJ$696,$A$7:$A$696,CO326,$B$7:$B$696,B326))</f>
        <v>127782</v>
      </c>
      <c r="CJ326" s="31" t="n">
        <f aca="false">SUM(AY326:BI326)</f>
        <v>133863</v>
      </c>
      <c r="CK326" s="31" t="str">
        <f aca="false">IFERROR(INDEX(設定!$F$61:$F$106,MATCH(B326,設定!$B$61:$B$106,0)),"Y")</f>
        <v>Y</v>
      </c>
      <c r="CL326" s="31" t="str">
        <f aca="false">IFERROR(INDEX(設定!$G$61:$G$106,MATCH(B326,設定!$B$61:$B$106,0)),"外郭型")</f>
        <v>外郭型</v>
      </c>
      <c r="CM326" s="33" t="str">
        <f aca="false">A326&amp;"|"&amp;B326</f>
        <v>2026-09 月例|病院労働組合</v>
      </c>
      <c r="CN326" s="34" t="str">
        <f aca="false">IFERROR(INDEX(設定!$D$61:$D$106,MATCH(B326,設定!$B$61:$B$106,0)),"Y")</f>
        <v>Y</v>
      </c>
      <c r="CO326" s="34" t="str">
        <f aca="false">IFERROR(INDEX(設定!$D$20:$D$34,MATCH(A326,設定!$A$20:$A$34,0))&amp;"","")</f>
        <v>2026-08 月例</v>
      </c>
    </row>
    <row r="327" customFormat="false" ht="15" hidden="true" customHeight="false" outlineLevel="0" collapsed="false">
      <c r="A327" s="22" t="s">
        <v>222</v>
      </c>
      <c r="B327" s="23" t="s">
        <v>213</v>
      </c>
      <c r="C327" s="10" t="str">
        <f aca="false">IF(G327="","未受領",IF(G327="なし","報告なし",IF(AL327="○","起票済",IF(OR(AK327="○",F327="一致",F327="入金不要"),"入金確認済","受領済"))))</f>
        <v>報告なし</v>
      </c>
      <c r="D327" s="10" t="str">
        <f aca="false">IF(OR(G327="",G327="なし"),"―",IF(CN327="N","対象外",IF(AND(I327="",J327="",K327=""),"標報未入力",IF(CH327&gt;=設定!$B$4,"要確認","問題なし"))))</f>
        <v>―</v>
      </c>
      <c r="E327" s="24" t="str">
        <f aca="false">IF(OR(G327="",G327="なし",CI327="",CJ327=0),"―",IF(CJ327=CI327,"前月同額",IF(CI327=0,"―",IF(ABS(CJ327/CI327-1)&gt;=設定!$B$5,"変動大 "&amp;TEXT(CJ327/CI327-1,"+0%;-0%"),"〇"))))</f>
        <v>―</v>
      </c>
      <c r="F327" s="10" t="str">
        <f aca="false">IF(OR(G327="",G327="なし"),"―",IF(CJ327=0,"入金不要",IF(COUNT(AD327,AF327,AH327,AJ327)=0,IF(AK327="○","手動確認","未入金"),IF(AND(N(AD327)=AC327,IF(AE327="",TRUE(),N(AF327)=AE327),IF(AG327="",TRUE(),N(AH327)=AG327),IF(AI327="",TRUE(),N(AJ327)=AI327)),"一致","不一致"))))</f>
        <v>―</v>
      </c>
      <c r="G327" s="25" t="s">
        <v>181</v>
      </c>
      <c r="H327" s="26"/>
      <c r="I327" s="27"/>
      <c r="J327" s="27"/>
      <c r="K327" s="27"/>
      <c r="L327" s="27"/>
      <c r="M327" s="27"/>
      <c r="N327" s="27"/>
      <c r="O327" s="27"/>
      <c r="P327" s="27"/>
      <c r="Q327" s="27"/>
      <c r="R327" s="27"/>
      <c r="S327" s="27"/>
      <c r="T327" s="27"/>
      <c r="U327" s="27"/>
      <c r="V327" s="27"/>
      <c r="W327" s="27"/>
      <c r="X327" s="27"/>
      <c r="Y327" s="27"/>
      <c r="Z327" s="27"/>
      <c r="AA327" s="10" t="str">
        <f aca="false">IFERROR(INDEX(設定!$E$61:$E$106,MATCH(B327,設定!$B$61:$B$106,0)),"合算")</f>
        <v>合算</v>
      </c>
      <c r="AB327" s="28"/>
      <c r="AC327" s="29" t="str">
        <f aca="false">IF(OR(G327="",G327="なし"),"",IF(AA327="合算",CJ327+N(Z327),IF(AA327="掛金・負担金別",(AY327+AZ327+BD327+BF327+BH327),SUM(AY327:BC327))))</f>
        <v/>
      </c>
      <c r="AD327" s="27"/>
      <c r="AE327" s="29" t="str">
        <f aca="false">IF(OR(G327="",G327="なし"),"",IF(AA327="掛金・負担金別",(BA327+BB327+BC327+BE327+BG327+BI327+N(Z327)),IF(AA327="経理区分別",BD327+BE327,"")))</f>
        <v/>
      </c>
      <c r="AF327" s="27"/>
      <c r="AG327" s="29" t="str">
        <f aca="false">IF(OR(G327="",G327="なし"),"",IF(AA327="経理区分別",BF327+BG327,""))</f>
        <v/>
      </c>
      <c r="AH327" s="27"/>
      <c r="AI327" s="29" t="str">
        <f aca="false">IF(OR(G327="",G327="なし"),"",IF(AA327="経理区分別",BH327+BI327+N(Z327),""))</f>
        <v/>
      </c>
      <c r="AJ327" s="27"/>
      <c r="AK327" s="26"/>
      <c r="AL327" s="26"/>
      <c r="AM327" s="30"/>
      <c r="AN327" s="31"/>
      <c r="AO327" s="31"/>
      <c r="AP327" s="31"/>
      <c r="AQ327" s="31"/>
      <c r="AR327" s="31"/>
      <c r="AS327" s="31"/>
      <c r="AT327" s="31"/>
      <c r="AU327" s="31"/>
      <c r="AV327" s="31"/>
      <c r="AW327" s="31"/>
      <c r="AX327" s="31"/>
      <c r="AY327" s="31" t="n">
        <f aca="false">IF($G327="",AN327,O327)</f>
        <v>0</v>
      </c>
      <c r="AZ327" s="31" t="n">
        <f aca="false">IF($G327="",AO327,P327)</f>
        <v>0</v>
      </c>
      <c r="BA327" s="31" t="n">
        <f aca="false">IF($G327="",AP327,T327)</f>
        <v>0</v>
      </c>
      <c r="BB327" s="31" t="n">
        <f aca="false">IF($G327="",AQ327,U327)</f>
        <v>0</v>
      </c>
      <c r="BC327" s="31" t="n">
        <f aca="false">IF($G327="",AR327,V327)</f>
        <v>0</v>
      </c>
      <c r="BD327" s="31" t="n">
        <f aca="false">IF($G327="",AS327,Q327)</f>
        <v>0</v>
      </c>
      <c r="BE327" s="31" t="n">
        <f aca="false">IF($G327="",AT327,W327)</f>
        <v>0</v>
      </c>
      <c r="BF327" s="31" t="n">
        <f aca="false">IF($G327="",AU327,R327)</f>
        <v>0</v>
      </c>
      <c r="BG327" s="31" t="n">
        <f aca="false">IF($G327="",AV327,X327)</f>
        <v>0</v>
      </c>
      <c r="BH327" s="31" t="n">
        <f aca="false">IF($G327="",AW327,S327)</f>
        <v>0</v>
      </c>
      <c r="BI327" s="31" t="n">
        <f aca="false">IF($G327="",AX327,Y327)</f>
        <v>0</v>
      </c>
      <c r="BJ327" s="31" t="n">
        <f aca="false">IF(CK327="N",BR327,ROUNDDOWN((I327-L327)*設定!$B$10/1000,0)+ROUNDDOWN((I327-L327)*設定!$B$11/1000,0))</f>
        <v>0</v>
      </c>
      <c r="BK327" s="31" t="n">
        <f aca="false">ROUNDDOWN((I327-L327)*設定!$C$10/1000,0)+ROUNDDOWN((I327-L327)*設定!$C$11/1000,0)+ROUNDDOWN(I327*設定!$C$12/1000,0)+IF(CL327="市局型",ROUNDDOWN(I327*設定!$C$16/1000,0),0)</f>
        <v>0</v>
      </c>
      <c r="BL327" s="31" t="n">
        <f aca="false">IF(CK327="N",BT327,ROUNDDOWN((J327-M327)*設定!$B$13/1000,0))</f>
        <v>0</v>
      </c>
      <c r="BM327" s="31" t="n">
        <f aca="false">ROUNDDOWN((J327-M327)*設定!$C$13/1000,0)+IF(CL327="市局型",ROUNDDOWN(J327*設定!$C$17/1000,0),0)</f>
        <v>0</v>
      </c>
      <c r="BN327" s="31" t="n">
        <f aca="false">IF(CK327="N",BV327,ROUNDDOWN((K327-N327)*設定!$B$14/1000,0))</f>
        <v>0</v>
      </c>
      <c r="BO327" s="31" t="n">
        <f aca="false">ROUNDDOWN((K327-N327)*設定!$C$14/1000,0)</f>
        <v>0</v>
      </c>
      <c r="BP327" s="31" t="n">
        <f aca="false">IF(CK327="N",BX327,ROUNDDOWN((J327-M327)*設定!$B$15/1000,0))</f>
        <v>0</v>
      </c>
      <c r="BQ327" s="31" t="n">
        <f aca="false">ROUNDDOWN((J327-M327)*設定!$C$15/1000,0)</f>
        <v>0</v>
      </c>
      <c r="BR327" s="31" t="n">
        <f aca="false">O327+P327</f>
        <v>0</v>
      </c>
      <c r="BS327" s="31" t="n">
        <f aca="false">T327+U327+V327</f>
        <v>0</v>
      </c>
      <c r="BT327" s="31" t="n">
        <f aca="false">Q327</f>
        <v>0</v>
      </c>
      <c r="BU327" s="31" t="n">
        <f aca="false">W327</f>
        <v>0</v>
      </c>
      <c r="BV327" s="31" t="n">
        <f aca="false">R327</f>
        <v>0</v>
      </c>
      <c r="BW327" s="31" t="n">
        <f aca="false">X327</f>
        <v>0</v>
      </c>
      <c r="BX327" s="31" t="n">
        <f aca="false">S327</f>
        <v>0</v>
      </c>
      <c r="BY327" s="31" t="n">
        <f aca="false">Y327</f>
        <v>0</v>
      </c>
      <c r="BZ327" s="32" t="n">
        <f aca="false">IF(BJ327=0,IF(BR327=0,0,1),(BR327-BJ327)/BJ327)</f>
        <v>0</v>
      </c>
      <c r="CA327" s="32" t="n">
        <f aca="false">IF(BK327=0,IF(BS327=0,0,1),(BS327-BK327)/BK327)</f>
        <v>0</v>
      </c>
      <c r="CB327" s="32" t="n">
        <f aca="false">IF(BL327=0,IF(BT327=0,0,1),(BT327-BL327)/BL327)</f>
        <v>0</v>
      </c>
      <c r="CC327" s="32" t="n">
        <f aca="false">IF(BM327=0,IF(BU327=0,0,1),(BU327-BM327)/BM327)</f>
        <v>0</v>
      </c>
      <c r="CD327" s="32" t="n">
        <f aca="false">IF(BN327=0,IF(BV327=0,0,1),(BV327-BN327)/BN327)</f>
        <v>0</v>
      </c>
      <c r="CE327" s="32" t="n">
        <f aca="false">IF(BO327=0,IF(BW327=0,0,1),(BW327-BO327)/BO327)</f>
        <v>0</v>
      </c>
      <c r="CF327" s="32" t="n">
        <f aca="false">IF(BP327=0,IF(BX327=0,0,1),(BX327-BP327)/BP327)</f>
        <v>0</v>
      </c>
      <c r="CG327" s="32" t="n">
        <f aca="false">IF(BQ327=0,IF(BY327=0,0,1),(BY327-BQ327)/BQ327)</f>
        <v>0</v>
      </c>
      <c r="CH327" s="32" t="n">
        <f aca="false">MAX(MAX(BZ327:CG327),-MIN(BZ327:CG327))</f>
        <v>-0</v>
      </c>
      <c r="CI327" s="31" t="n">
        <f aca="false">IF(CO327="","",SUMIFS($CJ$7:$CJ$696,$A$7:$A$696,CO327,$B$7:$B$696,B327))</f>
        <v>0</v>
      </c>
      <c r="CJ327" s="31" t="n">
        <f aca="false">SUM(AY327:BI327)</f>
        <v>0</v>
      </c>
      <c r="CK327" s="31" t="str">
        <f aca="false">IFERROR(INDEX(設定!$F$61:$F$106,MATCH(B327,設定!$B$61:$B$106,0)),"Y")</f>
        <v>N</v>
      </c>
      <c r="CL327" s="31" t="str">
        <f aca="false">IFERROR(INDEX(設定!$G$61:$G$106,MATCH(B327,設定!$B$61:$B$106,0)),"外郭型")</f>
        <v>外郭型</v>
      </c>
      <c r="CM327" s="33" t="str">
        <f aca="false">A327&amp;"|"&amp;B327</f>
        <v>2026-09 月例|水道労働組合</v>
      </c>
      <c r="CN327" s="34" t="str">
        <f aca="false">IFERROR(INDEX(設定!$D$61:$D$106,MATCH(B327,設定!$B$61:$B$106,0)),"Y")</f>
        <v>Y</v>
      </c>
      <c r="CO327" s="34" t="str">
        <f aca="false">IFERROR(INDEX(設定!$D$20:$D$34,MATCH(A327,設定!$A$20:$A$34,0))&amp;"","")</f>
        <v>2026-08 月例</v>
      </c>
    </row>
    <row r="328" customFormat="false" ht="15" hidden="true" customHeight="false" outlineLevel="0" collapsed="false">
      <c r="A328" s="22" t="s">
        <v>222</v>
      </c>
      <c r="B328" s="23" t="s">
        <v>214</v>
      </c>
      <c r="C328" s="10" t="str">
        <f aca="false">IF(G328="","未受領",IF(G328="なし","報告なし",IF(AL328="○","起票済",IF(OR(AK328="○",F328="一致",F328="入金不要"),"入金確認済","受領済"))))</f>
        <v>受領済</v>
      </c>
      <c r="D328" s="10" t="str">
        <f aca="false">IF(OR(G328="",G328="なし"),"―",IF(CN328="N","対象外",IF(AND(I328="",J328="",K328=""),"標報未入力",IF(CH328&gt;=設定!$B$4,"要確認","問題なし"))))</f>
        <v>対象外</v>
      </c>
      <c r="E328" s="24" t="str">
        <f aca="false">IF(OR(G328="",G328="なし",CI328="",CJ328=0),"―",IF(CJ328=CI328,"前月同額",IF(CI328=0,"―",IF(ABS(CJ328/CI328-1)&gt;=設定!$B$5,"変動大 "&amp;TEXT(CJ328/CI328-1,"+0%;-0%"),"〇"))))</f>
        <v>変動大 +102%</v>
      </c>
      <c r="F328" s="10" t="str">
        <f aca="false">IF(OR(G328="",G328="なし"),"―",IF(CJ328=0,"入金不要",IF(COUNT(AD328,AF328,AH328,AJ328)=0,IF(AK328="○","手動確認","未入金"),IF(AND(N(AD328)=AC328,IF(AE328="",TRUE(),N(AF328)=AE328),IF(AG328="",TRUE(),N(AH328)=AG328),IF(AI328="",TRUE(),N(AJ328)=AI328)),"一致","不一致"))))</f>
        <v>未入金</v>
      </c>
      <c r="G328" s="25" t="s">
        <v>167</v>
      </c>
      <c r="H328" s="26"/>
      <c r="I328" s="27"/>
      <c r="J328" s="27"/>
      <c r="K328" s="27"/>
      <c r="L328" s="27"/>
      <c r="M328" s="27"/>
      <c r="N328" s="27"/>
      <c r="O328" s="27"/>
      <c r="P328" s="27"/>
      <c r="Q328" s="27" t="n">
        <v>6877798</v>
      </c>
      <c r="R328" s="27" t="n">
        <v>345917</v>
      </c>
      <c r="S328" s="27" t="n">
        <v>152502</v>
      </c>
      <c r="T328" s="27"/>
      <c r="U328" s="27"/>
      <c r="V328" s="27"/>
      <c r="W328" s="27"/>
      <c r="X328" s="27"/>
      <c r="Y328" s="27"/>
      <c r="Z328" s="27"/>
      <c r="AA328" s="10" t="str">
        <f aca="false">IFERROR(INDEX(設定!$E$61:$E$106,MATCH(B328,設定!$B$61:$B$106,0)),"合算")</f>
        <v>合算</v>
      </c>
      <c r="AB328" s="28"/>
      <c r="AC328" s="29" t="n">
        <f aca="false">IF(OR(G328="",G328="なし"),"",IF(AA328="合算",CJ328+N(Z328),IF(AA328="掛金・負担金別",(AY328+AZ328+BD328+BF328+BH328),SUM(AY328:BC328))))</f>
        <v>7376217</v>
      </c>
      <c r="AD328" s="27"/>
      <c r="AE328" s="29" t="str">
        <f aca="false">IF(OR(G328="",G328="なし"),"",IF(AA328="掛金・負担金別",(BA328+BB328+BC328+BE328+BG328+BI328+N(Z328)),IF(AA328="経理区分別",BD328+BE328,"")))</f>
        <v/>
      </c>
      <c r="AF328" s="27"/>
      <c r="AG328" s="29" t="str">
        <f aca="false">IF(OR(G328="",G328="なし"),"",IF(AA328="経理区分別",BF328+BG328,""))</f>
        <v/>
      </c>
      <c r="AH328" s="27"/>
      <c r="AI328" s="29" t="str">
        <f aca="false">IF(OR(G328="",G328="なし"),"",IF(AA328="経理区分別",BH328+BI328+N(Z328),""))</f>
        <v/>
      </c>
      <c r="AJ328" s="27"/>
      <c r="AK328" s="26"/>
      <c r="AL328" s="26"/>
      <c r="AM328" s="30"/>
      <c r="AN328" s="31"/>
      <c r="AO328" s="31"/>
      <c r="AP328" s="31"/>
      <c r="AQ328" s="31"/>
      <c r="AR328" s="31"/>
      <c r="AS328" s="31"/>
      <c r="AT328" s="31"/>
      <c r="AU328" s="31"/>
      <c r="AV328" s="31"/>
      <c r="AW328" s="31"/>
      <c r="AX328" s="31"/>
      <c r="AY328" s="31" t="n">
        <f aca="false">IF($G328="",AN328,O328)</f>
        <v>0</v>
      </c>
      <c r="AZ328" s="31" t="n">
        <f aca="false">IF($G328="",AO328,P328)</f>
        <v>0</v>
      </c>
      <c r="BA328" s="31" t="n">
        <f aca="false">IF($G328="",AP328,T328)</f>
        <v>0</v>
      </c>
      <c r="BB328" s="31" t="n">
        <f aca="false">IF($G328="",AQ328,U328)</f>
        <v>0</v>
      </c>
      <c r="BC328" s="31" t="n">
        <f aca="false">IF($G328="",AR328,V328)</f>
        <v>0</v>
      </c>
      <c r="BD328" s="31" t="n">
        <f aca="false">IF($G328="",AS328,Q328)</f>
        <v>6877798</v>
      </c>
      <c r="BE328" s="31" t="n">
        <f aca="false">IF($G328="",AT328,W328)</f>
        <v>0</v>
      </c>
      <c r="BF328" s="31" t="n">
        <f aca="false">IF($G328="",AU328,R328)</f>
        <v>345917</v>
      </c>
      <c r="BG328" s="31" t="n">
        <f aca="false">IF($G328="",AV328,X328)</f>
        <v>0</v>
      </c>
      <c r="BH328" s="31" t="n">
        <f aca="false">IF($G328="",AW328,S328)</f>
        <v>152502</v>
      </c>
      <c r="BI328" s="31" t="n">
        <f aca="false">IF($G328="",AX328,Y328)</f>
        <v>0</v>
      </c>
      <c r="BJ328" s="31" t="n">
        <f aca="false">IF(CK328="N",BR328,ROUNDDOWN((I328-L328)*設定!$B$10/1000,0)+ROUNDDOWN((I328-L328)*設定!$B$11/1000,0))</f>
        <v>0</v>
      </c>
      <c r="BK328" s="31" t="n">
        <f aca="false">ROUNDDOWN((I328-L328)*設定!$C$10/1000,0)+ROUNDDOWN((I328-L328)*設定!$C$11/1000,0)+ROUNDDOWN(I328*設定!$C$12/1000,0)+IF(CL328="市局型",ROUNDDOWN(I328*設定!$C$16/1000,0),0)</f>
        <v>0</v>
      </c>
      <c r="BL328" s="31" t="n">
        <f aca="false">IF(CK328="N",BT328,ROUNDDOWN((J328-M328)*設定!$B$13/1000,0))</f>
        <v>0</v>
      </c>
      <c r="BM328" s="31" t="n">
        <f aca="false">ROUNDDOWN((J328-M328)*設定!$C$13/1000,0)+IF(CL328="市局型",ROUNDDOWN(J328*設定!$C$17/1000,0),0)</f>
        <v>0</v>
      </c>
      <c r="BN328" s="31" t="n">
        <f aca="false">IF(CK328="N",BV328,ROUNDDOWN((K328-N328)*設定!$B$14/1000,0))</f>
        <v>0</v>
      </c>
      <c r="BO328" s="31" t="n">
        <f aca="false">ROUNDDOWN((K328-N328)*設定!$C$14/1000,0)</f>
        <v>0</v>
      </c>
      <c r="BP328" s="31" t="n">
        <f aca="false">IF(CK328="N",BX328,ROUNDDOWN((J328-M328)*設定!$B$15/1000,0))</f>
        <v>0</v>
      </c>
      <c r="BQ328" s="31" t="n">
        <f aca="false">ROUNDDOWN((J328-M328)*設定!$C$15/1000,0)</f>
        <v>0</v>
      </c>
      <c r="BR328" s="31" t="n">
        <f aca="false">O328+P328</f>
        <v>0</v>
      </c>
      <c r="BS328" s="31" t="n">
        <f aca="false">T328+U328+V328</f>
        <v>0</v>
      </c>
      <c r="BT328" s="31" t="n">
        <f aca="false">Q328</f>
        <v>6877798</v>
      </c>
      <c r="BU328" s="31" t="n">
        <f aca="false">W328</f>
        <v>0</v>
      </c>
      <c r="BV328" s="31" t="n">
        <f aca="false">R328</f>
        <v>345917</v>
      </c>
      <c r="BW328" s="31" t="n">
        <f aca="false">X328</f>
        <v>0</v>
      </c>
      <c r="BX328" s="31" t="n">
        <f aca="false">S328</f>
        <v>152502</v>
      </c>
      <c r="BY328" s="31" t="n">
        <f aca="false">Y328</f>
        <v>0</v>
      </c>
      <c r="BZ328" s="32" t="n">
        <f aca="false">IF(BJ328=0,IF(BR328=0,0,1),(BR328-BJ328)/BJ328)</f>
        <v>0</v>
      </c>
      <c r="CA328" s="32" t="n">
        <f aca="false">IF(BK328=0,IF(BS328=0,0,1),(BS328-BK328)/BK328)</f>
        <v>0</v>
      </c>
      <c r="CB328" s="32" t="n">
        <f aca="false">IF(BL328=0,IF(BT328=0,0,1),(BT328-BL328)/BL328)</f>
        <v>1</v>
      </c>
      <c r="CC328" s="32" t="n">
        <f aca="false">IF(BM328=0,IF(BU328=0,0,1),(BU328-BM328)/BM328)</f>
        <v>0</v>
      </c>
      <c r="CD328" s="32" t="n">
        <f aca="false">IF(BN328=0,IF(BV328=0,0,1),(BV328-BN328)/BN328)</f>
        <v>1</v>
      </c>
      <c r="CE328" s="32" t="n">
        <f aca="false">IF(BO328=0,IF(BW328=0,0,1),(BW328-BO328)/BO328)</f>
        <v>0</v>
      </c>
      <c r="CF328" s="32" t="n">
        <f aca="false">IF(BP328=0,IF(BX328=0,0,1),(BX328-BP328)/BP328)</f>
        <v>1</v>
      </c>
      <c r="CG328" s="32" t="n">
        <f aca="false">IF(BQ328=0,IF(BY328=0,0,1),(BY328-BQ328)/BQ328)</f>
        <v>0</v>
      </c>
      <c r="CH328" s="32" t="n">
        <f aca="false">MAX(MAX(BZ328:CG328),-MIN(BZ328:CG328))</f>
        <v>1</v>
      </c>
      <c r="CI328" s="31" t="n">
        <f aca="false">IF(CO328="","",SUMIFS($CJ$7:$CJ$696,$A$7:$A$696,CO328,$B$7:$B$696,B328))</f>
        <v>3652019</v>
      </c>
      <c r="CJ328" s="31" t="n">
        <f aca="false">SUM(AY328:BI328)</f>
        <v>7376217</v>
      </c>
      <c r="CK328" s="31" t="str">
        <f aca="false">IFERROR(INDEX(設定!$F$61:$F$106,MATCH(B328,設定!$B$61:$B$106,0)),"Y")</f>
        <v>Y</v>
      </c>
      <c r="CL328" s="31" t="str">
        <f aca="false">IFERROR(INDEX(設定!$G$61:$G$106,MATCH(B328,設定!$B$61:$B$106,0)),"外郭型")</f>
        <v>外郭型</v>
      </c>
      <c r="CM328" s="33" t="str">
        <f aca="false">A328&amp;"|"&amp;B328</f>
        <v>2026-09 月例|任意継続組合員</v>
      </c>
      <c r="CN328" s="34" t="str">
        <f aca="false">IFERROR(INDEX(設定!$D$61:$D$106,MATCH(B328,設定!$B$61:$B$106,0)),"Y")</f>
        <v>N</v>
      </c>
      <c r="CO328" s="34" t="str">
        <f aca="false">IFERROR(INDEX(設定!$D$20:$D$34,MATCH(A328,設定!$A$20:$A$34,0))&amp;"","")</f>
        <v>2026-08 月例</v>
      </c>
    </row>
    <row r="329" customFormat="false" ht="15" hidden="false" customHeight="false" outlineLevel="0" collapsed="false">
      <c r="A329" s="22" t="s">
        <v>223</v>
      </c>
      <c r="B329" s="23" t="s">
        <v>166</v>
      </c>
      <c r="C329" s="10" t="str">
        <f aca="false">IF(G329="","未受領",IF(G329="なし","報告なし",IF(AL329="○","起票済",IF(OR(AK329="○",F329="一致",F329="入金不要"),"入金確認済","受領済"))))</f>
        <v>未受領</v>
      </c>
      <c r="D329" s="10" t="str">
        <f aca="false">IF(OR(G329="",G329="なし"),"―",IF(CN329="N","対象外",IF(AND(I329="",J329="",K329=""),"標報未入力",IF(CH329&gt;=設定!$B$4,"要確認","問題なし"))))</f>
        <v>―</v>
      </c>
      <c r="E329" s="24" t="str">
        <f aca="false">IF(OR(G329="",G329="なし",CI329="",CJ329=0),"―",IF(CJ329=CI329,"前月同額",IF(CI329=0,"―",IF(ABS(CJ329/CI329-1)&gt;=設定!$B$5,"変動大 "&amp;TEXT(CJ329/CI329-1,"+0%;-0%"),"〇"))))</f>
        <v>―</v>
      </c>
      <c r="F329" s="10" t="str">
        <f aca="false">IF(OR(G329="",G329="なし"),"―",IF(CJ329=0,"入金不要",IF(COUNT(AD329,AF329,AH329,AJ329)=0,IF(AK329="○","手動確認","未入金"),IF(AND(N(AD329)=AC329,IF(AE329="",TRUE(),N(AF329)=AE329),IF(AG329="",TRUE(),N(AH329)=AG329),IF(AI329="",TRUE(),N(AJ329)=AI329)),"一致","不一致"))))</f>
        <v>―</v>
      </c>
      <c r="G329" s="25"/>
      <c r="H329" s="26"/>
      <c r="I329" s="27"/>
      <c r="J329" s="27"/>
      <c r="K329" s="27"/>
      <c r="L329" s="27"/>
      <c r="M329" s="27"/>
      <c r="N329" s="27"/>
      <c r="O329" s="27"/>
      <c r="P329" s="27"/>
      <c r="Q329" s="27"/>
      <c r="R329" s="27"/>
      <c r="S329" s="27"/>
      <c r="T329" s="27"/>
      <c r="U329" s="27"/>
      <c r="V329" s="27"/>
      <c r="W329" s="27"/>
      <c r="X329" s="27"/>
      <c r="Y329" s="27"/>
      <c r="Z329" s="27"/>
      <c r="AA329" s="10" t="str">
        <f aca="false">IFERROR(INDEX(設定!$E$61:$E$106,MATCH(B329,設定!$B$61:$B$106,0)),"合算")</f>
        <v>合算</v>
      </c>
      <c r="AB329" s="28"/>
      <c r="AC329" s="29" t="str">
        <f aca="false">IF(OR(G329="",G329="なし"),"",IF(AA329="合算",CJ329+N(Z329),IF(AA329="掛金・負担金別",(AY329+AZ329+BD329+BF329+BH329),SUM(AY329:BC329))))</f>
        <v/>
      </c>
      <c r="AD329" s="27"/>
      <c r="AE329" s="29" t="str">
        <f aca="false">IF(OR(G329="",G329="なし"),"",IF(AA329="掛金・負担金別",(BA329+BB329+BC329+BE329+BG329+BI329+N(Z329)),IF(AA329="経理区分別",BD329+BE329,"")))</f>
        <v/>
      </c>
      <c r="AF329" s="27"/>
      <c r="AG329" s="29" t="str">
        <f aca="false">IF(OR(G329="",G329="なし"),"",IF(AA329="経理区分別",BF329+BG329,""))</f>
        <v/>
      </c>
      <c r="AH329" s="27"/>
      <c r="AI329" s="29" t="str">
        <f aca="false">IF(OR(G329="",G329="なし"),"",IF(AA329="経理区分別",BH329+BI329+N(Z329),""))</f>
        <v/>
      </c>
      <c r="AJ329" s="27"/>
      <c r="AK329" s="26"/>
      <c r="AL329" s="26"/>
      <c r="AM329" s="30"/>
      <c r="AN329" s="31" t="n">
        <v>233913712</v>
      </c>
      <c r="AO329" s="31" t="n">
        <v>19178131</v>
      </c>
      <c r="AP329" s="31" t="n">
        <v>339986672</v>
      </c>
      <c r="AQ329" s="31" t="n">
        <v>18646418</v>
      </c>
      <c r="AR329" s="31" t="n">
        <v>245153</v>
      </c>
      <c r="AS329" s="31" t="n">
        <v>180562030</v>
      </c>
      <c r="AT329" s="31" t="n">
        <v>179918563</v>
      </c>
      <c r="AU329" s="31" t="n">
        <v>15720292</v>
      </c>
      <c r="AV329" s="31" t="n">
        <v>15284428</v>
      </c>
      <c r="AW329" s="31" t="n">
        <v>1</v>
      </c>
      <c r="AX329" s="31" t="n">
        <v>1</v>
      </c>
      <c r="AY329" s="31" t="n">
        <f aca="false">IF($G329="",AN329,O329)</f>
        <v>233913712</v>
      </c>
      <c r="AZ329" s="31" t="n">
        <f aca="false">IF($G329="",AO329,P329)</f>
        <v>19178131</v>
      </c>
      <c r="BA329" s="31" t="n">
        <f aca="false">IF($G329="",AP329,T329)</f>
        <v>339986672</v>
      </c>
      <c r="BB329" s="31" t="n">
        <f aca="false">IF($G329="",AQ329,U329)</f>
        <v>18646418</v>
      </c>
      <c r="BC329" s="31" t="n">
        <f aca="false">IF($G329="",AR329,V329)</f>
        <v>245153</v>
      </c>
      <c r="BD329" s="31" t="n">
        <f aca="false">IF($G329="",AS329,Q329)</f>
        <v>180562030</v>
      </c>
      <c r="BE329" s="31" t="n">
        <f aca="false">IF($G329="",AT329,W329)</f>
        <v>179918563</v>
      </c>
      <c r="BF329" s="31" t="n">
        <f aca="false">IF($G329="",AU329,R329)</f>
        <v>15720292</v>
      </c>
      <c r="BG329" s="31" t="n">
        <f aca="false">IF($G329="",AV329,X329)</f>
        <v>15284428</v>
      </c>
      <c r="BH329" s="31" t="n">
        <f aca="false">IF($G329="",AW329,S329)</f>
        <v>1</v>
      </c>
      <c r="BI329" s="31" t="n">
        <f aca="false">IF($G329="",AX329,Y329)</f>
        <v>1</v>
      </c>
      <c r="BJ329" s="31" t="n">
        <f aca="false">IF(CK329="N",BR329,ROUNDDOWN((I329-L329)*設定!$B$10/1000,0)+ROUNDDOWN((I329-L329)*設定!$B$11/1000,0))</f>
        <v>0</v>
      </c>
      <c r="BK329" s="31" t="n">
        <f aca="false">ROUNDDOWN((I329-L329)*設定!$C$10/1000,0)+ROUNDDOWN((I329-L329)*設定!$C$11/1000,0)+ROUNDDOWN(I329*設定!$C$12/1000,0)+IF(CL329="市局型",ROUNDDOWN(I329*設定!$C$16/1000,0),0)</f>
        <v>0</v>
      </c>
      <c r="BL329" s="31" t="n">
        <f aca="false">IF(CK329="N",BT329,ROUNDDOWN((J329-M329)*設定!$B$13/1000,0))</f>
        <v>0</v>
      </c>
      <c r="BM329" s="31" t="n">
        <f aca="false">ROUNDDOWN((J329-M329)*設定!$C$13/1000,0)+IF(CL329="市局型",ROUNDDOWN(J329*設定!$C$17/1000,0),0)</f>
        <v>0</v>
      </c>
      <c r="BN329" s="31" t="n">
        <f aca="false">IF(CK329="N",BV329,ROUNDDOWN((K329-N329)*設定!$B$14/1000,0))</f>
        <v>0</v>
      </c>
      <c r="BO329" s="31" t="n">
        <f aca="false">ROUNDDOWN((K329-N329)*設定!$C$14/1000,0)</f>
        <v>0</v>
      </c>
      <c r="BP329" s="31" t="n">
        <f aca="false">IF(CK329="N",BX329,ROUNDDOWN((J329-M329)*設定!$B$15/1000,0))</f>
        <v>0</v>
      </c>
      <c r="BQ329" s="31" t="n">
        <f aca="false">ROUNDDOWN((J329-M329)*設定!$C$15/1000,0)</f>
        <v>0</v>
      </c>
      <c r="BR329" s="31" t="n">
        <f aca="false">O329+P329</f>
        <v>0</v>
      </c>
      <c r="BS329" s="31" t="n">
        <f aca="false">T329+U329+V329</f>
        <v>0</v>
      </c>
      <c r="BT329" s="31" t="n">
        <f aca="false">Q329</f>
        <v>0</v>
      </c>
      <c r="BU329" s="31" t="n">
        <f aca="false">W329</f>
        <v>0</v>
      </c>
      <c r="BV329" s="31" t="n">
        <f aca="false">R329</f>
        <v>0</v>
      </c>
      <c r="BW329" s="31" t="n">
        <f aca="false">X329</f>
        <v>0</v>
      </c>
      <c r="BX329" s="31" t="n">
        <f aca="false">S329</f>
        <v>0</v>
      </c>
      <c r="BY329" s="31" t="n">
        <f aca="false">Y329</f>
        <v>0</v>
      </c>
      <c r="BZ329" s="32" t="n">
        <f aca="false">IF(BJ329=0,IF(BR329=0,0,1),(BR329-BJ329)/BJ329)</f>
        <v>0</v>
      </c>
      <c r="CA329" s="32" t="n">
        <f aca="false">IF(BK329=0,IF(BS329=0,0,1),(BS329-BK329)/BK329)</f>
        <v>0</v>
      </c>
      <c r="CB329" s="32" t="n">
        <f aca="false">IF(BL329=0,IF(BT329=0,0,1),(BT329-BL329)/BL329)</f>
        <v>0</v>
      </c>
      <c r="CC329" s="32" t="n">
        <f aca="false">IF(BM329=0,IF(BU329=0,0,1),(BU329-BM329)/BM329)</f>
        <v>0</v>
      </c>
      <c r="CD329" s="32" t="n">
        <f aca="false">IF(BN329=0,IF(BV329=0,0,1),(BV329-BN329)/BN329)</f>
        <v>0</v>
      </c>
      <c r="CE329" s="32" t="n">
        <f aca="false">IF(BO329=0,IF(BW329=0,0,1),(BW329-BO329)/BO329)</f>
        <v>0</v>
      </c>
      <c r="CF329" s="32" t="n">
        <f aca="false">IF(BP329=0,IF(BX329=0,0,1),(BX329-BP329)/BP329)</f>
        <v>0</v>
      </c>
      <c r="CG329" s="32" t="n">
        <f aca="false">IF(BQ329=0,IF(BY329=0,0,1),(BY329-BQ329)/BQ329)</f>
        <v>0</v>
      </c>
      <c r="CH329" s="32" t="n">
        <f aca="false">MAX(MAX(BZ329:CG329),-MIN(BZ329:CG329))</f>
        <v>-0</v>
      </c>
      <c r="CI329" s="31" t="n">
        <f aca="false">IF(CO329="","",SUMIFS($CJ$7:$CJ$696,$A$7:$A$696,CO329,$B$7:$B$696,B329))</f>
        <v>1029211599</v>
      </c>
      <c r="CJ329" s="31" t="n">
        <f aca="false">SUM(AY329:BI329)</f>
        <v>1003455401</v>
      </c>
      <c r="CK329" s="31" t="str">
        <f aca="false">IFERROR(INDEX(設定!$F$61:$F$106,MATCH(B329,設定!$B$61:$B$106,0)),"Y")</f>
        <v>Y</v>
      </c>
      <c r="CL329" s="31" t="str">
        <f aca="false">IFERROR(INDEX(設定!$G$61:$G$106,MATCH(B329,設定!$B$61:$B$106,0)),"外郭型")</f>
        <v>市局型</v>
      </c>
      <c r="CM329" s="33" t="str">
        <f aca="false">A329&amp;"|"&amp;B329</f>
        <v>2026-10 月例|市長部局</v>
      </c>
      <c r="CN329" s="34" t="str">
        <f aca="false">IFERROR(INDEX(設定!$D$61:$D$106,MATCH(B329,設定!$B$61:$B$106,0)),"Y")</f>
        <v>N</v>
      </c>
      <c r="CO329" s="34" t="str">
        <f aca="false">IFERROR(INDEX(設定!$D$20:$D$34,MATCH(A329,設定!$A$20:$A$34,0))&amp;"","")</f>
        <v>2026-09 月例</v>
      </c>
    </row>
    <row r="330" customFormat="false" ht="15" hidden="false" customHeight="false" outlineLevel="0" collapsed="false">
      <c r="A330" s="22" t="s">
        <v>223</v>
      </c>
      <c r="B330" s="23" t="s">
        <v>169</v>
      </c>
      <c r="C330" s="10" t="str">
        <f aca="false">IF(G330="","未受領",IF(G330="なし","報告なし",IF(AL330="○","起票済",IF(OR(AK330="○",F330="一致",F330="入金不要"),"入金確認済","受領済"))))</f>
        <v>未受領</v>
      </c>
      <c r="D330" s="10" t="str">
        <f aca="false">IF(OR(G330="",G330="なし"),"―",IF(CN330="N","対象外",IF(AND(I330="",J330="",K330=""),"標報未入力",IF(CH330&gt;=設定!$B$4,"要確認","問題なし"))))</f>
        <v>―</v>
      </c>
      <c r="E330" s="24" t="str">
        <f aca="false">IF(OR(G330="",G330="なし",CI330="",CJ330=0),"―",IF(CJ330=CI330,"前月同額",IF(CI330=0,"―",IF(ABS(CJ330/CI330-1)&gt;=設定!$B$5,"変動大 "&amp;TEXT(CJ330/CI330-1,"+0%;-0%"),"〇"))))</f>
        <v>―</v>
      </c>
      <c r="F330" s="10" t="str">
        <f aca="false">IF(OR(G330="",G330="なし"),"―",IF(CJ330=0,"入金不要",IF(COUNT(AD330,AF330,AH330,AJ330)=0,IF(AK330="○","手動確認","未入金"),IF(AND(N(AD330)=AC330,IF(AE330="",TRUE(),N(AF330)=AE330),IF(AG330="",TRUE(),N(AH330)=AG330),IF(AI330="",TRUE(),N(AJ330)=AI330)),"一致","不一致"))))</f>
        <v>―</v>
      </c>
      <c r="G330" s="25"/>
      <c r="H330" s="26"/>
      <c r="I330" s="27"/>
      <c r="J330" s="27"/>
      <c r="K330" s="27"/>
      <c r="L330" s="27"/>
      <c r="M330" s="27"/>
      <c r="N330" s="27"/>
      <c r="O330" s="27"/>
      <c r="P330" s="27"/>
      <c r="Q330" s="27"/>
      <c r="R330" s="27"/>
      <c r="S330" s="27"/>
      <c r="T330" s="27"/>
      <c r="U330" s="27"/>
      <c r="V330" s="27"/>
      <c r="W330" s="27"/>
      <c r="X330" s="27"/>
      <c r="Y330" s="27"/>
      <c r="Z330" s="27"/>
      <c r="AA330" s="10" t="str">
        <f aca="false">IFERROR(INDEX(設定!$E$61:$E$106,MATCH(B330,設定!$B$61:$B$106,0)),"合算")</f>
        <v>合算</v>
      </c>
      <c r="AB330" s="28"/>
      <c r="AC330" s="29" t="str">
        <f aca="false">IF(OR(G330="",G330="なし"),"",IF(AA330="合算",CJ330+N(Z330),IF(AA330="掛金・負担金別",(AY330+AZ330+BD330+BF330+BH330),SUM(AY330:BC330))))</f>
        <v/>
      </c>
      <c r="AD330" s="27"/>
      <c r="AE330" s="29" t="str">
        <f aca="false">IF(OR(G330="",G330="なし"),"",IF(AA330="掛金・負担金別",(BA330+BB330+BC330+BE330+BG330+BI330+N(Z330)),IF(AA330="経理区分別",BD330+BE330,"")))</f>
        <v/>
      </c>
      <c r="AF330" s="27"/>
      <c r="AG330" s="29" t="str">
        <f aca="false">IF(OR(G330="",G330="なし"),"",IF(AA330="経理区分別",BF330+BG330,""))</f>
        <v/>
      </c>
      <c r="AH330" s="27"/>
      <c r="AI330" s="29" t="str">
        <f aca="false">IF(OR(G330="",G330="なし"),"",IF(AA330="経理区分別",BH330+BI330+N(Z330),""))</f>
        <v/>
      </c>
      <c r="AJ330" s="27"/>
      <c r="AK330" s="26"/>
      <c r="AL330" s="26"/>
      <c r="AM330" s="30"/>
      <c r="AN330" s="31" t="n">
        <v>16602675</v>
      </c>
      <c r="AO330" s="31" t="n">
        <v>1360875</v>
      </c>
      <c r="AP330" s="31" t="n">
        <v>24157652</v>
      </c>
      <c r="AQ330" s="31" t="n">
        <v>1359399</v>
      </c>
      <c r="AR330" s="31" t="n">
        <v>17126</v>
      </c>
      <c r="AS330" s="31" t="n">
        <v>10398568</v>
      </c>
      <c r="AT330" s="31" t="n">
        <v>10572334</v>
      </c>
      <c r="AU330" s="31" t="n">
        <v>1038485</v>
      </c>
      <c r="AV330" s="31" t="n">
        <v>1038485</v>
      </c>
      <c r="AW330" s="31" t="n">
        <v>1</v>
      </c>
      <c r="AX330" s="31" t="n">
        <v>1</v>
      </c>
      <c r="AY330" s="31" t="n">
        <f aca="false">IF($G330="",AN330,O330)</f>
        <v>16602675</v>
      </c>
      <c r="AZ330" s="31" t="n">
        <f aca="false">IF($G330="",AO330,P330)</f>
        <v>1360875</v>
      </c>
      <c r="BA330" s="31" t="n">
        <f aca="false">IF($G330="",AP330,T330)</f>
        <v>24157652</v>
      </c>
      <c r="BB330" s="31" t="n">
        <f aca="false">IF($G330="",AQ330,U330)</f>
        <v>1359399</v>
      </c>
      <c r="BC330" s="31" t="n">
        <f aca="false">IF($G330="",AR330,V330)</f>
        <v>17126</v>
      </c>
      <c r="BD330" s="31" t="n">
        <f aca="false">IF($G330="",AS330,Q330)</f>
        <v>10398568</v>
      </c>
      <c r="BE330" s="31" t="n">
        <f aca="false">IF($G330="",AT330,W330)</f>
        <v>10572334</v>
      </c>
      <c r="BF330" s="31" t="n">
        <f aca="false">IF($G330="",AU330,R330)</f>
        <v>1038485</v>
      </c>
      <c r="BG330" s="31" t="n">
        <f aca="false">IF($G330="",AV330,X330)</f>
        <v>1038485</v>
      </c>
      <c r="BH330" s="31" t="n">
        <f aca="false">IF($G330="",AW330,S330)</f>
        <v>1</v>
      </c>
      <c r="BI330" s="31" t="n">
        <f aca="false">IF($G330="",AX330,Y330)</f>
        <v>1</v>
      </c>
      <c r="BJ330" s="31" t="n">
        <f aca="false">IF(CK330="N",BR330,ROUNDDOWN((I330-L330)*設定!$B$10/1000,0)+ROUNDDOWN((I330-L330)*設定!$B$11/1000,0))</f>
        <v>0</v>
      </c>
      <c r="BK330" s="31" t="n">
        <f aca="false">ROUNDDOWN((I330-L330)*設定!$C$10/1000,0)+ROUNDDOWN((I330-L330)*設定!$C$11/1000,0)+ROUNDDOWN(I330*設定!$C$12/1000,0)+IF(CL330="市局型",ROUNDDOWN(I330*設定!$C$16/1000,0),0)</f>
        <v>0</v>
      </c>
      <c r="BL330" s="31" t="n">
        <f aca="false">IF(CK330="N",BT330,ROUNDDOWN((J330-M330)*設定!$B$13/1000,0))</f>
        <v>0</v>
      </c>
      <c r="BM330" s="31" t="n">
        <f aca="false">ROUNDDOWN((J330-M330)*設定!$C$13/1000,0)+IF(CL330="市局型",ROUNDDOWN(J330*設定!$C$17/1000,0),0)</f>
        <v>0</v>
      </c>
      <c r="BN330" s="31" t="n">
        <f aca="false">IF(CK330="N",BV330,ROUNDDOWN((K330-N330)*設定!$B$14/1000,0))</f>
        <v>0</v>
      </c>
      <c r="BO330" s="31" t="n">
        <f aca="false">ROUNDDOWN((K330-N330)*設定!$C$14/1000,0)</f>
        <v>0</v>
      </c>
      <c r="BP330" s="31" t="n">
        <f aca="false">IF(CK330="N",BX330,ROUNDDOWN((J330-M330)*設定!$B$15/1000,0))</f>
        <v>0</v>
      </c>
      <c r="BQ330" s="31" t="n">
        <f aca="false">ROUNDDOWN((J330-M330)*設定!$C$15/1000,0)</f>
        <v>0</v>
      </c>
      <c r="BR330" s="31" t="n">
        <f aca="false">O330+P330</f>
        <v>0</v>
      </c>
      <c r="BS330" s="31" t="n">
        <f aca="false">T330+U330+V330</f>
        <v>0</v>
      </c>
      <c r="BT330" s="31" t="n">
        <f aca="false">Q330</f>
        <v>0</v>
      </c>
      <c r="BU330" s="31" t="n">
        <f aca="false">W330</f>
        <v>0</v>
      </c>
      <c r="BV330" s="31" t="n">
        <f aca="false">R330</f>
        <v>0</v>
      </c>
      <c r="BW330" s="31" t="n">
        <f aca="false">X330</f>
        <v>0</v>
      </c>
      <c r="BX330" s="31" t="n">
        <f aca="false">S330</f>
        <v>0</v>
      </c>
      <c r="BY330" s="31" t="n">
        <f aca="false">Y330</f>
        <v>0</v>
      </c>
      <c r="BZ330" s="32" t="n">
        <f aca="false">IF(BJ330=0,IF(BR330=0,0,1),(BR330-BJ330)/BJ330)</f>
        <v>0</v>
      </c>
      <c r="CA330" s="32" t="n">
        <f aca="false">IF(BK330=0,IF(BS330=0,0,1),(BS330-BK330)/BK330)</f>
        <v>0</v>
      </c>
      <c r="CB330" s="32" t="n">
        <f aca="false">IF(BL330=0,IF(BT330=0,0,1),(BT330-BL330)/BL330)</f>
        <v>0</v>
      </c>
      <c r="CC330" s="32" t="n">
        <f aca="false">IF(BM330=0,IF(BU330=0,0,1),(BU330-BM330)/BM330)</f>
        <v>0</v>
      </c>
      <c r="CD330" s="32" t="n">
        <f aca="false">IF(BN330=0,IF(BV330=0,0,1),(BV330-BN330)/BN330)</f>
        <v>0</v>
      </c>
      <c r="CE330" s="32" t="n">
        <f aca="false">IF(BO330=0,IF(BW330=0,0,1),(BW330-BO330)/BO330)</f>
        <v>0</v>
      </c>
      <c r="CF330" s="32" t="n">
        <f aca="false">IF(BP330=0,IF(BX330=0,0,1),(BX330-BP330)/BP330)</f>
        <v>0</v>
      </c>
      <c r="CG330" s="32" t="n">
        <f aca="false">IF(BQ330=0,IF(BY330=0,0,1),(BY330-BQ330)/BQ330)</f>
        <v>0</v>
      </c>
      <c r="CH330" s="32" t="n">
        <f aca="false">MAX(MAX(BZ330:CG330),-MIN(BZ330:CG330))</f>
        <v>-0</v>
      </c>
      <c r="CI330" s="31" t="n">
        <f aca="false">IF(CO330="","",SUMIFS($CJ$7:$CJ$696,$A$7:$A$696,CO330,$B$7:$B$696,B330))</f>
        <v>65365322</v>
      </c>
      <c r="CJ330" s="31" t="n">
        <f aca="false">SUM(AY330:BI330)</f>
        <v>66545601</v>
      </c>
      <c r="CK330" s="31" t="str">
        <f aca="false">IFERROR(INDEX(設定!$F$61:$F$106,MATCH(B330,設定!$B$61:$B$106,0)),"Y")</f>
        <v>Y</v>
      </c>
      <c r="CL330" s="31" t="str">
        <f aca="false">IFERROR(INDEX(設定!$G$61:$G$106,MATCH(B330,設定!$B$61:$B$106,0)),"外郭型")</f>
        <v>市局型</v>
      </c>
      <c r="CM330" s="33" t="str">
        <f aca="false">A330&amp;"|"&amp;B330</f>
        <v>2026-10 月例|下水道局</v>
      </c>
      <c r="CN330" s="34" t="str">
        <f aca="false">IFERROR(INDEX(設定!$D$61:$D$106,MATCH(B330,設定!$B$61:$B$106,0)),"Y")</f>
        <v>Y</v>
      </c>
      <c r="CO330" s="34" t="str">
        <f aca="false">IFERROR(INDEX(設定!$D$20:$D$34,MATCH(A330,設定!$A$20:$A$34,0))&amp;"","")</f>
        <v>2026-09 月例</v>
      </c>
    </row>
    <row r="331" customFormat="false" ht="15" hidden="false" customHeight="false" outlineLevel="0" collapsed="false">
      <c r="A331" s="22" t="s">
        <v>223</v>
      </c>
      <c r="B331" s="23" t="s">
        <v>170</v>
      </c>
      <c r="C331" s="10" t="str">
        <f aca="false">IF(G331="","未受領",IF(G331="なし","報告なし",IF(AL331="○","起票済",IF(OR(AK331="○",F331="一致",F331="入金不要"),"入金確認済","受領済"))))</f>
        <v>未受領</v>
      </c>
      <c r="D331" s="10" t="str">
        <f aca="false">IF(OR(G331="",G331="なし"),"―",IF(CN331="N","対象外",IF(AND(I331="",J331="",K331=""),"標報未入力",IF(CH331&gt;=設定!$B$4,"要確認","問題なし"))))</f>
        <v>―</v>
      </c>
      <c r="E331" s="24" t="str">
        <f aca="false">IF(OR(G331="",G331="なし",CI331="",CJ331=0),"―",IF(CJ331=CI331,"前月同額",IF(CI331=0,"―",IF(ABS(CJ331/CI331-1)&gt;=設定!$B$5,"変動大 "&amp;TEXT(CJ331/CI331-1,"+0%;-0%"),"〇"))))</f>
        <v>―</v>
      </c>
      <c r="F331" s="10" t="str">
        <f aca="false">IF(OR(G331="",G331="なし"),"―",IF(CJ331=0,"入金不要",IF(COUNT(AD331,AF331,AH331,AJ331)=0,IF(AK331="○","手動確認","未入金"),IF(AND(N(AD331)=AC331,IF(AE331="",TRUE(),N(AF331)=AE331),IF(AG331="",TRUE(),N(AH331)=AG331),IF(AI331="",TRUE(),N(AJ331)=AI331)),"一致","不一致"))))</f>
        <v>―</v>
      </c>
      <c r="G331" s="25"/>
      <c r="H331" s="26"/>
      <c r="I331" s="27"/>
      <c r="J331" s="27"/>
      <c r="K331" s="27"/>
      <c r="L331" s="27"/>
      <c r="M331" s="27"/>
      <c r="N331" s="27"/>
      <c r="O331" s="27"/>
      <c r="P331" s="27"/>
      <c r="Q331" s="27"/>
      <c r="R331" s="27"/>
      <c r="S331" s="27"/>
      <c r="T331" s="27"/>
      <c r="U331" s="27"/>
      <c r="V331" s="27"/>
      <c r="W331" s="27"/>
      <c r="X331" s="27"/>
      <c r="Y331" s="27"/>
      <c r="Z331" s="27"/>
      <c r="AA331" s="10" t="str">
        <f aca="false">IFERROR(INDEX(設定!$E$61:$E$106,MATCH(B331,設定!$B$61:$B$106,0)),"合算")</f>
        <v>合算</v>
      </c>
      <c r="AB331" s="28"/>
      <c r="AC331" s="29" t="str">
        <f aca="false">IF(OR(G331="",G331="なし"),"",IF(AA331="合算",CJ331+N(Z331),IF(AA331="掛金・負担金別",(AY331+AZ331+BD331+BF331+BH331),SUM(AY331:BC331))))</f>
        <v/>
      </c>
      <c r="AD331" s="27"/>
      <c r="AE331" s="29" t="str">
        <f aca="false">IF(OR(G331="",G331="なし"),"",IF(AA331="掛金・負担金別",(BA331+BB331+BC331+BE331+BG331+BI331+N(Z331)),IF(AA331="経理区分別",BD331+BE331,"")))</f>
        <v/>
      </c>
      <c r="AF331" s="27"/>
      <c r="AG331" s="29" t="str">
        <f aca="false">IF(OR(G331="",G331="なし"),"",IF(AA331="経理区分別",BF331+BG331,""))</f>
        <v/>
      </c>
      <c r="AH331" s="27"/>
      <c r="AI331" s="29" t="str">
        <f aca="false">IF(OR(G331="",G331="なし"),"",IF(AA331="経理区分別",BH331+BI331+N(Z331),""))</f>
        <v/>
      </c>
      <c r="AJ331" s="27"/>
      <c r="AK331" s="26"/>
      <c r="AL331" s="26"/>
      <c r="AM331" s="30"/>
      <c r="AN331" s="31" t="n">
        <v>53818470</v>
      </c>
      <c r="AO331" s="31" t="n">
        <v>4405650</v>
      </c>
      <c r="AP331" s="31" t="n">
        <v>78389280</v>
      </c>
      <c r="AQ331" s="31" t="n">
        <v>4404675</v>
      </c>
      <c r="AR331" s="31" t="n">
        <v>55545</v>
      </c>
      <c r="AS331" s="31" t="n">
        <v>33023349</v>
      </c>
      <c r="AT331" s="31" t="n">
        <v>33605263</v>
      </c>
      <c r="AU331" s="31" t="n">
        <v>1962484</v>
      </c>
      <c r="AV331" s="31" t="n">
        <v>1955455</v>
      </c>
      <c r="AW331" s="31" t="n">
        <v>1</v>
      </c>
      <c r="AX331" s="31" t="n">
        <v>1</v>
      </c>
      <c r="AY331" s="31" t="n">
        <f aca="false">IF($G331="",AN331,O331)</f>
        <v>53818470</v>
      </c>
      <c r="AZ331" s="31" t="n">
        <f aca="false">IF($G331="",AO331,P331)</f>
        <v>4405650</v>
      </c>
      <c r="BA331" s="31" t="n">
        <f aca="false">IF($G331="",AP331,T331)</f>
        <v>78389280</v>
      </c>
      <c r="BB331" s="31" t="n">
        <f aca="false">IF($G331="",AQ331,U331)</f>
        <v>4404675</v>
      </c>
      <c r="BC331" s="31" t="n">
        <f aca="false">IF($G331="",AR331,V331)</f>
        <v>55545</v>
      </c>
      <c r="BD331" s="31" t="n">
        <f aca="false">IF($G331="",AS331,Q331)</f>
        <v>33023349</v>
      </c>
      <c r="BE331" s="31" t="n">
        <f aca="false">IF($G331="",AT331,W331)</f>
        <v>33605263</v>
      </c>
      <c r="BF331" s="31" t="n">
        <f aca="false">IF($G331="",AU331,R331)</f>
        <v>1962484</v>
      </c>
      <c r="BG331" s="31" t="n">
        <f aca="false">IF($G331="",AV331,X331)</f>
        <v>1955455</v>
      </c>
      <c r="BH331" s="31" t="n">
        <f aca="false">IF($G331="",AW331,S331)</f>
        <v>1</v>
      </c>
      <c r="BI331" s="31" t="n">
        <f aca="false">IF($G331="",AX331,Y331)</f>
        <v>1</v>
      </c>
      <c r="BJ331" s="31" t="n">
        <f aca="false">IF(CK331="N",BR331,ROUNDDOWN((I331-L331)*設定!$B$10/1000,0)+ROUNDDOWN((I331-L331)*設定!$B$11/1000,0))</f>
        <v>0</v>
      </c>
      <c r="BK331" s="31" t="n">
        <f aca="false">ROUNDDOWN((I331-L331)*設定!$C$10/1000,0)+ROUNDDOWN((I331-L331)*設定!$C$11/1000,0)+ROUNDDOWN(I331*設定!$C$12/1000,0)+IF(CL331="市局型",ROUNDDOWN(I331*設定!$C$16/1000,0),0)</f>
        <v>0</v>
      </c>
      <c r="BL331" s="31" t="n">
        <f aca="false">IF(CK331="N",BT331,ROUNDDOWN((J331-M331)*設定!$B$13/1000,0))</f>
        <v>0</v>
      </c>
      <c r="BM331" s="31" t="n">
        <f aca="false">ROUNDDOWN((J331-M331)*設定!$C$13/1000,0)+IF(CL331="市局型",ROUNDDOWN(J331*設定!$C$17/1000,0),0)</f>
        <v>0</v>
      </c>
      <c r="BN331" s="31" t="n">
        <f aca="false">IF(CK331="N",BV331,ROUNDDOWN((K331-N331)*設定!$B$14/1000,0))</f>
        <v>0</v>
      </c>
      <c r="BO331" s="31" t="n">
        <f aca="false">ROUNDDOWN((K331-N331)*設定!$C$14/1000,0)</f>
        <v>0</v>
      </c>
      <c r="BP331" s="31" t="n">
        <f aca="false">IF(CK331="N",BX331,ROUNDDOWN((J331-M331)*設定!$B$15/1000,0))</f>
        <v>0</v>
      </c>
      <c r="BQ331" s="31" t="n">
        <f aca="false">ROUNDDOWN((J331-M331)*設定!$C$15/1000,0)</f>
        <v>0</v>
      </c>
      <c r="BR331" s="31" t="n">
        <f aca="false">O331+P331</f>
        <v>0</v>
      </c>
      <c r="BS331" s="31" t="n">
        <f aca="false">T331+U331+V331</f>
        <v>0</v>
      </c>
      <c r="BT331" s="31" t="n">
        <f aca="false">Q331</f>
        <v>0</v>
      </c>
      <c r="BU331" s="31" t="n">
        <f aca="false">W331</f>
        <v>0</v>
      </c>
      <c r="BV331" s="31" t="n">
        <f aca="false">R331</f>
        <v>0</v>
      </c>
      <c r="BW331" s="31" t="n">
        <f aca="false">X331</f>
        <v>0</v>
      </c>
      <c r="BX331" s="31" t="n">
        <f aca="false">S331</f>
        <v>0</v>
      </c>
      <c r="BY331" s="31" t="n">
        <f aca="false">Y331</f>
        <v>0</v>
      </c>
      <c r="BZ331" s="32" t="n">
        <f aca="false">IF(BJ331=0,IF(BR331=0,0,1),(BR331-BJ331)/BJ331)</f>
        <v>0</v>
      </c>
      <c r="CA331" s="32" t="n">
        <f aca="false">IF(BK331=0,IF(BS331=0,0,1),(BS331-BK331)/BK331)</f>
        <v>0</v>
      </c>
      <c r="CB331" s="32" t="n">
        <f aca="false">IF(BL331=0,IF(BT331=0,0,1),(BT331-BL331)/BL331)</f>
        <v>0</v>
      </c>
      <c r="CC331" s="32" t="n">
        <f aca="false">IF(BM331=0,IF(BU331=0,0,1),(BU331-BM331)/BM331)</f>
        <v>0</v>
      </c>
      <c r="CD331" s="32" t="n">
        <f aca="false">IF(BN331=0,IF(BV331=0,0,1),(BV331-BN331)/BN331)</f>
        <v>0</v>
      </c>
      <c r="CE331" s="32" t="n">
        <f aca="false">IF(BO331=0,IF(BW331=0,0,1),(BW331-BO331)/BO331)</f>
        <v>0</v>
      </c>
      <c r="CF331" s="32" t="n">
        <f aca="false">IF(BP331=0,IF(BX331=0,0,1),(BX331-BP331)/BP331)</f>
        <v>0</v>
      </c>
      <c r="CG331" s="32" t="n">
        <f aca="false">IF(BQ331=0,IF(BY331=0,0,1),(BY331-BQ331)/BQ331)</f>
        <v>0</v>
      </c>
      <c r="CH331" s="32" t="n">
        <f aca="false">MAX(MAX(BZ331:CG331),-MIN(BZ331:CG331))</f>
        <v>-0</v>
      </c>
      <c r="CI331" s="31" t="n">
        <f aca="false">IF(CO331="","",SUMIFS($CJ$7:$CJ$696,$A$7:$A$696,CO331,$B$7:$B$696,B331))</f>
        <v>213770790</v>
      </c>
      <c r="CJ331" s="31" t="n">
        <f aca="false">SUM(AY331:BI331)</f>
        <v>211620173</v>
      </c>
      <c r="CK331" s="31" t="str">
        <f aca="false">IFERROR(INDEX(設定!$F$61:$F$106,MATCH(B331,設定!$B$61:$B$106,0)),"Y")</f>
        <v>Y</v>
      </c>
      <c r="CL331" s="31" t="str">
        <f aca="false">IFERROR(INDEX(設定!$G$61:$G$106,MATCH(B331,設定!$B$61:$B$106,0)),"外郭型")</f>
        <v>市局型</v>
      </c>
      <c r="CM331" s="33" t="str">
        <f aca="false">A331&amp;"|"&amp;B331</f>
        <v>2026-10 月例|消防局</v>
      </c>
      <c r="CN331" s="34" t="str">
        <f aca="false">IFERROR(INDEX(設定!$D$61:$D$106,MATCH(B331,設定!$B$61:$B$106,0)),"Y")</f>
        <v>N</v>
      </c>
      <c r="CO331" s="34" t="str">
        <f aca="false">IFERROR(INDEX(設定!$D$20:$D$34,MATCH(A331,設定!$A$20:$A$34,0))&amp;"","")</f>
        <v>2026-09 月例</v>
      </c>
    </row>
    <row r="332" customFormat="false" ht="15" hidden="false" customHeight="false" outlineLevel="0" collapsed="false">
      <c r="A332" s="22" t="s">
        <v>223</v>
      </c>
      <c r="B332" s="23" t="s">
        <v>171</v>
      </c>
      <c r="C332" s="10" t="str">
        <f aca="false">IF(G332="","未受領",IF(G332="なし","報告なし",IF(AL332="○","起票済",IF(OR(AK332="○",F332="一致",F332="入金不要"),"入金確認済","受領済"))))</f>
        <v>未受領</v>
      </c>
      <c r="D332" s="10" t="str">
        <f aca="false">IF(OR(G332="",G332="なし"),"―",IF(CN332="N","対象外",IF(AND(I332="",J332="",K332=""),"標報未入力",IF(CH332&gt;=設定!$B$4,"要確認","問題なし"))))</f>
        <v>―</v>
      </c>
      <c r="E332" s="24" t="str">
        <f aca="false">IF(OR(G332="",G332="なし",CI332="",CJ332=0),"―",IF(CJ332=CI332,"前月同額",IF(CI332=0,"―",IF(ABS(CJ332/CI332-1)&gt;=設定!$B$5,"変動大 "&amp;TEXT(CJ332/CI332-1,"+0%;-0%"),"〇"))))</f>
        <v>―</v>
      </c>
      <c r="F332" s="10" t="str">
        <f aca="false">IF(OR(G332="",G332="なし"),"―",IF(CJ332=0,"入金不要",IF(COUNT(AD332,AF332,AH332,AJ332)=0,IF(AK332="○","手動確認","未入金"),IF(AND(N(AD332)=AC332,IF(AE332="",TRUE(),N(AF332)=AE332),IF(AG332="",TRUE(),N(AH332)=AG332),IF(AI332="",TRUE(),N(AJ332)=AI332)),"一致","不一致"))))</f>
        <v>―</v>
      </c>
      <c r="G332" s="25"/>
      <c r="H332" s="26"/>
      <c r="I332" s="27"/>
      <c r="J332" s="27"/>
      <c r="K332" s="27"/>
      <c r="L332" s="27"/>
      <c r="M332" s="27"/>
      <c r="N332" s="27"/>
      <c r="O332" s="27"/>
      <c r="P332" s="27"/>
      <c r="Q332" s="27"/>
      <c r="R332" s="27"/>
      <c r="S332" s="27"/>
      <c r="T332" s="27"/>
      <c r="U332" s="27"/>
      <c r="V332" s="27"/>
      <c r="W332" s="27"/>
      <c r="X332" s="27"/>
      <c r="Y332" s="27"/>
      <c r="Z332" s="27"/>
      <c r="AA332" s="10" t="str">
        <f aca="false">IFERROR(INDEX(設定!$E$61:$E$106,MATCH(B332,設定!$B$61:$B$106,0)),"合算")</f>
        <v>合算</v>
      </c>
      <c r="AB332" s="28"/>
      <c r="AC332" s="29" t="str">
        <f aca="false">IF(OR(G332="",G332="なし"),"",IF(AA332="合算",CJ332+N(Z332),IF(AA332="掛金・負担金別",(AY332+AZ332+BD332+BF332+BH332),SUM(AY332:BC332))))</f>
        <v/>
      </c>
      <c r="AD332" s="27"/>
      <c r="AE332" s="29" t="str">
        <f aca="false">IF(OR(G332="",G332="なし"),"",IF(AA332="掛金・負担金別",(BA332+BB332+BC332+BE332+BG332+BI332+N(Z332)),IF(AA332="経理区分別",BD332+BE332,"")))</f>
        <v/>
      </c>
      <c r="AF332" s="27"/>
      <c r="AG332" s="29" t="str">
        <f aca="false">IF(OR(G332="",G332="なし"),"",IF(AA332="経理区分別",BF332+BG332,""))</f>
        <v/>
      </c>
      <c r="AH332" s="27"/>
      <c r="AI332" s="29" t="str">
        <f aca="false">IF(OR(G332="",G332="なし"),"",IF(AA332="経理区分別",BH332+BI332+N(Z332),""))</f>
        <v/>
      </c>
      <c r="AJ332" s="27"/>
      <c r="AK332" s="26"/>
      <c r="AL332" s="26"/>
      <c r="AM332" s="30"/>
      <c r="AN332" s="31" t="n">
        <v>1740330</v>
      </c>
      <c r="AO332" s="31" t="n">
        <v>142650</v>
      </c>
      <c r="AP332" s="31" t="n">
        <v>2539620</v>
      </c>
      <c r="AQ332" s="31" t="n">
        <v>142650</v>
      </c>
      <c r="AR332" s="31" t="n">
        <v>1808</v>
      </c>
      <c r="AS332" s="31" t="n">
        <v>1055074</v>
      </c>
      <c r="AT332" s="31" t="n">
        <v>1073929</v>
      </c>
      <c r="AU332" s="31" t="n">
        <v>96696</v>
      </c>
      <c r="AV332" s="31" t="n">
        <v>96696</v>
      </c>
      <c r="AW332" s="31" t="n">
        <v>1</v>
      </c>
      <c r="AX332" s="31" t="n">
        <v>1</v>
      </c>
      <c r="AY332" s="31" t="n">
        <f aca="false">IF($G332="",AN332,O332)</f>
        <v>1740330</v>
      </c>
      <c r="AZ332" s="31" t="n">
        <f aca="false">IF($G332="",AO332,P332)</f>
        <v>142650</v>
      </c>
      <c r="BA332" s="31" t="n">
        <f aca="false">IF($G332="",AP332,T332)</f>
        <v>2539620</v>
      </c>
      <c r="BB332" s="31" t="n">
        <f aca="false">IF($G332="",AQ332,U332)</f>
        <v>142650</v>
      </c>
      <c r="BC332" s="31" t="n">
        <f aca="false">IF($G332="",AR332,V332)</f>
        <v>1808</v>
      </c>
      <c r="BD332" s="31" t="n">
        <f aca="false">IF($G332="",AS332,Q332)</f>
        <v>1055074</v>
      </c>
      <c r="BE332" s="31" t="n">
        <f aca="false">IF($G332="",AT332,W332)</f>
        <v>1073929</v>
      </c>
      <c r="BF332" s="31" t="n">
        <f aca="false">IF($G332="",AU332,R332)</f>
        <v>96696</v>
      </c>
      <c r="BG332" s="31" t="n">
        <f aca="false">IF($G332="",AV332,X332)</f>
        <v>96696</v>
      </c>
      <c r="BH332" s="31" t="n">
        <f aca="false">IF($G332="",AW332,S332)</f>
        <v>1</v>
      </c>
      <c r="BI332" s="31" t="n">
        <f aca="false">IF($G332="",AX332,Y332)</f>
        <v>1</v>
      </c>
      <c r="BJ332" s="31" t="n">
        <f aca="false">IF(CK332="N",BR332,ROUNDDOWN((I332-L332)*設定!$B$10/1000,0)+ROUNDDOWN((I332-L332)*設定!$B$11/1000,0))</f>
        <v>0</v>
      </c>
      <c r="BK332" s="31" t="n">
        <f aca="false">ROUNDDOWN((I332-L332)*設定!$C$10/1000,0)+ROUNDDOWN((I332-L332)*設定!$C$11/1000,0)+ROUNDDOWN(I332*設定!$C$12/1000,0)+IF(CL332="市局型",ROUNDDOWN(I332*設定!$C$16/1000,0),0)</f>
        <v>0</v>
      </c>
      <c r="BL332" s="31" t="n">
        <f aca="false">IF(CK332="N",BT332,ROUNDDOWN((J332-M332)*設定!$B$13/1000,0))</f>
        <v>0</v>
      </c>
      <c r="BM332" s="31" t="n">
        <f aca="false">ROUNDDOWN((J332-M332)*設定!$C$13/1000,0)+IF(CL332="市局型",ROUNDDOWN(J332*設定!$C$17/1000,0),0)</f>
        <v>0</v>
      </c>
      <c r="BN332" s="31" t="n">
        <f aca="false">IF(CK332="N",BV332,ROUNDDOWN((K332-N332)*設定!$B$14/1000,0))</f>
        <v>0</v>
      </c>
      <c r="BO332" s="31" t="n">
        <f aca="false">ROUNDDOWN((K332-N332)*設定!$C$14/1000,0)</f>
        <v>0</v>
      </c>
      <c r="BP332" s="31" t="n">
        <f aca="false">IF(CK332="N",BX332,ROUNDDOWN((J332-M332)*設定!$B$15/1000,0))</f>
        <v>0</v>
      </c>
      <c r="BQ332" s="31" t="n">
        <f aca="false">ROUNDDOWN((J332-M332)*設定!$C$15/1000,0)</f>
        <v>0</v>
      </c>
      <c r="BR332" s="31" t="n">
        <f aca="false">O332+P332</f>
        <v>0</v>
      </c>
      <c r="BS332" s="31" t="n">
        <f aca="false">T332+U332+V332</f>
        <v>0</v>
      </c>
      <c r="BT332" s="31" t="n">
        <f aca="false">Q332</f>
        <v>0</v>
      </c>
      <c r="BU332" s="31" t="n">
        <f aca="false">W332</f>
        <v>0</v>
      </c>
      <c r="BV332" s="31" t="n">
        <f aca="false">R332</f>
        <v>0</v>
      </c>
      <c r="BW332" s="31" t="n">
        <f aca="false">X332</f>
        <v>0</v>
      </c>
      <c r="BX332" s="31" t="n">
        <f aca="false">S332</f>
        <v>0</v>
      </c>
      <c r="BY332" s="31" t="n">
        <f aca="false">Y332</f>
        <v>0</v>
      </c>
      <c r="BZ332" s="32" t="n">
        <f aca="false">IF(BJ332=0,IF(BR332=0,0,1),(BR332-BJ332)/BJ332)</f>
        <v>0</v>
      </c>
      <c r="CA332" s="32" t="n">
        <f aca="false">IF(BK332=0,IF(BS332=0,0,1),(BS332-BK332)/BK332)</f>
        <v>0</v>
      </c>
      <c r="CB332" s="32" t="n">
        <f aca="false">IF(BL332=0,IF(BT332=0,0,1),(BT332-BL332)/BL332)</f>
        <v>0</v>
      </c>
      <c r="CC332" s="32" t="n">
        <f aca="false">IF(BM332=0,IF(BU332=0,0,1),(BU332-BM332)/BM332)</f>
        <v>0</v>
      </c>
      <c r="CD332" s="32" t="n">
        <f aca="false">IF(BN332=0,IF(BV332=0,0,1),(BV332-BN332)/BN332)</f>
        <v>0</v>
      </c>
      <c r="CE332" s="32" t="n">
        <f aca="false">IF(BO332=0,IF(BW332=0,0,1),(BW332-BO332)/BO332)</f>
        <v>0</v>
      </c>
      <c r="CF332" s="32" t="n">
        <f aca="false">IF(BP332=0,IF(BX332=0,0,1),(BX332-BP332)/BP332)</f>
        <v>0</v>
      </c>
      <c r="CG332" s="32" t="n">
        <f aca="false">IF(BQ332=0,IF(BY332=0,0,1),(BY332-BQ332)/BQ332)</f>
        <v>0</v>
      </c>
      <c r="CH332" s="32" t="n">
        <f aca="false">MAX(MAX(BZ332:CG332),-MIN(BZ332:CG332))</f>
        <v>-0</v>
      </c>
      <c r="CI332" s="31" t="n">
        <f aca="false">IF(CO332="","",SUMIFS($CJ$7:$CJ$696,$A$7:$A$696,CO332,$B$7:$B$696,B332))</f>
        <v>6992262</v>
      </c>
      <c r="CJ332" s="31" t="n">
        <f aca="false">SUM(AY332:BI332)</f>
        <v>6889455</v>
      </c>
      <c r="CK332" s="31" t="str">
        <f aca="false">IFERROR(INDEX(設定!$F$61:$F$106,MATCH(B332,設定!$B$61:$B$106,0)),"Y")</f>
        <v>Y</v>
      </c>
      <c r="CL332" s="31" t="str">
        <f aca="false">IFERROR(INDEX(設定!$G$61:$G$106,MATCH(B332,設定!$B$61:$B$106,0)),"外郭型")</f>
        <v>市局型</v>
      </c>
      <c r="CM332" s="33" t="str">
        <f aca="false">A332&amp;"|"&amp;B332</f>
        <v>2026-10 月例|議会事務局</v>
      </c>
      <c r="CN332" s="34" t="str">
        <f aca="false">IFERROR(INDEX(設定!$D$61:$D$106,MATCH(B332,設定!$B$61:$B$106,0)),"Y")</f>
        <v>Y</v>
      </c>
      <c r="CO332" s="34" t="str">
        <f aca="false">IFERROR(INDEX(設定!$D$20:$D$34,MATCH(A332,設定!$A$20:$A$34,0))&amp;"","")</f>
        <v>2026-09 月例</v>
      </c>
    </row>
    <row r="333" customFormat="false" ht="15" hidden="false" customHeight="false" outlineLevel="0" collapsed="false">
      <c r="A333" s="22" t="s">
        <v>223</v>
      </c>
      <c r="B333" s="23" t="s">
        <v>172</v>
      </c>
      <c r="C333" s="10" t="str">
        <f aca="false">IF(G333="","未受領",IF(G333="なし","報告なし",IF(AL333="○","起票済",IF(OR(AK333="○",F333="一致",F333="入金不要"),"入金確認済","受領済"))))</f>
        <v>未受領</v>
      </c>
      <c r="D333" s="10" t="str">
        <f aca="false">IF(OR(G333="",G333="なし"),"―",IF(CN333="N","対象外",IF(AND(I333="",J333="",K333=""),"標報未入力",IF(CH333&gt;=設定!$B$4,"要確認","問題なし"))))</f>
        <v>―</v>
      </c>
      <c r="E333" s="24" t="str">
        <f aca="false">IF(OR(G333="",G333="なし",CI333="",CJ333=0),"―",IF(CJ333=CI333,"前月同額",IF(CI333=0,"―",IF(ABS(CJ333/CI333-1)&gt;=設定!$B$5,"変動大 "&amp;TEXT(CJ333/CI333-1,"+0%;-0%"),"〇"))))</f>
        <v>―</v>
      </c>
      <c r="F333" s="10" t="str">
        <f aca="false">IF(OR(G333="",G333="なし"),"―",IF(CJ333=0,"入金不要",IF(COUNT(AD333,AF333,AH333,AJ333)=0,IF(AK333="○","手動確認","未入金"),IF(AND(N(AD333)=AC333,IF(AE333="",TRUE(),N(AF333)=AE333),IF(AG333="",TRUE(),N(AH333)=AG333),IF(AI333="",TRUE(),N(AJ333)=AI333)),"一致","不一致"))))</f>
        <v>―</v>
      </c>
      <c r="G333" s="25"/>
      <c r="H333" s="26"/>
      <c r="I333" s="27"/>
      <c r="J333" s="27"/>
      <c r="K333" s="27"/>
      <c r="L333" s="27"/>
      <c r="M333" s="27"/>
      <c r="N333" s="27"/>
      <c r="O333" s="27"/>
      <c r="P333" s="27"/>
      <c r="Q333" s="27"/>
      <c r="R333" s="27"/>
      <c r="S333" s="27"/>
      <c r="T333" s="27"/>
      <c r="U333" s="27"/>
      <c r="V333" s="27"/>
      <c r="W333" s="27"/>
      <c r="X333" s="27"/>
      <c r="Y333" s="27"/>
      <c r="Z333" s="27"/>
      <c r="AA333" s="10" t="str">
        <f aca="false">IFERROR(INDEX(設定!$E$61:$E$106,MATCH(B333,設定!$B$61:$B$106,0)),"合算")</f>
        <v>合算</v>
      </c>
      <c r="AB333" s="28"/>
      <c r="AC333" s="29" t="str">
        <f aca="false">IF(OR(G333="",G333="なし"),"",IF(AA333="合算",CJ333+N(Z333),IF(AA333="掛金・負担金別",(AY333+AZ333+BD333+BF333+BH333),SUM(AY333:BC333))))</f>
        <v/>
      </c>
      <c r="AD333" s="27"/>
      <c r="AE333" s="29" t="str">
        <f aca="false">IF(OR(G333="",G333="なし"),"",IF(AA333="掛金・負担金別",(BA333+BB333+BC333+BE333+BG333+BI333+N(Z333)),IF(AA333="経理区分別",BD333+BE333,"")))</f>
        <v/>
      </c>
      <c r="AF333" s="27"/>
      <c r="AG333" s="29" t="str">
        <f aca="false">IF(OR(G333="",G333="なし"),"",IF(AA333="経理区分別",BF333+BG333,""))</f>
        <v/>
      </c>
      <c r="AH333" s="27"/>
      <c r="AI333" s="29" t="str">
        <f aca="false">IF(OR(G333="",G333="なし"),"",IF(AA333="経理区分別",BH333+BI333+N(Z333),""))</f>
        <v/>
      </c>
      <c r="AJ333" s="27"/>
      <c r="AK333" s="26"/>
      <c r="AL333" s="26"/>
      <c r="AM333" s="30"/>
      <c r="AN333" s="31" t="n">
        <v>24178326</v>
      </c>
      <c r="AO333" s="31" t="n">
        <v>1981830</v>
      </c>
      <c r="AP333" s="31" t="n">
        <v>35265535</v>
      </c>
      <c r="AQ333" s="31" t="n">
        <v>1982550</v>
      </c>
      <c r="AR333" s="31" t="n">
        <v>25061</v>
      </c>
      <c r="AS333" s="31" t="n">
        <v>25754073</v>
      </c>
      <c r="AT333" s="31" t="n">
        <v>26235747</v>
      </c>
      <c r="AU333" s="31" t="n">
        <v>2801103</v>
      </c>
      <c r="AV333" s="31" t="n">
        <v>2793876</v>
      </c>
      <c r="AW333" s="31" t="n">
        <v>1</v>
      </c>
      <c r="AX333" s="31" t="n">
        <v>1</v>
      </c>
      <c r="AY333" s="31" t="n">
        <f aca="false">IF($G333="",AN333,O333)</f>
        <v>24178326</v>
      </c>
      <c r="AZ333" s="31" t="n">
        <f aca="false">IF($G333="",AO333,P333)</f>
        <v>1981830</v>
      </c>
      <c r="BA333" s="31" t="n">
        <f aca="false">IF($G333="",AP333,T333)</f>
        <v>35265535</v>
      </c>
      <c r="BB333" s="31" t="n">
        <f aca="false">IF($G333="",AQ333,U333)</f>
        <v>1982550</v>
      </c>
      <c r="BC333" s="31" t="n">
        <f aca="false">IF($G333="",AR333,V333)</f>
        <v>25061</v>
      </c>
      <c r="BD333" s="31" t="n">
        <f aca="false">IF($G333="",AS333,Q333)</f>
        <v>25754073</v>
      </c>
      <c r="BE333" s="31" t="n">
        <f aca="false">IF($G333="",AT333,W333)</f>
        <v>26235747</v>
      </c>
      <c r="BF333" s="31" t="n">
        <f aca="false">IF($G333="",AU333,R333)</f>
        <v>2801103</v>
      </c>
      <c r="BG333" s="31" t="n">
        <f aca="false">IF($G333="",AV333,X333)</f>
        <v>2793876</v>
      </c>
      <c r="BH333" s="31" t="n">
        <f aca="false">IF($G333="",AW333,S333)</f>
        <v>1</v>
      </c>
      <c r="BI333" s="31" t="n">
        <f aca="false">IF($G333="",AX333,Y333)</f>
        <v>1</v>
      </c>
      <c r="BJ333" s="31" t="n">
        <f aca="false">IF(CK333="N",BR333,ROUNDDOWN((I333-L333)*設定!$B$10/1000,0)+ROUNDDOWN((I333-L333)*設定!$B$11/1000,0))</f>
        <v>0</v>
      </c>
      <c r="BK333" s="31" t="n">
        <f aca="false">ROUNDDOWN((I333-L333)*設定!$C$10/1000,0)+ROUNDDOWN((I333-L333)*設定!$C$11/1000,0)+ROUNDDOWN(I333*設定!$C$12/1000,0)+IF(CL333="市局型",ROUNDDOWN(I333*設定!$C$16/1000,0),0)</f>
        <v>0</v>
      </c>
      <c r="BL333" s="31" t="n">
        <f aca="false">IF(CK333="N",BT333,ROUNDDOWN((J333-M333)*設定!$B$13/1000,0))</f>
        <v>0</v>
      </c>
      <c r="BM333" s="31" t="n">
        <f aca="false">ROUNDDOWN((J333-M333)*設定!$C$13/1000,0)+IF(CL333="市局型",ROUNDDOWN(J333*設定!$C$17/1000,0),0)</f>
        <v>0</v>
      </c>
      <c r="BN333" s="31" t="n">
        <f aca="false">IF(CK333="N",BV333,ROUNDDOWN((K333-N333)*設定!$B$14/1000,0))</f>
        <v>0</v>
      </c>
      <c r="BO333" s="31" t="n">
        <f aca="false">ROUNDDOWN((K333-N333)*設定!$C$14/1000,0)</f>
        <v>0</v>
      </c>
      <c r="BP333" s="31" t="n">
        <f aca="false">IF(CK333="N",BX333,ROUNDDOWN((J333-M333)*設定!$B$15/1000,0))</f>
        <v>0</v>
      </c>
      <c r="BQ333" s="31" t="n">
        <f aca="false">ROUNDDOWN((J333-M333)*設定!$C$15/1000,0)</f>
        <v>0</v>
      </c>
      <c r="BR333" s="31" t="n">
        <f aca="false">O333+P333</f>
        <v>0</v>
      </c>
      <c r="BS333" s="31" t="n">
        <f aca="false">T333+U333+V333</f>
        <v>0</v>
      </c>
      <c r="BT333" s="31" t="n">
        <f aca="false">Q333</f>
        <v>0</v>
      </c>
      <c r="BU333" s="31" t="n">
        <f aca="false">W333</f>
        <v>0</v>
      </c>
      <c r="BV333" s="31" t="n">
        <f aca="false">R333</f>
        <v>0</v>
      </c>
      <c r="BW333" s="31" t="n">
        <f aca="false">X333</f>
        <v>0</v>
      </c>
      <c r="BX333" s="31" t="n">
        <f aca="false">S333</f>
        <v>0</v>
      </c>
      <c r="BY333" s="31" t="n">
        <f aca="false">Y333</f>
        <v>0</v>
      </c>
      <c r="BZ333" s="32" t="n">
        <f aca="false">IF(BJ333=0,IF(BR333=0,0,1),(BR333-BJ333)/BJ333)</f>
        <v>0</v>
      </c>
      <c r="CA333" s="32" t="n">
        <f aca="false">IF(BK333=0,IF(BS333=0,0,1),(BS333-BK333)/BK333)</f>
        <v>0</v>
      </c>
      <c r="CB333" s="32" t="n">
        <f aca="false">IF(BL333=0,IF(BT333=0,0,1),(BT333-BL333)/BL333)</f>
        <v>0</v>
      </c>
      <c r="CC333" s="32" t="n">
        <f aca="false">IF(BM333=0,IF(BU333=0,0,1),(BU333-BM333)/BM333)</f>
        <v>0</v>
      </c>
      <c r="CD333" s="32" t="n">
        <f aca="false">IF(BN333=0,IF(BV333=0,0,1),(BV333-BN333)/BN333)</f>
        <v>0</v>
      </c>
      <c r="CE333" s="32" t="n">
        <f aca="false">IF(BO333=0,IF(BW333=0,0,1),(BW333-BO333)/BO333)</f>
        <v>0</v>
      </c>
      <c r="CF333" s="32" t="n">
        <f aca="false">IF(BP333=0,IF(BX333=0,0,1),(BX333-BP333)/BP333)</f>
        <v>0</v>
      </c>
      <c r="CG333" s="32" t="n">
        <f aca="false">IF(BQ333=0,IF(BY333=0,0,1),(BY333-BQ333)/BQ333)</f>
        <v>0</v>
      </c>
      <c r="CH333" s="32" t="n">
        <f aca="false">MAX(MAX(BZ333:CG333),-MIN(BZ333:CG333))</f>
        <v>-0</v>
      </c>
      <c r="CI333" s="31" t="n">
        <f aca="false">IF(CO333="","",SUMIFS($CJ$7:$CJ$696,$A$7:$A$696,CO333,$B$7:$B$696,B333))</f>
        <v>120629156</v>
      </c>
      <c r="CJ333" s="31" t="n">
        <f aca="false">SUM(AY333:BI333)</f>
        <v>121018103</v>
      </c>
      <c r="CK333" s="31" t="str">
        <f aca="false">IFERROR(INDEX(設定!$F$61:$F$106,MATCH(B333,設定!$B$61:$B$106,0)),"Y")</f>
        <v>Y</v>
      </c>
      <c r="CL333" s="31" t="str">
        <f aca="false">IFERROR(INDEX(設定!$G$61:$G$106,MATCH(B333,設定!$B$61:$B$106,0)),"外郭型")</f>
        <v>市局型</v>
      </c>
      <c r="CM333" s="33" t="str">
        <f aca="false">A333&amp;"|"&amp;B333</f>
        <v>2026-10 月例|教育委員会（総務課）</v>
      </c>
      <c r="CN333" s="34" t="str">
        <f aca="false">IFERROR(INDEX(設定!$D$61:$D$106,MATCH(B333,設定!$B$61:$B$106,0)),"Y")</f>
        <v>N</v>
      </c>
      <c r="CO333" s="34" t="str">
        <f aca="false">IFERROR(INDEX(設定!$D$20:$D$34,MATCH(A333,設定!$A$20:$A$34,0))&amp;"","")</f>
        <v>2026-09 月例</v>
      </c>
    </row>
    <row r="334" customFormat="false" ht="15" hidden="false" customHeight="false" outlineLevel="0" collapsed="false">
      <c r="A334" s="22" t="s">
        <v>223</v>
      </c>
      <c r="B334" s="23" t="s">
        <v>173</v>
      </c>
      <c r="C334" s="10" t="str">
        <f aca="false">IF(G334="","未受領",IF(G334="なし","報告なし",IF(AL334="○","起票済",IF(OR(AK334="○",F334="一致",F334="入金不要"),"入金確認済","受領済"))))</f>
        <v>未受領</v>
      </c>
      <c r="D334" s="10" t="str">
        <f aca="false">IF(OR(G334="",G334="なし"),"―",IF(CN334="N","対象外",IF(AND(I334="",J334="",K334=""),"標報未入力",IF(CH334&gt;=設定!$B$4,"要確認","問題なし"))))</f>
        <v>―</v>
      </c>
      <c r="E334" s="24" t="str">
        <f aca="false">IF(OR(G334="",G334="なし",CI334="",CJ334=0),"―",IF(CJ334=CI334,"前月同額",IF(CI334=0,"―",IF(ABS(CJ334/CI334-1)&gt;=設定!$B$5,"変動大 "&amp;TEXT(CJ334/CI334-1,"+0%;-0%"),"〇"))))</f>
        <v>―</v>
      </c>
      <c r="F334" s="10" t="str">
        <f aca="false">IF(OR(G334="",G334="なし"),"―",IF(CJ334=0,"入金不要",IF(COUNT(AD334,AF334,AH334,AJ334)=0,IF(AK334="○","手動確認","未入金"),IF(AND(N(AD334)=AC334,IF(AE334="",TRUE(),N(AF334)=AE334),IF(AG334="",TRUE(),N(AH334)=AG334),IF(AI334="",TRUE(),N(AJ334)=AI334)),"一致","不一致"))))</f>
        <v>―</v>
      </c>
      <c r="G334" s="25"/>
      <c r="H334" s="26"/>
      <c r="I334" s="27"/>
      <c r="J334" s="27"/>
      <c r="K334" s="27"/>
      <c r="L334" s="27"/>
      <c r="M334" s="27"/>
      <c r="N334" s="27"/>
      <c r="O334" s="27"/>
      <c r="P334" s="27"/>
      <c r="Q334" s="27"/>
      <c r="R334" s="27"/>
      <c r="S334" s="27"/>
      <c r="T334" s="27"/>
      <c r="U334" s="27"/>
      <c r="V334" s="27"/>
      <c r="W334" s="27"/>
      <c r="X334" s="27"/>
      <c r="Y334" s="27"/>
      <c r="Z334" s="27"/>
      <c r="AA334" s="10" t="str">
        <f aca="false">IFERROR(INDEX(設定!$E$61:$E$106,MATCH(B334,設定!$B$61:$B$106,0)),"合算")</f>
        <v>合算</v>
      </c>
      <c r="AB334" s="28"/>
      <c r="AC334" s="29" t="str">
        <f aca="false">IF(OR(G334="",G334="なし"),"",IF(AA334="合算",CJ334+N(Z334),IF(AA334="掛金・負担金別",(AY334+AZ334+BD334+BF334+BH334),SUM(AY334:BC334))))</f>
        <v/>
      </c>
      <c r="AD334" s="27"/>
      <c r="AE334" s="29" t="str">
        <f aca="false">IF(OR(G334="",G334="なし"),"",IF(AA334="掛金・負担金別",(BA334+BB334+BC334+BE334+BG334+BI334+N(Z334)),IF(AA334="経理区分別",BD334+BE334,"")))</f>
        <v/>
      </c>
      <c r="AF334" s="27"/>
      <c r="AG334" s="29" t="str">
        <f aca="false">IF(OR(G334="",G334="なし"),"",IF(AA334="経理区分別",BF334+BG334,""))</f>
        <v/>
      </c>
      <c r="AH334" s="27"/>
      <c r="AI334" s="29" t="str">
        <f aca="false">IF(OR(G334="",G334="なし"),"",IF(AA334="経理区分別",BH334+BI334+N(Z334),""))</f>
        <v/>
      </c>
      <c r="AJ334" s="27"/>
      <c r="AK334" s="26"/>
      <c r="AL334" s="26"/>
      <c r="AM334" s="30"/>
      <c r="AN334" s="31" t="n">
        <v>280905</v>
      </c>
      <c r="AO334" s="31" t="n">
        <v>23025</v>
      </c>
      <c r="AP334" s="31" t="n">
        <v>408310</v>
      </c>
      <c r="AQ334" s="31" t="n">
        <v>23025</v>
      </c>
      <c r="AR334" s="31" t="n">
        <v>288</v>
      </c>
      <c r="AS334" s="31" t="n">
        <v>190331</v>
      </c>
      <c r="AT334" s="31" t="n">
        <v>216641</v>
      </c>
      <c r="AU334" s="31" t="n">
        <v>15326</v>
      </c>
      <c r="AV334" s="31" t="n">
        <v>18565</v>
      </c>
      <c r="AW334" s="31" t="n">
        <v>1</v>
      </c>
      <c r="AX334" s="31" t="n">
        <v>1</v>
      </c>
      <c r="AY334" s="31" t="n">
        <f aca="false">IF($G334="",AN334,O334)</f>
        <v>280905</v>
      </c>
      <c r="AZ334" s="31" t="n">
        <f aca="false">IF($G334="",AO334,P334)</f>
        <v>23025</v>
      </c>
      <c r="BA334" s="31" t="n">
        <f aca="false">IF($G334="",AP334,T334)</f>
        <v>408310</v>
      </c>
      <c r="BB334" s="31" t="n">
        <f aca="false">IF($G334="",AQ334,U334)</f>
        <v>23025</v>
      </c>
      <c r="BC334" s="31" t="n">
        <f aca="false">IF($G334="",AR334,V334)</f>
        <v>288</v>
      </c>
      <c r="BD334" s="31" t="n">
        <f aca="false">IF($G334="",AS334,Q334)</f>
        <v>190331</v>
      </c>
      <c r="BE334" s="31" t="n">
        <f aca="false">IF($G334="",AT334,W334)</f>
        <v>216641</v>
      </c>
      <c r="BF334" s="31" t="n">
        <f aca="false">IF($G334="",AU334,R334)</f>
        <v>15326</v>
      </c>
      <c r="BG334" s="31" t="n">
        <f aca="false">IF($G334="",AV334,X334)</f>
        <v>18565</v>
      </c>
      <c r="BH334" s="31" t="n">
        <f aca="false">IF($G334="",AW334,S334)</f>
        <v>1</v>
      </c>
      <c r="BI334" s="31" t="n">
        <f aca="false">IF($G334="",AX334,Y334)</f>
        <v>1</v>
      </c>
      <c r="BJ334" s="31" t="n">
        <f aca="false">IF(CK334="N",BR334,ROUNDDOWN((I334-L334)*設定!$B$10/1000,0)+ROUNDDOWN((I334-L334)*設定!$B$11/1000,0))</f>
        <v>0</v>
      </c>
      <c r="BK334" s="31" t="n">
        <f aca="false">ROUNDDOWN((I334-L334)*設定!$C$10/1000,0)+ROUNDDOWN((I334-L334)*設定!$C$11/1000,0)+ROUNDDOWN(I334*設定!$C$12/1000,0)+IF(CL334="市局型",ROUNDDOWN(I334*設定!$C$16/1000,0),0)</f>
        <v>0</v>
      </c>
      <c r="BL334" s="31" t="n">
        <f aca="false">IF(CK334="N",BT334,ROUNDDOWN((J334-M334)*設定!$B$13/1000,0))</f>
        <v>0</v>
      </c>
      <c r="BM334" s="31" t="n">
        <f aca="false">ROUNDDOWN((J334-M334)*設定!$C$13/1000,0)+IF(CL334="市局型",ROUNDDOWN(J334*設定!$C$17/1000,0),0)</f>
        <v>0</v>
      </c>
      <c r="BN334" s="31" t="n">
        <f aca="false">IF(CK334="N",BV334,ROUNDDOWN((K334-N334)*設定!$B$14/1000,0))</f>
        <v>0</v>
      </c>
      <c r="BO334" s="31" t="n">
        <f aca="false">ROUNDDOWN((K334-N334)*設定!$C$14/1000,0)</f>
        <v>0</v>
      </c>
      <c r="BP334" s="31" t="n">
        <f aca="false">IF(CK334="N",BX334,ROUNDDOWN((J334-M334)*設定!$B$15/1000,0))</f>
        <v>0</v>
      </c>
      <c r="BQ334" s="31" t="n">
        <f aca="false">ROUNDDOWN((J334-M334)*設定!$C$15/1000,0)</f>
        <v>0</v>
      </c>
      <c r="BR334" s="31" t="n">
        <f aca="false">O334+P334</f>
        <v>0</v>
      </c>
      <c r="BS334" s="31" t="n">
        <f aca="false">T334+U334+V334</f>
        <v>0</v>
      </c>
      <c r="BT334" s="31" t="n">
        <f aca="false">Q334</f>
        <v>0</v>
      </c>
      <c r="BU334" s="31" t="n">
        <f aca="false">W334</f>
        <v>0</v>
      </c>
      <c r="BV334" s="31" t="n">
        <f aca="false">R334</f>
        <v>0</v>
      </c>
      <c r="BW334" s="31" t="n">
        <f aca="false">X334</f>
        <v>0</v>
      </c>
      <c r="BX334" s="31" t="n">
        <f aca="false">S334</f>
        <v>0</v>
      </c>
      <c r="BY334" s="31" t="n">
        <f aca="false">Y334</f>
        <v>0</v>
      </c>
      <c r="BZ334" s="32" t="n">
        <f aca="false">IF(BJ334=0,IF(BR334=0,0,1),(BR334-BJ334)/BJ334)</f>
        <v>0</v>
      </c>
      <c r="CA334" s="32" t="n">
        <f aca="false">IF(BK334=0,IF(BS334=0,0,1),(BS334-BK334)/BK334)</f>
        <v>0</v>
      </c>
      <c r="CB334" s="32" t="n">
        <f aca="false">IF(BL334=0,IF(BT334=0,0,1),(BT334-BL334)/BL334)</f>
        <v>0</v>
      </c>
      <c r="CC334" s="32" t="n">
        <f aca="false">IF(BM334=0,IF(BU334=0,0,1),(BU334-BM334)/BM334)</f>
        <v>0</v>
      </c>
      <c r="CD334" s="32" t="n">
        <f aca="false">IF(BN334=0,IF(BV334=0,0,1),(BV334-BN334)/BN334)</f>
        <v>0</v>
      </c>
      <c r="CE334" s="32" t="n">
        <f aca="false">IF(BO334=0,IF(BW334=0,0,1),(BW334-BO334)/BO334)</f>
        <v>0</v>
      </c>
      <c r="CF334" s="32" t="n">
        <f aca="false">IF(BP334=0,IF(BX334=0,0,1),(BX334-BP334)/BP334)</f>
        <v>0</v>
      </c>
      <c r="CG334" s="32" t="n">
        <f aca="false">IF(BQ334=0,IF(BY334=0,0,1),(BY334-BQ334)/BQ334)</f>
        <v>0</v>
      </c>
      <c r="CH334" s="32" t="n">
        <f aca="false">MAX(MAX(BZ334:CG334),-MIN(BZ334:CG334))</f>
        <v>-0</v>
      </c>
      <c r="CI334" s="31" t="n">
        <f aca="false">IF(CO334="","",SUMIFS($CJ$7:$CJ$696,$A$7:$A$696,CO334,$B$7:$B$696,B334))</f>
        <v>1019472</v>
      </c>
      <c r="CJ334" s="31" t="n">
        <f aca="false">SUM(AY334:BI334)</f>
        <v>1176418</v>
      </c>
      <c r="CK334" s="31" t="str">
        <f aca="false">IFERROR(INDEX(設定!$F$61:$F$106,MATCH(B334,設定!$B$61:$B$106,0)),"Y")</f>
        <v>Y</v>
      </c>
      <c r="CL334" s="31" t="str">
        <f aca="false">IFERROR(INDEX(設定!$G$61:$G$106,MATCH(B334,設定!$B$61:$B$106,0)),"外郭型")</f>
        <v>市局型</v>
      </c>
      <c r="CM334" s="33" t="str">
        <f aca="false">A334&amp;"|"&amp;B334</f>
        <v>2026-10 月例|選挙管理委員会</v>
      </c>
      <c r="CN334" s="34" t="str">
        <f aca="false">IFERROR(INDEX(設定!$D$61:$D$106,MATCH(B334,設定!$B$61:$B$106,0)),"Y")</f>
        <v>Y</v>
      </c>
      <c r="CO334" s="34" t="str">
        <f aca="false">IFERROR(INDEX(設定!$D$20:$D$34,MATCH(A334,設定!$A$20:$A$34,0))&amp;"","")</f>
        <v>2026-09 月例</v>
      </c>
    </row>
    <row r="335" customFormat="false" ht="15" hidden="false" customHeight="false" outlineLevel="0" collapsed="false">
      <c r="A335" s="22" t="s">
        <v>223</v>
      </c>
      <c r="B335" s="23" t="s">
        <v>174</v>
      </c>
      <c r="C335" s="10" t="str">
        <f aca="false">IF(G335="","未受領",IF(G335="なし","報告なし",IF(AL335="○","起票済",IF(OR(AK335="○",F335="一致",F335="入金不要"),"入金確認済","受領済"))))</f>
        <v>未受領</v>
      </c>
      <c r="D335" s="10" t="str">
        <f aca="false">IF(OR(G335="",G335="なし"),"―",IF(CN335="N","対象外",IF(AND(I335="",J335="",K335=""),"標報未入力",IF(CH335&gt;=設定!$B$4,"要確認","問題なし"))))</f>
        <v>―</v>
      </c>
      <c r="E335" s="24" t="str">
        <f aca="false">IF(OR(G335="",G335="なし",CI335="",CJ335=0),"―",IF(CJ335=CI335,"前月同額",IF(CI335=0,"―",IF(ABS(CJ335/CI335-1)&gt;=設定!$B$5,"変動大 "&amp;TEXT(CJ335/CI335-1,"+0%;-0%"),"〇"))))</f>
        <v>―</v>
      </c>
      <c r="F335" s="10" t="str">
        <f aca="false">IF(OR(G335="",G335="なし"),"―",IF(CJ335=0,"入金不要",IF(COUNT(AD335,AF335,AH335,AJ335)=0,IF(AK335="○","手動確認","未入金"),IF(AND(N(AD335)=AC335,IF(AE335="",TRUE(),N(AF335)=AE335),IF(AG335="",TRUE(),N(AH335)=AG335),IF(AI335="",TRUE(),N(AJ335)=AI335)),"一致","不一致"))))</f>
        <v>―</v>
      </c>
      <c r="G335" s="25"/>
      <c r="H335" s="26"/>
      <c r="I335" s="27"/>
      <c r="J335" s="27"/>
      <c r="K335" s="27"/>
      <c r="L335" s="27"/>
      <c r="M335" s="27"/>
      <c r="N335" s="27"/>
      <c r="O335" s="27"/>
      <c r="P335" s="27"/>
      <c r="Q335" s="27"/>
      <c r="R335" s="27"/>
      <c r="S335" s="27"/>
      <c r="T335" s="27"/>
      <c r="U335" s="27"/>
      <c r="V335" s="27"/>
      <c r="W335" s="27"/>
      <c r="X335" s="27"/>
      <c r="Y335" s="27"/>
      <c r="Z335" s="27"/>
      <c r="AA335" s="10" t="str">
        <f aca="false">IFERROR(INDEX(設定!$E$61:$E$106,MATCH(B335,設定!$B$61:$B$106,0)),"合算")</f>
        <v>合算</v>
      </c>
      <c r="AB335" s="28"/>
      <c r="AC335" s="29" t="str">
        <f aca="false">IF(OR(G335="",G335="なし"),"",IF(AA335="合算",CJ335+N(Z335),IF(AA335="掛金・負担金別",(AY335+AZ335+BD335+BF335+BH335),SUM(AY335:BC335))))</f>
        <v/>
      </c>
      <c r="AD335" s="27"/>
      <c r="AE335" s="29" t="str">
        <f aca="false">IF(OR(G335="",G335="なし"),"",IF(AA335="掛金・負担金別",(BA335+BB335+BC335+BE335+BG335+BI335+N(Z335)),IF(AA335="経理区分別",BD335+BE335,"")))</f>
        <v/>
      </c>
      <c r="AF335" s="27"/>
      <c r="AG335" s="29" t="str">
        <f aca="false">IF(OR(G335="",G335="なし"),"",IF(AA335="経理区分別",BF335+BG335,""))</f>
        <v/>
      </c>
      <c r="AH335" s="27"/>
      <c r="AI335" s="29" t="str">
        <f aca="false">IF(OR(G335="",G335="なし"),"",IF(AA335="経理区分別",BH335+BI335+N(Z335),""))</f>
        <v/>
      </c>
      <c r="AJ335" s="27"/>
      <c r="AK335" s="26"/>
      <c r="AL335" s="26"/>
      <c r="AM335" s="30"/>
      <c r="AN335" s="31" t="n">
        <v>561810</v>
      </c>
      <c r="AO335" s="31" t="n">
        <v>46050</v>
      </c>
      <c r="AP335" s="31" t="n">
        <v>816620</v>
      </c>
      <c r="AQ335" s="31" t="n">
        <v>46050</v>
      </c>
      <c r="AR335" s="31" t="n">
        <v>576</v>
      </c>
      <c r="AS335" s="31" t="n">
        <v>351070</v>
      </c>
      <c r="AT335" s="31" t="n">
        <v>357264</v>
      </c>
      <c r="AU335" s="31" t="n">
        <v>33353</v>
      </c>
      <c r="AV335" s="31" t="n">
        <v>33353</v>
      </c>
      <c r="AW335" s="31" t="n">
        <v>1</v>
      </c>
      <c r="AX335" s="31" t="n">
        <v>1</v>
      </c>
      <c r="AY335" s="31" t="n">
        <f aca="false">IF($G335="",AN335,O335)</f>
        <v>561810</v>
      </c>
      <c r="AZ335" s="31" t="n">
        <f aca="false">IF($G335="",AO335,P335)</f>
        <v>46050</v>
      </c>
      <c r="BA335" s="31" t="n">
        <f aca="false">IF($G335="",AP335,T335)</f>
        <v>816620</v>
      </c>
      <c r="BB335" s="31" t="n">
        <f aca="false">IF($G335="",AQ335,U335)</f>
        <v>46050</v>
      </c>
      <c r="BC335" s="31" t="n">
        <f aca="false">IF($G335="",AR335,V335)</f>
        <v>576</v>
      </c>
      <c r="BD335" s="31" t="n">
        <f aca="false">IF($G335="",AS335,Q335)</f>
        <v>351070</v>
      </c>
      <c r="BE335" s="31" t="n">
        <f aca="false">IF($G335="",AT335,W335)</f>
        <v>357264</v>
      </c>
      <c r="BF335" s="31" t="n">
        <f aca="false">IF($G335="",AU335,R335)</f>
        <v>33353</v>
      </c>
      <c r="BG335" s="31" t="n">
        <f aca="false">IF($G335="",AV335,X335)</f>
        <v>33353</v>
      </c>
      <c r="BH335" s="31" t="n">
        <f aca="false">IF($G335="",AW335,S335)</f>
        <v>1</v>
      </c>
      <c r="BI335" s="31" t="n">
        <f aca="false">IF($G335="",AX335,Y335)</f>
        <v>1</v>
      </c>
      <c r="BJ335" s="31" t="n">
        <f aca="false">IF(CK335="N",BR335,ROUNDDOWN((I335-L335)*設定!$B$10/1000,0)+ROUNDDOWN((I335-L335)*設定!$B$11/1000,0))</f>
        <v>0</v>
      </c>
      <c r="BK335" s="31" t="n">
        <f aca="false">ROUNDDOWN((I335-L335)*設定!$C$10/1000,0)+ROUNDDOWN((I335-L335)*設定!$C$11/1000,0)+ROUNDDOWN(I335*設定!$C$12/1000,0)+IF(CL335="市局型",ROUNDDOWN(I335*設定!$C$16/1000,0),0)</f>
        <v>0</v>
      </c>
      <c r="BL335" s="31" t="n">
        <f aca="false">IF(CK335="N",BT335,ROUNDDOWN((J335-M335)*設定!$B$13/1000,0))</f>
        <v>0</v>
      </c>
      <c r="BM335" s="31" t="n">
        <f aca="false">ROUNDDOWN((J335-M335)*設定!$C$13/1000,0)+IF(CL335="市局型",ROUNDDOWN(J335*設定!$C$17/1000,0),0)</f>
        <v>0</v>
      </c>
      <c r="BN335" s="31" t="n">
        <f aca="false">IF(CK335="N",BV335,ROUNDDOWN((K335-N335)*設定!$B$14/1000,0))</f>
        <v>0</v>
      </c>
      <c r="BO335" s="31" t="n">
        <f aca="false">ROUNDDOWN((K335-N335)*設定!$C$14/1000,0)</f>
        <v>0</v>
      </c>
      <c r="BP335" s="31" t="n">
        <f aca="false">IF(CK335="N",BX335,ROUNDDOWN((J335-M335)*設定!$B$15/1000,0))</f>
        <v>0</v>
      </c>
      <c r="BQ335" s="31" t="n">
        <f aca="false">ROUNDDOWN((J335-M335)*設定!$C$15/1000,0)</f>
        <v>0</v>
      </c>
      <c r="BR335" s="31" t="n">
        <f aca="false">O335+P335</f>
        <v>0</v>
      </c>
      <c r="BS335" s="31" t="n">
        <f aca="false">T335+U335+V335</f>
        <v>0</v>
      </c>
      <c r="BT335" s="31" t="n">
        <f aca="false">Q335</f>
        <v>0</v>
      </c>
      <c r="BU335" s="31" t="n">
        <f aca="false">W335</f>
        <v>0</v>
      </c>
      <c r="BV335" s="31" t="n">
        <f aca="false">R335</f>
        <v>0</v>
      </c>
      <c r="BW335" s="31" t="n">
        <f aca="false">X335</f>
        <v>0</v>
      </c>
      <c r="BX335" s="31" t="n">
        <f aca="false">S335</f>
        <v>0</v>
      </c>
      <c r="BY335" s="31" t="n">
        <f aca="false">Y335</f>
        <v>0</v>
      </c>
      <c r="BZ335" s="32" t="n">
        <f aca="false">IF(BJ335=0,IF(BR335=0,0,1),(BR335-BJ335)/BJ335)</f>
        <v>0</v>
      </c>
      <c r="CA335" s="32" t="n">
        <f aca="false">IF(BK335=0,IF(BS335=0,0,1),(BS335-BK335)/BK335)</f>
        <v>0</v>
      </c>
      <c r="CB335" s="32" t="n">
        <f aca="false">IF(BL335=0,IF(BT335=0,0,1),(BT335-BL335)/BL335)</f>
        <v>0</v>
      </c>
      <c r="CC335" s="32" t="n">
        <f aca="false">IF(BM335=0,IF(BU335=0,0,1),(BU335-BM335)/BM335)</f>
        <v>0</v>
      </c>
      <c r="CD335" s="32" t="n">
        <f aca="false">IF(BN335=0,IF(BV335=0,0,1),(BV335-BN335)/BN335)</f>
        <v>0</v>
      </c>
      <c r="CE335" s="32" t="n">
        <f aca="false">IF(BO335=0,IF(BW335=0,0,1),(BW335-BO335)/BO335)</f>
        <v>0</v>
      </c>
      <c r="CF335" s="32" t="n">
        <f aca="false">IF(BP335=0,IF(BX335=0,0,1),(BX335-BP335)/BP335)</f>
        <v>0</v>
      </c>
      <c r="CG335" s="32" t="n">
        <f aca="false">IF(BQ335=0,IF(BY335=0,0,1),(BY335-BQ335)/BQ335)</f>
        <v>0</v>
      </c>
      <c r="CH335" s="32" t="n">
        <f aca="false">MAX(MAX(BZ335:CG335),-MIN(BZ335:CG335))</f>
        <v>-0</v>
      </c>
      <c r="CI335" s="31" t="n">
        <f aca="false">IF(CO335="","",SUMIFS($CJ$7:$CJ$696,$A$7:$A$696,CO335,$B$7:$B$696,B335))</f>
        <v>2412767</v>
      </c>
      <c r="CJ335" s="31" t="n">
        <f aca="false">SUM(AY335:BI335)</f>
        <v>2246148</v>
      </c>
      <c r="CK335" s="31" t="str">
        <f aca="false">IFERROR(INDEX(設定!$F$61:$F$106,MATCH(B335,設定!$B$61:$B$106,0)),"Y")</f>
        <v>Y</v>
      </c>
      <c r="CL335" s="31" t="str">
        <f aca="false">IFERROR(INDEX(設定!$G$61:$G$106,MATCH(B335,設定!$B$61:$B$106,0)),"外郭型")</f>
        <v>市局型</v>
      </c>
      <c r="CM335" s="33" t="str">
        <f aca="false">A335&amp;"|"&amp;B335</f>
        <v>2026-10 月例|人事委員会</v>
      </c>
      <c r="CN335" s="34" t="str">
        <f aca="false">IFERROR(INDEX(設定!$D$61:$D$106,MATCH(B335,設定!$B$61:$B$106,0)),"Y")</f>
        <v>Y</v>
      </c>
      <c r="CO335" s="34" t="str">
        <f aca="false">IFERROR(INDEX(設定!$D$20:$D$34,MATCH(A335,設定!$A$20:$A$34,0))&amp;"","")</f>
        <v>2026-09 月例</v>
      </c>
    </row>
    <row r="336" customFormat="false" ht="15" hidden="false" customHeight="false" outlineLevel="0" collapsed="false">
      <c r="A336" s="22" t="s">
        <v>223</v>
      </c>
      <c r="B336" s="23" t="s">
        <v>175</v>
      </c>
      <c r="C336" s="10" t="str">
        <f aca="false">IF(G336="","未受領",IF(G336="なし","報告なし",IF(AL336="○","起票済",IF(OR(AK336="○",F336="一致",F336="入金不要"),"入金確認済","受領済"))))</f>
        <v>未受領</v>
      </c>
      <c r="D336" s="10" t="str">
        <f aca="false">IF(OR(G336="",G336="なし"),"―",IF(CN336="N","対象外",IF(AND(I336="",J336="",K336=""),"標報未入力",IF(CH336&gt;=設定!$B$4,"要確認","問題なし"))))</f>
        <v>―</v>
      </c>
      <c r="E336" s="24" t="str">
        <f aca="false">IF(OR(G336="",G336="なし",CI336="",CJ336=0),"―",IF(CJ336=CI336,"前月同額",IF(CI336=0,"―",IF(ABS(CJ336/CI336-1)&gt;=設定!$B$5,"変動大 "&amp;TEXT(CJ336/CI336-1,"+0%;-0%"),"〇"))))</f>
        <v>―</v>
      </c>
      <c r="F336" s="10" t="str">
        <f aca="false">IF(OR(G336="",G336="なし"),"―",IF(CJ336=0,"入金不要",IF(COUNT(AD336,AF336,AH336,AJ336)=0,IF(AK336="○","手動確認","未入金"),IF(AND(N(AD336)=AC336,IF(AE336="",TRUE(),N(AF336)=AE336),IF(AG336="",TRUE(),N(AH336)=AG336),IF(AI336="",TRUE(),N(AJ336)=AI336)),"一致","不一致"))))</f>
        <v>―</v>
      </c>
      <c r="G336" s="25"/>
      <c r="H336" s="26"/>
      <c r="I336" s="27"/>
      <c r="J336" s="27"/>
      <c r="K336" s="27"/>
      <c r="L336" s="27"/>
      <c r="M336" s="27"/>
      <c r="N336" s="27"/>
      <c r="O336" s="27"/>
      <c r="P336" s="27"/>
      <c r="Q336" s="27"/>
      <c r="R336" s="27"/>
      <c r="S336" s="27"/>
      <c r="T336" s="27"/>
      <c r="U336" s="27"/>
      <c r="V336" s="27"/>
      <c r="W336" s="27"/>
      <c r="X336" s="27"/>
      <c r="Y336" s="27"/>
      <c r="Z336" s="27"/>
      <c r="AA336" s="10" t="str">
        <f aca="false">IFERROR(INDEX(設定!$E$61:$E$106,MATCH(B336,設定!$B$61:$B$106,0)),"合算")</f>
        <v>合算</v>
      </c>
      <c r="AB336" s="28"/>
      <c r="AC336" s="29" t="str">
        <f aca="false">IF(OR(G336="",G336="なし"),"",IF(AA336="合算",CJ336+N(Z336),IF(AA336="掛金・負担金別",(AY336+AZ336+BD336+BF336+BH336),SUM(AY336:BC336))))</f>
        <v/>
      </c>
      <c r="AD336" s="27"/>
      <c r="AE336" s="29" t="str">
        <f aca="false">IF(OR(G336="",G336="なし"),"",IF(AA336="掛金・負担金別",(BA336+BB336+BC336+BE336+BG336+BI336+N(Z336)),IF(AA336="経理区分別",BD336+BE336,"")))</f>
        <v/>
      </c>
      <c r="AF336" s="27"/>
      <c r="AG336" s="29" t="str">
        <f aca="false">IF(OR(G336="",G336="なし"),"",IF(AA336="経理区分別",BF336+BG336,""))</f>
        <v/>
      </c>
      <c r="AH336" s="27"/>
      <c r="AI336" s="29" t="str">
        <f aca="false">IF(OR(G336="",G336="なし"),"",IF(AA336="経理区分別",BH336+BI336+N(Z336),""))</f>
        <v/>
      </c>
      <c r="AJ336" s="27"/>
      <c r="AK336" s="26"/>
      <c r="AL336" s="26"/>
      <c r="AM336" s="30"/>
      <c r="AN336" s="31" t="n">
        <v>1344135</v>
      </c>
      <c r="AO336" s="31" t="n">
        <v>110175</v>
      </c>
      <c r="AP336" s="31" t="n">
        <v>1965390</v>
      </c>
      <c r="AQ336" s="31" t="n">
        <v>110175</v>
      </c>
      <c r="AR336" s="31" t="n">
        <v>1405</v>
      </c>
      <c r="AS336" s="31" t="n">
        <v>836690</v>
      </c>
      <c r="AT336" s="31" t="n">
        <v>851727</v>
      </c>
      <c r="AU336" s="31" t="n">
        <v>108309</v>
      </c>
      <c r="AV336" s="31" t="n">
        <v>108309</v>
      </c>
      <c r="AW336" s="31" t="n">
        <v>1</v>
      </c>
      <c r="AX336" s="31" t="n">
        <v>1</v>
      </c>
      <c r="AY336" s="31" t="n">
        <f aca="false">IF($G336="",AN336,O336)</f>
        <v>1344135</v>
      </c>
      <c r="AZ336" s="31" t="n">
        <f aca="false">IF($G336="",AO336,P336)</f>
        <v>110175</v>
      </c>
      <c r="BA336" s="31" t="n">
        <f aca="false">IF($G336="",AP336,T336)</f>
        <v>1965390</v>
      </c>
      <c r="BB336" s="31" t="n">
        <f aca="false">IF($G336="",AQ336,U336)</f>
        <v>110175</v>
      </c>
      <c r="BC336" s="31" t="n">
        <f aca="false">IF($G336="",AR336,V336)</f>
        <v>1405</v>
      </c>
      <c r="BD336" s="31" t="n">
        <f aca="false">IF($G336="",AS336,Q336)</f>
        <v>836690</v>
      </c>
      <c r="BE336" s="31" t="n">
        <f aca="false">IF($G336="",AT336,W336)</f>
        <v>851727</v>
      </c>
      <c r="BF336" s="31" t="n">
        <f aca="false">IF($G336="",AU336,R336)</f>
        <v>108309</v>
      </c>
      <c r="BG336" s="31" t="n">
        <f aca="false">IF($G336="",AV336,X336)</f>
        <v>108309</v>
      </c>
      <c r="BH336" s="31" t="n">
        <f aca="false">IF($G336="",AW336,S336)</f>
        <v>1</v>
      </c>
      <c r="BI336" s="31" t="n">
        <f aca="false">IF($G336="",AX336,Y336)</f>
        <v>1</v>
      </c>
      <c r="BJ336" s="31" t="n">
        <f aca="false">IF(CK336="N",BR336,ROUNDDOWN((I336-L336)*設定!$B$10/1000,0)+ROUNDDOWN((I336-L336)*設定!$B$11/1000,0))</f>
        <v>0</v>
      </c>
      <c r="BK336" s="31" t="n">
        <f aca="false">ROUNDDOWN((I336-L336)*設定!$C$10/1000,0)+ROUNDDOWN((I336-L336)*設定!$C$11/1000,0)+ROUNDDOWN(I336*設定!$C$12/1000,0)+IF(CL336="市局型",ROUNDDOWN(I336*設定!$C$16/1000,0),0)</f>
        <v>0</v>
      </c>
      <c r="BL336" s="31" t="n">
        <f aca="false">IF(CK336="N",BT336,ROUNDDOWN((J336-M336)*設定!$B$13/1000,0))</f>
        <v>0</v>
      </c>
      <c r="BM336" s="31" t="n">
        <f aca="false">ROUNDDOWN((J336-M336)*設定!$C$13/1000,0)+IF(CL336="市局型",ROUNDDOWN(J336*設定!$C$17/1000,0),0)</f>
        <v>0</v>
      </c>
      <c r="BN336" s="31" t="n">
        <f aca="false">IF(CK336="N",BV336,ROUNDDOWN((K336-N336)*設定!$B$14/1000,0))</f>
        <v>0</v>
      </c>
      <c r="BO336" s="31" t="n">
        <f aca="false">ROUNDDOWN((K336-N336)*設定!$C$14/1000,0)</f>
        <v>0</v>
      </c>
      <c r="BP336" s="31" t="n">
        <f aca="false">IF(CK336="N",BX336,ROUNDDOWN((J336-M336)*設定!$B$15/1000,0))</f>
        <v>0</v>
      </c>
      <c r="BQ336" s="31" t="n">
        <f aca="false">ROUNDDOWN((J336-M336)*設定!$C$15/1000,0)</f>
        <v>0</v>
      </c>
      <c r="BR336" s="31" t="n">
        <f aca="false">O336+P336</f>
        <v>0</v>
      </c>
      <c r="BS336" s="31" t="n">
        <f aca="false">T336+U336+V336</f>
        <v>0</v>
      </c>
      <c r="BT336" s="31" t="n">
        <f aca="false">Q336</f>
        <v>0</v>
      </c>
      <c r="BU336" s="31" t="n">
        <f aca="false">W336</f>
        <v>0</v>
      </c>
      <c r="BV336" s="31" t="n">
        <f aca="false">R336</f>
        <v>0</v>
      </c>
      <c r="BW336" s="31" t="n">
        <f aca="false">X336</f>
        <v>0</v>
      </c>
      <c r="BX336" s="31" t="n">
        <f aca="false">S336</f>
        <v>0</v>
      </c>
      <c r="BY336" s="31" t="n">
        <f aca="false">Y336</f>
        <v>0</v>
      </c>
      <c r="BZ336" s="32" t="n">
        <f aca="false">IF(BJ336=0,IF(BR336=0,0,1),(BR336-BJ336)/BJ336)</f>
        <v>0</v>
      </c>
      <c r="CA336" s="32" t="n">
        <f aca="false">IF(BK336=0,IF(BS336=0,0,1),(BS336-BK336)/BK336)</f>
        <v>0</v>
      </c>
      <c r="CB336" s="32" t="n">
        <f aca="false">IF(BL336=0,IF(BT336=0,0,1),(BT336-BL336)/BL336)</f>
        <v>0</v>
      </c>
      <c r="CC336" s="32" t="n">
        <f aca="false">IF(BM336=0,IF(BU336=0,0,1),(BU336-BM336)/BM336)</f>
        <v>0</v>
      </c>
      <c r="CD336" s="32" t="n">
        <f aca="false">IF(BN336=0,IF(BV336=0,0,1),(BV336-BN336)/BN336)</f>
        <v>0</v>
      </c>
      <c r="CE336" s="32" t="n">
        <f aca="false">IF(BO336=0,IF(BW336=0,0,1),(BW336-BO336)/BO336)</f>
        <v>0</v>
      </c>
      <c r="CF336" s="32" t="n">
        <f aca="false">IF(BP336=0,IF(BX336=0,0,1),(BX336-BP336)/BP336)</f>
        <v>0</v>
      </c>
      <c r="CG336" s="32" t="n">
        <f aca="false">IF(BQ336=0,IF(BY336=0,0,1),(BY336-BQ336)/BQ336)</f>
        <v>0</v>
      </c>
      <c r="CH336" s="32" t="n">
        <f aca="false">MAX(MAX(BZ336:CG336),-MIN(BZ336:CG336))</f>
        <v>-0</v>
      </c>
      <c r="CI336" s="31" t="n">
        <f aca="false">IF(CO336="","",SUMIFS($CJ$7:$CJ$696,$A$7:$A$696,CO336,$B$7:$B$696,B336))</f>
        <v>5189181</v>
      </c>
      <c r="CJ336" s="31" t="n">
        <f aca="false">SUM(AY336:BI336)</f>
        <v>5436317</v>
      </c>
      <c r="CK336" s="31" t="str">
        <f aca="false">IFERROR(INDEX(設定!$F$61:$F$106,MATCH(B336,設定!$B$61:$B$106,0)),"Y")</f>
        <v>Y</v>
      </c>
      <c r="CL336" s="31" t="str">
        <f aca="false">IFERROR(INDEX(設定!$G$61:$G$106,MATCH(B336,設定!$B$61:$B$106,0)),"外郭型")</f>
        <v>市局型</v>
      </c>
      <c r="CM336" s="33" t="str">
        <f aca="false">A336&amp;"|"&amp;B336</f>
        <v>2026-10 月例|監査事務局</v>
      </c>
      <c r="CN336" s="34" t="str">
        <f aca="false">IFERROR(INDEX(設定!$D$61:$D$106,MATCH(B336,設定!$B$61:$B$106,0)),"Y")</f>
        <v>Y</v>
      </c>
      <c r="CO336" s="34" t="str">
        <f aca="false">IFERROR(INDEX(設定!$D$20:$D$34,MATCH(A336,設定!$A$20:$A$34,0))&amp;"","")</f>
        <v>2026-09 月例</v>
      </c>
    </row>
    <row r="337" customFormat="false" ht="15" hidden="false" customHeight="false" outlineLevel="0" collapsed="false">
      <c r="A337" s="22" t="s">
        <v>223</v>
      </c>
      <c r="B337" s="23" t="s">
        <v>176</v>
      </c>
      <c r="C337" s="10" t="str">
        <f aca="false">IF(G337="","未受領",IF(G337="なし","報告なし",IF(AL337="○","起票済",IF(OR(AK337="○",F337="一致",F337="入金不要"),"入金確認済","受領済"))))</f>
        <v>未受領</v>
      </c>
      <c r="D337" s="10" t="str">
        <f aca="false">IF(OR(G337="",G337="なし"),"―",IF(CN337="N","対象外",IF(AND(I337="",J337="",K337=""),"標報未入力",IF(CH337&gt;=設定!$B$4,"要確認","問題なし"))))</f>
        <v>―</v>
      </c>
      <c r="E337" s="24" t="str">
        <f aca="false">IF(OR(G337="",G337="なし",CI337="",CJ337=0),"―",IF(CJ337=CI337,"前月同額",IF(CI337=0,"―",IF(ABS(CJ337/CI337-1)&gt;=設定!$B$5,"変動大 "&amp;TEXT(CJ337/CI337-1,"+0%;-0%"),"〇"))))</f>
        <v>―</v>
      </c>
      <c r="F337" s="10" t="str">
        <f aca="false">IF(OR(G337="",G337="なし"),"―",IF(CJ337=0,"入金不要",IF(COUNT(AD337,AF337,AH337,AJ337)=0,IF(AK337="○","手動確認","未入金"),IF(AND(N(AD337)=AC337,IF(AE337="",TRUE(),N(AF337)=AE337),IF(AG337="",TRUE(),N(AH337)=AG337),IF(AI337="",TRUE(),N(AJ337)=AI337)),"一致","不一致"))))</f>
        <v>―</v>
      </c>
      <c r="G337" s="25"/>
      <c r="H337" s="26"/>
      <c r="I337" s="27"/>
      <c r="J337" s="27"/>
      <c r="K337" s="27"/>
      <c r="L337" s="27"/>
      <c r="M337" s="27"/>
      <c r="N337" s="27"/>
      <c r="O337" s="27"/>
      <c r="P337" s="27"/>
      <c r="Q337" s="27"/>
      <c r="R337" s="27"/>
      <c r="S337" s="27"/>
      <c r="T337" s="27"/>
      <c r="U337" s="27"/>
      <c r="V337" s="27"/>
      <c r="W337" s="27"/>
      <c r="X337" s="27"/>
      <c r="Y337" s="27"/>
      <c r="Z337" s="27"/>
      <c r="AA337" s="10" t="str">
        <f aca="false">IFERROR(INDEX(設定!$E$61:$E$106,MATCH(B337,設定!$B$61:$B$106,0)),"合算")</f>
        <v>合算</v>
      </c>
      <c r="AB337" s="28"/>
      <c r="AC337" s="29" t="str">
        <f aca="false">IF(OR(G337="",G337="なし"),"",IF(AA337="合算",CJ337+N(Z337),IF(AA337="掛金・負担金別",(AY337+AZ337+BD337+BF337+BH337),SUM(AY337:BC337))))</f>
        <v/>
      </c>
      <c r="AD337" s="27"/>
      <c r="AE337" s="29" t="str">
        <f aca="false">IF(OR(G337="",G337="なし"),"",IF(AA337="掛金・負担金別",(BA337+BB337+BC337+BE337+BG337+BI337+N(Z337)),IF(AA337="経理区分別",BD337+BE337,"")))</f>
        <v/>
      </c>
      <c r="AF337" s="27"/>
      <c r="AG337" s="29" t="str">
        <f aca="false">IF(OR(G337="",G337="なし"),"",IF(AA337="経理区分別",BF337+BG337,""))</f>
        <v/>
      </c>
      <c r="AH337" s="27"/>
      <c r="AI337" s="29" t="str">
        <f aca="false">IF(OR(G337="",G337="なし"),"",IF(AA337="経理区分別",BH337+BI337+N(Z337),""))</f>
        <v/>
      </c>
      <c r="AJ337" s="27"/>
      <c r="AK337" s="26"/>
      <c r="AL337" s="26"/>
      <c r="AM337" s="30"/>
      <c r="AN337" s="31" t="n">
        <v>382470</v>
      </c>
      <c r="AO337" s="31" t="n">
        <v>31350</v>
      </c>
      <c r="AP337" s="31" t="n">
        <v>555940</v>
      </c>
      <c r="AQ337" s="31" t="n">
        <v>31350</v>
      </c>
      <c r="AR337" s="31" t="n">
        <v>392</v>
      </c>
      <c r="AS337" s="31" t="n">
        <v>308930</v>
      </c>
      <c r="AT337" s="31" t="n">
        <v>314382</v>
      </c>
      <c r="AU337" s="31" t="n">
        <v>34410</v>
      </c>
      <c r="AV337" s="31" t="n">
        <v>34412</v>
      </c>
      <c r="AW337" s="31" t="n">
        <v>1</v>
      </c>
      <c r="AX337" s="31" t="n">
        <v>1</v>
      </c>
      <c r="AY337" s="31" t="n">
        <f aca="false">IF($G337="",AN337,O337)</f>
        <v>382470</v>
      </c>
      <c r="AZ337" s="31" t="n">
        <f aca="false">IF($G337="",AO337,P337)</f>
        <v>31350</v>
      </c>
      <c r="BA337" s="31" t="n">
        <f aca="false">IF($G337="",AP337,T337)</f>
        <v>555940</v>
      </c>
      <c r="BB337" s="31" t="n">
        <f aca="false">IF($G337="",AQ337,U337)</f>
        <v>31350</v>
      </c>
      <c r="BC337" s="31" t="n">
        <f aca="false">IF($G337="",AR337,V337)</f>
        <v>392</v>
      </c>
      <c r="BD337" s="31" t="n">
        <f aca="false">IF($G337="",AS337,Q337)</f>
        <v>308930</v>
      </c>
      <c r="BE337" s="31" t="n">
        <f aca="false">IF($G337="",AT337,W337)</f>
        <v>314382</v>
      </c>
      <c r="BF337" s="31" t="n">
        <f aca="false">IF($G337="",AU337,R337)</f>
        <v>34410</v>
      </c>
      <c r="BG337" s="31" t="n">
        <f aca="false">IF($G337="",AV337,X337)</f>
        <v>34412</v>
      </c>
      <c r="BH337" s="31" t="n">
        <f aca="false">IF($G337="",AW337,S337)</f>
        <v>1</v>
      </c>
      <c r="BI337" s="31" t="n">
        <f aca="false">IF($G337="",AX337,Y337)</f>
        <v>1</v>
      </c>
      <c r="BJ337" s="31" t="n">
        <f aca="false">IF(CK337="N",BR337,ROUNDDOWN((I337-L337)*設定!$B$10/1000,0)+ROUNDDOWN((I337-L337)*設定!$B$11/1000,0))</f>
        <v>0</v>
      </c>
      <c r="BK337" s="31" t="n">
        <f aca="false">ROUNDDOWN((I337-L337)*設定!$C$10/1000,0)+ROUNDDOWN((I337-L337)*設定!$C$11/1000,0)+ROUNDDOWN(I337*設定!$C$12/1000,0)+IF(CL337="市局型",ROUNDDOWN(I337*設定!$C$16/1000,0),0)</f>
        <v>0</v>
      </c>
      <c r="BL337" s="31" t="n">
        <f aca="false">IF(CK337="N",BT337,ROUNDDOWN((J337-M337)*設定!$B$13/1000,0))</f>
        <v>0</v>
      </c>
      <c r="BM337" s="31" t="n">
        <f aca="false">ROUNDDOWN((J337-M337)*設定!$C$13/1000,0)+IF(CL337="市局型",ROUNDDOWN(J337*設定!$C$17/1000,0),0)</f>
        <v>0</v>
      </c>
      <c r="BN337" s="31" t="n">
        <f aca="false">IF(CK337="N",BV337,ROUNDDOWN((K337-N337)*設定!$B$14/1000,0))</f>
        <v>0</v>
      </c>
      <c r="BO337" s="31" t="n">
        <f aca="false">ROUNDDOWN((K337-N337)*設定!$C$14/1000,0)</f>
        <v>0</v>
      </c>
      <c r="BP337" s="31" t="n">
        <f aca="false">IF(CK337="N",BX337,ROUNDDOWN((J337-M337)*設定!$B$15/1000,0))</f>
        <v>0</v>
      </c>
      <c r="BQ337" s="31" t="n">
        <f aca="false">ROUNDDOWN((J337-M337)*設定!$C$15/1000,0)</f>
        <v>0</v>
      </c>
      <c r="BR337" s="31" t="n">
        <f aca="false">O337+P337</f>
        <v>0</v>
      </c>
      <c r="BS337" s="31" t="n">
        <f aca="false">T337+U337+V337</f>
        <v>0</v>
      </c>
      <c r="BT337" s="31" t="n">
        <f aca="false">Q337</f>
        <v>0</v>
      </c>
      <c r="BU337" s="31" t="n">
        <f aca="false">W337</f>
        <v>0</v>
      </c>
      <c r="BV337" s="31" t="n">
        <f aca="false">R337</f>
        <v>0</v>
      </c>
      <c r="BW337" s="31" t="n">
        <f aca="false">X337</f>
        <v>0</v>
      </c>
      <c r="BX337" s="31" t="n">
        <f aca="false">S337</f>
        <v>0</v>
      </c>
      <c r="BY337" s="31" t="n">
        <f aca="false">Y337</f>
        <v>0</v>
      </c>
      <c r="BZ337" s="32" t="n">
        <f aca="false">IF(BJ337=0,IF(BR337=0,0,1),(BR337-BJ337)/BJ337)</f>
        <v>0</v>
      </c>
      <c r="CA337" s="32" t="n">
        <f aca="false">IF(BK337=0,IF(BS337=0,0,1),(BS337-BK337)/BK337)</f>
        <v>0</v>
      </c>
      <c r="CB337" s="32" t="n">
        <f aca="false">IF(BL337=0,IF(BT337=0,0,1),(BT337-BL337)/BL337)</f>
        <v>0</v>
      </c>
      <c r="CC337" s="32" t="n">
        <f aca="false">IF(BM337=0,IF(BU337=0,0,1),(BU337-BM337)/BM337)</f>
        <v>0</v>
      </c>
      <c r="CD337" s="32" t="n">
        <f aca="false">IF(BN337=0,IF(BV337=0,0,1),(BV337-BN337)/BN337)</f>
        <v>0</v>
      </c>
      <c r="CE337" s="32" t="n">
        <f aca="false">IF(BO337=0,IF(BW337=0,0,1),(BW337-BO337)/BO337)</f>
        <v>0</v>
      </c>
      <c r="CF337" s="32" t="n">
        <f aca="false">IF(BP337=0,IF(BX337=0,0,1),(BX337-BP337)/BP337)</f>
        <v>0</v>
      </c>
      <c r="CG337" s="32" t="n">
        <f aca="false">IF(BQ337=0,IF(BY337=0,0,1),(BY337-BQ337)/BQ337)</f>
        <v>0</v>
      </c>
      <c r="CH337" s="32" t="n">
        <f aca="false">MAX(MAX(BZ337:CG337),-MIN(BZ337:CG337))</f>
        <v>-0</v>
      </c>
      <c r="CI337" s="31" t="n">
        <f aca="false">IF(CO337="","",SUMIFS($CJ$7:$CJ$696,$A$7:$A$696,CO337,$B$7:$B$696,B337))</f>
        <v>1742908</v>
      </c>
      <c r="CJ337" s="31" t="n">
        <f aca="false">SUM(AY337:BI337)</f>
        <v>1693638</v>
      </c>
      <c r="CK337" s="31" t="str">
        <f aca="false">IFERROR(INDEX(設定!$F$61:$F$106,MATCH(B337,設定!$B$61:$B$106,0)),"Y")</f>
        <v>Y</v>
      </c>
      <c r="CL337" s="31" t="str">
        <f aca="false">IFERROR(INDEX(設定!$G$61:$G$106,MATCH(B337,設定!$B$61:$B$106,0)),"外郭型")</f>
        <v>市局型</v>
      </c>
      <c r="CM337" s="33" t="str">
        <f aca="false">A337&amp;"|"&amp;B337</f>
        <v>2026-10 月例|農業委員会</v>
      </c>
      <c r="CN337" s="34" t="str">
        <f aca="false">IFERROR(INDEX(設定!$D$61:$D$106,MATCH(B337,設定!$B$61:$B$106,0)),"Y")</f>
        <v>Y</v>
      </c>
      <c r="CO337" s="34" t="str">
        <f aca="false">IFERROR(INDEX(設定!$D$20:$D$34,MATCH(A337,設定!$A$20:$A$34,0))&amp;"","")</f>
        <v>2026-09 月例</v>
      </c>
    </row>
    <row r="338" customFormat="false" ht="15" hidden="false" customHeight="false" outlineLevel="0" collapsed="false">
      <c r="A338" s="22" t="s">
        <v>223</v>
      </c>
      <c r="B338" s="23" t="s">
        <v>177</v>
      </c>
      <c r="C338" s="10" t="str">
        <f aca="false">IF(G338="","未受領",IF(G338="なし","報告なし",IF(AL338="○","起票済",IF(OR(AK338="○",F338="一致",F338="入金不要"),"入金確認済","受領済"))))</f>
        <v>未受領</v>
      </c>
      <c r="D338" s="10" t="str">
        <f aca="false">IF(OR(G338="",G338="なし"),"―",IF(CN338="N","対象外",IF(AND(I338="",J338="",K338=""),"標報未入力",IF(CH338&gt;=設定!$B$4,"要確認","問題なし"))))</f>
        <v>―</v>
      </c>
      <c r="E338" s="24" t="str">
        <f aca="false">IF(OR(G338="",G338="なし",CI338="",CJ338=0),"―",IF(CJ338=CI338,"前月同額",IF(CI338=0,"―",IF(ABS(CJ338/CI338-1)&gt;=設定!$B$5,"変動大 "&amp;TEXT(CJ338/CI338-1,"+0%;-0%"),"〇"))))</f>
        <v>―</v>
      </c>
      <c r="F338" s="10" t="str">
        <f aca="false">IF(OR(G338="",G338="なし"),"―",IF(CJ338=0,"入金不要",IF(COUNT(AD338,AF338,AH338,AJ338)=0,IF(AK338="○","手動確認","未入金"),IF(AND(N(AD338)=AC338,IF(AE338="",TRUE(),N(AF338)=AE338),IF(AG338="",TRUE(),N(AH338)=AG338),IF(AI338="",TRUE(),N(AJ338)=AI338)),"一致","不一致"))))</f>
        <v>―</v>
      </c>
      <c r="G338" s="25"/>
      <c r="H338" s="26"/>
      <c r="I338" s="27"/>
      <c r="J338" s="27"/>
      <c r="K338" s="27"/>
      <c r="L338" s="27"/>
      <c r="M338" s="27"/>
      <c r="N338" s="27"/>
      <c r="O338" s="27"/>
      <c r="P338" s="27"/>
      <c r="Q338" s="27"/>
      <c r="R338" s="27"/>
      <c r="S338" s="27"/>
      <c r="T338" s="27"/>
      <c r="U338" s="27"/>
      <c r="V338" s="27"/>
      <c r="W338" s="27"/>
      <c r="X338" s="27"/>
      <c r="Y338" s="27"/>
      <c r="Z338" s="27"/>
      <c r="AA338" s="10" t="str">
        <f aca="false">IFERROR(INDEX(設定!$E$61:$E$106,MATCH(B338,設定!$B$61:$B$106,0)),"合算")</f>
        <v>合算</v>
      </c>
      <c r="AB338" s="28"/>
      <c r="AC338" s="29" t="str">
        <f aca="false">IF(OR(G338="",G338="なし"),"",IF(AA338="合算",CJ338+N(Z338),IF(AA338="掛金・負担金別",(AY338+AZ338+BD338+BF338+BH338),SUM(AY338:BC338))))</f>
        <v/>
      </c>
      <c r="AD338" s="27"/>
      <c r="AE338" s="29" t="str">
        <f aca="false">IF(OR(G338="",G338="なし"),"",IF(AA338="掛金・負担金別",(BA338+BB338+BC338+BE338+BG338+BI338+N(Z338)),IF(AA338="経理区分別",BD338+BE338,"")))</f>
        <v/>
      </c>
      <c r="AF338" s="27"/>
      <c r="AG338" s="29" t="str">
        <f aca="false">IF(OR(G338="",G338="なし"),"",IF(AA338="経理区分別",BF338+BG338,""))</f>
        <v/>
      </c>
      <c r="AH338" s="27"/>
      <c r="AI338" s="29" t="str">
        <f aca="false">IF(OR(G338="",G338="なし"),"",IF(AA338="経理区分別",BH338+BI338+N(Z338),""))</f>
        <v/>
      </c>
      <c r="AJ338" s="27"/>
      <c r="AK338" s="26"/>
      <c r="AL338" s="26"/>
      <c r="AM338" s="30"/>
      <c r="AN338" s="31" t="n">
        <v>22426650</v>
      </c>
      <c r="AO338" s="31" t="n">
        <v>1838250</v>
      </c>
      <c r="AP338" s="31" t="n">
        <v>32729025</v>
      </c>
      <c r="AQ338" s="31" t="n">
        <v>1838250</v>
      </c>
      <c r="AR338" s="31" t="n">
        <v>23304</v>
      </c>
      <c r="AS338" s="31" t="n">
        <v>14207723</v>
      </c>
      <c r="AT338" s="31" t="n">
        <v>14461569</v>
      </c>
      <c r="AU338" s="31" t="n">
        <v>1349557</v>
      </c>
      <c r="AV338" s="31" t="n">
        <v>1349557</v>
      </c>
      <c r="AW338" s="31" t="n">
        <v>1</v>
      </c>
      <c r="AX338" s="31" t="n">
        <v>1</v>
      </c>
      <c r="AY338" s="31" t="n">
        <f aca="false">IF($G338="",AN338,O338)</f>
        <v>22426650</v>
      </c>
      <c r="AZ338" s="31" t="n">
        <f aca="false">IF($G338="",AO338,P338)</f>
        <v>1838250</v>
      </c>
      <c r="BA338" s="31" t="n">
        <f aca="false">IF($G338="",AP338,T338)</f>
        <v>32729025</v>
      </c>
      <c r="BB338" s="31" t="n">
        <f aca="false">IF($G338="",AQ338,U338)</f>
        <v>1838250</v>
      </c>
      <c r="BC338" s="31" t="n">
        <f aca="false">IF($G338="",AR338,V338)</f>
        <v>23304</v>
      </c>
      <c r="BD338" s="31" t="n">
        <f aca="false">IF($G338="",AS338,Q338)</f>
        <v>14207723</v>
      </c>
      <c r="BE338" s="31" t="n">
        <f aca="false">IF($G338="",AT338,W338)</f>
        <v>14461569</v>
      </c>
      <c r="BF338" s="31" t="n">
        <f aca="false">IF($G338="",AU338,R338)</f>
        <v>1349557</v>
      </c>
      <c r="BG338" s="31" t="n">
        <f aca="false">IF($G338="",AV338,X338)</f>
        <v>1349557</v>
      </c>
      <c r="BH338" s="31" t="n">
        <f aca="false">IF($G338="",AW338,S338)</f>
        <v>1</v>
      </c>
      <c r="BI338" s="31" t="n">
        <f aca="false">IF($G338="",AX338,Y338)</f>
        <v>1</v>
      </c>
      <c r="BJ338" s="31" t="n">
        <f aca="false">IF(CK338="N",BR338,ROUNDDOWN((I338-L338)*設定!$B$10/1000,0)+ROUNDDOWN((I338-L338)*設定!$B$11/1000,0))</f>
        <v>0</v>
      </c>
      <c r="BK338" s="31" t="n">
        <f aca="false">ROUNDDOWN((I338-L338)*設定!$C$10/1000,0)+ROUNDDOWN((I338-L338)*設定!$C$11/1000,0)+ROUNDDOWN(I338*設定!$C$12/1000,0)+IF(CL338="市局型",ROUNDDOWN(I338*設定!$C$16/1000,0),0)</f>
        <v>0</v>
      </c>
      <c r="BL338" s="31" t="n">
        <f aca="false">IF(CK338="N",BT338,ROUNDDOWN((J338-M338)*設定!$B$13/1000,0))</f>
        <v>0</v>
      </c>
      <c r="BM338" s="31" t="n">
        <f aca="false">ROUNDDOWN((J338-M338)*設定!$C$13/1000,0)+IF(CL338="市局型",ROUNDDOWN(J338*設定!$C$17/1000,0),0)</f>
        <v>0</v>
      </c>
      <c r="BN338" s="31" t="n">
        <f aca="false">IF(CK338="N",BV338,ROUNDDOWN((K338-N338)*設定!$B$14/1000,0))</f>
        <v>0</v>
      </c>
      <c r="BO338" s="31" t="n">
        <f aca="false">ROUNDDOWN((K338-N338)*設定!$C$14/1000,0)</f>
        <v>0</v>
      </c>
      <c r="BP338" s="31" t="n">
        <f aca="false">IF(CK338="N",BX338,ROUNDDOWN((J338-M338)*設定!$B$15/1000,0))</f>
        <v>0</v>
      </c>
      <c r="BQ338" s="31" t="n">
        <f aca="false">ROUNDDOWN((J338-M338)*設定!$C$15/1000,0)</f>
        <v>0</v>
      </c>
      <c r="BR338" s="31" t="n">
        <f aca="false">O338+P338</f>
        <v>0</v>
      </c>
      <c r="BS338" s="31" t="n">
        <f aca="false">T338+U338+V338</f>
        <v>0</v>
      </c>
      <c r="BT338" s="31" t="n">
        <f aca="false">Q338</f>
        <v>0</v>
      </c>
      <c r="BU338" s="31" t="n">
        <f aca="false">W338</f>
        <v>0</v>
      </c>
      <c r="BV338" s="31" t="n">
        <f aca="false">R338</f>
        <v>0</v>
      </c>
      <c r="BW338" s="31" t="n">
        <f aca="false">X338</f>
        <v>0</v>
      </c>
      <c r="BX338" s="31" t="n">
        <f aca="false">S338</f>
        <v>0</v>
      </c>
      <c r="BY338" s="31" t="n">
        <f aca="false">Y338</f>
        <v>0</v>
      </c>
      <c r="BZ338" s="32" t="n">
        <f aca="false">IF(BJ338=0,IF(BR338=0,0,1),(BR338-BJ338)/BJ338)</f>
        <v>0</v>
      </c>
      <c r="CA338" s="32" t="n">
        <f aca="false">IF(BK338=0,IF(BS338=0,0,1),(BS338-BK338)/BK338)</f>
        <v>0</v>
      </c>
      <c r="CB338" s="32" t="n">
        <f aca="false">IF(BL338=0,IF(BT338=0,0,1),(BT338-BL338)/BL338)</f>
        <v>0</v>
      </c>
      <c r="CC338" s="32" t="n">
        <f aca="false">IF(BM338=0,IF(BU338=0,0,1),(BU338-BM338)/BM338)</f>
        <v>0</v>
      </c>
      <c r="CD338" s="32" t="n">
        <f aca="false">IF(BN338=0,IF(BV338=0,0,1),(BV338-BN338)/BN338)</f>
        <v>0</v>
      </c>
      <c r="CE338" s="32" t="n">
        <f aca="false">IF(BO338=0,IF(BW338=0,0,1),(BW338-BO338)/BO338)</f>
        <v>0</v>
      </c>
      <c r="CF338" s="32" t="n">
        <f aca="false">IF(BP338=0,IF(BX338=0,0,1),(BX338-BP338)/BP338)</f>
        <v>0</v>
      </c>
      <c r="CG338" s="32" t="n">
        <f aca="false">IF(BQ338=0,IF(BY338=0,0,1),(BY338-BQ338)/BQ338)</f>
        <v>0</v>
      </c>
      <c r="CH338" s="32" t="n">
        <f aca="false">MAX(MAX(BZ338:CG338),-MIN(BZ338:CG338))</f>
        <v>-0</v>
      </c>
      <c r="CI338" s="31" t="n">
        <f aca="false">IF(CO338="","",SUMIFS($CJ$7:$CJ$696,$A$7:$A$696,CO338,$B$7:$B$696,B338))</f>
        <v>91274582</v>
      </c>
      <c r="CJ338" s="31" t="n">
        <f aca="false">SUM(AY338:BI338)</f>
        <v>90223887</v>
      </c>
      <c r="CK338" s="31" t="str">
        <f aca="false">IFERROR(INDEX(設定!$F$61:$F$106,MATCH(B338,設定!$B$61:$B$106,0)),"Y")</f>
        <v>Y</v>
      </c>
      <c r="CL338" s="31" t="str">
        <f aca="false">IFERROR(INDEX(設定!$G$61:$G$106,MATCH(B338,設定!$B$61:$B$106,0)),"外郭型")</f>
        <v>市局型</v>
      </c>
      <c r="CM338" s="33" t="str">
        <f aca="false">A338&amp;"|"&amp;B338</f>
        <v>2026-10 月例|水道局</v>
      </c>
      <c r="CN338" s="34" t="str">
        <f aca="false">IFERROR(INDEX(設定!$D$61:$D$106,MATCH(B338,設定!$B$61:$B$106,0)),"Y")</f>
        <v>N</v>
      </c>
      <c r="CO338" s="34" t="str">
        <f aca="false">IFERROR(INDEX(設定!$D$20:$D$34,MATCH(A338,設定!$A$20:$A$34,0))&amp;"","")</f>
        <v>2026-09 月例</v>
      </c>
    </row>
    <row r="339" customFormat="false" ht="15" hidden="false" customHeight="false" outlineLevel="0" collapsed="false">
      <c r="A339" s="22" t="s">
        <v>223</v>
      </c>
      <c r="B339" s="23" t="s">
        <v>178</v>
      </c>
      <c r="C339" s="10" t="str">
        <f aca="false">IF(G339="","未受領",IF(G339="なし","報告なし",IF(AL339="○","起票済",IF(OR(AK339="○",F339="一致",F339="入金不要"),"入金確認済","受領済"))))</f>
        <v>未受領</v>
      </c>
      <c r="D339" s="10" t="str">
        <f aca="false">IF(OR(G339="",G339="なし"),"―",IF(CN339="N","対象外",IF(AND(I339="",J339="",K339=""),"標報未入力",IF(CH339&gt;=設定!$B$4,"要確認","問題なし"))))</f>
        <v>―</v>
      </c>
      <c r="E339" s="24" t="str">
        <f aca="false">IF(OR(G339="",G339="なし",CI339="",CJ339=0),"―",IF(CJ339=CI339,"前月同額",IF(CI339=0,"―",IF(ABS(CJ339/CI339-1)&gt;=設定!$B$5,"変動大 "&amp;TEXT(CJ339/CI339-1,"+0%;-0%"),"〇"))))</f>
        <v>―</v>
      </c>
      <c r="F339" s="10" t="str">
        <f aca="false">IF(OR(G339="",G339="なし"),"―",IF(CJ339=0,"入金不要",IF(COUNT(AD339,AF339,AH339,AJ339)=0,IF(AK339="○","手動確認","未入金"),IF(AND(N(AD339)=AC339,IF(AE339="",TRUE(),N(AF339)=AE339),IF(AG339="",TRUE(),N(AH339)=AG339),IF(AI339="",TRUE(),N(AJ339)=AI339)),"一致","不一致"))))</f>
        <v>―</v>
      </c>
      <c r="G339" s="25"/>
      <c r="H339" s="26"/>
      <c r="I339" s="27"/>
      <c r="J339" s="27"/>
      <c r="K339" s="27"/>
      <c r="L339" s="27"/>
      <c r="M339" s="27"/>
      <c r="N339" s="27"/>
      <c r="O339" s="27"/>
      <c r="P339" s="27"/>
      <c r="Q339" s="27"/>
      <c r="R339" s="27"/>
      <c r="S339" s="27"/>
      <c r="T339" s="27"/>
      <c r="U339" s="27"/>
      <c r="V339" s="27"/>
      <c r="W339" s="27"/>
      <c r="X339" s="27"/>
      <c r="Y339" s="27"/>
      <c r="Z339" s="27"/>
      <c r="AA339" s="10" t="str">
        <f aca="false">IFERROR(INDEX(設定!$E$61:$E$106,MATCH(B339,設定!$B$61:$B$106,0)),"合算")</f>
        <v>合算</v>
      </c>
      <c r="AB339" s="28"/>
      <c r="AC339" s="29" t="str">
        <f aca="false">IF(OR(G339="",G339="なし"),"",IF(AA339="合算",CJ339+N(Z339),IF(AA339="掛金・負担金別",(AY339+AZ339+BD339+BF339+BH339),SUM(AY339:BC339))))</f>
        <v/>
      </c>
      <c r="AD339" s="27"/>
      <c r="AE339" s="29" t="str">
        <f aca="false">IF(OR(G339="",G339="なし"),"",IF(AA339="掛金・負担金別",(BA339+BB339+BC339+BE339+BG339+BI339+N(Z339)),IF(AA339="経理区分別",BD339+BE339,"")))</f>
        <v/>
      </c>
      <c r="AF339" s="27"/>
      <c r="AG339" s="29" t="str">
        <f aca="false">IF(OR(G339="",G339="なし"),"",IF(AA339="経理区分別",BF339+BG339,""))</f>
        <v/>
      </c>
      <c r="AH339" s="27"/>
      <c r="AI339" s="29" t="str">
        <f aca="false">IF(OR(G339="",G339="なし"),"",IF(AA339="経理区分別",BH339+BI339+N(Z339),""))</f>
        <v/>
      </c>
      <c r="AJ339" s="27"/>
      <c r="AK339" s="26"/>
      <c r="AL339" s="26"/>
      <c r="AM339" s="30"/>
      <c r="AN339" s="31" t="n">
        <v>48495</v>
      </c>
      <c r="AO339" s="31" t="n">
        <v>3975</v>
      </c>
      <c r="AP339" s="31" t="n">
        <v>70490</v>
      </c>
      <c r="AQ339" s="31" t="n">
        <v>3975</v>
      </c>
      <c r="AR339" s="31" t="n">
        <v>49</v>
      </c>
      <c r="AS339" s="31" t="n">
        <v>29155</v>
      </c>
      <c r="AT339" s="31" t="n">
        <v>29669</v>
      </c>
      <c r="AU339" s="31" t="n">
        <v>4187</v>
      </c>
      <c r="AV339" s="31" t="n">
        <v>4187</v>
      </c>
      <c r="AW339" s="31" t="n">
        <v>1</v>
      </c>
      <c r="AX339" s="31" t="n">
        <v>1</v>
      </c>
      <c r="AY339" s="31" t="n">
        <f aca="false">IF($G339="",AN339,O339)</f>
        <v>48495</v>
      </c>
      <c r="AZ339" s="31" t="n">
        <f aca="false">IF($G339="",AO339,P339)</f>
        <v>3975</v>
      </c>
      <c r="BA339" s="31" t="n">
        <f aca="false">IF($G339="",AP339,T339)</f>
        <v>70490</v>
      </c>
      <c r="BB339" s="31" t="n">
        <f aca="false">IF($G339="",AQ339,U339)</f>
        <v>3975</v>
      </c>
      <c r="BC339" s="31" t="n">
        <f aca="false">IF($G339="",AR339,V339)</f>
        <v>49</v>
      </c>
      <c r="BD339" s="31" t="n">
        <f aca="false">IF($G339="",AS339,Q339)</f>
        <v>29155</v>
      </c>
      <c r="BE339" s="31" t="n">
        <f aca="false">IF($G339="",AT339,W339)</f>
        <v>29669</v>
      </c>
      <c r="BF339" s="31" t="n">
        <f aca="false">IF($G339="",AU339,R339)</f>
        <v>4187</v>
      </c>
      <c r="BG339" s="31" t="n">
        <f aca="false">IF($G339="",AV339,X339)</f>
        <v>4187</v>
      </c>
      <c r="BH339" s="31" t="n">
        <f aca="false">IF($G339="",AW339,S339)</f>
        <v>1</v>
      </c>
      <c r="BI339" s="31" t="n">
        <f aca="false">IF($G339="",AX339,Y339)</f>
        <v>1</v>
      </c>
      <c r="BJ339" s="31" t="n">
        <f aca="false">IF(CK339="N",BR339,ROUNDDOWN((I339-L339)*設定!$B$10/1000,0)+ROUNDDOWN((I339-L339)*設定!$B$11/1000,0))</f>
        <v>0</v>
      </c>
      <c r="BK339" s="31" t="n">
        <f aca="false">ROUNDDOWN((I339-L339)*設定!$C$10/1000,0)+ROUNDDOWN((I339-L339)*設定!$C$11/1000,0)+ROUNDDOWN(I339*設定!$C$12/1000,0)+IF(CL339="市局型",ROUNDDOWN(I339*設定!$C$16/1000,0),0)</f>
        <v>0</v>
      </c>
      <c r="BL339" s="31" t="n">
        <f aca="false">IF(CK339="N",BT339,ROUNDDOWN((J339-M339)*設定!$B$13/1000,0))</f>
        <v>0</v>
      </c>
      <c r="BM339" s="31" t="n">
        <f aca="false">ROUNDDOWN((J339-M339)*設定!$C$13/1000,0)+IF(CL339="市局型",ROUNDDOWN(J339*設定!$C$17/1000,0),0)</f>
        <v>0</v>
      </c>
      <c r="BN339" s="31" t="n">
        <f aca="false">IF(CK339="N",BV339,ROUNDDOWN((K339-N339)*設定!$B$14/1000,0))</f>
        <v>0</v>
      </c>
      <c r="BO339" s="31" t="n">
        <f aca="false">ROUNDDOWN((K339-N339)*設定!$C$14/1000,0)</f>
        <v>0</v>
      </c>
      <c r="BP339" s="31" t="n">
        <f aca="false">IF(CK339="N",BX339,ROUNDDOWN((J339-M339)*設定!$B$15/1000,0))</f>
        <v>0</v>
      </c>
      <c r="BQ339" s="31" t="n">
        <f aca="false">ROUNDDOWN((J339-M339)*設定!$C$15/1000,0)</f>
        <v>0</v>
      </c>
      <c r="BR339" s="31" t="n">
        <f aca="false">O339+P339</f>
        <v>0</v>
      </c>
      <c r="BS339" s="31" t="n">
        <f aca="false">T339+U339+V339</f>
        <v>0</v>
      </c>
      <c r="BT339" s="31" t="n">
        <f aca="false">Q339</f>
        <v>0</v>
      </c>
      <c r="BU339" s="31" t="n">
        <f aca="false">W339</f>
        <v>0</v>
      </c>
      <c r="BV339" s="31" t="n">
        <f aca="false">R339</f>
        <v>0</v>
      </c>
      <c r="BW339" s="31" t="n">
        <f aca="false">X339</f>
        <v>0</v>
      </c>
      <c r="BX339" s="31" t="n">
        <f aca="false">S339</f>
        <v>0</v>
      </c>
      <c r="BY339" s="31" t="n">
        <f aca="false">Y339</f>
        <v>0</v>
      </c>
      <c r="BZ339" s="32" t="n">
        <f aca="false">IF(BJ339=0,IF(BR339=0,0,1),(BR339-BJ339)/BJ339)</f>
        <v>0</v>
      </c>
      <c r="CA339" s="32" t="n">
        <f aca="false">IF(BK339=0,IF(BS339=0,0,1),(BS339-BK339)/BK339)</f>
        <v>0</v>
      </c>
      <c r="CB339" s="32" t="n">
        <f aca="false">IF(BL339=0,IF(BT339=0,0,1),(BT339-BL339)/BL339)</f>
        <v>0</v>
      </c>
      <c r="CC339" s="32" t="n">
        <f aca="false">IF(BM339=0,IF(BU339=0,0,1),(BU339-BM339)/BM339)</f>
        <v>0</v>
      </c>
      <c r="CD339" s="32" t="n">
        <f aca="false">IF(BN339=0,IF(BV339=0,0,1),(BV339-BN339)/BN339)</f>
        <v>0</v>
      </c>
      <c r="CE339" s="32" t="n">
        <f aca="false">IF(BO339=0,IF(BW339=0,0,1),(BW339-BO339)/BO339)</f>
        <v>0</v>
      </c>
      <c r="CF339" s="32" t="n">
        <f aca="false">IF(BP339=0,IF(BX339=0,0,1),(BX339-BP339)/BP339)</f>
        <v>0</v>
      </c>
      <c r="CG339" s="32" t="n">
        <f aca="false">IF(BQ339=0,IF(BY339=0,0,1),(BY339-BQ339)/BQ339)</f>
        <v>0</v>
      </c>
      <c r="CH339" s="32" t="n">
        <f aca="false">MAX(MAX(BZ339:CG339),-MIN(BZ339:CG339))</f>
        <v>-0</v>
      </c>
      <c r="CI339" s="31" t="n">
        <f aca="false">IF(CO339="","",SUMIFS($CJ$7:$CJ$696,$A$7:$A$696,CO339,$B$7:$B$696,B339))</f>
        <v>191156</v>
      </c>
      <c r="CJ339" s="31" t="n">
        <f aca="false">SUM(AY339:BI339)</f>
        <v>194184</v>
      </c>
      <c r="CK339" s="31" t="str">
        <f aca="false">IFERROR(INDEX(設定!$F$61:$F$106,MATCH(B339,設定!$B$61:$B$106,0)),"Y")</f>
        <v>Y</v>
      </c>
      <c r="CL339" s="31" t="str">
        <f aca="false">IFERROR(INDEX(設定!$G$61:$G$106,MATCH(B339,設定!$B$61:$B$106,0)),"外郭型")</f>
        <v>市局型</v>
      </c>
      <c r="CM339" s="33" t="str">
        <f aca="false">A339&amp;"|"&amp;B339</f>
        <v>2026-10 月例|医療政策課(安芸市民)</v>
      </c>
      <c r="CN339" s="34" t="str">
        <f aca="false">IFERROR(INDEX(設定!$D$61:$D$106,MATCH(B339,設定!$B$61:$B$106,0)),"Y")</f>
        <v>Y</v>
      </c>
      <c r="CO339" s="34" t="str">
        <f aca="false">IFERROR(INDEX(設定!$D$20:$D$34,MATCH(A339,設定!$A$20:$A$34,0))&amp;"","")</f>
        <v>2026-09 月例</v>
      </c>
    </row>
    <row r="340" customFormat="false" ht="15" hidden="false" customHeight="false" outlineLevel="0" collapsed="false">
      <c r="A340" s="22" t="s">
        <v>223</v>
      </c>
      <c r="B340" s="23" t="s">
        <v>179</v>
      </c>
      <c r="C340" s="10" t="str">
        <f aca="false">IF(G340="","未受領",IF(G340="なし","報告なし",IF(AL340="○","起票済",IF(OR(AK340="○",F340="一致",F340="入金不要"),"入金確認済","受領済"))))</f>
        <v>未受領</v>
      </c>
      <c r="D340" s="10" t="str">
        <f aca="false">IF(OR(G340="",G340="なし"),"―",IF(CN340="N","対象外",IF(AND(I340="",J340="",K340=""),"標報未入力",IF(CH340&gt;=設定!$B$4,"要確認","問題なし"))))</f>
        <v>―</v>
      </c>
      <c r="E340" s="24" t="str">
        <f aca="false">IF(OR(G340="",G340="なし",CI340="",CJ340=0),"―",IF(CJ340=CI340,"前月同額",IF(CI340=0,"―",IF(ABS(CJ340/CI340-1)&gt;=設定!$B$5,"変動大 "&amp;TEXT(CJ340/CI340-1,"+0%;-0%"),"〇"))))</f>
        <v>―</v>
      </c>
      <c r="F340" s="10" t="str">
        <f aca="false">IF(OR(G340="",G340="なし"),"―",IF(CJ340=0,"入金不要",IF(COUNT(AD340,AF340,AH340,AJ340)=0,IF(AK340="○","手動確認","未入金"),IF(AND(N(AD340)=AC340,IF(AE340="",TRUE(),N(AF340)=AE340),IF(AG340="",TRUE(),N(AH340)=AG340),IF(AI340="",TRUE(),N(AJ340)=AI340)),"一致","不一致"))))</f>
        <v>―</v>
      </c>
      <c r="G340" s="25"/>
      <c r="H340" s="26"/>
      <c r="I340" s="27"/>
      <c r="J340" s="27"/>
      <c r="K340" s="27"/>
      <c r="L340" s="27"/>
      <c r="M340" s="27"/>
      <c r="N340" s="27"/>
      <c r="O340" s="27"/>
      <c r="P340" s="27"/>
      <c r="Q340" s="27"/>
      <c r="R340" s="27"/>
      <c r="S340" s="27"/>
      <c r="T340" s="27"/>
      <c r="U340" s="27"/>
      <c r="V340" s="27"/>
      <c r="W340" s="27"/>
      <c r="X340" s="27"/>
      <c r="Y340" s="27"/>
      <c r="Z340" s="27"/>
      <c r="AA340" s="10" t="str">
        <f aca="false">IFERROR(INDEX(設定!$E$61:$E$106,MATCH(B340,設定!$B$61:$B$106,0)),"合算")</f>
        <v>合算</v>
      </c>
      <c r="AB340" s="28"/>
      <c r="AC340" s="29" t="str">
        <f aca="false">IF(OR(G340="",G340="なし"),"",IF(AA340="合算",CJ340+N(Z340),IF(AA340="掛金・負担金別",(AY340+AZ340+BD340+BF340+BH340),SUM(AY340:BC340))))</f>
        <v/>
      </c>
      <c r="AD340" s="27"/>
      <c r="AE340" s="29" t="str">
        <f aca="false">IF(OR(G340="",G340="なし"),"",IF(AA340="掛金・負担金別",(BA340+BB340+BC340+BE340+BG340+BI340+N(Z340)),IF(AA340="経理区分別",BD340+BE340,"")))</f>
        <v/>
      </c>
      <c r="AF340" s="27"/>
      <c r="AG340" s="29" t="str">
        <f aca="false">IF(OR(G340="",G340="なし"),"",IF(AA340="経理区分別",BF340+BG340,""))</f>
        <v/>
      </c>
      <c r="AH340" s="27"/>
      <c r="AI340" s="29" t="str">
        <f aca="false">IF(OR(G340="",G340="なし"),"",IF(AA340="経理区分別",BH340+BI340+N(Z340),""))</f>
        <v/>
      </c>
      <c r="AJ340" s="27"/>
      <c r="AK340" s="26"/>
      <c r="AL340" s="26"/>
      <c r="AM340" s="30"/>
      <c r="AN340" s="31" t="n">
        <v>0</v>
      </c>
      <c r="AO340" s="31" t="n">
        <v>0</v>
      </c>
      <c r="AP340" s="31"/>
      <c r="AQ340" s="31"/>
      <c r="AR340" s="31" t="n">
        <v>0</v>
      </c>
      <c r="AS340" s="31" t="n">
        <v>264840</v>
      </c>
      <c r="AT340" s="31" t="n">
        <v>257493</v>
      </c>
      <c r="AU340" s="31" t="n">
        <v>8068</v>
      </c>
      <c r="AV340" s="31" t="n">
        <v>8068</v>
      </c>
      <c r="AW340" s="31" t="n">
        <v>1</v>
      </c>
      <c r="AX340" s="31" t="n">
        <v>1</v>
      </c>
      <c r="AY340" s="31" t="n">
        <f aca="false">IF($G340="",AN340,O340)</f>
        <v>0</v>
      </c>
      <c r="AZ340" s="31" t="n">
        <f aca="false">IF($G340="",AO340,P340)</f>
        <v>0</v>
      </c>
      <c r="BA340" s="31" t="n">
        <f aca="false">IF($G340="",AP340,T340)</f>
        <v>0</v>
      </c>
      <c r="BB340" s="31" t="n">
        <f aca="false">IF($G340="",AQ340,U340)</f>
        <v>0</v>
      </c>
      <c r="BC340" s="31" t="n">
        <f aca="false">IF($G340="",AR340,V340)</f>
        <v>0</v>
      </c>
      <c r="BD340" s="31" t="n">
        <f aca="false">IF($G340="",AS340,Q340)</f>
        <v>264840</v>
      </c>
      <c r="BE340" s="31" t="n">
        <f aca="false">IF($G340="",AT340,W340)</f>
        <v>257493</v>
      </c>
      <c r="BF340" s="31" t="n">
        <f aca="false">IF($G340="",AU340,R340)</f>
        <v>8068</v>
      </c>
      <c r="BG340" s="31" t="n">
        <f aca="false">IF($G340="",AV340,X340)</f>
        <v>8068</v>
      </c>
      <c r="BH340" s="31" t="n">
        <f aca="false">IF($G340="",AW340,S340)</f>
        <v>1</v>
      </c>
      <c r="BI340" s="31" t="n">
        <f aca="false">IF($G340="",AX340,Y340)</f>
        <v>1</v>
      </c>
      <c r="BJ340" s="31" t="n">
        <f aca="false">IF(CK340="N",BR340,ROUNDDOWN((I340-L340)*設定!$B$10/1000,0)+ROUNDDOWN((I340-L340)*設定!$B$11/1000,0))</f>
        <v>0</v>
      </c>
      <c r="BK340" s="31" t="n">
        <f aca="false">ROUNDDOWN((I340-L340)*設定!$C$10/1000,0)+ROUNDDOWN((I340-L340)*設定!$C$11/1000,0)+ROUNDDOWN(I340*設定!$C$12/1000,0)+IF(CL340="市局型",ROUNDDOWN(I340*設定!$C$16/1000,0),0)</f>
        <v>0</v>
      </c>
      <c r="BL340" s="31" t="n">
        <f aca="false">IF(CK340="N",BT340,ROUNDDOWN((J340-M340)*設定!$B$13/1000,0))</f>
        <v>0</v>
      </c>
      <c r="BM340" s="31" t="n">
        <f aca="false">ROUNDDOWN((J340-M340)*設定!$C$13/1000,0)+IF(CL340="市局型",ROUNDDOWN(J340*設定!$C$17/1000,0),0)</f>
        <v>0</v>
      </c>
      <c r="BN340" s="31" t="n">
        <f aca="false">IF(CK340="N",BV340,ROUNDDOWN((K340-N340)*設定!$B$14/1000,0))</f>
        <v>0</v>
      </c>
      <c r="BO340" s="31" t="n">
        <f aca="false">ROUNDDOWN((K340-N340)*設定!$C$14/1000,0)</f>
        <v>0</v>
      </c>
      <c r="BP340" s="31" t="n">
        <f aca="false">IF(CK340="N",BX340,ROUNDDOWN((J340-M340)*設定!$B$15/1000,0))</f>
        <v>0</v>
      </c>
      <c r="BQ340" s="31" t="n">
        <f aca="false">ROUNDDOWN((J340-M340)*設定!$C$15/1000,0)</f>
        <v>0</v>
      </c>
      <c r="BR340" s="31" t="n">
        <f aca="false">O340+P340</f>
        <v>0</v>
      </c>
      <c r="BS340" s="31" t="n">
        <f aca="false">T340+U340+V340</f>
        <v>0</v>
      </c>
      <c r="BT340" s="31" t="n">
        <f aca="false">Q340</f>
        <v>0</v>
      </c>
      <c r="BU340" s="31" t="n">
        <f aca="false">W340</f>
        <v>0</v>
      </c>
      <c r="BV340" s="31" t="n">
        <f aca="false">R340</f>
        <v>0</v>
      </c>
      <c r="BW340" s="31" t="n">
        <f aca="false">X340</f>
        <v>0</v>
      </c>
      <c r="BX340" s="31" t="n">
        <f aca="false">S340</f>
        <v>0</v>
      </c>
      <c r="BY340" s="31" t="n">
        <f aca="false">Y340</f>
        <v>0</v>
      </c>
      <c r="BZ340" s="32" t="n">
        <f aca="false">IF(BJ340=0,IF(BR340=0,0,1),(BR340-BJ340)/BJ340)</f>
        <v>0</v>
      </c>
      <c r="CA340" s="32" t="n">
        <f aca="false">IF(BK340=0,IF(BS340=0,0,1),(BS340-BK340)/BK340)</f>
        <v>0</v>
      </c>
      <c r="CB340" s="32" t="n">
        <f aca="false">IF(BL340=0,IF(BT340=0,0,1),(BT340-BL340)/BL340)</f>
        <v>0</v>
      </c>
      <c r="CC340" s="32" t="n">
        <f aca="false">IF(BM340=0,IF(BU340=0,0,1),(BU340-BM340)/BM340)</f>
        <v>0</v>
      </c>
      <c r="CD340" s="32" t="n">
        <f aca="false">IF(BN340=0,IF(BV340=0,0,1),(BV340-BN340)/BN340)</f>
        <v>0</v>
      </c>
      <c r="CE340" s="32" t="n">
        <f aca="false">IF(BO340=0,IF(BW340=0,0,1),(BW340-BO340)/BO340)</f>
        <v>0</v>
      </c>
      <c r="CF340" s="32" t="n">
        <f aca="false">IF(BP340=0,IF(BX340=0,0,1),(BX340-BP340)/BP340)</f>
        <v>0</v>
      </c>
      <c r="CG340" s="32" t="n">
        <f aca="false">IF(BQ340=0,IF(BY340=0,0,1),(BY340-BQ340)/BQ340)</f>
        <v>0</v>
      </c>
      <c r="CH340" s="32" t="n">
        <f aca="false">MAX(MAX(BZ340:CG340),-MIN(BZ340:CG340))</f>
        <v>-0</v>
      </c>
      <c r="CI340" s="31" t="n">
        <f aca="false">IF(CO340="","",SUMIFS($CJ$7:$CJ$696,$A$7:$A$696,CO340,$B$7:$B$696,B340))</f>
        <v>560795</v>
      </c>
      <c r="CJ340" s="31" t="n">
        <f aca="false">SUM(AY340:BI340)</f>
        <v>538471</v>
      </c>
      <c r="CK340" s="31" t="str">
        <f aca="false">IFERROR(INDEX(設定!$F$61:$F$106,MATCH(B340,設定!$B$61:$B$106,0)),"Y")</f>
        <v>Y</v>
      </c>
      <c r="CL340" s="31" t="str">
        <f aca="false">IFERROR(INDEX(設定!$G$61:$G$106,MATCH(B340,設定!$B$61:$B$106,0)),"外郭型")</f>
        <v>市局型</v>
      </c>
      <c r="CM340" s="33" t="str">
        <f aca="false">A340&amp;"|"&amp;B340</f>
        <v>2026-10 月例|教育委員会（教育給与課）</v>
      </c>
      <c r="CN340" s="34" t="str">
        <f aca="false">IFERROR(INDEX(設定!$D$61:$D$106,MATCH(B340,設定!$B$61:$B$106,0)),"Y")</f>
        <v>Y</v>
      </c>
      <c r="CO340" s="34" t="str">
        <f aca="false">IFERROR(INDEX(設定!$D$20:$D$34,MATCH(A340,設定!$A$20:$A$34,0))&amp;"","")</f>
        <v>2026-09 月例</v>
      </c>
    </row>
    <row r="341" customFormat="false" ht="15" hidden="false" customHeight="false" outlineLevel="0" collapsed="false">
      <c r="A341" s="22" t="s">
        <v>223</v>
      </c>
      <c r="B341" s="23" t="s">
        <v>180</v>
      </c>
      <c r="C341" s="10" t="str">
        <f aca="false">IF(G341="","未受領",IF(G341="なし","報告なし",IF(AL341="○","起票済",IF(OR(AK341="○",F341="一致",F341="入金不要"),"入金確認済","受領済"))))</f>
        <v>報告なし</v>
      </c>
      <c r="D341" s="10" t="str">
        <f aca="false">IF(OR(G341="",G341="なし"),"―",IF(CN341="N","対象外",IF(AND(I341="",J341="",K341=""),"標報未入力",IF(CH341&gt;=設定!$B$4,"要確認","問題なし"))))</f>
        <v>―</v>
      </c>
      <c r="E341" s="24" t="str">
        <f aca="false">IF(OR(G341="",G341="なし",CI341="",CJ341=0),"―",IF(CJ341=CI341,"前月同額",IF(CI341=0,"―",IF(ABS(CJ341/CI341-1)&gt;=設定!$B$5,"変動大 "&amp;TEXT(CJ341/CI341-1,"+0%;-0%"),"〇"))))</f>
        <v>―</v>
      </c>
      <c r="F341" s="10" t="str">
        <f aca="false">IF(OR(G341="",G341="なし"),"―",IF(CJ341=0,"入金不要",IF(COUNT(AD341,AF341,AH341,AJ341)=0,IF(AK341="○","手動確認","未入金"),IF(AND(N(AD341)=AC341,IF(AE341="",TRUE(),N(AF341)=AE341),IF(AG341="",TRUE(),N(AH341)=AG341),IF(AI341="",TRUE(),N(AJ341)=AI341)),"一致","不一致"))))</f>
        <v>―</v>
      </c>
      <c r="G341" s="25" t="s">
        <v>181</v>
      </c>
      <c r="H341" s="26"/>
      <c r="I341" s="27"/>
      <c r="J341" s="27"/>
      <c r="K341" s="27"/>
      <c r="L341" s="27"/>
      <c r="M341" s="27"/>
      <c r="N341" s="27"/>
      <c r="O341" s="27"/>
      <c r="P341" s="27"/>
      <c r="Q341" s="27"/>
      <c r="R341" s="27"/>
      <c r="S341" s="27"/>
      <c r="T341" s="27"/>
      <c r="U341" s="27"/>
      <c r="V341" s="27"/>
      <c r="W341" s="27"/>
      <c r="X341" s="27"/>
      <c r="Y341" s="27"/>
      <c r="Z341" s="27"/>
      <c r="AA341" s="10" t="str">
        <f aca="false">IFERROR(INDEX(設定!$E$61:$E$106,MATCH(B341,設定!$B$61:$B$106,0)),"合算")</f>
        <v>合算</v>
      </c>
      <c r="AB341" s="28"/>
      <c r="AC341" s="29" t="str">
        <f aca="false">IF(OR(G341="",G341="なし"),"",IF(AA341="合算",CJ341+N(Z341),IF(AA341="掛金・負担金別",(AY341+AZ341+BD341+BF341+BH341),SUM(AY341:BC341))))</f>
        <v/>
      </c>
      <c r="AD341" s="27"/>
      <c r="AE341" s="29" t="str">
        <f aca="false">IF(OR(G341="",G341="なし"),"",IF(AA341="掛金・負担金別",(BA341+BB341+BC341+BE341+BG341+BI341+N(Z341)),IF(AA341="経理区分別",BD341+BE341,"")))</f>
        <v/>
      </c>
      <c r="AF341" s="27"/>
      <c r="AG341" s="29" t="str">
        <f aca="false">IF(OR(G341="",G341="なし"),"",IF(AA341="経理区分別",BF341+BG341,""))</f>
        <v/>
      </c>
      <c r="AH341" s="27"/>
      <c r="AI341" s="29" t="str">
        <f aca="false">IF(OR(G341="",G341="なし"),"",IF(AA341="経理区分別",BH341+BI341+N(Z341),""))</f>
        <v/>
      </c>
      <c r="AJ341" s="27"/>
      <c r="AK341" s="26"/>
      <c r="AL341" s="26"/>
      <c r="AM341" s="30"/>
      <c r="AN341" s="31"/>
      <c r="AO341" s="31"/>
      <c r="AP341" s="31"/>
      <c r="AQ341" s="31"/>
      <c r="AR341" s="31"/>
      <c r="AS341" s="31"/>
      <c r="AT341" s="31"/>
      <c r="AU341" s="31"/>
      <c r="AV341" s="31"/>
      <c r="AW341" s="31"/>
      <c r="AX341" s="31"/>
      <c r="AY341" s="31" t="n">
        <f aca="false">IF($G341="",AN341,O341)</f>
        <v>0</v>
      </c>
      <c r="AZ341" s="31" t="n">
        <f aca="false">IF($G341="",AO341,P341)</f>
        <v>0</v>
      </c>
      <c r="BA341" s="31" t="n">
        <f aca="false">IF($G341="",AP341,T341)</f>
        <v>0</v>
      </c>
      <c r="BB341" s="31" t="n">
        <f aca="false">IF($G341="",AQ341,U341)</f>
        <v>0</v>
      </c>
      <c r="BC341" s="31" t="n">
        <f aca="false">IF($G341="",AR341,V341)</f>
        <v>0</v>
      </c>
      <c r="BD341" s="31" t="n">
        <f aca="false">IF($G341="",AS341,Q341)</f>
        <v>0</v>
      </c>
      <c r="BE341" s="31" t="n">
        <f aca="false">IF($G341="",AT341,W341)</f>
        <v>0</v>
      </c>
      <c r="BF341" s="31" t="n">
        <f aca="false">IF($G341="",AU341,R341)</f>
        <v>0</v>
      </c>
      <c r="BG341" s="31" t="n">
        <f aca="false">IF($G341="",AV341,X341)</f>
        <v>0</v>
      </c>
      <c r="BH341" s="31" t="n">
        <f aca="false">IF($G341="",AW341,S341)</f>
        <v>0</v>
      </c>
      <c r="BI341" s="31" t="n">
        <f aca="false">IF($G341="",AX341,Y341)</f>
        <v>0</v>
      </c>
      <c r="BJ341" s="31" t="n">
        <f aca="false">IF(CK341="N",BR341,ROUNDDOWN((I341-L341)*設定!$B$10/1000,0)+ROUNDDOWN((I341-L341)*設定!$B$11/1000,0))</f>
        <v>0</v>
      </c>
      <c r="BK341" s="31" t="n">
        <f aca="false">ROUNDDOWN((I341-L341)*設定!$C$10/1000,0)+ROUNDDOWN((I341-L341)*設定!$C$11/1000,0)+ROUNDDOWN(I341*設定!$C$12/1000,0)+IF(CL341="市局型",ROUNDDOWN(I341*設定!$C$16/1000,0),0)</f>
        <v>0</v>
      </c>
      <c r="BL341" s="31" t="n">
        <f aca="false">IF(CK341="N",BT341,ROUNDDOWN((J341-M341)*設定!$B$13/1000,0))</f>
        <v>0</v>
      </c>
      <c r="BM341" s="31" t="n">
        <f aca="false">ROUNDDOWN((J341-M341)*設定!$C$13/1000,0)+IF(CL341="市局型",ROUNDDOWN(J341*設定!$C$17/1000,0),0)</f>
        <v>0</v>
      </c>
      <c r="BN341" s="31" t="n">
        <f aca="false">IF(CK341="N",BV341,ROUNDDOWN((K341-N341)*設定!$B$14/1000,0))</f>
        <v>0</v>
      </c>
      <c r="BO341" s="31" t="n">
        <f aca="false">ROUNDDOWN((K341-N341)*設定!$C$14/1000,0)</f>
        <v>0</v>
      </c>
      <c r="BP341" s="31" t="n">
        <f aca="false">IF(CK341="N",BX341,ROUNDDOWN((J341-M341)*設定!$B$15/1000,0))</f>
        <v>0</v>
      </c>
      <c r="BQ341" s="31" t="n">
        <f aca="false">ROUNDDOWN((J341-M341)*設定!$C$15/1000,0)</f>
        <v>0</v>
      </c>
      <c r="BR341" s="31" t="n">
        <f aca="false">O341+P341</f>
        <v>0</v>
      </c>
      <c r="BS341" s="31" t="n">
        <f aca="false">T341+U341+V341</f>
        <v>0</v>
      </c>
      <c r="BT341" s="31" t="n">
        <f aca="false">Q341</f>
        <v>0</v>
      </c>
      <c r="BU341" s="31" t="n">
        <f aca="false">W341</f>
        <v>0</v>
      </c>
      <c r="BV341" s="31" t="n">
        <f aca="false">R341</f>
        <v>0</v>
      </c>
      <c r="BW341" s="31" t="n">
        <f aca="false">X341</f>
        <v>0</v>
      </c>
      <c r="BX341" s="31" t="n">
        <f aca="false">S341</f>
        <v>0</v>
      </c>
      <c r="BY341" s="31" t="n">
        <f aca="false">Y341</f>
        <v>0</v>
      </c>
      <c r="BZ341" s="32" t="n">
        <f aca="false">IF(BJ341=0,IF(BR341=0,0,1),(BR341-BJ341)/BJ341)</f>
        <v>0</v>
      </c>
      <c r="CA341" s="32" t="n">
        <f aca="false">IF(BK341=0,IF(BS341=0,0,1),(BS341-BK341)/BK341)</f>
        <v>0</v>
      </c>
      <c r="CB341" s="32" t="n">
        <f aca="false">IF(BL341=0,IF(BT341=0,0,1),(BT341-BL341)/BL341)</f>
        <v>0</v>
      </c>
      <c r="CC341" s="32" t="n">
        <f aca="false">IF(BM341=0,IF(BU341=0,0,1),(BU341-BM341)/BM341)</f>
        <v>0</v>
      </c>
      <c r="CD341" s="32" t="n">
        <f aca="false">IF(BN341=0,IF(BV341=0,0,1),(BV341-BN341)/BN341)</f>
        <v>0</v>
      </c>
      <c r="CE341" s="32" t="n">
        <f aca="false">IF(BO341=0,IF(BW341=0,0,1),(BW341-BO341)/BO341)</f>
        <v>0</v>
      </c>
      <c r="CF341" s="32" t="n">
        <f aca="false">IF(BP341=0,IF(BX341=0,0,1),(BX341-BP341)/BP341)</f>
        <v>0</v>
      </c>
      <c r="CG341" s="32" t="n">
        <f aca="false">IF(BQ341=0,IF(BY341=0,0,1),(BY341-BQ341)/BQ341)</f>
        <v>0</v>
      </c>
      <c r="CH341" s="32" t="n">
        <f aca="false">MAX(MAX(BZ341:CG341),-MIN(BZ341:CG341))</f>
        <v>-0</v>
      </c>
      <c r="CI341" s="31" t="n">
        <f aca="false">IF(CO341="","",SUMIFS($CJ$7:$CJ$696,$A$7:$A$696,CO341,$B$7:$B$696,B341))</f>
        <v>0</v>
      </c>
      <c r="CJ341" s="31" t="n">
        <f aca="false">SUM(AY341:BI341)</f>
        <v>0</v>
      </c>
      <c r="CK341" s="31" t="str">
        <f aca="false">IFERROR(INDEX(設定!$F$61:$F$106,MATCH(B341,設定!$B$61:$B$106,0)),"Y")</f>
        <v>N</v>
      </c>
      <c r="CL341" s="31" t="str">
        <f aca="false">IFERROR(INDEX(設定!$G$61:$G$106,MATCH(B341,設定!$B$61:$B$106,0)),"外郭型")</f>
        <v>外郭型</v>
      </c>
      <c r="CM341" s="33" t="str">
        <f aca="false">A341&amp;"|"&amp;B341</f>
        <v>2026-10 月例|地方税共同機構</v>
      </c>
      <c r="CN341" s="34" t="str">
        <f aca="false">IFERROR(INDEX(設定!$D$61:$D$106,MATCH(B341,設定!$B$61:$B$106,0)),"Y")</f>
        <v>Y</v>
      </c>
      <c r="CO341" s="34" t="str">
        <f aca="false">IFERROR(INDEX(設定!$D$20:$D$34,MATCH(A341,設定!$A$20:$A$34,0))&amp;"","")</f>
        <v>2026-09 月例</v>
      </c>
    </row>
    <row r="342" customFormat="false" ht="15" hidden="false" customHeight="false" outlineLevel="0" collapsed="false">
      <c r="A342" s="22" t="s">
        <v>223</v>
      </c>
      <c r="B342" s="23" t="s">
        <v>182</v>
      </c>
      <c r="C342" s="10" t="str">
        <f aca="false">IF(G342="","未受領",IF(G342="なし","報告なし",IF(AL342="○","起票済",IF(OR(AK342="○",F342="一致",F342="入金不要"),"入金確認済","受領済"))))</f>
        <v>未受領</v>
      </c>
      <c r="D342" s="10" t="str">
        <f aca="false">IF(OR(G342="",G342="なし"),"―",IF(CN342="N","対象外",IF(AND(I342="",J342="",K342=""),"標報未入力",IF(CH342&gt;=設定!$B$4,"要確認","問題なし"))))</f>
        <v>―</v>
      </c>
      <c r="E342" s="24" t="str">
        <f aca="false">IF(OR(G342="",G342="なし",CI342="",CJ342=0),"―",IF(CJ342=CI342,"前月同額",IF(CI342=0,"―",IF(ABS(CJ342/CI342-1)&gt;=設定!$B$5,"変動大 "&amp;TEXT(CJ342/CI342-1,"+0%;-0%"),"〇"))))</f>
        <v>―</v>
      </c>
      <c r="F342" s="10" t="str">
        <f aca="false">IF(OR(G342="",G342="なし"),"―",IF(CJ342=0,"入金不要",IF(COUNT(AD342,AF342,AH342,AJ342)=0,IF(AK342="○","手動確認","未入金"),IF(AND(N(AD342)=AC342,IF(AE342="",TRUE(),N(AF342)=AE342),IF(AG342="",TRUE(),N(AH342)=AG342),IF(AI342="",TRUE(),N(AJ342)=AI342)),"一致","不一致"))))</f>
        <v>―</v>
      </c>
      <c r="G342" s="25"/>
      <c r="H342" s="26"/>
      <c r="I342" s="27"/>
      <c r="J342" s="27"/>
      <c r="K342" s="27"/>
      <c r="L342" s="27"/>
      <c r="M342" s="27"/>
      <c r="N342" s="27"/>
      <c r="O342" s="27"/>
      <c r="P342" s="27"/>
      <c r="Q342" s="27"/>
      <c r="R342" s="27"/>
      <c r="S342" s="27"/>
      <c r="T342" s="27"/>
      <c r="U342" s="27"/>
      <c r="V342" s="27"/>
      <c r="W342" s="27"/>
      <c r="X342" s="27"/>
      <c r="Y342" s="27"/>
      <c r="Z342" s="27"/>
      <c r="AA342" s="10" t="str">
        <f aca="false">IFERROR(INDEX(設定!$E$61:$E$106,MATCH(B342,設定!$B$61:$B$106,0)),"合算")</f>
        <v>合算</v>
      </c>
      <c r="AB342" s="28"/>
      <c r="AC342" s="29" t="str">
        <f aca="false">IF(OR(G342="",G342="なし"),"",IF(AA342="合算",CJ342+N(Z342),IF(AA342="掛金・負担金別",(AY342+AZ342+BD342+BF342+BH342),SUM(AY342:BC342))))</f>
        <v/>
      </c>
      <c r="AD342" s="27"/>
      <c r="AE342" s="29" t="str">
        <f aca="false">IF(OR(G342="",G342="なし"),"",IF(AA342="掛金・負担金別",(BA342+BB342+BC342+BE342+BG342+BI342+N(Z342)),IF(AA342="経理区分別",BD342+BE342,"")))</f>
        <v/>
      </c>
      <c r="AF342" s="27"/>
      <c r="AG342" s="29" t="str">
        <f aca="false">IF(OR(G342="",G342="なし"),"",IF(AA342="経理区分別",BF342+BG342,""))</f>
        <v/>
      </c>
      <c r="AH342" s="27"/>
      <c r="AI342" s="29" t="str">
        <f aca="false">IF(OR(G342="",G342="なし"),"",IF(AA342="経理区分別",BH342+BI342+N(Z342),""))</f>
        <v/>
      </c>
      <c r="AJ342" s="27"/>
      <c r="AK342" s="26"/>
      <c r="AL342" s="26"/>
      <c r="AM342" s="30"/>
      <c r="AN342" s="31" t="n">
        <v>0</v>
      </c>
      <c r="AO342" s="31" t="n">
        <v>0</v>
      </c>
      <c r="AP342" s="31" t="n">
        <v>695400</v>
      </c>
      <c r="AQ342" s="31" t="n">
        <v>57000</v>
      </c>
      <c r="AR342" s="31" t="n">
        <v>713</v>
      </c>
      <c r="AS342" s="31" t="n">
        <v>0</v>
      </c>
      <c r="AT342" s="31" t="n">
        <v>420489</v>
      </c>
      <c r="AU342" s="31" t="n">
        <v>0</v>
      </c>
      <c r="AV342" s="31" t="n">
        <v>51903</v>
      </c>
      <c r="AW342" s="31" t="n">
        <v>0</v>
      </c>
      <c r="AX342" s="31" t="n">
        <v>1</v>
      </c>
      <c r="AY342" s="31" t="n">
        <f aca="false">IF($G342="",AN342,O342)</f>
        <v>0</v>
      </c>
      <c r="AZ342" s="31" t="n">
        <f aca="false">IF($G342="",AO342,P342)</f>
        <v>0</v>
      </c>
      <c r="BA342" s="31" t="n">
        <f aca="false">IF($G342="",AP342,T342)</f>
        <v>695400</v>
      </c>
      <c r="BB342" s="31" t="n">
        <f aca="false">IF($G342="",AQ342,U342)</f>
        <v>57000</v>
      </c>
      <c r="BC342" s="31" t="n">
        <f aca="false">IF($G342="",AR342,V342)</f>
        <v>713</v>
      </c>
      <c r="BD342" s="31" t="n">
        <f aca="false">IF($G342="",AS342,Q342)</f>
        <v>0</v>
      </c>
      <c r="BE342" s="31" t="n">
        <f aca="false">IF($G342="",AT342,W342)</f>
        <v>420489</v>
      </c>
      <c r="BF342" s="31" t="n">
        <f aca="false">IF($G342="",AU342,R342)</f>
        <v>0</v>
      </c>
      <c r="BG342" s="31" t="n">
        <f aca="false">IF($G342="",AV342,X342)</f>
        <v>51903</v>
      </c>
      <c r="BH342" s="31" t="n">
        <f aca="false">IF($G342="",AW342,S342)</f>
        <v>0</v>
      </c>
      <c r="BI342" s="31" t="n">
        <f aca="false">IF($G342="",AX342,Y342)</f>
        <v>1</v>
      </c>
      <c r="BJ342" s="31" t="n">
        <f aca="false">IF(CK342="N",BR342,ROUNDDOWN((I342-L342)*設定!$B$10/1000,0)+ROUNDDOWN((I342-L342)*設定!$B$11/1000,0))</f>
        <v>0</v>
      </c>
      <c r="BK342" s="31" t="n">
        <f aca="false">ROUNDDOWN((I342-L342)*設定!$C$10/1000,0)+ROUNDDOWN((I342-L342)*設定!$C$11/1000,0)+ROUNDDOWN(I342*設定!$C$12/1000,0)+IF(CL342="市局型",ROUNDDOWN(I342*設定!$C$16/1000,0),0)</f>
        <v>0</v>
      </c>
      <c r="BL342" s="31" t="n">
        <f aca="false">IF(CK342="N",BT342,ROUNDDOWN((J342-M342)*設定!$B$13/1000,0))</f>
        <v>0</v>
      </c>
      <c r="BM342" s="31" t="n">
        <f aca="false">ROUNDDOWN((J342-M342)*設定!$C$13/1000,0)+IF(CL342="市局型",ROUNDDOWN(J342*設定!$C$17/1000,0),0)</f>
        <v>0</v>
      </c>
      <c r="BN342" s="31" t="n">
        <f aca="false">IF(CK342="N",BV342,ROUNDDOWN((K342-N342)*設定!$B$14/1000,0))</f>
        <v>0</v>
      </c>
      <c r="BO342" s="31" t="n">
        <f aca="false">ROUNDDOWN((K342-N342)*設定!$C$14/1000,0)</f>
        <v>0</v>
      </c>
      <c r="BP342" s="31" t="n">
        <f aca="false">IF(CK342="N",BX342,ROUNDDOWN((J342-M342)*設定!$B$15/1000,0))</f>
        <v>0</v>
      </c>
      <c r="BQ342" s="31" t="n">
        <f aca="false">ROUNDDOWN((J342-M342)*設定!$C$15/1000,0)</f>
        <v>0</v>
      </c>
      <c r="BR342" s="31" t="n">
        <f aca="false">O342+P342</f>
        <v>0</v>
      </c>
      <c r="BS342" s="31" t="n">
        <f aca="false">T342+U342+V342</f>
        <v>0</v>
      </c>
      <c r="BT342" s="31" t="n">
        <f aca="false">Q342</f>
        <v>0</v>
      </c>
      <c r="BU342" s="31" t="n">
        <f aca="false">W342</f>
        <v>0</v>
      </c>
      <c r="BV342" s="31" t="n">
        <f aca="false">R342</f>
        <v>0</v>
      </c>
      <c r="BW342" s="31" t="n">
        <f aca="false">X342</f>
        <v>0</v>
      </c>
      <c r="BX342" s="31" t="n">
        <f aca="false">S342</f>
        <v>0</v>
      </c>
      <c r="BY342" s="31" t="n">
        <f aca="false">Y342</f>
        <v>0</v>
      </c>
      <c r="BZ342" s="32" t="n">
        <f aca="false">IF(BJ342=0,IF(BR342=0,0,1),(BR342-BJ342)/BJ342)</f>
        <v>0</v>
      </c>
      <c r="CA342" s="32" t="n">
        <f aca="false">IF(BK342=0,IF(BS342=0,0,1),(BS342-BK342)/BK342)</f>
        <v>0</v>
      </c>
      <c r="CB342" s="32" t="n">
        <f aca="false">IF(BL342=0,IF(BT342=0,0,1),(BT342-BL342)/BL342)</f>
        <v>0</v>
      </c>
      <c r="CC342" s="32" t="n">
        <f aca="false">IF(BM342=0,IF(BU342=0,0,1),(BU342-BM342)/BM342)</f>
        <v>0</v>
      </c>
      <c r="CD342" s="32" t="n">
        <f aca="false">IF(BN342=0,IF(BV342=0,0,1),(BV342-BN342)/BN342)</f>
        <v>0</v>
      </c>
      <c r="CE342" s="32" t="n">
        <f aca="false">IF(BO342=0,IF(BW342=0,0,1),(BW342-BO342)/BO342)</f>
        <v>0</v>
      </c>
      <c r="CF342" s="32" t="n">
        <f aca="false">IF(BP342=0,IF(BX342=0,0,1),(BX342-BP342)/BP342)</f>
        <v>0</v>
      </c>
      <c r="CG342" s="32" t="n">
        <f aca="false">IF(BQ342=0,IF(BY342=0,0,1),(BY342-BQ342)/BQ342)</f>
        <v>0</v>
      </c>
      <c r="CH342" s="32" t="n">
        <f aca="false">MAX(MAX(BZ342:CG342),-MIN(BZ342:CG342))</f>
        <v>-0</v>
      </c>
      <c r="CI342" s="31" t="n">
        <f aca="false">IF(CO342="","",SUMIFS($CJ$7:$CJ$696,$A$7:$A$696,CO342,$B$7:$B$696,B342))</f>
        <v>1362658</v>
      </c>
      <c r="CJ342" s="31" t="n">
        <f aca="false">SUM(AY342:BI342)</f>
        <v>1225506</v>
      </c>
      <c r="CK342" s="31" t="str">
        <f aca="false">IFERROR(INDEX(設定!$F$61:$F$106,MATCH(B342,設定!$B$61:$B$106,0)),"Y")</f>
        <v>Y</v>
      </c>
      <c r="CL342" s="31" t="str">
        <f aca="false">IFERROR(INDEX(設定!$G$61:$G$106,MATCH(B342,設定!$B$61:$B$106,0)),"外郭型")</f>
        <v>外郭型</v>
      </c>
      <c r="CM342" s="33" t="str">
        <f aca="false">A342&amp;"|"&amp;B342</f>
        <v>2026-10 月例|平和文化センター</v>
      </c>
      <c r="CN342" s="34" t="str">
        <f aca="false">IFERROR(INDEX(設定!$D$61:$D$106,MATCH(B342,設定!$B$61:$B$106,0)),"Y")</f>
        <v>Y</v>
      </c>
      <c r="CO342" s="34" t="str">
        <f aca="false">IFERROR(INDEX(設定!$D$20:$D$34,MATCH(A342,設定!$A$20:$A$34,0))&amp;"","")</f>
        <v>2026-09 月例</v>
      </c>
    </row>
    <row r="343" customFormat="false" ht="15" hidden="false" customHeight="false" outlineLevel="0" collapsed="false">
      <c r="A343" s="22" t="s">
        <v>223</v>
      </c>
      <c r="B343" s="23" t="s">
        <v>183</v>
      </c>
      <c r="C343" s="10" t="str">
        <f aca="false">IF(G343="","未受領",IF(G343="なし","報告なし",IF(AL343="○","起票済",IF(OR(AK343="○",F343="一致",F343="入金不要"),"入金確認済","受領済"))))</f>
        <v>未受領</v>
      </c>
      <c r="D343" s="10" t="str">
        <f aca="false">IF(OR(G343="",G343="なし"),"―",IF(CN343="N","対象外",IF(AND(I343="",J343="",K343=""),"標報未入力",IF(CH343&gt;=設定!$B$4,"要確認","問題なし"))))</f>
        <v>―</v>
      </c>
      <c r="E343" s="24" t="str">
        <f aca="false">IF(OR(G343="",G343="なし",CI343="",CJ343=0),"―",IF(CJ343=CI343,"前月同額",IF(CI343=0,"―",IF(ABS(CJ343/CI343-1)&gt;=設定!$B$5,"変動大 "&amp;TEXT(CJ343/CI343-1,"+0%;-0%"),"〇"))))</f>
        <v>―</v>
      </c>
      <c r="F343" s="10" t="str">
        <f aca="false">IF(OR(G343="",G343="なし"),"―",IF(CJ343=0,"入金不要",IF(COUNT(AD343,AF343,AH343,AJ343)=0,IF(AK343="○","手動確認","未入金"),IF(AND(N(AD343)=AC343,IF(AE343="",TRUE(),N(AF343)=AE343),IF(AG343="",TRUE(),N(AH343)=AG343),IF(AI343="",TRUE(),N(AJ343)=AI343)),"一致","不一致"))))</f>
        <v>―</v>
      </c>
      <c r="G343" s="25"/>
      <c r="H343" s="26"/>
      <c r="I343" s="27"/>
      <c r="J343" s="27"/>
      <c r="K343" s="27"/>
      <c r="L343" s="27"/>
      <c r="M343" s="27"/>
      <c r="N343" s="27"/>
      <c r="O343" s="27"/>
      <c r="P343" s="27"/>
      <c r="Q343" s="27"/>
      <c r="R343" s="27"/>
      <c r="S343" s="27"/>
      <c r="T343" s="27"/>
      <c r="U343" s="27"/>
      <c r="V343" s="27"/>
      <c r="W343" s="27"/>
      <c r="X343" s="27"/>
      <c r="Y343" s="27"/>
      <c r="Z343" s="27"/>
      <c r="AA343" s="10" t="str">
        <f aca="false">IFERROR(INDEX(設定!$E$61:$E$106,MATCH(B343,設定!$B$61:$B$106,0)),"合算")</f>
        <v>合算</v>
      </c>
      <c r="AB343" s="28"/>
      <c r="AC343" s="29" t="str">
        <f aca="false">IF(OR(G343="",G343="なし"),"",IF(AA343="合算",CJ343+N(Z343),IF(AA343="掛金・負担金別",(AY343+AZ343+BD343+BF343+BH343),SUM(AY343:BC343))))</f>
        <v/>
      </c>
      <c r="AD343" s="27"/>
      <c r="AE343" s="29" t="str">
        <f aca="false">IF(OR(G343="",G343="なし"),"",IF(AA343="掛金・負担金別",(BA343+BB343+BC343+BE343+BG343+BI343+N(Z343)),IF(AA343="経理区分別",BD343+BE343,"")))</f>
        <v/>
      </c>
      <c r="AF343" s="27"/>
      <c r="AG343" s="29" t="str">
        <f aca="false">IF(OR(G343="",G343="なし"),"",IF(AA343="経理区分別",BF343+BG343,""))</f>
        <v/>
      </c>
      <c r="AH343" s="27"/>
      <c r="AI343" s="29" t="str">
        <f aca="false">IF(OR(G343="",G343="なし"),"",IF(AA343="経理区分別",BH343+BI343+N(Z343),""))</f>
        <v/>
      </c>
      <c r="AJ343" s="27"/>
      <c r="AK343" s="26"/>
      <c r="AL343" s="26"/>
      <c r="AM343" s="30"/>
      <c r="AN343" s="31"/>
      <c r="AO343" s="31"/>
      <c r="AP343" s="31" t="n">
        <v>1881240</v>
      </c>
      <c r="AQ343" s="31" t="n">
        <v>154200</v>
      </c>
      <c r="AR343" s="31" t="n">
        <v>1960</v>
      </c>
      <c r="AS343" s="31"/>
      <c r="AT343" s="31" t="n">
        <v>1271974</v>
      </c>
      <c r="AU343" s="31"/>
      <c r="AV343" s="31" t="n">
        <v>141252</v>
      </c>
      <c r="AW343" s="31"/>
      <c r="AX343" s="31" t="n">
        <v>1</v>
      </c>
      <c r="AY343" s="31" t="n">
        <f aca="false">IF($G343="",AN343,O343)</f>
        <v>0</v>
      </c>
      <c r="AZ343" s="31" t="n">
        <f aca="false">IF($G343="",AO343,P343)</f>
        <v>0</v>
      </c>
      <c r="BA343" s="31" t="n">
        <f aca="false">IF($G343="",AP343,T343)</f>
        <v>1881240</v>
      </c>
      <c r="BB343" s="31" t="n">
        <f aca="false">IF($G343="",AQ343,U343)</f>
        <v>154200</v>
      </c>
      <c r="BC343" s="31" t="n">
        <f aca="false">IF($G343="",AR343,V343)</f>
        <v>1960</v>
      </c>
      <c r="BD343" s="31" t="n">
        <f aca="false">IF($G343="",AS343,Q343)</f>
        <v>0</v>
      </c>
      <c r="BE343" s="31" t="n">
        <f aca="false">IF($G343="",AT343,W343)</f>
        <v>1271974</v>
      </c>
      <c r="BF343" s="31" t="n">
        <f aca="false">IF($G343="",AU343,R343)</f>
        <v>0</v>
      </c>
      <c r="BG343" s="31" t="n">
        <f aca="false">IF($G343="",AV343,X343)</f>
        <v>141252</v>
      </c>
      <c r="BH343" s="31" t="n">
        <f aca="false">IF($G343="",AW343,S343)</f>
        <v>0</v>
      </c>
      <c r="BI343" s="31" t="n">
        <f aca="false">IF($G343="",AX343,Y343)</f>
        <v>1</v>
      </c>
      <c r="BJ343" s="31" t="n">
        <f aca="false">IF(CK343="N",BR343,ROUNDDOWN((I343-L343)*設定!$B$10/1000,0)+ROUNDDOWN((I343-L343)*設定!$B$11/1000,0))</f>
        <v>0</v>
      </c>
      <c r="BK343" s="31" t="n">
        <f aca="false">ROUNDDOWN((I343-L343)*設定!$C$10/1000,0)+ROUNDDOWN((I343-L343)*設定!$C$11/1000,0)+ROUNDDOWN(I343*設定!$C$12/1000,0)+IF(CL343="市局型",ROUNDDOWN(I343*設定!$C$16/1000,0),0)</f>
        <v>0</v>
      </c>
      <c r="BL343" s="31" t="n">
        <f aca="false">IF(CK343="N",BT343,ROUNDDOWN((J343-M343)*設定!$B$13/1000,0))</f>
        <v>0</v>
      </c>
      <c r="BM343" s="31" t="n">
        <f aca="false">ROUNDDOWN((J343-M343)*設定!$C$13/1000,0)+IF(CL343="市局型",ROUNDDOWN(J343*設定!$C$17/1000,0),0)</f>
        <v>0</v>
      </c>
      <c r="BN343" s="31" t="n">
        <f aca="false">IF(CK343="N",BV343,ROUNDDOWN((K343-N343)*設定!$B$14/1000,0))</f>
        <v>0</v>
      </c>
      <c r="BO343" s="31" t="n">
        <f aca="false">ROUNDDOWN((K343-N343)*設定!$C$14/1000,0)</f>
        <v>0</v>
      </c>
      <c r="BP343" s="31" t="n">
        <f aca="false">IF(CK343="N",BX343,ROUNDDOWN((J343-M343)*設定!$B$15/1000,0))</f>
        <v>0</v>
      </c>
      <c r="BQ343" s="31" t="n">
        <f aca="false">ROUNDDOWN((J343-M343)*設定!$C$15/1000,0)</f>
        <v>0</v>
      </c>
      <c r="BR343" s="31" t="n">
        <f aca="false">O343+P343</f>
        <v>0</v>
      </c>
      <c r="BS343" s="31" t="n">
        <f aca="false">T343+U343+V343</f>
        <v>0</v>
      </c>
      <c r="BT343" s="31" t="n">
        <f aca="false">Q343</f>
        <v>0</v>
      </c>
      <c r="BU343" s="31" t="n">
        <f aca="false">W343</f>
        <v>0</v>
      </c>
      <c r="BV343" s="31" t="n">
        <f aca="false">R343</f>
        <v>0</v>
      </c>
      <c r="BW343" s="31" t="n">
        <f aca="false">X343</f>
        <v>0</v>
      </c>
      <c r="BX343" s="31" t="n">
        <f aca="false">S343</f>
        <v>0</v>
      </c>
      <c r="BY343" s="31" t="n">
        <f aca="false">Y343</f>
        <v>0</v>
      </c>
      <c r="BZ343" s="32" t="n">
        <f aca="false">IF(BJ343=0,IF(BR343=0,0,1),(BR343-BJ343)/BJ343)</f>
        <v>0</v>
      </c>
      <c r="CA343" s="32" t="n">
        <f aca="false">IF(BK343=0,IF(BS343=0,0,1),(BS343-BK343)/BK343)</f>
        <v>0</v>
      </c>
      <c r="CB343" s="32" t="n">
        <f aca="false">IF(BL343=0,IF(BT343=0,0,1),(BT343-BL343)/BL343)</f>
        <v>0</v>
      </c>
      <c r="CC343" s="32" t="n">
        <f aca="false">IF(BM343=0,IF(BU343=0,0,1),(BU343-BM343)/BM343)</f>
        <v>0</v>
      </c>
      <c r="CD343" s="32" t="n">
        <f aca="false">IF(BN343=0,IF(BV343=0,0,1),(BV343-BN343)/BN343)</f>
        <v>0</v>
      </c>
      <c r="CE343" s="32" t="n">
        <f aca="false">IF(BO343=0,IF(BW343=0,0,1),(BW343-BO343)/BO343)</f>
        <v>0</v>
      </c>
      <c r="CF343" s="32" t="n">
        <f aca="false">IF(BP343=0,IF(BX343=0,0,1),(BX343-BP343)/BP343)</f>
        <v>0</v>
      </c>
      <c r="CG343" s="32" t="n">
        <f aca="false">IF(BQ343=0,IF(BY343=0,0,1),(BY343-BQ343)/BQ343)</f>
        <v>0</v>
      </c>
      <c r="CH343" s="32" t="n">
        <f aca="false">MAX(MAX(BZ343:CG343),-MIN(BZ343:CG343))</f>
        <v>-0</v>
      </c>
      <c r="CI343" s="31" t="n">
        <f aca="false">IF(CO343="","",SUMIFS($CJ$7:$CJ$696,$A$7:$A$696,CO343,$B$7:$B$696,B343))</f>
        <v>3651871</v>
      </c>
      <c r="CJ343" s="31" t="n">
        <f aca="false">SUM(AY343:BI343)</f>
        <v>3450627</v>
      </c>
      <c r="CK343" s="31" t="str">
        <f aca="false">IFERROR(INDEX(設定!$F$61:$F$106,MATCH(B343,設定!$B$61:$B$106,0)),"Y")</f>
        <v>N</v>
      </c>
      <c r="CL343" s="31" t="str">
        <f aca="false">IFERROR(INDEX(設定!$G$61:$G$106,MATCH(B343,設定!$B$61:$B$106,0)),"外郭型")</f>
        <v>外郭型</v>
      </c>
      <c r="CM343" s="33" t="str">
        <f aca="false">A343&amp;"|"&amp;B343</f>
        <v>2026-10 月例|社会福祉事業団</v>
      </c>
      <c r="CN343" s="34" t="str">
        <f aca="false">IFERROR(INDEX(設定!$D$61:$D$106,MATCH(B343,設定!$B$61:$B$106,0)),"Y")</f>
        <v>Y</v>
      </c>
      <c r="CO343" s="34" t="str">
        <f aca="false">IFERROR(INDEX(設定!$D$20:$D$34,MATCH(A343,設定!$A$20:$A$34,0))&amp;"","")</f>
        <v>2026-09 月例</v>
      </c>
    </row>
    <row r="344" customFormat="false" ht="15" hidden="false" customHeight="false" outlineLevel="0" collapsed="false">
      <c r="A344" s="22" t="s">
        <v>223</v>
      </c>
      <c r="B344" s="23" t="s">
        <v>184</v>
      </c>
      <c r="C344" s="10" t="str">
        <f aca="false">IF(G344="","未受領",IF(G344="なし","報告なし",IF(AL344="○","起票済",IF(OR(AK344="○",F344="一致",F344="入金不要"),"入金確認済","受領済"))))</f>
        <v>未受領</v>
      </c>
      <c r="D344" s="10" t="str">
        <f aca="false">IF(OR(G344="",G344="なし"),"―",IF(CN344="N","対象外",IF(AND(I344="",J344="",K344=""),"標報未入力",IF(CH344&gt;=設定!$B$4,"要確認","問題なし"))))</f>
        <v>―</v>
      </c>
      <c r="E344" s="24" t="str">
        <f aca="false">IF(OR(G344="",G344="なし",CI344="",CJ344=0),"―",IF(CJ344=CI344,"前月同額",IF(CI344=0,"―",IF(ABS(CJ344/CI344-1)&gt;=設定!$B$5,"変動大 "&amp;TEXT(CJ344/CI344-1,"+0%;-0%"),"〇"))))</f>
        <v>―</v>
      </c>
      <c r="F344" s="10" t="str">
        <f aca="false">IF(OR(G344="",G344="なし"),"―",IF(CJ344=0,"入金不要",IF(COUNT(AD344,AF344,AH344,AJ344)=0,IF(AK344="○","手動確認","未入金"),IF(AND(N(AD344)=AC344,IF(AE344="",TRUE(),N(AF344)=AE344),IF(AG344="",TRUE(),N(AH344)=AG344),IF(AI344="",TRUE(),N(AJ344)=AI344)),"一致","不一致"))))</f>
        <v>―</v>
      </c>
      <c r="G344" s="25"/>
      <c r="H344" s="26"/>
      <c r="I344" s="27"/>
      <c r="J344" s="27"/>
      <c r="K344" s="27"/>
      <c r="L344" s="27"/>
      <c r="M344" s="27"/>
      <c r="N344" s="27"/>
      <c r="O344" s="27"/>
      <c r="P344" s="27"/>
      <c r="Q344" s="27"/>
      <c r="R344" s="27"/>
      <c r="S344" s="27"/>
      <c r="T344" s="27"/>
      <c r="U344" s="27"/>
      <c r="V344" s="27"/>
      <c r="W344" s="27"/>
      <c r="X344" s="27"/>
      <c r="Y344" s="27"/>
      <c r="Z344" s="27"/>
      <c r="AA344" s="10" t="str">
        <f aca="false">IFERROR(INDEX(設定!$E$61:$E$106,MATCH(B344,設定!$B$61:$B$106,0)),"合算")</f>
        <v>合算</v>
      </c>
      <c r="AB344" s="28"/>
      <c r="AC344" s="29" t="str">
        <f aca="false">IF(OR(G344="",G344="なし"),"",IF(AA344="合算",CJ344+N(Z344),IF(AA344="掛金・負担金別",(AY344+AZ344+BD344+BF344+BH344),SUM(AY344:BC344))))</f>
        <v/>
      </c>
      <c r="AD344" s="27"/>
      <c r="AE344" s="29" t="str">
        <f aca="false">IF(OR(G344="",G344="なし"),"",IF(AA344="掛金・負担金別",(BA344+BB344+BC344+BE344+BG344+BI344+N(Z344)),IF(AA344="経理区分別",BD344+BE344,"")))</f>
        <v/>
      </c>
      <c r="AF344" s="27"/>
      <c r="AG344" s="29" t="str">
        <f aca="false">IF(OR(G344="",G344="なし"),"",IF(AA344="経理区分別",BF344+BG344,""))</f>
        <v/>
      </c>
      <c r="AH344" s="27"/>
      <c r="AI344" s="29" t="str">
        <f aca="false">IF(OR(G344="",G344="なし"),"",IF(AA344="経理区分別",BH344+BI344+N(Z344),""))</f>
        <v/>
      </c>
      <c r="AJ344" s="27"/>
      <c r="AK344" s="26"/>
      <c r="AL344" s="26"/>
      <c r="AM344" s="30"/>
      <c r="AN344" s="31"/>
      <c r="AO344" s="31"/>
      <c r="AP344" s="31" t="n">
        <v>48495</v>
      </c>
      <c r="AQ344" s="31" t="n">
        <v>3975</v>
      </c>
      <c r="AR344" s="31" t="n">
        <v>49</v>
      </c>
      <c r="AS344" s="31"/>
      <c r="AT344" s="31" t="n">
        <v>29208</v>
      </c>
      <c r="AU344" s="31"/>
      <c r="AV344" s="31" t="n">
        <v>4187</v>
      </c>
      <c r="AW344" s="31"/>
      <c r="AX344" s="31" t="n">
        <v>1</v>
      </c>
      <c r="AY344" s="31" t="n">
        <f aca="false">IF($G344="",AN344,O344)</f>
        <v>0</v>
      </c>
      <c r="AZ344" s="31" t="n">
        <f aca="false">IF($G344="",AO344,P344)</f>
        <v>0</v>
      </c>
      <c r="BA344" s="31" t="n">
        <f aca="false">IF($G344="",AP344,T344)</f>
        <v>48495</v>
      </c>
      <c r="BB344" s="31" t="n">
        <f aca="false">IF($G344="",AQ344,U344)</f>
        <v>3975</v>
      </c>
      <c r="BC344" s="31" t="n">
        <f aca="false">IF($G344="",AR344,V344)</f>
        <v>49</v>
      </c>
      <c r="BD344" s="31" t="n">
        <f aca="false">IF($G344="",AS344,Q344)</f>
        <v>0</v>
      </c>
      <c r="BE344" s="31" t="n">
        <f aca="false">IF($G344="",AT344,W344)</f>
        <v>29208</v>
      </c>
      <c r="BF344" s="31" t="n">
        <f aca="false">IF($G344="",AU344,R344)</f>
        <v>0</v>
      </c>
      <c r="BG344" s="31" t="n">
        <f aca="false">IF($G344="",AV344,X344)</f>
        <v>4187</v>
      </c>
      <c r="BH344" s="31" t="n">
        <f aca="false">IF($G344="",AW344,S344)</f>
        <v>0</v>
      </c>
      <c r="BI344" s="31" t="n">
        <f aca="false">IF($G344="",AX344,Y344)</f>
        <v>1</v>
      </c>
      <c r="BJ344" s="31" t="n">
        <f aca="false">IF(CK344="N",BR344,ROUNDDOWN((I344-L344)*設定!$B$10/1000,0)+ROUNDDOWN((I344-L344)*設定!$B$11/1000,0))</f>
        <v>0</v>
      </c>
      <c r="BK344" s="31" t="n">
        <f aca="false">ROUNDDOWN((I344-L344)*設定!$C$10/1000,0)+ROUNDDOWN((I344-L344)*設定!$C$11/1000,0)+ROUNDDOWN(I344*設定!$C$12/1000,0)+IF(CL344="市局型",ROUNDDOWN(I344*設定!$C$16/1000,0),0)</f>
        <v>0</v>
      </c>
      <c r="BL344" s="31" t="n">
        <f aca="false">IF(CK344="N",BT344,ROUNDDOWN((J344-M344)*設定!$B$13/1000,0))</f>
        <v>0</v>
      </c>
      <c r="BM344" s="31" t="n">
        <f aca="false">ROUNDDOWN((J344-M344)*設定!$C$13/1000,0)+IF(CL344="市局型",ROUNDDOWN(J344*設定!$C$17/1000,0),0)</f>
        <v>0</v>
      </c>
      <c r="BN344" s="31" t="n">
        <f aca="false">IF(CK344="N",BV344,ROUNDDOWN((K344-N344)*設定!$B$14/1000,0))</f>
        <v>0</v>
      </c>
      <c r="BO344" s="31" t="n">
        <f aca="false">ROUNDDOWN((K344-N344)*設定!$C$14/1000,0)</f>
        <v>0</v>
      </c>
      <c r="BP344" s="31" t="n">
        <f aca="false">IF(CK344="N",BX344,ROUNDDOWN((J344-M344)*設定!$B$15/1000,0))</f>
        <v>0</v>
      </c>
      <c r="BQ344" s="31" t="n">
        <f aca="false">ROUNDDOWN((J344-M344)*設定!$C$15/1000,0)</f>
        <v>0</v>
      </c>
      <c r="BR344" s="31" t="n">
        <f aca="false">O344+P344</f>
        <v>0</v>
      </c>
      <c r="BS344" s="31" t="n">
        <f aca="false">T344+U344+V344</f>
        <v>0</v>
      </c>
      <c r="BT344" s="31" t="n">
        <f aca="false">Q344</f>
        <v>0</v>
      </c>
      <c r="BU344" s="31" t="n">
        <f aca="false">W344</f>
        <v>0</v>
      </c>
      <c r="BV344" s="31" t="n">
        <f aca="false">R344</f>
        <v>0</v>
      </c>
      <c r="BW344" s="31" t="n">
        <f aca="false">X344</f>
        <v>0</v>
      </c>
      <c r="BX344" s="31" t="n">
        <f aca="false">S344</f>
        <v>0</v>
      </c>
      <c r="BY344" s="31" t="n">
        <f aca="false">Y344</f>
        <v>0</v>
      </c>
      <c r="BZ344" s="32" t="n">
        <f aca="false">IF(BJ344=0,IF(BR344=0,0,1),(BR344-BJ344)/BJ344)</f>
        <v>0</v>
      </c>
      <c r="CA344" s="32" t="n">
        <f aca="false">IF(BK344=0,IF(BS344=0,0,1),(BS344-BK344)/BK344)</f>
        <v>0</v>
      </c>
      <c r="CB344" s="32" t="n">
        <f aca="false">IF(BL344=0,IF(BT344=0,0,1),(BT344-BL344)/BL344)</f>
        <v>0</v>
      </c>
      <c r="CC344" s="32" t="n">
        <f aca="false">IF(BM344=0,IF(BU344=0,0,1),(BU344-BM344)/BM344)</f>
        <v>0</v>
      </c>
      <c r="CD344" s="32" t="n">
        <f aca="false">IF(BN344=0,IF(BV344=0,0,1),(BV344-BN344)/BN344)</f>
        <v>0</v>
      </c>
      <c r="CE344" s="32" t="n">
        <f aca="false">IF(BO344=0,IF(BW344=0,0,1),(BW344-BO344)/BO344)</f>
        <v>0</v>
      </c>
      <c r="CF344" s="32" t="n">
        <f aca="false">IF(BP344=0,IF(BX344=0,0,1),(BX344-BP344)/BP344)</f>
        <v>0</v>
      </c>
      <c r="CG344" s="32" t="n">
        <f aca="false">IF(BQ344=0,IF(BY344=0,0,1),(BY344-BQ344)/BQ344)</f>
        <v>0</v>
      </c>
      <c r="CH344" s="32" t="n">
        <f aca="false">MAX(MAX(BZ344:CG344),-MIN(BZ344:CG344))</f>
        <v>-0</v>
      </c>
      <c r="CI344" s="31" t="n">
        <f aca="false">IF(CO344="","",SUMIFS($CJ$7:$CJ$696,$A$7:$A$696,CO344,$B$7:$B$696,B344))</f>
        <v>104029</v>
      </c>
      <c r="CJ344" s="31" t="n">
        <f aca="false">SUM(AY344:BI344)</f>
        <v>85915</v>
      </c>
      <c r="CK344" s="31" t="str">
        <f aca="false">IFERROR(INDEX(設定!$F$61:$F$106,MATCH(B344,設定!$B$61:$B$106,0)),"Y")</f>
        <v>N</v>
      </c>
      <c r="CL344" s="31" t="str">
        <f aca="false">IFERROR(INDEX(設定!$G$61:$G$106,MATCH(B344,設定!$B$61:$B$106,0)),"外郭型")</f>
        <v>外郭型</v>
      </c>
      <c r="CM344" s="33" t="str">
        <f aca="false">A344&amp;"|"&amp;B344</f>
        <v>2026-10 月例|原爆障害対策協議会</v>
      </c>
      <c r="CN344" s="34" t="str">
        <f aca="false">IFERROR(INDEX(設定!$D$61:$D$106,MATCH(B344,設定!$B$61:$B$106,0)),"Y")</f>
        <v>Y</v>
      </c>
      <c r="CO344" s="34" t="str">
        <f aca="false">IFERROR(INDEX(設定!$D$20:$D$34,MATCH(A344,設定!$A$20:$A$34,0))&amp;"","")</f>
        <v>2026-09 月例</v>
      </c>
    </row>
    <row r="345" customFormat="false" ht="15" hidden="false" customHeight="false" outlineLevel="0" collapsed="false">
      <c r="A345" s="22" t="s">
        <v>223</v>
      </c>
      <c r="B345" s="23" t="s">
        <v>185</v>
      </c>
      <c r="C345" s="10" t="str">
        <f aca="false">IF(G345="","未受領",IF(G345="なし","報告なし",IF(AL345="○","起票済",IF(OR(AK345="○",F345="一致",F345="入金不要"),"入金確認済","受領済"))))</f>
        <v>未受領</v>
      </c>
      <c r="D345" s="10" t="str">
        <f aca="false">IF(OR(G345="",G345="なし"),"―",IF(CN345="N","対象外",IF(AND(I345="",J345="",K345=""),"標報未入力",IF(CH345&gt;=設定!$B$4,"要確認","問題なし"))))</f>
        <v>―</v>
      </c>
      <c r="E345" s="24" t="str">
        <f aca="false">IF(OR(G345="",G345="なし",CI345="",CJ345=0),"―",IF(CJ345=CI345,"前月同額",IF(CI345=0,"―",IF(ABS(CJ345/CI345-1)&gt;=設定!$B$5,"変動大 "&amp;TEXT(CJ345/CI345-1,"+0%;-0%"),"〇"))))</f>
        <v>―</v>
      </c>
      <c r="F345" s="10" t="str">
        <f aca="false">IF(OR(G345="",G345="なし"),"―",IF(CJ345=0,"入金不要",IF(COUNT(AD345,AF345,AH345,AJ345)=0,IF(AK345="○","手動確認","未入金"),IF(AND(N(AD345)=AC345,IF(AE345="",TRUE(),N(AF345)=AE345),IF(AG345="",TRUE(),N(AH345)=AG345),IF(AI345="",TRUE(),N(AJ345)=AI345)),"一致","不一致"))))</f>
        <v>―</v>
      </c>
      <c r="G345" s="25"/>
      <c r="H345" s="26"/>
      <c r="I345" s="27"/>
      <c r="J345" s="27"/>
      <c r="K345" s="27"/>
      <c r="L345" s="27"/>
      <c r="M345" s="27"/>
      <c r="N345" s="27"/>
      <c r="O345" s="27"/>
      <c r="P345" s="27"/>
      <c r="Q345" s="27"/>
      <c r="R345" s="27"/>
      <c r="S345" s="27"/>
      <c r="T345" s="27"/>
      <c r="U345" s="27"/>
      <c r="V345" s="27"/>
      <c r="W345" s="27"/>
      <c r="X345" s="27"/>
      <c r="Y345" s="27"/>
      <c r="Z345" s="27"/>
      <c r="AA345" s="10" t="str">
        <f aca="false">IFERROR(INDEX(設定!$E$61:$E$106,MATCH(B345,設定!$B$61:$B$106,0)),"合算")</f>
        <v>合算</v>
      </c>
      <c r="AB345" s="28"/>
      <c r="AC345" s="29" t="str">
        <f aca="false">IF(OR(G345="",G345="なし"),"",IF(AA345="合算",CJ345+N(Z345),IF(AA345="掛金・負担金別",(AY345+AZ345+BD345+BF345+BH345),SUM(AY345:BC345))))</f>
        <v/>
      </c>
      <c r="AD345" s="27"/>
      <c r="AE345" s="29" t="str">
        <f aca="false">IF(OR(G345="",G345="なし"),"",IF(AA345="掛金・負担金別",(BA345+BB345+BC345+BE345+BG345+BI345+N(Z345)),IF(AA345="経理区分別",BD345+BE345,"")))</f>
        <v/>
      </c>
      <c r="AF345" s="27"/>
      <c r="AG345" s="29" t="str">
        <f aca="false">IF(OR(G345="",G345="なし"),"",IF(AA345="経理区分別",BF345+BG345,""))</f>
        <v/>
      </c>
      <c r="AH345" s="27"/>
      <c r="AI345" s="29" t="str">
        <f aca="false">IF(OR(G345="",G345="なし"),"",IF(AA345="経理区分別",BH345+BI345+N(Z345),""))</f>
        <v/>
      </c>
      <c r="AJ345" s="27"/>
      <c r="AK345" s="26"/>
      <c r="AL345" s="26"/>
      <c r="AM345" s="30"/>
      <c r="AN345" s="31"/>
      <c r="AO345" s="31"/>
      <c r="AP345" s="31" t="n">
        <v>425475</v>
      </c>
      <c r="AQ345" s="31" t="n">
        <v>34875</v>
      </c>
      <c r="AR345" s="31" t="n">
        <v>435</v>
      </c>
      <c r="AS345" s="31"/>
      <c r="AT345" s="31" t="n">
        <v>256260</v>
      </c>
      <c r="AU345" s="31"/>
      <c r="AV345" s="31" t="n">
        <v>34207</v>
      </c>
      <c r="AW345" s="31"/>
      <c r="AX345" s="31" t="n">
        <v>1</v>
      </c>
      <c r="AY345" s="31" t="n">
        <f aca="false">IF($G345="",AN345,O345)</f>
        <v>0</v>
      </c>
      <c r="AZ345" s="31" t="n">
        <f aca="false">IF($G345="",AO345,P345)</f>
        <v>0</v>
      </c>
      <c r="BA345" s="31" t="n">
        <f aca="false">IF($G345="",AP345,T345)</f>
        <v>425475</v>
      </c>
      <c r="BB345" s="31" t="n">
        <f aca="false">IF($G345="",AQ345,U345)</f>
        <v>34875</v>
      </c>
      <c r="BC345" s="31" t="n">
        <f aca="false">IF($G345="",AR345,V345)</f>
        <v>435</v>
      </c>
      <c r="BD345" s="31" t="n">
        <f aca="false">IF($G345="",AS345,Q345)</f>
        <v>0</v>
      </c>
      <c r="BE345" s="31" t="n">
        <f aca="false">IF($G345="",AT345,W345)</f>
        <v>256260</v>
      </c>
      <c r="BF345" s="31" t="n">
        <f aca="false">IF($G345="",AU345,R345)</f>
        <v>0</v>
      </c>
      <c r="BG345" s="31" t="n">
        <f aca="false">IF($G345="",AV345,X345)</f>
        <v>34207</v>
      </c>
      <c r="BH345" s="31" t="n">
        <f aca="false">IF($G345="",AW345,S345)</f>
        <v>0</v>
      </c>
      <c r="BI345" s="31" t="n">
        <f aca="false">IF($G345="",AX345,Y345)</f>
        <v>1</v>
      </c>
      <c r="BJ345" s="31" t="n">
        <f aca="false">IF(CK345="N",BR345,ROUNDDOWN((I345-L345)*設定!$B$10/1000,0)+ROUNDDOWN((I345-L345)*設定!$B$11/1000,0))</f>
        <v>0</v>
      </c>
      <c r="BK345" s="31" t="n">
        <f aca="false">ROUNDDOWN((I345-L345)*設定!$C$10/1000,0)+ROUNDDOWN((I345-L345)*設定!$C$11/1000,0)+ROUNDDOWN(I345*設定!$C$12/1000,0)+IF(CL345="市局型",ROUNDDOWN(I345*設定!$C$16/1000,0),0)</f>
        <v>0</v>
      </c>
      <c r="BL345" s="31" t="n">
        <f aca="false">IF(CK345="N",BT345,ROUNDDOWN((J345-M345)*設定!$B$13/1000,0))</f>
        <v>0</v>
      </c>
      <c r="BM345" s="31" t="n">
        <f aca="false">ROUNDDOWN((J345-M345)*設定!$C$13/1000,0)+IF(CL345="市局型",ROUNDDOWN(J345*設定!$C$17/1000,0),0)</f>
        <v>0</v>
      </c>
      <c r="BN345" s="31" t="n">
        <f aca="false">IF(CK345="N",BV345,ROUNDDOWN((K345-N345)*設定!$B$14/1000,0))</f>
        <v>0</v>
      </c>
      <c r="BO345" s="31" t="n">
        <f aca="false">ROUNDDOWN((K345-N345)*設定!$C$14/1000,0)</f>
        <v>0</v>
      </c>
      <c r="BP345" s="31" t="n">
        <f aca="false">IF(CK345="N",BX345,ROUNDDOWN((J345-M345)*設定!$B$15/1000,0))</f>
        <v>0</v>
      </c>
      <c r="BQ345" s="31" t="n">
        <f aca="false">ROUNDDOWN((J345-M345)*設定!$C$15/1000,0)</f>
        <v>0</v>
      </c>
      <c r="BR345" s="31" t="n">
        <f aca="false">O345+P345</f>
        <v>0</v>
      </c>
      <c r="BS345" s="31" t="n">
        <f aca="false">T345+U345+V345</f>
        <v>0</v>
      </c>
      <c r="BT345" s="31" t="n">
        <f aca="false">Q345</f>
        <v>0</v>
      </c>
      <c r="BU345" s="31" t="n">
        <f aca="false">W345</f>
        <v>0</v>
      </c>
      <c r="BV345" s="31" t="n">
        <f aca="false">R345</f>
        <v>0</v>
      </c>
      <c r="BW345" s="31" t="n">
        <f aca="false">X345</f>
        <v>0</v>
      </c>
      <c r="BX345" s="31" t="n">
        <f aca="false">S345</f>
        <v>0</v>
      </c>
      <c r="BY345" s="31" t="n">
        <f aca="false">Y345</f>
        <v>0</v>
      </c>
      <c r="BZ345" s="32" t="n">
        <f aca="false">IF(BJ345=0,IF(BR345=0,0,1),(BR345-BJ345)/BJ345)</f>
        <v>0</v>
      </c>
      <c r="CA345" s="32" t="n">
        <f aca="false">IF(BK345=0,IF(BS345=0,0,1),(BS345-BK345)/BK345)</f>
        <v>0</v>
      </c>
      <c r="CB345" s="32" t="n">
        <f aca="false">IF(BL345=0,IF(BT345=0,0,1),(BT345-BL345)/BL345)</f>
        <v>0</v>
      </c>
      <c r="CC345" s="32" t="n">
        <f aca="false">IF(BM345=0,IF(BU345=0,0,1),(BU345-BM345)/BM345)</f>
        <v>0</v>
      </c>
      <c r="CD345" s="32" t="n">
        <f aca="false">IF(BN345=0,IF(BV345=0,0,1),(BV345-BN345)/BN345)</f>
        <v>0</v>
      </c>
      <c r="CE345" s="32" t="n">
        <f aca="false">IF(BO345=0,IF(BW345=0,0,1),(BW345-BO345)/BO345)</f>
        <v>0</v>
      </c>
      <c r="CF345" s="32" t="n">
        <f aca="false">IF(BP345=0,IF(BX345=0,0,1),(BX345-BP345)/BP345)</f>
        <v>0</v>
      </c>
      <c r="CG345" s="32" t="n">
        <f aca="false">IF(BQ345=0,IF(BY345=0,0,1),(BY345-BQ345)/BQ345)</f>
        <v>0</v>
      </c>
      <c r="CH345" s="32" t="n">
        <f aca="false">MAX(MAX(BZ345:CG345),-MIN(BZ345:CG345))</f>
        <v>-0</v>
      </c>
      <c r="CI345" s="31" t="n">
        <f aca="false">IF(CO345="","",SUMIFS($CJ$7:$CJ$696,$A$7:$A$696,CO345,$B$7:$B$696,B345))</f>
        <v>640003</v>
      </c>
      <c r="CJ345" s="31" t="n">
        <f aca="false">SUM(AY345:BI345)</f>
        <v>751253</v>
      </c>
      <c r="CK345" s="31" t="str">
        <f aca="false">IFERROR(INDEX(設定!$F$61:$F$106,MATCH(B345,設定!$B$61:$B$106,0)),"Y")</f>
        <v>N</v>
      </c>
      <c r="CL345" s="31" t="str">
        <f aca="false">IFERROR(INDEX(設定!$G$61:$G$106,MATCH(B345,設定!$B$61:$B$106,0)),"外郭型")</f>
        <v>外郭型</v>
      </c>
      <c r="CM345" s="33" t="str">
        <f aca="false">A345&amp;"|"&amp;B345</f>
        <v>2026-10 月例|産業振興センター</v>
      </c>
      <c r="CN345" s="34" t="str">
        <f aca="false">IFERROR(INDEX(設定!$D$61:$D$106,MATCH(B345,設定!$B$61:$B$106,0)),"Y")</f>
        <v>Y</v>
      </c>
      <c r="CO345" s="34" t="str">
        <f aca="false">IFERROR(INDEX(設定!$D$20:$D$34,MATCH(A345,設定!$A$20:$A$34,0))&amp;"","")</f>
        <v>2026-09 月例</v>
      </c>
    </row>
    <row r="346" customFormat="false" ht="15" hidden="false" customHeight="false" outlineLevel="0" collapsed="false">
      <c r="A346" s="22" t="s">
        <v>223</v>
      </c>
      <c r="B346" s="23" t="s">
        <v>186</v>
      </c>
      <c r="C346" s="10" t="str">
        <f aca="false">IF(G346="","未受領",IF(G346="なし","報告なし",IF(AL346="○","起票済",IF(OR(AK346="○",F346="一致",F346="入金不要"),"入金確認済","受領済"))))</f>
        <v>未受領</v>
      </c>
      <c r="D346" s="10" t="str">
        <f aca="false">IF(OR(G346="",G346="なし"),"―",IF(CN346="N","対象外",IF(AND(I346="",J346="",K346=""),"標報未入力",IF(CH346&gt;=設定!$B$4,"要確認","問題なし"))))</f>
        <v>―</v>
      </c>
      <c r="E346" s="24" t="str">
        <f aca="false">IF(OR(G346="",G346="なし",CI346="",CJ346=0),"―",IF(CJ346=CI346,"前月同額",IF(CI346=0,"―",IF(ABS(CJ346/CI346-1)&gt;=設定!$B$5,"変動大 "&amp;TEXT(CJ346/CI346-1,"+0%;-0%"),"〇"))))</f>
        <v>―</v>
      </c>
      <c r="F346" s="10" t="str">
        <f aca="false">IF(OR(G346="",G346="なし"),"―",IF(CJ346=0,"入金不要",IF(COUNT(AD346,AF346,AH346,AJ346)=0,IF(AK346="○","手動確認","未入金"),IF(AND(N(AD346)=AC346,IF(AE346="",TRUE(),N(AF346)=AE346),IF(AG346="",TRUE(),N(AH346)=AG346),IF(AI346="",TRUE(),N(AJ346)=AI346)),"一致","不一致"))))</f>
        <v>―</v>
      </c>
      <c r="G346" s="25"/>
      <c r="H346" s="26"/>
      <c r="I346" s="27"/>
      <c r="J346" s="27"/>
      <c r="K346" s="27"/>
      <c r="L346" s="27"/>
      <c r="M346" s="27"/>
      <c r="N346" s="27"/>
      <c r="O346" s="27"/>
      <c r="P346" s="27"/>
      <c r="Q346" s="27"/>
      <c r="R346" s="27"/>
      <c r="S346" s="27"/>
      <c r="T346" s="27"/>
      <c r="U346" s="27"/>
      <c r="V346" s="27"/>
      <c r="W346" s="27"/>
      <c r="X346" s="27"/>
      <c r="Y346" s="27"/>
      <c r="Z346" s="27"/>
      <c r="AA346" s="10" t="str">
        <f aca="false">IFERROR(INDEX(設定!$E$61:$E$106,MATCH(B346,設定!$B$61:$B$106,0)),"合算")</f>
        <v>合算</v>
      </c>
      <c r="AB346" s="28"/>
      <c r="AC346" s="29" t="str">
        <f aca="false">IF(OR(G346="",G346="なし"),"",IF(AA346="合算",CJ346+N(Z346),IF(AA346="掛金・負担金別",(AY346+AZ346+BD346+BF346+BH346),SUM(AY346:BC346))))</f>
        <v/>
      </c>
      <c r="AD346" s="27"/>
      <c r="AE346" s="29" t="str">
        <f aca="false">IF(OR(G346="",G346="なし"),"",IF(AA346="掛金・負担金別",(BA346+BB346+BC346+BE346+BG346+BI346+N(Z346)),IF(AA346="経理区分別",BD346+BE346,"")))</f>
        <v/>
      </c>
      <c r="AF346" s="27"/>
      <c r="AG346" s="29" t="str">
        <f aca="false">IF(OR(G346="",G346="なし"),"",IF(AA346="経理区分別",BF346+BG346,""))</f>
        <v/>
      </c>
      <c r="AH346" s="27"/>
      <c r="AI346" s="29" t="str">
        <f aca="false">IF(OR(G346="",G346="なし"),"",IF(AA346="経理区分別",BH346+BI346+N(Z346),""))</f>
        <v/>
      </c>
      <c r="AJ346" s="27"/>
      <c r="AK346" s="26"/>
      <c r="AL346" s="26"/>
      <c r="AM346" s="30"/>
      <c r="AN346" s="31"/>
      <c r="AO346" s="31"/>
      <c r="AP346" s="31" t="n">
        <v>86010</v>
      </c>
      <c r="AQ346" s="31" t="n">
        <v>7050</v>
      </c>
      <c r="AR346" s="31" t="n">
        <v>88</v>
      </c>
      <c r="AS346" s="31"/>
      <c r="AT346" s="31" t="n">
        <v>51803</v>
      </c>
      <c r="AU346" s="31"/>
      <c r="AV346" s="31" t="n">
        <v>7426</v>
      </c>
      <c r="AW346" s="31"/>
      <c r="AX346" s="31" t="n">
        <v>1</v>
      </c>
      <c r="AY346" s="31" t="n">
        <f aca="false">IF($G346="",AN346,O346)</f>
        <v>0</v>
      </c>
      <c r="AZ346" s="31" t="n">
        <f aca="false">IF($G346="",AO346,P346)</f>
        <v>0</v>
      </c>
      <c r="BA346" s="31" t="n">
        <f aca="false">IF($G346="",AP346,T346)</f>
        <v>86010</v>
      </c>
      <c r="BB346" s="31" t="n">
        <f aca="false">IF($G346="",AQ346,U346)</f>
        <v>7050</v>
      </c>
      <c r="BC346" s="31" t="n">
        <f aca="false">IF($G346="",AR346,V346)</f>
        <v>88</v>
      </c>
      <c r="BD346" s="31" t="n">
        <f aca="false">IF($G346="",AS346,Q346)</f>
        <v>0</v>
      </c>
      <c r="BE346" s="31" t="n">
        <f aca="false">IF($G346="",AT346,W346)</f>
        <v>51803</v>
      </c>
      <c r="BF346" s="31" t="n">
        <f aca="false">IF($G346="",AU346,R346)</f>
        <v>0</v>
      </c>
      <c r="BG346" s="31" t="n">
        <f aca="false">IF($G346="",AV346,X346)</f>
        <v>7426</v>
      </c>
      <c r="BH346" s="31" t="n">
        <f aca="false">IF($G346="",AW346,S346)</f>
        <v>0</v>
      </c>
      <c r="BI346" s="31" t="n">
        <f aca="false">IF($G346="",AX346,Y346)</f>
        <v>1</v>
      </c>
      <c r="BJ346" s="31" t="n">
        <f aca="false">IF(CK346="N",BR346,ROUNDDOWN((I346-L346)*設定!$B$10/1000,0)+ROUNDDOWN((I346-L346)*設定!$B$11/1000,0))</f>
        <v>0</v>
      </c>
      <c r="BK346" s="31" t="n">
        <f aca="false">ROUNDDOWN((I346-L346)*設定!$C$10/1000,0)+ROUNDDOWN((I346-L346)*設定!$C$11/1000,0)+ROUNDDOWN(I346*設定!$C$12/1000,0)+IF(CL346="市局型",ROUNDDOWN(I346*設定!$C$16/1000,0),0)</f>
        <v>0</v>
      </c>
      <c r="BL346" s="31" t="n">
        <f aca="false">IF(CK346="N",BT346,ROUNDDOWN((J346-M346)*設定!$B$13/1000,0))</f>
        <v>0</v>
      </c>
      <c r="BM346" s="31" t="n">
        <f aca="false">ROUNDDOWN((J346-M346)*設定!$C$13/1000,0)+IF(CL346="市局型",ROUNDDOWN(J346*設定!$C$17/1000,0),0)</f>
        <v>0</v>
      </c>
      <c r="BN346" s="31" t="n">
        <f aca="false">IF(CK346="N",BV346,ROUNDDOWN((K346-N346)*設定!$B$14/1000,0))</f>
        <v>0</v>
      </c>
      <c r="BO346" s="31" t="n">
        <f aca="false">ROUNDDOWN((K346-N346)*設定!$C$14/1000,0)</f>
        <v>0</v>
      </c>
      <c r="BP346" s="31" t="n">
        <f aca="false">IF(CK346="N",BX346,ROUNDDOWN((J346-M346)*設定!$B$15/1000,0))</f>
        <v>0</v>
      </c>
      <c r="BQ346" s="31" t="n">
        <f aca="false">ROUNDDOWN((J346-M346)*設定!$C$15/1000,0)</f>
        <v>0</v>
      </c>
      <c r="BR346" s="31" t="n">
        <f aca="false">O346+P346</f>
        <v>0</v>
      </c>
      <c r="BS346" s="31" t="n">
        <f aca="false">T346+U346+V346</f>
        <v>0</v>
      </c>
      <c r="BT346" s="31" t="n">
        <f aca="false">Q346</f>
        <v>0</v>
      </c>
      <c r="BU346" s="31" t="n">
        <f aca="false">W346</f>
        <v>0</v>
      </c>
      <c r="BV346" s="31" t="n">
        <f aca="false">R346</f>
        <v>0</v>
      </c>
      <c r="BW346" s="31" t="n">
        <f aca="false">X346</f>
        <v>0</v>
      </c>
      <c r="BX346" s="31" t="n">
        <f aca="false">S346</f>
        <v>0</v>
      </c>
      <c r="BY346" s="31" t="n">
        <f aca="false">Y346</f>
        <v>0</v>
      </c>
      <c r="BZ346" s="32" t="n">
        <f aca="false">IF(BJ346=0,IF(BR346=0,0,1),(BR346-BJ346)/BJ346)</f>
        <v>0</v>
      </c>
      <c r="CA346" s="32" t="n">
        <f aca="false">IF(BK346=0,IF(BS346=0,0,1),(BS346-BK346)/BK346)</f>
        <v>0</v>
      </c>
      <c r="CB346" s="32" t="n">
        <f aca="false">IF(BL346=0,IF(BT346=0,0,1),(BT346-BL346)/BL346)</f>
        <v>0</v>
      </c>
      <c r="CC346" s="32" t="n">
        <f aca="false">IF(BM346=0,IF(BU346=0,0,1),(BU346-BM346)/BM346)</f>
        <v>0</v>
      </c>
      <c r="CD346" s="32" t="n">
        <f aca="false">IF(BN346=0,IF(BV346=0,0,1),(BV346-BN346)/BN346)</f>
        <v>0</v>
      </c>
      <c r="CE346" s="32" t="n">
        <f aca="false">IF(BO346=0,IF(BW346=0,0,1),(BW346-BO346)/BO346)</f>
        <v>0</v>
      </c>
      <c r="CF346" s="32" t="n">
        <f aca="false">IF(BP346=0,IF(BX346=0,0,1),(BX346-BP346)/BP346)</f>
        <v>0</v>
      </c>
      <c r="CG346" s="32" t="n">
        <f aca="false">IF(BQ346=0,IF(BY346=0,0,1),(BY346-BQ346)/BQ346)</f>
        <v>0</v>
      </c>
      <c r="CH346" s="32" t="n">
        <f aca="false">MAX(MAX(BZ346:CG346),-MIN(BZ346:CG346))</f>
        <v>-0</v>
      </c>
      <c r="CI346" s="31" t="n">
        <f aca="false">IF(CO346="","",SUMIFS($CJ$7:$CJ$696,$A$7:$A$696,CO346,$B$7:$B$696,B346))</f>
        <v>80023</v>
      </c>
      <c r="CJ346" s="31" t="n">
        <f aca="false">SUM(AY346:BI346)</f>
        <v>152378</v>
      </c>
      <c r="CK346" s="31" t="str">
        <f aca="false">IFERROR(INDEX(設定!$F$61:$F$106,MATCH(B346,設定!$B$61:$B$106,0)),"Y")</f>
        <v>N</v>
      </c>
      <c r="CL346" s="31" t="str">
        <f aca="false">IFERROR(INDEX(設定!$G$61:$G$106,MATCH(B346,設定!$B$61:$B$106,0)),"外郭型")</f>
        <v>外郭型</v>
      </c>
      <c r="CM346" s="33" t="str">
        <f aca="false">A346&amp;"|"&amp;B346</f>
        <v>2026-10 月例|ひろしま産業振興</v>
      </c>
      <c r="CN346" s="34" t="str">
        <f aca="false">IFERROR(INDEX(設定!$D$61:$D$106,MATCH(B346,設定!$B$61:$B$106,0)),"Y")</f>
        <v>Y</v>
      </c>
      <c r="CO346" s="34" t="str">
        <f aca="false">IFERROR(INDEX(設定!$D$20:$D$34,MATCH(A346,設定!$A$20:$A$34,0))&amp;"","")</f>
        <v>2026-09 月例</v>
      </c>
    </row>
    <row r="347" customFormat="false" ht="15" hidden="false" customHeight="false" outlineLevel="0" collapsed="false">
      <c r="A347" s="22" t="s">
        <v>223</v>
      </c>
      <c r="B347" s="23" t="s">
        <v>187</v>
      </c>
      <c r="C347" s="10" t="str">
        <f aca="false">IF(G347="","未受領",IF(G347="なし","報告なし",IF(AL347="○","起票済",IF(OR(AK347="○",F347="一致",F347="入金不要"),"入金確認済","受領済"))))</f>
        <v>未受領</v>
      </c>
      <c r="D347" s="10" t="str">
        <f aca="false">IF(OR(G347="",G347="なし"),"―",IF(CN347="N","対象外",IF(AND(I347="",J347="",K347=""),"標報未入力",IF(CH347&gt;=設定!$B$4,"要確認","問題なし"))))</f>
        <v>―</v>
      </c>
      <c r="E347" s="24" t="str">
        <f aca="false">IF(OR(G347="",G347="なし",CI347="",CJ347=0),"―",IF(CJ347=CI347,"前月同額",IF(CI347=0,"―",IF(ABS(CJ347/CI347-1)&gt;=設定!$B$5,"変動大 "&amp;TEXT(CJ347/CI347-1,"+0%;-0%"),"〇"))))</f>
        <v>―</v>
      </c>
      <c r="F347" s="10" t="str">
        <f aca="false">IF(OR(G347="",G347="なし"),"―",IF(CJ347=0,"入金不要",IF(COUNT(AD347,AF347,AH347,AJ347)=0,IF(AK347="○","手動確認","未入金"),IF(AND(N(AD347)=AC347,IF(AE347="",TRUE(),N(AF347)=AE347),IF(AG347="",TRUE(),N(AH347)=AG347),IF(AI347="",TRUE(),N(AJ347)=AI347)),"一致","不一致"))))</f>
        <v>―</v>
      </c>
      <c r="G347" s="25"/>
      <c r="H347" s="26"/>
      <c r="I347" s="27"/>
      <c r="J347" s="27"/>
      <c r="K347" s="27"/>
      <c r="L347" s="27"/>
      <c r="M347" s="27"/>
      <c r="N347" s="27"/>
      <c r="O347" s="27"/>
      <c r="P347" s="27"/>
      <c r="Q347" s="27"/>
      <c r="R347" s="27"/>
      <c r="S347" s="27"/>
      <c r="T347" s="27"/>
      <c r="U347" s="27"/>
      <c r="V347" s="27"/>
      <c r="W347" s="27"/>
      <c r="X347" s="27"/>
      <c r="Y347" s="27"/>
      <c r="Z347" s="27"/>
      <c r="AA347" s="10" t="str">
        <f aca="false">IFERROR(INDEX(設定!$E$61:$E$106,MATCH(B347,設定!$B$61:$B$106,0)),"合算")</f>
        <v>合算</v>
      </c>
      <c r="AB347" s="28"/>
      <c r="AC347" s="29" t="str">
        <f aca="false">IF(OR(G347="",G347="なし"),"",IF(AA347="合算",CJ347+N(Z347),IF(AA347="掛金・負担金別",(AY347+AZ347+BD347+BF347+BH347),SUM(AY347:BC347))))</f>
        <v/>
      </c>
      <c r="AD347" s="27"/>
      <c r="AE347" s="29" t="str">
        <f aca="false">IF(OR(G347="",G347="なし"),"",IF(AA347="掛金・負担金別",(BA347+BB347+BC347+BE347+BG347+BI347+N(Z347)),IF(AA347="経理区分別",BD347+BE347,"")))</f>
        <v/>
      </c>
      <c r="AF347" s="27"/>
      <c r="AG347" s="29" t="str">
        <f aca="false">IF(OR(G347="",G347="なし"),"",IF(AA347="経理区分別",BF347+BG347,""))</f>
        <v/>
      </c>
      <c r="AH347" s="27"/>
      <c r="AI347" s="29" t="str">
        <f aca="false">IF(OR(G347="",G347="なし"),"",IF(AA347="経理区分別",BH347+BI347+N(Z347),""))</f>
        <v/>
      </c>
      <c r="AJ347" s="27"/>
      <c r="AK347" s="26"/>
      <c r="AL347" s="26"/>
      <c r="AM347" s="30"/>
      <c r="AN347" s="31"/>
      <c r="AO347" s="31"/>
      <c r="AP347" s="31" t="n">
        <v>48495</v>
      </c>
      <c r="AQ347" s="31" t="n">
        <v>3975</v>
      </c>
      <c r="AR347" s="31" t="n">
        <v>49</v>
      </c>
      <c r="AS347" s="31"/>
      <c r="AT347" s="31" t="n">
        <v>29208</v>
      </c>
      <c r="AU347" s="31"/>
      <c r="AV347" s="31" t="n">
        <v>4187</v>
      </c>
      <c r="AW347" s="31"/>
      <c r="AX347" s="31" t="n">
        <v>1</v>
      </c>
      <c r="AY347" s="31" t="n">
        <f aca="false">IF($G347="",AN347,O347)</f>
        <v>0</v>
      </c>
      <c r="AZ347" s="31" t="n">
        <f aca="false">IF($G347="",AO347,P347)</f>
        <v>0</v>
      </c>
      <c r="BA347" s="31" t="n">
        <f aca="false">IF($G347="",AP347,T347)</f>
        <v>48495</v>
      </c>
      <c r="BB347" s="31" t="n">
        <f aca="false">IF($G347="",AQ347,U347)</f>
        <v>3975</v>
      </c>
      <c r="BC347" s="31" t="n">
        <f aca="false">IF($G347="",AR347,V347)</f>
        <v>49</v>
      </c>
      <c r="BD347" s="31" t="n">
        <f aca="false">IF($G347="",AS347,Q347)</f>
        <v>0</v>
      </c>
      <c r="BE347" s="31" t="n">
        <f aca="false">IF($G347="",AT347,W347)</f>
        <v>29208</v>
      </c>
      <c r="BF347" s="31" t="n">
        <f aca="false">IF($G347="",AU347,R347)</f>
        <v>0</v>
      </c>
      <c r="BG347" s="31" t="n">
        <f aca="false">IF($G347="",AV347,X347)</f>
        <v>4187</v>
      </c>
      <c r="BH347" s="31" t="n">
        <f aca="false">IF($G347="",AW347,S347)</f>
        <v>0</v>
      </c>
      <c r="BI347" s="31" t="n">
        <f aca="false">IF($G347="",AX347,Y347)</f>
        <v>1</v>
      </c>
      <c r="BJ347" s="31" t="n">
        <f aca="false">IF(CK347="N",BR347,ROUNDDOWN((I347-L347)*設定!$B$10/1000,0)+ROUNDDOWN((I347-L347)*設定!$B$11/1000,0))</f>
        <v>0</v>
      </c>
      <c r="BK347" s="31" t="n">
        <f aca="false">ROUNDDOWN((I347-L347)*設定!$C$10/1000,0)+ROUNDDOWN((I347-L347)*設定!$C$11/1000,0)+ROUNDDOWN(I347*設定!$C$12/1000,0)+IF(CL347="市局型",ROUNDDOWN(I347*設定!$C$16/1000,0),0)</f>
        <v>0</v>
      </c>
      <c r="BL347" s="31" t="n">
        <f aca="false">IF(CK347="N",BT347,ROUNDDOWN((J347-M347)*設定!$B$13/1000,0))</f>
        <v>0</v>
      </c>
      <c r="BM347" s="31" t="n">
        <f aca="false">ROUNDDOWN((J347-M347)*設定!$C$13/1000,0)+IF(CL347="市局型",ROUNDDOWN(J347*設定!$C$17/1000,0),0)</f>
        <v>0</v>
      </c>
      <c r="BN347" s="31" t="n">
        <f aca="false">IF(CK347="N",BV347,ROUNDDOWN((K347-N347)*設定!$B$14/1000,0))</f>
        <v>0</v>
      </c>
      <c r="BO347" s="31" t="n">
        <f aca="false">ROUNDDOWN((K347-N347)*設定!$C$14/1000,0)</f>
        <v>0</v>
      </c>
      <c r="BP347" s="31" t="n">
        <f aca="false">IF(CK347="N",BX347,ROUNDDOWN((J347-M347)*設定!$B$15/1000,0))</f>
        <v>0</v>
      </c>
      <c r="BQ347" s="31" t="n">
        <f aca="false">ROUNDDOWN((J347-M347)*設定!$C$15/1000,0)</f>
        <v>0</v>
      </c>
      <c r="BR347" s="31" t="n">
        <f aca="false">O347+P347</f>
        <v>0</v>
      </c>
      <c r="BS347" s="31" t="n">
        <f aca="false">T347+U347+V347</f>
        <v>0</v>
      </c>
      <c r="BT347" s="31" t="n">
        <f aca="false">Q347</f>
        <v>0</v>
      </c>
      <c r="BU347" s="31" t="n">
        <f aca="false">W347</f>
        <v>0</v>
      </c>
      <c r="BV347" s="31" t="n">
        <f aca="false">R347</f>
        <v>0</v>
      </c>
      <c r="BW347" s="31" t="n">
        <f aca="false">X347</f>
        <v>0</v>
      </c>
      <c r="BX347" s="31" t="n">
        <f aca="false">S347</f>
        <v>0</v>
      </c>
      <c r="BY347" s="31" t="n">
        <f aca="false">Y347</f>
        <v>0</v>
      </c>
      <c r="BZ347" s="32" t="n">
        <f aca="false">IF(BJ347=0,IF(BR347=0,0,1),(BR347-BJ347)/BJ347)</f>
        <v>0</v>
      </c>
      <c r="CA347" s="32" t="n">
        <f aca="false">IF(BK347=0,IF(BS347=0,0,1),(BS347-BK347)/BK347)</f>
        <v>0</v>
      </c>
      <c r="CB347" s="32" t="n">
        <f aca="false">IF(BL347=0,IF(BT347=0,0,1),(BT347-BL347)/BL347)</f>
        <v>0</v>
      </c>
      <c r="CC347" s="32" t="n">
        <f aca="false">IF(BM347=0,IF(BU347=0,0,1),(BU347-BM347)/BM347)</f>
        <v>0</v>
      </c>
      <c r="CD347" s="32" t="n">
        <f aca="false">IF(BN347=0,IF(BV347=0,0,1),(BV347-BN347)/BN347)</f>
        <v>0</v>
      </c>
      <c r="CE347" s="32" t="n">
        <f aca="false">IF(BO347=0,IF(BW347=0,0,1),(BW347-BO347)/BO347)</f>
        <v>0</v>
      </c>
      <c r="CF347" s="32" t="n">
        <f aca="false">IF(BP347=0,IF(BX347=0,0,1),(BX347-BP347)/BP347)</f>
        <v>0</v>
      </c>
      <c r="CG347" s="32" t="n">
        <f aca="false">IF(BQ347=0,IF(BY347=0,0,1),(BY347-BQ347)/BQ347)</f>
        <v>0</v>
      </c>
      <c r="CH347" s="32" t="n">
        <f aca="false">MAX(MAX(BZ347:CG347),-MIN(BZ347:CG347))</f>
        <v>-0</v>
      </c>
      <c r="CI347" s="31" t="n">
        <f aca="false">IF(CO347="","",SUMIFS($CJ$7:$CJ$696,$A$7:$A$696,CO347,$B$7:$B$696,B347))</f>
        <v>0</v>
      </c>
      <c r="CJ347" s="31" t="n">
        <f aca="false">SUM(AY347:BI347)</f>
        <v>85915</v>
      </c>
      <c r="CK347" s="31" t="str">
        <f aca="false">IFERROR(INDEX(設定!$F$61:$F$106,MATCH(B347,設定!$B$61:$B$106,0)),"Y")</f>
        <v>N</v>
      </c>
      <c r="CL347" s="31" t="str">
        <f aca="false">IFERROR(INDEX(設定!$G$61:$G$106,MATCH(B347,設定!$B$61:$B$106,0)),"外郭型")</f>
        <v>外郭型</v>
      </c>
      <c r="CM347" s="33" t="str">
        <f aca="false">A347&amp;"|"&amp;B347</f>
        <v>2026-10 月例|都市整備公社　市</v>
      </c>
      <c r="CN347" s="34" t="str">
        <f aca="false">IFERROR(INDEX(設定!$D$61:$D$106,MATCH(B347,設定!$B$61:$B$106,0)),"Y")</f>
        <v>Y</v>
      </c>
      <c r="CO347" s="34" t="str">
        <f aca="false">IFERROR(INDEX(設定!$D$20:$D$34,MATCH(A347,設定!$A$20:$A$34,0))&amp;"","")</f>
        <v>2026-09 月例</v>
      </c>
    </row>
    <row r="348" customFormat="false" ht="15" hidden="false" customHeight="false" outlineLevel="0" collapsed="false">
      <c r="A348" s="22" t="s">
        <v>223</v>
      </c>
      <c r="B348" s="23" t="s">
        <v>188</v>
      </c>
      <c r="C348" s="10" t="str">
        <f aca="false">IF(G348="","未受領",IF(G348="なし","報告なし",IF(AL348="○","起票済",IF(OR(AK348="○",F348="一致",F348="入金不要"),"入金確認済","受領済"))))</f>
        <v>未受領</v>
      </c>
      <c r="D348" s="10" t="str">
        <f aca="false">IF(OR(G348="",G348="なし"),"―",IF(CN348="N","対象外",IF(AND(I348="",J348="",K348=""),"標報未入力",IF(CH348&gt;=設定!$B$4,"要確認","問題なし"))))</f>
        <v>―</v>
      </c>
      <c r="E348" s="24" t="str">
        <f aca="false">IF(OR(G348="",G348="なし",CI348="",CJ348=0),"―",IF(CJ348=CI348,"前月同額",IF(CI348=0,"―",IF(ABS(CJ348/CI348-1)&gt;=設定!$B$5,"変動大 "&amp;TEXT(CJ348/CI348-1,"+0%;-0%"),"〇"))))</f>
        <v>―</v>
      </c>
      <c r="F348" s="10" t="str">
        <f aca="false">IF(OR(G348="",G348="なし"),"―",IF(CJ348=0,"入金不要",IF(COUNT(AD348,AF348,AH348,AJ348)=0,IF(AK348="○","手動確認","未入金"),IF(AND(N(AD348)=AC348,IF(AE348="",TRUE(),N(AF348)=AE348),IF(AG348="",TRUE(),N(AH348)=AG348),IF(AI348="",TRUE(),N(AJ348)=AI348)),"一致","不一致"))))</f>
        <v>―</v>
      </c>
      <c r="G348" s="25"/>
      <c r="H348" s="26"/>
      <c r="I348" s="27"/>
      <c r="J348" s="27"/>
      <c r="K348" s="27"/>
      <c r="L348" s="27"/>
      <c r="M348" s="27"/>
      <c r="N348" s="27"/>
      <c r="O348" s="27"/>
      <c r="P348" s="27"/>
      <c r="Q348" s="27"/>
      <c r="R348" s="27"/>
      <c r="S348" s="27"/>
      <c r="T348" s="27"/>
      <c r="U348" s="27"/>
      <c r="V348" s="27"/>
      <c r="W348" s="27"/>
      <c r="X348" s="27"/>
      <c r="Y348" s="27"/>
      <c r="Z348" s="27"/>
      <c r="AA348" s="10" t="str">
        <f aca="false">IFERROR(INDEX(設定!$E$61:$E$106,MATCH(B348,設定!$B$61:$B$106,0)),"合算")</f>
        <v>合算</v>
      </c>
      <c r="AB348" s="28"/>
      <c r="AC348" s="29" t="str">
        <f aca="false">IF(OR(G348="",G348="なし"),"",IF(AA348="合算",CJ348+N(Z348),IF(AA348="掛金・負担金別",(AY348+AZ348+BD348+BF348+BH348),SUM(AY348:BC348))))</f>
        <v/>
      </c>
      <c r="AD348" s="27"/>
      <c r="AE348" s="29" t="str">
        <f aca="false">IF(OR(G348="",G348="なし"),"",IF(AA348="掛金・負担金別",(BA348+BB348+BC348+BE348+BG348+BI348+N(Z348)),IF(AA348="経理区分別",BD348+BE348,"")))</f>
        <v/>
      </c>
      <c r="AF348" s="27"/>
      <c r="AG348" s="29" t="str">
        <f aca="false">IF(OR(G348="",G348="なし"),"",IF(AA348="経理区分別",BF348+BG348,""))</f>
        <v/>
      </c>
      <c r="AH348" s="27"/>
      <c r="AI348" s="29" t="str">
        <f aca="false">IF(OR(G348="",G348="なし"),"",IF(AA348="経理区分別",BH348+BI348+N(Z348),""))</f>
        <v/>
      </c>
      <c r="AJ348" s="27"/>
      <c r="AK348" s="26"/>
      <c r="AL348" s="26"/>
      <c r="AM348" s="30"/>
      <c r="AN348" s="31"/>
      <c r="AO348" s="31"/>
      <c r="AP348" s="31" t="n">
        <v>124440</v>
      </c>
      <c r="AQ348" s="31" t="n">
        <v>10200</v>
      </c>
      <c r="AR348" s="31" t="n">
        <v>127</v>
      </c>
      <c r="AS348" s="31"/>
      <c r="AT348" s="31" t="n">
        <v>74949</v>
      </c>
      <c r="AU348" s="31"/>
      <c r="AV348" s="31" t="n">
        <v>7031</v>
      </c>
      <c r="AW348" s="31"/>
      <c r="AX348" s="31" t="n">
        <v>1</v>
      </c>
      <c r="AY348" s="31" t="n">
        <f aca="false">IF($G348="",AN348,O348)</f>
        <v>0</v>
      </c>
      <c r="AZ348" s="31" t="n">
        <f aca="false">IF($G348="",AO348,P348)</f>
        <v>0</v>
      </c>
      <c r="BA348" s="31" t="n">
        <f aca="false">IF($G348="",AP348,T348)</f>
        <v>124440</v>
      </c>
      <c r="BB348" s="31" t="n">
        <f aca="false">IF($G348="",AQ348,U348)</f>
        <v>10200</v>
      </c>
      <c r="BC348" s="31" t="n">
        <f aca="false">IF($G348="",AR348,V348)</f>
        <v>127</v>
      </c>
      <c r="BD348" s="31" t="n">
        <f aca="false">IF($G348="",AS348,Q348)</f>
        <v>0</v>
      </c>
      <c r="BE348" s="31" t="n">
        <f aca="false">IF($G348="",AT348,W348)</f>
        <v>74949</v>
      </c>
      <c r="BF348" s="31" t="n">
        <f aca="false">IF($G348="",AU348,R348)</f>
        <v>0</v>
      </c>
      <c r="BG348" s="31" t="n">
        <f aca="false">IF($G348="",AV348,X348)</f>
        <v>7031</v>
      </c>
      <c r="BH348" s="31" t="n">
        <f aca="false">IF($G348="",AW348,S348)</f>
        <v>0</v>
      </c>
      <c r="BI348" s="31" t="n">
        <f aca="false">IF($G348="",AX348,Y348)</f>
        <v>1</v>
      </c>
      <c r="BJ348" s="31" t="n">
        <f aca="false">IF(CK348="N",BR348,ROUNDDOWN((I348-L348)*設定!$B$10/1000,0)+ROUNDDOWN((I348-L348)*設定!$B$11/1000,0))</f>
        <v>0</v>
      </c>
      <c r="BK348" s="31" t="n">
        <f aca="false">ROUNDDOWN((I348-L348)*設定!$C$10/1000,0)+ROUNDDOWN((I348-L348)*設定!$C$11/1000,0)+ROUNDDOWN(I348*設定!$C$12/1000,0)+IF(CL348="市局型",ROUNDDOWN(I348*設定!$C$16/1000,0),0)</f>
        <v>0</v>
      </c>
      <c r="BL348" s="31" t="n">
        <f aca="false">IF(CK348="N",BT348,ROUNDDOWN((J348-M348)*設定!$B$13/1000,0))</f>
        <v>0</v>
      </c>
      <c r="BM348" s="31" t="n">
        <f aca="false">ROUNDDOWN((J348-M348)*設定!$C$13/1000,0)+IF(CL348="市局型",ROUNDDOWN(J348*設定!$C$17/1000,0),0)</f>
        <v>0</v>
      </c>
      <c r="BN348" s="31" t="n">
        <f aca="false">IF(CK348="N",BV348,ROUNDDOWN((K348-N348)*設定!$B$14/1000,0))</f>
        <v>0</v>
      </c>
      <c r="BO348" s="31" t="n">
        <f aca="false">ROUNDDOWN((K348-N348)*設定!$C$14/1000,0)</f>
        <v>0</v>
      </c>
      <c r="BP348" s="31" t="n">
        <f aca="false">IF(CK348="N",BX348,ROUNDDOWN((J348-M348)*設定!$B$15/1000,0))</f>
        <v>0</v>
      </c>
      <c r="BQ348" s="31" t="n">
        <f aca="false">ROUNDDOWN((J348-M348)*設定!$C$15/1000,0)</f>
        <v>0</v>
      </c>
      <c r="BR348" s="31" t="n">
        <f aca="false">O348+P348</f>
        <v>0</v>
      </c>
      <c r="BS348" s="31" t="n">
        <f aca="false">T348+U348+V348</f>
        <v>0</v>
      </c>
      <c r="BT348" s="31" t="n">
        <f aca="false">Q348</f>
        <v>0</v>
      </c>
      <c r="BU348" s="31" t="n">
        <f aca="false">W348</f>
        <v>0</v>
      </c>
      <c r="BV348" s="31" t="n">
        <f aca="false">R348</f>
        <v>0</v>
      </c>
      <c r="BW348" s="31" t="n">
        <f aca="false">X348</f>
        <v>0</v>
      </c>
      <c r="BX348" s="31" t="n">
        <f aca="false">S348</f>
        <v>0</v>
      </c>
      <c r="BY348" s="31" t="n">
        <f aca="false">Y348</f>
        <v>0</v>
      </c>
      <c r="BZ348" s="32" t="n">
        <f aca="false">IF(BJ348=0,IF(BR348=0,0,1),(BR348-BJ348)/BJ348)</f>
        <v>0</v>
      </c>
      <c r="CA348" s="32" t="n">
        <f aca="false">IF(BK348=0,IF(BS348=0,0,1),(BS348-BK348)/BK348)</f>
        <v>0</v>
      </c>
      <c r="CB348" s="32" t="n">
        <f aca="false">IF(BL348=0,IF(BT348=0,0,1),(BT348-BL348)/BL348)</f>
        <v>0</v>
      </c>
      <c r="CC348" s="32" t="n">
        <f aca="false">IF(BM348=0,IF(BU348=0,0,1),(BU348-BM348)/BM348)</f>
        <v>0</v>
      </c>
      <c r="CD348" s="32" t="n">
        <f aca="false">IF(BN348=0,IF(BV348=0,0,1),(BV348-BN348)/BN348)</f>
        <v>0</v>
      </c>
      <c r="CE348" s="32" t="n">
        <f aca="false">IF(BO348=0,IF(BW348=0,0,1),(BW348-BO348)/BO348)</f>
        <v>0</v>
      </c>
      <c r="CF348" s="32" t="n">
        <f aca="false">IF(BP348=0,IF(BX348=0,0,1),(BX348-BP348)/BP348)</f>
        <v>0</v>
      </c>
      <c r="CG348" s="32" t="n">
        <f aca="false">IF(BQ348=0,IF(BY348=0,0,1),(BY348-BQ348)/BQ348)</f>
        <v>0</v>
      </c>
      <c r="CH348" s="32" t="n">
        <f aca="false">MAX(MAX(BZ348:CG348),-MIN(BZ348:CG348))</f>
        <v>-0</v>
      </c>
      <c r="CI348" s="31" t="n">
        <f aca="false">IF(CO348="","",SUMIFS($CJ$7:$CJ$696,$A$7:$A$696,CO348,$B$7:$B$696,B348))</f>
        <v>332385</v>
      </c>
      <c r="CJ348" s="31" t="n">
        <f aca="false">SUM(AY348:BI348)</f>
        <v>216748</v>
      </c>
      <c r="CK348" s="31" t="str">
        <f aca="false">IFERROR(INDEX(設定!$F$61:$F$106,MATCH(B348,設定!$B$61:$B$106,0)),"Y")</f>
        <v>N</v>
      </c>
      <c r="CL348" s="31" t="str">
        <f aca="false">IFERROR(INDEX(設定!$G$61:$G$106,MATCH(B348,設定!$B$61:$B$106,0)),"外郭型")</f>
        <v>外郭型</v>
      </c>
      <c r="CM348" s="33" t="str">
        <f aca="false">A348&amp;"|"&amp;B348</f>
        <v>2026-10 月例|都市整備公社　消防</v>
      </c>
      <c r="CN348" s="34" t="str">
        <f aca="false">IFERROR(INDEX(設定!$D$61:$D$106,MATCH(B348,設定!$B$61:$B$106,0)),"Y")</f>
        <v>Y</v>
      </c>
      <c r="CO348" s="34" t="str">
        <f aca="false">IFERROR(INDEX(設定!$D$20:$D$34,MATCH(A348,設定!$A$20:$A$34,0))&amp;"","")</f>
        <v>2026-09 月例</v>
      </c>
    </row>
    <row r="349" customFormat="false" ht="15" hidden="false" customHeight="false" outlineLevel="0" collapsed="false">
      <c r="A349" s="22" t="s">
        <v>223</v>
      </c>
      <c r="B349" s="23" t="s">
        <v>189</v>
      </c>
      <c r="C349" s="10" t="str">
        <f aca="false">IF(G349="","未受領",IF(G349="なし","報告なし",IF(AL349="○","起票済",IF(OR(AK349="○",F349="一致",F349="入金不要"),"入金確認済","受領済"))))</f>
        <v>受領済</v>
      </c>
      <c r="D349" s="10" t="str">
        <f aca="false">IF(OR(G349="",G349="なし"),"―",IF(CN349="N","対象外",IF(AND(I349="",J349="",K349=""),"標報未入力",IF(CH349&gt;=設定!$B$4,"要確認","問題なし"))))</f>
        <v>標報未入力</v>
      </c>
      <c r="E349" s="24" t="str">
        <f aca="false">IF(OR(G349="",G349="なし",CI349="",CJ349=0),"―",IF(CJ349=CI349,"前月同額",IF(CI349=0,"―",IF(ABS(CJ349/CI349-1)&gt;=設定!$B$5,"変動大 "&amp;TEXT(CJ349/CI349-1,"+0%;-0%"),"〇"))))</f>
        <v>前月同額</v>
      </c>
      <c r="F349" s="10" t="str">
        <f aca="false">IF(OR(G349="",G349="なし"),"―",IF(CJ349=0,"入金不要",IF(COUNT(AD349,AF349,AH349,AJ349)=0,IF(AK349="○","手動確認","未入金"),IF(AND(N(AD349)=AC349,IF(AE349="",TRUE(),N(AF349)=AE349),IF(AG349="",TRUE(),N(AH349)=AG349),IF(AI349="",TRUE(),N(AJ349)=AI349)),"一致","不一致"))))</f>
        <v>未入金</v>
      </c>
      <c r="G349" s="25" t="s">
        <v>167</v>
      </c>
      <c r="H349" s="26"/>
      <c r="I349" s="27"/>
      <c r="J349" s="27"/>
      <c r="K349" s="27"/>
      <c r="L349" s="27"/>
      <c r="M349" s="27"/>
      <c r="N349" s="27"/>
      <c r="O349" s="27" t="n">
        <v>247050</v>
      </c>
      <c r="P349" s="27" t="n">
        <v>20250</v>
      </c>
      <c r="Q349" s="27" t="n">
        <v>140021</v>
      </c>
      <c r="R349" s="27" t="n">
        <v>10270</v>
      </c>
      <c r="S349" s="27" t="n">
        <v>3104</v>
      </c>
      <c r="T349" s="27" t="n">
        <v>247050</v>
      </c>
      <c r="U349" s="27" t="n">
        <v>20250</v>
      </c>
      <c r="V349" s="27" t="n">
        <v>234</v>
      </c>
      <c r="W349" s="27" t="n">
        <v>140157</v>
      </c>
      <c r="X349" s="27" t="n">
        <v>10270</v>
      </c>
      <c r="Y349" s="27" t="n">
        <v>3105</v>
      </c>
      <c r="Z349" s="27"/>
      <c r="AA349" s="10" t="str">
        <f aca="false">IFERROR(INDEX(設定!$E$61:$E$106,MATCH(B349,設定!$B$61:$B$106,0)),"合算")</f>
        <v>合算</v>
      </c>
      <c r="AB349" s="28"/>
      <c r="AC349" s="29" t="n">
        <f aca="false">IF(OR(G349="",G349="なし"),"",IF(AA349="合算",CJ349+N(Z349),IF(AA349="掛金・負担金別",(AY349+AZ349+BD349+BF349+BH349),SUM(AY349:BC349))))</f>
        <v>841761</v>
      </c>
      <c r="AD349" s="27"/>
      <c r="AE349" s="29" t="str">
        <f aca="false">IF(OR(G349="",G349="なし"),"",IF(AA349="掛金・負担金別",(BA349+BB349+BC349+BE349+BG349+BI349+N(Z349)),IF(AA349="経理区分別",BD349+BE349,"")))</f>
        <v/>
      </c>
      <c r="AF349" s="27"/>
      <c r="AG349" s="29" t="str">
        <f aca="false">IF(OR(G349="",G349="なし"),"",IF(AA349="経理区分別",BF349+BG349,""))</f>
        <v/>
      </c>
      <c r="AH349" s="27"/>
      <c r="AI349" s="29" t="str">
        <f aca="false">IF(OR(G349="",G349="なし"),"",IF(AA349="経理区分別",BH349+BI349+N(Z349),""))</f>
        <v/>
      </c>
      <c r="AJ349" s="27"/>
      <c r="AK349" s="26"/>
      <c r="AL349" s="26"/>
      <c r="AM349" s="30"/>
      <c r="AN349" s="31"/>
      <c r="AO349" s="31"/>
      <c r="AP349" s="31"/>
      <c r="AQ349" s="31"/>
      <c r="AR349" s="31"/>
      <c r="AS349" s="31"/>
      <c r="AT349" s="31"/>
      <c r="AU349" s="31"/>
      <c r="AV349" s="31"/>
      <c r="AW349" s="31"/>
      <c r="AX349" s="31"/>
      <c r="AY349" s="31" t="n">
        <f aca="false">IF($G349="",AN349,O349)</f>
        <v>247050</v>
      </c>
      <c r="AZ349" s="31" t="n">
        <f aca="false">IF($G349="",AO349,P349)</f>
        <v>20250</v>
      </c>
      <c r="BA349" s="31" t="n">
        <f aca="false">IF($G349="",AP349,T349)</f>
        <v>247050</v>
      </c>
      <c r="BB349" s="31" t="n">
        <f aca="false">IF($G349="",AQ349,U349)</f>
        <v>20250</v>
      </c>
      <c r="BC349" s="31" t="n">
        <f aca="false">IF($G349="",AR349,V349)</f>
        <v>234</v>
      </c>
      <c r="BD349" s="31" t="n">
        <f aca="false">IF($G349="",AS349,Q349)</f>
        <v>140021</v>
      </c>
      <c r="BE349" s="31" t="n">
        <f aca="false">IF($G349="",AT349,W349)</f>
        <v>140157</v>
      </c>
      <c r="BF349" s="31" t="n">
        <f aca="false">IF($G349="",AU349,R349)</f>
        <v>10270</v>
      </c>
      <c r="BG349" s="31" t="n">
        <f aca="false">IF($G349="",AV349,X349)</f>
        <v>10270</v>
      </c>
      <c r="BH349" s="31" t="n">
        <f aca="false">IF($G349="",AW349,S349)</f>
        <v>3104</v>
      </c>
      <c r="BI349" s="31" t="n">
        <f aca="false">IF($G349="",AX349,Y349)</f>
        <v>3105</v>
      </c>
      <c r="BJ349" s="31" t="n">
        <f aca="false">IF(CK349="N",BR349,ROUNDDOWN((I349-L349)*設定!$B$10/1000,0)+ROUNDDOWN((I349-L349)*設定!$B$11/1000,0))</f>
        <v>0</v>
      </c>
      <c r="BK349" s="31" t="n">
        <f aca="false">ROUNDDOWN((I349-L349)*設定!$C$10/1000,0)+ROUNDDOWN((I349-L349)*設定!$C$11/1000,0)+ROUNDDOWN(I349*設定!$C$12/1000,0)+IF(CL349="市局型",ROUNDDOWN(I349*設定!$C$16/1000,0),0)</f>
        <v>0</v>
      </c>
      <c r="BL349" s="31" t="n">
        <f aca="false">IF(CK349="N",BT349,ROUNDDOWN((J349-M349)*設定!$B$13/1000,0))</f>
        <v>0</v>
      </c>
      <c r="BM349" s="31" t="n">
        <f aca="false">ROUNDDOWN((J349-M349)*設定!$C$13/1000,0)+IF(CL349="市局型",ROUNDDOWN(J349*設定!$C$17/1000,0),0)</f>
        <v>0</v>
      </c>
      <c r="BN349" s="31" t="n">
        <f aca="false">IF(CK349="N",BV349,ROUNDDOWN((K349-N349)*設定!$B$14/1000,0))</f>
        <v>0</v>
      </c>
      <c r="BO349" s="31" t="n">
        <f aca="false">ROUNDDOWN((K349-N349)*設定!$C$14/1000,0)</f>
        <v>0</v>
      </c>
      <c r="BP349" s="31" t="n">
        <f aca="false">IF(CK349="N",BX349,ROUNDDOWN((J349-M349)*設定!$B$15/1000,0))</f>
        <v>0</v>
      </c>
      <c r="BQ349" s="31" t="n">
        <f aca="false">ROUNDDOWN((J349-M349)*設定!$C$15/1000,0)</f>
        <v>0</v>
      </c>
      <c r="BR349" s="31" t="n">
        <f aca="false">O349+P349</f>
        <v>267300</v>
      </c>
      <c r="BS349" s="31" t="n">
        <f aca="false">T349+U349+V349</f>
        <v>267534</v>
      </c>
      <c r="BT349" s="31" t="n">
        <f aca="false">Q349</f>
        <v>140021</v>
      </c>
      <c r="BU349" s="31" t="n">
        <f aca="false">W349</f>
        <v>140157</v>
      </c>
      <c r="BV349" s="31" t="n">
        <f aca="false">R349</f>
        <v>10270</v>
      </c>
      <c r="BW349" s="31" t="n">
        <f aca="false">X349</f>
        <v>10270</v>
      </c>
      <c r="BX349" s="31" t="n">
        <f aca="false">S349</f>
        <v>3104</v>
      </c>
      <c r="BY349" s="31" t="n">
        <f aca="false">Y349</f>
        <v>3105</v>
      </c>
      <c r="BZ349" s="32" t="n">
        <f aca="false">IF(BJ349=0,IF(BR349=0,0,1),(BR349-BJ349)/BJ349)</f>
        <v>1</v>
      </c>
      <c r="CA349" s="32" t="n">
        <f aca="false">IF(BK349=0,IF(BS349=0,0,1),(BS349-BK349)/BK349)</f>
        <v>1</v>
      </c>
      <c r="CB349" s="32" t="n">
        <f aca="false">IF(BL349=0,IF(BT349=0,0,1),(BT349-BL349)/BL349)</f>
        <v>1</v>
      </c>
      <c r="CC349" s="32" t="n">
        <f aca="false">IF(BM349=0,IF(BU349=0,0,1),(BU349-BM349)/BM349)</f>
        <v>1</v>
      </c>
      <c r="CD349" s="32" t="n">
        <f aca="false">IF(BN349=0,IF(BV349=0,0,1),(BV349-BN349)/BN349)</f>
        <v>1</v>
      </c>
      <c r="CE349" s="32" t="n">
        <f aca="false">IF(BO349=0,IF(BW349=0,0,1),(BW349-BO349)/BO349)</f>
        <v>1</v>
      </c>
      <c r="CF349" s="32" t="n">
        <f aca="false">IF(BP349=0,IF(BX349=0,0,1),(BX349-BP349)/BP349)</f>
        <v>1</v>
      </c>
      <c r="CG349" s="32" t="n">
        <f aca="false">IF(BQ349=0,IF(BY349=0,0,1),(BY349-BQ349)/BQ349)</f>
        <v>1</v>
      </c>
      <c r="CH349" s="32" t="n">
        <f aca="false">MAX(MAX(BZ349:CG349),-MIN(BZ349:CG349))</f>
        <v>1</v>
      </c>
      <c r="CI349" s="31" t="n">
        <f aca="false">IF(CO349="","",SUMIFS($CJ$7:$CJ$696,$A$7:$A$696,CO349,$B$7:$B$696,B349))</f>
        <v>841761</v>
      </c>
      <c r="CJ349" s="31" t="n">
        <f aca="false">SUM(AY349:BI349)</f>
        <v>841761</v>
      </c>
      <c r="CK349" s="31" t="str">
        <f aca="false">IFERROR(INDEX(設定!$F$61:$F$106,MATCH(B349,設定!$B$61:$B$106,0)),"Y")</f>
        <v>Y</v>
      </c>
      <c r="CL349" s="31" t="str">
        <f aca="false">IFERROR(INDEX(設定!$G$61:$G$106,MATCH(B349,設定!$B$61:$B$106,0)),"外郭型")</f>
        <v>外郭型</v>
      </c>
      <c r="CM349" s="33" t="str">
        <f aca="false">A349&amp;"|"&amp;B349</f>
        <v>2026-10 月例|日本下水道事業団</v>
      </c>
      <c r="CN349" s="34" t="str">
        <f aca="false">IFERROR(INDEX(設定!$D$61:$D$106,MATCH(B349,設定!$B$61:$B$106,0)),"Y")</f>
        <v>Y</v>
      </c>
      <c r="CO349" s="34" t="str">
        <f aca="false">IFERROR(INDEX(設定!$D$20:$D$34,MATCH(A349,設定!$A$20:$A$34,0))&amp;"","")</f>
        <v>2026-09 月例</v>
      </c>
    </row>
    <row r="350" customFormat="false" ht="15" hidden="false" customHeight="false" outlineLevel="0" collapsed="false">
      <c r="A350" s="22" t="s">
        <v>223</v>
      </c>
      <c r="B350" s="23" t="s">
        <v>190</v>
      </c>
      <c r="C350" s="10" t="str">
        <f aca="false">IF(G350="","未受領",IF(G350="なし","報告なし",IF(AL350="○","起票済",IF(OR(AK350="○",F350="一致",F350="入金不要"),"入金確認済","受領済"))))</f>
        <v>受領済</v>
      </c>
      <c r="D350" s="10" t="str">
        <f aca="false">IF(OR(G350="",G350="なし"),"―",IF(CN350="N","対象外",IF(AND(I350="",J350="",K350=""),"標報未入力",IF(CH350&gt;=設定!$B$4,"要確認","問題なし"))))</f>
        <v>標報未入力</v>
      </c>
      <c r="E350" s="24" t="str">
        <f aca="false">IF(OR(G350="",G350="なし",CI350="",CJ350=0),"―",IF(CJ350=CI350,"前月同額",IF(CI350=0,"―",IF(ABS(CJ350/CI350-1)&gt;=設定!$B$5,"変動大 "&amp;TEXT(CJ350/CI350-1,"+0%;-0%"),"〇"))))</f>
        <v>前月同額</v>
      </c>
      <c r="F350" s="10" t="str">
        <f aca="false">IF(OR(G350="",G350="なし"),"―",IF(CJ350=0,"入金不要",IF(COUNT(AD350,AF350,AH350,AJ350)=0,IF(AK350="○","手動確認","未入金"),IF(AND(N(AD350)=AC350,IF(AE350="",TRUE(),N(AF350)=AE350),IF(AG350="",TRUE(),N(AH350)=AG350),IF(AI350="",TRUE(),N(AJ350)=AI350)),"一致","不一致"))))</f>
        <v>未入金</v>
      </c>
      <c r="G350" s="25" t="s">
        <v>167</v>
      </c>
      <c r="H350" s="26"/>
      <c r="I350" s="27"/>
      <c r="J350" s="27"/>
      <c r="K350" s="27"/>
      <c r="L350" s="27"/>
      <c r="M350" s="27"/>
      <c r="N350" s="27"/>
      <c r="O350" s="27" t="n">
        <v>43005</v>
      </c>
      <c r="P350" s="27" t="n">
        <v>3525</v>
      </c>
      <c r="Q350" s="27" t="n">
        <v>24374</v>
      </c>
      <c r="R350" s="27" t="n">
        <v>0</v>
      </c>
      <c r="S350" s="27" t="n">
        <v>540</v>
      </c>
      <c r="T350" s="27" t="n">
        <v>43005</v>
      </c>
      <c r="U350" s="27" t="n">
        <v>3525</v>
      </c>
      <c r="V350" s="27" t="n">
        <v>40</v>
      </c>
      <c r="W350" s="27" t="n">
        <v>24397</v>
      </c>
      <c r="X350" s="27" t="n">
        <v>0</v>
      </c>
      <c r="Y350" s="27" t="n">
        <v>540</v>
      </c>
      <c r="Z350" s="27"/>
      <c r="AA350" s="10" t="str">
        <f aca="false">IFERROR(INDEX(設定!$E$61:$E$106,MATCH(B350,設定!$B$61:$B$106,0)),"合算")</f>
        <v>合算</v>
      </c>
      <c r="AB350" s="28"/>
      <c r="AC350" s="29" t="n">
        <f aca="false">IF(OR(G350="",G350="なし"),"",IF(AA350="合算",CJ350+N(Z350),IF(AA350="掛金・負担金別",(AY350+AZ350+BD350+BF350+BH350),SUM(AY350:BC350))))</f>
        <v>142951</v>
      </c>
      <c r="AD350" s="27"/>
      <c r="AE350" s="29" t="str">
        <f aca="false">IF(OR(G350="",G350="なし"),"",IF(AA350="掛金・負担金別",(BA350+BB350+BC350+BE350+BG350+BI350+N(Z350)),IF(AA350="経理区分別",BD350+BE350,"")))</f>
        <v/>
      </c>
      <c r="AF350" s="27"/>
      <c r="AG350" s="29" t="str">
        <f aca="false">IF(OR(G350="",G350="なし"),"",IF(AA350="経理区分別",BF350+BG350,""))</f>
        <v/>
      </c>
      <c r="AH350" s="27"/>
      <c r="AI350" s="29" t="str">
        <f aca="false">IF(OR(G350="",G350="なし"),"",IF(AA350="経理区分別",BH350+BI350+N(Z350),""))</f>
        <v/>
      </c>
      <c r="AJ350" s="27"/>
      <c r="AK350" s="26"/>
      <c r="AL350" s="26"/>
      <c r="AM350" s="30"/>
      <c r="AN350" s="31"/>
      <c r="AO350" s="31"/>
      <c r="AP350" s="31"/>
      <c r="AQ350" s="31"/>
      <c r="AR350" s="31"/>
      <c r="AS350" s="31"/>
      <c r="AT350" s="31"/>
      <c r="AU350" s="31"/>
      <c r="AV350" s="31"/>
      <c r="AW350" s="31"/>
      <c r="AX350" s="31"/>
      <c r="AY350" s="31" t="n">
        <f aca="false">IF($G350="",AN350,O350)</f>
        <v>43005</v>
      </c>
      <c r="AZ350" s="31" t="n">
        <f aca="false">IF($G350="",AO350,P350)</f>
        <v>3525</v>
      </c>
      <c r="BA350" s="31" t="n">
        <f aca="false">IF($G350="",AP350,T350)</f>
        <v>43005</v>
      </c>
      <c r="BB350" s="31" t="n">
        <f aca="false">IF($G350="",AQ350,U350)</f>
        <v>3525</v>
      </c>
      <c r="BC350" s="31" t="n">
        <f aca="false">IF($G350="",AR350,V350)</f>
        <v>40</v>
      </c>
      <c r="BD350" s="31" t="n">
        <f aca="false">IF($G350="",AS350,Q350)</f>
        <v>24374</v>
      </c>
      <c r="BE350" s="31" t="n">
        <f aca="false">IF($G350="",AT350,W350)</f>
        <v>24397</v>
      </c>
      <c r="BF350" s="31" t="n">
        <f aca="false">IF($G350="",AU350,R350)</f>
        <v>0</v>
      </c>
      <c r="BG350" s="31" t="n">
        <f aca="false">IF($G350="",AV350,X350)</f>
        <v>0</v>
      </c>
      <c r="BH350" s="31" t="n">
        <f aca="false">IF($G350="",AW350,S350)</f>
        <v>540</v>
      </c>
      <c r="BI350" s="31" t="n">
        <f aca="false">IF($G350="",AX350,Y350)</f>
        <v>540</v>
      </c>
      <c r="BJ350" s="31" t="n">
        <f aca="false">IF(CK350="N",BR350,ROUNDDOWN((I350-L350)*設定!$B$10/1000,0)+ROUNDDOWN((I350-L350)*設定!$B$11/1000,0))</f>
        <v>0</v>
      </c>
      <c r="BK350" s="31" t="n">
        <f aca="false">ROUNDDOWN((I350-L350)*設定!$C$10/1000,0)+ROUNDDOWN((I350-L350)*設定!$C$11/1000,0)+ROUNDDOWN(I350*設定!$C$12/1000,0)+IF(CL350="市局型",ROUNDDOWN(I350*設定!$C$16/1000,0),0)</f>
        <v>0</v>
      </c>
      <c r="BL350" s="31" t="n">
        <f aca="false">IF(CK350="N",BT350,ROUNDDOWN((J350-M350)*設定!$B$13/1000,0))</f>
        <v>0</v>
      </c>
      <c r="BM350" s="31" t="n">
        <f aca="false">ROUNDDOWN((J350-M350)*設定!$C$13/1000,0)+IF(CL350="市局型",ROUNDDOWN(J350*設定!$C$17/1000,0),0)</f>
        <v>0</v>
      </c>
      <c r="BN350" s="31" t="n">
        <f aca="false">IF(CK350="N",BV350,ROUNDDOWN((K350-N350)*設定!$B$14/1000,0))</f>
        <v>0</v>
      </c>
      <c r="BO350" s="31" t="n">
        <f aca="false">ROUNDDOWN((K350-N350)*設定!$C$14/1000,0)</f>
        <v>0</v>
      </c>
      <c r="BP350" s="31" t="n">
        <f aca="false">IF(CK350="N",BX350,ROUNDDOWN((J350-M350)*設定!$B$15/1000,0))</f>
        <v>0</v>
      </c>
      <c r="BQ350" s="31" t="n">
        <f aca="false">ROUNDDOWN((J350-M350)*設定!$C$15/1000,0)</f>
        <v>0</v>
      </c>
      <c r="BR350" s="31" t="n">
        <f aca="false">O350+P350</f>
        <v>46530</v>
      </c>
      <c r="BS350" s="31" t="n">
        <f aca="false">T350+U350+V350</f>
        <v>46570</v>
      </c>
      <c r="BT350" s="31" t="n">
        <f aca="false">Q350</f>
        <v>24374</v>
      </c>
      <c r="BU350" s="31" t="n">
        <f aca="false">W350</f>
        <v>24397</v>
      </c>
      <c r="BV350" s="31" t="n">
        <f aca="false">R350</f>
        <v>0</v>
      </c>
      <c r="BW350" s="31" t="n">
        <f aca="false">X350</f>
        <v>0</v>
      </c>
      <c r="BX350" s="31" t="n">
        <f aca="false">S350</f>
        <v>540</v>
      </c>
      <c r="BY350" s="31" t="n">
        <f aca="false">Y350</f>
        <v>540</v>
      </c>
      <c r="BZ350" s="32" t="n">
        <f aca="false">IF(BJ350=0,IF(BR350=0,0,1),(BR350-BJ350)/BJ350)</f>
        <v>1</v>
      </c>
      <c r="CA350" s="32" t="n">
        <f aca="false">IF(BK350=0,IF(BS350=0,0,1),(BS350-BK350)/BK350)</f>
        <v>1</v>
      </c>
      <c r="CB350" s="32" t="n">
        <f aca="false">IF(BL350=0,IF(BT350=0,0,1),(BT350-BL350)/BL350)</f>
        <v>1</v>
      </c>
      <c r="CC350" s="32" t="n">
        <f aca="false">IF(BM350=0,IF(BU350=0,0,1),(BU350-BM350)/BM350)</f>
        <v>1</v>
      </c>
      <c r="CD350" s="32" t="n">
        <f aca="false">IF(BN350=0,IF(BV350=0,0,1),(BV350-BN350)/BN350)</f>
        <v>0</v>
      </c>
      <c r="CE350" s="32" t="n">
        <f aca="false">IF(BO350=0,IF(BW350=0,0,1),(BW350-BO350)/BO350)</f>
        <v>0</v>
      </c>
      <c r="CF350" s="32" t="n">
        <f aca="false">IF(BP350=0,IF(BX350=0,0,1),(BX350-BP350)/BP350)</f>
        <v>1</v>
      </c>
      <c r="CG350" s="32" t="n">
        <f aca="false">IF(BQ350=0,IF(BY350=0,0,1),(BY350-BQ350)/BQ350)</f>
        <v>1</v>
      </c>
      <c r="CH350" s="32" t="n">
        <f aca="false">MAX(MAX(BZ350:CG350),-MIN(BZ350:CG350))</f>
        <v>1</v>
      </c>
      <c r="CI350" s="31" t="n">
        <f aca="false">IF(CO350="","",SUMIFS($CJ$7:$CJ$696,$A$7:$A$696,CO350,$B$7:$B$696,B350))</f>
        <v>142951</v>
      </c>
      <c r="CJ350" s="31" t="n">
        <f aca="false">SUM(AY350:BI350)</f>
        <v>142951</v>
      </c>
      <c r="CK350" s="31" t="str">
        <f aca="false">IFERROR(INDEX(設定!$F$61:$F$106,MATCH(B350,設定!$B$61:$B$106,0)),"Y")</f>
        <v>Y</v>
      </c>
      <c r="CL350" s="31" t="str">
        <f aca="false">IFERROR(INDEX(設定!$G$61:$G$106,MATCH(B350,設定!$B$61:$B$106,0)),"外郭型")</f>
        <v>外郭型</v>
      </c>
      <c r="CM350" s="33" t="str">
        <f aca="false">A350&amp;"|"&amp;B350</f>
        <v>2026-10 月例|地方公務員災害補償基金本部</v>
      </c>
      <c r="CN350" s="34" t="str">
        <f aca="false">IFERROR(INDEX(設定!$D$61:$D$106,MATCH(B350,設定!$B$61:$B$106,0)),"Y")</f>
        <v>Y</v>
      </c>
      <c r="CO350" s="34" t="str">
        <f aca="false">IFERROR(INDEX(設定!$D$20:$D$34,MATCH(A350,設定!$A$20:$A$34,0))&amp;"","")</f>
        <v>2026-09 月例</v>
      </c>
    </row>
    <row r="351" customFormat="false" ht="15" hidden="false" customHeight="false" outlineLevel="0" collapsed="false">
      <c r="A351" s="22" t="s">
        <v>223</v>
      </c>
      <c r="B351" s="23" t="s">
        <v>191</v>
      </c>
      <c r="C351" s="10" t="str">
        <f aca="false">IF(G351="","未受領",IF(G351="なし","報告なし",IF(AL351="○","起票済",IF(OR(AK351="○",F351="一致",F351="入金不要"),"入金確認済","受領済"))))</f>
        <v>未受領</v>
      </c>
      <c r="D351" s="10" t="str">
        <f aca="false">IF(OR(G351="",G351="なし"),"―",IF(CN351="N","対象外",IF(AND(I351="",J351="",K351=""),"標報未入力",IF(CH351&gt;=設定!$B$4,"要確認","問題なし"))))</f>
        <v>―</v>
      </c>
      <c r="E351" s="24" t="str">
        <f aca="false">IF(OR(G351="",G351="なし",CI351="",CJ351=0),"―",IF(CJ351=CI351,"前月同額",IF(CI351=0,"―",IF(ABS(CJ351/CI351-1)&gt;=設定!$B$5,"変動大 "&amp;TEXT(CJ351/CI351-1,"+0%;-0%"),"〇"))))</f>
        <v>―</v>
      </c>
      <c r="F351" s="10" t="str">
        <f aca="false">IF(OR(G351="",G351="なし"),"―",IF(CJ351=0,"入金不要",IF(COUNT(AD351,AF351,AH351,AJ351)=0,IF(AK351="○","手動確認","未入金"),IF(AND(N(AD351)=AC351,IF(AE351="",TRUE(),N(AF351)=AE351),IF(AG351="",TRUE(),N(AH351)=AG351),IF(AI351="",TRUE(),N(AJ351)=AI351)),"一致","不一致"))))</f>
        <v>―</v>
      </c>
      <c r="G351" s="25"/>
      <c r="H351" s="26"/>
      <c r="I351" s="27"/>
      <c r="J351" s="27"/>
      <c r="K351" s="27"/>
      <c r="L351" s="27"/>
      <c r="M351" s="27"/>
      <c r="N351" s="27"/>
      <c r="O351" s="27"/>
      <c r="P351" s="27"/>
      <c r="Q351" s="27"/>
      <c r="R351" s="27"/>
      <c r="S351" s="27"/>
      <c r="T351" s="27"/>
      <c r="U351" s="27"/>
      <c r="V351" s="27"/>
      <c r="W351" s="27"/>
      <c r="X351" s="27"/>
      <c r="Y351" s="27"/>
      <c r="Z351" s="27"/>
      <c r="AA351" s="10" t="str">
        <f aca="false">IFERROR(INDEX(設定!$E$61:$E$106,MATCH(B351,設定!$B$61:$B$106,0)),"合算")</f>
        <v>合算</v>
      </c>
      <c r="AB351" s="28"/>
      <c r="AC351" s="29" t="str">
        <f aca="false">IF(OR(G351="",G351="なし"),"",IF(AA351="合算",CJ351+N(Z351),IF(AA351="掛金・負担金別",(AY351+AZ351+BD351+BF351+BH351),SUM(AY351:BC351))))</f>
        <v/>
      </c>
      <c r="AD351" s="27"/>
      <c r="AE351" s="29" t="str">
        <f aca="false">IF(OR(G351="",G351="なし"),"",IF(AA351="掛金・負担金別",(BA351+BB351+BC351+BE351+BG351+BI351+N(Z351)),IF(AA351="経理区分別",BD351+BE351,"")))</f>
        <v/>
      </c>
      <c r="AF351" s="27"/>
      <c r="AG351" s="29" t="str">
        <f aca="false">IF(OR(G351="",G351="なし"),"",IF(AA351="経理区分別",BF351+BG351,""))</f>
        <v/>
      </c>
      <c r="AH351" s="27"/>
      <c r="AI351" s="29" t="str">
        <f aca="false">IF(OR(G351="",G351="なし"),"",IF(AA351="経理区分別",BH351+BI351+N(Z351),""))</f>
        <v/>
      </c>
      <c r="AJ351" s="27"/>
      <c r="AK351" s="26"/>
      <c r="AL351" s="26"/>
      <c r="AM351" s="30"/>
      <c r="AN351" s="31" t="n">
        <v>102480</v>
      </c>
      <c r="AO351" s="31" t="n">
        <v>8400</v>
      </c>
      <c r="AP351" s="31" t="n">
        <v>102480</v>
      </c>
      <c r="AQ351" s="31" t="n">
        <v>8400</v>
      </c>
      <c r="AR351" s="31" t="n">
        <v>105</v>
      </c>
      <c r="AS351" s="31" t="n">
        <v>61610</v>
      </c>
      <c r="AT351" s="31" t="n">
        <v>61723</v>
      </c>
      <c r="AU351" s="31" t="n">
        <v>4661</v>
      </c>
      <c r="AV351" s="31" t="n">
        <v>4661</v>
      </c>
      <c r="AW351" s="31" t="n">
        <v>1</v>
      </c>
      <c r="AX351" s="31" t="n">
        <v>1</v>
      </c>
      <c r="AY351" s="31" t="n">
        <f aca="false">IF($G351="",AN351,O351)</f>
        <v>102480</v>
      </c>
      <c r="AZ351" s="31" t="n">
        <f aca="false">IF($G351="",AO351,P351)</f>
        <v>8400</v>
      </c>
      <c r="BA351" s="31" t="n">
        <f aca="false">IF($G351="",AP351,T351)</f>
        <v>102480</v>
      </c>
      <c r="BB351" s="31" t="n">
        <f aca="false">IF($G351="",AQ351,U351)</f>
        <v>8400</v>
      </c>
      <c r="BC351" s="31" t="n">
        <f aca="false">IF($G351="",AR351,V351)</f>
        <v>105</v>
      </c>
      <c r="BD351" s="31" t="n">
        <f aca="false">IF($G351="",AS351,Q351)</f>
        <v>61610</v>
      </c>
      <c r="BE351" s="31" t="n">
        <f aca="false">IF($G351="",AT351,W351)</f>
        <v>61723</v>
      </c>
      <c r="BF351" s="31" t="n">
        <f aca="false">IF($G351="",AU351,R351)</f>
        <v>4661</v>
      </c>
      <c r="BG351" s="31" t="n">
        <f aca="false">IF($G351="",AV351,X351)</f>
        <v>4661</v>
      </c>
      <c r="BH351" s="31" t="n">
        <f aca="false">IF($G351="",AW351,S351)</f>
        <v>1</v>
      </c>
      <c r="BI351" s="31" t="n">
        <f aca="false">IF($G351="",AX351,Y351)</f>
        <v>1</v>
      </c>
      <c r="BJ351" s="31" t="n">
        <f aca="false">IF(CK351="N",BR351,ROUNDDOWN((I351-L351)*設定!$B$10/1000,0)+ROUNDDOWN((I351-L351)*設定!$B$11/1000,0))</f>
        <v>0</v>
      </c>
      <c r="BK351" s="31" t="n">
        <f aca="false">ROUNDDOWN((I351-L351)*設定!$C$10/1000,0)+ROUNDDOWN((I351-L351)*設定!$C$11/1000,0)+ROUNDDOWN(I351*設定!$C$12/1000,0)+IF(CL351="市局型",ROUNDDOWN(I351*設定!$C$16/1000,0),0)</f>
        <v>0</v>
      </c>
      <c r="BL351" s="31" t="n">
        <f aca="false">IF(CK351="N",BT351,ROUNDDOWN((J351-M351)*設定!$B$13/1000,0))</f>
        <v>0</v>
      </c>
      <c r="BM351" s="31" t="n">
        <f aca="false">ROUNDDOWN((J351-M351)*設定!$C$13/1000,0)+IF(CL351="市局型",ROUNDDOWN(J351*設定!$C$17/1000,0),0)</f>
        <v>0</v>
      </c>
      <c r="BN351" s="31" t="n">
        <f aca="false">IF(CK351="N",BV351,ROUNDDOWN((K351-N351)*設定!$B$14/1000,0))</f>
        <v>0</v>
      </c>
      <c r="BO351" s="31" t="n">
        <f aca="false">ROUNDDOWN((K351-N351)*設定!$C$14/1000,0)</f>
        <v>0</v>
      </c>
      <c r="BP351" s="31" t="n">
        <f aca="false">IF(CK351="N",BX351,ROUNDDOWN((J351-M351)*設定!$B$15/1000,0))</f>
        <v>0</v>
      </c>
      <c r="BQ351" s="31" t="n">
        <f aca="false">ROUNDDOWN((J351-M351)*設定!$C$15/1000,0)</f>
        <v>0</v>
      </c>
      <c r="BR351" s="31" t="n">
        <f aca="false">O351+P351</f>
        <v>0</v>
      </c>
      <c r="BS351" s="31" t="n">
        <f aca="false">T351+U351+V351</f>
        <v>0</v>
      </c>
      <c r="BT351" s="31" t="n">
        <f aca="false">Q351</f>
        <v>0</v>
      </c>
      <c r="BU351" s="31" t="n">
        <f aca="false">W351</f>
        <v>0</v>
      </c>
      <c r="BV351" s="31" t="n">
        <f aca="false">R351</f>
        <v>0</v>
      </c>
      <c r="BW351" s="31" t="n">
        <f aca="false">X351</f>
        <v>0</v>
      </c>
      <c r="BX351" s="31" t="n">
        <f aca="false">S351</f>
        <v>0</v>
      </c>
      <c r="BY351" s="31" t="n">
        <f aca="false">Y351</f>
        <v>0</v>
      </c>
      <c r="BZ351" s="32" t="n">
        <f aca="false">IF(BJ351=0,IF(BR351=0,0,1),(BR351-BJ351)/BJ351)</f>
        <v>0</v>
      </c>
      <c r="CA351" s="32" t="n">
        <f aca="false">IF(BK351=0,IF(BS351=0,0,1),(BS351-BK351)/BK351)</f>
        <v>0</v>
      </c>
      <c r="CB351" s="32" t="n">
        <f aca="false">IF(BL351=0,IF(BT351=0,0,1),(BT351-BL351)/BL351)</f>
        <v>0</v>
      </c>
      <c r="CC351" s="32" t="n">
        <f aca="false">IF(BM351=0,IF(BU351=0,0,1),(BU351-BM351)/BM351)</f>
        <v>0</v>
      </c>
      <c r="CD351" s="32" t="n">
        <f aca="false">IF(BN351=0,IF(BV351=0,0,1),(BV351-BN351)/BN351)</f>
        <v>0</v>
      </c>
      <c r="CE351" s="32" t="n">
        <f aca="false">IF(BO351=0,IF(BW351=0,0,1),(BW351-BO351)/BO351)</f>
        <v>0</v>
      </c>
      <c r="CF351" s="32" t="n">
        <f aca="false">IF(BP351=0,IF(BX351=0,0,1),(BX351-BP351)/BP351)</f>
        <v>0</v>
      </c>
      <c r="CG351" s="32" t="n">
        <f aca="false">IF(BQ351=0,IF(BY351=0,0,1),(BY351-BQ351)/BQ351)</f>
        <v>0</v>
      </c>
      <c r="CH351" s="32" t="n">
        <f aca="false">MAX(MAX(BZ351:CG351),-MIN(BZ351:CG351))</f>
        <v>-0</v>
      </c>
      <c r="CI351" s="31" t="n">
        <f aca="false">IF(CO351="","",SUMIFS($CJ$7:$CJ$696,$A$7:$A$696,CO351,$B$7:$B$696,B351))</f>
        <v>377547</v>
      </c>
      <c r="CJ351" s="31" t="n">
        <f aca="false">SUM(AY351:BI351)</f>
        <v>354522</v>
      </c>
      <c r="CK351" s="31" t="str">
        <f aca="false">IFERROR(INDEX(設定!$F$61:$F$106,MATCH(B351,設定!$B$61:$B$106,0)),"Y")</f>
        <v>Y</v>
      </c>
      <c r="CL351" s="31" t="str">
        <f aca="false">IFERROR(INDEX(設定!$G$61:$G$106,MATCH(B351,設定!$B$61:$B$106,0)),"外郭型")</f>
        <v>外郭型</v>
      </c>
      <c r="CM351" s="33" t="str">
        <f aca="false">A351&amp;"|"&amp;B351</f>
        <v>2026-10 月例|救急振興財団</v>
      </c>
      <c r="CN351" s="34" t="str">
        <f aca="false">IFERROR(INDEX(設定!$D$61:$D$106,MATCH(B351,設定!$B$61:$B$106,0)),"Y")</f>
        <v>Y</v>
      </c>
      <c r="CO351" s="34" t="str">
        <f aca="false">IFERROR(INDEX(設定!$D$20:$D$34,MATCH(A351,設定!$A$20:$A$34,0))&amp;"","")</f>
        <v>2026-09 月例</v>
      </c>
    </row>
    <row r="352" customFormat="false" ht="15" hidden="false" customHeight="false" outlineLevel="0" collapsed="false">
      <c r="A352" s="22" t="s">
        <v>223</v>
      </c>
      <c r="B352" s="23" t="s">
        <v>192</v>
      </c>
      <c r="C352" s="10" t="str">
        <f aca="false">IF(G352="","未受領",IF(G352="なし","報告なし",IF(AL352="○","起票済",IF(OR(AK352="○",F352="一致",F352="入金不要"),"入金確認済","受領済"))))</f>
        <v>未受領</v>
      </c>
      <c r="D352" s="10" t="str">
        <f aca="false">IF(OR(G352="",G352="なし"),"―",IF(CN352="N","対象外",IF(AND(I352="",J352="",K352=""),"標報未入力",IF(CH352&gt;=設定!$B$4,"要確認","問題なし"))))</f>
        <v>―</v>
      </c>
      <c r="E352" s="24" t="str">
        <f aca="false">IF(OR(G352="",G352="なし",CI352="",CJ352=0),"―",IF(CJ352=CI352,"前月同額",IF(CI352=0,"―",IF(ABS(CJ352/CI352-1)&gt;=設定!$B$5,"変動大 "&amp;TEXT(CJ352/CI352-1,"+0%;-0%"),"〇"))))</f>
        <v>―</v>
      </c>
      <c r="F352" s="10" t="str">
        <f aca="false">IF(OR(G352="",G352="なし"),"―",IF(CJ352=0,"入金不要",IF(COUNT(AD352,AF352,AH352,AJ352)=0,IF(AK352="○","手動確認","未入金"),IF(AND(N(AD352)=AC352,IF(AE352="",TRUE(),N(AF352)=AE352),IF(AG352="",TRUE(),N(AH352)=AG352),IF(AI352="",TRUE(),N(AJ352)=AI352)),"一致","不一致"))))</f>
        <v>―</v>
      </c>
      <c r="G352" s="25"/>
      <c r="H352" s="26"/>
      <c r="I352" s="27"/>
      <c r="J352" s="27"/>
      <c r="K352" s="27"/>
      <c r="L352" s="27"/>
      <c r="M352" s="27"/>
      <c r="N352" s="27"/>
      <c r="O352" s="27"/>
      <c r="P352" s="27"/>
      <c r="Q352" s="27"/>
      <c r="R352" s="27"/>
      <c r="S352" s="27"/>
      <c r="T352" s="27"/>
      <c r="U352" s="27"/>
      <c r="V352" s="27"/>
      <c r="W352" s="27"/>
      <c r="X352" s="27"/>
      <c r="Y352" s="27"/>
      <c r="Z352" s="27"/>
      <c r="AA352" s="10" t="str">
        <f aca="false">IFERROR(INDEX(設定!$E$61:$E$106,MATCH(B352,設定!$B$61:$B$106,0)),"合算")</f>
        <v>合算</v>
      </c>
      <c r="AB352" s="28"/>
      <c r="AC352" s="29" t="str">
        <f aca="false">IF(OR(G352="",G352="なし"),"",IF(AA352="合算",CJ352+N(Z352),IF(AA352="掛金・負担金別",(AY352+AZ352+BD352+BF352+BH352),SUM(AY352:BC352))))</f>
        <v/>
      </c>
      <c r="AD352" s="27"/>
      <c r="AE352" s="29" t="str">
        <f aca="false">IF(OR(G352="",G352="なし"),"",IF(AA352="掛金・負担金別",(BA352+BB352+BC352+BE352+BG352+BI352+N(Z352)),IF(AA352="経理区分別",BD352+BE352,"")))</f>
        <v/>
      </c>
      <c r="AF352" s="27"/>
      <c r="AG352" s="29" t="str">
        <f aca="false">IF(OR(G352="",G352="なし"),"",IF(AA352="経理区分別",BF352+BG352,""))</f>
        <v/>
      </c>
      <c r="AH352" s="27"/>
      <c r="AI352" s="29" t="str">
        <f aca="false">IF(OR(G352="",G352="なし"),"",IF(AA352="経理区分別",BH352+BI352+N(Z352),""))</f>
        <v/>
      </c>
      <c r="AJ352" s="27"/>
      <c r="AK352" s="26"/>
      <c r="AL352" s="26"/>
      <c r="AM352" s="30"/>
      <c r="AN352" s="31" t="n">
        <v>912255</v>
      </c>
      <c r="AO352" s="31" t="n">
        <v>74775</v>
      </c>
      <c r="AP352" s="31" t="n">
        <v>912255</v>
      </c>
      <c r="AQ352" s="31" t="n">
        <v>74775</v>
      </c>
      <c r="AR352" s="31" t="n">
        <v>936</v>
      </c>
      <c r="AS352" s="31" t="n">
        <v>548442</v>
      </c>
      <c r="AT352" s="31" t="n">
        <v>549446</v>
      </c>
      <c r="AU352" s="31" t="n">
        <v>50086</v>
      </c>
      <c r="AV352" s="31" t="n">
        <v>50086</v>
      </c>
      <c r="AW352" s="31" t="n">
        <v>1</v>
      </c>
      <c r="AX352" s="31" t="n">
        <v>1</v>
      </c>
      <c r="AY352" s="31" t="n">
        <f aca="false">IF($G352="",AN352,O352)</f>
        <v>912255</v>
      </c>
      <c r="AZ352" s="31" t="n">
        <f aca="false">IF($G352="",AO352,P352)</f>
        <v>74775</v>
      </c>
      <c r="BA352" s="31" t="n">
        <f aca="false">IF($G352="",AP352,T352)</f>
        <v>912255</v>
      </c>
      <c r="BB352" s="31" t="n">
        <f aca="false">IF($G352="",AQ352,U352)</f>
        <v>74775</v>
      </c>
      <c r="BC352" s="31" t="n">
        <f aca="false">IF($G352="",AR352,V352)</f>
        <v>936</v>
      </c>
      <c r="BD352" s="31" t="n">
        <f aca="false">IF($G352="",AS352,Q352)</f>
        <v>548442</v>
      </c>
      <c r="BE352" s="31" t="n">
        <f aca="false">IF($G352="",AT352,W352)</f>
        <v>549446</v>
      </c>
      <c r="BF352" s="31" t="n">
        <f aca="false">IF($G352="",AU352,R352)</f>
        <v>50086</v>
      </c>
      <c r="BG352" s="31" t="n">
        <f aca="false">IF($G352="",AV352,X352)</f>
        <v>50086</v>
      </c>
      <c r="BH352" s="31" t="n">
        <f aca="false">IF($G352="",AW352,S352)</f>
        <v>1</v>
      </c>
      <c r="BI352" s="31" t="n">
        <f aca="false">IF($G352="",AX352,Y352)</f>
        <v>1</v>
      </c>
      <c r="BJ352" s="31" t="n">
        <f aca="false">IF(CK352="N",BR352,ROUNDDOWN((I352-L352)*設定!$B$10/1000,0)+ROUNDDOWN((I352-L352)*設定!$B$11/1000,0))</f>
        <v>0</v>
      </c>
      <c r="BK352" s="31" t="n">
        <f aca="false">ROUNDDOWN((I352-L352)*設定!$C$10/1000,0)+ROUNDDOWN((I352-L352)*設定!$C$11/1000,0)+ROUNDDOWN(I352*設定!$C$12/1000,0)+IF(CL352="市局型",ROUNDDOWN(I352*設定!$C$16/1000,0),0)</f>
        <v>0</v>
      </c>
      <c r="BL352" s="31" t="n">
        <f aca="false">IF(CK352="N",BT352,ROUNDDOWN((J352-M352)*設定!$B$13/1000,0))</f>
        <v>0</v>
      </c>
      <c r="BM352" s="31" t="n">
        <f aca="false">ROUNDDOWN((J352-M352)*設定!$C$13/1000,0)+IF(CL352="市局型",ROUNDDOWN(J352*設定!$C$17/1000,0),0)</f>
        <v>0</v>
      </c>
      <c r="BN352" s="31" t="n">
        <f aca="false">IF(CK352="N",BV352,ROUNDDOWN((K352-N352)*設定!$B$14/1000,0))</f>
        <v>0</v>
      </c>
      <c r="BO352" s="31" t="n">
        <f aca="false">ROUNDDOWN((K352-N352)*設定!$C$14/1000,0)</f>
        <v>0</v>
      </c>
      <c r="BP352" s="31" t="n">
        <f aca="false">IF(CK352="N",BX352,ROUNDDOWN((J352-M352)*設定!$B$15/1000,0))</f>
        <v>0</v>
      </c>
      <c r="BQ352" s="31" t="n">
        <f aca="false">ROUNDDOWN((J352-M352)*設定!$C$15/1000,0)</f>
        <v>0</v>
      </c>
      <c r="BR352" s="31" t="n">
        <f aca="false">O352+P352</f>
        <v>0</v>
      </c>
      <c r="BS352" s="31" t="n">
        <f aca="false">T352+U352+V352</f>
        <v>0</v>
      </c>
      <c r="BT352" s="31" t="n">
        <f aca="false">Q352</f>
        <v>0</v>
      </c>
      <c r="BU352" s="31" t="n">
        <f aca="false">W352</f>
        <v>0</v>
      </c>
      <c r="BV352" s="31" t="n">
        <f aca="false">R352</f>
        <v>0</v>
      </c>
      <c r="BW352" s="31" t="n">
        <f aca="false">X352</f>
        <v>0</v>
      </c>
      <c r="BX352" s="31" t="n">
        <f aca="false">S352</f>
        <v>0</v>
      </c>
      <c r="BY352" s="31" t="n">
        <f aca="false">Y352</f>
        <v>0</v>
      </c>
      <c r="BZ352" s="32" t="n">
        <f aca="false">IF(BJ352=0,IF(BR352=0,0,1),(BR352-BJ352)/BJ352)</f>
        <v>0</v>
      </c>
      <c r="CA352" s="32" t="n">
        <f aca="false">IF(BK352=0,IF(BS352=0,0,1),(BS352-BK352)/BK352)</f>
        <v>0</v>
      </c>
      <c r="CB352" s="32" t="n">
        <f aca="false">IF(BL352=0,IF(BT352=0,0,1),(BT352-BL352)/BL352)</f>
        <v>0</v>
      </c>
      <c r="CC352" s="32" t="n">
        <f aca="false">IF(BM352=0,IF(BU352=0,0,1),(BU352-BM352)/BM352)</f>
        <v>0</v>
      </c>
      <c r="CD352" s="32" t="n">
        <f aca="false">IF(BN352=0,IF(BV352=0,0,1),(BV352-BN352)/BN352)</f>
        <v>0</v>
      </c>
      <c r="CE352" s="32" t="n">
        <f aca="false">IF(BO352=0,IF(BW352=0,0,1),(BW352-BO352)/BO352)</f>
        <v>0</v>
      </c>
      <c r="CF352" s="32" t="n">
        <f aca="false">IF(BP352=0,IF(BX352=0,0,1),(BX352-BP352)/BP352)</f>
        <v>0</v>
      </c>
      <c r="CG352" s="32" t="n">
        <f aca="false">IF(BQ352=0,IF(BY352=0,0,1),(BY352-BQ352)/BQ352)</f>
        <v>0</v>
      </c>
      <c r="CH352" s="32" t="n">
        <f aca="false">MAX(MAX(BZ352:CG352),-MIN(BZ352:CG352))</f>
        <v>-0</v>
      </c>
      <c r="CI352" s="31" t="n">
        <f aca="false">IF(CO352="","",SUMIFS($CJ$7:$CJ$696,$A$7:$A$696,CO352,$B$7:$B$696,B352))</f>
        <v>2794121</v>
      </c>
      <c r="CJ352" s="31" t="n">
        <f aca="false">SUM(AY352:BI352)</f>
        <v>3173058</v>
      </c>
      <c r="CK352" s="31" t="str">
        <f aca="false">IFERROR(INDEX(設定!$F$61:$F$106,MATCH(B352,設定!$B$61:$B$106,0)),"Y")</f>
        <v>Y</v>
      </c>
      <c r="CL352" s="31" t="str">
        <f aca="false">IFERROR(INDEX(設定!$G$61:$G$106,MATCH(B352,設定!$B$61:$B$106,0)),"外郭型")</f>
        <v>外郭型</v>
      </c>
      <c r="CM352" s="33" t="str">
        <f aca="false">A352&amp;"|"&amp;B352</f>
        <v>2026-10 月例|高速道路公社</v>
      </c>
      <c r="CN352" s="34" t="str">
        <f aca="false">IFERROR(INDEX(設定!$D$61:$D$106,MATCH(B352,設定!$B$61:$B$106,0)),"Y")</f>
        <v>Y</v>
      </c>
      <c r="CO352" s="34" t="str">
        <f aca="false">IFERROR(INDEX(設定!$D$20:$D$34,MATCH(A352,設定!$A$20:$A$34,0))&amp;"","")</f>
        <v>2026-09 月例</v>
      </c>
    </row>
    <row r="353" customFormat="false" ht="15" hidden="false" customHeight="false" outlineLevel="0" collapsed="false">
      <c r="A353" s="22" t="s">
        <v>223</v>
      </c>
      <c r="B353" s="23" t="s">
        <v>193</v>
      </c>
      <c r="C353" s="10" t="str">
        <f aca="false">IF(G353="","未受領",IF(G353="なし","報告なし",IF(AL353="○","起票済",IF(OR(AK353="○",F353="一致",F353="入金不要"),"入金確認済","受領済"))))</f>
        <v>未受領</v>
      </c>
      <c r="D353" s="10" t="str">
        <f aca="false">IF(OR(G353="",G353="なし"),"―",IF(CN353="N","対象外",IF(AND(I353="",J353="",K353=""),"標報未入力",IF(CH353&gt;=設定!$B$4,"要確認","問題なし"))))</f>
        <v>―</v>
      </c>
      <c r="E353" s="24" t="str">
        <f aca="false">IF(OR(G353="",G353="なし",CI353="",CJ353=0),"―",IF(CJ353=CI353,"前月同額",IF(CI353=0,"―",IF(ABS(CJ353/CI353-1)&gt;=設定!$B$5,"変動大 "&amp;TEXT(CJ353/CI353-1,"+0%;-0%"),"〇"))))</f>
        <v>―</v>
      </c>
      <c r="F353" s="10" t="str">
        <f aca="false">IF(OR(G353="",G353="なし"),"―",IF(CJ353=0,"入金不要",IF(COUNT(AD353,AF353,AH353,AJ353)=0,IF(AK353="○","手動確認","未入金"),IF(AND(N(AD353)=AC353,IF(AE353="",TRUE(),N(AF353)=AE353),IF(AG353="",TRUE(),N(AH353)=AG353),IF(AI353="",TRUE(),N(AJ353)=AI353)),"一致","不一致"))))</f>
        <v>―</v>
      </c>
      <c r="G353" s="25"/>
      <c r="H353" s="26"/>
      <c r="I353" s="27"/>
      <c r="J353" s="27"/>
      <c r="K353" s="27"/>
      <c r="L353" s="27"/>
      <c r="M353" s="27"/>
      <c r="N353" s="27"/>
      <c r="O353" s="27"/>
      <c r="P353" s="27"/>
      <c r="Q353" s="27"/>
      <c r="R353" s="27"/>
      <c r="S353" s="27"/>
      <c r="T353" s="27"/>
      <c r="U353" s="27"/>
      <c r="V353" s="27"/>
      <c r="W353" s="27"/>
      <c r="X353" s="27"/>
      <c r="Y353" s="27"/>
      <c r="Z353" s="27"/>
      <c r="AA353" s="10" t="str">
        <f aca="false">IFERROR(INDEX(設定!$E$61:$E$106,MATCH(B353,設定!$B$61:$B$106,0)),"合算")</f>
        <v>合算</v>
      </c>
      <c r="AB353" s="28"/>
      <c r="AC353" s="29" t="str">
        <f aca="false">IF(OR(G353="",G353="なし"),"",IF(AA353="合算",CJ353+N(Z353),IF(AA353="掛金・負担金別",(AY353+AZ353+BD353+BF353+BH353),SUM(AY353:BC353))))</f>
        <v/>
      </c>
      <c r="AD353" s="27"/>
      <c r="AE353" s="29" t="str">
        <f aca="false">IF(OR(G353="",G353="なし"),"",IF(AA353="掛金・負担金別",(BA353+BB353+BC353+BE353+BG353+BI353+N(Z353)),IF(AA353="経理区分別",BD353+BE353,"")))</f>
        <v/>
      </c>
      <c r="AF353" s="27"/>
      <c r="AG353" s="29" t="str">
        <f aca="false">IF(OR(G353="",G353="なし"),"",IF(AA353="経理区分別",BF353+BG353,""))</f>
        <v/>
      </c>
      <c r="AH353" s="27"/>
      <c r="AI353" s="29" t="str">
        <f aca="false">IF(OR(G353="",G353="なし"),"",IF(AA353="経理区分別",BH353+BI353+N(Z353),""))</f>
        <v/>
      </c>
      <c r="AJ353" s="27"/>
      <c r="AK353" s="26"/>
      <c r="AL353" s="26"/>
      <c r="AM353" s="30"/>
      <c r="AN353" s="31"/>
      <c r="AO353" s="31"/>
      <c r="AP353" s="31" t="n">
        <v>601155</v>
      </c>
      <c r="AQ353" s="31" t="n">
        <v>49275</v>
      </c>
      <c r="AR353" s="31" t="n">
        <v>613</v>
      </c>
      <c r="AS353" s="31"/>
      <c r="AT353" s="31" t="n">
        <v>362070</v>
      </c>
      <c r="AU353" s="31"/>
      <c r="AV353" s="31" t="n">
        <v>27255</v>
      </c>
      <c r="AW353" s="31"/>
      <c r="AX353" s="31" t="n">
        <v>1</v>
      </c>
      <c r="AY353" s="31" t="n">
        <f aca="false">IF($G353="",AN353,O353)</f>
        <v>0</v>
      </c>
      <c r="AZ353" s="31" t="n">
        <f aca="false">IF($G353="",AO353,P353)</f>
        <v>0</v>
      </c>
      <c r="BA353" s="31" t="n">
        <f aca="false">IF($G353="",AP353,T353)</f>
        <v>601155</v>
      </c>
      <c r="BB353" s="31" t="n">
        <f aca="false">IF($G353="",AQ353,U353)</f>
        <v>49275</v>
      </c>
      <c r="BC353" s="31" t="n">
        <f aca="false">IF($G353="",AR353,V353)</f>
        <v>613</v>
      </c>
      <c r="BD353" s="31" t="n">
        <f aca="false">IF($G353="",AS353,Q353)</f>
        <v>0</v>
      </c>
      <c r="BE353" s="31" t="n">
        <f aca="false">IF($G353="",AT353,W353)</f>
        <v>362070</v>
      </c>
      <c r="BF353" s="31" t="n">
        <f aca="false">IF($G353="",AU353,R353)</f>
        <v>0</v>
      </c>
      <c r="BG353" s="31" t="n">
        <f aca="false">IF($G353="",AV353,X353)</f>
        <v>27255</v>
      </c>
      <c r="BH353" s="31" t="n">
        <f aca="false">IF($G353="",AW353,S353)</f>
        <v>0</v>
      </c>
      <c r="BI353" s="31" t="n">
        <f aca="false">IF($G353="",AX353,Y353)</f>
        <v>1</v>
      </c>
      <c r="BJ353" s="31" t="n">
        <f aca="false">IF(CK353="N",BR353,ROUNDDOWN((I353-L353)*設定!$B$10/1000,0)+ROUNDDOWN((I353-L353)*設定!$B$11/1000,0))</f>
        <v>0</v>
      </c>
      <c r="BK353" s="31" t="n">
        <f aca="false">ROUNDDOWN((I353-L353)*設定!$C$10/1000,0)+ROUNDDOWN((I353-L353)*設定!$C$11/1000,0)+ROUNDDOWN(I353*設定!$C$12/1000,0)+IF(CL353="市局型",ROUNDDOWN(I353*設定!$C$16/1000,0),0)</f>
        <v>0</v>
      </c>
      <c r="BL353" s="31" t="n">
        <f aca="false">IF(CK353="N",BT353,ROUNDDOWN((J353-M353)*設定!$B$13/1000,0))</f>
        <v>0</v>
      </c>
      <c r="BM353" s="31" t="n">
        <f aca="false">ROUNDDOWN((J353-M353)*設定!$C$13/1000,0)+IF(CL353="市局型",ROUNDDOWN(J353*設定!$C$17/1000,0),0)</f>
        <v>0</v>
      </c>
      <c r="BN353" s="31" t="n">
        <f aca="false">IF(CK353="N",BV353,ROUNDDOWN((K353-N353)*設定!$B$14/1000,0))</f>
        <v>0</v>
      </c>
      <c r="BO353" s="31" t="n">
        <f aca="false">ROUNDDOWN((K353-N353)*設定!$C$14/1000,0)</f>
        <v>0</v>
      </c>
      <c r="BP353" s="31" t="n">
        <f aca="false">IF(CK353="N",BX353,ROUNDDOWN((J353-M353)*設定!$B$15/1000,0))</f>
        <v>0</v>
      </c>
      <c r="BQ353" s="31" t="n">
        <f aca="false">ROUNDDOWN((J353-M353)*設定!$C$15/1000,0)</f>
        <v>0</v>
      </c>
      <c r="BR353" s="31" t="n">
        <f aca="false">O353+P353</f>
        <v>0</v>
      </c>
      <c r="BS353" s="31" t="n">
        <f aca="false">T353+U353+V353</f>
        <v>0</v>
      </c>
      <c r="BT353" s="31" t="n">
        <f aca="false">Q353</f>
        <v>0</v>
      </c>
      <c r="BU353" s="31" t="n">
        <f aca="false">W353</f>
        <v>0</v>
      </c>
      <c r="BV353" s="31" t="n">
        <f aca="false">R353</f>
        <v>0</v>
      </c>
      <c r="BW353" s="31" t="n">
        <f aca="false">X353</f>
        <v>0</v>
      </c>
      <c r="BX353" s="31" t="n">
        <f aca="false">S353</f>
        <v>0</v>
      </c>
      <c r="BY353" s="31" t="n">
        <f aca="false">Y353</f>
        <v>0</v>
      </c>
      <c r="BZ353" s="32" t="n">
        <f aca="false">IF(BJ353=0,IF(BR353=0,0,1),(BR353-BJ353)/BJ353)</f>
        <v>0</v>
      </c>
      <c r="CA353" s="32" t="n">
        <f aca="false">IF(BK353=0,IF(BS353=0,0,1),(BS353-BK353)/BK353)</f>
        <v>0</v>
      </c>
      <c r="CB353" s="32" t="n">
        <f aca="false">IF(BL353=0,IF(BT353=0,0,1),(BT353-BL353)/BL353)</f>
        <v>0</v>
      </c>
      <c r="CC353" s="32" t="n">
        <f aca="false">IF(BM353=0,IF(BU353=0,0,1),(BU353-BM353)/BM353)</f>
        <v>0</v>
      </c>
      <c r="CD353" s="32" t="n">
        <f aca="false">IF(BN353=0,IF(BV353=0,0,1),(BV353-BN353)/BN353)</f>
        <v>0</v>
      </c>
      <c r="CE353" s="32" t="n">
        <f aca="false">IF(BO353=0,IF(BW353=0,0,1),(BW353-BO353)/BO353)</f>
        <v>0</v>
      </c>
      <c r="CF353" s="32" t="n">
        <f aca="false">IF(BP353=0,IF(BX353=0,0,1),(BX353-BP353)/BP353)</f>
        <v>0</v>
      </c>
      <c r="CG353" s="32" t="n">
        <f aca="false">IF(BQ353=0,IF(BY353=0,0,1),(BY353-BQ353)/BQ353)</f>
        <v>0</v>
      </c>
      <c r="CH353" s="32" t="n">
        <f aca="false">MAX(MAX(BZ353:CG353),-MIN(BZ353:CG353))</f>
        <v>-0</v>
      </c>
      <c r="CI353" s="31" t="n">
        <f aca="false">IF(CO353="","",SUMIFS($CJ$7:$CJ$696,$A$7:$A$696,CO353,$B$7:$B$696,B353))</f>
        <v>976217</v>
      </c>
      <c r="CJ353" s="31" t="n">
        <f aca="false">SUM(AY353:BI353)</f>
        <v>1040369</v>
      </c>
      <c r="CK353" s="31" t="str">
        <f aca="false">IFERROR(INDEX(設定!$F$61:$F$106,MATCH(B353,設定!$B$61:$B$106,0)),"Y")</f>
        <v>N</v>
      </c>
      <c r="CL353" s="31" t="str">
        <f aca="false">IFERROR(INDEX(設定!$G$61:$G$106,MATCH(B353,設定!$B$61:$B$106,0)),"外郭型")</f>
        <v>外郭型</v>
      </c>
      <c r="CM353" s="33" t="str">
        <f aca="false">A353&amp;"|"&amp;B353</f>
        <v>2026-10 月例|農林水産振興センタ</v>
      </c>
      <c r="CN353" s="34" t="str">
        <f aca="false">IFERROR(INDEX(設定!$D$61:$D$106,MATCH(B353,設定!$B$61:$B$106,0)),"Y")</f>
        <v>Y</v>
      </c>
      <c r="CO353" s="34" t="str">
        <f aca="false">IFERROR(INDEX(設定!$D$20:$D$34,MATCH(A353,設定!$A$20:$A$34,0))&amp;"","")</f>
        <v>2026-09 月例</v>
      </c>
    </row>
    <row r="354" customFormat="false" ht="15" hidden="false" customHeight="false" outlineLevel="0" collapsed="false">
      <c r="A354" s="22" t="s">
        <v>223</v>
      </c>
      <c r="B354" s="23" t="s">
        <v>194</v>
      </c>
      <c r="C354" s="10" t="str">
        <f aca="false">IF(G354="","未受領",IF(G354="なし","報告なし",IF(AL354="○","起票済",IF(OR(AK354="○",F354="一致",F354="入金不要"),"入金確認済","受領済"))))</f>
        <v>未受領</v>
      </c>
      <c r="D354" s="10" t="str">
        <f aca="false">IF(OR(G354="",G354="なし"),"―",IF(CN354="N","対象外",IF(AND(I354="",J354="",K354=""),"標報未入力",IF(CH354&gt;=設定!$B$4,"要確認","問題なし"))))</f>
        <v>―</v>
      </c>
      <c r="E354" s="24" t="str">
        <f aca="false">IF(OR(G354="",G354="なし",CI354="",CJ354=0),"―",IF(CJ354=CI354,"前月同額",IF(CI354=0,"―",IF(ABS(CJ354/CI354-1)&gt;=設定!$B$5,"変動大 "&amp;TEXT(CJ354/CI354-1,"+0%;-0%"),"〇"))))</f>
        <v>―</v>
      </c>
      <c r="F354" s="10" t="str">
        <f aca="false">IF(OR(G354="",G354="なし"),"―",IF(CJ354=0,"入金不要",IF(COUNT(AD354,AF354,AH354,AJ354)=0,IF(AK354="○","手動確認","未入金"),IF(AND(N(AD354)=AC354,IF(AE354="",TRUE(),N(AF354)=AE354),IF(AG354="",TRUE(),N(AH354)=AG354),IF(AI354="",TRUE(),N(AJ354)=AI354)),"一致","不一致"))))</f>
        <v>―</v>
      </c>
      <c r="G354" s="25"/>
      <c r="H354" s="26"/>
      <c r="I354" s="27"/>
      <c r="J354" s="27"/>
      <c r="K354" s="27"/>
      <c r="L354" s="27"/>
      <c r="M354" s="27"/>
      <c r="N354" s="27"/>
      <c r="O354" s="27"/>
      <c r="P354" s="27"/>
      <c r="Q354" s="27"/>
      <c r="R354" s="27"/>
      <c r="S354" s="27"/>
      <c r="T354" s="27"/>
      <c r="U354" s="27"/>
      <c r="V354" s="27"/>
      <c r="W354" s="27"/>
      <c r="X354" s="27"/>
      <c r="Y354" s="27"/>
      <c r="Z354" s="27"/>
      <c r="AA354" s="10" t="str">
        <f aca="false">IFERROR(INDEX(設定!$E$61:$E$106,MATCH(B354,設定!$B$61:$B$106,0)),"合算")</f>
        <v>合算</v>
      </c>
      <c r="AB354" s="28"/>
      <c r="AC354" s="29" t="str">
        <f aca="false">IF(OR(G354="",G354="なし"),"",IF(AA354="合算",CJ354+N(Z354),IF(AA354="掛金・負担金別",(AY354+AZ354+BD354+BF354+BH354),SUM(AY354:BC354))))</f>
        <v/>
      </c>
      <c r="AD354" s="27"/>
      <c r="AE354" s="29" t="str">
        <f aca="false">IF(OR(G354="",G354="なし"),"",IF(AA354="掛金・負担金別",(BA354+BB354+BC354+BE354+BG354+BI354+N(Z354)),IF(AA354="経理区分別",BD354+BE354,"")))</f>
        <v/>
      </c>
      <c r="AF354" s="27"/>
      <c r="AG354" s="29" t="str">
        <f aca="false">IF(OR(G354="",G354="なし"),"",IF(AA354="経理区分別",BF354+BG354,""))</f>
        <v/>
      </c>
      <c r="AH354" s="27"/>
      <c r="AI354" s="29" t="str">
        <f aca="false">IF(OR(G354="",G354="なし"),"",IF(AA354="経理区分別",BH354+BI354+N(Z354),""))</f>
        <v/>
      </c>
      <c r="AJ354" s="27"/>
      <c r="AK354" s="26"/>
      <c r="AL354" s="26"/>
      <c r="AM354" s="30"/>
      <c r="AN354" s="31"/>
      <c r="AO354" s="31"/>
      <c r="AP354" s="31" t="n">
        <v>1160220</v>
      </c>
      <c r="AQ354" s="31" t="n">
        <v>95100</v>
      </c>
      <c r="AR354" s="31" t="n">
        <v>1185</v>
      </c>
      <c r="AS354" s="31"/>
      <c r="AT354" s="31" t="n">
        <v>698790</v>
      </c>
      <c r="AU354" s="31"/>
      <c r="AV354" s="31" t="n">
        <v>94721</v>
      </c>
      <c r="AW354" s="31"/>
      <c r="AX354" s="31" t="n">
        <v>1</v>
      </c>
      <c r="AY354" s="31" t="n">
        <f aca="false">IF($G354="",AN354,O354)</f>
        <v>0</v>
      </c>
      <c r="AZ354" s="31" t="n">
        <f aca="false">IF($G354="",AO354,P354)</f>
        <v>0</v>
      </c>
      <c r="BA354" s="31" t="n">
        <f aca="false">IF($G354="",AP354,T354)</f>
        <v>1160220</v>
      </c>
      <c r="BB354" s="31" t="n">
        <f aca="false">IF($G354="",AQ354,U354)</f>
        <v>95100</v>
      </c>
      <c r="BC354" s="31" t="n">
        <f aca="false">IF($G354="",AR354,V354)</f>
        <v>1185</v>
      </c>
      <c r="BD354" s="31" t="n">
        <f aca="false">IF($G354="",AS354,Q354)</f>
        <v>0</v>
      </c>
      <c r="BE354" s="31" t="n">
        <f aca="false">IF($G354="",AT354,W354)</f>
        <v>698790</v>
      </c>
      <c r="BF354" s="31" t="n">
        <f aca="false">IF($G354="",AU354,R354)</f>
        <v>0</v>
      </c>
      <c r="BG354" s="31" t="n">
        <f aca="false">IF($G354="",AV354,X354)</f>
        <v>94721</v>
      </c>
      <c r="BH354" s="31" t="n">
        <f aca="false">IF($G354="",AW354,S354)</f>
        <v>0</v>
      </c>
      <c r="BI354" s="31" t="n">
        <f aca="false">IF($G354="",AX354,Y354)</f>
        <v>1</v>
      </c>
      <c r="BJ354" s="31" t="n">
        <f aca="false">IF(CK354="N",BR354,ROUNDDOWN((I354-L354)*設定!$B$10/1000,0)+ROUNDDOWN((I354-L354)*設定!$B$11/1000,0))</f>
        <v>0</v>
      </c>
      <c r="BK354" s="31" t="n">
        <f aca="false">ROUNDDOWN((I354-L354)*設定!$C$10/1000,0)+ROUNDDOWN((I354-L354)*設定!$C$11/1000,0)+ROUNDDOWN(I354*設定!$C$12/1000,0)+IF(CL354="市局型",ROUNDDOWN(I354*設定!$C$16/1000,0),0)</f>
        <v>0</v>
      </c>
      <c r="BL354" s="31" t="n">
        <f aca="false">IF(CK354="N",BT354,ROUNDDOWN((J354-M354)*設定!$B$13/1000,0))</f>
        <v>0</v>
      </c>
      <c r="BM354" s="31" t="n">
        <f aca="false">ROUNDDOWN((J354-M354)*設定!$C$13/1000,0)+IF(CL354="市局型",ROUNDDOWN(J354*設定!$C$17/1000,0),0)</f>
        <v>0</v>
      </c>
      <c r="BN354" s="31" t="n">
        <f aca="false">IF(CK354="N",BV354,ROUNDDOWN((K354-N354)*設定!$B$14/1000,0))</f>
        <v>0</v>
      </c>
      <c r="BO354" s="31" t="n">
        <f aca="false">ROUNDDOWN((K354-N354)*設定!$C$14/1000,0)</f>
        <v>0</v>
      </c>
      <c r="BP354" s="31" t="n">
        <f aca="false">IF(CK354="N",BX354,ROUNDDOWN((J354-M354)*設定!$B$15/1000,0))</f>
        <v>0</v>
      </c>
      <c r="BQ354" s="31" t="n">
        <f aca="false">ROUNDDOWN((J354-M354)*設定!$C$15/1000,0)</f>
        <v>0</v>
      </c>
      <c r="BR354" s="31" t="n">
        <f aca="false">O354+P354</f>
        <v>0</v>
      </c>
      <c r="BS354" s="31" t="n">
        <f aca="false">T354+U354+V354</f>
        <v>0</v>
      </c>
      <c r="BT354" s="31" t="n">
        <f aca="false">Q354</f>
        <v>0</v>
      </c>
      <c r="BU354" s="31" t="n">
        <f aca="false">W354</f>
        <v>0</v>
      </c>
      <c r="BV354" s="31" t="n">
        <f aca="false">R354</f>
        <v>0</v>
      </c>
      <c r="BW354" s="31" t="n">
        <f aca="false">X354</f>
        <v>0</v>
      </c>
      <c r="BX354" s="31" t="n">
        <f aca="false">S354</f>
        <v>0</v>
      </c>
      <c r="BY354" s="31" t="n">
        <f aca="false">Y354</f>
        <v>0</v>
      </c>
      <c r="BZ354" s="32" t="n">
        <f aca="false">IF(BJ354=0,IF(BR354=0,0,1),(BR354-BJ354)/BJ354)</f>
        <v>0</v>
      </c>
      <c r="CA354" s="32" t="n">
        <f aca="false">IF(BK354=0,IF(BS354=0,0,1),(BS354-BK354)/BK354)</f>
        <v>0</v>
      </c>
      <c r="CB354" s="32" t="n">
        <f aca="false">IF(BL354=0,IF(BT354=0,0,1),(BT354-BL354)/BL354)</f>
        <v>0</v>
      </c>
      <c r="CC354" s="32" t="n">
        <f aca="false">IF(BM354=0,IF(BU354=0,0,1),(BU354-BM354)/BM354)</f>
        <v>0</v>
      </c>
      <c r="CD354" s="32" t="n">
        <f aca="false">IF(BN354=0,IF(BV354=0,0,1),(BV354-BN354)/BN354)</f>
        <v>0</v>
      </c>
      <c r="CE354" s="32" t="n">
        <f aca="false">IF(BO354=0,IF(BW354=0,0,1),(BW354-BO354)/BO354)</f>
        <v>0</v>
      </c>
      <c r="CF354" s="32" t="n">
        <f aca="false">IF(BP354=0,IF(BX354=0,0,1),(BX354-BP354)/BP354)</f>
        <v>0</v>
      </c>
      <c r="CG354" s="32" t="n">
        <f aca="false">IF(BQ354=0,IF(BY354=0,0,1),(BY354-BQ354)/BQ354)</f>
        <v>0</v>
      </c>
      <c r="CH354" s="32" t="n">
        <f aca="false">MAX(MAX(BZ354:CG354),-MIN(BZ354:CG354))</f>
        <v>-0</v>
      </c>
      <c r="CI354" s="31" t="n">
        <f aca="false">IF(CO354="","",SUMIFS($CJ$7:$CJ$696,$A$7:$A$696,CO354,$B$7:$B$696,B354))</f>
        <v>1835389</v>
      </c>
      <c r="CJ354" s="31" t="n">
        <f aca="false">SUM(AY354:BI354)</f>
        <v>2050017</v>
      </c>
      <c r="CK354" s="31" t="str">
        <f aca="false">IFERROR(INDEX(設定!$F$61:$F$106,MATCH(B354,設定!$B$61:$B$106,0)),"Y")</f>
        <v>N</v>
      </c>
      <c r="CL354" s="31" t="str">
        <f aca="false">IFERROR(INDEX(設定!$G$61:$G$106,MATCH(B354,設定!$B$61:$B$106,0)),"外郭型")</f>
        <v>外郭型</v>
      </c>
      <c r="CM354" s="33" t="str">
        <f aca="false">A354&amp;"|"&amp;B354</f>
        <v>2026-10 月例|文化財団　市長部局</v>
      </c>
      <c r="CN354" s="34" t="str">
        <f aca="false">IFERROR(INDEX(設定!$D$61:$D$106,MATCH(B354,設定!$B$61:$B$106,0)),"Y")</f>
        <v>Y</v>
      </c>
      <c r="CO354" s="34" t="str">
        <f aca="false">IFERROR(INDEX(設定!$D$20:$D$34,MATCH(A354,設定!$A$20:$A$34,0))&amp;"","")</f>
        <v>2026-09 月例</v>
      </c>
    </row>
    <row r="355" customFormat="false" ht="15" hidden="false" customHeight="false" outlineLevel="0" collapsed="false">
      <c r="A355" s="22" t="s">
        <v>223</v>
      </c>
      <c r="B355" s="23" t="s">
        <v>195</v>
      </c>
      <c r="C355" s="10" t="str">
        <f aca="false">IF(G355="","未受領",IF(G355="なし","報告なし",IF(AL355="○","起票済",IF(OR(AK355="○",F355="一致",F355="入金不要"),"入金確認済","受領済"))))</f>
        <v>未受領</v>
      </c>
      <c r="D355" s="10" t="str">
        <f aca="false">IF(OR(G355="",G355="なし"),"―",IF(CN355="N","対象外",IF(AND(I355="",J355="",K355=""),"標報未入力",IF(CH355&gt;=設定!$B$4,"要確認","問題なし"))))</f>
        <v>―</v>
      </c>
      <c r="E355" s="24" t="str">
        <f aca="false">IF(OR(G355="",G355="なし",CI355="",CJ355=0),"―",IF(CJ355=CI355,"前月同額",IF(CI355=0,"―",IF(ABS(CJ355/CI355-1)&gt;=設定!$B$5,"変動大 "&amp;TEXT(CJ355/CI355-1,"+0%;-0%"),"〇"))))</f>
        <v>―</v>
      </c>
      <c r="F355" s="10" t="str">
        <f aca="false">IF(OR(G355="",G355="なし"),"―",IF(CJ355=0,"入金不要",IF(COUNT(AD355,AF355,AH355,AJ355)=0,IF(AK355="○","手動確認","未入金"),IF(AND(N(AD355)=AC355,IF(AE355="",TRUE(),N(AF355)=AE355),IF(AG355="",TRUE(),N(AH355)=AG355),IF(AI355="",TRUE(),N(AJ355)=AI355)),"一致","不一致"))))</f>
        <v>―</v>
      </c>
      <c r="G355" s="25"/>
      <c r="H355" s="26"/>
      <c r="I355" s="27"/>
      <c r="J355" s="27"/>
      <c r="K355" s="27"/>
      <c r="L355" s="27"/>
      <c r="M355" s="27"/>
      <c r="N355" s="27"/>
      <c r="O355" s="27"/>
      <c r="P355" s="27"/>
      <c r="Q355" s="27"/>
      <c r="R355" s="27"/>
      <c r="S355" s="27"/>
      <c r="T355" s="27"/>
      <c r="U355" s="27"/>
      <c r="V355" s="27"/>
      <c r="W355" s="27"/>
      <c r="X355" s="27"/>
      <c r="Y355" s="27"/>
      <c r="Z355" s="27"/>
      <c r="AA355" s="10" t="str">
        <f aca="false">IFERROR(INDEX(設定!$E$61:$E$106,MATCH(B355,設定!$B$61:$B$106,0)),"合算")</f>
        <v>合算</v>
      </c>
      <c r="AB355" s="28"/>
      <c r="AC355" s="29" t="str">
        <f aca="false">IF(OR(G355="",G355="なし"),"",IF(AA355="合算",CJ355+N(Z355),IF(AA355="掛金・負担金別",(AY355+AZ355+BD355+BF355+BH355),SUM(AY355:BC355))))</f>
        <v/>
      </c>
      <c r="AD355" s="27"/>
      <c r="AE355" s="29" t="str">
        <f aca="false">IF(OR(G355="",G355="なし"),"",IF(AA355="掛金・負担金別",(BA355+BB355+BC355+BE355+BG355+BI355+N(Z355)),IF(AA355="経理区分別",BD355+BE355,"")))</f>
        <v/>
      </c>
      <c r="AF355" s="27"/>
      <c r="AG355" s="29" t="str">
        <f aca="false">IF(OR(G355="",G355="なし"),"",IF(AA355="経理区分別",BF355+BG355,""))</f>
        <v/>
      </c>
      <c r="AH355" s="27"/>
      <c r="AI355" s="29" t="str">
        <f aca="false">IF(OR(G355="",G355="なし"),"",IF(AA355="経理区分別",BH355+BI355+N(Z355),""))</f>
        <v/>
      </c>
      <c r="AJ355" s="27"/>
      <c r="AK355" s="26"/>
      <c r="AL355" s="26"/>
      <c r="AM355" s="30"/>
      <c r="AN355" s="31"/>
      <c r="AO355" s="31"/>
      <c r="AP355" s="31" t="n">
        <v>0</v>
      </c>
      <c r="AQ355" s="31" t="n">
        <v>0</v>
      </c>
      <c r="AR355" s="31" t="n">
        <v>0</v>
      </c>
      <c r="AS355" s="31"/>
      <c r="AT355" s="31" t="n">
        <v>0</v>
      </c>
      <c r="AU355" s="31"/>
      <c r="AV355" s="31" t="n">
        <v>0</v>
      </c>
      <c r="AW355" s="31"/>
      <c r="AX355" s="31" t="n">
        <v>0</v>
      </c>
      <c r="AY355" s="31" t="n">
        <f aca="false">IF($G355="",AN355,O355)</f>
        <v>0</v>
      </c>
      <c r="AZ355" s="31" t="n">
        <f aca="false">IF($G355="",AO355,P355)</f>
        <v>0</v>
      </c>
      <c r="BA355" s="31" t="n">
        <f aca="false">IF($G355="",AP355,T355)</f>
        <v>0</v>
      </c>
      <c r="BB355" s="31" t="n">
        <f aca="false">IF($G355="",AQ355,U355)</f>
        <v>0</v>
      </c>
      <c r="BC355" s="31" t="n">
        <f aca="false">IF($G355="",AR355,V355)</f>
        <v>0</v>
      </c>
      <c r="BD355" s="31" t="n">
        <f aca="false">IF($G355="",AS355,Q355)</f>
        <v>0</v>
      </c>
      <c r="BE355" s="31" t="n">
        <f aca="false">IF($G355="",AT355,W355)</f>
        <v>0</v>
      </c>
      <c r="BF355" s="31" t="n">
        <f aca="false">IF($G355="",AU355,R355)</f>
        <v>0</v>
      </c>
      <c r="BG355" s="31" t="n">
        <f aca="false">IF($G355="",AV355,X355)</f>
        <v>0</v>
      </c>
      <c r="BH355" s="31" t="n">
        <f aca="false">IF($G355="",AW355,S355)</f>
        <v>0</v>
      </c>
      <c r="BI355" s="31" t="n">
        <f aca="false">IF($G355="",AX355,Y355)</f>
        <v>0</v>
      </c>
      <c r="BJ355" s="31" t="n">
        <f aca="false">IF(CK355="N",BR355,ROUNDDOWN((I355-L355)*設定!$B$10/1000,0)+ROUNDDOWN((I355-L355)*設定!$B$11/1000,0))</f>
        <v>0</v>
      </c>
      <c r="BK355" s="31" t="n">
        <f aca="false">ROUNDDOWN((I355-L355)*設定!$C$10/1000,0)+ROUNDDOWN((I355-L355)*設定!$C$11/1000,0)+ROUNDDOWN(I355*設定!$C$12/1000,0)+IF(CL355="市局型",ROUNDDOWN(I355*設定!$C$16/1000,0),0)</f>
        <v>0</v>
      </c>
      <c r="BL355" s="31" t="n">
        <f aca="false">IF(CK355="N",BT355,ROUNDDOWN((J355-M355)*設定!$B$13/1000,0))</f>
        <v>0</v>
      </c>
      <c r="BM355" s="31" t="n">
        <f aca="false">ROUNDDOWN((J355-M355)*設定!$C$13/1000,0)+IF(CL355="市局型",ROUNDDOWN(J355*設定!$C$17/1000,0),0)</f>
        <v>0</v>
      </c>
      <c r="BN355" s="31" t="n">
        <f aca="false">IF(CK355="N",BV355,ROUNDDOWN((K355-N355)*設定!$B$14/1000,0))</f>
        <v>0</v>
      </c>
      <c r="BO355" s="31" t="n">
        <f aca="false">ROUNDDOWN((K355-N355)*設定!$C$14/1000,0)</f>
        <v>0</v>
      </c>
      <c r="BP355" s="31" t="n">
        <f aca="false">IF(CK355="N",BX355,ROUNDDOWN((J355-M355)*設定!$B$15/1000,0))</f>
        <v>0</v>
      </c>
      <c r="BQ355" s="31" t="n">
        <f aca="false">ROUNDDOWN((J355-M355)*設定!$C$15/1000,0)</f>
        <v>0</v>
      </c>
      <c r="BR355" s="31" t="n">
        <f aca="false">O355+P355</f>
        <v>0</v>
      </c>
      <c r="BS355" s="31" t="n">
        <f aca="false">T355+U355+V355</f>
        <v>0</v>
      </c>
      <c r="BT355" s="31" t="n">
        <f aca="false">Q355</f>
        <v>0</v>
      </c>
      <c r="BU355" s="31" t="n">
        <f aca="false">W355</f>
        <v>0</v>
      </c>
      <c r="BV355" s="31" t="n">
        <f aca="false">R355</f>
        <v>0</v>
      </c>
      <c r="BW355" s="31" t="n">
        <f aca="false">X355</f>
        <v>0</v>
      </c>
      <c r="BX355" s="31" t="n">
        <f aca="false">S355</f>
        <v>0</v>
      </c>
      <c r="BY355" s="31" t="n">
        <f aca="false">Y355</f>
        <v>0</v>
      </c>
      <c r="BZ355" s="32" t="n">
        <f aca="false">IF(BJ355=0,IF(BR355=0,0,1),(BR355-BJ355)/BJ355)</f>
        <v>0</v>
      </c>
      <c r="CA355" s="32" t="n">
        <f aca="false">IF(BK355=0,IF(BS355=0,0,1),(BS355-BK355)/BK355)</f>
        <v>0</v>
      </c>
      <c r="CB355" s="32" t="n">
        <f aca="false">IF(BL355=0,IF(BT355=0,0,1),(BT355-BL355)/BL355)</f>
        <v>0</v>
      </c>
      <c r="CC355" s="32" t="n">
        <f aca="false">IF(BM355=0,IF(BU355=0,0,1),(BU355-BM355)/BM355)</f>
        <v>0</v>
      </c>
      <c r="CD355" s="32" t="n">
        <f aca="false">IF(BN355=0,IF(BV355=0,0,1),(BV355-BN355)/BN355)</f>
        <v>0</v>
      </c>
      <c r="CE355" s="32" t="n">
        <f aca="false">IF(BO355=0,IF(BW355=0,0,1),(BW355-BO355)/BO355)</f>
        <v>0</v>
      </c>
      <c r="CF355" s="32" t="n">
        <f aca="false">IF(BP355=0,IF(BX355=0,0,1),(BX355-BP355)/BP355)</f>
        <v>0</v>
      </c>
      <c r="CG355" s="32" t="n">
        <f aca="false">IF(BQ355=0,IF(BY355=0,0,1),(BY355-BQ355)/BQ355)</f>
        <v>0</v>
      </c>
      <c r="CH355" s="32" t="n">
        <f aca="false">MAX(MAX(BZ355:CG355),-MIN(BZ355:CG355))</f>
        <v>-0</v>
      </c>
      <c r="CI355" s="31" t="n">
        <f aca="false">IF(CO355="","",SUMIFS($CJ$7:$CJ$696,$A$7:$A$696,CO355,$B$7:$B$696,B355))</f>
        <v>0</v>
      </c>
      <c r="CJ355" s="31" t="n">
        <f aca="false">SUM(AY355:BI355)</f>
        <v>0</v>
      </c>
      <c r="CK355" s="31" t="str">
        <f aca="false">IFERROR(INDEX(設定!$F$61:$F$106,MATCH(B355,設定!$B$61:$B$106,0)),"Y")</f>
        <v>N</v>
      </c>
      <c r="CL355" s="31" t="str">
        <f aca="false">IFERROR(INDEX(設定!$G$61:$G$106,MATCH(B355,設定!$B$61:$B$106,0)),"外郭型")</f>
        <v>外郭型</v>
      </c>
      <c r="CM355" s="33" t="str">
        <f aca="false">A355&amp;"|"&amp;B355</f>
        <v>2026-10 月例|文化財団　教育委員会</v>
      </c>
      <c r="CN355" s="34" t="str">
        <f aca="false">IFERROR(INDEX(設定!$D$61:$D$106,MATCH(B355,設定!$B$61:$B$106,0)),"Y")</f>
        <v>Y</v>
      </c>
      <c r="CO355" s="34" t="str">
        <f aca="false">IFERROR(INDEX(設定!$D$20:$D$34,MATCH(A355,設定!$A$20:$A$34,0))&amp;"","")</f>
        <v>2026-09 月例</v>
      </c>
    </row>
    <row r="356" customFormat="false" ht="15" hidden="false" customHeight="false" outlineLevel="0" collapsed="false">
      <c r="A356" s="22" t="s">
        <v>223</v>
      </c>
      <c r="B356" s="23" t="s">
        <v>196</v>
      </c>
      <c r="C356" s="10" t="str">
        <f aca="false">IF(G356="","未受領",IF(G356="なし","報告なし",IF(AL356="○","起票済",IF(OR(AK356="○",F356="一致",F356="入金不要"),"入金確認済","受領済"))))</f>
        <v>未受領</v>
      </c>
      <c r="D356" s="10" t="str">
        <f aca="false">IF(OR(G356="",G356="なし"),"―",IF(CN356="N","対象外",IF(AND(I356="",J356="",K356=""),"標報未入力",IF(CH356&gt;=設定!$B$4,"要確認","問題なし"))))</f>
        <v>―</v>
      </c>
      <c r="E356" s="24" t="str">
        <f aca="false">IF(OR(G356="",G356="なし",CI356="",CJ356=0),"―",IF(CJ356=CI356,"前月同額",IF(CI356=0,"―",IF(ABS(CJ356/CI356-1)&gt;=設定!$B$5,"変動大 "&amp;TEXT(CJ356/CI356-1,"+0%;-0%"),"〇"))))</f>
        <v>―</v>
      </c>
      <c r="F356" s="10" t="str">
        <f aca="false">IF(OR(G356="",G356="なし"),"―",IF(CJ356=0,"入金不要",IF(COUNT(AD356,AF356,AH356,AJ356)=0,IF(AK356="○","手動確認","未入金"),IF(AND(N(AD356)=AC356,IF(AE356="",TRUE(),N(AF356)=AE356),IF(AG356="",TRUE(),N(AH356)=AG356),IF(AI356="",TRUE(),N(AJ356)=AI356)),"一致","不一致"))))</f>
        <v>―</v>
      </c>
      <c r="G356" s="25"/>
      <c r="H356" s="26"/>
      <c r="I356" s="27"/>
      <c r="J356" s="27"/>
      <c r="K356" s="27"/>
      <c r="L356" s="27"/>
      <c r="M356" s="27"/>
      <c r="N356" s="27"/>
      <c r="O356" s="27"/>
      <c r="P356" s="27"/>
      <c r="Q356" s="27"/>
      <c r="R356" s="27"/>
      <c r="S356" s="27"/>
      <c r="T356" s="27"/>
      <c r="U356" s="27"/>
      <c r="V356" s="27"/>
      <c r="W356" s="27"/>
      <c r="X356" s="27"/>
      <c r="Y356" s="27"/>
      <c r="Z356" s="27"/>
      <c r="AA356" s="10" t="str">
        <f aca="false">IFERROR(INDEX(設定!$E$61:$E$106,MATCH(B356,設定!$B$61:$B$106,0)),"合算")</f>
        <v>合算</v>
      </c>
      <c r="AB356" s="28"/>
      <c r="AC356" s="29" t="str">
        <f aca="false">IF(OR(G356="",G356="なし"),"",IF(AA356="合算",CJ356+N(Z356),IF(AA356="掛金・負担金別",(AY356+AZ356+BD356+BF356+BH356),SUM(AY356:BC356))))</f>
        <v/>
      </c>
      <c r="AD356" s="27"/>
      <c r="AE356" s="29" t="str">
        <f aca="false">IF(OR(G356="",G356="なし"),"",IF(AA356="掛金・負担金別",(BA356+BB356+BC356+BE356+BG356+BI356+N(Z356)),IF(AA356="経理区分別",BD356+BE356,"")))</f>
        <v/>
      </c>
      <c r="AF356" s="27"/>
      <c r="AG356" s="29" t="str">
        <f aca="false">IF(OR(G356="",G356="なし"),"",IF(AA356="経理区分別",BF356+BG356,""))</f>
        <v/>
      </c>
      <c r="AH356" s="27"/>
      <c r="AI356" s="29" t="str">
        <f aca="false">IF(OR(G356="",G356="なし"),"",IF(AA356="経理区分別",BH356+BI356+N(Z356),""))</f>
        <v/>
      </c>
      <c r="AJ356" s="27"/>
      <c r="AK356" s="26"/>
      <c r="AL356" s="26"/>
      <c r="AM356" s="30"/>
      <c r="AN356" s="31"/>
      <c r="AO356" s="31"/>
      <c r="AP356" s="31" t="n">
        <v>394365</v>
      </c>
      <c r="AQ356" s="31" t="n">
        <v>32325</v>
      </c>
      <c r="AR356" s="31" t="n">
        <v>403</v>
      </c>
      <c r="AS356" s="31"/>
      <c r="AT356" s="31" t="n">
        <v>237523</v>
      </c>
      <c r="AU356" s="31"/>
      <c r="AV356" s="31" t="n">
        <v>34049</v>
      </c>
      <c r="AW356" s="31"/>
      <c r="AX356" s="31" t="n">
        <v>1</v>
      </c>
      <c r="AY356" s="31" t="n">
        <f aca="false">IF($G356="",AN356,O356)</f>
        <v>0</v>
      </c>
      <c r="AZ356" s="31" t="n">
        <f aca="false">IF($G356="",AO356,P356)</f>
        <v>0</v>
      </c>
      <c r="BA356" s="31" t="n">
        <f aca="false">IF($G356="",AP356,T356)</f>
        <v>394365</v>
      </c>
      <c r="BB356" s="31" t="n">
        <f aca="false">IF($G356="",AQ356,U356)</f>
        <v>32325</v>
      </c>
      <c r="BC356" s="31" t="n">
        <f aca="false">IF($G356="",AR356,V356)</f>
        <v>403</v>
      </c>
      <c r="BD356" s="31" t="n">
        <f aca="false">IF($G356="",AS356,Q356)</f>
        <v>0</v>
      </c>
      <c r="BE356" s="31" t="n">
        <f aca="false">IF($G356="",AT356,W356)</f>
        <v>237523</v>
      </c>
      <c r="BF356" s="31" t="n">
        <f aca="false">IF($G356="",AU356,R356)</f>
        <v>0</v>
      </c>
      <c r="BG356" s="31" t="n">
        <f aca="false">IF($G356="",AV356,X356)</f>
        <v>34049</v>
      </c>
      <c r="BH356" s="31" t="n">
        <f aca="false">IF($G356="",AW356,S356)</f>
        <v>0</v>
      </c>
      <c r="BI356" s="31" t="n">
        <f aca="false">IF($G356="",AX356,Y356)</f>
        <v>1</v>
      </c>
      <c r="BJ356" s="31" t="n">
        <f aca="false">IF(CK356="N",BR356,ROUNDDOWN((I356-L356)*設定!$B$10/1000,0)+ROUNDDOWN((I356-L356)*設定!$B$11/1000,0))</f>
        <v>0</v>
      </c>
      <c r="BK356" s="31" t="n">
        <f aca="false">ROUNDDOWN((I356-L356)*設定!$C$10/1000,0)+ROUNDDOWN((I356-L356)*設定!$C$11/1000,0)+ROUNDDOWN(I356*設定!$C$12/1000,0)+IF(CL356="市局型",ROUNDDOWN(I356*設定!$C$16/1000,0),0)</f>
        <v>0</v>
      </c>
      <c r="BL356" s="31" t="n">
        <f aca="false">IF(CK356="N",BT356,ROUNDDOWN((J356-M356)*設定!$B$13/1000,0))</f>
        <v>0</v>
      </c>
      <c r="BM356" s="31" t="n">
        <f aca="false">ROUNDDOWN((J356-M356)*設定!$C$13/1000,0)+IF(CL356="市局型",ROUNDDOWN(J356*設定!$C$17/1000,0),0)</f>
        <v>0</v>
      </c>
      <c r="BN356" s="31" t="n">
        <f aca="false">IF(CK356="N",BV356,ROUNDDOWN((K356-N356)*設定!$B$14/1000,0))</f>
        <v>0</v>
      </c>
      <c r="BO356" s="31" t="n">
        <f aca="false">ROUNDDOWN((K356-N356)*設定!$C$14/1000,0)</f>
        <v>0</v>
      </c>
      <c r="BP356" s="31" t="n">
        <f aca="false">IF(CK356="N",BX356,ROUNDDOWN((J356-M356)*設定!$B$15/1000,0))</f>
        <v>0</v>
      </c>
      <c r="BQ356" s="31" t="n">
        <f aca="false">ROUNDDOWN((J356-M356)*設定!$C$15/1000,0)</f>
        <v>0</v>
      </c>
      <c r="BR356" s="31" t="n">
        <f aca="false">O356+P356</f>
        <v>0</v>
      </c>
      <c r="BS356" s="31" t="n">
        <f aca="false">T356+U356+V356</f>
        <v>0</v>
      </c>
      <c r="BT356" s="31" t="n">
        <f aca="false">Q356</f>
        <v>0</v>
      </c>
      <c r="BU356" s="31" t="n">
        <f aca="false">W356</f>
        <v>0</v>
      </c>
      <c r="BV356" s="31" t="n">
        <f aca="false">R356</f>
        <v>0</v>
      </c>
      <c r="BW356" s="31" t="n">
        <f aca="false">X356</f>
        <v>0</v>
      </c>
      <c r="BX356" s="31" t="n">
        <f aca="false">S356</f>
        <v>0</v>
      </c>
      <c r="BY356" s="31" t="n">
        <f aca="false">Y356</f>
        <v>0</v>
      </c>
      <c r="BZ356" s="32" t="n">
        <f aca="false">IF(BJ356=0,IF(BR356=0,0,1),(BR356-BJ356)/BJ356)</f>
        <v>0</v>
      </c>
      <c r="CA356" s="32" t="n">
        <f aca="false">IF(BK356=0,IF(BS356=0,0,1),(BS356-BK356)/BK356)</f>
        <v>0</v>
      </c>
      <c r="CB356" s="32" t="n">
        <f aca="false">IF(BL356=0,IF(BT356=0,0,1),(BT356-BL356)/BL356)</f>
        <v>0</v>
      </c>
      <c r="CC356" s="32" t="n">
        <f aca="false">IF(BM356=0,IF(BU356=0,0,1),(BU356-BM356)/BM356)</f>
        <v>0</v>
      </c>
      <c r="CD356" s="32" t="n">
        <f aca="false">IF(BN356=0,IF(BV356=0,0,1),(BV356-BN356)/BN356)</f>
        <v>0</v>
      </c>
      <c r="CE356" s="32" t="n">
        <f aca="false">IF(BO356=0,IF(BW356=0,0,1),(BW356-BO356)/BO356)</f>
        <v>0</v>
      </c>
      <c r="CF356" s="32" t="n">
        <f aca="false">IF(BP356=0,IF(BX356=0,0,1),(BX356-BP356)/BP356)</f>
        <v>0</v>
      </c>
      <c r="CG356" s="32" t="n">
        <f aca="false">IF(BQ356=0,IF(BY356=0,0,1),(BY356-BQ356)/BQ356)</f>
        <v>0</v>
      </c>
      <c r="CH356" s="32" t="n">
        <f aca="false">MAX(MAX(BZ356:CG356),-MIN(BZ356:CG356))</f>
        <v>-0</v>
      </c>
      <c r="CI356" s="31" t="n">
        <f aca="false">IF(CO356="","",SUMIFS($CJ$7:$CJ$696,$A$7:$A$696,CO356,$B$7:$B$696,B356))</f>
        <v>721807</v>
      </c>
      <c r="CJ356" s="31" t="n">
        <f aca="false">SUM(AY356:BI356)</f>
        <v>698666</v>
      </c>
      <c r="CK356" s="31" t="str">
        <f aca="false">IFERROR(INDEX(設定!$F$61:$F$106,MATCH(B356,設定!$B$61:$B$106,0)),"Y")</f>
        <v>N</v>
      </c>
      <c r="CL356" s="31" t="str">
        <f aca="false">IFERROR(INDEX(設定!$G$61:$G$106,MATCH(B356,設定!$B$61:$B$106,0)),"外郭型")</f>
        <v>外郭型</v>
      </c>
      <c r="CM356" s="33" t="str">
        <f aca="false">A356&amp;"|"&amp;B356</f>
        <v>2026-10 月例|みどり生きもの協会</v>
      </c>
      <c r="CN356" s="34" t="str">
        <f aca="false">IFERROR(INDEX(設定!$D$61:$D$106,MATCH(B356,設定!$B$61:$B$106,0)),"Y")</f>
        <v>Y</v>
      </c>
      <c r="CO356" s="34" t="str">
        <f aca="false">IFERROR(INDEX(設定!$D$20:$D$34,MATCH(A356,設定!$A$20:$A$34,0))&amp;"","")</f>
        <v>2026-09 月例</v>
      </c>
    </row>
    <row r="357" customFormat="false" ht="15" hidden="false" customHeight="false" outlineLevel="0" collapsed="false">
      <c r="A357" s="22" t="s">
        <v>223</v>
      </c>
      <c r="B357" s="23" t="s">
        <v>197</v>
      </c>
      <c r="C357" s="10" t="str">
        <f aca="false">IF(G357="","未受領",IF(G357="なし","報告なし",IF(AL357="○","起票済",IF(OR(AK357="○",F357="一致",F357="入金不要"),"入金確認済","受領済"))))</f>
        <v>未受領</v>
      </c>
      <c r="D357" s="10" t="str">
        <f aca="false">IF(OR(G357="",G357="なし"),"―",IF(CN357="N","対象外",IF(AND(I357="",J357="",K357=""),"標報未入力",IF(CH357&gt;=設定!$B$4,"要確認","問題なし"))))</f>
        <v>―</v>
      </c>
      <c r="E357" s="24" t="str">
        <f aca="false">IF(OR(G357="",G357="なし",CI357="",CJ357=0),"―",IF(CJ357=CI357,"前月同額",IF(CI357=0,"―",IF(ABS(CJ357/CI357-1)&gt;=設定!$B$5,"変動大 "&amp;TEXT(CJ357/CI357-1,"+0%;-0%"),"〇"))))</f>
        <v>―</v>
      </c>
      <c r="F357" s="10" t="str">
        <f aca="false">IF(OR(G357="",G357="なし"),"―",IF(CJ357=0,"入金不要",IF(COUNT(AD357,AF357,AH357,AJ357)=0,IF(AK357="○","手動確認","未入金"),IF(AND(N(AD357)=AC357,IF(AE357="",TRUE(),N(AF357)=AE357),IF(AG357="",TRUE(),N(AH357)=AG357),IF(AI357="",TRUE(),N(AJ357)=AI357)),"一致","不一致"))))</f>
        <v>―</v>
      </c>
      <c r="G357" s="25"/>
      <c r="H357" s="26"/>
      <c r="I357" s="27"/>
      <c r="J357" s="27"/>
      <c r="K357" s="27"/>
      <c r="L357" s="27"/>
      <c r="M357" s="27"/>
      <c r="N357" s="27"/>
      <c r="O357" s="27"/>
      <c r="P357" s="27"/>
      <c r="Q357" s="27"/>
      <c r="R357" s="27"/>
      <c r="S357" s="27"/>
      <c r="T357" s="27"/>
      <c r="U357" s="27"/>
      <c r="V357" s="27"/>
      <c r="W357" s="27"/>
      <c r="X357" s="27"/>
      <c r="Y357" s="27"/>
      <c r="Z357" s="27"/>
      <c r="AA357" s="10" t="str">
        <f aca="false">IFERROR(INDEX(設定!$E$61:$E$106,MATCH(B357,設定!$B$61:$B$106,0)),"合算")</f>
        <v>合算</v>
      </c>
      <c r="AB357" s="28"/>
      <c r="AC357" s="29" t="str">
        <f aca="false">IF(OR(G357="",G357="なし"),"",IF(AA357="合算",CJ357+N(Z357),IF(AA357="掛金・負担金別",(AY357+AZ357+BD357+BF357+BH357),SUM(AY357:BC357))))</f>
        <v/>
      </c>
      <c r="AD357" s="27"/>
      <c r="AE357" s="29" t="str">
        <f aca="false">IF(OR(G357="",G357="なし"),"",IF(AA357="掛金・負担金別",(BA357+BB357+BC357+BE357+BG357+BI357+N(Z357)),IF(AA357="経理区分別",BD357+BE357,"")))</f>
        <v/>
      </c>
      <c r="AF357" s="27"/>
      <c r="AG357" s="29" t="str">
        <f aca="false">IF(OR(G357="",G357="なし"),"",IF(AA357="経理区分別",BF357+BG357,""))</f>
        <v/>
      </c>
      <c r="AH357" s="27"/>
      <c r="AI357" s="29" t="str">
        <f aca="false">IF(OR(G357="",G357="なし"),"",IF(AA357="経理区分別",BH357+BI357+N(Z357),""))</f>
        <v/>
      </c>
      <c r="AJ357" s="27"/>
      <c r="AK357" s="26"/>
      <c r="AL357" s="26"/>
      <c r="AM357" s="30"/>
      <c r="AN357" s="31" t="n">
        <v>137250</v>
      </c>
      <c r="AO357" s="31" t="n">
        <v>11250</v>
      </c>
      <c r="AP357" s="31" t="n">
        <v>137250</v>
      </c>
      <c r="AQ357" s="31" t="n">
        <v>11250</v>
      </c>
      <c r="AR357" s="31" t="n">
        <v>140</v>
      </c>
      <c r="AS357" s="31" t="n">
        <v>82514</v>
      </c>
      <c r="AT357" s="31" t="n">
        <v>82665</v>
      </c>
      <c r="AU357" s="31" t="n">
        <v>8611</v>
      </c>
      <c r="AV357" s="31" t="n">
        <v>8611</v>
      </c>
      <c r="AW357" s="31" t="n">
        <v>1</v>
      </c>
      <c r="AX357" s="31" t="n">
        <v>1</v>
      </c>
      <c r="AY357" s="31" t="n">
        <f aca="false">IF($G357="",AN357,O357)</f>
        <v>137250</v>
      </c>
      <c r="AZ357" s="31" t="n">
        <f aca="false">IF($G357="",AO357,P357)</f>
        <v>11250</v>
      </c>
      <c r="BA357" s="31" t="n">
        <f aca="false">IF($G357="",AP357,T357)</f>
        <v>137250</v>
      </c>
      <c r="BB357" s="31" t="n">
        <f aca="false">IF($G357="",AQ357,U357)</f>
        <v>11250</v>
      </c>
      <c r="BC357" s="31" t="n">
        <f aca="false">IF($G357="",AR357,V357)</f>
        <v>140</v>
      </c>
      <c r="BD357" s="31" t="n">
        <f aca="false">IF($G357="",AS357,Q357)</f>
        <v>82514</v>
      </c>
      <c r="BE357" s="31" t="n">
        <f aca="false">IF($G357="",AT357,W357)</f>
        <v>82665</v>
      </c>
      <c r="BF357" s="31" t="n">
        <f aca="false">IF($G357="",AU357,R357)</f>
        <v>8611</v>
      </c>
      <c r="BG357" s="31" t="n">
        <f aca="false">IF($G357="",AV357,X357)</f>
        <v>8611</v>
      </c>
      <c r="BH357" s="31" t="n">
        <f aca="false">IF($G357="",AW357,S357)</f>
        <v>1</v>
      </c>
      <c r="BI357" s="31" t="n">
        <f aca="false">IF($G357="",AX357,Y357)</f>
        <v>1</v>
      </c>
      <c r="BJ357" s="31" t="n">
        <f aca="false">IF(CK357="N",BR357,ROUNDDOWN((I357-L357)*設定!$B$10/1000,0)+ROUNDDOWN((I357-L357)*設定!$B$11/1000,0))</f>
        <v>0</v>
      </c>
      <c r="BK357" s="31" t="n">
        <f aca="false">ROUNDDOWN((I357-L357)*設定!$C$10/1000,0)+ROUNDDOWN((I357-L357)*設定!$C$11/1000,0)+ROUNDDOWN(I357*設定!$C$12/1000,0)+IF(CL357="市局型",ROUNDDOWN(I357*設定!$C$16/1000,0),0)</f>
        <v>0</v>
      </c>
      <c r="BL357" s="31" t="n">
        <f aca="false">IF(CK357="N",BT357,ROUNDDOWN((J357-M357)*設定!$B$13/1000,0))</f>
        <v>0</v>
      </c>
      <c r="BM357" s="31" t="n">
        <f aca="false">ROUNDDOWN((J357-M357)*設定!$C$13/1000,0)+IF(CL357="市局型",ROUNDDOWN(J357*設定!$C$17/1000,0),0)</f>
        <v>0</v>
      </c>
      <c r="BN357" s="31" t="n">
        <f aca="false">IF(CK357="N",BV357,ROUNDDOWN((K357-N357)*設定!$B$14/1000,0))</f>
        <v>0</v>
      </c>
      <c r="BO357" s="31" t="n">
        <f aca="false">ROUNDDOWN((K357-N357)*設定!$C$14/1000,0)</f>
        <v>0</v>
      </c>
      <c r="BP357" s="31" t="n">
        <f aca="false">IF(CK357="N",BX357,ROUNDDOWN((J357-M357)*設定!$B$15/1000,0))</f>
        <v>0</v>
      </c>
      <c r="BQ357" s="31" t="n">
        <f aca="false">ROUNDDOWN((J357-M357)*設定!$C$15/1000,0)</f>
        <v>0</v>
      </c>
      <c r="BR357" s="31" t="n">
        <f aca="false">O357+P357</f>
        <v>0</v>
      </c>
      <c r="BS357" s="31" t="n">
        <f aca="false">T357+U357+V357</f>
        <v>0</v>
      </c>
      <c r="BT357" s="31" t="n">
        <f aca="false">Q357</f>
        <v>0</v>
      </c>
      <c r="BU357" s="31" t="n">
        <f aca="false">W357</f>
        <v>0</v>
      </c>
      <c r="BV357" s="31" t="n">
        <f aca="false">R357</f>
        <v>0</v>
      </c>
      <c r="BW357" s="31" t="n">
        <f aca="false">X357</f>
        <v>0</v>
      </c>
      <c r="BX357" s="31" t="n">
        <f aca="false">S357</f>
        <v>0</v>
      </c>
      <c r="BY357" s="31" t="n">
        <f aca="false">Y357</f>
        <v>0</v>
      </c>
      <c r="BZ357" s="32" t="n">
        <f aca="false">IF(BJ357=0,IF(BR357=0,0,1),(BR357-BJ357)/BJ357)</f>
        <v>0</v>
      </c>
      <c r="CA357" s="32" t="n">
        <f aca="false">IF(BK357=0,IF(BS357=0,0,1),(BS357-BK357)/BK357)</f>
        <v>0</v>
      </c>
      <c r="CB357" s="32" t="n">
        <f aca="false">IF(BL357=0,IF(BT357=0,0,1),(BT357-BL357)/BL357)</f>
        <v>0</v>
      </c>
      <c r="CC357" s="32" t="n">
        <f aca="false">IF(BM357=0,IF(BU357=0,0,1),(BU357-BM357)/BM357)</f>
        <v>0</v>
      </c>
      <c r="CD357" s="32" t="n">
        <f aca="false">IF(BN357=0,IF(BV357=0,0,1),(BV357-BN357)/BN357)</f>
        <v>0</v>
      </c>
      <c r="CE357" s="32" t="n">
        <f aca="false">IF(BO357=0,IF(BW357=0,0,1),(BW357-BO357)/BO357)</f>
        <v>0</v>
      </c>
      <c r="CF357" s="32" t="n">
        <f aca="false">IF(BP357=0,IF(BX357=0,0,1),(BX357-BP357)/BP357)</f>
        <v>0</v>
      </c>
      <c r="CG357" s="32" t="n">
        <f aca="false">IF(BQ357=0,IF(BY357=0,0,1),(BY357-BQ357)/BQ357)</f>
        <v>0</v>
      </c>
      <c r="CH357" s="32" t="n">
        <f aca="false">MAX(MAX(BZ357:CG357),-MIN(BZ357:CG357))</f>
        <v>-0</v>
      </c>
      <c r="CI357" s="31" t="n">
        <f aca="false">IF(CO357="","",SUMIFS($CJ$7:$CJ$696,$A$7:$A$696,CO357,$B$7:$B$696,B357))</f>
        <v>511375</v>
      </c>
      <c r="CJ357" s="31" t="n">
        <f aca="false">SUM(AY357:BI357)</f>
        <v>479543</v>
      </c>
      <c r="CK357" s="31" t="str">
        <f aca="false">IFERROR(INDEX(設定!$F$61:$F$106,MATCH(B357,設定!$B$61:$B$106,0)),"Y")</f>
        <v>Y</v>
      </c>
      <c r="CL357" s="31" t="str">
        <f aca="false">IFERROR(INDEX(設定!$G$61:$G$106,MATCH(B357,設定!$B$61:$B$106,0)),"外郭型")</f>
        <v>外郭型</v>
      </c>
      <c r="CM357" s="33" t="str">
        <f aca="false">A357&amp;"|"&amp;B357</f>
        <v>2026-10 月例|県下水道公社</v>
      </c>
      <c r="CN357" s="34" t="str">
        <f aca="false">IFERROR(INDEX(設定!$D$61:$D$106,MATCH(B357,設定!$B$61:$B$106,0)),"Y")</f>
        <v>Y</v>
      </c>
      <c r="CO357" s="34" t="str">
        <f aca="false">IFERROR(INDEX(設定!$D$20:$D$34,MATCH(A357,設定!$A$20:$A$34,0))&amp;"","")</f>
        <v>2026-09 月例</v>
      </c>
    </row>
    <row r="358" customFormat="false" ht="26.85" hidden="false" customHeight="false" outlineLevel="0" collapsed="false">
      <c r="A358" s="22" t="s">
        <v>223</v>
      </c>
      <c r="B358" s="35" t="s">
        <v>198</v>
      </c>
      <c r="C358" s="10" t="str">
        <f aca="false">IF(G358="","未受領",IF(G358="なし","報告なし",IF(AL358="○","起票済",IF(OR(AK358="○",F358="一致",F358="入金不要"),"入金確認済","受領済"))))</f>
        <v>未受領</v>
      </c>
      <c r="D358" s="10" t="str">
        <f aca="false">IF(OR(G358="",G358="なし"),"―",IF(CN358="N","対象外",IF(AND(I358="",J358="",K358=""),"標報未入力",IF(CH358&gt;=設定!$B$4,"要確認","問題なし"))))</f>
        <v>―</v>
      </c>
      <c r="E358" s="24" t="str">
        <f aca="false">IF(OR(G358="",G358="なし",CI358="",CJ358=0),"―",IF(CJ358=CI358,"前月同額",IF(CI358=0,"―",IF(ABS(CJ358/CI358-1)&gt;=設定!$B$5,"変動大 "&amp;TEXT(CJ358/CI358-1,"+0%;-0%"),"〇"))))</f>
        <v>―</v>
      </c>
      <c r="F358" s="10" t="str">
        <f aca="false">IF(OR(G358="",G358="なし"),"―",IF(CJ358=0,"入金不要",IF(COUNT(AD358,AF358,AH358,AJ358)=0,IF(AK358="○","手動確認","未入金"),IF(AND(N(AD358)=AC358,IF(AE358="",TRUE(),N(AF358)=AE358),IF(AG358="",TRUE(),N(AH358)=AG358),IF(AI358="",TRUE(),N(AJ358)=AI358)),"一致","不一致"))))</f>
        <v>―</v>
      </c>
      <c r="G358" s="25"/>
      <c r="H358" s="26"/>
      <c r="I358" s="27"/>
      <c r="J358" s="27"/>
      <c r="K358" s="27"/>
      <c r="L358" s="27"/>
      <c r="M358" s="27"/>
      <c r="N358" s="27"/>
      <c r="O358" s="27"/>
      <c r="P358" s="27"/>
      <c r="Q358" s="27"/>
      <c r="R358" s="27"/>
      <c r="S358" s="27"/>
      <c r="T358" s="27"/>
      <c r="U358" s="27"/>
      <c r="V358" s="27"/>
      <c r="W358" s="27"/>
      <c r="X358" s="27"/>
      <c r="Y358" s="27"/>
      <c r="Z358" s="27"/>
      <c r="AA358" s="10" t="str">
        <f aca="false">IFERROR(INDEX(設定!$E$61:$E$106,MATCH(B358,設定!$B$61:$B$106,0)),"合算")</f>
        <v>合算</v>
      </c>
      <c r="AB358" s="28"/>
      <c r="AC358" s="29" t="str">
        <f aca="false">IF(OR(G358="",G358="なし"),"",IF(AA358="合算",CJ358+N(Z358),IF(AA358="掛金・負担金別",(AY358+AZ358+BD358+BF358+BH358),SUM(AY358:BC358))))</f>
        <v/>
      </c>
      <c r="AD358" s="27"/>
      <c r="AE358" s="29" t="str">
        <f aca="false">IF(OR(G358="",G358="なし"),"",IF(AA358="掛金・負担金別",(BA358+BB358+BC358+BE358+BG358+BI358+N(Z358)),IF(AA358="経理区分別",BD358+BE358,"")))</f>
        <v/>
      </c>
      <c r="AF358" s="27"/>
      <c r="AG358" s="29" t="str">
        <f aca="false">IF(OR(G358="",G358="なし"),"",IF(AA358="経理区分別",BF358+BG358,""))</f>
        <v/>
      </c>
      <c r="AH358" s="27"/>
      <c r="AI358" s="29" t="str">
        <f aca="false">IF(OR(G358="",G358="なし"),"",IF(AA358="経理区分別",BH358+BI358+N(Z358),""))</f>
        <v/>
      </c>
      <c r="AJ358" s="27"/>
      <c r="AK358" s="26"/>
      <c r="AL358" s="26"/>
      <c r="AM358" s="30"/>
      <c r="AN358" s="31"/>
      <c r="AO358" s="31"/>
      <c r="AP358" s="31" t="n">
        <v>472140</v>
      </c>
      <c r="AQ358" s="31" t="n">
        <v>38700</v>
      </c>
      <c r="AR358" s="31" t="n">
        <v>484</v>
      </c>
      <c r="AS358" s="31"/>
      <c r="AT358" s="31" t="n">
        <v>289878</v>
      </c>
      <c r="AU358" s="31"/>
      <c r="AV358" s="31" t="n">
        <v>25517</v>
      </c>
      <c r="AW358" s="31"/>
      <c r="AX358" s="31" t="n">
        <v>1</v>
      </c>
      <c r="AY358" s="31" t="n">
        <f aca="false">IF($G358="",AN358,O358)</f>
        <v>0</v>
      </c>
      <c r="AZ358" s="31" t="n">
        <f aca="false">IF($G358="",AO358,P358)</f>
        <v>0</v>
      </c>
      <c r="BA358" s="31" t="n">
        <f aca="false">IF($G358="",AP358,T358)</f>
        <v>472140</v>
      </c>
      <c r="BB358" s="31" t="n">
        <f aca="false">IF($G358="",AQ358,U358)</f>
        <v>38700</v>
      </c>
      <c r="BC358" s="31" t="n">
        <f aca="false">IF($G358="",AR358,V358)</f>
        <v>484</v>
      </c>
      <c r="BD358" s="31" t="n">
        <f aca="false">IF($G358="",AS358,Q358)</f>
        <v>0</v>
      </c>
      <c r="BE358" s="31" t="n">
        <f aca="false">IF($G358="",AT358,W358)</f>
        <v>289878</v>
      </c>
      <c r="BF358" s="31" t="n">
        <f aca="false">IF($G358="",AU358,R358)</f>
        <v>0</v>
      </c>
      <c r="BG358" s="31" t="n">
        <f aca="false">IF($G358="",AV358,X358)</f>
        <v>25517</v>
      </c>
      <c r="BH358" s="31" t="n">
        <f aca="false">IF($G358="",AW358,S358)</f>
        <v>0</v>
      </c>
      <c r="BI358" s="31" t="n">
        <f aca="false">IF($G358="",AX358,Y358)</f>
        <v>1</v>
      </c>
      <c r="BJ358" s="31" t="n">
        <f aca="false">IF(CK358="N",BR358,ROUNDDOWN((I358-L358)*設定!$B$10/1000,0)+ROUNDDOWN((I358-L358)*設定!$B$11/1000,0))</f>
        <v>0</v>
      </c>
      <c r="BK358" s="31" t="n">
        <f aca="false">ROUNDDOWN((I358-L358)*設定!$C$10/1000,0)+ROUNDDOWN((I358-L358)*設定!$C$11/1000,0)+ROUNDDOWN(I358*設定!$C$12/1000,0)+IF(CL358="市局型",ROUNDDOWN(I358*設定!$C$16/1000,0),0)</f>
        <v>0</v>
      </c>
      <c r="BL358" s="31" t="n">
        <f aca="false">IF(CK358="N",BT358,ROUNDDOWN((J358-M358)*設定!$B$13/1000,0))</f>
        <v>0</v>
      </c>
      <c r="BM358" s="31" t="n">
        <f aca="false">ROUNDDOWN((J358-M358)*設定!$C$13/1000,0)+IF(CL358="市局型",ROUNDDOWN(J358*設定!$C$17/1000,0),0)</f>
        <v>0</v>
      </c>
      <c r="BN358" s="31" t="n">
        <f aca="false">IF(CK358="N",BV358,ROUNDDOWN((K358-N358)*設定!$B$14/1000,0))</f>
        <v>0</v>
      </c>
      <c r="BO358" s="31" t="n">
        <f aca="false">ROUNDDOWN((K358-N358)*設定!$C$14/1000,0)</f>
        <v>0</v>
      </c>
      <c r="BP358" s="31" t="n">
        <f aca="false">IF(CK358="N",BX358,ROUNDDOWN((J358-M358)*設定!$B$15/1000,0))</f>
        <v>0</v>
      </c>
      <c r="BQ358" s="31" t="n">
        <f aca="false">ROUNDDOWN((J358-M358)*設定!$C$15/1000,0)</f>
        <v>0</v>
      </c>
      <c r="BR358" s="31" t="n">
        <f aca="false">O358+P358</f>
        <v>0</v>
      </c>
      <c r="BS358" s="31" t="n">
        <f aca="false">T358+U358+V358</f>
        <v>0</v>
      </c>
      <c r="BT358" s="31" t="n">
        <f aca="false">Q358</f>
        <v>0</v>
      </c>
      <c r="BU358" s="31" t="n">
        <f aca="false">W358</f>
        <v>0</v>
      </c>
      <c r="BV358" s="31" t="n">
        <f aca="false">R358</f>
        <v>0</v>
      </c>
      <c r="BW358" s="31" t="n">
        <f aca="false">X358</f>
        <v>0</v>
      </c>
      <c r="BX358" s="31" t="n">
        <f aca="false">S358</f>
        <v>0</v>
      </c>
      <c r="BY358" s="31" t="n">
        <f aca="false">Y358</f>
        <v>0</v>
      </c>
      <c r="BZ358" s="32" t="n">
        <f aca="false">IF(BJ358=0,IF(BR358=0,0,1),(BR358-BJ358)/BJ358)</f>
        <v>0</v>
      </c>
      <c r="CA358" s="32" t="n">
        <f aca="false">IF(BK358=0,IF(BS358=0,0,1),(BS358-BK358)/BK358)</f>
        <v>0</v>
      </c>
      <c r="CB358" s="32" t="n">
        <f aca="false">IF(BL358=0,IF(BT358=0,0,1),(BT358-BL358)/BL358)</f>
        <v>0</v>
      </c>
      <c r="CC358" s="32" t="n">
        <f aca="false">IF(BM358=0,IF(BU358=0,0,1),(BU358-BM358)/BM358)</f>
        <v>0</v>
      </c>
      <c r="CD358" s="32" t="n">
        <f aca="false">IF(BN358=0,IF(BV358=0,0,1),(BV358-BN358)/BN358)</f>
        <v>0</v>
      </c>
      <c r="CE358" s="32" t="n">
        <f aca="false">IF(BO358=0,IF(BW358=0,0,1),(BW358-BO358)/BO358)</f>
        <v>0</v>
      </c>
      <c r="CF358" s="32" t="n">
        <f aca="false">IF(BP358=0,IF(BX358=0,0,1),(BX358-BP358)/BP358)</f>
        <v>0</v>
      </c>
      <c r="CG358" s="32" t="n">
        <f aca="false">IF(BQ358=0,IF(BY358=0,0,1),(BY358-BQ358)/BQ358)</f>
        <v>0</v>
      </c>
      <c r="CH358" s="32" t="n">
        <f aca="false">MAX(MAX(BZ358:CG358),-MIN(BZ358:CG358))</f>
        <v>-0</v>
      </c>
      <c r="CI358" s="31" t="n">
        <f aca="false">IF(CO358="","",SUMIFS($CJ$7:$CJ$696,$A$7:$A$696,CO358,$B$7:$B$696,B358))</f>
        <v>770235</v>
      </c>
      <c r="CJ358" s="31" t="n">
        <f aca="false">SUM(AY358:BI358)</f>
        <v>826720</v>
      </c>
      <c r="CK358" s="31" t="str">
        <f aca="false">IFERROR(INDEX(設定!$F$61:$F$106,MATCH(B358,設定!$B$61:$B$106,0)),"Y")</f>
        <v>N</v>
      </c>
      <c r="CL358" s="31" t="str">
        <f aca="false">IFERROR(INDEX(設定!$G$61:$G$106,MATCH(B358,設定!$B$61:$B$106,0)),"外郭型")</f>
        <v>外郭型</v>
      </c>
      <c r="CM358" s="36" t="str">
        <f aca="false">A358&amp;"|"&amp;B358</f>
        <v>2026-10 月例|バス協調・共創
プラットフォーム</v>
      </c>
      <c r="CN358" s="34" t="str">
        <f aca="false">IFERROR(INDEX(設定!$D$61:$D$106,MATCH(B358,設定!$B$61:$B$106,0)),"Y")</f>
        <v>Y</v>
      </c>
      <c r="CO358" s="34" t="str">
        <f aca="false">IFERROR(INDEX(設定!$D$20:$D$34,MATCH(A358,設定!$A$20:$A$34,0))&amp;"","")</f>
        <v>2026-09 月例</v>
      </c>
    </row>
    <row r="359" customFormat="false" ht="15" hidden="false" customHeight="false" outlineLevel="0" collapsed="false">
      <c r="A359" s="22" t="s">
        <v>223</v>
      </c>
      <c r="B359" s="23" t="s">
        <v>199</v>
      </c>
      <c r="C359" s="10" t="str">
        <f aca="false">IF(G359="","未受領",IF(G359="なし","報告なし",IF(AL359="○","起票済",IF(OR(AK359="○",F359="一致",F359="入金不要"),"入金確認済","受領済"))))</f>
        <v>受領済</v>
      </c>
      <c r="D359" s="10" t="str">
        <f aca="false">IF(OR(G359="",G359="なし"),"―",IF(CN359="N","対象外",IF(AND(I359="",J359="",K359=""),"標報未入力",IF(CH359&gt;=設定!$B$4,"要確認","問題なし"))))</f>
        <v>標報未入力</v>
      </c>
      <c r="E359" s="24" t="str">
        <f aca="false">IF(OR(G359="",G359="なし",CI359="",CJ359=0),"―",IF(CJ359=CI359,"前月同額",IF(CI359=0,"―",IF(ABS(CJ359/CI359-1)&gt;=設定!$B$5,"変動大 "&amp;TEXT(CJ359/CI359-1,"+0%;-0%"),"〇"))))</f>
        <v>前月同額</v>
      </c>
      <c r="F359" s="10" t="str">
        <f aca="false">IF(OR(G359="",G359="なし"),"―",IF(CJ359=0,"入金不要",IF(COUNT(AD359,AF359,AH359,AJ359)=0,IF(AK359="○","手動確認","未入金"),IF(AND(N(AD359)=AC359,IF(AE359="",TRUE(),N(AF359)=AE359),IF(AG359="",TRUE(),N(AH359)=AG359),IF(AI359="",TRUE(),N(AJ359)=AI359)),"一致","不一致"))))</f>
        <v>未入金</v>
      </c>
      <c r="G359" s="25" t="s">
        <v>167</v>
      </c>
      <c r="H359" s="26"/>
      <c r="I359" s="27"/>
      <c r="J359" s="27"/>
      <c r="K359" s="27"/>
      <c r="L359" s="27"/>
      <c r="M359" s="27"/>
      <c r="N359" s="27"/>
      <c r="O359" s="27" t="n">
        <v>53985</v>
      </c>
      <c r="P359" s="27" t="n">
        <v>4425</v>
      </c>
      <c r="Q359" s="27" t="n">
        <v>30597</v>
      </c>
      <c r="R359" s="27" t="n">
        <v>4661</v>
      </c>
      <c r="S359" s="27" t="n">
        <v>678</v>
      </c>
      <c r="T359" s="27" t="n">
        <v>53985</v>
      </c>
      <c r="U359" s="27" t="n">
        <v>4425</v>
      </c>
      <c r="V359" s="27" t="n">
        <v>51</v>
      </c>
      <c r="W359" s="27" t="n">
        <v>30626</v>
      </c>
      <c r="X359" s="27" t="n">
        <v>4661</v>
      </c>
      <c r="Y359" s="27" t="n">
        <v>678</v>
      </c>
      <c r="Z359" s="27"/>
      <c r="AA359" s="10" t="str">
        <f aca="false">IFERROR(INDEX(設定!$E$61:$E$106,MATCH(B359,設定!$B$61:$B$106,0)),"合算")</f>
        <v>合算</v>
      </c>
      <c r="AB359" s="28"/>
      <c r="AC359" s="29" t="n">
        <f aca="false">IF(OR(G359="",G359="なし"),"",IF(AA359="合算",CJ359+N(Z359),IF(AA359="掛金・負担金別",(AY359+AZ359+BD359+BF359+BH359),SUM(AY359:BC359))))</f>
        <v>188772</v>
      </c>
      <c r="AD359" s="27"/>
      <c r="AE359" s="29" t="str">
        <f aca="false">IF(OR(G359="",G359="なし"),"",IF(AA359="掛金・負担金別",(BA359+BB359+BC359+BE359+BG359+BI359+N(Z359)),IF(AA359="経理区分別",BD359+BE359,"")))</f>
        <v/>
      </c>
      <c r="AF359" s="27"/>
      <c r="AG359" s="29" t="str">
        <f aca="false">IF(OR(G359="",G359="なし"),"",IF(AA359="経理区分別",BF359+BG359,""))</f>
        <v/>
      </c>
      <c r="AH359" s="27"/>
      <c r="AI359" s="29" t="str">
        <f aca="false">IF(OR(G359="",G359="なし"),"",IF(AA359="経理区分別",BH359+BI359+N(Z359),""))</f>
        <v/>
      </c>
      <c r="AJ359" s="27"/>
      <c r="AK359" s="26"/>
      <c r="AL359" s="26"/>
      <c r="AM359" s="30"/>
      <c r="AN359" s="31"/>
      <c r="AO359" s="31"/>
      <c r="AP359" s="31"/>
      <c r="AQ359" s="31"/>
      <c r="AR359" s="31"/>
      <c r="AS359" s="31"/>
      <c r="AT359" s="31"/>
      <c r="AU359" s="31"/>
      <c r="AV359" s="31"/>
      <c r="AW359" s="31"/>
      <c r="AX359" s="31"/>
      <c r="AY359" s="31" t="n">
        <f aca="false">IF($G359="",AN359,O359)</f>
        <v>53985</v>
      </c>
      <c r="AZ359" s="31" t="n">
        <f aca="false">IF($G359="",AO359,P359)</f>
        <v>4425</v>
      </c>
      <c r="BA359" s="31" t="n">
        <f aca="false">IF($G359="",AP359,T359)</f>
        <v>53985</v>
      </c>
      <c r="BB359" s="31" t="n">
        <f aca="false">IF($G359="",AQ359,U359)</f>
        <v>4425</v>
      </c>
      <c r="BC359" s="31" t="n">
        <f aca="false">IF($G359="",AR359,V359)</f>
        <v>51</v>
      </c>
      <c r="BD359" s="31" t="n">
        <f aca="false">IF($G359="",AS359,Q359)</f>
        <v>30597</v>
      </c>
      <c r="BE359" s="31" t="n">
        <f aca="false">IF($G359="",AT359,W359)</f>
        <v>30626</v>
      </c>
      <c r="BF359" s="31" t="n">
        <f aca="false">IF($G359="",AU359,R359)</f>
        <v>4661</v>
      </c>
      <c r="BG359" s="31" t="n">
        <f aca="false">IF($G359="",AV359,X359)</f>
        <v>4661</v>
      </c>
      <c r="BH359" s="31" t="n">
        <f aca="false">IF($G359="",AW359,S359)</f>
        <v>678</v>
      </c>
      <c r="BI359" s="31" t="n">
        <f aca="false">IF($G359="",AX359,Y359)</f>
        <v>678</v>
      </c>
      <c r="BJ359" s="31" t="n">
        <f aca="false">IF(CK359="N",BR359,ROUNDDOWN((I359-L359)*設定!$B$10/1000,0)+ROUNDDOWN((I359-L359)*設定!$B$11/1000,0))</f>
        <v>0</v>
      </c>
      <c r="BK359" s="31" t="n">
        <f aca="false">ROUNDDOWN((I359-L359)*設定!$C$10/1000,0)+ROUNDDOWN((I359-L359)*設定!$C$11/1000,0)+ROUNDDOWN(I359*設定!$C$12/1000,0)+IF(CL359="市局型",ROUNDDOWN(I359*設定!$C$16/1000,0),0)</f>
        <v>0</v>
      </c>
      <c r="BL359" s="31" t="n">
        <f aca="false">IF(CK359="N",BT359,ROUNDDOWN((J359-M359)*設定!$B$13/1000,0))</f>
        <v>0</v>
      </c>
      <c r="BM359" s="31" t="n">
        <f aca="false">ROUNDDOWN((J359-M359)*設定!$C$13/1000,0)+IF(CL359="市局型",ROUNDDOWN(J359*設定!$C$17/1000,0),0)</f>
        <v>0</v>
      </c>
      <c r="BN359" s="31" t="n">
        <f aca="false">IF(CK359="N",BV359,ROUNDDOWN((K359-N359)*設定!$B$14/1000,0))</f>
        <v>0</v>
      </c>
      <c r="BO359" s="31" t="n">
        <f aca="false">ROUNDDOWN((K359-N359)*設定!$C$14/1000,0)</f>
        <v>0</v>
      </c>
      <c r="BP359" s="31" t="n">
        <f aca="false">IF(CK359="N",BX359,ROUNDDOWN((J359-M359)*設定!$B$15/1000,0))</f>
        <v>0</v>
      </c>
      <c r="BQ359" s="31" t="n">
        <f aca="false">ROUNDDOWN((J359-M359)*設定!$C$15/1000,0)</f>
        <v>0</v>
      </c>
      <c r="BR359" s="31" t="n">
        <f aca="false">O359+P359</f>
        <v>58410</v>
      </c>
      <c r="BS359" s="31" t="n">
        <f aca="false">T359+U359+V359</f>
        <v>58461</v>
      </c>
      <c r="BT359" s="31" t="n">
        <f aca="false">Q359</f>
        <v>30597</v>
      </c>
      <c r="BU359" s="31" t="n">
        <f aca="false">W359</f>
        <v>30626</v>
      </c>
      <c r="BV359" s="31" t="n">
        <f aca="false">R359</f>
        <v>4661</v>
      </c>
      <c r="BW359" s="31" t="n">
        <f aca="false">X359</f>
        <v>4661</v>
      </c>
      <c r="BX359" s="31" t="n">
        <f aca="false">S359</f>
        <v>678</v>
      </c>
      <c r="BY359" s="31" t="n">
        <f aca="false">Y359</f>
        <v>678</v>
      </c>
      <c r="BZ359" s="32" t="n">
        <f aca="false">IF(BJ359=0,IF(BR359=0,0,1),(BR359-BJ359)/BJ359)</f>
        <v>1</v>
      </c>
      <c r="CA359" s="32" t="n">
        <f aca="false">IF(BK359=0,IF(BS359=0,0,1),(BS359-BK359)/BK359)</f>
        <v>1</v>
      </c>
      <c r="CB359" s="32" t="n">
        <f aca="false">IF(BL359=0,IF(BT359=0,0,1),(BT359-BL359)/BL359)</f>
        <v>1</v>
      </c>
      <c r="CC359" s="32" t="n">
        <f aca="false">IF(BM359=0,IF(BU359=0,0,1),(BU359-BM359)/BM359)</f>
        <v>1</v>
      </c>
      <c r="CD359" s="32" t="n">
        <f aca="false">IF(BN359=0,IF(BV359=0,0,1),(BV359-BN359)/BN359)</f>
        <v>1</v>
      </c>
      <c r="CE359" s="32" t="n">
        <f aca="false">IF(BO359=0,IF(BW359=0,0,1),(BW359-BO359)/BO359)</f>
        <v>1</v>
      </c>
      <c r="CF359" s="32" t="n">
        <f aca="false">IF(BP359=0,IF(BX359=0,0,1),(BX359-BP359)/BP359)</f>
        <v>1</v>
      </c>
      <c r="CG359" s="32" t="n">
        <f aca="false">IF(BQ359=0,IF(BY359=0,0,1),(BY359-BQ359)/BQ359)</f>
        <v>1</v>
      </c>
      <c r="CH359" s="32" t="n">
        <f aca="false">MAX(MAX(BZ359:CG359),-MIN(BZ359:CG359))</f>
        <v>1</v>
      </c>
      <c r="CI359" s="31" t="n">
        <f aca="false">IF(CO359="","",SUMIFS($CJ$7:$CJ$696,$A$7:$A$696,CO359,$B$7:$B$696,B359))</f>
        <v>188772</v>
      </c>
      <c r="CJ359" s="31" t="n">
        <f aca="false">SUM(AY359:BI359)</f>
        <v>188772</v>
      </c>
      <c r="CK359" s="31" t="str">
        <f aca="false">IFERROR(INDEX(設定!$F$61:$F$106,MATCH(B359,設定!$B$61:$B$106,0)),"Y")</f>
        <v>Y</v>
      </c>
      <c r="CL359" s="31" t="str">
        <f aca="false">IFERROR(INDEX(設定!$G$61:$G$106,MATCH(B359,設定!$B$61:$B$106,0)),"外郭型")</f>
        <v>外郭型</v>
      </c>
      <c r="CM359" s="33" t="str">
        <f aca="false">A359&amp;"|"&amp;B359</f>
        <v>2026-10 月例|広島県市長会</v>
      </c>
      <c r="CN359" s="34" t="str">
        <f aca="false">IFERROR(INDEX(設定!$D$61:$D$106,MATCH(B359,設定!$B$61:$B$106,0)),"Y")</f>
        <v>Y</v>
      </c>
      <c r="CO359" s="34" t="str">
        <f aca="false">IFERROR(INDEX(設定!$D$20:$D$34,MATCH(A359,設定!$A$20:$A$34,0))&amp;"","")</f>
        <v>2026-09 月例</v>
      </c>
    </row>
    <row r="360" customFormat="false" ht="15" hidden="false" customHeight="false" outlineLevel="0" collapsed="false">
      <c r="A360" s="22" t="s">
        <v>223</v>
      </c>
      <c r="B360" s="23" t="s">
        <v>200</v>
      </c>
      <c r="C360" s="10" t="str">
        <f aca="false">IF(G360="","未受領",IF(G360="なし","報告なし",IF(AL360="○","起票済",IF(OR(AK360="○",F360="一致",F360="入金不要"),"入金確認済","受領済"))))</f>
        <v>受領済</v>
      </c>
      <c r="D360" s="10" t="str">
        <f aca="false">IF(OR(G360="",G360="なし"),"―",IF(CN360="N","対象外",IF(AND(I360="",J360="",K360=""),"標報未入力",IF(CH360&gt;=設定!$B$4,"要確認","問題なし"))))</f>
        <v>標報未入力</v>
      </c>
      <c r="E360" s="24" t="str">
        <f aca="false">IF(OR(G360="",G360="なし",CI360="",CJ360=0),"―",IF(CJ360=CI360,"前月同額",IF(CI360=0,"―",IF(ABS(CJ360/CI360-1)&gt;=設定!$B$5,"変動大 "&amp;TEXT(CJ360/CI360-1,"+0%;-0%"),"〇"))))</f>
        <v>前月同額</v>
      </c>
      <c r="F360" s="10" t="str">
        <f aca="false">IF(OR(G360="",G360="なし"),"―",IF(CJ360=0,"入金不要",IF(COUNT(AD360,AF360,AH360,AJ360)=0,IF(AK360="○","手動確認","未入金"),IF(AND(N(AD360)=AC360,IF(AE360="",TRUE(),N(AF360)=AE360),IF(AG360="",TRUE(),N(AH360)=AG360),IF(AI360="",TRUE(),N(AJ360)=AI360)),"一致","不一致"))))</f>
        <v>未入金</v>
      </c>
      <c r="G360" s="25" t="s">
        <v>167</v>
      </c>
      <c r="H360" s="26"/>
      <c r="I360" s="27"/>
      <c r="J360" s="27"/>
      <c r="K360" s="27"/>
      <c r="L360" s="27"/>
      <c r="M360" s="27"/>
      <c r="N360" s="27"/>
      <c r="O360" s="27" t="n">
        <v>59475</v>
      </c>
      <c r="P360" s="27" t="n">
        <v>4875</v>
      </c>
      <c r="Q360" s="27" t="n">
        <v>36820</v>
      </c>
      <c r="R360" s="27" t="n">
        <v>5609</v>
      </c>
      <c r="S360" s="27" t="n">
        <v>816</v>
      </c>
      <c r="T360" s="27" t="n">
        <v>59475</v>
      </c>
      <c r="U360" s="27" t="n">
        <v>4875</v>
      </c>
      <c r="V360" s="27" t="n">
        <v>56</v>
      </c>
      <c r="W360" s="27" t="n">
        <v>36856</v>
      </c>
      <c r="X360" s="27" t="n">
        <v>5609</v>
      </c>
      <c r="Y360" s="27" t="n">
        <v>816</v>
      </c>
      <c r="Z360" s="27"/>
      <c r="AA360" s="10" t="str">
        <f aca="false">IFERROR(INDEX(設定!$E$61:$E$106,MATCH(B360,設定!$B$61:$B$106,0)),"合算")</f>
        <v>合算</v>
      </c>
      <c r="AB360" s="28"/>
      <c r="AC360" s="29" t="n">
        <f aca="false">IF(OR(G360="",G360="なし"),"",IF(AA360="合算",CJ360+N(Z360),IF(AA360="掛金・負担金別",(AY360+AZ360+BD360+BF360+BH360),SUM(AY360:BC360))))</f>
        <v>215282</v>
      </c>
      <c r="AD360" s="27"/>
      <c r="AE360" s="29" t="str">
        <f aca="false">IF(OR(G360="",G360="なし"),"",IF(AA360="掛金・負担金別",(BA360+BB360+BC360+BE360+BG360+BI360+N(Z360)),IF(AA360="経理区分別",BD360+BE360,"")))</f>
        <v/>
      </c>
      <c r="AF360" s="27"/>
      <c r="AG360" s="29" t="str">
        <f aca="false">IF(OR(G360="",G360="なし"),"",IF(AA360="経理区分別",BF360+BG360,""))</f>
        <v/>
      </c>
      <c r="AH360" s="27"/>
      <c r="AI360" s="29" t="str">
        <f aca="false">IF(OR(G360="",G360="なし"),"",IF(AA360="経理区分別",BH360+BI360+N(Z360),""))</f>
        <v/>
      </c>
      <c r="AJ360" s="27"/>
      <c r="AK360" s="26"/>
      <c r="AL360" s="26"/>
      <c r="AM360" s="30"/>
      <c r="AN360" s="31"/>
      <c r="AO360" s="31"/>
      <c r="AP360" s="31"/>
      <c r="AQ360" s="31"/>
      <c r="AR360" s="31"/>
      <c r="AS360" s="31"/>
      <c r="AT360" s="31"/>
      <c r="AU360" s="31"/>
      <c r="AV360" s="31"/>
      <c r="AW360" s="31"/>
      <c r="AX360" s="31"/>
      <c r="AY360" s="31" t="n">
        <f aca="false">IF($G360="",AN360,O360)</f>
        <v>59475</v>
      </c>
      <c r="AZ360" s="31" t="n">
        <f aca="false">IF($G360="",AO360,P360)</f>
        <v>4875</v>
      </c>
      <c r="BA360" s="31" t="n">
        <f aca="false">IF($G360="",AP360,T360)</f>
        <v>59475</v>
      </c>
      <c r="BB360" s="31" t="n">
        <f aca="false">IF($G360="",AQ360,U360)</f>
        <v>4875</v>
      </c>
      <c r="BC360" s="31" t="n">
        <f aca="false">IF($G360="",AR360,V360)</f>
        <v>56</v>
      </c>
      <c r="BD360" s="31" t="n">
        <f aca="false">IF($G360="",AS360,Q360)</f>
        <v>36820</v>
      </c>
      <c r="BE360" s="31" t="n">
        <f aca="false">IF($G360="",AT360,W360)</f>
        <v>36856</v>
      </c>
      <c r="BF360" s="31" t="n">
        <f aca="false">IF($G360="",AU360,R360)</f>
        <v>5609</v>
      </c>
      <c r="BG360" s="31" t="n">
        <f aca="false">IF($G360="",AV360,X360)</f>
        <v>5609</v>
      </c>
      <c r="BH360" s="31" t="n">
        <f aca="false">IF($G360="",AW360,S360)</f>
        <v>816</v>
      </c>
      <c r="BI360" s="31" t="n">
        <f aca="false">IF($G360="",AX360,Y360)</f>
        <v>816</v>
      </c>
      <c r="BJ360" s="31" t="n">
        <f aca="false">IF(CK360="N",BR360,ROUNDDOWN((I360-L360)*設定!$B$10/1000,0)+ROUNDDOWN((I360-L360)*設定!$B$11/1000,0))</f>
        <v>0</v>
      </c>
      <c r="BK360" s="31" t="n">
        <f aca="false">ROUNDDOWN((I360-L360)*設定!$C$10/1000,0)+ROUNDDOWN((I360-L360)*設定!$C$11/1000,0)+ROUNDDOWN(I360*設定!$C$12/1000,0)+IF(CL360="市局型",ROUNDDOWN(I360*設定!$C$16/1000,0),0)</f>
        <v>0</v>
      </c>
      <c r="BL360" s="31" t="n">
        <f aca="false">IF(CK360="N",BT360,ROUNDDOWN((J360-M360)*設定!$B$13/1000,0))</f>
        <v>0</v>
      </c>
      <c r="BM360" s="31" t="n">
        <f aca="false">ROUNDDOWN((J360-M360)*設定!$C$13/1000,0)+IF(CL360="市局型",ROUNDDOWN(J360*設定!$C$17/1000,0),0)</f>
        <v>0</v>
      </c>
      <c r="BN360" s="31" t="n">
        <f aca="false">IF(CK360="N",BV360,ROUNDDOWN((K360-N360)*設定!$B$14/1000,0))</f>
        <v>0</v>
      </c>
      <c r="BO360" s="31" t="n">
        <f aca="false">ROUNDDOWN((K360-N360)*設定!$C$14/1000,0)</f>
        <v>0</v>
      </c>
      <c r="BP360" s="31" t="n">
        <f aca="false">IF(CK360="N",BX360,ROUNDDOWN((J360-M360)*設定!$B$15/1000,0))</f>
        <v>0</v>
      </c>
      <c r="BQ360" s="31" t="n">
        <f aca="false">ROUNDDOWN((J360-M360)*設定!$C$15/1000,0)</f>
        <v>0</v>
      </c>
      <c r="BR360" s="31" t="n">
        <f aca="false">O360+P360</f>
        <v>64350</v>
      </c>
      <c r="BS360" s="31" t="n">
        <f aca="false">T360+U360+V360</f>
        <v>64406</v>
      </c>
      <c r="BT360" s="31" t="n">
        <f aca="false">Q360</f>
        <v>36820</v>
      </c>
      <c r="BU360" s="31" t="n">
        <f aca="false">W360</f>
        <v>36856</v>
      </c>
      <c r="BV360" s="31" t="n">
        <f aca="false">R360</f>
        <v>5609</v>
      </c>
      <c r="BW360" s="31" t="n">
        <f aca="false">X360</f>
        <v>5609</v>
      </c>
      <c r="BX360" s="31" t="n">
        <f aca="false">S360</f>
        <v>816</v>
      </c>
      <c r="BY360" s="31" t="n">
        <f aca="false">Y360</f>
        <v>816</v>
      </c>
      <c r="BZ360" s="32" t="n">
        <f aca="false">IF(BJ360=0,IF(BR360=0,0,1),(BR360-BJ360)/BJ360)</f>
        <v>1</v>
      </c>
      <c r="CA360" s="32" t="n">
        <f aca="false">IF(BK360=0,IF(BS360=0,0,1),(BS360-BK360)/BK360)</f>
        <v>1</v>
      </c>
      <c r="CB360" s="32" t="n">
        <f aca="false">IF(BL360=0,IF(BT360=0,0,1),(BT360-BL360)/BL360)</f>
        <v>1</v>
      </c>
      <c r="CC360" s="32" t="n">
        <f aca="false">IF(BM360=0,IF(BU360=0,0,1),(BU360-BM360)/BM360)</f>
        <v>1</v>
      </c>
      <c r="CD360" s="32" t="n">
        <f aca="false">IF(BN360=0,IF(BV360=0,0,1),(BV360-BN360)/BN360)</f>
        <v>1</v>
      </c>
      <c r="CE360" s="32" t="n">
        <f aca="false">IF(BO360=0,IF(BW360=0,0,1),(BW360-BO360)/BO360)</f>
        <v>1</v>
      </c>
      <c r="CF360" s="32" t="n">
        <f aca="false">IF(BP360=0,IF(BX360=0,0,1),(BX360-BP360)/BP360)</f>
        <v>1</v>
      </c>
      <c r="CG360" s="32" t="n">
        <f aca="false">IF(BQ360=0,IF(BY360=0,0,1),(BY360-BQ360)/BQ360)</f>
        <v>1</v>
      </c>
      <c r="CH360" s="32" t="n">
        <f aca="false">MAX(MAX(BZ360:CG360),-MIN(BZ360:CG360))</f>
        <v>1</v>
      </c>
      <c r="CI360" s="31" t="n">
        <f aca="false">IF(CO360="","",SUMIFS($CJ$7:$CJ$696,$A$7:$A$696,CO360,$B$7:$B$696,B360))</f>
        <v>215282</v>
      </c>
      <c r="CJ360" s="31" t="n">
        <f aca="false">SUM(AY360:BI360)</f>
        <v>215282</v>
      </c>
      <c r="CK360" s="31" t="str">
        <f aca="false">IFERROR(INDEX(設定!$F$61:$F$106,MATCH(B360,設定!$B$61:$B$106,0)),"Y")</f>
        <v>Y</v>
      </c>
      <c r="CL360" s="31" t="str">
        <f aca="false">IFERROR(INDEX(設定!$G$61:$G$106,MATCH(B360,設定!$B$61:$B$106,0)),"外郭型")</f>
        <v>外郭型</v>
      </c>
      <c r="CM360" s="33" t="str">
        <f aca="false">A360&amp;"|"&amp;B360</f>
        <v>2026-10 月例|全国市町村研修財団</v>
      </c>
      <c r="CN360" s="34" t="str">
        <f aca="false">IFERROR(INDEX(設定!$D$61:$D$106,MATCH(B360,設定!$B$61:$B$106,0)),"Y")</f>
        <v>Y</v>
      </c>
      <c r="CO360" s="34" t="str">
        <f aca="false">IFERROR(INDEX(設定!$D$20:$D$34,MATCH(A360,設定!$A$20:$A$34,0))&amp;"","")</f>
        <v>2026-09 月例</v>
      </c>
    </row>
    <row r="361" customFormat="false" ht="15" hidden="false" customHeight="false" outlineLevel="0" collapsed="false">
      <c r="A361" s="22" t="s">
        <v>223</v>
      </c>
      <c r="B361" s="23" t="s">
        <v>201</v>
      </c>
      <c r="C361" s="10" t="str">
        <f aca="false">IF(G361="","未受領",IF(G361="なし","報告なし",IF(AL361="○","起票済",IF(OR(AK361="○",F361="一致",F361="入金不要"),"入金確認済","受領済"))))</f>
        <v>受領済</v>
      </c>
      <c r="D361" s="10" t="str">
        <f aca="false">IF(OR(G361="",G361="なし"),"―",IF(CN361="N","対象外",IF(AND(I361="",J361="",K361=""),"標報未入力",IF(CH361&gt;=設定!$B$4,"要確認","問題なし"))))</f>
        <v>標報未入力</v>
      </c>
      <c r="E361" s="24" t="str">
        <f aca="false">IF(OR(G361="",G361="なし",CI361="",CJ361=0),"―",IF(CJ361=CI361,"前月同額",IF(CI361=0,"―",IF(ABS(CJ361/CI361-1)&gt;=設定!$B$5,"変動大 "&amp;TEXT(CJ361/CI361-1,"+0%;-0%"),"〇"))))</f>
        <v>前月同額</v>
      </c>
      <c r="F361" s="10" t="str">
        <f aca="false">IF(OR(G361="",G361="なし"),"―",IF(CJ361=0,"入金不要",IF(COUNT(AD361,AF361,AH361,AJ361)=0,IF(AK361="○","手動確認","未入金"),IF(AND(N(AD361)=AC361,IF(AE361="",TRUE(),N(AF361)=AE361),IF(AG361="",TRUE(),N(AH361)=AG361),IF(AI361="",TRUE(),N(AJ361)=AI361)),"一致","不一致"))))</f>
        <v>未入金</v>
      </c>
      <c r="G361" s="25" t="s">
        <v>167</v>
      </c>
      <c r="H361" s="26"/>
      <c r="I361" s="27"/>
      <c r="J361" s="27"/>
      <c r="K361" s="27"/>
      <c r="L361" s="27"/>
      <c r="M361" s="27"/>
      <c r="N361" s="27"/>
      <c r="O361" s="27" t="n">
        <v>45750</v>
      </c>
      <c r="P361" s="27" t="n">
        <v>3750</v>
      </c>
      <c r="Q361" s="27" t="n">
        <v>25930</v>
      </c>
      <c r="R361" s="27" t="n">
        <v>0</v>
      </c>
      <c r="S361" s="27" t="n">
        <v>575</v>
      </c>
      <c r="T361" s="27" t="n">
        <v>45750</v>
      </c>
      <c r="U361" s="27" t="n">
        <v>3750</v>
      </c>
      <c r="V361" s="27" t="n">
        <v>43</v>
      </c>
      <c r="W361" s="27" t="n">
        <v>25955</v>
      </c>
      <c r="X361" s="27" t="n">
        <v>0</v>
      </c>
      <c r="Y361" s="27" t="n">
        <v>575</v>
      </c>
      <c r="Z361" s="27"/>
      <c r="AA361" s="10" t="str">
        <f aca="false">IFERROR(INDEX(設定!$E$61:$E$106,MATCH(B361,設定!$B$61:$B$106,0)),"合算")</f>
        <v>合算</v>
      </c>
      <c r="AB361" s="28"/>
      <c r="AC361" s="29" t="n">
        <f aca="false">IF(OR(G361="",G361="なし"),"",IF(AA361="合算",CJ361+N(Z361),IF(AA361="掛金・負担金別",(AY361+AZ361+BD361+BF361+BH361),SUM(AY361:BC361))))</f>
        <v>152078</v>
      </c>
      <c r="AD361" s="27"/>
      <c r="AE361" s="29" t="str">
        <f aca="false">IF(OR(G361="",G361="なし"),"",IF(AA361="掛金・負担金別",(BA361+BB361+BC361+BE361+BG361+BI361+N(Z361)),IF(AA361="経理区分別",BD361+BE361,"")))</f>
        <v/>
      </c>
      <c r="AF361" s="27"/>
      <c r="AG361" s="29" t="str">
        <f aca="false">IF(OR(G361="",G361="なし"),"",IF(AA361="経理区分別",BF361+BG361,""))</f>
        <v/>
      </c>
      <c r="AH361" s="27"/>
      <c r="AI361" s="29" t="str">
        <f aca="false">IF(OR(G361="",G361="なし"),"",IF(AA361="経理区分別",BH361+BI361+N(Z361),""))</f>
        <v/>
      </c>
      <c r="AJ361" s="27"/>
      <c r="AK361" s="26"/>
      <c r="AL361" s="26"/>
      <c r="AM361" s="30"/>
      <c r="AN361" s="31"/>
      <c r="AO361" s="31"/>
      <c r="AP361" s="31"/>
      <c r="AQ361" s="31"/>
      <c r="AR361" s="31"/>
      <c r="AS361" s="31"/>
      <c r="AT361" s="31"/>
      <c r="AU361" s="31"/>
      <c r="AV361" s="31"/>
      <c r="AW361" s="31"/>
      <c r="AX361" s="31"/>
      <c r="AY361" s="31" t="n">
        <f aca="false">IF($G361="",AN361,O361)</f>
        <v>45750</v>
      </c>
      <c r="AZ361" s="31" t="n">
        <f aca="false">IF($G361="",AO361,P361)</f>
        <v>3750</v>
      </c>
      <c r="BA361" s="31" t="n">
        <f aca="false">IF($G361="",AP361,T361)</f>
        <v>45750</v>
      </c>
      <c r="BB361" s="31" t="n">
        <f aca="false">IF($G361="",AQ361,U361)</f>
        <v>3750</v>
      </c>
      <c r="BC361" s="31" t="n">
        <f aca="false">IF($G361="",AR361,V361)</f>
        <v>43</v>
      </c>
      <c r="BD361" s="31" t="n">
        <f aca="false">IF($G361="",AS361,Q361)</f>
        <v>25930</v>
      </c>
      <c r="BE361" s="31" t="n">
        <f aca="false">IF($G361="",AT361,W361)</f>
        <v>25955</v>
      </c>
      <c r="BF361" s="31" t="n">
        <f aca="false">IF($G361="",AU361,R361)</f>
        <v>0</v>
      </c>
      <c r="BG361" s="31" t="n">
        <f aca="false">IF($G361="",AV361,X361)</f>
        <v>0</v>
      </c>
      <c r="BH361" s="31" t="n">
        <f aca="false">IF($G361="",AW361,S361)</f>
        <v>575</v>
      </c>
      <c r="BI361" s="31" t="n">
        <f aca="false">IF($G361="",AX361,Y361)</f>
        <v>575</v>
      </c>
      <c r="BJ361" s="31" t="n">
        <f aca="false">IF(CK361="N",BR361,ROUNDDOWN((I361-L361)*設定!$B$10/1000,0)+ROUNDDOWN((I361-L361)*設定!$B$11/1000,0))</f>
        <v>0</v>
      </c>
      <c r="BK361" s="31" t="n">
        <f aca="false">ROUNDDOWN((I361-L361)*設定!$C$10/1000,0)+ROUNDDOWN((I361-L361)*設定!$C$11/1000,0)+ROUNDDOWN(I361*設定!$C$12/1000,0)+IF(CL361="市局型",ROUNDDOWN(I361*設定!$C$16/1000,0),0)</f>
        <v>0</v>
      </c>
      <c r="BL361" s="31" t="n">
        <f aca="false">IF(CK361="N",BT361,ROUNDDOWN((J361-M361)*設定!$B$13/1000,0))</f>
        <v>0</v>
      </c>
      <c r="BM361" s="31" t="n">
        <f aca="false">ROUNDDOWN((J361-M361)*設定!$C$13/1000,0)+IF(CL361="市局型",ROUNDDOWN(J361*設定!$C$17/1000,0),0)</f>
        <v>0</v>
      </c>
      <c r="BN361" s="31" t="n">
        <f aca="false">IF(CK361="N",BV361,ROUNDDOWN((K361-N361)*設定!$B$14/1000,0))</f>
        <v>0</v>
      </c>
      <c r="BO361" s="31" t="n">
        <f aca="false">ROUNDDOWN((K361-N361)*設定!$C$14/1000,0)</f>
        <v>0</v>
      </c>
      <c r="BP361" s="31" t="n">
        <f aca="false">IF(CK361="N",BX361,ROUNDDOWN((J361-M361)*設定!$B$15/1000,0))</f>
        <v>0</v>
      </c>
      <c r="BQ361" s="31" t="n">
        <f aca="false">ROUNDDOWN((J361-M361)*設定!$C$15/1000,0)</f>
        <v>0</v>
      </c>
      <c r="BR361" s="31" t="n">
        <f aca="false">O361+P361</f>
        <v>49500</v>
      </c>
      <c r="BS361" s="31" t="n">
        <f aca="false">T361+U361+V361</f>
        <v>49543</v>
      </c>
      <c r="BT361" s="31" t="n">
        <f aca="false">Q361</f>
        <v>25930</v>
      </c>
      <c r="BU361" s="31" t="n">
        <f aca="false">W361</f>
        <v>25955</v>
      </c>
      <c r="BV361" s="31" t="n">
        <f aca="false">R361</f>
        <v>0</v>
      </c>
      <c r="BW361" s="31" t="n">
        <f aca="false">X361</f>
        <v>0</v>
      </c>
      <c r="BX361" s="31" t="n">
        <f aca="false">S361</f>
        <v>575</v>
      </c>
      <c r="BY361" s="31" t="n">
        <f aca="false">Y361</f>
        <v>575</v>
      </c>
      <c r="BZ361" s="32" t="n">
        <f aca="false">IF(BJ361=0,IF(BR361=0,0,1),(BR361-BJ361)/BJ361)</f>
        <v>1</v>
      </c>
      <c r="CA361" s="32" t="n">
        <f aca="false">IF(BK361=0,IF(BS361=0,0,1),(BS361-BK361)/BK361)</f>
        <v>1</v>
      </c>
      <c r="CB361" s="32" t="n">
        <f aca="false">IF(BL361=0,IF(BT361=0,0,1),(BT361-BL361)/BL361)</f>
        <v>1</v>
      </c>
      <c r="CC361" s="32" t="n">
        <f aca="false">IF(BM361=0,IF(BU361=0,0,1),(BU361-BM361)/BM361)</f>
        <v>1</v>
      </c>
      <c r="CD361" s="32" t="n">
        <f aca="false">IF(BN361=0,IF(BV361=0,0,1),(BV361-BN361)/BN361)</f>
        <v>0</v>
      </c>
      <c r="CE361" s="32" t="n">
        <f aca="false">IF(BO361=0,IF(BW361=0,0,1),(BW361-BO361)/BO361)</f>
        <v>0</v>
      </c>
      <c r="CF361" s="32" t="n">
        <f aca="false">IF(BP361=0,IF(BX361=0,0,1),(BX361-BP361)/BP361)</f>
        <v>1</v>
      </c>
      <c r="CG361" s="32" t="n">
        <f aca="false">IF(BQ361=0,IF(BY361=0,0,1),(BY361-BQ361)/BQ361)</f>
        <v>1</v>
      </c>
      <c r="CH361" s="32" t="n">
        <f aca="false">MAX(MAX(BZ361:CG361),-MIN(BZ361:CG361))</f>
        <v>1</v>
      </c>
      <c r="CI361" s="31" t="n">
        <f aca="false">IF(CO361="","",SUMIFS($CJ$7:$CJ$696,$A$7:$A$696,CO361,$B$7:$B$696,B361))</f>
        <v>152078</v>
      </c>
      <c r="CJ361" s="31" t="n">
        <f aca="false">SUM(AY361:BI361)</f>
        <v>152078</v>
      </c>
      <c r="CK361" s="31" t="str">
        <f aca="false">IFERROR(INDEX(設定!$F$61:$F$106,MATCH(B361,設定!$B$61:$B$106,0)),"Y")</f>
        <v>Y</v>
      </c>
      <c r="CL361" s="31" t="str">
        <f aca="false">IFERROR(INDEX(設定!$G$61:$G$106,MATCH(B361,設定!$B$61:$B$106,0)),"外郭型")</f>
        <v>外郭型</v>
      </c>
      <c r="CM361" s="33" t="str">
        <f aca="false">A361&amp;"|"&amp;B361</f>
        <v>2026-10 月例|都市再生機構</v>
      </c>
      <c r="CN361" s="34" t="str">
        <f aca="false">IFERROR(INDEX(設定!$D$61:$D$106,MATCH(B361,設定!$B$61:$B$106,0)),"Y")</f>
        <v>Y</v>
      </c>
      <c r="CO361" s="34" t="str">
        <f aca="false">IFERROR(INDEX(設定!$D$20:$D$34,MATCH(A361,設定!$A$20:$A$34,0))&amp;"","")</f>
        <v>2026-09 月例</v>
      </c>
    </row>
    <row r="362" customFormat="false" ht="15" hidden="false" customHeight="false" outlineLevel="0" collapsed="false">
      <c r="A362" s="22" t="s">
        <v>223</v>
      </c>
      <c r="B362" s="23" t="s">
        <v>202</v>
      </c>
      <c r="C362" s="10" t="str">
        <f aca="false">IF(G362="","未受領",IF(G362="なし","報告なし",IF(AL362="○","起票済",IF(OR(AK362="○",F362="一致",F362="入金不要"),"入金確認済","受領済"))))</f>
        <v>未受領</v>
      </c>
      <c r="D362" s="10" t="str">
        <f aca="false">IF(OR(G362="",G362="なし"),"―",IF(CN362="N","対象外",IF(AND(I362="",J362="",K362=""),"標報未入力",IF(CH362&gt;=設定!$B$4,"要確認","問題なし"))))</f>
        <v>―</v>
      </c>
      <c r="E362" s="24" t="str">
        <f aca="false">IF(OR(G362="",G362="なし",CI362="",CJ362=0),"―",IF(CJ362=CI362,"前月同額",IF(CI362=0,"―",IF(ABS(CJ362/CI362-1)&gt;=設定!$B$5,"変動大 "&amp;TEXT(CJ362/CI362-1,"+0%;-0%"),"〇"))))</f>
        <v>―</v>
      </c>
      <c r="F362" s="10" t="str">
        <f aca="false">IF(OR(G362="",G362="なし"),"―",IF(CJ362=0,"入金不要",IF(COUNT(AD362,AF362,AH362,AJ362)=0,IF(AK362="○","手動確認","未入金"),IF(AND(N(AD362)=AC362,IF(AE362="",TRUE(),N(AF362)=AE362),IF(AG362="",TRUE(),N(AH362)=AG362),IF(AI362="",TRUE(),N(AJ362)=AI362)),"一致","不一致"))))</f>
        <v>―</v>
      </c>
      <c r="G362" s="25"/>
      <c r="H362" s="26"/>
      <c r="I362" s="27"/>
      <c r="J362" s="27"/>
      <c r="K362" s="27"/>
      <c r="L362" s="27"/>
      <c r="M362" s="27"/>
      <c r="N362" s="27"/>
      <c r="O362" s="27"/>
      <c r="P362" s="27"/>
      <c r="Q362" s="27"/>
      <c r="R362" s="27"/>
      <c r="S362" s="27"/>
      <c r="T362" s="27"/>
      <c r="U362" s="27"/>
      <c r="V362" s="27"/>
      <c r="W362" s="27"/>
      <c r="X362" s="27"/>
      <c r="Y362" s="27"/>
      <c r="Z362" s="27"/>
      <c r="AA362" s="10" t="str">
        <f aca="false">IFERROR(INDEX(設定!$E$61:$E$106,MATCH(B362,設定!$B$61:$B$106,0)),"合算")</f>
        <v>合算</v>
      </c>
      <c r="AB362" s="28"/>
      <c r="AC362" s="29" t="str">
        <f aca="false">IF(OR(G362="",G362="なし"),"",IF(AA362="合算",CJ362+N(Z362),IF(AA362="掛金・負担金別",(AY362+AZ362+BD362+BF362+BH362),SUM(AY362:BC362))))</f>
        <v/>
      </c>
      <c r="AD362" s="27"/>
      <c r="AE362" s="29" t="str">
        <f aca="false">IF(OR(G362="",G362="なし"),"",IF(AA362="掛金・負担金別",(BA362+BB362+BC362+BE362+BG362+BI362+N(Z362)),IF(AA362="経理区分別",BD362+BE362,"")))</f>
        <v/>
      </c>
      <c r="AF362" s="27"/>
      <c r="AG362" s="29" t="str">
        <f aca="false">IF(OR(G362="",G362="なし"),"",IF(AA362="経理区分別",BF362+BG362,""))</f>
        <v/>
      </c>
      <c r="AH362" s="27"/>
      <c r="AI362" s="29" t="str">
        <f aca="false">IF(OR(G362="",G362="なし"),"",IF(AA362="経理区分別",BH362+BI362+N(Z362),""))</f>
        <v/>
      </c>
      <c r="AJ362" s="27"/>
      <c r="AK362" s="26"/>
      <c r="AL362" s="26"/>
      <c r="AM362" s="30"/>
      <c r="AN362" s="31" t="n">
        <v>1234335</v>
      </c>
      <c r="AO362" s="31" t="n">
        <v>101175</v>
      </c>
      <c r="AP362" s="31" t="n">
        <v>1234335</v>
      </c>
      <c r="AQ362" s="31" t="n">
        <v>101175</v>
      </c>
      <c r="AR362" s="31" t="n">
        <v>1337</v>
      </c>
      <c r="AS362" s="31" t="n">
        <v>742074</v>
      </c>
      <c r="AT362" s="31" t="n">
        <v>743509</v>
      </c>
      <c r="AU362" s="31" t="n">
        <v>64227</v>
      </c>
      <c r="AV362" s="31" t="n">
        <v>64227</v>
      </c>
      <c r="AW362" s="31" t="n">
        <v>1</v>
      </c>
      <c r="AX362" s="31" t="n">
        <v>1</v>
      </c>
      <c r="AY362" s="31" t="n">
        <f aca="false">IF($G362="",AN362,O362)</f>
        <v>1234335</v>
      </c>
      <c r="AZ362" s="31" t="n">
        <f aca="false">IF($G362="",AO362,P362)</f>
        <v>101175</v>
      </c>
      <c r="BA362" s="31" t="n">
        <f aca="false">IF($G362="",AP362,T362)</f>
        <v>1234335</v>
      </c>
      <c r="BB362" s="31" t="n">
        <f aca="false">IF($G362="",AQ362,U362)</f>
        <v>101175</v>
      </c>
      <c r="BC362" s="31" t="n">
        <f aca="false">IF($G362="",AR362,V362)</f>
        <v>1337</v>
      </c>
      <c r="BD362" s="31" t="n">
        <f aca="false">IF($G362="",AS362,Q362)</f>
        <v>742074</v>
      </c>
      <c r="BE362" s="31" t="n">
        <f aca="false">IF($G362="",AT362,W362)</f>
        <v>743509</v>
      </c>
      <c r="BF362" s="31" t="n">
        <f aca="false">IF($G362="",AU362,R362)</f>
        <v>64227</v>
      </c>
      <c r="BG362" s="31" t="n">
        <f aca="false">IF($G362="",AV362,X362)</f>
        <v>64227</v>
      </c>
      <c r="BH362" s="31" t="n">
        <f aca="false">IF($G362="",AW362,S362)</f>
        <v>1</v>
      </c>
      <c r="BI362" s="31" t="n">
        <f aca="false">IF($G362="",AX362,Y362)</f>
        <v>1</v>
      </c>
      <c r="BJ362" s="31" t="n">
        <f aca="false">IF(CK362="N",BR362,ROUNDDOWN((I362-L362)*設定!$B$10/1000,0)+ROUNDDOWN((I362-L362)*設定!$B$11/1000,0))</f>
        <v>0</v>
      </c>
      <c r="BK362" s="31" t="n">
        <f aca="false">ROUNDDOWN((I362-L362)*設定!$C$10/1000,0)+ROUNDDOWN((I362-L362)*設定!$C$11/1000,0)+ROUNDDOWN(I362*設定!$C$12/1000,0)+IF(CL362="市局型",ROUNDDOWN(I362*設定!$C$16/1000,0),0)</f>
        <v>0</v>
      </c>
      <c r="BL362" s="31" t="n">
        <f aca="false">IF(CK362="N",BT362,ROUNDDOWN((J362-M362)*設定!$B$13/1000,0))</f>
        <v>0</v>
      </c>
      <c r="BM362" s="31" t="n">
        <f aca="false">ROUNDDOWN((J362-M362)*設定!$C$13/1000,0)+IF(CL362="市局型",ROUNDDOWN(J362*設定!$C$17/1000,0),0)</f>
        <v>0</v>
      </c>
      <c r="BN362" s="31" t="n">
        <f aca="false">IF(CK362="N",BV362,ROUNDDOWN((K362-N362)*設定!$B$14/1000,0))</f>
        <v>0</v>
      </c>
      <c r="BO362" s="31" t="n">
        <f aca="false">ROUNDDOWN((K362-N362)*設定!$C$14/1000,0)</f>
        <v>0</v>
      </c>
      <c r="BP362" s="31" t="n">
        <f aca="false">IF(CK362="N",BX362,ROUNDDOWN((J362-M362)*設定!$B$15/1000,0))</f>
        <v>0</v>
      </c>
      <c r="BQ362" s="31" t="n">
        <f aca="false">ROUNDDOWN((J362-M362)*設定!$C$15/1000,0)</f>
        <v>0</v>
      </c>
      <c r="BR362" s="31" t="n">
        <f aca="false">O362+P362</f>
        <v>0</v>
      </c>
      <c r="BS362" s="31" t="n">
        <f aca="false">T362+U362+V362</f>
        <v>0</v>
      </c>
      <c r="BT362" s="31" t="n">
        <f aca="false">Q362</f>
        <v>0</v>
      </c>
      <c r="BU362" s="31" t="n">
        <f aca="false">W362</f>
        <v>0</v>
      </c>
      <c r="BV362" s="31" t="n">
        <f aca="false">R362</f>
        <v>0</v>
      </c>
      <c r="BW362" s="31" t="n">
        <f aca="false">X362</f>
        <v>0</v>
      </c>
      <c r="BX362" s="31" t="n">
        <f aca="false">S362</f>
        <v>0</v>
      </c>
      <c r="BY362" s="31" t="n">
        <f aca="false">Y362</f>
        <v>0</v>
      </c>
      <c r="BZ362" s="32" t="n">
        <f aca="false">IF(BJ362=0,IF(BR362=0,0,1),(BR362-BJ362)/BJ362)</f>
        <v>0</v>
      </c>
      <c r="CA362" s="32" t="n">
        <f aca="false">IF(BK362=0,IF(BS362=0,0,1),(BS362-BK362)/BK362)</f>
        <v>0</v>
      </c>
      <c r="CB362" s="32" t="n">
        <f aca="false">IF(BL362=0,IF(BT362=0,0,1),(BT362-BL362)/BL362)</f>
        <v>0</v>
      </c>
      <c r="CC362" s="32" t="n">
        <f aca="false">IF(BM362=0,IF(BU362=0,0,1),(BU362-BM362)/BM362)</f>
        <v>0</v>
      </c>
      <c r="CD362" s="32" t="n">
        <f aca="false">IF(BN362=0,IF(BV362=0,0,1),(BV362-BN362)/BN362)</f>
        <v>0</v>
      </c>
      <c r="CE362" s="32" t="n">
        <f aca="false">IF(BO362=0,IF(BW362=0,0,1),(BW362-BO362)/BO362)</f>
        <v>0</v>
      </c>
      <c r="CF362" s="32" t="n">
        <f aca="false">IF(BP362=0,IF(BX362=0,0,1),(BX362-BP362)/BP362)</f>
        <v>0</v>
      </c>
      <c r="CG362" s="32" t="n">
        <f aca="false">IF(BQ362=0,IF(BY362=0,0,1),(BY362-BQ362)/BQ362)</f>
        <v>0</v>
      </c>
      <c r="CH362" s="32" t="n">
        <f aca="false">MAX(MAX(BZ362:CG362),-MIN(BZ362:CG362))</f>
        <v>-0</v>
      </c>
      <c r="CI362" s="31" t="n">
        <f aca="false">IF(CO362="","",SUMIFS($CJ$7:$CJ$696,$A$7:$A$696,CO362,$B$7:$B$696,B362))</f>
        <v>4272800</v>
      </c>
      <c r="CJ362" s="31" t="n">
        <f aca="false">SUM(AY362:BI362)</f>
        <v>4286396</v>
      </c>
      <c r="CK362" s="31" t="str">
        <f aca="false">IFERROR(INDEX(設定!$F$61:$F$106,MATCH(B362,設定!$B$61:$B$106,0)),"Y")</f>
        <v>Y</v>
      </c>
      <c r="CL362" s="31" t="str">
        <f aca="false">IFERROR(INDEX(設定!$G$61:$G$106,MATCH(B362,設定!$B$61:$B$106,0)),"外郭型")</f>
        <v>外郭型</v>
      </c>
      <c r="CM362" s="33" t="str">
        <f aca="false">A362&amp;"|"&amp;B362</f>
        <v>2026-10 月例|広島市立大学</v>
      </c>
      <c r="CN362" s="34" t="str">
        <f aca="false">IFERROR(INDEX(設定!$D$61:$D$106,MATCH(B362,設定!$B$61:$B$106,0)),"Y")</f>
        <v>Y</v>
      </c>
      <c r="CO362" s="34" t="str">
        <f aca="false">IFERROR(INDEX(設定!$D$20:$D$34,MATCH(A362,設定!$A$20:$A$34,0))&amp;"","")</f>
        <v>2026-09 月例</v>
      </c>
    </row>
    <row r="363" customFormat="false" ht="15" hidden="false" customHeight="false" outlineLevel="0" collapsed="false">
      <c r="A363" s="22" t="s">
        <v>223</v>
      </c>
      <c r="B363" s="23" t="s">
        <v>203</v>
      </c>
      <c r="C363" s="10" t="str">
        <f aca="false">IF(G363="","未受領",IF(G363="なし","報告なし",IF(AL363="○","起票済",IF(OR(AK363="○",F363="一致",F363="入金不要"),"入金確認済","受領済"))))</f>
        <v>未受領</v>
      </c>
      <c r="D363" s="10" t="str">
        <f aca="false">IF(OR(G363="",G363="なし"),"―",IF(CN363="N","対象外",IF(AND(I363="",J363="",K363=""),"標報未入力",IF(CH363&gt;=設定!$B$4,"要確認","問題なし"))))</f>
        <v>―</v>
      </c>
      <c r="E363" s="24" t="str">
        <f aca="false">IF(OR(G363="",G363="なし",CI363="",CJ363=0),"―",IF(CJ363=CI363,"前月同額",IF(CI363=0,"―",IF(ABS(CJ363/CI363-1)&gt;=設定!$B$5,"変動大 "&amp;TEXT(CJ363/CI363-1,"+0%;-0%"),"〇"))))</f>
        <v>―</v>
      </c>
      <c r="F363" s="10" t="str">
        <f aca="false">IF(OR(G363="",G363="なし"),"―",IF(CJ363=0,"入金不要",IF(COUNT(AD363,AF363,AH363,AJ363)=0,IF(AK363="○","手動確認","未入金"),IF(AND(N(AD363)=AC363,IF(AE363="",TRUE(),N(AF363)=AE363),IF(AG363="",TRUE(),N(AH363)=AG363),IF(AI363="",TRUE(),N(AJ363)=AI363)),"一致","不一致"))))</f>
        <v>―</v>
      </c>
      <c r="G363" s="25"/>
      <c r="H363" s="26"/>
      <c r="I363" s="27"/>
      <c r="J363" s="27"/>
      <c r="K363" s="27"/>
      <c r="L363" s="27"/>
      <c r="M363" s="27"/>
      <c r="N363" s="27"/>
      <c r="O363" s="27"/>
      <c r="P363" s="27"/>
      <c r="Q363" s="27"/>
      <c r="R363" s="27"/>
      <c r="S363" s="27"/>
      <c r="T363" s="27"/>
      <c r="U363" s="27"/>
      <c r="V363" s="27"/>
      <c r="W363" s="27"/>
      <c r="X363" s="27"/>
      <c r="Y363" s="27"/>
      <c r="Z363" s="27"/>
      <c r="AA363" s="10" t="str">
        <f aca="false">IFERROR(INDEX(設定!$E$61:$E$106,MATCH(B363,設定!$B$61:$B$106,0)),"合算")</f>
        <v>合算</v>
      </c>
      <c r="AB363" s="28"/>
      <c r="AC363" s="29" t="str">
        <f aca="false">IF(OR(G363="",G363="なし"),"",IF(AA363="合算",CJ363+N(Z363),IF(AA363="掛金・負担金別",(AY363+AZ363+BD363+BF363+BH363),SUM(AY363:BC363))))</f>
        <v/>
      </c>
      <c r="AD363" s="27"/>
      <c r="AE363" s="29" t="str">
        <f aca="false">IF(OR(G363="",G363="なし"),"",IF(AA363="掛金・負担金別",(BA363+BB363+BC363+BE363+BG363+BI363+N(Z363)),IF(AA363="経理区分別",BD363+BE363,"")))</f>
        <v/>
      </c>
      <c r="AF363" s="27"/>
      <c r="AG363" s="29" t="str">
        <f aca="false">IF(OR(G363="",G363="なし"),"",IF(AA363="経理区分別",BF363+BG363,""))</f>
        <v/>
      </c>
      <c r="AH363" s="27"/>
      <c r="AI363" s="29" t="str">
        <f aca="false">IF(OR(G363="",G363="なし"),"",IF(AA363="経理区分別",BH363+BI363+N(Z363),""))</f>
        <v/>
      </c>
      <c r="AJ363" s="27"/>
      <c r="AK363" s="26"/>
      <c r="AL363" s="26"/>
      <c r="AM363" s="30"/>
      <c r="AN363" s="31"/>
      <c r="AO363" s="31"/>
      <c r="AP363" s="31" t="n">
        <v>245220</v>
      </c>
      <c r="AQ363" s="31" t="n">
        <v>20100</v>
      </c>
      <c r="AR363" s="31" t="n">
        <v>251</v>
      </c>
      <c r="AS363" s="31"/>
      <c r="AT363" s="31" t="n">
        <v>151001</v>
      </c>
      <c r="AU363" s="31"/>
      <c r="AV363" s="31" t="n">
        <v>10744</v>
      </c>
      <c r="AW363" s="31"/>
      <c r="AX363" s="31" t="n">
        <v>1</v>
      </c>
      <c r="AY363" s="31" t="n">
        <f aca="false">IF($G363="",AN363,O363)</f>
        <v>0</v>
      </c>
      <c r="AZ363" s="31" t="n">
        <f aca="false">IF($G363="",AO363,P363)</f>
        <v>0</v>
      </c>
      <c r="BA363" s="31" t="n">
        <f aca="false">IF($G363="",AP363,T363)</f>
        <v>245220</v>
      </c>
      <c r="BB363" s="31" t="n">
        <f aca="false">IF($G363="",AQ363,U363)</f>
        <v>20100</v>
      </c>
      <c r="BC363" s="31" t="n">
        <f aca="false">IF($G363="",AR363,V363)</f>
        <v>251</v>
      </c>
      <c r="BD363" s="31" t="n">
        <f aca="false">IF($G363="",AS363,Q363)</f>
        <v>0</v>
      </c>
      <c r="BE363" s="31" t="n">
        <f aca="false">IF($G363="",AT363,W363)</f>
        <v>151001</v>
      </c>
      <c r="BF363" s="31" t="n">
        <f aca="false">IF($G363="",AU363,R363)</f>
        <v>0</v>
      </c>
      <c r="BG363" s="31" t="n">
        <f aca="false">IF($G363="",AV363,X363)</f>
        <v>10744</v>
      </c>
      <c r="BH363" s="31" t="n">
        <f aca="false">IF($G363="",AW363,S363)</f>
        <v>0</v>
      </c>
      <c r="BI363" s="31" t="n">
        <f aca="false">IF($G363="",AX363,Y363)</f>
        <v>1</v>
      </c>
      <c r="BJ363" s="31" t="n">
        <f aca="false">IF(CK363="N",BR363,ROUNDDOWN((I363-L363)*設定!$B$10/1000,0)+ROUNDDOWN((I363-L363)*設定!$B$11/1000,0))</f>
        <v>0</v>
      </c>
      <c r="BK363" s="31" t="n">
        <f aca="false">ROUNDDOWN((I363-L363)*設定!$C$10/1000,0)+ROUNDDOWN((I363-L363)*設定!$C$11/1000,0)+ROUNDDOWN(I363*設定!$C$12/1000,0)+IF(CL363="市局型",ROUNDDOWN(I363*設定!$C$16/1000,0),0)</f>
        <v>0</v>
      </c>
      <c r="BL363" s="31" t="n">
        <f aca="false">IF(CK363="N",BT363,ROUNDDOWN((J363-M363)*設定!$B$13/1000,0))</f>
        <v>0</v>
      </c>
      <c r="BM363" s="31" t="n">
        <f aca="false">ROUNDDOWN((J363-M363)*設定!$C$13/1000,0)+IF(CL363="市局型",ROUNDDOWN(J363*設定!$C$17/1000,0),0)</f>
        <v>0</v>
      </c>
      <c r="BN363" s="31" t="n">
        <f aca="false">IF(CK363="N",BV363,ROUNDDOWN((K363-N363)*設定!$B$14/1000,0))</f>
        <v>0</v>
      </c>
      <c r="BO363" s="31" t="n">
        <f aca="false">ROUNDDOWN((K363-N363)*設定!$C$14/1000,0)</f>
        <v>0</v>
      </c>
      <c r="BP363" s="31" t="n">
        <f aca="false">IF(CK363="N",BX363,ROUNDDOWN((J363-M363)*設定!$B$15/1000,0))</f>
        <v>0</v>
      </c>
      <c r="BQ363" s="31" t="n">
        <f aca="false">ROUNDDOWN((J363-M363)*設定!$C$15/1000,0)</f>
        <v>0</v>
      </c>
      <c r="BR363" s="31" t="n">
        <f aca="false">O363+P363</f>
        <v>0</v>
      </c>
      <c r="BS363" s="31" t="n">
        <f aca="false">T363+U363+V363</f>
        <v>0</v>
      </c>
      <c r="BT363" s="31" t="n">
        <f aca="false">Q363</f>
        <v>0</v>
      </c>
      <c r="BU363" s="31" t="n">
        <f aca="false">W363</f>
        <v>0</v>
      </c>
      <c r="BV363" s="31" t="n">
        <f aca="false">R363</f>
        <v>0</v>
      </c>
      <c r="BW363" s="31" t="n">
        <f aca="false">X363</f>
        <v>0</v>
      </c>
      <c r="BX363" s="31" t="n">
        <f aca="false">S363</f>
        <v>0</v>
      </c>
      <c r="BY363" s="31" t="n">
        <f aca="false">Y363</f>
        <v>0</v>
      </c>
      <c r="BZ363" s="32" t="n">
        <f aca="false">IF(BJ363=0,IF(BR363=0,0,1),(BR363-BJ363)/BJ363)</f>
        <v>0</v>
      </c>
      <c r="CA363" s="32" t="n">
        <f aca="false">IF(BK363=0,IF(BS363=0,0,1),(BS363-BK363)/BK363)</f>
        <v>0</v>
      </c>
      <c r="CB363" s="32" t="n">
        <f aca="false">IF(BL363=0,IF(BT363=0,0,1),(BT363-BL363)/BL363)</f>
        <v>0</v>
      </c>
      <c r="CC363" s="32" t="n">
        <f aca="false">IF(BM363=0,IF(BU363=0,0,1),(BU363-BM363)/BM363)</f>
        <v>0</v>
      </c>
      <c r="CD363" s="32" t="n">
        <f aca="false">IF(BN363=0,IF(BV363=0,0,1),(BV363-BN363)/BN363)</f>
        <v>0</v>
      </c>
      <c r="CE363" s="32" t="n">
        <f aca="false">IF(BO363=0,IF(BW363=0,0,1),(BW363-BO363)/BO363)</f>
        <v>0</v>
      </c>
      <c r="CF363" s="32" t="n">
        <f aca="false">IF(BP363=0,IF(BX363=0,0,1),(BX363-BP363)/BP363)</f>
        <v>0</v>
      </c>
      <c r="CG363" s="32" t="n">
        <f aca="false">IF(BQ363=0,IF(BY363=0,0,1),(BY363-BQ363)/BQ363)</f>
        <v>0</v>
      </c>
      <c r="CH363" s="32" t="n">
        <f aca="false">MAX(MAX(BZ363:CG363),-MIN(BZ363:CG363))</f>
        <v>-0</v>
      </c>
      <c r="CI363" s="31" t="n">
        <f aca="false">IF(CO363="","",SUMIFS($CJ$7:$CJ$696,$A$7:$A$696,CO363,$B$7:$B$696,B363))</f>
        <v>444205</v>
      </c>
      <c r="CJ363" s="31" t="n">
        <f aca="false">SUM(AY363:BI363)</f>
        <v>427317</v>
      </c>
      <c r="CK363" s="31" t="str">
        <f aca="false">IFERROR(INDEX(設定!$F$61:$F$106,MATCH(B363,設定!$B$61:$B$106,0)),"Y")</f>
        <v>N</v>
      </c>
      <c r="CL363" s="31" t="str">
        <f aca="false">IFERROR(INDEX(設定!$G$61:$G$106,MATCH(B363,設定!$B$61:$B$106,0)),"外郭型")</f>
        <v>外郭型</v>
      </c>
      <c r="CM363" s="33" t="str">
        <f aca="false">A363&amp;"|"&amp;B363</f>
        <v>2026-10 月例|社会福祉協議会</v>
      </c>
      <c r="CN363" s="34" t="str">
        <f aca="false">IFERROR(INDEX(設定!$D$61:$D$106,MATCH(B363,設定!$B$61:$B$106,0)),"Y")</f>
        <v>Y</v>
      </c>
      <c r="CO363" s="34" t="str">
        <f aca="false">IFERROR(INDEX(設定!$D$20:$D$34,MATCH(A363,設定!$A$20:$A$34,0))&amp;"","")</f>
        <v>2026-09 月例</v>
      </c>
    </row>
    <row r="364" customFormat="false" ht="15" hidden="false" customHeight="false" outlineLevel="0" collapsed="false">
      <c r="A364" s="22" t="s">
        <v>223</v>
      </c>
      <c r="B364" s="23" t="s">
        <v>204</v>
      </c>
      <c r="C364" s="10" t="str">
        <f aca="false">IF(G364="","未受領",IF(G364="なし","報告なし",IF(AL364="○","起票済",IF(OR(AK364="○",F364="一致",F364="入金不要"),"入金確認済","受領済"))))</f>
        <v>未受領</v>
      </c>
      <c r="D364" s="10" t="str">
        <f aca="false">IF(OR(G364="",G364="なし"),"―",IF(CN364="N","対象外",IF(AND(I364="",J364="",K364=""),"標報未入力",IF(CH364&gt;=設定!$B$4,"要確認","問題なし"))))</f>
        <v>―</v>
      </c>
      <c r="E364" s="24" t="str">
        <f aca="false">IF(OR(G364="",G364="なし",CI364="",CJ364=0),"―",IF(CJ364=CI364,"前月同額",IF(CI364=0,"―",IF(ABS(CJ364/CI364-1)&gt;=設定!$B$5,"変動大 "&amp;TEXT(CJ364/CI364-1,"+0%;-0%"),"〇"))))</f>
        <v>―</v>
      </c>
      <c r="F364" s="10" t="str">
        <f aca="false">IF(OR(G364="",G364="なし"),"―",IF(CJ364=0,"入金不要",IF(COUNT(AD364,AF364,AH364,AJ364)=0,IF(AK364="○","手動確認","未入金"),IF(AND(N(AD364)=AC364,IF(AE364="",TRUE(),N(AF364)=AE364),IF(AG364="",TRUE(),N(AH364)=AG364),IF(AI364="",TRUE(),N(AJ364)=AI364)),"一致","不一致"))))</f>
        <v>―</v>
      </c>
      <c r="G364" s="25"/>
      <c r="H364" s="26"/>
      <c r="I364" s="27"/>
      <c r="J364" s="27"/>
      <c r="K364" s="27"/>
      <c r="L364" s="27"/>
      <c r="M364" s="27"/>
      <c r="N364" s="27"/>
      <c r="O364" s="27"/>
      <c r="P364" s="27"/>
      <c r="Q364" s="27"/>
      <c r="R364" s="27"/>
      <c r="S364" s="27"/>
      <c r="T364" s="27"/>
      <c r="U364" s="27"/>
      <c r="V364" s="27"/>
      <c r="W364" s="27"/>
      <c r="X364" s="27"/>
      <c r="Y364" s="27"/>
      <c r="Z364" s="27"/>
      <c r="AA364" s="10" t="str">
        <f aca="false">IFERROR(INDEX(設定!$E$61:$E$106,MATCH(B364,設定!$B$61:$B$106,0)),"合算")</f>
        <v>合算</v>
      </c>
      <c r="AB364" s="28"/>
      <c r="AC364" s="29" t="str">
        <f aca="false">IF(OR(G364="",G364="なし"),"",IF(AA364="合算",CJ364+N(Z364),IF(AA364="掛金・負担金別",(AY364+AZ364+BD364+BF364+BH364),SUM(AY364:BC364))))</f>
        <v/>
      </c>
      <c r="AD364" s="27"/>
      <c r="AE364" s="29" t="str">
        <f aca="false">IF(OR(G364="",G364="なし"),"",IF(AA364="掛金・負担金別",(BA364+BB364+BC364+BE364+BG364+BI364+N(Z364)),IF(AA364="経理区分別",BD364+BE364,"")))</f>
        <v/>
      </c>
      <c r="AF364" s="27"/>
      <c r="AG364" s="29" t="str">
        <f aca="false">IF(OR(G364="",G364="なし"),"",IF(AA364="経理区分別",BF364+BG364,""))</f>
        <v/>
      </c>
      <c r="AH364" s="27"/>
      <c r="AI364" s="29" t="str">
        <f aca="false">IF(OR(G364="",G364="なし"),"",IF(AA364="経理区分別",BH364+BI364+N(Z364),""))</f>
        <v/>
      </c>
      <c r="AJ364" s="27"/>
      <c r="AK364" s="26"/>
      <c r="AL364" s="26"/>
      <c r="AM364" s="30"/>
      <c r="AN364" s="31" t="n">
        <v>124033466</v>
      </c>
      <c r="AO364" s="31" t="n">
        <v>10166678</v>
      </c>
      <c r="AP364" s="31" t="n">
        <v>183571142</v>
      </c>
      <c r="AQ364" s="31" t="n">
        <v>10169978</v>
      </c>
      <c r="AR364" s="31" t="n">
        <v>134503</v>
      </c>
      <c r="AS364" s="31" t="n">
        <v>96329196</v>
      </c>
      <c r="AT364" s="31" t="n">
        <v>96541373</v>
      </c>
      <c r="AU364" s="31" t="n">
        <v>7758167</v>
      </c>
      <c r="AV364" s="31" t="n">
        <v>7761643</v>
      </c>
      <c r="AW364" s="31" t="n">
        <v>1</v>
      </c>
      <c r="AX364" s="31" t="n">
        <v>1</v>
      </c>
      <c r="AY364" s="31" t="n">
        <f aca="false">IF($G364="",AN364,O364)</f>
        <v>124033466</v>
      </c>
      <c r="AZ364" s="31" t="n">
        <f aca="false">IF($G364="",AO364,P364)</f>
        <v>10166678</v>
      </c>
      <c r="BA364" s="31" t="n">
        <f aca="false">IF($G364="",AP364,T364)</f>
        <v>183571142</v>
      </c>
      <c r="BB364" s="31" t="n">
        <f aca="false">IF($G364="",AQ364,U364)</f>
        <v>10169978</v>
      </c>
      <c r="BC364" s="31" t="n">
        <f aca="false">IF($G364="",AR364,V364)</f>
        <v>134503</v>
      </c>
      <c r="BD364" s="31" t="n">
        <f aca="false">IF($G364="",AS364,Q364)</f>
        <v>96329196</v>
      </c>
      <c r="BE364" s="31" t="n">
        <f aca="false">IF($G364="",AT364,W364)</f>
        <v>96541373</v>
      </c>
      <c r="BF364" s="31" t="n">
        <f aca="false">IF($G364="",AU364,R364)</f>
        <v>7758167</v>
      </c>
      <c r="BG364" s="31" t="n">
        <f aca="false">IF($G364="",AV364,X364)</f>
        <v>7761643</v>
      </c>
      <c r="BH364" s="31" t="n">
        <f aca="false">IF($G364="",AW364,S364)</f>
        <v>1</v>
      </c>
      <c r="BI364" s="31" t="n">
        <f aca="false">IF($G364="",AX364,Y364)</f>
        <v>1</v>
      </c>
      <c r="BJ364" s="31" t="n">
        <f aca="false">IF(CK364="N",BR364,ROUNDDOWN((I364-L364)*設定!$B$10/1000,0)+ROUNDDOWN((I364-L364)*設定!$B$11/1000,0))</f>
        <v>0</v>
      </c>
      <c r="BK364" s="31" t="n">
        <f aca="false">ROUNDDOWN((I364-L364)*設定!$C$10/1000,0)+ROUNDDOWN((I364-L364)*設定!$C$11/1000,0)+ROUNDDOWN(I364*設定!$C$12/1000,0)+IF(CL364="市局型",ROUNDDOWN(I364*設定!$C$16/1000,0),0)</f>
        <v>0</v>
      </c>
      <c r="BL364" s="31" t="n">
        <f aca="false">IF(CK364="N",BT364,ROUNDDOWN((J364-M364)*設定!$B$13/1000,0))</f>
        <v>0</v>
      </c>
      <c r="BM364" s="31" t="n">
        <f aca="false">ROUNDDOWN((J364-M364)*設定!$C$13/1000,0)+IF(CL364="市局型",ROUNDDOWN(J364*設定!$C$17/1000,0),0)</f>
        <v>0</v>
      </c>
      <c r="BN364" s="31" t="n">
        <f aca="false">IF(CK364="N",BV364,ROUNDDOWN((K364-N364)*設定!$B$14/1000,0))</f>
        <v>0</v>
      </c>
      <c r="BO364" s="31" t="n">
        <f aca="false">ROUNDDOWN((K364-N364)*設定!$C$14/1000,0)</f>
        <v>0</v>
      </c>
      <c r="BP364" s="31" t="n">
        <f aca="false">IF(CK364="N",BX364,ROUNDDOWN((J364-M364)*設定!$B$15/1000,0))</f>
        <v>0</v>
      </c>
      <c r="BQ364" s="31" t="n">
        <f aca="false">ROUNDDOWN((J364-M364)*設定!$C$15/1000,0)</f>
        <v>0</v>
      </c>
      <c r="BR364" s="31" t="n">
        <f aca="false">O364+P364</f>
        <v>0</v>
      </c>
      <c r="BS364" s="31" t="n">
        <f aca="false">T364+U364+V364</f>
        <v>0</v>
      </c>
      <c r="BT364" s="31" t="n">
        <f aca="false">Q364</f>
        <v>0</v>
      </c>
      <c r="BU364" s="31" t="n">
        <f aca="false">W364</f>
        <v>0</v>
      </c>
      <c r="BV364" s="31" t="n">
        <f aca="false">R364</f>
        <v>0</v>
      </c>
      <c r="BW364" s="31" t="n">
        <f aca="false">X364</f>
        <v>0</v>
      </c>
      <c r="BX364" s="31" t="n">
        <f aca="false">S364</f>
        <v>0</v>
      </c>
      <c r="BY364" s="31" t="n">
        <f aca="false">Y364</f>
        <v>0</v>
      </c>
      <c r="BZ364" s="32" t="n">
        <f aca="false">IF(BJ364=0,IF(BR364=0,0,1),(BR364-BJ364)/BJ364)</f>
        <v>0</v>
      </c>
      <c r="CA364" s="32" t="n">
        <f aca="false">IF(BK364=0,IF(BS364=0,0,1),(BS364-BK364)/BK364)</f>
        <v>0</v>
      </c>
      <c r="CB364" s="32" t="n">
        <f aca="false">IF(BL364=0,IF(BT364=0,0,1),(BT364-BL364)/BL364)</f>
        <v>0</v>
      </c>
      <c r="CC364" s="32" t="n">
        <f aca="false">IF(BM364=0,IF(BU364=0,0,1),(BU364-BM364)/BM364)</f>
        <v>0</v>
      </c>
      <c r="CD364" s="32" t="n">
        <f aca="false">IF(BN364=0,IF(BV364=0,0,1),(BV364-BN364)/BN364)</f>
        <v>0</v>
      </c>
      <c r="CE364" s="32" t="n">
        <f aca="false">IF(BO364=0,IF(BW364=0,0,1),(BW364-BO364)/BO364)</f>
        <v>0</v>
      </c>
      <c r="CF364" s="32" t="n">
        <f aca="false">IF(BP364=0,IF(BX364=0,0,1),(BX364-BP364)/BP364)</f>
        <v>0</v>
      </c>
      <c r="CG364" s="32" t="n">
        <f aca="false">IF(BQ364=0,IF(BY364=0,0,1),(BY364-BQ364)/BQ364)</f>
        <v>0</v>
      </c>
      <c r="CH364" s="32" t="n">
        <f aca="false">MAX(MAX(BZ364:CG364),-MIN(BZ364:CG364))</f>
        <v>-0</v>
      </c>
      <c r="CI364" s="31" t="n">
        <f aca="false">IF(CO364="","",SUMIFS($CJ$7:$CJ$696,$A$7:$A$696,CO364,$B$7:$B$696,B364))</f>
        <v>544461191</v>
      </c>
      <c r="CJ364" s="31" t="n">
        <f aca="false">SUM(AY364:BI364)</f>
        <v>536466148</v>
      </c>
      <c r="CK364" s="31" t="str">
        <f aca="false">IFERROR(INDEX(設定!$F$61:$F$106,MATCH(B364,設定!$B$61:$B$106,0)),"Y")</f>
        <v>Y</v>
      </c>
      <c r="CL364" s="31" t="str">
        <f aca="false">IFERROR(INDEX(設定!$G$61:$G$106,MATCH(B364,設定!$B$61:$B$106,0)),"外郭型")</f>
        <v>外郭型</v>
      </c>
      <c r="CM364" s="33" t="str">
        <f aca="false">A364&amp;"|"&amp;B364</f>
        <v>2026-10 月例|市立病院機構</v>
      </c>
      <c r="CN364" s="34" t="str">
        <f aca="false">IFERROR(INDEX(設定!$D$61:$D$106,MATCH(B364,設定!$B$61:$B$106,0)),"Y")</f>
        <v>N</v>
      </c>
      <c r="CO364" s="34" t="str">
        <f aca="false">IFERROR(INDEX(設定!$D$20:$D$34,MATCH(A364,設定!$A$20:$A$34,0))&amp;"","")</f>
        <v>2026-09 月例</v>
      </c>
    </row>
    <row r="365" customFormat="false" ht="15" hidden="false" customHeight="false" outlineLevel="0" collapsed="false">
      <c r="A365" s="22" t="s">
        <v>223</v>
      </c>
      <c r="B365" s="23" t="s">
        <v>205</v>
      </c>
      <c r="C365" s="10" t="str">
        <f aca="false">IF(G365="","未受領",IF(G365="なし","報告なし",IF(AL365="○","起票済",IF(OR(AK365="○",F365="一致",F365="入金不要"),"入金確認済","受領済"))))</f>
        <v>未受領</v>
      </c>
      <c r="D365" s="10" t="str">
        <f aca="false">IF(OR(G365="",G365="なし"),"―",IF(CN365="N","対象外",IF(AND(I365="",J365="",K365=""),"標報未入力",IF(CH365&gt;=設定!$B$4,"要確認","問題なし"))))</f>
        <v>―</v>
      </c>
      <c r="E365" s="24" t="str">
        <f aca="false">IF(OR(G365="",G365="なし",CI365="",CJ365=0),"―",IF(CJ365=CI365,"前月同額",IF(CI365=0,"―",IF(ABS(CJ365/CI365-1)&gt;=設定!$B$5,"変動大 "&amp;TEXT(CJ365/CI365-1,"+0%;-0%"),"〇"))))</f>
        <v>―</v>
      </c>
      <c r="F365" s="10" t="str">
        <f aca="false">IF(OR(G365="",G365="なし"),"―",IF(CJ365=0,"入金不要",IF(COUNT(AD365,AF365,AH365,AJ365)=0,IF(AK365="○","手動確認","未入金"),IF(AND(N(AD365)=AC365,IF(AE365="",TRUE(),N(AF365)=AE365),IF(AG365="",TRUE(),N(AH365)=AG365),IF(AI365="",TRUE(),N(AJ365)=AI365)),"一致","不一致"))))</f>
        <v>―</v>
      </c>
      <c r="G365" s="25"/>
      <c r="H365" s="26"/>
      <c r="I365" s="27"/>
      <c r="J365" s="27"/>
      <c r="K365" s="27"/>
      <c r="L365" s="27"/>
      <c r="M365" s="27"/>
      <c r="N365" s="27"/>
      <c r="O365" s="27"/>
      <c r="P365" s="27"/>
      <c r="Q365" s="27"/>
      <c r="R365" s="27"/>
      <c r="S365" s="27"/>
      <c r="T365" s="27"/>
      <c r="U365" s="27"/>
      <c r="V365" s="27"/>
      <c r="W365" s="27"/>
      <c r="X365" s="27"/>
      <c r="Y365" s="27"/>
      <c r="Z365" s="27"/>
      <c r="AA365" s="10" t="str">
        <f aca="false">IFERROR(INDEX(設定!$E$61:$E$106,MATCH(B365,設定!$B$61:$B$106,0)),"合算")</f>
        <v>合算</v>
      </c>
      <c r="AB365" s="28"/>
      <c r="AC365" s="29" t="str">
        <f aca="false">IF(OR(G365="",G365="なし"),"",IF(AA365="合算",CJ365+N(Z365),IF(AA365="掛金・負担金別",(AY365+AZ365+BD365+BF365+BH365),SUM(AY365:BC365))))</f>
        <v/>
      </c>
      <c r="AD365" s="27"/>
      <c r="AE365" s="29" t="str">
        <f aca="false">IF(OR(G365="",G365="なし"),"",IF(AA365="掛金・負担金別",(BA365+BB365+BC365+BE365+BG365+BI365+N(Z365)),IF(AA365="経理区分別",BD365+BE365,"")))</f>
        <v/>
      </c>
      <c r="AF365" s="27"/>
      <c r="AG365" s="29" t="str">
        <f aca="false">IF(OR(G365="",G365="なし"),"",IF(AA365="経理区分別",BF365+BG365,""))</f>
        <v/>
      </c>
      <c r="AH365" s="27"/>
      <c r="AI365" s="29" t="str">
        <f aca="false">IF(OR(G365="",G365="なし"),"",IF(AA365="経理区分別",BH365+BI365+N(Z365),""))</f>
        <v/>
      </c>
      <c r="AJ365" s="27"/>
      <c r="AK365" s="26"/>
      <c r="AL365" s="26"/>
      <c r="AM365" s="30"/>
      <c r="AN365" s="31"/>
      <c r="AO365" s="31"/>
      <c r="AP365" s="31"/>
      <c r="AQ365" s="31"/>
      <c r="AR365" s="31"/>
      <c r="AS365" s="31" t="n">
        <v>88012</v>
      </c>
      <c r="AT365" s="31" t="n">
        <v>108566</v>
      </c>
      <c r="AU365" s="31" t="n">
        <v>9322</v>
      </c>
      <c r="AV365" s="31" t="n">
        <v>12245</v>
      </c>
      <c r="AW365" s="31" t="n">
        <v>1</v>
      </c>
      <c r="AX365" s="31" t="n">
        <v>1</v>
      </c>
      <c r="AY365" s="31" t="n">
        <f aca="false">IF($G365="",AN365,O365)</f>
        <v>0</v>
      </c>
      <c r="AZ365" s="31" t="n">
        <f aca="false">IF($G365="",AO365,P365)</f>
        <v>0</v>
      </c>
      <c r="BA365" s="31" t="n">
        <f aca="false">IF($G365="",AP365,T365)</f>
        <v>0</v>
      </c>
      <c r="BB365" s="31" t="n">
        <f aca="false">IF($G365="",AQ365,U365)</f>
        <v>0</v>
      </c>
      <c r="BC365" s="31" t="n">
        <f aca="false">IF($G365="",AR365,V365)</f>
        <v>0</v>
      </c>
      <c r="BD365" s="31" t="n">
        <f aca="false">IF($G365="",AS365,Q365)</f>
        <v>88012</v>
      </c>
      <c r="BE365" s="31" t="n">
        <f aca="false">IF($G365="",AT365,W365)</f>
        <v>108566</v>
      </c>
      <c r="BF365" s="31" t="n">
        <f aca="false">IF($G365="",AU365,R365)</f>
        <v>9322</v>
      </c>
      <c r="BG365" s="31" t="n">
        <f aca="false">IF($G365="",AV365,X365)</f>
        <v>12245</v>
      </c>
      <c r="BH365" s="31" t="n">
        <f aca="false">IF($G365="",AW365,S365)</f>
        <v>1</v>
      </c>
      <c r="BI365" s="31" t="n">
        <f aca="false">IF($G365="",AX365,Y365)</f>
        <v>1</v>
      </c>
      <c r="BJ365" s="31" t="n">
        <f aca="false">IF(CK365="N",BR365,ROUNDDOWN((I365-L365)*設定!$B$10/1000,0)+ROUNDDOWN((I365-L365)*設定!$B$11/1000,0))</f>
        <v>0</v>
      </c>
      <c r="BK365" s="31" t="n">
        <f aca="false">ROUNDDOWN((I365-L365)*設定!$C$10/1000,0)+ROUNDDOWN((I365-L365)*設定!$C$11/1000,0)+ROUNDDOWN(I365*設定!$C$12/1000,0)+IF(CL365="市局型",ROUNDDOWN(I365*設定!$C$16/1000,0),0)</f>
        <v>0</v>
      </c>
      <c r="BL365" s="31" t="n">
        <f aca="false">IF(CK365="N",BT365,ROUNDDOWN((J365-M365)*設定!$B$13/1000,0))</f>
        <v>0</v>
      </c>
      <c r="BM365" s="31" t="n">
        <f aca="false">ROUNDDOWN((J365-M365)*設定!$C$13/1000,0)+IF(CL365="市局型",ROUNDDOWN(J365*設定!$C$17/1000,0),0)</f>
        <v>0</v>
      </c>
      <c r="BN365" s="31" t="n">
        <f aca="false">IF(CK365="N",BV365,ROUNDDOWN((K365-N365)*設定!$B$14/1000,0))</f>
        <v>0</v>
      </c>
      <c r="BO365" s="31" t="n">
        <f aca="false">ROUNDDOWN((K365-N365)*設定!$C$14/1000,0)</f>
        <v>0</v>
      </c>
      <c r="BP365" s="31" t="n">
        <f aca="false">IF(CK365="N",BX365,ROUNDDOWN((J365-M365)*設定!$B$15/1000,0))</f>
        <v>0</v>
      </c>
      <c r="BQ365" s="31" t="n">
        <f aca="false">ROUNDDOWN((J365-M365)*設定!$C$15/1000,0)</f>
        <v>0</v>
      </c>
      <c r="BR365" s="31" t="n">
        <f aca="false">O365+P365</f>
        <v>0</v>
      </c>
      <c r="BS365" s="31" t="n">
        <f aca="false">T365+U365+V365</f>
        <v>0</v>
      </c>
      <c r="BT365" s="31" t="n">
        <f aca="false">Q365</f>
        <v>0</v>
      </c>
      <c r="BU365" s="31" t="n">
        <f aca="false">W365</f>
        <v>0</v>
      </c>
      <c r="BV365" s="31" t="n">
        <f aca="false">R365</f>
        <v>0</v>
      </c>
      <c r="BW365" s="31" t="n">
        <f aca="false">X365</f>
        <v>0</v>
      </c>
      <c r="BX365" s="31" t="n">
        <f aca="false">S365</f>
        <v>0</v>
      </c>
      <c r="BY365" s="31" t="n">
        <f aca="false">Y365</f>
        <v>0</v>
      </c>
      <c r="BZ365" s="32" t="n">
        <f aca="false">IF(BJ365=0,IF(BR365=0,0,1),(BR365-BJ365)/BJ365)</f>
        <v>0</v>
      </c>
      <c r="CA365" s="32" t="n">
        <f aca="false">IF(BK365=0,IF(BS365=0,0,1),(BS365-BK365)/BK365)</f>
        <v>0</v>
      </c>
      <c r="CB365" s="32" t="n">
        <f aca="false">IF(BL365=0,IF(BT365=0,0,1),(BT365-BL365)/BL365)</f>
        <v>0</v>
      </c>
      <c r="CC365" s="32" t="n">
        <f aca="false">IF(BM365=0,IF(BU365=0,0,1),(BU365-BM365)/BM365)</f>
        <v>0</v>
      </c>
      <c r="CD365" s="32" t="n">
        <f aca="false">IF(BN365=0,IF(BV365=0,0,1),(BV365-BN365)/BN365)</f>
        <v>0</v>
      </c>
      <c r="CE365" s="32" t="n">
        <f aca="false">IF(BO365=0,IF(BW365=0,0,1),(BW365-BO365)/BO365)</f>
        <v>0</v>
      </c>
      <c r="CF365" s="32" t="n">
        <f aca="false">IF(BP365=0,IF(BX365=0,0,1),(BX365-BP365)/BP365)</f>
        <v>0</v>
      </c>
      <c r="CG365" s="32" t="n">
        <f aca="false">IF(BQ365=0,IF(BY365=0,0,1),(BY365-BQ365)/BQ365)</f>
        <v>0</v>
      </c>
      <c r="CH365" s="32" t="n">
        <f aca="false">MAX(MAX(BZ365:CG365),-MIN(BZ365:CG365))</f>
        <v>-0</v>
      </c>
      <c r="CI365" s="31" t="n">
        <f aca="false">IF(CO365="","",SUMIFS($CJ$7:$CJ$696,$A$7:$A$696,CO365,$B$7:$B$696,B365))</f>
        <v>235630</v>
      </c>
      <c r="CJ365" s="31" t="n">
        <f aca="false">SUM(AY365:BI365)</f>
        <v>218147</v>
      </c>
      <c r="CK365" s="31" t="str">
        <f aca="false">IFERROR(INDEX(設定!$F$61:$F$106,MATCH(B365,設定!$B$61:$B$106,0)),"Y")</f>
        <v>Y</v>
      </c>
      <c r="CL365" s="31" t="str">
        <f aca="false">IFERROR(INDEX(設定!$G$61:$G$106,MATCH(B365,設定!$B$61:$B$106,0)),"外郭型")</f>
        <v>外郭型</v>
      </c>
      <c r="CM365" s="33" t="str">
        <f aca="false">A365&amp;"|"&amp;B365</f>
        <v>2026-10 月例|職員共済組合</v>
      </c>
      <c r="CN365" s="34" t="str">
        <f aca="false">IFERROR(INDEX(設定!$D$61:$D$106,MATCH(B365,設定!$B$61:$B$106,0)),"Y")</f>
        <v>N</v>
      </c>
      <c r="CO365" s="34" t="str">
        <f aca="false">IFERROR(INDEX(設定!$D$20:$D$34,MATCH(A365,設定!$A$20:$A$34,0))&amp;"","")</f>
        <v>2026-09 月例</v>
      </c>
    </row>
    <row r="366" customFormat="false" ht="26.85" hidden="false" customHeight="false" outlineLevel="0" collapsed="false">
      <c r="A366" s="22" t="s">
        <v>223</v>
      </c>
      <c r="B366" s="35" t="s">
        <v>216</v>
      </c>
      <c r="C366" s="10" t="str">
        <f aca="false">IF(G366="","未受領",IF(G366="なし","報告なし",IF(AL366="○","起票済",IF(OR(AK366="○",F366="一致",F366="入金不要"),"入金確認済","受領済"))))</f>
        <v>報告なし</v>
      </c>
      <c r="D366" s="10" t="str">
        <f aca="false">IF(OR(G366="",G366="なし"),"―",IF(CN366="N","対象外",IF(AND(I366="",J366="",K366=""),"標報未入力",IF(CH366&gt;=設定!$B$4,"要確認","問題なし"))))</f>
        <v>―</v>
      </c>
      <c r="E366" s="24" t="str">
        <f aca="false">IF(OR(G366="",G366="なし",CI366="",CJ366=0),"―",IF(CJ366=CI366,"前月同額",IF(CI366=0,"―",IF(ABS(CJ366/CI366-1)&gt;=設定!$B$5,"変動大 "&amp;TEXT(CJ366/CI366-1,"+0%;-0%"),"〇"))))</f>
        <v>―</v>
      </c>
      <c r="F366" s="10" t="str">
        <f aca="false">IF(OR(G366="",G366="なし"),"―",IF(CJ366=0,"入金不要",IF(COUNT(AD366,AF366,AH366,AJ366)=0,IF(AK366="○","手動確認","未入金"),IF(AND(N(AD366)=AC366,IF(AE366="",TRUE(),N(AF366)=AE366),IF(AG366="",TRUE(),N(AH366)=AG366),IF(AI366="",TRUE(),N(AJ366)=AI366)),"一致","不一致"))))</f>
        <v>―</v>
      </c>
      <c r="G366" s="25" t="s">
        <v>181</v>
      </c>
      <c r="H366" s="26"/>
      <c r="I366" s="27"/>
      <c r="J366" s="27"/>
      <c r="K366" s="27"/>
      <c r="L366" s="27"/>
      <c r="M366" s="27"/>
      <c r="N366" s="27"/>
      <c r="O366" s="27"/>
      <c r="P366" s="27"/>
      <c r="Q366" s="27"/>
      <c r="R366" s="27"/>
      <c r="S366" s="27"/>
      <c r="T366" s="27"/>
      <c r="U366" s="27"/>
      <c r="V366" s="27"/>
      <c r="W366" s="27"/>
      <c r="X366" s="27"/>
      <c r="Y366" s="27"/>
      <c r="Z366" s="27"/>
      <c r="AA366" s="10" t="str">
        <f aca="false">IFERROR(INDEX(設定!$E$61:$E$106,MATCH(B366,設定!$B$61:$B$106,0)),"合算")</f>
        <v>合算</v>
      </c>
      <c r="AB366" s="28"/>
      <c r="AC366" s="29" t="str">
        <f aca="false">IF(OR(G366="",G366="なし"),"",IF(AA366="合算",CJ366+N(Z366),IF(AA366="掛金・負担金別",(AY366+AZ366+BD366+BF366+BH366),SUM(AY366:BC366))))</f>
        <v/>
      </c>
      <c r="AD366" s="27"/>
      <c r="AE366" s="29" t="str">
        <f aca="false">IF(OR(G366="",G366="なし"),"",IF(AA366="掛金・負担金別",(BA366+BB366+BC366+BE366+BG366+BI366+N(Z366)),IF(AA366="経理区分別",BD366+BE366,"")))</f>
        <v/>
      </c>
      <c r="AF366" s="27"/>
      <c r="AG366" s="29" t="str">
        <f aca="false">IF(OR(G366="",G366="なし"),"",IF(AA366="経理区分別",BF366+BG366,""))</f>
        <v/>
      </c>
      <c r="AH366" s="27"/>
      <c r="AI366" s="29" t="str">
        <f aca="false">IF(OR(G366="",G366="なし"),"",IF(AA366="経理区分別",BH366+BI366+N(Z366),""))</f>
        <v/>
      </c>
      <c r="AJ366" s="27"/>
      <c r="AK366" s="26"/>
      <c r="AL366" s="26"/>
      <c r="AM366" s="30"/>
      <c r="AN366" s="31"/>
      <c r="AO366" s="31"/>
      <c r="AP366" s="31"/>
      <c r="AQ366" s="31"/>
      <c r="AR366" s="31"/>
      <c r="AS366" s="31"/>
      <c r="AT366" s="31"/>
      <c r="AU366" s="31"/>
      <c r="AV366" s="31"/>
      <c r="AW366" s="31"/>
      <c r="AX366" s="31"/>
      <c r="AY366" s="31" t="n">
        <f aca="false">IF($G366="",AN366,O366)</f>
        <v>0</v>
      </c>
      <c r="AZ366" s="31" t="n">
        <f aca="false">IF($G366="",AO366,P366)</f>
        <v>0</v>
      </c>
      <c r="BA366" s="31" t="n">
        <f aca="false">IF($G366="",AP366,T366)</f>
        <v>0</v>
      </c>
      <c r="BB366" s="31" t="n">
        <f aca="false">IF($G366="",AQ366,U366)</f>
        <v>0</v>
      </c>
      <c r="BC366" s="31" t="n">
        <f aca="false">IF($G366="",AR366,V366)</f>
        <v>0</v>
      </c>
      <c r="BD366" s="31" t="n">
        <f aca="false">IF($G366="",AS366,Q366)</f>
        <v>0</v>
      </c>
      <c r="BE366" s="31" t="n">
        <f aca="false">IF($G366="",AT366,W366)</f>
        <v>0</v>
      </c>
      <c r="BF366" s="31" t="n">
        <f aca="false">IF($G366="",AU366,R366)</f>
        <v>0</v>
      </c>
      <c r="BG366" s="31" t="n">
        <f aca="false">IF($G366="",AV366,X366)</f>
        <v>0</v>
      </c>
      <c r="BH366" s="31" t="n">
        <f aca="false">IF($G366="",AW366,S366)</f>
        <v>0</v>
      </c>
      <c r="BI366" s="31" t="n">
        <f aca="false">IF($G366="",AX366,Y366)</f>
        <v>0</v>
      </c>
      <c r="BJ366" s="31" t="n">
        <f aca="false">IF(CK366="N",BR366,ROUNDDOWN((I366-L366)*設定!$B$10/1000,0)+ROUNDDOWN((I366-L366)*設定!$B$11/1000,0))</f>
        <v>0</v>
      </c>
      <c r="BK366" s="31" t="n">
        <f aca="false">ROUNDDOWN((I366-L366)*設定!$C$10/1000,0)+ROUNDDOWN((I366-L366)*設定!$C$11/1000,0)+ROUNDDOWN(I366*設定!$C$12/1000,0)+IF(CL366="市局型",ROUNDDOWN(I366*設定!$C$16/1000,0),0)</f>
        <v>0</v>
      </c>
      <c r="BL366" s="31" t="n">
        <f aca="false">IF(CK366="N",BT366,ROUNDDOWN((J366-M366)*設定!$B$13/1000,0))</f>
        <v>0</v>
      </c>
      <c r="BM366" s="31" t="n">
        <f aca="false">ROUNDDOWN((J366-M366)*設定!$C$13/1000,0)+IF(CL366="市局型",ROUNDDOWN(J366*設定!$C$17/1000,0),0)</f>
        <v>0</v>
      </c>
      <c r="BN366" s="31" t="n">
        <f aca="false">IF(CK366="N",BV366,ROUNDDOWN((K366-N366)*設定!$B$14/1000,0))</f>
        <v>0</v>
      </c>
      <c r="BO366" s="31" t="n">
        <f aca="false">ROUNDDOWN((K366-N366)*設定!$C$14/1000,0)</f>
        <v>0</v>
      </c>
      <c r="BP366" s="31" t="n">
        <f aca="false">IF(CK366="N",BX366,ROUNDDOWN((J366-M366)*設定!$B$15/1000,0))</f>
        <v>0</v>
      </c>
      <c r="BQ366" s="31" t="n">
        <f aca="false">ROUNDDOWN((J366-M366)*設定!$C$15/1000,0)</f>
        <v>0</v>
      </c>
      <c r="BR366" s="31" t="n">
        <f aca="false">O366+P366</f>
        <v>0</v>
      </c>
      <c r="BS366" s="31" t="n">
        <f aca="false">T366+U366+V366</f>
        <v>0</v>
      </c>
      <c r="BT366" s="31" t="n">
        <f aca="false">Q366</f>
        <v>0</v>
      </c>
      <c r="BU366" s="31" t="n">
        <f aca="false">W366</f>
        <v>0</v>
      </c>
      <c r="BV366" s="31" t="n">
        <f aca="false">R366</f>
        <v>0</v>
      </c>
      <c r="BW366" s="31" t="n">
        <f aca="false">X366</f>
        <v>0</v>
      </c>
      <c r="BX366" s="31" t="n">
        <f aca="false">S366</f>
        <v>0</v>
      </c>
      <c r="BY366" s="31" t="n">
        <f aca="false">Y366</f>
        <v>0</v>
      </c>
      <c r="BZ366" s="32" t="n">
        <f aca="false">IF(BJ366=0,IF(BR366=0,0,1),(BR366-BJ366)/BJ366)</f>
        <v>0</v>
      </c>
      <c r="CA366" s="32" t="n">
        <f aca="false">IF(BK366=0,IF(BS366=0,0,1),(BS366-BK366)/BK366)</f>
        <v>0</v>
      </c>
      <c r="CB366" s="32" t="n">
        <f aca="false">IF(BL366=0,IF(BT366=0,0,1),(BT366-BL366)/BL366)</f>
        <v>0</v>
      </c>
      <c r="CC366" s="32" t="n">
        <f aca="false">IF(BM366=0,IF(BU366=0,0,1),(BU366-BM366)/BM366)</f>
        <v>0</v>
      </c>
      <c r="CD366" s="32" t="n">
        <f aca="false">IF(BN366=0,IF(BV366=0,0,1),(BV366-BN366)/BN366)</f>
        <v>0</v>
      </c>
      <c r="CE366" s="32" t="n">
        <f aca="false">IF(BO366=0,IF(BW366=0,0,1),(BW366-BO366)/BO366)</f>
        <v>0</v>
      </c>
      <c r="CF366" s="32" t="n">
        <f aca="false">IF(BP366=0,IF(BX366=0,0,1),(BX366-BP366)/BP366)</f>
        <v>0</v>
      </c>
      <c r="CG366" s="32" t="n">
        <f aca="false">IF(BQ366=0,IF(BY366=0,0,1),(BY366-BQ366)/BQ366)</f>
        <v>0</v>
      </c>
      <c r="CH366" s="32" t="n">
        <f aca="false">MAX(MAX(BZ366:CG366),-MIN(BZ366:CG366))</f>
        <v>-0</v>
      </c>
      <c r="CI366" s="31" t="n">
        <f aca="false">IF(CO366="","",SUMIFS($CJ$7:$CJ$696,$A$7:$A$696,CO366,$B$7:$B$696,B366))</f>
        <v>0</v>
      </c>
      <c r="CJ366" s="31" t="n">
        <f aca="false">SUM(AY366:BI366)</f>
        <v>0</v>
      </c>
      <c r="CK366" s="31" t="str">
        <f aca="false">IFERROR(INDEX(設定!$F$61:$F$106,MATCH(B366,設定!$B$61:$B$106,0)),"Y")</f>
        <v>N</v>
      </c>
      <c r="CL366" s="31" t="str">
        <f aca="false">IFERROR(INDEX(設定!$G$61:$G$106,MATCH(B366,設定!$B$61:$B$106,0)),"外郭型")</f>
        <v>外郭型</v>
      </c>
      <c r="CM366" s="36" t="str">
        <f aca="false">A366&amp;"|"&amp;B366</f>
        <v>2026-10 月例|地方公共団体
情報システム機構</v>
      </c>
      <c r="CN366" s="34" t="str">
        <f aca="false">IFERROR(INDEX(設定!$D$61:$D$106,MATCH(B366,設定!$B$61:$B$106,0)),"Y")</f>
        <v>Y</v>
      </c>
      <c r="CO366" s="34" t="str">
        <f aca="false">IFERROR(INDEX(設定!$D$20:$D$34,MATCH(A366,設定!$A$20:$A$34,0))&amp;"","")</f>
        <v>2026-09 月例</v>
      </c>
    </row>
    <row r="367" customFormat="false" ht="15" hidden="false" customHeight="false" outlineLevel="0" collapsed="false">
      <c r="A367" s="22" t="s">
        <v>223</v>
      </c>
      <c r="B367" s="23" t="s">
        <v>207</v>
      </c>
      <c r="C367" s="10" t="str">
        <f aca="false">IF(G367="","未受領",IF(G367="なし","報告なし",IF(AL367="○","起票済",IF(OR(AK367="○",F367="一致",F367="入金不要"),"入金確認済","受領済"))))</f>
        <v>受領済</v>
      </c>
      <c r="D367" s="10" t="str">
        <f aca="false">IF(OR(G367="",G367="なし"),"―",IF(CN367="N","対象外",IF(AND(I367="",J367="",K367=""),"標報未入力",IF(CH367&gt;=設定!$B$4,"要確認","問題なし"))))</f>
        <v>標報未入力</v>
      </c>
      <c r="E367" s="24" t="str">
        <f aca="false">IF(OR(G367="",G367="なし",CI367="",CJ367=0),"―",IF(CJ367=CI367,"前月同額",IF(CI367=0,"―",IF(ABS(CJ367/CI367-1)&gt;=設定!$B$5,"変動大 "&amp;TEXT(CJ367/CI367-1,"+0%;-0%"),"〇"))))</f>
        <v>前月同額</v>
      </c>
      <c r="F367" s="10" t="str">
        <f aca="false">IF(OR(G367="",G367="なし"),"―",IF(CJ367=0,"入金不要",IF(COUNT(AD367,AF367,AH367,AJ367)=0,IF(AK367="○","手動確認","未入金"),IF(AND(N(AD367)=AC367,IF(AE367="",TRUE(),N(AF367)=AE367),IF(AG367="",TRUE(),N(AH367)=AG367),IF(AI367="",TRUE(),N(AJ367)=AI367)),"一致","不一致"))))</f>
        <v>未入金</v>
      </c>
      <c r="G367" s="25" t="s">
        <v>167</v>
      </c>
      <c r="H367" s="26"/>
      <c r="I367" s="27"/>
      <c r="J367" s="27"/>
      <c r="K367" s="27"/>
      <c r="L367" s="27"/>
      <c r="M367" s="27"/>
      <c r="N367" s="27"/>
      <c r="O367" s="27" t="n">
        <v>118950</v>
      </c>
      <c r="P367" s="27" t="n">
        <v>9750</v>
      </c>
      <c r="Q367" s="27" t="n">
        <v>86605</v>
      </c>
      <c r="R367" s="27" t="n">
        <v>13193</v>
      </c>
      <c r="S367" s="27" t="n">
        <v>1920</v>
      </c>
      <c r="T367" s="27" t="n">
        <v>118950</v>
      </c>
      <c r="U367" s="27" t="n">
        <v>9750</v>
      </c>
      <c r="V367" s="27" t="n">
        <v>112</v>
      </c>
      <c r="W367" s="27" t="n">
        <v>86689</v>
      </c>
      <c r="X367" s="27" t="n">
        <v>13193</v>
      </c>
      <c r="Y367" s="27" t="n">
        <v>1920</v>
      </c>
      <c r="Z367" s="27"/>
      <c r="AA367" s="10" t="str">
        <f aca="false">IFERROR(INDEX(設定!$E$61:$E$106,MATCH(B367,設定!$B$61:$B$106,0)),"合算")</f>
        <v>合算</v>
      </c>
      <c r="AB367" s="28"/>
      <c r="AC367" s="29" t="n">
        <f aca="false">IF(OR(G367="",G367="なし"),"",IF(AA367="合算",CJ367+N(Z367),IF(AA367="掛金・負担金別",(AY367+AZ367+BD367+BF367+BH367),SUM(AY367:BC367))))</f>
        <v>461032</v>
      </c>
      <c r="AD367" s="27"/>
      <c r="AE367" s="29" t="str">
        <f aca="false">IF(OR(G367="",G367="なし"),"",IF(AA367="掛金・負担金別",(BA367+BB367+BC367+BE367+BG367+BI367+N(Z367)),IF(AA367="経理区分別",BD367+BE367,"")))</f>
        <v/>
      </c>
      <c r="AF367" s="27"/>
      <c r="AG367" s="29" t="str">
        <f aca="false">IF(OR(G367="",G367="なし"),"",IF(AA367="経理区分別",BF367+BG367,""))</f>
        <v/>
      </c>
      <c r="AH367" s="27"/>
      <c r="AI367" s="29" t="str">
        <f aca="false">IF(OR(G367="",G367="なし"),"",IF(AA367="経理区分別",BH367+BI367+N(Z367),""))</f>
        <v/>
      </c>
      <c r="AJ367" s="27"/>
      <c r="AK367" s="26"/>
      <c r="AL367" s="26"/>
      <c r="AM367" s="30"/>
      <c r="AN367" s="31"/>
      <c r="AO367" s="31"/>
      <c r="AP367" s="31"/>
      <c r="AQ367" s="31"/>
      <c r="AR367" s="31"/>
      <c r="AS367" s="31"/>
      <c r="AT367" s="31"/>
      <c r="AU367" s="31"/>
      <c r="AV367" s="31"/>
      <c r="AW367" s="31"/>
      <c r="AX367" s="31"/>
      <c r="AY367" s="31" t="n">
        <f aca="false">IF($G367="",AN367,O367)</f>
        <v>118950</v>
      </c>
      <c r="AZ367" s="31" t="n">
        <f aca="false">IF($G367="",AO367,P367)</f>
        <v>9750</v>
      </c>
      <c r="BA367" s="31" t="n">
        <f aca="false">IF($G367="",AP367,T367)</f>
        <v>118950</v>
      </c>
      <c r="BB367" s="31" t="n">
        <f aca="false">IF($G367="",AQ367,U367)</f>
        <v>9750</v>
      </c>
      <c r="BC367" s="31" t="n">
        <f aca="false">IF($G367="",AR367,V367)</f>
        <v>112</v>
      </c>
      <c r="BD367" s="31" t="n">
        <f aca="false">IF($G367="",AS367,Q367)</f>
        <v>86605</v>
      </c>
      <c r="BE367" s="31" t="n">
        <f aca="false">IF($G367="",AT367,W367)</f>
        <v>86689</v>
      </c>
      <c r="BF367" s="31" t="n">
        <f aca="false">IF($G367="",AU367,R367)</f>
        <v>13193</v>
      </c>
      <c r="BG367" s="31" t="n">
        <f aca="false">IF($G367="",AV367,X367)</f>
        <v>13193</v>
      </c>
      <c r="BH367" s="31" t="n">
        <f aca="false">IF($G367="",AW367,S367)</f>
        <v>1920</v>
      </c>
      <c r="BI367" s="31" t="n">
        <f aca="false">IF($G367="",AX367,Y367)</f>
        <v>1920</v>
      </c>
      <c r="BJ367" s="31" t="n">
        <f aca="false">IF(CK367="N",BR367,ROUNDDOWN((I367-L367)*設定!$B$10/1000,0)+ROUNDDOWN((I367-L367)*設定!$B$11/1000,0))</f>
        <v>0</v>
      </c>
      <c r="BK367" s="31" t="n">
        <f aca="false">ROUNDDOWN((I367-L367)*設定!$C$10/1000,0)+ROUNDDOWN((I367-L367)*設定!$C$11/1000,0)+ROUNDDOWN(I367*設定!$C$12/1000,0)+IF(CL367="市局型",ROUNDDOWN(I367*設定!$C$16/1000,0),0)</f>
        <v>0</v>
      </c>
      <c r="BL367" s="31" t="n">
        <f aca="false">IF(CK367="N",BT367,ROUNDDOWN((J367-M367)*設定!$B$13/1000,0))</f>
        <v>0</v>
      </c>
      <c r="BM367" s="31" t="n">
        <f aca="false">ROUNDDOWN((J367-M367)*設定!$C$13/1000,0)+IF(CL367="市局型",ROUNDDOWN(J367*設定!$C$17/1000,0),0)</f>
        <v>0</v>
      </c>
      <c r="BN367" s="31" t="n">
        <f aca="false">IF(CK367="N",BV367,ROUNDDOWN((K367-N367)*設定!$B$14/1000,0))</f>
        <v>0</v>
      </c>
      <c r="BO367" s="31" t="n">
        <f aca="false">ROUNDDOWN((K367-N367)*設定!$C$14/1000,0)</f>
        <v>0</v>
      </c>
      <c r="BP367" s="31" t="n">
        <f aca="false">IF(CK367="N",BX367,ROUNDDOWN((J367-M367)*設定!$B$15/1000,0))</f>
        <v>0</v>
      </c>
      <c r="BQ367" s="31" t="n">
        <f aca="false">ROUNDDOWN((J367-M367)*設定!$C$15/1000,0)</f>
        <v>0</v>
      </c>
      <c r="BR367" s="31" t="n">
        <f aca="false">O367+P367</f>
        <v>128700</v>
      </c>
      <c r="BS367" s="31" t="n">
        <f aca="false">T367+U367+V367</f>
        <v>128812</v>
      </c>
      <c r="BT367" s="31" t="n">
        <f aca="false">Q367</f>
        <v>86605</v>
      </c>
      <c r="BU367" s="31" t="n">
        <f aca="false">W367</f>
        <v>86689</v>
      </c>
      <c r="BV367" s="31" t="n">
        <f aca="false">R367</f>
        <v>13193</v>
      </c>
      <c r="BW367" s="31" t="n">
        <f aca="false">X367</f>
        <v>13193</v>
      </c>
      <c r="BX367" s="31" t="n">
        <f aca="false">S367</f>
        <v>1920</v>
      </c>
      <c r="BY367" s="31" t="n">
        <f aca="false">Y367</f>
        <v>1920</v>
      </c>
      <c r="BZ367" s="32" t="n">
        <f aca="false">IF(BJ367=0,IF(BR367=0,0,1),(BR367-BJ367)/BJ367)</f>
        <v>1</v>
      </c>
      <c r="CA367" s="32" t="n">
        <f aca="false">IF(BK367=0,IF(BS367=0,0,1),(BS367-BK367)/BK367)</f>
        <v>1</v>
      </c>
      <c r="CB367" s="32" t="n">
        <f aca="false">IF(BL367=0,IF(BT367=0,0,1),(BT367-BL367)/BL367)</f>
        <v>1</v>
      </c>
      <c r="CC367" s="32" t="n">
        <f aca="false">IF(BM367=0,IF(BU367=0,0,1),(BU367-BM367)/BM367)</f>
        <v>1</v>
      </c>
      <c r="CD367" s="32" t="n">
        <f aca="false">IF(BN367=0,IF(BV367=0,0,1),(BV367-BN367)/BN367)</f>
        <v>1</v>
      </c>
      <c r="CE367" s="32" t="n">
        <f aca="false">IF(BO367=0,IF(BW367=0,0,1),(BW367-BO367)/BO367)</f>
        <v>1</v>
      </c>
      <c r="CF367" s="32" t="n">
        <f aca="false">IF(BP367=0,IF(BX367=0,0,1),(BX367-BP367)/BP367)</f>
        <v>1</v>
      </c>
      <c r="CG367" s="32" t="n">
        <f aca="false">IF(BQ367=0,IF(BY367=0,0,1),(BY367-BQ367)/BQ367)</f>
        <v>1</v>
      </c>
      <c r="CH367" s="32" t="n">
        <f aca="false">MAX(MAX(BZ367:CG367),-MIN(BZ367:CG367))</f>
        <v>1</v>
      </c>
      <c r="CI367" s="31" t="n">
        <f aca="false">IF(CO367="","",SUMIFS($CJ$7:$CJ$696,$A$7:$A$696,CO367,$B$7:$B$696,B367))</f>
        <v>461032</v>
      </c>
      <c r="CJ367" s="31" t="n">
        <f aca="false">SUM(AY367:BI367)</f>
        <v>461032</v>
      </c>
      <c r="CK367" s="31" t="str">
        <f aca="false">IFERROR(INDEX(設定!$F$61:$F$106,MATCH(B367,設定!$B$61:$B$106,0)),"Y")</f>
        <v>Y</v>
      </c>
      <c r="CL367" s="31" t="str">
        <f aca="false">IFERROR(INDEX(設定!$G$61:$G$106,MATCH(B367,設定!$B$61:$B$106,0)),"外郭型")</f>
        <v>外郭型</v>
      </c>
      <c r="CM367" s="33" t="str">
        <f aca="false">A367&amp;"|"&amp;B367</f>
        <v>2026-10 月例|全国市長会</v>
      </c>
      <c r="CN367" s="34" t="str">
        <f aca="false">IFERROR(INDEX(設定!$D$61:$D$106,MATCH(B367,設定!$B$61:$B$106,0)),"Y")</f>
        <v>Y</v>
      </c>
      <c r="CO367" s="34" t="str">
        <f aca="false">IFERROR(INDEX(設定!$D$20:$D$34,MATCH(A367,設定!$A$20:$A$34,0))&amp;"","")</f>
        <v>2026-09 月例</v>
      </c>
    </row>
    <row r="368" customFormat="false" ht="15" hidden="false" customHeight="false" outlineLevel="0" collapsed="false">
      <c r="A368" s="22" t="s">
        <v>223</v>
      </c>
      <c r="B368" s="23" t="s">
        <v>208</v>
      </c>
      <c r="C368" s="10" t="str">
        <f aca="false">IF(G368="","未受領",IF(G368="なし","報告なし",IF(AL368="○","起票済",IF(OR(AK368="○",F368="一致",F368="入金不要"),"入金確認済","受領済"))))</f>
        <v>未受領</v>
      </c>
      <c r="D368" s="10" t="str">
        <f aca="false">IF(OR(G368="",G368="なし"),"―",IF(CN368="N","対象外",IF(AND(I368="",J368="",K368=""),"標報未入力",IF(CH368&gt;=設定!$B$4,"要確認","問題なし"))))</f>
        <v>―</v>
      </c>
      <c r="E368" s="24" t="str">
        <f aca="false">IF(OR(G368="",G368="なし",CI368="",CJ368=0),"―",IF(CJ368=CI368,"前月同額",IF(CI368=0,"―",IF(ABS(CJ368/CI368-1)&gt;=設定!$B$5,"変動大 "&amp;TEXT(CJ368/CI368-1,"+0%;-0%"),"〇"))))</f>
        <v>―</v>
      </c>
      <c r="F368" s="10" t="str">
        <f aca="false">IF(OR(G368="",G368="なし"),"―",IF(CJ368=0,"入金不要",IF(COUNT(AD368,AF368,AH368,AJ368)=0,IF(AK368="○","手動確認","未入金"),IF(AND(N(AD368)=AC368,IF(AE368="",TRUE(),N(AF368)=AE368),IF(AG368="",TRUE(),N(AH368)=AG368),IF(AI368="",TRUE(),N(AJ368)=AI368)),"一致","不一致"))))</f>
        <v>―</v>
      </c>
      <c r="G368" s="25"/>
      <c r="H368" s="26"/>
      <c r="I368" s="27"/>
      <c r="J368" s="27"/>
      <c r="K368" s="27"/>
      <c r="L368" s="27"/>
      <c r="M368" s="27"/>
      <c r="N368" s="27"/>
      <c r="O368" s="27"/>
      <c r="P368" s="27"/>
      <c r="Q368" s="27"/>
      <c r="R368" s="27"/>
      <c r="S368" s="27"/>
      <c r="T368" s="27"/>
      <c r="U368" s="27"/>
      <c r="V368" s="27"/>
      <c r="W368" s="27"/>
      <c r="X368" s="27"/>
      <c r="Y368" s="27"/>
      <c r="Z368" s="27"/>
      <c r="AA368" s="10" t="str">
        <f aca="false">IFERROR(INDEX(設定!$E$61:$E$106,MATCH(B368,設定!$B$61:$B$106,0)),"合算")</f>
        <v>合算</v>
      </c>
      <c r="AB368" s="28"/>
      <c r="AC368" s="29" t="str">
        <f aca="false">IF(OR(G368="",G368="なし"),"",IF(AA368="合算",CJ368+N(Z368),IF(AA368="掛金・負担金別",(AY368+AZ368+BD368+BF368+BH368),SUM(AY368:BC368))))</f>
        <v/>
      </c>
      <c r="AD368" s="27"/>
      <c r="AE368" s="29" t="str">
        <f aca="false">IF(OR(G368="",G368="なし"),"",IF(AA368="掛金・負担金別",(BA368+BB368+BC368+BE368+BG368+BI368+N(Z368)),IF(AA368="経理区分別",BD368+BE368,"")))</f>
        <v/>
      </c>
      <c r="AF368" s="27"/>
      <c r="AG368" s="29" t="str">
        <f aca="false">IF(OR(G368="",G368="なし"),"",IF(AA368="経理区分別",BF368+BG368,""))</f>
        <v/>
      </c>
      <c r="AH368" s="27"/>
      <c r="AI368" s="29" t="str">
        <f aca="false">IF(OR(G368="",G368="なし"),"",IF(AA368="経理区分別",BH368+BI368+N(Z368),""))</f>
        <v/>
      </c>
      <c r="AJ368" s="27"/>
      <c r="AK368" s="26"/>
      <c r="AL368" s="26"/>
      <c r="AM368" s="30"/>
      <c r="AN368" s="31" t="n">
        <v>145485</v>
      </c>
      <c r="AO368" s="31" t="n">
        <v>11925</v>
      </c>
      <c r="AP368" s="31" t="n">
        <v>145485</v>
      </c>
      <c r="AQ368" s="31" t="n">
        <v>11925</v>
      </c>
      <c r="AR368" s="31" t="n">
        <v>149</v>
      </c>
      <c r="AS368" s="31"/>
      <c r="AT368" s="31"/>
      <c r="AU368" s="31"/>
      <c r="AV368" s="31"/>
      <c r="AW368" s="31"/>
      <c r="AX368" s="31"/>
      <c r="AY368" s="31" t="n">
        <f aca="false">IF($G368="",AN368,O368)</f>
        <v>145485</v>
      </c>
      <c r="AZ368" s="31" t="n">
        <f aca="false">IF($G368="",AO368,P368)</f>
        <v>11925</v>
      </c>
      <c r="BA368" s="31" t="n">
        <f aca="false">IF($G368="",AP368,T368)</f>
        <v>145485</v>
      </c>
      <c r="BB368" s="31" t="n">
        <f aca="false">IF($G368="",AQ368,U368)</f>
        <v>11925</v>
      </c>
      <c r="BC368" s="31" t="n">
        <f aca="false">IF($G368="",AR368,V368)</f>
        <v>149</v>
      </c>
      <c r="BD368" s="31" t="n">
        <f aca="false">IF($G368="",AS368,Q368)</f>
        <v>0</v>
      </c>
      <c r="BE368" s="31" t="n">
        <f aca="false">IF($G368="",AT368,W368)</f>
        <v>0</v>
      </c>
      <c r="BF368" s="31" t="n">
        <f aca="false">IF($G368="",AU368,R368)</f>
        <v>0</v>
      </c>
      <c r="BG368" s="31" t="n">
        <f aca="false">IF($G368="",AV368,X368)</f>
        <v>0</v>
      </c>
      <c r="BH368" s="31" t="n">
        <f aca="false">IF($G368="",AW368,S368)</f>
        <v>0</v>
      </c>
      <c r="BI368" s="31" t="n">
        <f aca="false">IF($G368="",AX368,Y368)</f>
        <v>0</v>
      </c>
      <c r="BJ368" s="31" t="n">
        <f aca="false">IF(CK368="N",BR368,ROUNDDOWN((I368-L368)*設定!$B$10/1000,0)+ROUNDDOWN((I368-L368)*設定!$B$11/1000,0))</f>
        <v>0</v>
      </c>
      <c r="BK368" s="31" t="n">
        <f aca="false">ROUNDDOWN((I368-L368)*設定!$C$10/1000,0)+ROUNDDOWN((I368-L368)*設定!$C$11/1000,0)+ROUNDDOWN(I368*設定!$C$12/1000,0)+IF(CL368="市局型",ROUNDDOWN(I368*設定!$C$16/1000,0),0)</f>
        <v>0</v>
      </c>
      <c r="BL368" s="31" t="n">
        <f aca="false">IF(CK368="N",BT368,ROUNDDOWN((J368-M368)*設定!$B$13/1000,0))</f>
        <v>0</v>
      </c>
      <c r="BM368" s="31" t="n">
        <f aca="false">ROUNDDOWN((J368-M368)*設定!$C$13/1000,0)+IF(CL368="市局型",ROUNDDOWN(J368*設定!$C$17/1000,0),0)</f>
        <v>0</v>
      </c>
      <c r="BN368" s="31" t="n">
        <f aca="false">IF(CK368="N",BV368,ROUNDDOWN((K368-N368)*設定!$B$14/1000,0))</f>
        <v>0</v>
      </c>
      <c r="BO368" s="31" t="n">
        <f aca="false">ROUNDDOWN((K368-N368)*設定!$C$14/1000,0)</f>
        <v>0</v>
      </c>
      <c r="BP368" s="31" t="n">
        <f aca="false">IF(CK368="N",BX368,ROUNDDOWN((J368-M368)*設定!$B$15/1000,0))</f>
        <v>0</v>
      </c>
      <c r="BQ368" s="31" t="n">
        <f aca="false">ROUNDDOWN((J368-M368)*設定!$C$15/1000,0)</f>
        <v>0</v>
      </c>
      <c r="BR368" s="31" t="n">
        <f aca="false">O368+P368</f>
        <v>0</v>
      </c>
      <c r="BS368" s="31" t="n">
        <f aca="false">T368+U368+V368</f>
        <v>0</v>
      </c>
      <c r="BT368" s="31" t="n">
        <f aca="false">Q368</f>
        <v>0</v>
      </c>
      <c r="BU368" s="31" t="n">
        <f aca="false">W368</f>
        <v>0</v>
      </c>
      <c r="BV368" s="31" t="n">
        <f aca="false">R368</f>
        <v>0</v>
      </c>
      <c r="BW368" s="31" t="n">
        <f aca="false">X368</f>
        <v>0</v>
      </c>
      <c r="BX368" s="31" t="n">
        <f aca="false">S368</f>
        <v>0</v>
      </c>
      <c r="BY368" s="31" t="n">
        <f aca="false">Y368</f>
        <v>0</v>
      </c>
      <c r="BZ368" s="32" t="n">
        <f aca="false">IF(BJ368=0,IF(BR368=0,0,1),(BR368-BJ368)/BJ368)</f>
        <v>0</v>
      </c>
      <c r="CA368" s="32" t="n">
        <f aca="false">IF(BK368=0,IF(BS368=0,0,1),(BS368-BK368)/BK368)</f>
        <v>0</v>
      </c>
      <c r="CB368" s="32" t="n">
        <f aca="false">IF(BL368=0,IF(BT368=0,0,1),(BT368-BL368)/BL368)</f>
        <v>0</v>
      </c>
      <c r="CC368" s="32" t="n">
        <f aca="false">IF(BM368=0,IF(BU368=0,0,1),(BU368-BM368)/BM368)</f>
        <v>0</v>
      </c>
      <c r="CD368" s="32" t="n">
        <f aca="false">IF(BN368=0,IF(BV368=0,0,1),(BV368-BN368)/BN368)</f>
        <v>0</v>
      </c>
      <c r="CE368" s="32" t="n">
        <f aca="false">IF(BO368=0,IF(BW368=0,0,1),(BW368-BO368)/BO368)</f>
        <v>0</v>
      </c>
      <c r="CF368" s="32" t="n">
        <f aca="false">IF(BP368=0,IF(BX368=0,0,1),(BX368-BP368)/BP368)</f>
        <v>0</v>
      </c>
      <c r="CG368" s="32" t="n">
        <f aca="false">IF(BQ368=0,IF(BY368=0,0,1),(BY368-BQ368)/BQ368)</f>
        <v>0</v>
      </c>
      <c r="CH368" s="32" t="n">
        <f aca="false">MAX(MAX(BZ368:CG368),-MIN(BZ368:CG368))</f>
        <v>-0</v>
      </c>
      <c r="CI368" s="31" t="n">
        <f aca="false">IF(CO368="","",SUMIFS($CJ$7:$CJ$696,$A$7:$A$696,CO368,$B$7:$B$696,B368))</f>
        <v>309015</v>
      </c>
      <c r="CJ368" s="31" t="n">
        <f aca="false">SUM(AY368:BI368)</f>
        <v>314969</v>
      </c>
      <c r="CK368" s="31" t="str">
        <f aca="false">IFERROR(INDEX(設定!$F$61:$F$106,MATCH(B368,設定!$B$61:$B$106,0)),"Y")</f>
        <v>Y</v>
      </c>
      <c r="CL368" s="31" t="str">
        <f aca="false">IFERROR(INDEX(設定!$G$61:$G$106,MATCH(B368,設定!$B$61:$B$106,0)),"外郭型")</f>
        <v>外郭型</v>
      </c>
      <c r="CM368" s="33" t="str">
        <f aca="false">A368&amp;"|"&amp;B368</f>
        <v>2026-10 月例|高速交通（株）</v>
      </c>
      <c r="CN368" s="34" t="str">
        <f aca="false">IFERROR(INDEX(設定!$D$61:$D$106,MATCH(B368,設定!$B$61:$B$106,0)),"Y")</f>
        <v>Y</v>
      </c>
      <c r="CO368" s="34" t="str">
        <f aca="false">IFERROR(INDEX(設定!$D$20:$D$34,MATCH(A368,設定!$A$20:$A$34,0))&amp;"","")</f>
        <v>2026-09 月例</v>
      </c>
    </row>
    <row r="369" customFormat="false" ht="15" hidden="false" customHeight="false" outlineLevel="0" collapsed="false">
      <c r="A369" s="22" t="s">
        <v>223</v>
      </c>
      <c r="B369" s="23" t="s">
        <v>209</v>
      </c>
      <c r="C369" s="10" t="str">
        <f aca="false">IF(G369="","未受領",IF(G369="なし","報告なし",IF(AL369="○","起票済",IF(OR(AK369="○",F369="一致",F369="入金不要"),"入金確認済","受領済"))))</f>
        <v>受領済</v>
      </c>
      <c r="D369" s="10" t="str">
        <f aca="false">IF(OR(G369="",G369="なし"),"―",IF(CN369="N","対象外",IF(AND(I369="",J369="",K369=""),"標報未入力",IF(CH369&gt;=設定!$B$4,"要確認","問題なし"))))</f>
        <v>標報未入力</v>
      </c>
      <c r="E369" s="24" t="str">
        <f aca="false">IF(OR(G369="",G369="なし",CI369="",CJ369=0),"―",IF(CJ369=CI369,"前月同額",IF(CI369=0,"―",IF(ABS(CJ369/CI369-1)&gt;=設定!$B$5,"変動大 "&amp;TEXT(CJ369/CI369-1,"+0%;-0%"),"〇"))))</f>
        <v>前月同額</v>
      </c>
      <c r="F369" s="10" t="str">
        <f aca="false">IF(OR(G369="",G369="なし"),"―",IF(CJ369=0,"入金不要",IF(COUNT(AD369,AF369,AH369,AJ369)=0,IF(AK369="○","手動確認","未入金"),IF(AND(N(AD369)=AC369,IF(AE369="",TRUE(),N(AF369)=AE369),IF(AG369="",TRUE(),N(AH369)=AG369),IF(AI369="",TRUE(),N(AJ369)=AI369)),"一致","不一致"))))</f>
        <v>未入金</v>
      </c>
      <c r="G369" s="25" t="s">
        <v>167</v>
      </c>
      <c r="H369" s="26"/>
      <c r="I369" s="27"/>
      <c r="J369" s="27"/>
      <c r="K369" s="27"/>
      <c r="L369" s="27"/>
      <c r="M369" s="27"/>
      <c r="N369" s="27"/>
      <c r="O369" s="27" t="n">
        <v>53985</v>
      </c>
      <c r="P369" s="27" t="n">
        <v>4425</v>
      </c>
      <c r="Q369" s="27"/>
      <c r="R369" s="27"/>
      <c r="S369" s="27"/>
      <c r="T369" s="27" t="n">
        <v>53985</v>
      </c>
      <c r="U369" s="27" t="n">
        <v>4425</v>
      </c>
      <c r="V369" s="27" t="n">
        <v>51</v>
      </c>
      <c r="W369" s="27"/>
      <c r="X369" s="27"/>
      <c r="Y369" s="27"/>
      <c r="Z369" s="27"/>
      <c r="AA369" s="10" t="str">
        <f aca="false">IFERROR(INDEX(設定!$E$61:$E$106,MATCH(B369,設定!$B$61:$B$106,0)),"合算")</f>
        <v>合算</v>
      </c>
      <c r="AB369" s="28"/>
      <c r="AC369" s="29" t="n">
        <f aca="false">IF(OR(G369="",G369="なし"),"",IF(AA369="合算",CJ369+N(Z369),IF(AA369="掛金・負担金別",(AY369+AZ369+BD369+BF369+BH369),SUM(AY369:BC369))))</f>
        <v>116871</v>
      </c>
      <c r="AD369" s="27"/>
      <c r="AE369" s="29" t="str">
        <f aca="false">IF(OR(G369="",G369="なし"),"",IF(AA369="掛金・負担金別",(BA369+BB369+BC369+BE369+BG369+BI369+N(Z369)),IF(AA369="経理区分別",BD369+BE369,"")))</f>
        <v/>
      </c>
      <c r="AF369" s="27"/>
      <c r="AG369" s="29" t="str">
        <f aca="false">IF(OR(G369="",G369="なし"),"",IF(AA369="経理区分別",BF369+BG369,""))</f>
        <v/>
      </c>
      <c r="AH369" s="27"/>
      <c r="AI369" s="29" t="str">
        <f aca="false">IF(OR(G369="",G369="なし"),"",IF(AA369="経理区分別",BH369+BI369+N(Z369),""))</f>
        <v/>
      </c>
      <c r="AJ369" s="27"/>
      <c r="AK369" s="26"/>
      <c r="AL369" s="26"/>
      <c r="AM369" s="30"/>
      <c r="AN369" s="31"/>
      <c r="AO369" s="31"/>
      <c r="AP369" s="31"/>
      <c r="AQ369" s="31"/>
      <c r="AR369" s="31"/>
      <c r="AS369" s="31"/>
      <c r="AT369" s="31"/>
      <c r="AU369" s="31"/>
      <c r="AV369" s="31"/>
      <c r="AW369" s="31"/>
      <c r="AX369" s="31"/>
      <c r="AY369" s="31" t="n">
        <f aca="false">IF($G369="",AN369,O369)</f>
        <v>53985</v>
      </c>
      <c r="AZ369" s="31" t="n">
        <f aca="false">IF($G369="",AO369,P369)</f>
        <v>4425</v>
      </c>
      <c r="BA369" s="31" t="n">
        <f aca="false">IF($G369="",AP369,T369)</f>
        <v>53985</v>
      </c>
      <c r="BB369" s="31" t="n">
        <f aca="false">IF($G369="",AQ369,U369)</f>
        <v>4425</v>
      </c>
      <c r="BC369" s="31" t="n">
        <f aca="false">IF($G369="",AR369,V369)</f>
        <v>51</v>
      </c>
      <c r="BD369" s="31" t="n">
        <f aca="false">IF($G369="",AS369,Q369)</f>
        <v>0</v>
      </c>
      <c r="BE369" s="31" t="n">
        <f aca="false">IF($G369="",AT369,W369)</f>
        <v>0</v>
      </c>
      <c r="BF369" s="31" t="n">
        <f aca="false">IF($G369="",AU369,R369)</f>
        <v>0</v>
      </c>
      <c r="BG369" s="31" t="n">
        <f aca="false">IF($G369="",AV369,X369)</f>
        <v>0</v>
      </c>
      <c r="BH369" s="31" t="n">
        <f aca="false">IF($G369="",AW369,S369)</f>
        <v>0</v>
      </c>
      <c r="BI369" s="31" t="n">
        <f aca="false">IF($G369="",AX369,Y369)</f>
        <v>0</v>
      </c>
      <c r="BJ369" s="31" t="n">
        <f aca="false">IF(CK369="N",BR369,ROUNDDOWN((I369-L369)*設定!$B$10/1000,0)+ROUNDDOWN((I369-L369)*設定!$B$11/1000,0))</f>
        <v>0</v>
      </c>
      <c r="BK369" s="31" t="n">
        <f aca="false">ROUNDDOWN((I369-L369)*設定!$C$10/1000,0)+ROUNDDOWN((I369-L369)*設定!$C$11/1000,0)+ROUNDDOWN(I369*設定!$C$12/1000,0)+IF(CL369="市局型",ROUNDDOWN(I369*設定!$C$16/1000,0),0)</f>
        <v>0</v>
      </c>
      <c r="BL369" s="31" t="n">
        <f aca="false">IF(CK369="N",BT369,ROUNDDOWN((J369-M369)*設定!$B$13/1000,0))</f>
        <v>0</v>
      </c>
      <c r="BM369" s="31" t="n">
        <f aca="false">ROUNDDOWN((J369-M369)*設定!$C$13/1000,0)+IF(CL369="市局型",ROUNDDOWN(J369*設定!$C$17/1000,0),0)</f>
        <v>0</v>
      </c>
      <c r="BN369" s="31" t="n">
        <f aca="false">IF(CK369="N",BV369,ROUNDDOWN((K369-N369)*設定!$B$14/1000,0))</f>
        <v>0</v>
      </c>
      <c r="BO369" s="31" t="n">
        <f aca="false">ROUNDDOWN((K369-N369)*設定!$C$14/1000,0)</f>
        <v>0</v>
      </c>
      <c r="BP369" s="31" t="n">
        <f aca="false">IF(CK369="N",BX369,ROUNDDOWN((J369-M369)*設定!$B$15/1000,0))</f>
        <v>0</v>
      </c>
      <c r="BQ369" s="31" t="n">
        <f aca="false">ROUNDDOWN((J369-M369)*設定!$C$15/1000,0)</f>
        <v>0</v>
      </c>
      <c r="BR369" s="31" t="n">
        <f aca="false">O369+P369</f>
        <v>58410</v>
      </c>
      <c r="BS369" s="31" t="n">
        <f aca="false">T369+U369+V369</f>
        <v>58461</v>
      </c>
      <c r="BT369" s="31" t="n">
        <f aca="false">Q369</f>
        <v>0</v>
      </c>
      <c r="BU369" s="31" t="n">
        <f aca="false">W369</f>
        <v>0</v>
      </c>
      <c r="BV369" s="31" t="n">
        <f aca="false">R369</f>
        <v>0</v>
      </c>
      <c r="BW369" s="31" t="n">
        <f aca="false">X369</f>
        <v>0</v>
      </c>
      <c r="BX369" s="31" t="n">
        <f aca="false">S369</f>
        <v>0</v>
      </c>
      <c r="BY369" s="31" t="n">
        <f aca="false">Y369</f>
        <v>0</v>
      </c>
      <c r="BZ369" s="32" t="n">
        <f aca="false">IF(BJ369=0,IF(BR369=0,0,1),(BR369-BJ369)/BJ369)</f>
        <v>1</v>
      </c>
      <c r="CA369" s="32" t="n">
        <f aca="false">IF(BK369=0,IF(BS369=0,0,1),(BS369-BK369)/BK369)</f>
        <v>1</v>
      </c>
      <c r="CB369" s="32" t="n">
        <f aca="false">IF(BL369=0,IF(BT369=0,0,1),(BT369-BL369)/BL369)</f>
        <v>0</v>
      </c>
      <c r="CC369" s="32" t="n">
        <f aca="false">IF(BM369=0,IF(BU369=0,0,1),(BU369-BM369)/BM369)</f>
        <v>0</v>
      </c>
      <c r="CD369" s="32" t="n">
        <f aca="false">IF(BN369=0,IF(BV369=0,0,1),(BV369-BN369)/BN369)</f>
        <v>0</v>
      </c>
      <c r="CE369" s="32" t="n">
        <f aca="false">IF(BO369=0,IF(BW369=0,0,1),(BW369-BO369)/BO369)</f>
        <v>0</v>
      </c>
      <c r="CF369" s="32" t="n">
        <f aca="false">IF(BP369=0,IF(BX369=0,0,1),(BX369-BP369)/BP369)</f>
        <v>0</v>
      </c>
      <c r="CG369" s="32" t="n">
        <f aca="false">IF(BQ369=0,IF(BY369=0,0,1),(BY369-BQ369)/BQ369)</f>
        <v>0</v>
      </c>
      <c r="CH369" s="32" t="n">
        <f aca="false">MAX(MAX(BZ369:CG369),-MIN(BZ369:CG369))</f>
        <v>1</v>
      </c>
      <c r="CI369" s="31" t="n">
        <f aca="false">IF(CO369="","",SUMIFS($CJ$7:$CJ$696,$A$7:$A$696,CO369,$B$7:$B$696,B369))</f>
        <v>116871</v>
      </c>
      <c r="CJ369" s="31" t="n">
        <f aca="false">SUM(AY369:BI369)</f>
        <v>116871</v>
      </c>
      <c r="CK369" s="31" t="str">
        <f aca="false">IFERROR(INDEX(設定!$F$61:$F$106,MATCH(B369,設定!$B$61:$B$106,0)),"Y")</f>
        <v>Y</v>
      </c>
      <c r="CL369" s="31" t="str">
        <f aca="false">IFERROR(INDEX(設定!$G$61:$G$106,MATCH(B369,設定!$B$61:$B$106,0)),"外郭型")</f>
        <v>外郭型</v>
      </c>
      <c r="CM369" s="33" t="str">
        <f aca="false">A369&amp;"|"&amp;B369</f>
        <v>2026-10 月例|広島駅南口開発（株）</v>
      </c>
      <c r="CN369" s="34" t="str">
        <f aca="false">IFERROR(INDEX(設定!$D$61:$D$106,MATCH(B369,設定!$B$61:$B$106,0)),"Y")</f>
        <v>Y</v>
      </c>
      <c r="CO369" s="34" t="str">
        <f aca="false">IFERROR(INDEX(設定!$D$20:$D$34,MATCH(A369,設定!$A$20:$A$34,0))&amp;"","")</f>
        <v>2026-09 月例</v>
      </c>
    </row>
    <row r="370" customFormat="false" ht="15" hidden="false" customHeight="false" outlineLevel="0" collapsed="false">
      <c r="A370" s="22" t="s">
        <v>223</v>
      </c>
      <c r="B370" s="23" t="s">
        <v>210</v>
      </c>
      <c r="C370" s="10" t="str">
        <f aca="false">IF(G370="","未受領",IF(G370="なし","報告なし",IF(AL370="○","起票済",IF(OR(AK370="○",F370="一致",F370="入金不要"),"入金確認済","受領済"))))</f>
        <v>未受領</v>
      </c>
      <c r="D370" s="10" t="str">
        <f aca="false">IF(OR(G370="",G370="なし"),"―",IF(CN370="N","対象外",IF(AND(I370="",J370="",K370=""),"標報未入力",IF(CH370&gt;=設定!$B$4,"要確認","問題なし"))))</f>
        <v>―</v>
      </c>
      <c r="E370" s="24" t="str">
        <f aca="false">IF(OR(G370="",G370="なし",CI370="",CJ370=0),"―",IF(CJ370=CI370,"前月同額",IF(CI370=0,"―",IF(ABS(CJ370/CI370-1)&gt;=設定!$B$5,"変動大 "&amp;TEXT(CJ370/CI370-1,"+0%;-0%"),"〇"))))</f>
        <v>―</v>
      </c>
      <c r="F370" s="10" t="str">
        <f aca="false">IF(OR(G370="",G370="なし"),"―",IF(CJ370=0,"入金不要",IF(COUNT(AD370,AF370,AH370,AJ370)=0,IF(AK370="○","手動確認","未入金"),IF(AND(N(AD370)=AC370,IF(AE370="",TRUE(),N(AF370)=AE370),IF(AG370="",TRUE(),N(AH370)=AG370),IF(AI370="",TRUE(),N(AJ370)=AI370)),"一致","不一致"))))</f>
        <v>―</v>
      </c>
      <c r="G370" s="25"/>
      <c r="H370" s="26"/>
      <c r="I370" s="27"/>
      <c r="J370" s="27"/>
      <c r="K370" s="27"/>
      <c r="L370" s="27"/>
      <c r="M370" s="27"/>
      <c r="N370" s="27"/>
      <c r="O370" s="27"/>
      <c r="P370" s="27"/>
      <c r="Q370" s="27"/>
      <c r="R370" s="27"/>
      <c r="S370" s="27"/>
      <c r="T370" s="27"/>
      <c r="U370" s="27"/>
      <c r="V370" s="27"/>
      <c r="W370" s="27"/>
      <c r="X370" s="27"/>
      <c r="Y370" s="27"/>
      <c r="Z370" s="27"/>
      <c r="AA370" s="10" t="str">
        <f aca="false">IFERROR(INDEX(設定!$E$61:$E$106,MATCH(B370,設定!$B$61:$B$106,0)),"合算")</f>
        <v>合算</v>
      </c>
      <c r="AB370" s="28"/>
      <c r="AC370" s="29" t="str">
        <f aca="false">IF(OR(G370="",G370="なし"),"",IF(AA370="合算",CJ370+N(Z370),IF(AA370="掛金・負担金別",(AY370+AZ370+BD370+BF370+BH370),SUM(AY370:BC370))))</f>
        <v/>
      </c>
      <c r="AD370" s="27"/>
      <c r="AE370" s="29" t="str">
        <f aca="false">IF(OR(G370="",G370="なし"),"",IF(AA370="掛金・負担金別",(BA370+BB370+BC370+BE370+BG370+BI370+N(Z370)),IF(AA370="経理区分別",BD370+BE370,"")))</f>
        <v/>
      </c>
      <c r="AF370" s="27"/>
      <c r="AG370" s="29" t="str">
        <f aca="false">IF(OR(G370="",G370="なし"),"",IF(AA370="経理区分別",BF370+BG370,""))</f>
        <v/>
      </c>
      <c r="AH370" s="27"/>
      <c r="AI370" s="29" t="str">
        <f aca="false">IF(OR(G370="",G370="なし"),"",IF(AA370="経理区分別",BH370+BI370+N(Z370),""))</f>
        <v/>
      </c>
      <c r="AJ370" s="27"/>
      <c r="AK370" s="26"/>
      <c r="AL370" s="26"/>
      <c r="AM370" s="30"/>
      <c r="AN370" s="31" t="n">
        <v>29280</v>
      </c>
      <c r="AO370" s="31" t="n">
        <v>2400</v>
      </c>
      <c r="AP370" s="31" t="n">
        <v>29280</v>
      </c>
      <c r="AQ370" s="31" t="n">
        <v>2400</v>
      </c>
      <c r="AR370" s="31"/>
      <c r="AS370" s="31" t="n">
        <v>17603</v>
      </c>
      <c r="AT370" s="31" t="n">
        <v>17635</v>
      </c>
      <c r="AU370" s="31" t="n">
        <v>2528</v>
      </c>
      <c r="AV370" s="31" t="n">
        <v>2528</v>
      </c>
      <c r="AW370" s="31" t="n">
        <v>1</v>
      </c>
      <c r="AX370" s="31" t="n">
        <v>1</v>
      </c>
      <c r="AY370" s="31" t="n">
        <f aca="false">IF($G370="",AN370,O370)</f>
        <v>29280</v>
      </c>
      <c r="AZ370" s="31" t="n">
        <f aca="false">IF($G370="",AO370,P370)</f>
        <v>2400</v>
      </c>
      <c r="BA370" s="31" t="n">
        <f aca="false">IF($G370="",AP370,T370)</f>
        <v>29280</v>
      </c>
      <c r="BB370" s="31" t="n">
        <f aca="false">IF($G370="",AQ370,U370)</f>
        <v>2400</v>
      </c>
      <c r="BC370" s="31" t="n">
        <f aca="false">IF($G370="",AR370,V370)</f>
        <v>0</v>
      </c>
      <c r="BD370" s="31" t="n">
        <f aca="false">IF($G370="",AS370,Q370)</f>
        <v>17603</v>
      </c>
      <c r="BE370" s="31" t="n">
        <f aca="false">IF($G370="",AT370,W370)</f>
        <v>17635</v>
      </c>
      <c r="BF370" s="31" t="n">
        <f aca="false">IF($G370="",AU370,R370)</f>
        <v>2528</v>
      </c>
      <c r="BG370" s="31" t="n">
        <f aca="false">IF($G370="",AV370,X370)</f>
        <v>2528</v>
      </c>
      <c r="BH370" s="31" t="n">
        <f aca="false">IF($G370="",AW370,S370)</f>
        <v>1</v>
      </c>
      <c r="BI370" s="31" t="n">
        <f aca="false">IF($G370="",AX370,Y370)</f>
        <v>1</v>
      </c>
      <c r="BJ370" s="31" t="n">
        <f aca="false">IF(CK370="N",BR370,ROUNDDOWN((I370-L370)*設定!$B$10/1000,0)+ROUNDDOWN((I370-L370)*設定!$B$11/1000,0))</f>
        <v>0</v>
      </c>
      <c r="BK370" s="31" t="n">
        <f aca="false">ROUNDDOWN((I370-L370)*設定!$C$10/1000,0)+ROUNDDOWN((I370-L370)*設定!$C$11/1000,0)+ROUNDDOWN(I370*設定!$C$12/1000,0)+IF(CL370="市局型",ROUNDDOWN(I370*設定!$C$16/1000,0),0)</f>
        <v>0</v>
      </c>
      <c r="BL370" s="31" t="n">
        <f aca="false">IF(CK370="N",BT370,ROUNDDOWN((J370-M370)*設定!$B$13/1000,0))</f>
        <v>0</v>
      </c>
      <c r="BM370" s="31" t="n">
        <f aca="false">ROUNDDOWN((J370-M370)*設定!$C$13/1000,0)+IF(CL370="市局型",ROUNDDOWN(J370*設定!$C$17/1000,0),0)</f>
        <v>0</v>
      </c>
      <c r="BN370" s="31" t="n">
        <f aca="false">IF(CK370="N",BV370,ROUNDDOWN((K370-N370)*設定!$B$14/1000,0))</f>
        <v>0</v>
      </c>
      <c r="BO370" s="31" t="n">
        <f aca="false">ROUNDDOWN((K370-N370)*設定!$C$14/1000,0)</f>
        <v>0</v>
      </c>
      <c r="BP370" s="31" t="n">
        <f aca="false">IF(CK370="N",BX370,ROUNDDOWN((J370-M370)*設定!$B$15/1000,0))</f>
        <v>0</v>
      </c>
      <c r="BQ370" s="31" t="n">
        <f aca="false">ROUNDDOWN((J370-M370)*設定!$C$15/1000,0)</f>
        <v>0</v>
      </c>
      <c r="BR370" s="31" t="n">
        <f aca="false">O370+P370</f>
        <v>0</v>
      </c>
      <c r="BS370" s="31" t="n">
        <f aca="false">T370+U370+V370</f>
        <v>0</v>
      </c>
      <c r="BT370" s="31" t="n">
        <f aca="false">Q370</f>
        <v>0</v>
      </c>
      <c r="BU370" s="31" t="n">
        <f aca="false">W370</f>
        <v>0</v>
      </c>
      <c r="BV370" s="31" t="n">
        <f aca="false">R370</f>
        <v>0</v>
      </c>
      <c r="BW370" s="31" t="n">
        <f aca="false">X370</f>
        <v>0</v>
      </c>
      <c r="BX370" s="31" t="n">
        <f aca="false">S370</f>
        <v>0</v>
      </c>
      <c r="BY370" s="31" t="n">
        <f aca="false">Y370</f>
        <v>0</v>
      </c>
      <c r="BZ370" s="32" t="n">
        <f aca="false">IF(BJ370=0,IF(BR370=0,0,1),(BR370-BJ370)/BJ370)</f>
        <v>0</v>
      </c>
      <c r="CA370" s="32" t="n">
        <f aca="false">IF(BK370=0,IF(BS370=0,0,1),(BS370-BK370)/BK370)</f>
        <v>0</v>
      </c>
      <c r="CB370" s="32" t="n">
        <f aca="false">IF(BL370=0,IF(BT370=0,0,1),(BT370-BL370)/BL370)</f>
        <v>0</v>
      </c>
      <c r="CC370" s="32" t="n">
        <f aca="false">IF(BM370=0,IF(BU370=0,0,1),(BU370-BM370)/BM370)</f>
        <v>0</v>
      </c>
      <c r="CD370" s="32" t="n">
        <f aca="false">IF(BN370=0,IF(BV370=0,0,1),(BV370-BN370)/BN370)</f>
        <v>0</v>
      </c>
      <c r="CE370" s="32" t="n">
        <f aca="false">IF(BO370=0,IF(BW370=0,0,1),(BW370-BO370)/BO370)</f>
        <v>0</v>
      </c>
      <c r="CF370" s="32" t="n">
        <f aca="false">IF(BP370=0,IF(BX370=0,0,1),(BX370-BP370)/BP370)</f>
        <v>0</v>
      </c>
      <c r="CG370" s="32" t="n">
        <f aca="false">IF(BQ370=0,IF(BY370=0,0,1),(BY370-BQ370)/BQ370)</f>
        <v>0</v>
      </c>
      <c r="CH370" s="32" t="n">
        <f aca="false">MAX(MAX(BZ370:CG370),-MIN(BZ370:CG370))</f>
        <v>-0</v>
      </c>
      <c r="CI370" s="31" t="n">
        <f aca="false">IF(CO370="","",SUMIFS($CJ$7:$CJ$696,$A$7:$A$696,CO370,$B$7:$B$696,B370))</f>
        <v>108755</v>
      </c>
      <c r="CJ370" s="31" t="n">
        <f aca="false">SUM(AY370:BI370)</f>
        <v>103656</v>
      </c>
      <c r="CK370" s="31" t="str">
        <f aca="false">IFERROR(INDEX(設定!$F$61:$F$106,MATCH(B370,設定!$B$61:$B$106,0)),"Y")</f>
        <v>Y</v>
      </c>
      <c r="CL370" s="31" t="str">
        <f aca="false">IFERROR(INDEX(設定!$G$61:$G$106,MATCH(B370,設定!$B$61:$B$106,0)),"外郭型")</f>
        <v>外郭型</v>
      </c>
      <c r="CM370" s="33" t="str">
        <f aca="false">A370&amp;"|"&amp;B370</f>
        <v>2026-10 月例|市職員労働組合</v>
      </c>
      <c r="CN370" s="34" t="str">
        <f aca="false">IFERROR(INDEX(設定!$D$61:$D$106,MATCH(B370,設定!$B$61:$B$106,0)),"Y")</f>
        <v>Y</v>
      </c>
      <c r="CO370" s="34" t="str">
        <f aca="false">IFERROR(INDEX(設定!$D$20:$D$34,MATCH(A370,設定!$A$20:$A$34,0))&amp;"","")</f>
        <v>2026-09 月例</v>
      </c>
    </row>
    <row r="371" customFormat="false" ht="15" hidden="false" customHeight="false" outlineLevel="0" collapsed="false">
      <c r="A371" s="22" t="s">
        <v>223</v>
      </c>
      <c r="B371" s="23" t="s">
        <v>211</v>
      </c>
      <c r="C371" s="10" t="str">
        <f aca="false">IF(G371="","未受領",IF(G371="なし","報告なし",IF(AL371="○","起票済",IF(OR(AK371="○",F371="一致",F371="入金不要"),"入金確認済","受領済"))))</f>
        <v>未受領</v>
      </c>
      <c r="D371" s="10" t="str">
        <f aca="false">IF(OR(G371="",G371="なし"),"―",IF(CN371="N","対象外",IF(AND(I371="",J371="",K371=""),"標報未入力",IF(CH371&gt;=設定!$B$4,"要確認","問題なし"))))</f>
        <v>―</v>
      </c>
      <c r="E371" s="24" t="str">
        <f aca="false">IF(OR(G371="",G371="なし",CI371="",CJ371=0),"―",IF(CJ371=CI371,"前月同額",IF(CI371=0,"―",IF(ABS(CJ371/CI371-1)&gt;=設定!$B$5,"変動大 "&amp;TEXT(CJ371/CI371-1,"+0%;-0%"),"〇"))))</f>
        <v>―</v>
      </c>
      <c r="F371" s="10" t="str">
        <f aca="false">IF(OR(G371="",G371="なし"),"―",IF(CJ371=0,"入金不要",IF(COUNT(AD371,AF371,AH371,AJ371)=0,IF(AK371="○","手動確認","未入金"),IF(AND(N(AD371)=AC371,IF(AE371="",TRUE(),N(AF371)=AE371),IF(AG371="",TRUE(),N(AH371)=AG371),IF(AI371="",TRUE(),N(AJ371)=AI371)),"一致","不一致"))))</f>
        <v>―</v>
      </c>
      <c r="G371" s="25"/>
      <c r="H371" s="26"/>
      <c r="I371" s="27"/>
      <c r="J371" s="27"/>
      <c r="K371" s="27"/>
      <c r="L371" s="27"/>
      <c r="M371" s="27"/>
      <c r="N371" s="27"/>
      <c r="O371" s="27"/>
      <c r="P371" s="27"/>
      <c r="Q371" s="27"/>
      <c r="R371" s="27"/>
      <c r="S371" s="27"/>
      <c r="T371" s="27"/>
      <c r="U371" s="27"/>
      <c r="V371" s="27"/>
      <c r="W371" s="27"/>
      <c r="X371" s="27"/>
      <c r="Y371" s="27"/>
      <c r="Z371" s="27"/>
      <c r="AA371" s="10" t="str">
        <f aca="false">IFERROR(INDEX(設定!$E$61:$E$106,MATCH(B371,設定!$B$61:$B$106,0)),"合算")</f>
        <v>合算</v>
      </c>
      <c r="AB371" s="28"/>
      <c r="AC371" s="29" t="str">
        <f aca="false">IF(OR(G371="",G371="なし"),"",IF(AA371="合算",CJ371+N(Z371),IF(AA371="掛金・負担金別",(AY371+AZ371+BD371+BF371+BH371),SUM(AY371:BC371))))</f>
        <v/>
      </c>
      <c r="AD371" s="27"/>
      <c r="AE371" s="29" t="str">
        <f aca="false">IF(OR(G371="",G371="なし"),"",IF(AA371="掛金・負担金別",(BA371+BB371+BC371+BE371+BG371+BI371+N(Z371)),IF(AA371="経理区分別",BD371+BE371,"")))</f>
        <v/>
      </c>
      <c r="AF371" s="27"/>
      <c r="AG371" s="29" t="str">
        <f aca="false">IF(OR(G371="",G371="なし"),"",IF(AA371="経理区分別",BF371+BG371,""))</f>
        <v/>
      </c>
      <c r="AH371" s="27"/>
      <c r="AI371" s="29" t="str">
        <f aca="false">IF(OR(G371="",G371="なし"),"",IF(AA371="経理区分別",BH371+BI371+N(Z371),""))</f>
        <v/>
      </c>
      <c r="AJ371" s="27"/>
      <c r="AK371" s="26"/>
      <c r="AL371" s="26"/>
      <c r="AM371" s="30"/>
      <c r="AN371" s="31" t="n">
        <v>0</v>
      </c>
      <c r="AO371" s="31" t="n">
        <v>0</v>
      </c>
      <c r="AP371" s="31" t="n">
        <v>0</v>
      </c>
      <c r="AQ371" s="31" t="n">
        <v>0</v>
      </c>
      <c r="AR371" s="31"/>
      <c r="AS371" s="31" t="n">
        <v>0</v>
      </c>
      <c r="AT371" s="31" t="n">
        <v>0</v>
      </c>
      <c r="AU371" s="31" t="n">
        <v>0</v>
      </c>
      <c r="AV371" s="31" t="n">
        <v>0</v>
      </c>
      <c r="AW371" s="31" t="n">
        <v>0</v>
      </c>
      <c r="AX371" s="31" t="n">
        <v>0</v>
      </c>
      <c r="AY371" s="31" t="n">
        <f aca="false">IF($G371="",AN371,O371)</f>
        <v>0</v>
      </c>
      <c r="AZ371" s="31" t="n">
        <f aca="false">IF($G371="",AO371,P371)</f>
        <v>0</v>
      </c>
      <c r="BA371" s="31" t="n">
        <f aca="false">IF($G371="",AP371,T371)</f>
        <v>0</v>
      </c>
      <c r="BB371" s="31" t="n">
        <f aca="false">IF($G371="",AQ371,U371)</f>
        <v>0</v>
      </c>
      <c r="BC371" s="31" t="n">
        <f aca="false">IF($G371="",AR371,V371)</f>
        <v>0</v>
      </c>
      <c r="BD371" s="31" t="n">
        <f aca="false">IF($G371="",AS371,Q371)</f>
        <v>0</v>
      </c>
      <c r="BE371" s="31" t="n">
        <f aca="false">IF($G371="",AT371,W371)</f>
        <v>0</v>
      </c>
      <c r="BF371" s="31" t="n">
        <f aca="false">IF($G371="",AU371,R371)</f>
        <v>0</v>
      </c>
      <c r="BG371" s="31" t="n">
        <f aca="false">IF($G371="",AV371,X371)</f>
        <v>0</v>
      </c>
      <c r="BH371" s="31" t="n">
        <f aca="false">IF($G371="",AW371,S371)</f>
        <v>0</v>
      </c>
      <c r="BI371" s="31" t="n">
        <f aca="false">IF($G371="",AX371,Y371)</f>
        <v>0</v>
      </c>
      <c r="BJ371" s="31" t="n">
        <f aca="false">IF(CK371="N",BR371,ROUNDDOWN((I371-L371)*設定!$B$10/1000,0)+ROUNDDOWN((I371-L371)*設定!$B$11/1000,0))</f>
        <v>0</v>
      </c>
      <c r="BK371" s="31" t="n">
        <f aca="false">ROUNDDOWN((I371-L371)*設定!$C$10/1000,0)+ROUNDDOWN((I371-L371)*設定!$C$11/1000,0)+ROUNDDOWN(I371*設定!$C$12/1000,0)+IF(CL371="市局型",ROUNDDOWN(I371*設定!$C$16/1000,0),0)</f>
        <v>0</v>
      </c>
      <c r="BL371" s="31" t="n">
        <f aca="false">IF(CK371="N",BT371,ROUNDDOWN((J371-M371)*設定!$B$13/1000,0))</f>
        <v>0</v>
      </c>
      <c r="BM371" s="31" t="n">
        <f aca="false">ROUNDDOWN((J371-M371)*設定!$C$13/1000,0)+IF(CL371="市局型",ROUNDDOWN(J371*設定!$C$17/1000,0),0)</f>
        <v>0</v>
      </c>
      <c r="BN371" s="31" t="n">
        <f aca="false">IF(CK371="N",BV371,ROUNDDOWN((K371-N371)*設定!$B$14/1000,0))</f>
        <v>0</v>
      </c>
      <c r="BO371" s="31" t="n">
        <f aca="false">ROUNDDOWN((K371-N371)*設定!$C$14/1000,0)</f>
        <v>0</v>
      </c>
      <c r="BP371" s="31" t="n">
        <f aca="false">IF(CK371="N",BX371,ROUNDDOWN((J371-M371)*設定!$B$15/1000,0))</f>
        <v>0</v>
      </c>
      <c r="BQ371" s="31" t="n">
        <f aca="false">ROUNDDOWN((J371-M371)*設定!$C$15/1000,0)</f>
        <v>0</v>
      </c>
      <c r="BR371" s="31" t="n">
        <f aca="false">O371+P371</f>
        <v>0</v>
      </c>
      <c r="BS371" s="31" t="n">
        <f aca="false">T371+U371+V371</f>
        <v>0</v>
      </c>
      <c r="BT371" s="31" t="n">
        <f aca="false">Q371</f>
        <v>0</v>
      </c>
      <c r="BU371" s="31" t="n">
        <f aca="false">W371</f>
        <v>0</v>
      </c>
      <c r="BV371" s="31" t="n">
        <f aca="false">R371</f>
        <v>0</v>
      </c>
      <c r="BW371" s="31" t="n">
        <f aca="false">X371</f>
        <v>0</v>
      </c>
      <c r="BX371" s="31" t="n">
        <f aca="false">S371</f>
        <v>0</v>
      </c>
      <c r="BY371" s="31" t="n">
        <f aca="false">Y371</f>
        <v>0</v>
      </c>
      <c r="BZ371" s="32" t="n">
        <f aca="false">IF(BJ371=0,IF(BR371=0,0,1),(BR371-BJ371)/BJ371)</f>
        <v>0</v>
      </c>
      <c r="CA371" s="32" t="n">
        <f aca="false">IF(BK371=0,IF(BS371=0,0,1),(BS371-BK371)/BK371)</f>
        <v>0</v>
      </c>
      <c r="CB371" s="32" t="n">
        <f aca="false">IF(BL371=0,IF(BT371=0,0,1),(BT371-BL371)/BL371)</f>
        <v>0</v>
      </c>
      <c r="CC371" s="32" t="n">
        <f aca="false">IF(BM371=0,IF(BU371=0,0,1),(BU371-BM371)/BM371)</f>
        <v>0</v>
      </c>
      <c r="CD371" s="32" t="n">
        <f aca="false">IF(BN371=0,IF(BV371=0,0,1),(BV371-BN371)/BN371)</f>
        <v>0</v>
      </c>
      <c r="CE371" s="32" t="n">
        <f aca="false">IF(BO371=0,IF(BW371=0,0,1),(BW371-BO371)/BO371)</f>
        <v>0</v>
      </c>
      <c r="CF371" s="32" t="n">
        <f aca="false">IF(BP371=0,IF(BX371=0,0,1),(BX371-BP371)/BP371)</f>
        <v>0</v>
      </c>
      <c r="CG371" s="32" t="n">
        <f aca="false">IF(BQ371=0,IF(BY371=0,0,1),(BY371-BQ371)/BQ371)</f>
        <v>0</v>
      </c>
      <c r="CH371" s="32" t="n">
        <f aca="false">MAX(MAX(BZ371:CG371),-MIN(BZ371:CG371))</f>
        <v>-0</v>
      </c>
      <c r="CI371" s="31" t="n">
        <f aca="false">IF(CO371="","",SUMIFS($CJ$7:$CJ$696,$A$7:$A$696,CO371,$B$7:$B$696,B371))</f>
        <v>0</v>
      </c>
      <c r="CJ371" s="31" t="n">
        <f aca="false">SUM(AY371:BI371)</f>
        <v>0</v>
      </c>
      <c r="CK371" s="31" t="str">
        <f aca="false">IFERROR(INDEX(設定!$F$61:$F$106,MATCH(B371,設定!$B$61:$B$106,0)),"Y")</f>
        <v>N</v>
      </c>
      <c r="CL371" s="31" t="str">
        <f aca="false">IFERROR(INDEX(設定!$G$61:$G$106,MATCH(B371,設定!$B$61:$B$106,0)),"外郭型")</f>
        <v>外郭型</v>
      </c>
      <c r="CM371" s="33" t="str">
        <f aca="false">A371&amp;"|"&amp;B371</f>
        <v>2026-10 月例|自治労労働組合</v>
      </c>
      <c r="CN371" s="34" t="str">
        <f aca="false">IFERROR(INDEX(設定!$D$61:$D$106,MATCH(B371,設定!$B$61:$B$106,0)),"Y")</f>
        <v>Y</v>
      </c>
      <c r="CO371" s="34" t="str">
        <f aca="false">IFERROR(INDEX(設定!$D$20:$D$34,MATCH(A371,設定!$A$20:$A$34,0))&amp;"","")</f>
        <v>2026-09 月例</v>
      </c>
    </row>
    <row r="372" customFormat="false" ht="15" hidden="false" customHeight="false" outlineLevel="0" collapsed="false">
      <c r="A372" s="22" t="s">
        <v>223</v>
      </c>
      <c r="B372" s="23" t="s">
        <v>212</v>
      </c>
      <c r="C372" s="10" t="str">
        <f aca="false">IF(G372="","未受領",IF(G372="なし","報告なし",IF(AL372="○","起票済",IF(OR(AK372="○",F372="一致",F372="入金不要"),"入金確認済","受領済"))))</f>
        <v>受領済</v>
      </c>
      <c r="D372" s="10" t="str">
        <f aca="false">IF(OR(G372="",G372="なし"),"―",IF(CN372="N","対象外",IF(AND(I372="",J372="",K372=""),"標報未入力",IF(CH372&gt;=設定!$B$4,"要確認","問題なし"))))</f>
        <v>標報未入力</v>
      </c>
      <c r="E372" s="24" t="str">
        <f aca="false">IF(OR(G372="",G372="なし",CI372="",CJ372=0),"―",IF(CJ372=CI372,"前月同額",IF(CI372=0,"―",IF(ABS(CJ372/CI372-1)&gt;=設定!$B$5,"変動大 "&amp;TEXT(CJ372/CI372-1,"+0%;-0%"),"〇"))))</f>
        <v>前月同額</v>
      </c>
      <c r="F372" s="10" t="str">
        <f aca="false">IF(OR(G372="",G372="なし"),"―",IF(CJ372=0,"入金不要",IF(COUNT(AD372,AF372,AH372,AJ372)=0,IF(AK372="○","手動確認","未入金"),IF(AND(N(AD372)=AC372,IF(AE372="",TRUE(),N(AF372)=AE372),IF(AG372="",TRUE(),N(AH372)=AG372),IF(AI372="",TRUE(),N(AJ372)=AI372)),"一致","不一致"))))</f>
        <v>未入金</v>
      </c>
      <c r="G372" s="25" t="s">
        <v>167</v>
      </c>
      <c r="H372" s="26"/>
      <c r="I372" s="27"/>
      <c r="J372" s="27"/>
      <c r="K372" s="27"/>
      <c r="L372" s="27"/>
      <c r="M372" s="27"/>
      <c r="N372" s="27"/>
      <c r="O372" s="27" t="n">
        <v>29280</v>
      </c>
      <c r="P372" s="27" t="n">
        <v>2400</v>
      </c>
      <c r="Q372" s="27" t="n">
        <v>32153</v>
      </c>
      <c r="R372" s="27" t="n">
        <v>2370</v>
      </c>
      <c r="S372" s="27" t="n">
        <v>713</v>
      </c>
      <c r="T372" s="27" t="n">
        <v>29280</v>
      </c>
      <c r="U372" s="27" t="n">
        <v>2400</v>
      </c>
      <c r="V372" s="27"/>
      <c r="W372" s="27" t="n">
        <v>32184</v>
      </c>
      <c r="X372" s="27" t="n">
        <v>2370</v>
      </c>
      <c r="Y372" s="27" t="n">
        <v>713</v>
      </c>
      <c r="Z372" s="27"/>
      <c r="AA372" s="10" t="str">
        <f aca="false">IFERROR(INDEX(設定!$E$61:$E$106,MATCH(B372,設定!$B$61:$B$106,0)),"合算")</f>
        <v>合算</v>
      </c>
      <c r="AB372" s="28"/>
      <c r="AC372" s="29" t="n">
        <f aca="false">IF(OR(G372="",G372="なし"),"",IF(AA372="合算",CJ372+N(Z372),IF(AA372="掛金・負担金別",(AY372+AZ372+BD372+BF372+BH372),SUM(AY372:BC372))))</f>
        <v>133863</v>
      </c>
      <c r="AD372" s="27"/>
      <c r="AE372" s="29" t="str">
        <f aca="false">IF(OR(G372="",G372="なし"),"",IF(AA372="掛金・負担金別",(BA372+BB372+BC372+BE372+BG372+BI372+N(Z372)),IF(AA372="経理区分別",BD372+BE372,"")))</f>
        <v/>
      </c>
      <c r="AF372" s="27"/>
      <c r="AG372" s="29" t="str">
        <f aca="false">IF(OR(G372="",G372="なし"),"",IF(AA372="経理区分別",BF372+BG372,""))</f>
        <v/>
      </c>
      <c r="AH372" s="27"/>
      <c r="AI372" s="29" t="str">
        <f aca="false">IF(OR(G372="",G372="なし"),"",IF(AA372="経理区分別",BH372+BI372+N(Z372),""))</f>
        <v/>
      </c>
      <c r="AJ372" s="27"/>
      <c r="AK372" s="26"/>
      <c r="AL372" s="26"/>
      <c r="AM372" s="30"/>
      <c r="AN372" s="31"/>
      <c r="AO372" s="31"/>
      <c r="AP372" s="31"/>
      <c r="AQ372" s="31"/>
      <c r="AR372" s="31"/>
      <c r="AS372" s="31"/>
      <c r="AT372" s="31"/>
      <c r="AU372" s="31"/>
      <c r="AV372" s="31"/>
      <c r="AW372" s="31"/>
      <c r="AX372" s="31"/>
      <c r="AY372" s="31" t="n">
        <f aca="false">IF($G372="",AN372,O372)</f>
        <v>29280</v>
      </c>
      <c r="AZ372" s="31" t="n">
        <f aca="false">IF($G372="",AO372,P372)</f>
        <v>2400</v>
      </c>
      <c r="BA372" s="31" t="n">
        <f aca="false">IF($G372="",AP372,T372)</f>
        <v>29280</v>
      </c>
      <c r="BB372" s="31" t="n">
        <f aca="false">IF($G372="",AQ372,U372)</f>
        <v>2400</v>
      </c>
      <c r="BC372" s="31" t="n">
        <f aca="false">IF($G372="",AR372,V372)</f>
        <v>0</v>
      </c>
      <c r="BD372" s="31" t="n">
        <f aca="false">IF($G372="",AS372,Q372)</f>
        <v>32153</v>
      </c>
      <c r="BE372" s="31" t="n">
        <f aca="false">IF($G372="",AT372,W372)</f>
        <v>32184</v>
      </c>
      <c r="BF372" s="31" t="n">
        <f aca="false">IF($G372="",AU372,R372)</f>
        <v>2370</v>
      </c>
      <c r="BG372" s="31" t="n">
        <f aca="false">IF($G372="",AV372,X372)</f>
        <v>2370</v>
      </c>
      <c r="BH372" s="31" t="n">
        <f aca="false">IF($G372="",AW372,S372)</f>
        <v>713</v>
      </c>
      <c r="BI372" s="31" t="n">
        <f aca="false">IF($G372="",AX372,Y372)</f>
        <v>713</v>
      </c>
      <c r="BJ372" s="31" t="n">
        <f aca="false">IF(CK372="N",BR372,ROUNDDOWN((I372-L372)*設定!$B$10/1000,0)+ROUNDDOWN((I372-L372)*設定!$B$11/1000,0))</f>
        <v>0</v>
      </c>
      <c r="BK372" s="31" t="n">
        <f aca="false">ROUNDDOWN((I372-L372)*設定!$C$10/1000,0)+ROUNDDOWN((I372-L372)*設定!$C$11/1000,0)+ROUNDDOWN(I372*設定!$C$12/1000,0)+IF(CL372="市局型",ROUNDDOWN(I372*設定!$C$16/1000,0),0)</f>
        <v>0</v>
      </c>
      <c r="BL372" s="31" t="n">
        <f aca="false">IF(CK372="N",BT372,ROUNDDOWN((J372-M372)*設定!$B$13/1000,0))</f>
        <v>0</v>
      </c>
      <c r="BM372" s="31" t="n">
        <f aca="false">ROUNDDOWN((J372-M372)*設定!$C$13/1000,0)+IF(CL372="市局型",ROUNDDOWN(J372*設定!$C$17/1000,0),0)</f>
        <v>0</v>
      </c>
      <c r="BN372" s="31" t="n">
        <f aca="false">IF(CK372="N",BV372,ROUNDDOWN((K372-N372)*設定!$B$14/1000,0))</f>
        <v>0</v>
      </c>
      <c r="BO372" s="31" t="n">
        <f aca="false">ROUNDDOWN((K372-N372)*設定!$C$14/1000,0)</f>
        <v>0</v>
      </c>
      <c r="BP372" s="31" t="n">
        <f aca="false">IF(CK372="N",BX372,ROUNDDOWN((J372-M372)*設定!$B$15/1000,0))</f>
        <v>0</v>
      </c>
      <c r="BQ372" s="31" t="n">
        <f aca="false">ROUNDDOWN((J372-M372)*設定!$C$15/1000,0)</f>
        <v>0</v>
      </c>
      <c r="BR372" s="31" t="n">
        <f aca="false">O372+P372</f>
        <v>31680</v>
      </c>
      <c r="BS372" s="31" t="n">
        <f aca="false">T372+U372+V372</f>
        <v>31680</v>
      </c>
      <c r="BT372" s="31" t="n">
        <f aca="false">Q372</f>
        <v>32153</v>
      </c>
      <c r="BU372" s="31" t="n">
        <f aca="false">W372</f>
        <v>32184</v>
      </c>
      <c r="BV372" s="31" t="n">
        <f aca="false">R372</f>
        <v>2370</v>
      </c>
      <c r="BW372" s="31" t="n">
        <f aca="false">X372</f>
        <v>2370</v>
      </c>
      <c r="BX372" s="31" t="n">
        <f aca="false">S372</f>
        <v>713</v>
      </c>
      <c r="BY372" s="31" t="n">
        <f aca="false">Y372</f>
        <v>713</v>
      </c>
      <c r="BZ372" s="32" t="n">
        <f aca="false">IF(BJ372=0,IF(BR372=0,0,1),(BR372-BJ372)/BJ372)</f>
        <v>1</v>
      </c>
      <c r="CA372" s="32" t="n">
        <f aca="false">IF(BK372=0,IF(BS372=0,0,1),(BS372-BK372)/BK372)</f>
        <v>1</v>
      </c>
      <c r="CB372" s="32" t="n">
        <f aca="false">IF(BL372=0,IF(BT372=0,0,1),(BT372-BL372)/BL372)</f>
        <v>1</v>
      </c>
      <c r="CC372" s="32" t="n">
        <f aca="false">IF(BM372=0,IF(BU372=0,0,1),(BU372-BM372)/BM372)</f>
        <v>1</v>
      </c>
      <c r="CD372" s="32" t="n">
        <f aca="false">IF(BN372=0,IF(BV372=0,0,1),(BV372-BN372)/BN372)</f>
        <v>1</v>
      </c>
      <c r="CE372" s="32" t="n">
        <f aca="false">IF(BO372=0,IF(BW372=0,0,1),(BW372-BO372)/BO372)</f>
        <v>1</v>
      </c>
      <c r="CF372" s="32" t="n">
        <f aca="false">IF(BP372=0,IF(BX372=0,0,1),(BX372-BP372)/BP372)</f>
        <v>1</v>
      </c>
      <c r="CG372" s="32" t="n">
        <f aca="false">IF(BQ372=0,IF(BY372=0,0,1),(BY372-BQ372)/BQ372)</f>
        <v>1</v>
      </c>
      <c r="CH372" s="32" t="n">
        <f aca="false">MAX(MAX(BZ372:CG372),-MIN(BZ372:CG372))</f>
        <v>1</v>
      </c>
      <c r="CI372" s="31" t="n">
        <f aca="false">IF(CO372="","",SUMIFS($CJ$7:$CJ$696,$A$7:$A$696,CO372,$B$7:$B$696,B372))</f>
        <v>133863</v>
      </c>
      <c r="CJ372" s="31" t="n">
        <f aca="false">SUM(AY372:BI372)</f>
        <v>133863</v>
      </c>
      <c r="CK372" s="31" t="str">
        <f aca="false">IFERROR(INDEX(設定!$F$61:$F$106,MATCH(B372,設定!$B$61:$B$106,0)),"Y")</f>
        <v>Y</v>
      </c>
      <c r="CL372" s="31" t="str">
        <f aca="false">IFERROR(INDEX(設定!$G$61:$G$106,MATCH(B372,設定!$B$61:$B$106,0)),"外郭型")</f>
        <v>外郭型</v>
      </c>
      <c r="CM372" s="33" t="str">
        <f aca="false">A372&amp;"|"&amp;B372</f>
        <v>2026-10 月例|病院労働組合</v>
      </c>
      <c r="CN372" s="34" t="str">
        <f aca="false">IFERROR(INDEX(設定!$D$61:$D$106,MATCH(B372,設定!$B$61:$B$106,0)),"Y")</f>
        <v>Y</v>
      </c>
      <c r="CO372" s="34" t="str">
        <f aca="false">IFERROR(INDEX(設定!$D$20:$D$34,MATCH(A372,設定!$A$20:$A$34,0))&amp;"","")</f>
        <v>2026-09 月例</v>
      </c>
    </row>
    <row r="373" customFormat="false" ht="15" hidden="false" customHeight="false" outlineLevel="0" collapsed="false">
      <c r="A373" s="22" t="s">
        <v>223</v>
      </c>
      <c r="B373" s="23" t="s">
        <v>213</v>
      </c>
      <c r="C373" s="10" t="str">
        <f aca="false">IF(G373="","未受領",IF(G373="なし","報告なし",IF(AL373="○","起票済",IF(OR(AK373="○",F373="一致",F373="入金不要"),"入金確認済","受領済"))))</f>
        <v>報告なし</v>
      </c>
      <c r="D373" s="10" t="str">
        <f aca="false">IF(OR(G373="",G373="なし"),"―",IF(CN373="N","対象外",IF(AND(I373="",J373="",K373=""),"標報未入力",IF(CH373&gt;=設定!$B$4,"要確認","問題なし"))))</f>
        <v>―</v>
      </c>
      <c r="E373" s="24" t="str">
        <f aca="false">IF(OR(G373="",G373="なし",CI373="",CJ373=0),"―",IF(CJ373=CI373,"前月同額",IF(CI373=0,"―",IF(ABS(CJ373/CI373-1)&gt;=設定!$B$5,"変動大 "&amp;TEXT(CJ373/CI373-1,"+0%;-0%"),"〇"))))</f>
        <v>―</v>
      </c>
      <c r="F373" s="10" t="str">
        <f aca="false">IF(OR(G373="",G373="なし"),"―",IF(CJ373=0,"入金不要",IF(COUNT(AD373,AF373,AH373,AJ373)=0,IF(AK373="○","手動確認","未入金"),IF(AND(N(AD373)=AC373,IF(AE373="",TRUE(),N(AF373)=AE373),IF(AG373="",TRUE(),N(AH373)=AG373),IF(AI373="",TRUE(),N(AJ373)=AI373)),"一致","不一致"))))</f>
        <v>―</v>
      </c>
      <c r="G373" s="25" t="s">
        <v>181</v>
      </c>
      <c r="H373" s="26"/>
      <c r="I373" s="27"/>
      <c r="J373" s="27"/>
      <c r="K373" s="27"/>
      <c r="L373" s="27"/>
      <c r="M373" s="27"/>
      <c r="N373" s="27"/>
      <c r="O373" s="27"/>
      <c r="P373" s="27"/>
      <c r="Q373" s="27"/>
      <c r="R373" s="27"/>
      <c r="S373" s="27"/>
      <c r="T373" s="27"/>
      <c r="U373" s="27"/>
      <c r="V373" s="27"/>
      <c r="W373" s="27"/>
      <c r="X373" s="27"/>
      <c r="Y373" s="27"/>
      <c r="Z373" s="27"/>
      <c r="AA373" s="10" t="str">
        <f aca="false">IFERROR(INDEX(設定!$E$61:$E$106,MATCH(B373,設定!$B$61:$B$106,0)),"合算")</f>
        <v>合算</v>
      </c>
      <c r="AB373" s="28"/>
      <c r="AC373" s="29" t="str">
        <f aca="false">IF(OR(G373="",G373="なし"),"",IF(AA373="合算",CJ373+N(Z373),IF(AA373="掛金・負担金別",(AY373+AZ373+BD373+BF373+BH373),SUM(AY373:BC373))))</f>
        <v/>
      </c>
      <c r="AD373" s="27"/>
      <c r="AE373" s="29" t="str">
        <f aca="false">IF(OR(G373="",G373="なし"),"",IF(AA373="掛金・負担金別",(BA373+BB373+BC373+BE373+BG373+BI373+N(Z373)),IF(AA373="経理区分別",BD373+BE373,"")))</f>
        <v/>
      </c>
      <c r="AF373" s="27"/>
      <c r="AG373" s="29" t="str">
        <f aca="false">IF(OR(G373="",G373="なし"),"",IF(AA373="経理区分別",BF373+BG373,""))</f>
        <v/>
      </c>
      <c r="AH373" s="27"/>
      <c r="AI373" s="29" t="str">
        <f aca="false">IF(OR(G373="",G373="なし"),"",IF(AA373="経理区分別",BH373+BI373+N(Z373),""))</f>
        <v/>
      </c>
      <c r="AJ373" s="27"/>
      <c r="AK373" s="26"/>
      <c r="AL373" s="26"/>
      <c r="AM373" s="30"/>
      <c r="AN373" s="31"/>
      <c r="AO373" s="31"/>
      <c r="AP373" s="31"/>
      <c r="AQ373" s="31"/>
      <c r="AR373" s="31"/>
      <c r="AS373" s="31"/>
      <c r="AT373" s="31"/>
      <c r="AU373" s="31"/>
      <c r="AV373" s="31"/>
      <c r="AW373" s="31"/>
      <c r="AX373" s="31"/>
      <c r="AY373" s="31" t="n">
        <f aca="false">IF($G373="",AN373,O373)</f>
        <v>0</v>
      </c>
      <c r="AZ373" s="31" t="n">
        <f aca="false">IF($G373="",AO373,P373)</f>
        <v>0</v>
      </c>
      <c r="BA373" s="31" t="n">
        <f aca="false">IF($G373="",AP373,T373)</f>
        <v>0</v>
      </c>
      <c r="BB373" s="31" t="n">
        <f aca="false">IF($G373="",AQ373,U373)</f>
        <v>0</v>
      </c>
      <c r="BC373" s="31" t="n">
        <f aca="false">IF($G373="",AR373,V373)</f>
        <v>0</v>
      </c>
      <c r="BD373" s="31" t="n">
        <f aca="false">IF($G373="",AS373,Q373)</f>
        <v>0</v>
      </c>
      <c r="BE373" s="31" t="n">
        <f aca="false">IF($G373="",AT373,W373)</f>
        <v>0</v>
      </c>
      <c r="BF373" s="31" t="n">
        <f aca="false">IF($G373="",AU373,R373)</f>
        <v>0</v>
      </c>
      <c r="BG373" s="31" t="n">
        <f aca="false">IF($G373="",AV373,X373)</f>
        <v>0</v>
      </c>
      <c r="BH373" s="31" t="n">
        <f aca="false">IF($G373="",AW373,S373)</f>
        <v>0</v>
      </c>
      <c r="BI373" s="31" t="n">
        <f aca="false">IF($G373="",AX373,Y373)</f>
        <v>0</v>
      </c>
      <c r="BJ373" s="31" t="n">
        <f aca="false">IF(CK373="N",BR373,ROUNDDOWN((I373-L373)*設定!$B$10/1000,0)+ROUNDDOWN((I373-L373)*設定!$B$11/1000,0))</f>
        <v>0</v>
      </c>
      <c r="BK373" s="31" t="n">
        <f aca="false">ROUNDDOWN((I373-L373)*設定!$C$10/1000,0)+ROUNDDOWN((I373-L373)*設定!$C$11/1000,0)+ROUNDDOWN(I373*設定!$C$12/1000,0)+IF(CL373="市局型",ROUNDDOWN(I373*設定!$C$16/1000,0),0)</f>
        <v>0</v>
      </c>
      <c r="BL373" s="31" t="n">
        <f aca="false">IF(CK373="N",BT373,ROUNDDOWN((J373-M373)*設定!$B$13/1000,0))</f>
        <v>0</v>
      </c>
      <c r="BM373" s="31" t="n">
        <f aca="false">ROUNDDOWN((J373-M373)*設定!$C$13/1000,0)+IF(CL373="市局型",ROUNDDOWN(J373*設定!$C$17/1000,0),0)</f>
        <v>0</v>
      </c>
      <c r="BN373" s="31" t="n">
        <f aca="false">IF(CK373="N",BV373,ROUNDDOWN((K373-N373)*設定!$B$14/1000,0))</f>
        <v>0</v>
      </c>
      <c r="BO373" s="31" t="n">
        <f aca="false">ROUNDDOWN((K373-N373)*設定!$C$14/1000,0)</f>
        <v>0</v>
      </c>
      <c r="BP373" s="31" t="n">
        <f aca="false">IF(CK373="N",BX373,ROUNDDOWN((J373-M373)*設定!$B$15/1000,0))</f>
        <v>0</v>
      </c>
      <c r="BQ373" s="31" t="n">
        <f aca="false">ROUNDDOWN((J373-M373)*設定!$C$15/1000,0)</f>
        <v>0</v>
      </c>
      <c r="BR373" s="31" t="n">
        <f aca="false">O373+P373</f>
        <v>0</v>
      </c>
      <c r="BS373" s="31" t="n">
        <f aca="false">T373+U373+V373</f>
        <v>0</v>
      </c>
      <c r="BT373" s="31" t="n">
        <f aca="false">Q373</f>
        <v>0</v>
      </c>
      <c r="BU373" s="31" t="n">
        <f aca="false">W373</f>
        <v>0</v>
      </c>
      <c r="BV373" s="31" t="n">
        <f aca="false">R373</f>
        <v>0</v>
      </c>
      <c r="BW373" s="31" t="n">
        <f aca="false">X373</f>
        <v>0</v>
      </c>
      <c r="BX373" s="31" t="n">
        <f aca="false">S373</f>
        <v>0</v>
      </c>
      <c r="BY373" s="31" t="n">
        <f aca="false">Y373</f>
        <v>0</v>
      </c>
      <c r="BZ373" s="32" t="n">
        <f aca="false">IF(BJ373=0,IF(BR373=0,0,1),(BR373-BJ373)/BJ373)</f>
        <v>0</v>
      </c>
      <c r="CA373" s="32" t="n">
        <f aca="false">IF(BK373=0,IF(BS373=0,0,1),(BS373-BK373)/BK373)</f>
        <v>0</v>
      </c>
      <c r="CB373" s="32" t="n">
        <f aca="false">IF(BL373=0,IF(BT373=0,0,1),(BT373-BL373)/BL373)</f>
        <v>0</v>
      </c>
      <c r="CC373" s="32" t="n">
        <f aca="false">IF(BM373=0,IF(BU373=0,0,1),(BU373-BM373)/BM373)</f>
        <v>0</v>
      </c>
      <c r="CD373" s="32" t="n">
        <f aca="false">IF(BN373=0,IF(BV373=0,0,1),(BV373-BN373)/BN373)</f>
        <v>0</v>
      </c>
      <c r="CE373" s="32" t="n">
        <f aca="false">IF(BO373=0,IF(BW373=0,0,1),(BW373-BO373)/BO373)</f>
        <v>0</v>
      </c>
      <c r="CF373" s="32" t="n">
        <f aca="false">IF(BP373=0,IF(BX373=0,0,1),(BX373-BP373)/BP373)</f>
        <v>0</v>
      </c>
      <c r="CG373" s="32" t="n">
        <f aca="false">IF(BQ373=0,IF(BY373=0,0,1),(BY373-BQ373)/BQ373)</f>
        <v>0</v>
      </c>
      <c r="CH373" s="32" t="n">
        <f aca="false">MAX(MAX(BZ373:CG373),-MIN(BZ373:CG373))</f>
        <v>-0</v>
      </c>
      <c r="CI373" s="31" t="n">
        <f aca="false">IF(CO373="","",SUMIFS($CJ$7:$CJ$696,$A$7:$A$696,CO373,$B$7:$B$696,B373))</f>
        <v>0</v>
      </c>
      <c r="CJ373" s="31" t="n">
        <f aca="false">SUM(AY373:BI373)</f>
        <v>0</v>
      </c>
      <c r="CK373" s="31" t="str">
        <f aca="false">IFERROR(INDEX(設定!$F$61:$F$106,MATCH(B373,設定!$B$61:$B$106,0)),"Y")</f>
        <v>N</v>
      </c>
      <c r="CL373" s="31" t="str">
        <f aca="false">IFERROR(INDEX(設定!$G$61:$G$106,MATCH(B373,設定!$B$61:$B$106,0)),"外郭型")</f>
        <v>外郭型</v>
      </c>
      <c r="CM373" s="33" t="str">
        <f aca="false">A373&amp;"|"&amp;B373</f>
        <v>2026-10 月例|水道労働組合</v>
      </c>
      <c r="CN373" s="34" t="str">
        <f aca="false">IFERROR(INDEX(設定!$D$61:$D$106,MATCH(B373,設定!$B$61:$B$106,0)),"Y")</f>
        <v>Y</v>
      </c>
      <c r="CO373" s="34" t="str">
        <f aca="false">IFERROR(INDEX(設定!$D$20:$D$34,MATCH(A373,設定!$A$20:$A$34,0))&amp;"","")</f>
        <v>2026-09 月例</v>
      </c>
    </row>
    <row r="374" customFormat="false" ht="15" hidden="false" customHeight="false" outlineLevel="0" collapsed="false">
      <c r="A374" s="22" t="s">
        <v>223</v>
      </c>
      <c r="B374" s="23" t="s">
        <v>214</v>
      </c>
      <c r="C374" s="10" t="str">
        <f aca="false">IF(G374="","未受領",IF(G374="なし","報告なし",IF(AL374="○","起票済",IF(OR(AK374="○",F374="一致",F374="入金不要"),"入金確認済","受領済"))))</f>
        <v>未受領</v>
      </c>
      <c r="D374" s="10" t="str">
        <f aca="false">IF(OR(G374="",G374="なし"),"―",IF(CN374="N","対象外",IF(AND(I374="",J374="",K374=""),"標報未入力",IF(CH374&gt;=設定!$B$4,"要確認","問題なし"))))</f>
        <v>―</v>
      </c>
      <c r="E374" s="24" t="str">
        <f aca="false">IF(OR(G374="",G374="なし",CI374="",CJ374=0),"―",IF(CJ374=CI374,"前月同額",IF(CI374=0,"―",IF(ABS(CJ374/CI374-1)&gt;=設定!$B$5,"変動大 "&amp;TEXT(CJ374/CI374-1,"+0%;-0%"),"〇"))))</f>
        <v>―</v>
      </c>
      <c r="F374" s="10" t="str">
        <f aca="false">IF(OR(G374="",G374="なし"),"―",IF(CJ374=0,"入金不要",IF(COUNT(AD374,AF374,AH374,AJ374)=0,IF(AK374="○","手動確認","未入金"),IF(AND(N(AD374)=AC374,IF(AE374="",TRUE(),N(AF374)=AE374),IF(AG374="",TRUE(),N(AH374)=AG374),IF(AI374="",TRUE(),N(AJ374)=AI374)),"一致","不一致"))))</f>
        <v>―</v>
      </c>
      <c r="G374" s="25"/>
      <c r="H374" s="26"/>
      <c r="I374" s="27"/>
      <c r="J374" s="27"/>
      <c r="K374" s="27"/>
      <c r="L374" s="27"/>
      <c r="M374" s="27"/>
      <c r="N374" s="27"/>
      <c r="O374" s="27"/>
      <c r="P374" s="27"/>
      <c r="Q374" s="27"/>
      <c r="R374" s="27"/>
      <c r="S374" s="27"/>
      <c r="T374" s="27"/>
      <c r="U374" s="27"/>
      <c r="V374" s="27"/>
      <c r="W374" s="27"/>
      <c r="X374" s="27"/>
      <c r="Y374" s="27"/>
      <c r="Z374" s="27"/>
      <c r="AA374" s="10" t="str">
        <f aca="false">IFERROR(INDEX(設定!$E$61:$E$106,MATCH(B374,設定!$B$61:$B$106,0)),"合算")</f>
        <v>合算</v>
      </c>
      <c r="AB374" s="28"/>
      <c r="AC374" s="29" t="str">
        <f aca="false">IF(OR(G374="",G374="なし"),"",IF(AA374="合算",CJ374+N(Z374),IF(AA374="掛金・負担金別",(AY374+AZ374+BD374+BF374+BH374),SUM(AY374:BC374))))</f>
        <v/>
      </c>
      <c r="AD374" s="27"/>
      <c r="AE374" s="29" t="str">
        <f aca="false">IF(OR(G374="",G374="なし"),"",IF(AA374="掛金・負担金別",(BA374+BB374+BC374+BE374+BG374+BI374+N(Z374)),IF(AA374="経理区分別",BD374+BE374,"")))</f>
        <v/>
      </c>
      <c r="AF374" s="27"/>
      <c r="AG374" s="29" t="str">
        <f aca="false">IF(OR(G374="",G374="なし"),"",IF(AA374="経理区分別",BF374+BG374,""))</f>
        <v/>
      </c>
      <c r="AH374" s="27"/>
      <c r="AI374" s="29" t="str">
        <f aca="false">IF(OR(G374="",G374="なし"),"",IF(AA374="経理区分別",BH374+BI374+N(Z374),""))</f>
        <v/>
      </c>
      <c r="AJ374" s="27"/>
      <c r="AK374" s="26"/>
      <c r="AL374" s="26"/>
      <c r="AM374" s="30"/>
      <c r="AN374" s="31"/>
      <c r="AO374" s="31"/>
      <c r="AP374" s="31"/>
      <c r="AQ374" s="31"/>
      <c r="AR374" s="31"/>
      <c r="AS374" s="31" t="n">
        <v>2637097</v>
      </c>
      <c r="AT374" s="31"/>
      <c r="AU374" s="31" t="n">
        <v>123617</v>
      </c>
      <c r="AV374" s="31"/>
      <c r="AW374" s="31" t="n">
        <v>1</v>
      </c>
      <c r="AX374" s="31"/>
      <c r="AY374" s="31" t="n">
        <f aca="false">IF($G374="",AN374,O374)</f>
        <v>0</v>
      </c>
      <c r="AZ374" s="31" t="n">
        <f aca="false">IF($G374="",AO374,P374)</f>
        <v>0</v>
      </c>
      <c r="BA374" s="31" t="n">
        <f aca="false">IF($G374="",AP374,T374)</f>
        <v>0</v>
      </c>
      <c r="BB374" s="31" t="n">
        <f aca="false">IF($G374="",AQ374,U374)</f>
        <v>0</v>
      </c>
      <c r="BC374" s="31" t="n">
        <f aca="false">IF($G374="",AR374,V374)</f>
        <v>0</v>
      </c>
      <c r="BD374" s="31" t="n">
        <f aca="false">IF($G374="",AS374,Q374)</f>
        <v>2637097</v>
      </c>
      <c r="BE374" s="31" t="n">
        <f aca="false">IF($G374="",AT374,W374)</f>
        <v>0</v>
      </c>
      <c r="BF374" s="31" t="n">
        <f aca="false">IF($G374="",AU374,R374)</f>
        <v>123617</v>
      </c>
      <c r="BG374" s="31" t="n">
        <f aca="false">IF($G374="",AV374,X374)</f>
        <v>0</v>
      </c>
      <c r="BH374" s="31" t="n">
        <f aca="false">IF($G374="",AW374,S374)</f>
        <v>1</v>
      </c>
      <c r="BI374" s="31" t="n">
        <f aca="false">IF($G374="",AX374,Y374)</f>
        <v>0</v>
      </c>
      <c r="BJ374" s="31" t="n">
        <f aca="false">IF(CK374="N",BR374,ROUNDDOWN((I374-L374)*設定!$B$10/1000,0)+ROUNDDOWN((I374-L374)*設定!$B$11/1000,0))</f>
        <v>0</v>
      </c>
      <c r="BK374" s="31" t="n">
        <f aca="false">ROUNDDOWN((I374-L374)*設定!$C$10/1000,0)+ROUNDDOWN((I374-L374)*設定!$C$11/1000,0)+ROUNDDOWN(I374*設定!$C$12/1000,0)+IF(CL374="市局型",ROUNDDOWN(I374*設定!$C$16/1000,0),0)</f>
        <v>0</v>
      </c>
      <c r="BL374" s="31" t="n">
        <f aca="false">IF(CK374="N",BT374,ROUNDDOWN((J374-M374)*設定!$B$13/1000,0))</f>
        <v>0</v>
      </c>
      <c r="BM374" s="31" t="n">
        <f aca="false">ROUNDDOWN((J374-M374)*設定!$C$13/1000,0)+IF(CL374="市局型",ROUNDDOWN(J374*設定!$C$17/1000,0),0)</f>
        <v>0</v>
      </c>
      <c r="BN374" s="31" t="n">
        <f aca="false">IF(CK374="N",BV374,ROUNDDOWN((K374-N374)*設定!$B$14/1000,0))</f>
        <v>0</v>
      </c>
      <c r="BO374" s="31" t="n">
        <f aca="false">ROUNDDOWN((K374-N374)*設定!$C$14/1000,0)</f>
        <v>0</v>
      </c>
      <c r="BP374" s="31" t="n">
        <f aca="false">IF(CK374="N",BX374,ROUNDDOWN((J374-M374)*設定!$B$15/1000,0))</f>
        <v>0</v>
      </c>
      <c r="BQ374" s="31" t="n">
        <f aca="false">ROUNDDOWN((J374-M374)*設定!$C$15/1000,0)</f>
        <v>0</v>
      </c>
      <c r="BR374" s="31" t="n">
        <f aca="false">O374+P374</f>
        <v>0</v>
      </c>
      <c r="BS374" s="31" t="n">
        <f aca="false">T374+U374+V374</f>
        <v>0</v>
      </c>
      <c r="BT374" s="31" t="n">
        <f aca="false">Q374</f>
        <v>0</v>
      </c>
      <c r="BU374" s="31" t="n">
        <f aca="false">W374</f>
        <v>0</v>
      </c>
      <c r="BV374" s="31" t="n">
        <f aca="false">R374</f>
        <v>0</v>
      </c>
      <c r="BW374" s="31" t="n">
        <f aca="false">X374</f>
        <v>0</v>
      </c>
      <c r="BX374" s="31" t="n">
        <f aca="false">S374</f>
        <v>0</v>
      </c>
      <c r="BY374" s="31" t="n">
        <f aca="false">Y374</f>
        <v>0</v>
      </c>
      <c r="BZ374" s="32" t="n">
        <f aca="false">IF(BJ374=0,IF(BR374=0,0,1),(BR374-BJ374)/BJ374)</f>
        <v>0</v>
      </c>
      <c r="CA374" s="32" t="n">
        <f aca="false">IF(BK374=0,IF(BS374=0,0,1),(BS374-BK374)/BK374)</f>
        <v>0</v>
      </c>
      <c r="CB374" s="32" t="n">
        <f aca="false">IF(BL374=0,IF(BT374=0,0,1),(BT374-BL374)/BL374)</f>
        <v>0</v>
      </c>
      <c r="CC374" s="32" t="n">
        <f aca="false">IF(BM374=0,IF(BU374=0,0,1),(BU374-BM374)/BM374)</f>
        <v>0</v>
      </c>
      <c r="CD374" s="32" t="n">
        <f aca="false">IF(BN374=0,IF(BV374=0,0,1),(BV374-BN374)/BN374)</f>
        <v>0</v>
      </c>
      <c r="CE374" s="32" t="n">
        <f aca="false">IF(BO374=0,IF(BW374=0,0,1),(BW374-BO374)/BO374)</f>
        <v>0</v>
      </c>
      <c r="CF374" s="32" t="n">
        <f aca="false">IF(BP374=0,IF(BX374=0,0,1),(BX374-BP374)/BP374)</f>
        <v>0</v>
      </c>
      <c r="CG374" s="32" t="n">
        <f aca="false">IF(BQ374=0,IF(BY374=0,0,1),(BY374-BQ374)/BQ374)</f>
        <v>0</v>
      </c>
      <c r="CH374" s="32" t="n">
        <f aca="false">MAX(MAX(BZ374:CG374),-MIN(BZ374:CG374))</f>
        <v>-0</v>
      </c>
      <c r="CI374" s="31" t="n">
        <f aca="false">IF(CO374="","",SUMIFS($CJ$7:$CJ$696,$A$7:$A$696,CO374,$B$7:$B$696,B374))</f>
        <v>7376217</v>
      </c>
      <c r="CJ374" s="31" t="n">
        <f aca="false">SUM(AY374:BI374)</f>
        <v>2760715</v>
      </c>
      <c r="CK374" s="31" t="str">
        <f aca="false">IFERROR(INDEX(設定!$F$61:$F$106,MATCH(B374,設定!$B$61:$B$106,0)),"Y")</f>
        <v>Y</v>
      </c>
      <c r="CL374" s="31" t="str">
        <f aca="false">IFERROR(INDEX(設定!$G$61:$G$106,MATCH(B374,設定!$B$61:$B$106,0)),"外郭型")</f>
        <v>外郭型</v>
      </c>
      <c r="CM374" s="33" t="str">
        <f aca="false">A374&amp;"|"&amp;B374</f>
        <v>2026-10 月例|任意継続組合員</v>
      </c>
      <c r="CN374" s="34" t="str">
        <f aca="false">IFERROR(INDEX(設定!$D$61:$D$106,MATCH(B374,設定!$B$61:$B$106,0)),"Y")</f>
        <v>N</v>
      </c>
      <c r="CO374" s="34" t="str">
        <f aca="false">IFERROR(INDEX(設定!$D$20:$D$34,MATCH(A374,設定!$A$20:$A$34,0))&amp;"","")</f>
        <v>2026-09 月例</v>
      </c>
    </row>
    <row r="375" customFormat="false" ht="15" hidden="true" customHeight="false" outlineLevel="0" collapsed="false">
      <c r="A375" s="22" t="s">
        <v>224</v>
      </c>
      <c r="B375" s="23" t="s">
        <v>166</v>
      </c>
      <c r="C375" s="10" t="str">
        <f aca="false">IF(G375="","未受領",IF(G375="なし","報告なし",IF(AL375="○","起票済",IF(OR(AK375="○",F375="一致",F375="入金不要"),"入金確認済","受領済"))))</f>
        <v>未受領</v>
      </c>
      <c r="D375" s="10" t="str">
        <f aca="false">IF(OR(G375="",G375="なし"),"―",IF(CN375="N","対象外",IF(AND(I375="",J375="",K375=""),"標報未入力",IF(CH375&gt;=設定!$B$4,"要確認","問題なし"))))</f>
        <v>―</v>
      </c>
      <c r="E375" s="24" t="str">
        <f aca="false">IF(OR(G375="",G375="なし",CI375="",CJ375=0),"―",IF(CJ375=CI375,"前月同額",IF(CI375=0,"―",IF(ABS(CJ375/CI375-1)&gt;=設定!$B$5,"変動大 "&amp;TEXT(CJ375/CI375-1,"+0%;-0%"),"〇"))))</f>
        <v>―</v>
      </c>
      <c r="F375" s="10" t="str">
        <f aca="false">IF(OR(G375="",G375="なし"),"―",IF(CJ375=0,"入金不要",IF(COUNT(AD375,AF375,AH375,AJ375)=0,IF(AK375="○","手動確認","未入金"),IF(AND(N(AD375)=AC375,IF(AE375="",TRUE(),N(AF375)=AE375),IF(AG375="",TRUE(),N(AH375)=AG375),IF(AI375="",TRUE(),N(AJ375)=AI375)),"一致","不一致"))))</f>
        <v>―</v>
      </c>
      <c r="G375" s="25"/>
      <c r="H375" s="26"/>
      <c r="I375" s="27"/>
      <c r="J375" s="27"/>
      <c r="K375" s="27"/>
      <c r="L375" s="27"/>
      <c r="M375" s="27"/>
      <c r="N375" s="27"/>
      <c r="O375" s="27"/>
      <c r="P375" s="27"/>
      <c r="Q375" s="27"/>
      <c r="R375" s="27"/>
      <c r="S375" s="27"/>
      <c r="T375" s="27"/>
      <c r="U375" s="27"/>
      <c r="V375" s="27"/>
      <c r="W375" s="27"/>
      <c r="X375" s="27"/>
      <c r="Y375" s="27"/>
      <c r="Z375" s="27"/>
      <c r="AA375" s="10" t="str">
        <f aca="false">IFERROR(INDEX(設定!$E$61:$E$106,MATCH(B375,設定!$B$61:$B$106,0)),"合算")</f>
        <v>合算</v>
      </c>
      <c r="AB375" s="28"/>
      <c r="AC375" s="29" t="str">
        <f aca="false">IF(OR(G375="",G375="なし"),"",IF(AA375="合算",CJ375+N(Z375),IF(AA375="掛金・負担金別",(AY375+AZ375+BD375+BF375+BH375),SUM(AY375:BC375))))</f>
        <v/>
      </c>
      <c r="AD375" s="27"/>
      <c r="AE375" s="29" t="str">
        <f aca="false">IF(OR(G375="",G375="なし"),"",IF(AA375="掛金・負担金別",(BA375+BB375+BC375+BE375+BG375+BI375+N(Z375)),IF(AA375="経理区分別",BD375+BE375,"")))</f>
        <v/>
      </c>
      <c r="AF375" s="27"/>
      <c r="AG375" s="29" t="str">
        <f aca="false">IF(OR(G375="",G375="なし"),"",IF(AA375="経理区分別",BF375+BG375,""))</f>
        <v/>
      </c>
      <c r="AH375" s="27"/>
      <c r="AI375" s="29" t="str">
        <f aca="false">IF(OR(G375="",G375="なし"),"",IF(AA375="経理区分別",BH375+BI375+N(Z375),""))</f>
        <v/>
      </c>
      <c r="AJ375" s="27"/>
      <c r="AK375" s="26"/>
      <c r="AL375" s="26"/>
      <c r="AM375" s="30"/>
      <c r="AN375" s="31" t="n">
        <v>233143283</v>
      </c>
      <c r="AO375" s="31" t="n">
        <v>19118957</v>
      </c>
      <c r="AP375" s="31" t="n">
        <v>338993504</v>
      </c>
      <c r="AQ375" s="31" t="n">
        <v>18571005</v>
      </c>
      <c r="AR375" s="31" t="n">
        <v>245094</v>
      </c>
      <c r="AS375" s="31" t="n">
        <v>180313202</v>
      </c>
      <c r="AT375" s="31" t="n">
        <v>179630662</v>
      </c>
      <c r="AU375" s="31" t="n">
        <v>15791898</v>
      </c>
      <c r="AV375" s="31" t="n">
        <v>15319802</v>
      </c>
      <c r="AW375" s="31" t="n">
        <v>1</v>
      </c>
      <c r="AX375" s="31" t="n">
        <v>1</v>
      </c>
      <c r="AY375" s="31" t="n">
        <f aca="false">IF($G375="",AN375,O375)</f>
        <v>233143283</v>
      </c>
      <c r="AZ375" s="31" t="n">
        <f aca="false">IF($G375="",AO375,P375)</f>
        <v>19118957</v>
      </c>
      <c r="BA375" s="31" t="n">
        <f aca="false">IF($G375="",AP375,T375)</f>
        <v>338993504</v>
      </c>
      <c r="BB375" s="31" t="n">
        <f aca="false">IF($G375="",AQ375,U375)</f>
        <v>18571005</v>
      </c>
      <c r="BC375" s="31" t="n">
        <f aca="false">IF($G375="",AR375,V375)</f>
        <v>245094</v>
      </c>
      <c r="BD375" s="31" t="n">
        <f aca="false">IF($G375="",AS375,Q375)</f>
        <v>180313202</v>
      </c>
      <c r="BE375" s="31" t="n">
        <f aca="false">IF($G375="",AT375,W375)</f>
        <v>179630662</v>
      </c>
      <c r="BF375" s="31" t="n">
        <f aca="false">IF($G375="",AU375,R375)</f>
        <v>15791898</v>
      </c>
      <c r="BG375" s="31" t="n">
        <f aca="false">IF($G375="",AV375,X375)</f>
        <v>15319802</v>
      </c>
      <c r="BH375" s="31" t="n">
        <f aca="false">IF($G375="",AW375,S375)</f>
        <v>1</v>
      </c>
      <c r="BI375" s="31" t="n">
        <f aca="false">IF($G375="",AX375,Y375)</f>
        <v>1</v>
      </c>
      <c r="BJ375" s="31" t="n">
        <f aca="false">IF(CK375="N",BR375,ROUNDDOWN((I375-L375)*設定!$B$10/1000,0)+ROUNDDOWN((I375-L375)*設定!$B$11/1000,0))</f>
        <v>0</v>
      </c>
      <c r="BK375" s="31" t="n">
        <f aca="false">ROUNDDOWN((I375-L375)*設定!$C$10/1000,0)+ROUNDDOWN((I375-L375)*設定!$C$11/1000,0)+ROUNDDOWN(I375*設定!$C$12/1000,0)+IF(CL375="市局型",ROUNDDOWN(I375*設定!$C$16/1000,0),0)</f>
        <v>0</v>
      </c>
      <c r="BL375" s="31" t="n">
        <f aca="false">IF(CK375="N",BT375,ROUNDDOWN((J375-M375)*設定!$B$13/1000,0))</f>
        <v>0</v>
      </c>
      <c r="BM375" s="31" t="n">
        <f aca="false">ROUNDDOWN((J375-M375)*設定!$C$13/1000,0)+IF(CL375="市局型",ROUNDDOWN(J375*設定!$C$17/1000,0),0)</f>
        <v>0</v>
      </c>
      <c r="BN375" s="31" t="n">
        <f aca="false">IF(CK375="N",BV375,ROUNDDOWN((K375-N375)*設定!$B$14/1000,0))</f>
        <v>0</v>
      </c>
      <c r="BO375" s="31" t="n">
        <f aca="false">ROUNDDOWN((K375-N375)*設定!$C$14/1000,0)</f>
        <v>0</v>
      </c>
      <c r="BP375" s="31" t="n">
        <f aca="false">IF(CK375="N",BX375,ROUNDDOWN((J375-M375)*設定!$B$15/1000,0))</f>
        <v>0</v>
      </c>
      <c r="BQ375" s="31" t="n">
        <f aca="false">ROUNDDOWN((J375-M375)*設定!$C$15/1000,0)</f>
        <v>0</v>
      </c>
      <c r="BR375" s="31" t="n">
        <f aca="false">O375+P375</f>
        <v>0</v>
      </c>
      <c r="BS375" s="31" t="n">
        <f aca="false">T375+U375+V375</f>
        <v>0</v>
      </c>
      <c r="BT375" s="31" t="n">
        <f aca="false">Q375</f>
        <v>0</v>
      </c>
      <c r="BU375" s="31" t="n">
        <f aca="false">W375</f>
        <v>0</v>
      </c>
      <c r="BV375" s="31" t="n">
        <f aca="false">R375</f>
        <v>0</v>
      </c>
      <c r="BW375" s="31" t="n">
        <f aca="false">X375</f>
        <v>0</v>
      </c>
      <c r="BX375" s="31" t="n">
        <f aca="false">S375</f>
        <v>0</v>
      </c>
      <c r="BY375" s="31" t="n">
        <f aca="false">Y375</f>
        <v>0</v>
      </c>
      <c r="BZ375" s="32" t="n">
        <f aca="false">IF(BJ375=0,IF(BR375=0,0,1),(BR375-BJ375)/BJ375)</f>
        <v>0</v>
      </c>
      <c r="CA375" s="32" t="n">
        <f aca="false">IF(BK375=0,IF(BS375=0,0,1),(BS375-BK375)/BK375)</f>
        <v>0</v>
      </c>
      <c r="CB375" s="32" t="n">
        <f aca="false">IF(BL375=0,IF(BT375=0,0,1),(BT375-BL375)/BL375)</f>
        <v>0</v>
      </c>
      <c r="CC375" s="32" t="n">
        <f aca="false">IF(BM375=0,IF(BU375=0,0,1),(BU375-BM375)/BM375)</f>
        <v>0</v>
      </c>
      <c r="CD375" s="32" t="n">
        <f aca="false">IF(BN375=0,IF(BV375=0,0,1),(BV375-BN375)/BN375)</f>
        <v>0</v>
      </c>
      <c r="CE375" s="32" t="n">
        <f aca="false">IF(BO375=0,IF(BW375=0,0,1),(BW375-BO375)/BO375)</f>
        <v>0</v>
      </c>
      <c r="CF375" s="32" t="n">
        <f aca="false">IF(BP375=0,IF(BX375=0,0,1),(BX375-BP375)/BP375)</f>
        <v>0</v>
      </c>
      <c r="CG375" s="32" t="n">
        <f aca="false">IF(BQ375=0,IF(BY375=0,0,1),(BY375-BQ375)/BQ375)</f>
        <v>0</v>
      </c>
      <c r="CH375" s="32" t="n">
        <f aca="false">MAX(MAX(BZ375:CG375),-MIN(BZ375:CG375))</f>
        <v>-0</v>
      </c>
      <c r="CI375" s="31" t="n">
        <f aca="false">IF(CO375="","",SUMIFS($CJ$7:$CJ$696,$A$7:$A$696,CO375,$B$7:$B$696,B375))</f>
        <v>1003455401</v>
      </c>
      <c r="CJ375" s="31" t="n">
        <f aca="false">SUM(AY375:BI375)</f>
        <v>1001127409</v>
      </c>
      <c r="CK375" s="31" t="str">
        <f aca="false">IFERROR(INDEX(設定!$F$61:$F$106,MATCH(B375,設定!$B$61:$B$106,0)),"Y")</f>
        <v>Y</v>
      </c>
      <c r="CL375" s="31" t="str">
        <f aca="false">IFERROR(INDEX(設定!$G$61:$G$106,MATCH(B375,設定!$B$61:$B$106,0)),"外郭型")</f>
        <v>市局型</v>
      </c>
      <c r="CM375" s="33" t="str">
        <f aca="false">A375&amp;"|"&amp;B375</f>
        <v>2026-11 月例|市長部局</v>
      </c>
      <c r="CN375" s="34" t="str">
        <f aca="false">IFERROR(INDEX(設定!$D$61:$D$106,MATCH(B375,設定!$B$61:$B$106,0)),"Y")</f>
        <v>N</v>
      </c>
      <c r="CO375" s="34" t="str">
        <f aca="false">IFERROR(INDEX(設定!$D$20:$D$34,MATCH(A375,設定!$A$20:$A$34,0))&amp;"","")</f>
        <v>2026-10 月例</v>
      </c>
    </row>
    <row r="376" customFormat="false" ht="15" hidden="true" customHeight="false" outlineLevel="0" collapsed="false">
      <c r="A376" s="22" t="s">
        <v>224</v>
      </c>
      <c r="B376" s="23" t="s">
        <v>169</v>
      </c>
      <c r="C376" s="10" t="str">
        <f aca="false">IF(G376="","未受領",IF(G376="なし","報告なし",IF(AL376="○","起票済",IF(OR(AK376="○",F376="一致",F376="入金不要"),"入金確認済","受領済"))))</f>
        <v>未受領</v>
      </c>
      <c r="D376" s="10" t="str">
        <f aca="false">IF(OR(G376="",G376="なし"),"―",IF(CN376="N","対象外",IF(AND(I376="",J376="",K376=""),"標報未入力",IF(CH376&gt;=設定!$B$4,"要確認","問題なし"))))</f>
        <v>―</v>
      </c>
      <c r="E376" s="24" t="str">
        <f aca="false">IF(OR(G376="",G376="なし",CI376="",CJ376=0),"―",IF(CJ376=CI376,"前月同額",IF(CI376=0,"―",IF(ABS(CJ376/CI376-1)&gt;=設定!$B$5,"変動大 "&amp;TEXT(CJ376/CI376-1,"+0%;-0%"),"〇"))))</f>
        <v>―</v>
      </c>
      <c r="F376" s="10" t="str">
        <f aca="false">IF(OR(G376="",G376="なし"),"―",IF(CJ376=0,"入金不要",IF(COUNT(AD376,AF376,AH376,AJ376)=0,IF(AK376="○","手動確認","未入金"),IF(AND(N(AD376)=AC376,IF(AE376="",TRUE(),N(AF376)=AE376),IF(AG376="",TRUE(),N(AH376)=AG376),IF(AI376="",TRUE(),N(AJ376)=AI376)),"一致","不一致"))))</f>
        <v>―</v>
      </c>
      <c r="G376" s="25"/>
      <c r="H376" s="26"/>
      <c r="I376" s="27"/>
      <c r="J376" s="27"/>
      <c r="K376" s="27"/>
      <c r="L376" s="27"/>
      <c r="M376" s="27"/>
      <c r="N376" s="27"/>
      <c r="O376" s="27"/>
      <c r="P376" s="27"/>
      <c r="Q376" s="27"/>
      <c r="R376" s="27"/>
      <c r="S376" s="27"/>
      <c r="T376" s="27"/>
      <c r="U376" s="27"/>
      <c r="V376" s="27"/>
      <c r="W376" s="27"/>
      <c r="X376" s="27"/>
      <c r="Y376" s="27"/>
      <c r="Z376" s="27"/>
      <c r="AA376" s="10" t="str">
        <f aca="false">IFERROR(INDEX(設定!$E$61:$E$106,MATCH(B376,設定!$B$61:$B$106,0)),"合算")</f>
        <v>合算</v>
      </c>
      <c r="AB376" s="28"/>
      <c r="AC376" s="29" t="str">
        <f aca="false">IF(OR(G376="",G376="なし"),"",IF(AA376="合算",CJ376+N(Z376),IF(AA376="掛金・負担金別",(AY376+AZ376+BD376+BF376+BH376),SUM(AY376:BC376))))</f>
        <v/>
      </c>
      <c r="AD376" s="27"/>
      <c r="AE376" s="29" t="str">
        <f aca="false">IF(OR(G376="",G376="なし"),"",IF(AA376="掛金・負担金別",(BA376+BB376+BC376+BE376+BG376+BI376+N(Z376)),IF(AA376="経理区分別",BD376+BE376,"")))</f>
        <v/>
      </c>
      <c r="AF376" s="27"/>
      <c r="AG376" s="29" t="str">
        <f aca="false">IF(OR(G376="",G376="なし"),"",IF(AA376="経理区分別",BF376+BG376,""))</f>
        <v/>
      </c>
      <c r="AH376" s="27"/>
      <c r="AI376" s="29" t="str">
        <f aca="false">IF(OR(G376="",G376="なし"),"",IF(AA376="経理区分別",BH376+BI376+N(Z376),""))</f>
        <v/>
      </c>
      <c r="AJ376" s="27"/>
      <c r="AK376" s="26"/>
      <c r="AL376" s="26"/>
      <c r="AM376" s="30"/>
      <c r="AN376" s="31" t="n">
        <v>16631955</v>
      </c>
      <c r="AO376" s="31" t="n">
        <v>1363275</v>
      </c>
      <c r="AP376" s="31" t="n">
        <v>24204292</v>
      </c>
      <c r="AQ376" s="31" t="n">
        <v>1363274</v>
      </c>
      <c r="AR376" s="31" t="n">
        <v>17126</v>
      </c>
      <c r="AS376" s="31" t="n">
        <v>10416171</v>
      </c>
      <c r="AT376" s="31" t="n">
        <v>10600700</v>
      </c>
      <c r="AU376" s="31" t="n">
        <v>1033903</v>
      </c>
      <c r="AV376" s="31" t="n">
        <v>1033903</v>
      </c>
      <c r="AW376" s="31" t="n">
        <v>1</v>
      </c>
      <c r="AX376" s="31" t="n">
        <v>1</v>
      </c>
      <c r="AY376" s="31" t="n">
        <f aca="false">IF($G376="",AN376,O376)</f>
        <v>16631955</v>
      </c>
      <c r="AZ376" s="31" t="n">
        <f aca="false">IF($G376="",AO376,P376)</f>
        <v>1363275</v>
      </c>
      <c r="BA376" s="31" t="n">
        <f aca="false">IF($G376="",AP376,T376)</f>
        <v>24204292</v>
      </c>
      <c r="BB376" s="31" t="n">
        <f aca="false">IF($G376="",AQ376,U376)</f>
        <v>1363274</v>
      </c>
      <c r="BC376" s="31" t="n">
        <f aca="false">IF($G376="",AR376,V376)</f>
        <v>17126</v>
      </c>
      <c r="BD376" s="31" t="n">
        <f aca="false">IF($G376="",AS376,Q376)</f>
        <v>10416171</v>
      </c>
      <c r="BE376" s="31" t="n">
        <f aca="false">IF($G376="",AT376,W376)</f>
        <v>10600700</v>
      </c>
      <c r="BF376" s="31" t="n">
        <f aca="false">IF($G376="",AU376,R376)</f>
        <v>1033903</v>
      </c>
      <c r="BG376" s="31" t="n">
        <f aca="false">IF($G376="",AV376,X376)</f>
        <v>1033903</v>
      </c>
      <c r="BH376" s="31" t="n">
        <f aca="false">IF($G376="",AW376,S376)</f>
        <v>1</v>
      </c>
      <c r="BI376" s="31" t="n">
        <f aca="false">IF($G376="",AX376,Y376)</f>
        <v>1</v>
      </c>
      <c r="BJ376" s="31" t="n">
        <f aca="false">IF(CK376="N",BR376,ROUNDDOWN((I376-L376)*設定!$B$10/1000,0)+ROUNDDOWN((I376-L376)*設定!$B$11/1000,0))</f>
        <v>0</v>
      </c>
      <c r="BK376" s="31" t="n">
        <f aca="false">ROUNDDOWN((I376-L376)*設定!$C$10/1000,0)+ROUNDDOWN((I376-L376)*設定!$C$11/1000,0)+ROUNDDOWN(I376*設定!$C$12/1000,0)+IF(CL376="市局型",ROUNDDOWN(I376*設定!$C$16/1000,0),0)</f>
        <v>0</v>
      </c>
      <c r="BL376" s="31" t="n">
        <f aca="false">IF(CK376="N",BT376,ROUNDDOWN((J376-M376)*設定!$B$13/1000,0))</f>
        <v>0</v>
      </c>
      <c r="BM376" s="31" t="n">
        <f aca="false">ROUNDDOWN((J376-M376)*設定!$C$13/1000,0)+IF(CL376="市局型",ROUNDDOWN(J376*設定!$C$17/1000,0),0)</f>
        <v>0</v>
      </c>
      <c r="BN376" s="31" t="n">
        <f aca="false">IF(CK376="N",BV376,ROUNDDOWN((K376-N376)*設定!$B$14/1000,0))</f>
        <v>0</v>
      </c>
      <c r="BO376" s="31" t="n">
        <f aca="false">ROUNDDOWN((K376-N376)*設定!$C$14/1000,0)</f>
        <v>0</v>
      </c>
      <c r="BP376" s="31" t="n">
        <f aca="false">IF(CK376="N",BX376,ROUNDDOWN((J376-M376)*設定!$B$15/1000,0))</f>
        <v>0</v>
      </c>
      <c r="BQ376" s="31" t="n">
        <f aca="false">ROUNDDOWN((J376-M376)*設定!$C$15/1000,0)</f>
        <v>0</v>
      </c>
      <c r="BR376" s="31" t="n">
        <f aca="false">O376+P376</f>
        <v>0</v>
      </c>
      <c r="BS376" s="31" t="n">
        <f aca="false">T376+U376+V376</f>
        <v>0</v>
      </c>
      <c r="BT376" s="31" t="n">
        <f aca="false">Q376</f>
        <v>0</v>
      </c>
      <c r="BU376" s="31" t="n">
        <f aca="false">W376</f>
        <v>0</v>
      </c>
      <c r="BV376" s="31" t="n">
        <f aca="false">R376</f>
        <v>0</v>
      </c>
      <c r="BW376" s="31" t="n">
        <f aca="false">X376</f>
        <v>0</v>
      </c>
      <c r="BX376" s="31" t="n">
        <f aca="false">S376</f>
        <v>0</v>
      </c>
      <c r="BY376" s="31" t="n">
        <f aca="false">Y376</f>
        <v>0</v>
      </c>
      <c r="BZ376" s="32" t="n">
        <f aca="false">IF(BJ376=0,IF(BR376=0,0,1),(BR376-BJ376)/BJ376)</f>
        <v>0</v>
      </c>
      <c r="CA376" s="32" t="n">
        <f aca="false">IF(BK376=0,IF(BS376=0,0,1),(BS376-BK376)/BK376)</f>
        <v>0</v>
      </c>
      <c r="CB376" s="32" t="n">
        <f aca="false">IF(BL376=0,IF(BT376=0,0,1),(BT376-BL376)/BL376)</f>
        <v>0</v>
      </c>
      <c r="CC376" s="32" t="n">
        <f aca="false">IF(BM376=0,IF(BU376=0,0,1),(BU376-BM376)/BM376)</f>
        <v>0</v>
      </c>
      <c r="CD376" s="32" t="n">
        <f aca="false">IF(BN376=0,IF(BV376=0,0,1),(BV376-BN376)/BN376)</f>
        <v>0</v>
      </c>
      <c r="CE376" s="32" t="n">
        <f aca="false">IF(BO376=0,IF(BW376=0,0,1),(BW376-BO376)/BO376)</f>
        <v>0</v>
      </c>
      <c r="CF376" s="32" t="n">
        <f aca="false">IF(BP376=0,IF(BX376=0,0,1),(BX376-BP376)/BP376)</f>
        <v>0</v>
      </c>
      <c r="CG376" s="32" t="n">
        <f aca="false">IF(BQ376=0,IF(BY376=0,0,1),(BY376-BQ376)/BQ376)</f>
        <v>0</v>
      </c>
      <c r="CH376" s="32" t="n">
        <f aca="false">MAX(MAX(BZ376:CG376),-MIN(BZ376:CG376))</f>
        <v>-0</v>
      </c>
      <c r="CI376" s="31" t="n">
        <f aca="false">IF(CO376="","",SUMIFS($CJ$7:$CJ$696,$A$7:$A$696,CO376,$B$7:$B$696,B376))</f>
        <v>66545601</v>
      </c>
      <c r="CJ376" s="31" t="n">
        <f aca="false">SUM(AY376:BI376)</f>
        <v>66664601</v>
      </c>
      <c r="CK376" s="31" t="str">
        <f aca="false">IFERROR(INDEX(設定!$F$61:$F$106,MATCH(B376,設定!$B$61:$B$106,0)),"Y")</f>
        <v>Y</v>
      </c>
      <c r="CL376" s="31" t="str">
        <f aca="false">IFERROR(INDEX(設定!$G$61:$G$106,MATCH(B376,設定!$B$61:$B$106,0)),"外郭型")</f>
        <v>市局型</v>
      </c>
      <c r="CM376" s="33" t="str">
        <f aca="false">A376&amp;"|"&amp;B376</f>
        <v>2026-11 月例|下水道局</v>
      </c>
      <c r="CN376" s="34" t="str">
        <f aca="false">IFERROR(INDEX(設定!$D$61:$D$106,MATCH(B376,設定!$B$61:$B$106,0)),"Y")</f>
        <v>Y</v>
      </c>
      <c r="CO376" s="34" t="str">
        <f aca="false">IFERROR(INDEX(設定!$D$20:$D$34,MATCH(A376,設定!$A$20:$A$34,0))&amp;"","")</f>
        <v>2026-10 月例</v>
      </c>
    </row>
    <row r="377" customFormat="false" ht="15" hidden="true" customHeight="false" outlineLevel="0" collapsed="false">
      <c r="A377" s="22" t="s">
        <v>224</v>
      </c>
      <c r="B377" s="23" t="s">
        <v>170</v>
      </c>
      <c r="C377" s="10" t="str">
        <f aca="false">IF(G377="","未受領",IF(G377="なし","報告なし",IF(AL377="○","起票済",IF(OR(AK377="○",F377="一致",F377="入金不要"),"入金確認済","受領済"))))</f>
        <v>未受領</v>
      </c>
      <c r="D377" s="10" t="str">
        <f aca="false">IF(OR(G377="",G377="なし"),"―",IF(CN377="N","対象外",IF(AND(I377="",J377="",K377=""),"標報未入力",IF(CH377&gt;=設定!$B$4,"要確認","問題なし"))))</f>
        <v>―</v>
      </c>
      <c r="E377" s="24" t="str">
        <f aca="false">IF(OR(G377="",G377="なし",CI377="",CJ377=0),"―",IF(CJ377=CI377,"前月同額",IF(CI377=0,"―",IF(ABS(CJ377/CI377-1)&gt;=設定!$B$5,"変動大 "&amp;TEXT(CJ377/CI377-1,"+0%;-0%"),"〇"))))</f>
        <v>―</v>
      </c>
      <c r="F377" s="10" t="str">
        <f aca="false">IF(OR(G377="",G377="なし"),"―",IF(CJ377=0,"入金不要",IF(COUNT(AD377,AF377,AH377,AJ377)=0,IF(AK377="○","手動確認","未入金"),IF(AND(N(AD377)=AC377,IF(AE377="",TRUE(),N(AF377)=AE377),IF(AG377="",TRUE(),N(AH377)=AG377),IF(AI377="",TRUE(),N(AJ377)=AI377)),"一致","不一致"))))</f>
        <v>―</v>
      </c>
      <c r="G377" s="25"/>
      <c r="H377" s="26"/>
      <c r="I377" s="27"/>
      <c r="J377" s="27"/>
      <c r="K377" s="27"/>
      <c r="L377" s="27"/>
      <c r="M377" s="27"/>
      <c r="N377" s="27"/>
      <c r="O377" s="27"/>
      <c r="P377" s="27"/>
      <c r="Q377" s="27"/>
      <c r="R377" s="27"/>
      <c r="S377" s="27"/>
      <c r="T377" s="27"/>
      <c r="U377" s="27"/>
      <c r="V377" s="27"/>
      <c r="W377" s="27"/>
      <c r="X377" s="27"/>
      <c r="Y377" s="27"/>
      <c r="Z377" s="27"/>
      <c r="AA377" s="10" t="str">
        <f aca="false">IFERROR(INDEX(設定!$E$61:$E$106,MATCH(B377,設定!$B$61:$B$106,0)),"合算")</f>
        <v>合算</v>
      </c>
      <c r="AB377" s="28"/>
      <c r="AC377" s="29" t="str">
        <f aca="false">IF(OR(G377="",G377="なし"),"",IF(AA377="合算",CJ377+N(Z377),IF(AA377="掛金・負担金別",(AY377+AZ377+BD377+BF377+BH377),SUM(AY377:BC377))))</f>
        <v/>
      </c>
      <c r="AD377" s="27"/>
      <c r="AE377" s="29" t="str">
        <f aca="false">IF(OR(G377="",G377="なし"),"",IF(AA377="掛金・負担金別",(BA377+BB377+BC377+BE377+BG377+BI377+N(Z377)),IF(AA377="経理区分別",BD377+BE377,"")))</f>
        <v/>
      </c>
      <c r="AF377" s="27"/>
      <c r="AG377" s="29" t="str">
        <f aca="false">IF(OR(G377="",G377="なし"),"",IF(AA377="経理区分別",BF377+BG377,""))</f>
        <v/>
      </c>
      <c r="AH377" s="27"/>
      <c r="AI377" s="29" t="str">
        <f aca="false">IF(OR(G377="",G377="なし"),"",IF(AA377="経理区分別",BH377+BI377+N(Z377),""))</f>
        <v/>
      </c>
      <c r="AJ377" s="27"/>
      <c r="AK377" s="26"/>
      <c r="AL377" s="26"/>
      <c r="AM377" s="30"/>
      <c r="AN377" s="31" t="n">
        <v>53556323</v>
      </c>
      <c r="AO377" s="31" t="n">
        <v>4392713</v>
      </c>
      <c r="AP377" s="31" t="n">
        <v>78209424</v>
      </c>
      <c r="AQ377" s="31" t="n">
        <v>4391513</v>
      </c>
      <c r="AR377" s="31" t="n">
        <v>55502</v>
      </c>
      <c r="AS377" s="31" t="n">
        <v>32917457</v>
      </c>
      <c r="AT377" s="31" t="n">
        <v>33497077</v>
      </c>
      <c r="AU377" s="31" t="n">
        <v>1981286</v>
      </c>
      <c r="AV377" s="31" t="n">
        <v>1974257</v>
      </c>
      <c r="AW377" s="31" t="n">
        <v>1</v>
      </c>
      <c r="AX377" s="31" t="n">
        <v>1</v>
      </c>
      <c r="AY377" s="31" t="n">
        <f aca="false">IF($G377="",AN377,O377)</f>
        <v>53556323</v>
      </c>
      <c r="AZ377" s="31" t="n">
        <f aca="false">IF($G377="",AO377,P377)</f>
        <v>4392713</v>
      </c>
      <c r="BA377" s="31" t="n">
        <f aca="false">IF($G377="",AP377,T377)</f>
        <v>78209424</v>
      </c>
      <c r="BB377" s="31" t="n">
        <f aca="false">IF($G377="",AQ377,U377)</f>
        <v>4391513</v>
      </c>
      <c r="BC377" s="31" t="n">
        <f aca="false">IF($G377="",AR377,V377)</f>
        <v>55502</v>
      </c>
      <c r="BD377" s="31" t="n">
        <f aca="false">IF($G377="",AS377,Q377)</f>
        <v>32917457</v>
      </c>
      <c r="BE377" s="31" t="n">
        <f aca="false">IF($G377="",AT377,W377)</f>
        <v>33497077</v>
      </c>
      <c r="BF377" s="31" t="n">
        <f aca="false">IF($G377="",AU377,R377)</f>
        <v>1981286</v>
      </c>
      <c r="BG377" s="31" t="n">
        <f aca="false">IF($G377="",AV377,X377)</f>
        <v>1974257</v>
      </c>
      <c r="BH377" s="31" t="n">
        <f aca="false">IF($G377="",AW377,S377)</f>
        <v>1</v>
      </c>
      <c r="BI377" s="31" t="n">
        <f aca="false">IF($G377="",AX377,Y377)</f>
        <v>1</v>
      </c>
      <c r="BJ377" s="31" t="n">
        <f aca="false">IF(CK377="N",BR377,ROUNDDOWN((I377-L377)*設定!$B$10/1000,0)+ROUNDDOWN((I377-L377)*設定!$B$11/1000,0))</f>
        <v>0</v>
      </c>
      <c r="BK377" s="31" t="n">
        <f aca="false">ROUNDDOWN((I377-L377)*設定!$C$10/1000,0)+ROUNDDOWN((I377-L377)*設定!$C$11/1000,0)+ROUNDDOWN(I377*設定!$C$12/1000,0)+IF(CL377="市局型",ROUNDDOWN(I377*設定!$C$16/1000,0),0)</f>
        <v>0</v>
      </c>
      <c r="BL377" s="31" t="n">
        <f aca="false">IF(CK377="N",BT377,ROUNDDOWN((J377-M377)*設定!$B$13/1000,0))</f>
        <v>0</v>
      </c>
      <c r="BM377" s="31" t="n">
        <f aca="false">ROUNDDOWN((J377-M377)*設定!$C$13/1000,0)+IF(CL377="市局型",ROUNDDOWN(J377*設定!$C$17/1000,0),0)</f>
        <v>0</v>
      </c>
      <c r="BN377" s="31" t="n">
        <f aca="false">IF(CK377="N",BV377,ROUNDDOWN((K377-N377)*設定!$B$14/1000,0))</f>
        <v>0</v>
      </c>
      <c r="BO377" s="31" t="n">
        <f aca="false">ROUNDDOWN((K377-N377)*設定!$C$14/1000,0)</f>
        <v>0</v>
      </c>
      <c r="BP377" s="31" t="n">
        <f aca="false">IF(CK377="N",BX377,ROUNDDOWN((J377-M377)*設定!$B$15/1000,0))</f>
        <v>0</v>
      </c>
      <c r="BQ377" s="31" t="n">
        <f aca="false">ROUNDDOWN((J377-M377)*設定!$C$15/1000,0)</f>
        <v>0</v>
      </c>
      <c r="BR377" s="31" t="n">
        <f aca="false">O377+P377</f>
        <v>0</v>
      </c>
      <c r="BS377" s="31" t="n">
        <f aca="false">T377+U377+V377</f>
        <v>0</v>
      </c>
      <c r="BT377" s="31" t="n">
        <f aca="false">Q377</f>
        <v>0</v>
      </c>
      <c r="BU377" s="31" t="n">
        <f aca="false">W377</f>
        <v>0</v>
      </c>
      <c r="BV377" s="31" t="n">
        <f aca="false">R377</f>
        <v>0</v>
      </c>
      <c r="BW377" s="31" t="n">
        <f aca="false">X377</f>
        <v>0</v>
      </c>
      <c r="BX377" s="31" t="n">
        <f aca="false">S377</f>
        <v>0</v>
      </c>
      <c r="BY377" s="31" t="n">
        <f aca="false">Y377</f>
        <v>0</v>
      </c>
      <c r="BZ377" s="32" t="n">
        <f aca="false">IF(BJ377=0,IF(BR377=0,0,1),(BR377-BJ377)/BJ377)</f>
        <v>0</v>
      </c>
      <c r="CA377" s="32" t="n">
        <f aca="false">IF(BK377=0,IF(BS377=0,0,1),(BS377-BK377)/BK377)</f>
        <v>0</v>
      </c>
      <c r="CB377" s="32" t="n">
        <f aca="false">IF(BL377=0,IF(BT377=0,0,1),(BT377-BL377)/BL377)</f>
        <v>0</v>
      </c>
      <c r="CC377" s="32" t="n">
        <f aca="false">IF(BM377=0,IF(BU377=0,0,1),(BU377-BM377)/BM377)</f>
        <v>0</v>
      </c>
      <c r="CD377" s="32" t="n">
        <f aca="false">IF(BN377=0,IF(BV377=0,0,1),(BV377-BN377)/BN377)</f>
        <v>0</v>
      </c>
      <c r="CE377" s="32" t="n">
        <f aca="false">IF(BO377=0,IF(BW377=0,0,1),(BW377-BO377)/BO377)</f>
        <v>0</v>
      </c>
      <c r="CF377" s="32" t="n">
        <f aca="false">IF(BP377=0,IF(BX377=0,0,1),(BX377-BP377)/BP377)</f>
        <v>0</v>
      </c>
      <c r="CG377" s="32" t="n">
        <f aca="false">IF(BQ377=0,IF(BY377=0,0,1),(BY377-BQ377)/BQ377)</f>
        <v>0</v>
      </c>
      <c r="CH377" s="32" t="n">
        <f aca="false">MAX(MAX(BZ377:CG377),-MIN(BZ377:CG377))</f>
        <v>-0</v>
      </c>
      <c r="CI377" s="31" t="n">
        <f aca="false">IF(CO377="","",SUMIFS($CJ$7:$CJ$696,$A$7:$A$696,CO377,$B$7:$B$696,B377))</f>
        <v>211620173</v>
      </c>
      <c r="CJ377" s="31" t="n">
        <f aca="false">SUM(AY377:BI377)</f>
        <v>210975554</v>
      </c>
      <c r="CK377" s="31" t="str">
        <f aca="false">IFERROR(INDEX(設定!$F$61:$F$106,MATCH(B377,設定!$B$61:$B$106,0)),"Y")</f>
        <v>Y</v>
      </c>
      <c r="CL377" s="31" t="str">
        <f aca="false">IFERROR(INDEX(設定!$G$61:$G$106,MATCH(B377,設定!$B$61:$B$106,0)),"外郭型")</f>
        <v>市局型</v>
      </c>
      <c r="CM377" s="33" t="str">
        <f aca="false">A377&amp;"|"&amp;B377</f>
        <v>2026-11 月例|消防局</v>
      </c>
      <c r="CN377" s="34" t="str">
        <f aca="false">IFERROR(INDEX(設定!$D$61:$D$106,MATCH(B377,設定!$B$61:$B$106,0)),"Y")</f>
        <v>N</v>
      </c>
      <c r="CO377" s="34" t="str">
        <f aca="false">IFERROR(INDEX(設定!$D$20:$D$34,MATCH(A377,設定!$A$20:$A$34,0))&amp;"","")</f>
        <v>2026-10 月例</v>
      </c>
    </row>
    <row r="378" customFormat="false" ht="15" hidden="true" customHeight="false" outlineLevel="0" collapsed="false">
      <c r="A378" s="22" t="s">
        <v>224</v>
      </c>
      <c r="B378" s="23" t="s">
        <v>171</v>
      </c>
      <c r="C378" s="10" t="str">
        <f aca="false">IF(G378="","未受領",IF(G378="なし","報告なし",IF(AL378="○","起票済",IF(OR(AK378="○",F378="一致",F378="入金不要"),"入金確認済","受領済"))))</f>
        <v>未受領</v>
      </c>
      <c r="D378" s="10" t="str">
        <f aca="false">IF(OR(G378="",G378="なし"),"―",IF(CN378="N","対象外",IF(AND(I378="",J378="",K378=""),"標報未入力",IF(CH378&gt;=設定!$B$4,"要確認","問題なし"))))</f>
        <v>―</v>
      </c>
      <c r="E378" s="24" t="str">
        <f aca="false">IF(OR(G378="",G378="なし",CI378="",CJ378=0),"―",IF(CJ378=CI378,"前月同額",IF(CI378=0,"―",IF(ABS(CJ378/CI378-1)&gt;=設定!$B$5,"変動大 "&amp;TEXT(CJ378/CI378-1,"+0%;-0%"),"〇"))))</f>
        <v>―</v>
      </c>
      <c r="F378" s="10" t="str">
        <f aca="false">IF(OR(G378="",G378="なし"),"―",IF(CJ378=0,"入金不要",IF(COUNT(AD378,AF378,AH378,AJ378)=0,IF(AK378="○","手動確認","未入金"),IF(AND(N(AD378)=AC378,IF(AE378="",TRUE(),N(AF378)=AE378),IF(AG378="",TRUE(),N(AH378)=AG378),IF(AI378="",TRUE(),N(AJ378)=AI378)),"一致","不一致"))))</f>
        <v>―</v>
      </c>
      <c r="G378" s="25"/>
      <c r="H378" s="26"/>
      <c r="I378" s="27"/>
      <c r="J378" s="27"/>
      <c r="K378" s="27"/>
      <c r="L378" s="27"/>
      <c r="M378" s="27"/>
      <c r="N378" s="27"/>
      <c r="O378" s="27"/>
      <c r="P378" s="27"/>
      <c r="Q378" s="27"/>
      <c r="R378" s="27"/>
      <c r="S378" s="27"/>
      <c r="T378" s="27"/>
      <c r="U378" s="27"/>
      <c r="V378" s="27"/>
      <c r="W378" s="27"/>
      <c r="X378" s="27"/>
      <c r="Y378" s="27"/>
      <c r="Z378" s="27"/>
      <c r="AA378" s="10" t="str">
        <f aca="false">IFERROR(INDEX(設定!$E$61:$E$106,MATCH(B378,設定!$B$61:$B$106,0)),"合算")</f>
        <v>合算</v>
      </c>
      <c r="AB378" s="28"/>
      <c r="AC378" s="29" t="str">
        <f aca="false">IF(OR(G378="",G378="なし"),"",IF(AA378="合算",CJ378+N(Z378),IF(AA378="掛金・負担金別",(AY378+AZ378+BD378+BF378+BH378),SUM(AY378:BC378))))</f>
        <v/>
      </c>
      <c r="AD378" s="27"/>
      <c r="AE378" s="29" t="str">
        <f aca="false">IF(OR(G378="",G378="なし"),"",IF(AA378="掛金・負担金別",(BA378+BB378+BC378+BE378+BG378+BI378+N(Z378)),IF(AA378="経理区分別",BD378+BE378,"")))</f>
        <v/>
      </c>
      <c r="AF378" s="27"/>
      <c r="AG378" s="29" t="str">
        <f aca="false">IF(OR(G378="",G378="なし"),"",IF(AA378="経理区分別",BF378+BG378,""))</f>
        <v/>
      </c>
      <c r="AH378" s="27"/>
      <c r="AI378" s="29" t="str">
        <f aca="false">IF(OR(G378="",G378="なし"),"",IF(AA378="経理区分別",BH378+BI378+N(Z378),""))</f>
        <v/>
      </c>
      <c r="AJ378" s="27"/>
      <c r="AK378" s="26"/>
      <c r="AL378" s="26"/>
      <c r="AM378" s="30"/>
      <c r="AN378" s="31" t="n">
        <v>1740330</v>
      </c>
      <c r="AO378" s="31" t="n">
        <v>142650</v>
      </c>
      <c r="AP378" s="31" t="n">
        <v>2539620</v>
      </c>
      <c r="AQ378" s="31" t="n">
        <v>142650</v>
      </c>
      <c r="AR378" s="31" t="n">
        <v>1808</v>
      </c>
      <c r="AS378" s="31" t="n">
        <v>1055074</v>
      </c>
      <c r="AT378" s="31" t="n">
        <v>1073929</v>
      </c>
      <c r="AU378" s="31" t="n">
        <v>96696</v>
      </c>
      <c r="AV378" s="31" t="n">
        <v>96696</v>
      </c>
      <c r="AW378" s="31" t="n">
        <v>1</v>
      </c>
      <c r="AX378" s="31" t="n">
        <v>1</v>
      </c>
      <c r="AY378" s="31" t="n">
        <f aca="false">IF($G378="",AN378,O378)</f>
        <v>1740330</v>
      </c>
      <c r="AZ378" s="31" t="n">
        <f aca="false">IF($G378="",AO378,P378)</f>
        <v>142650</v>
      </c>
      <c r="BA378" s="31" t="n">
        <f aca="false">IF($G378="",AP378,T378)</f>
        <v>2539620</v>
      </c>
      <c r="BB378" s="31" t="n">
        <f aca="false">IF($G378="",AQ378,U378)</f>
        <v>142650</v>
      </c>
      <c r="BC378" s="31" t="n">
        <f aca="false">IF($G378="",AR378,V378)</f>
        <v>1808</v>
      </c>
      <c r="BD378" s="31" t="n">
        <f aca="false">IF($G378="",AS378,Q378)</f>
        <v>1055074</v>
      </c>
      <c r="BE378" s="31" t="n">
        <f aca="false">IF($G378="",AT378,W378)</f>
        <v>1073929</v>
      </c>
      <c r="BF378" s="31" t="n">
        <f aca="false">IF($G378="",AU378,R378)</f>
        <v>96696</v>
      </c>
      <c r="BG378" s="31" t="n">
        <f aca="false">IF($G378="",AV378,X378)</f>
        <v>96696</v>
      </c>
      <c r="BH378" s="31" t="n">
        <f aca="false">IF($G378="",AW378,S378)</f>
        <v>1</v>
      </c>
      <c r="BI378" s="31" t="n">
        <f aca="false">IF($G378="",AX378,Y378)</f>
        <v>1</v>
      </c>
      <c r="BJ378" s="31" t="n">
        <f aca="false">IF(CK378="N",BR378,ROUNDDOWN((I378-L378)*設定!$B$10/1000,0)+ROUNDDOWN((I378-L378)*設定!$B$11/1000,0))</f>
        <v>0</v>
      </c>
      <c r="BK378" s="31" t="n">
        <f aca="false">ROUNDDOWN((I378-L378)*設定!$C$10/1000,0)+ROUNDDOWN((I378-L378)*設定!$C$11/1000,0)+ROUNDDOWN(I378*設定!$C$12/1000,0)+IF(CL378="市局型",ROUNDDOWN(I378*設定!$C$16/1000,0),0)</f>
        <v>0</v>
      </c>
      <c r="BL378" s="31" t="n">
        <f aca="false">IF(CK378="N",BT378,ROUNDDOWN((J378-M378)*設定!$B$13/1000,0))</f>
        <v>0</v>
      </c>
      <c r="BM378" s="31" t="n">
        <f aca="false">ROUNDDOWN((J378-M378)*設定!$C$13/1000,0)+IF(CL378="市局型",ROUNDDOWN(J378*設定!$C$17/1000,0),0)</f>
        <v>0</v>
      </c>
      <c r="BN378" s="31" t="n">
        <f aca="false">IF(CK378="N",BV378,ROUNDDOWN((K378-N378)*設定!$B$14/1000,0))</f>
        <v>0</v>
      </c>
      <c r="BO378" s="31" t="n">
        <f aca="false">ROUNDDOWN((K378-N378)*設定!$C$14/1000,0)</f>
        <v>0</v>
      </c>
      <c r="BP378" s="31" t="n">
        <f aca="false">IF(CK378="N",BX378,ROUNDDOWN((J378-M378)*設定!$B$15/1000,0))</f>
        <v>0</v>
      </c>
      <c r="BQ378" s="31" t="n">
        <f aca="false">ROUNDDOWN((J378-M378)*設定!$C$15/1000,0)</f>
        <v>0</v>
      </c>
      <c r="BR378" s="31" t="n">
        <f aca="false">O378+P378</f>
        <v>0</v>
      </c>
      <c r="BS378" s="31" t="n">
        <f aca="false">T378+U378+V378</f>
        <v>0</v>
      </c>
      <c r="BT378" s="31" t="n">
        <f aca="false">Q378</f>
        <v>0</v>
      </c>
      <c r="BU378" s="31" t="n">
        <f aca="false">W378</f>
        <v>0</v>
      </c>
      <c r="BV378" s="31" t="n">
        <f aca="false">R378</f>
        <v>0</v>
      </c>
      <c r="BW378" s="31" t="n">
        <f aca="false">X378</f>
        <v>0</v>
      </c>
      <c r="BX378" s="31" t="n">
        <f aca="false">S378</f>
        <v>0</v>
      </c>
      <c r="BY378" s="31" t="n">
        <f aca="false">Y378</f>
        <v>0</v>
      </c>
      <c r="BZ378" s="32" t="n">
        <f aca="false">IF(BJ378=0,IF(BR378=0,0,1),(BR378-BJ378)/BJ378)</f>
        <v>0</v>
      </c>
      <c r="CA378" s="32" t="n">
        <f aca="false">IF(BK378=0,IF(BS378=0,0,1),(BS378-BK378)/BK378)</f>
        <v>0</v>
      </c>
      <c r="CB378" s="32" t="n">
        <f aca="false">IF(BL378=0,IF(BT378=0,0,1),(BT378-BL378)/BL378)</f>
        <v>0</v>
      </c>
      <c r="CC378" s="32" t="n">
        <f aca="false">IF(BM378=0,IF(BU378=0,0,1),(BU378-BM378)/BM378)</f>
        <v>0</v>
      </c>
      <c r="CD378" s="32" t="n">
        <f aca="false">IF(BN378=0,IF(BV378=0,0,1),(BV378-BN378)/BN378)</f>
        <v>0</v>
      </c>
      <c r="CE378" s="32" t="n">
        <f aca="false">IF(BO378=0,IF(BW378=0,0,1),(BW378-BO378)/BO378)</f>
        <v>0</v>
      </c>
      <c r="CF378" s="32" t="n">
        <f aca="false">IF(BP378=0,IF(BX378=0,0,1),(BX378-BP378)/BP378)</f>
        <v>0</v>
      </c>
      <c r="CG378" s="32" t="n">
        <f aca="false">IF(BQ378=0,IF(BY378=0,0,1),(BY378-BQ378)/BQ378)</f>
        <v>0</v>
      </c>
      <c r="CH378" s="32" t="n">
        <f aca="false">MAX(MAX(BZ378:CG378),-MIN(BZ378:CG378))</f>
        <v>-0</v>
      </c>
      <c r="CI378" s="31" t="n">
        <f aca="false">IF(CO378="","",SUMIFS($CJ$7:$CJ$696,$A$7:$A$696,CO378,$B$7:$B$696,B378))</f>
        <v>6889455</v>
      </c>
      <c r="CJ378" s="31" t="n">
        <f aca="false">SUM(AY378:BI378)</f>
        <v>6889455</v>
      </c>
      <c r="CK378" s="31" t="str">
        <f aca="false">IFERROR(INDEX(設定!$F$61:$F$106,MATCH(B378,設定!$B$61:$B$106,0)),"Y")</f>
        <v>Y</v>
      </c>
      <c r="CL378" s="31" t="str">
        <f aca="false">IFERROR(INDEX(設定!$G$61:$G$106,MATCH(B378,設定!$B$61:$B$106,0)),"外郭型")</f>
        <v>市局型</v>
      </c>
      <c r="CM378" s="33" t="str">
        <f aca="false">A378&amp;"|"&amp;B378</f>
        <v>2026-11 月例|議会事務局</v>
      </c>
      <c r="CN378" s="34" t="str">
        <f aca="false">IFERROR(INDEX(設定!$D$61:$D$106,MATCH(B378,設定!$B$61:$B$106,0)),"Y")</f>
        <v>Y</v>
      </c>
      <c r="CO378" s="34" t="str">
        <f aca="false">IFERROR(INDEX(設定!$D$20:$D$34,MATCH(A378,設定!$A$20:$A$34,0))&amp;"","")</f>
        <v>2026-10 月例</v>
      </c>
    </row>
    <row r="379" customFormat="false" ht="15" hidden="true" customHeight="false" outlineLevel="0" collapsed="false">
      <c r="A379" s="22" t="s">
        <v>224</v>
      </c>
      <c r="B379" s="23" t="s">
        <v>172</v>
      </c>
      <c r="C379" s="10" t="str">
        <f aca="false">IF(G379="","未受領",IF(G379="なし","報告なし",IF(AL379="○","起票済",IF(OR(AK379="○",F379="一致",F379="入金不要"),"入金確認済","受領済"))))</f>
        <v>未受領</v>
      </c>
      <c r="D379" s="10" t="str">
        <f aca="false">IF(OR(G379="",G379="なし"),"―",IF(CN379="N","対象外",IF(AND(I379="",J379="",K379=""),"標報未入力",IF(CH379&gt;=設定!$B$4,"要確認","問題なし"))))</f>
        <v>―</v>
      </c>
      <c r="E379" s="24" t="str">
        <f aca="false">IF(OR(G379="",G379="なし",CI379="",CJ379=0),"―",IF(CJ379=CI379,"前月同額",IF(CI379=0,"―",IF(ABS(CJ379/CI379-1)&gt;=設定!$B$5,"変動大 "&amp;TEXT(CJ379/CI379-1,"+0%;-0%"),"〇"))))</f>
        <v>―</v>
      </c>
      <c r="F379" s="10" t="str">
        <f aca="false">IF(OR(G379="",G379="なし"),"―",IF(CJ379=0,"入金不要",IF(COUNT(AD379,AF379,AH379,AJ379)=0,IF(AK379="○","手動確認","未入金"),IF(AND(N(AD379)=AC379,IF(AE379="",TRUE(),N(AF379)=AE379),IF(AG379="",TRUE(),N(AH379)=AG379),IF(AI379="",TRUE(),N(AJ379)=AI379)),"一致","不一致"))))</f>
        <v>―</v>
      </c>
      <c r="G379" s="25"/>
      <c r="H379" s="26"/>
      <c r="I379" s="27"/>
      <c r="J379" s="27"/>
      <c r="K379" s="27"/>
      <c r="L379" s="27"/>
      <c r="M379" s="27"/>
      <c r="N379" s="27"/>
      <c r="O379" s="27"/>
      <c r="P379" s="27"/>
      <c r="Q379" s="27"/>
      <c r="R379" s="27"/>
      <c r="S379" s="27"/>
      <c r="T379" s="27"/>
      <c r="U379" s="27"/>
      <c r="V379" s="27"/>
      <c r="W379" s="27"/>
      <c r="X379" s="27"/>
      <c r="Y379" s="27"/>
      <c r="Z379" s="27"/>
      <c r="AA379" s="10" t="str">
        <f aca="false">IFERROR(INDEX(設定!$E$61:$E$106,MATCH(B379,設定!$B$61:$B$106,0)),"合算")</f>
        <v>合算</v>
      </c>
      <c r="AB379" s="28"/>
      <c r="AC379" s="29" t="str">
        <f aca="false">IF(OR(G379="",G379="なし"),"",IF(AA379="合算",CJ379+N(Z379),IF(AA379="掛金・負担金別",(AY379+AZ379+BD379+BF379+BH379),SUM(AY379:BC379))))</f>
        <v/>
      </c>
      <c r="AD379" s="27"/>
      <c r="AE379" s="29" t="str">
        <f aca="false">IF(OR(G379="",G379="なし"),"",IF(AA379="掛金・負担金別",(BA379+BB379+BC379+BE379+BG379+BI379+N(Z379)),IF(AA379="経理区分別",BD379+BE379,"")))</f>
        <v/>
      </c>
      <c r="AF379" s="27"/>
      <c r="AG379" s="29" t="str">
        <f aca="false">IF(OR(G379="",G379="なし"),"",IF(AA379="経理区分別",BF379+BG379,""))</f>
        <v/>
      </c>
      <c r="AH379" s="27"/>
      <c r="AI379" s="29" t="str">
        <f aca="false">IF(OR(G379="",G379="なし"),"",IF(AA379="経理区分別",BH379+BI379+N(Z379),""))</f>
        <v/>
      </c>
      <c r="AJ379" s="27"/>
      <c r="AK379" s="26"/>
      <c r="AL379" s="26"/>
      <c r="AM379" s="30"/>
      <c r="AN379" s="31" t="n">
        <v>24086461</v>
      </c>
      <c r="AO379" s="31" t="n">
        <v>1974301</v>
      </c>
      <c r="AP379" s="31" t="n">
        <v>35170175</v>
      </c>
      <c r="AQ379" s="31" t="n">
        <v>1976400</v>
      </c>
      <c r="AR379" s="31" t="n">
        <v>25013</v>
      </c>
      <c r="AS379" s="31" t="n">
        <v>25720517</v>
      </c>
      <c r="AT379" s="31" t="n">
        <v>26209654</v>
      </c>
      <c r="AU379" s="31" t="n">
        <v>2801747</v>
      </c>
      <c r="AV379" s="31" t="n">
        <v>2802592</v>
      </c>
      <c r="AW379" s="31" t="n">
        <v>1</v>
      </c>
      <c r="AX379" s="31" t="n">
        <v>1</v>
      </c>
      <c r="AY379" s="31" t="n">
        <f aca="false">IF($G379="",AN379,O379)</f>
        <v>24086461</v>
      </c>
      <c r="AZ379" s="31" t="n">
        <f aca="false">IF($G379="",AO379,P379)</f>
        <v>1974301</v>
      </c>
      <c r="BA379" s="31" t="n">
        <f aca="false">IF($G379="",AP379,T379)</f>
        <v>35170175</v>
      </c>
      <c r="BB379" s="31" t="n">
        <f aca="false">IF($G379="",AQ379,U379)</f>
        <v>1976400</v>
      </c>
      <c r="BC379" s="31" t="n">
        <f aca="false">IF($G379="",AR379,V379)</f>
        <v>25013</v>
      </c>
      <c r="BD379" s="31" t="n">
        <f aca="false">IF($G379="",AS379,Q379)</f>
        <v>25720517</v>
      </c>
      <c r="BE379" s="31" t="n">
        <f aca="false">IF($G379="",AT379,W379)</f>
        <v>26209654</v>
      </c>
      <c r="BF379" s="31" t="n">
        <f aca="false">IF($G379="",AU379,R379)</f>
        <v>2801747</v>
      </c>
      <c r="BG379" s="31" t="n">
        <f aca="false">IF($G379="",AV379,X379)</f>
        <v>2802592</v>
      </c>
      <c r="BH379" s="31" t="n">
        <f aca="false">IF($G379="",AW379,S379)</f>
        <v>1</v>
      </c>
      <c r="BI379" s="31" t="n">
        <f aca="false">IF($G379="",AX379,Y379)</f>
        <v>1</v>
      </c>
      <c r="BJ379" s="31" t="n">
        <f aca="false">IF(CK379="N",BR379,ROUNDDOWN((I379-L379)*設定!$B$10/1000,0)+ROUNDDOWN((I379-L379)*設定!$B$11/1000,0))</f>
        <v>0</v>
      </c>
      <c r="BK379" s="31" t="n">
        <f aca="false">ROUNDDOWN((I379-L379)*設定!$C$10/1000,0)+ROUNDDOWN((I379-L379)*設定!$C$11/1000,0)+ROUNDDOWN(I379*設定!$C$12/1000,0)+IF(CL379="市局型",ROUNDDOWN(I379*設定!$C$16/1000,0),0)</f>
        <v>0</v>
      </c>
      <c r="BL379" s="31" t="n">
        <f aca="false">IF(CK379="N",BT379,ROUNDDOWN((J379-M379)*設定!$B$13/1000,0))</f>
        <v>0</v>
      </c>
      <c r="BM379" s="31" t="n">
        <f aca="false">ROUNDDOWN((J379-M379)*設定!$C$13/1000,0)+IF(CL379="市局型",ROUNDDOWN(J379*設定!$C$17/1000,0),0)</f>
        <v>0</v>
      </c>
      <c r="BN379" s="31" t="n">
        <f aca="false">IF(CK379="N",BV379,ROUNDDOWN((K379-N379)*設定!$B$14/1000,0))</f>
        <v>0</v>
      </c>
      <c r="BO379" s="31" t="n">
        <f aca="false">ROUNDDOWN((K379-N379)*設定!$C$14/1000,0)</f>
        <v>0</v>
      </c>
      <c r="BP379" s="31" t="n">
        <f aca="false">IF(CK379="N",BX379,ROUNDDOWN((J379-M379)*設定!$B$15/1000,0))</f>
        <v>0</v>
      </c>
      <c r="BQ379" s="31" t="n">
        <f aca="false">ROUNDDOWN((J379-M379)*設定!$C$15/1000,0)</f>
        <v>0</v>
      </c>
      <c r="BR379" s="31" t="n">
        <f aca="false">O379+P379</f>
        <v>0</v>
      </c>
      <c r="BS379" s="31" t="n">
        <f aca="false">T379+U379+V379</f>
        <v>0</v>
      </c>
      <c r="BT379" s="31" t="n">
        <f aca="false">Q379</f>
        <v>0</v>
      </c>
      <c r="BU379" s="31" t="n">
        <f aca="false">W379</f>
        <v>0</v>
      </c>
      <c r="BV379" s="31" t="n">
        <f aca="false">R379</f>
        <v>0</v>
      </c>
      <c r="BW379" s="31" t="n">
        <f aca="false">X379</f>
        <v>0</v>
      </c>
      <c r="BX379" s="31" t="n">
        <f aca="false">S379</f>
        <v>0</v>
      </c>
      <c r="BY379" s="31" t="n">
        <f aca="false">Y379</f>
        <v>0</v>
      </c>
      <c r="BZ379" s="32" t="n">
        <f aca="false">IF(BJ379=0,IF(BR379=0,0,1),(BR379-BJ379)/BJ379)</f>
        <v>0</v>
      </c>
      <c r="CA379" s="32" t="n">
        <f aca="false">IF(BK379=0,IF(BS379=0,0,1),(BS379-BK379)/BK379)</f>
        <v>0</v>
      </c>
      <c r="CB379" s="32" t="n">
        <f aca="false">IF(BL379=0,IF(BT379=0,0,1),(BT379-BL379)/BL379)</f>
        <v>0</v>
      </c>
      <c r="CC379" s="32" t="n">
        <f aca="false">IF(BM379=0,IF(BU379=0,0,1),(BU379-BM379)/BM379)</f>
        <v>0</v>
      </c>
      <c r="CD379" s="32" t="n">
        <f aca="false">IF(BN379=0,IF(BV379=0,0,1),(BV379-BN379)/BN379)</f>
        <v>0</v>
      </c>
      <c r="CE379" s="32" t="n">
        <f aca="false">IF(BO379=0,IF(BW379=0,0,1),(BW379-BO379)/BO379)</f>
        <v>0</v>
      </c>
      <c r="CF379" s="32" t="n">
        <f aca="false">IF(BP379=0,IF(BX379=0,0,1),(BX379-BP379)/BP379)</f>
        <v>0</v>
      </c>
      <c r="CG379" s="32" t="n">
        <f aca="false">IF(BQ379=0,IF(BY379=0,0,1),(BY379-BQ379)/BQ379)</f>
        <v>0</v>
      </c>
      <c r="CH379" s="32" t="n">
        <f aca="false">MAX(MAX(BZ379:CG379),-MIN(BZ379:CG379))</f>
        <v>-0</v>
      </c>
      <c r="CI379" s="31" t="n">
        <f aca="false">IF(CO379="","",SUMIFS($CJ$7:$CJ$696,$A$7:$A$696,CO379,$B$7:$B$696,B379))</f>
        <v>121018103</v>
      </c>
      <c r="CJ379" s="31" t="n">
        <f aca="false">SUM(AY379:BI379)</f>
        <v>120766862</v>
      </c>
      <c r="CK379" s="31" t="str">
        <f aca="false">IFERROR(INDEX(設定!$F$61:$F$106,MATCH(B379,設定!$B$61:$B$106,0)),"Y")</f>
        <v>Y</v>
      </c>
      <c r="CL379" s="31" t="str">
        <f aca="false">IFERROR(INDEX(設定!$G$61:$G$106,MATCH(B379,設定!$B$61:$B$106,0)),"外郭型")</f>
        <v>市局型</v>
      </c>
      <c r="CM379" s="33" t="str">
        <f aca="false">A379&amp;"|"&amp;B379</f>
        <v>2026-11 月例|教育委員会（総務課）</v>
      </c>
      <c r="CN379" s="34" t="str">
        <f aca="false">IFERROR(INDEX(設定!$D$61:$D$106,MATCH(B379,設定!$B$61:$B$106,0)),"Y")</f>
        <v>N</v>
      </c>
      <c r="CO379" s="34" t="str">
        <f aca="false">IFERROR(INDEX(設定!$D$20:$D$34,MATCH(A379,設定!$A$20:$A$34,0))&amp;"","")</f>
        <v>2026-10 月例</v>
      </c>
    </row>
    <row r="380" customFormat="false" ht="15" hidden="true" customHeight="false" outlineLevel="0" collapsed="false">
      <c r="A380" s="22" t="s">
        <v>224</v>
      </c>
      <c r="B380" s="23" t="s">
        <v>173</v>
      </c>
      <c r="C380" s="10" t="str">
        <f aca="false">IF(G380="","未受領",IF(G380="なし","報告なし",IF(AL380="○","起票済",IF(OR(AK380="○",F380="一致",F380="入金不要"),"入金確認済","受領済"))))</f>
        <v>未受領</v>
      </c>
      <c r="D380" s="10" t="str">
        <f aca="false">IF(OR(G380="",G380="なし"),"―",IF(CN380="N","対象外",IF(AND(I380="",J380="",K380=""),"標報未入力",IF(CH380&gt;=設定!$B$4,"要確認","問題なし"))))</f>
        <v>―</v>
      </c>
      <c r="E380" s="24" t="str">
        <f aca="false">IF(OR(G380="",G380="なし",CI380="",CJ380=0),"―",IF(CJ380=CI380,"前月同額",IF(CI380=0,"―",IF(ABS(CJ380/CI380-1)&gt;=設定!$B$5,"変動大 "&amp;TEXT(CJ380/CI380-1,"+0%;-0%"),"〇"))))</f>
        <v>―</v>
      </c>
      <c r="F380" s="10" t="str">
        <f aca="false">IF(OR(G380="",G380="なし"),"―",IF(CJ380=0,"入金不要",IF(COUNT(AD380,AF380,AH380,AJ380)=0,IF(AK380="○","手動確認","未入金"),IF(AND(N(AD380)=AC380,IF(AE380="",TRUE(),N(AF380)=AE380),IF(AG380="",TRUE(),N(AH380)=AG380),IF(AI380="",TRUE(),N(AJ380)=AI380)),"一致","不一致"))))</f>
        <v>―</v>
      </c>
      <c r="G380" s="25"/>
      <c r="H380" s="26"/>
      <c r="I380" s="27"/>
      <c r="J380" s="27"/>
      <c r="K380" s="27"/>
      <c r="L380" s="27"/>
      <c r="M380" s="27"/>
      <c r="N380" s="27"/>
      <c r="O380" s="27"/>
      <c r="P380" s="27"/>
      <c r="Q380" s="27"/>
      <c r="R380" s="27"/>
      <c r="S380" s="27"/>
      <c r="T380" s="27"/>
      <c r="U380" s="27"/>
      <c r="V380" s="27"/>
      <c r="W380" s="27"/>
      <c r="X380" s="27"/>
      <c r="Y380" s="27"/>
      <c r="Z380" s="27"/>
      <c r="AA380" s="10" t="str">
        <f aca="false">IFERROR(INDEX(設定!$E$61:$E$106,MATCH(B380,設定!$B$61:$B$106,0)),"合算")</f>
        <v>合算</v>
      </c>
      <c r="AB380" s="28"/>
      <c r="AC380" s="29" t="str">
        <f aca="false">IF(OR(G380="",G380="なし"),"",IF(AA380="合算",CJ380+N(Z380),IF(AA380="掛金・負担金別",(AY380+AZ380+BD380+BF380+BH380),SUM(AY380:BC380))))</f>
        <v/>
      </c>
      <c r="AD380" s="27"/>
      <c r="AE380" s="29" t="str">
        <f aca="false">IF(OR(G380="",G380="なし"),"",IF(AA380="掛金・負担金別",(BA380+BB380+BC380+BE380+BG380+BI380+N(Z380)),IF(AA380="経理区分別",BD380+BE380,"")))</f>
        <v/>
      </c>
      <c r="AF380" s="27"/>
      <c r="AG380" s="29" t="str">
        <f aca="false">IF(OR(G380="",G380="なし"),"",IF(AA380="経理区分別",BF380+BG380,""))</f>
        <v/>
      </c>
      <c r="AH380" s="27"/>
      <c r="AI380" s="29" t="str">
        <f aca="false">IF(OR(G380="",G380="なし"),"",IF(AA380="経理区分別",BH380+BI380+N(Z380),""))</f>
        <v/>
      </c>
      <c r="AJ380" s="27"/>
      <c r="AK380" s="26"/>
      <c r="AL380" s="26"/>
      <c r="AM380" s="30"/>
      <c r="AN380" s="31" t="n">
        <v>280905</v>
      </c>
      <c r="AO380" s="31" t="n">
        <v>23025</v>
      </c>
      <c r="AP380" s="31" t="n">
        <v>408310</v>
      </c>
      <c r="AQ380" s="31" t="n">
        <v>23025</v>
      </c>
      <c r="AR380" s="31" t="n">
        <v>288</v>
      </c>
      <c r="AS380" s="31" t="n">
        <v>264041</v>
      </c>
      <c r="AT380" s="31" t="n">
        <v>193690</v>
      </c>
      <c r="AU380" s="31" t="n">
        <v>21674</v>
      </c>
      <c r="AV380" s="31" t="n">
        <v>15326</v>
      </c>
      <c r="AW380" s="31" t="n">
        <v>1</v>
      </c>
      <c r="AX380" s="31" t="n">
        <v>1</v>
      </c>
      <c r="AY380" s="31" t="n">
        <f aca="false">IF($G380="",AN380,O380)</f>
        <v>280905</v>
      </c>
      <c r="AZ380" s="31" t="n">
        <f aca="false">IF($G380="",AO380,P380)</f>
        <v>23025</v>
      </c>
      <c r="BA380" s="31" t="n">
        <f aca="false">IF($G380="",AP380,T380)</f>
        <v>408310</v>
      </c>
      <c r="BB380" s="31" t="n">
        <f aca="false">IF($G380="",AQ380,U380)</f>
        <v>23025</v>
      </c>
      <c r="BC380" s="31" t="n">
        <f aca="false">IF($G380="",AR380,V380)</f>
        <v>288</v>
      </c>
      <c r="BD380" s="31" t="n">
        <f aca="false">IF($G380="",AS380,Q380)</f>
        <v>264041</v>
      </c>
      <c r="BE380" s="31" t="n">
        <f aca="false">IF($G380="",AT380,W380)</f>
        <v>193690</v>
      </c>
      <c r="BF380" s="31" t="n">
        <f aca="false">IF($G380="",AU380,R380)</f>
        <v>21674</v>
      </c>
      <c r="BG380" s="31" t="n">
        <f aca="false">IF($G380="",AV380,X380)</f>
        <v>15326</v>
      </c>
      <c r="BH380" s="31" t="n">
        <f aca="false">IF($G380="",AW380,S380)</f>
        <v>1</v>
      </c>
      <c r="BI380" s="31" t="n">
        <f aca="false">IF($G380="",AX380,Y380)</f>
        <v>1</v>
      </c>
      <c r="BJ380" s="31" t="n">
        <f aca="false">IF(CK380="N",BR380,ROUNDDOWN((I380-L380)*設定!$B$10/1000,0)+ROUNDDOWN((I380-L380)*設定!$B$11/1000,0))</f>
        <v>0</v>
      </c>
      <c r="BK380" s="31" t="n">
        <f aca="false">ROUNDDOWN((I380-L380)*設定!$C$10/1000,0)+ROUNDDOWN((I380-L380)*設定!$C$11/1000,0)+ROUNDDOWN(I380*設定!$C$12/1000,0)+IF(CL380="市局型",ROUNDDOWN(I380*設定!$C$16/1000,0),0)</f>
        <v>0</v>
      </c>
      <c r="BL380" s="31" t="n">
        <f aca="false">IF(CK380="N",BT380,ROUNDDOWN((J380-M380)*設定!$B$13/1000,0))</f>
        <v>0</v>
      </c>
      <c r="BM380" s="31" t="n">
        <f aca="false">ROUNDDOWN((J380-M380)*設定!$C$13/1000,0)+IF(CL380="市局型",ROUNDDOWN(J380*設定!$C$17/1000,0),0)</f>
        <v>0</v>
      </c>
      <c r="BN380" s="31" t="n">
        <f aca="false">IF(CK380="N",BV380,ROUNDDOWN((K380-N380)*設定!$B$14/1000,0))</f>
        <v>0</v>
      </c>
      <c r="BO380" s="31" t="n">
        <f aca="false">ROUNDDOWN((K380-N380)*設定!$C$14/1000,0)</f>
        <v>0</v>
      </c>
      <c r="BP380" s="31" t="n">
        <f aca="false">IF(CK380="N",BX380,ROUNDDOWN((J380-M380)*設定!$B$15/1000,0))</f>
        <v>0</v>
      </c>
      <c r="BQ380" s="31" t="n">
        <f aca="false">ROUNDDOWN((J380-M380)*設定!$C$15/1000,0)</f>
        <v>0</v>
      </c>
      <c r="BR380" s="31" t="n">
        <f aca="false">O380+P380</f>
        <v>0</v>
      </c>
      <c r="BS380" s="31" t="n">
        <f aca="false">T380+U380+V380</f>
        <v>0</v>
      </c>
      <c r="BT380" s="31" t="n">
        <f aca="false">Q380</f>
        <v>0</v>
      </c>
      <c r="BU380" s="31" t="n">
        <f aca="false">W380</f>
        <v>0</v>
      </c>
      <c r="BV380" s="31" t="n">
        <f aca="false">R380</f>
        <v>0</v>
      </c>
      <c r="BW380" s="31" t="n">
        <f aca="false">X380</f>
        <v>0</v>
      </c>
      <c r="BX380" s="31" t="n">
        <f aca="false">S380</f>
        <v>0</v>
      </c>
      <c r="BY380" s="31" t="n">
        <f aca="false">Y380</f>
        <v>0</v>
      </c>
      <c r="BZ380" s="32" t="n">
        <f aca="false">IF(BJ380=0,IF(BR380=0,0,1),(BR380-BJ380)/BJ380)</f>
        <v>0</v>
      </c>
      <c r="CA380" s="32" t="n">
        <f aca="false">IF(BK380=0,IF(BS380=0,0,1),(BS380-BK380)/BK380)</f>
        <v>0</v>
      </c>
      <c r="CB380" s="32" t="n">
        <f aca="false">IF(BL380=0,IF(BT380=0,0,1),(BT380-BL380)/BL380)</f>
        <v>0</v>
      </c>
      <c r="CC380" s="32" t="n">
        <f aca="false">IF(BM380=0,IF(BU380=0,0,1),(BU380-BM380)/BM380)</f>
        <v>0</v>
      </c>
      <c r="CD380" s="32" t="n">
        <f aca="false">IF(BN380=0,IF(BV380=0,0,1),(BV380-BN380)/BN380)</f>
        <v>0</v>
      </c>
      <c r="CE380" s="32" t="n">
        <f aca="false">IF(BO380=0,IF(BW380=0,0,1),(BW380-BO380)/BO380)</f>
        <v>0</v>
      </c>
      <c r="CF380" s="32" t="n">
        <f aca="false">IF(BP380=0,IF(BX380=0,0,1),(BX380-BP380)/BP380)</f>
        <v>0</v>
      </c>
      <c r="CG380" s="32" t="n">
        <f aca="false">IF(BQ380=0,IF(BY380=0,0,1),(BY380-BQ380)/BQ380)</f>
        <v>0</v>
      </c>
      <c r="CH380" s="32" t="n">
        <f aca="false">MAX(MAX(BZ380:CG380),-MIN(BZ380:CG380))</f>
        <v>-0</v>
      </c>
      <c r="CI380" s="31" t="n">
        <f aca="false">IF(CO380="","",SUMIFS($CJ$7:$CJ$696,$A$7:$A$696,CO380,$B$7:$B$696,B380))</f>
        <v>1176418</v>
      </c>
      <c r="CJ380" s="31" t="n">
        <f aca="false">SUM(AY380:BI380)</f>
        <v>1230286</v>
      </c>
      <c r="CK380" s="31" t="str">
        <f aca="false">IFERROR(INDEX(設定!$F$61:$F$106,MATCH(B380,設定!$B$61:$B$106,0)),"Y")</f>
        <v>Y</v>
      </c>
      <c r="CL380" s="31" t="str">
        <f aca="false">IFERROR(INDEX(設定!$G$61:$G$106,MATCH(B380,設定!$B$61:$B$106,0)),"外郭型")</f>
        <v>市局型</v>
      </c>
      <c r="CM380" s="33" t="str">
        <f aca="false">A380&amp;"|"&amp;B380</f>
        <v>2026-11 月例|選挙管理委員会</v>
      </c>
      <c r="CN380" s="34" t="str">
        <f aca="false">IFERROR(INDEX(設定!$D$61:$D$106,MATCH(B380,設定!$B$61:$B$106,0)),"Y")</f>
        <v>Y</v>
      </c>
      <c r="CO380" s="34" t="str">
        <f aca="false">IFERROR(INDEX(設定!$D$20:$D$34,MATCH(A380,設定!$A$20:$A$34,0))&amp;"","")</f>
        <v>2026-10 月例</v>
      </c>
    </row>
    <row r="381" customFormat="false" ht="15" hidden="true" customHeight="false" outlineLevel="0" collapsed="false">
      <c r="A381" s="22" t="s">
        <v>224</v>
      </c>
      <c r="B381" s="23" t="s">
        <v>174</v>
      </c>
      <c r="C381" s="10" t="str">
        <f aca="false">IF(G381="","未受領",IF(G381="なし","報告なし",IF(AL381="○","起票済",IF(OR(AK381="○",F381="一致",F381="入金不要"),"入金確認済","受領済"))))</f>
        <v>未受領</v>
      </c>
      <c r="D381" s="10" t="str">
        <f aca="false">IF(OR(G381="",G381="なし"),"―",IF(CN381="N","対象外",IF(AND(I381="",J381="",K381=""),"標報未入力",IF(CH381&gt;=設定!$B$4,"要確認","問題なし"))))</f>
        <v>―</v>
      </c>
      <c r="E381" s="24" t="str">
        <f aca="false">IF(OR(G381="",G381="なし",CI381="",CJ381=0),"―",IF(CJ381=CI381,"前月同額",IF(CI381=0,"―",IF(ABS(CJ381/CI381-1)&gt;=設定!$B$5,"変動大 "&amp;TEXT(CJ381/CI381-1,"+0%;-0%"),"〇"))))</f>
        <v>―</v>
      </c>
      <c r="F381" s="10" t="str">
        <f aca="false">IF(OR(G381="",G381="なし"),"―",IF(CJ381=0,"入金不要",IF(COUNT(AD381,AF381,AH381,AJ381)=0,IF(AK381="○","手動確認","未入金"),IF(AND(N(AD381)=AC381,IF(AE381="",TRUE(),N(AF381)=AE381),IF(AG381="",TRUE(),N(AH381)=AG381),IF(AI381="",TRUE(),N(AJ381)=AI381)),"一致","不一致"))))</f>
        <v>―</v>
      </c>
      <c r="G381" s="25"/>
      <c r="H381" s="26"/>
      <c r="I381" s="27"/>
      <c r="J381" s="27"/>
      <c r="K381" s="27"/>
      <c r="L381" s="27"/>
      <c r="M381" s="27"/>
      <c r="N381" s="27"/>
      <c r="O381" s="27"/>
      <c r="P381" s="27"/>
      <c r="Q381" s="27"/>
      <c r="R381" s="27"/>
      <c r="S381" s="27"/>
      <c r="T381" s="27"/>
      <c r="U381" s="27"/>
      <c r="V381" s="27"/>
      <c r="W381" s="27"/>
      <c r="X381" s="27"/>
      <c r="Y381" s="27"/>
      <c r="Z381" s="27"/>
      <c r="AA381" s="10" t="str">
        <f aca="false">IFERROR(INDEX(設定!$E$61:$E$106,MATCH(B381,設定!$B$61:$B$106,0)),"合算")</f>
        <v>合算</v>
      </c>
      <c r="AB381" s="28"/>
      <c r="AC381" s="29" t="str">
        <f aca="false">IF(OR(G381="",G381="なし"),"",IF(AA381="合算",CJ381+N(Z381),IF(AA381="掛金・負担金別",(AY381+AZ381+BD381+BF381+BH381),SUM(AY381:BC381))))</f>
        <v/>
      </c>
      <c r="AD381" s="27"/>
      <c r="AE381" s="29" t="str">
        <f aca="false">IF(OR(G381="",G381="なし"),"",IF(AA381="掛金・負担金別",(BA381+BB381+BC381+BE381+BG381+BI381+N(Z381)),IF(AA381="経理区分別",BD381+BE381,"")))</f>
        <v/>
      </c>
      <c r="AF381" s="27"/>
      <c r="AG381" s="29" t="str">
        <f aca="false">IF(OR(G381="",G381="なし"),"",IF(AA381="経理区分別",BF381+BG381,""))</f>
        <v/>
      </c>
      <c r="AH381" s="27"/>
      <c r="AI381" s="29" t="str">
        <f aca="false">IF(OR(G381="",G381="なし"),"",IF(AA381="経理区分別",BH381+BI381+N(Z381),""))</f>
        <v/>
      </c>
      <c r="AJ381" s="27"/>
      <c r="AK381" s="26"/>
      <c r="AL381" s="26"/>
      <c r="AM381" s="30"/>
      <c r="AN381" s="31" t="n">
        <v>561810</v>
      </c>
      <c r="AO381" s="31" t="n">
        <v>46050</v>
      </c>
      <c r="AP381" s="31" t="n">
        <v>816620</v>
      </c>
      <c r="AQ381" s="31" t="n">
        <v>46050</v>
      </c>
      <c r="AR381" s="31" t="n">
        <v>576</v>
      </c>
      <c r="AS381" s="31" t="n">
        <v>351070</v>
      </c>
      <c r="AT381" s="31" t="n">
        <v>357264</v>
      </c>
      <c r="AU381" s="31" t="n">
        <v>33353</v>
      </c>
      <c r="AV381" s="31" t="n">
        <v>33353</v>
      </c>
      <c r="AW381" s="31" t="n">
        <v>1</v>
      </c>
      <c r="AX381" s="31" t="n">
        <v>1</v>
      </c>
      <c r="AY381" s="31" t="n">
        <f aca="false">IF($G381="",AN381,O381)</f>
        <v>561810</v>
      </c>
      <c r="AZ381" s="31" t="n">
        <f aca="false">IF($G381="",AO381,P381)</f>
        <v>46050</v>
      </c>
      <c r="BA381" s="31" t="n">
        <f aca="false">IF($G381="",AP381,T381)</f>
        <v>816620</v>
      </c>
      <c r="BB381" s="31" t="n">
        <f aca="false">IF($G381="",AQ381,U381)</f>
        <v>46050</v>
      </c>
      <c r="BC381" s="31" t="n">
        <f aca="false">IF($G381="",AR381,V381)</f>
        <v>576</v>
      </c>
      <c r="BD381" s="31" t="n">
        <f aca="false">IF($G381="",AS381,Q381)</f>
        <v>351070</v>
      </c>
      <c r="BE381" s="31" t="n">
        <f aca="false">IF($G381="",AT381,W381)</f>
        <v>357264</v>
      </c>
      <c r="BF381" s="31" t="n">
        <f aca="false">IF($G381="",AU381,R381)</f>
        <v>33353</v>
      </c>
      <c r="BG381" s="31" t="n">
        <f aca="false">IF($G381="",AV381,X381)</f>
        <v>33353</v>
      </c>
      <c r="BH381" s="31" t="n">
        <f aca="false">IF($G381="",AW381,S381)</f>
        <v>1</v>
      </c>
      <c r="BI381" s="31" t="n">
        <f aca="false">IF($G381="",AX381,Y381)</f>
        <v>1</v>
      </c>
      <c r="BJ381" s="31" t="n">
        <f aca="false">IF(CK381="N",BR381,ROUNDDOWN((I381-L381)*設定!$B$10/1000,0)+ROUNDDOWN((I381-L381)*設定!$B$11/1000,0))</f>
        <v>0</v>
      </c>
      <c r="BK381" s="31" t="n">
        <f aca="false">ROUNDDOWN((I381-L381)*設定!$C$10/1000,0)+ROUNDDOWN((I381-L381)*設定!$C$11/1000,0)+ROUNDDOWN(I381*設定!$C$12/1000,0)+IF(CL381="市局型",ROUNDDOWN(I381*設定!$C$16/1000,0),0)</f>
        <v>0</v>
      </c>
      <c r="BL381" s="31" t="n">
        <f aca="false">IF(CK381="N",BT381,ROUNDDOWN((J381-M381)*設定!$B$13/1000,0))</f>
        <v>0</v>
      </c>
      <c r="BM381" s="31" t="n">
        <f aca="false">ROUNDDOWN((J381-M381)*設定!$C$13/1000,0)+IF(CL381="市局型",ROUNDDOWN(J381*設定!$C$17/1000,0),0)</f>
        <v>0</v>
      </c>
      <c r="BN381" s="31" t="n">
        <f aca="false">IF(CK381="N",BV381,ROUNDDOWN((K381-N381)*設定!$B$14/1000,0))</f>
        <v>0</v>
      </c>
      <c r="BO381" s="31" t="n">
        <f aca="false">ROUNDDOWN((K381-N381)*設定!$C$14/1000,0)</f>
        <v>0</v>
      </c>
      <c r="BP381" s="31" t="n">
        <f aca="false">IF(CK381="N",BX381,ROUNDDOWN((J381-M381)*設定!$B$15/1000,0))</f>
        <v>0</v>
      </c>
      <c r="BQ381" s="31" t="n">
        <f aca="false">ROUNDDOWN((J381-M381)*設定!$C$15/1000,0)</f>
        <v>0</v>
      </c>
      <c r="BR381" s="31" t="n">
        <f aca="false">O381+P381</f>
        <v>0</v>
      </c>
      <c r="BS381" s="31" t="n">
        <f aca="false">T381+U381+V381</f>
        <v>0</v>
      </c>
      <c r="BT381" s="31" t="n">
        <f aca="false">Q381</f>
        <v>0</v>
      </c>
      <c r="BU381" s="31" t="n">
        <f aca="false">W381</f>
        <v>0</v>
      </c>
      <c r="BV381" s="31" t="n">
        <f aca="false">R381</f>
        <v>0</v>
      </c>
      <c r="BW381" s="31" t="n">
        <f aca="false">X381</f>
        <v>0</v>
      </c>
      <c r="BX381" s="31" t="n">
        <f aca="false">S381</f>
        <v>0</v>
      </c>
      <c r="BY381" s="31" t="n">
        <f aca="false">Y381</f>
        <v>0</v>
      </c>
      <c r="BZ381" s="32" t="n">
        <f aca="false">IF(BJ381=0,IF(BR381=0,0,1),(BR381-BJ381)/BJ381)</f>
        <v>0</v>
      </c>
      <c r="CA381" s="32" t="n">
        <f aca="false">IF(BK381=0,IF(BS381=0,0,1),(BS381-BK381)/BK381)</f>
        <v>0</v>
      </c>
      <c r="CB381" s="32" t="n">
        <f aca="false">IF(BL381=0,IF(BT381=0,0,1),(BT381-BL381)/BL381)</f>
        <v>0</v>
      </c>
      <c r="CC381" s="32" t="n">
        <f aca="false">IF(BM381=0,IF(BU381=0,0,1),(BU381-BM381)/BM381)</f>
        <v>0</v>
      </c>
      <c r="CD381" s="32" t="n">
        <f aca="false">IF(BN381=0,IF(BV381=0,0,1),(BV381-BN381)/BN381)</f>
        <v>0</v>
      </c>
      <c r="CE381" s="32" t="n">
        <f aca="false">IF(BO381=0,IF(BW381=0,0,1),(BW381-BO381)/BO381)</f>
        <v>0</v>
      </c>
      <c r="CF381" s="32" t="n">
        <f aca="false">IF(BP381=0,IF(BX381=0,0,1),(BX381-BP381)/BP381)</f>
        <v>0</v>
      </c>
      <c r="CG381" s="32" t="n">
        <f aca="false">IF(BQ381=0,IF(BY381=0,0,1),(BY381-BQ381)/BQ381)</f>
        <v>0</v>
      </c>
      <c r="CH381" s="32" t="n">
        <f aca="false">MAX(MAX(BZ381:CG381),-MIN(BZ381:CG381))</f>
        <v>-0</v>
      </c>
      <c r="CI381" s="31" t="n">
        <f aca="false">IF(CO381="","",SUMIFS($CJ$7:$CJ$696,$A$7:$A$696,CO381,$B$7:$B$696,B381))</f>
        <v>2246148</v>
      </c>
      <c r="CJ381" s="31" t="n">
        <f aca="false">SUM(AY381:BI381)</f>
        <v>2246148</v>
      </c>
      <c r="CK381" s="31" t="str">
        <f aca="false">IFERROR(INDEX(設定!$F$61:$F$106,MATCH(B381,設定!$B$61:$B$106,0)),"Y")</f>
        <v>Y</v>
      </c>
      <c r="CL381" s="31" t="str">
        <f aca="false">IFERROR(INDEX(設定!$G$61:$G$106,MATCH(B381,設定!$B$61:$B$106,0)),"外郭型")</f>
        <v>市局型</v>
      </c>
      <c r="CM381" s="33" t="str">
        <f aca="false">A381&amp;"|"&amp;B381</f>
        <v>2026-11 月例|人事委員会</v>
      </c>
      <c r="CN381" s="34" t="str">
        <f aca="false">IFERROR(INDEX(設定!$D$61:$D$106,MATCH(B381,設定!$B$61:$B$106,0)),"Y")</f>
        <v>Y</v>
      </c>
      <c r="CO381" s="34" t="str">
        <f aca="false">IFERROR(INDEX(設定!$D$20:$D$34,MATCH(A381,設定!$A$20:$A$34,0))&amp;"","")</f>
        <v>2026-10 月例</v>
      </c>
    </row>
    <row r="382" customFormat="false" ht="15" hidden="true" customHeight="false" outlineLevel="0" collapsed="false">
      <c r="A382" s="22" t="s">
        <v>224</v>
      </c>
      <c r="B382" s="23" t="s">
        <v>175</v>
      </c>
      <c r="C382" s="10" t="str">
        <f aca="false">IF(G382="","未受領",IF(G382="なし","報告なし",IF(AL382="○","起票済",IF(OR(AK382="○",F382="一致",F382="入金不要"),"入金確認済","受領済"))))</f>
        <v>未受領</v>
      </c>
      <c r="D382" s="10" t="str">
        <f aca="false">IF(OR(G382="",G382="なし"),"―",IF(CN382="N","対象外",IF(AND(I382="",J382="",K382=""),"標報未入力",IF(CH382&gt;=設定!$B$4,"要確認","問題なし"))))</f>
        <v>―</v>
      </c>
      <c r="E382" s="24" t="str">
        <f aca="false">IF(OR(G382="",G382="なし",CI382="",CJ382=0),"―",IF(CJ382=CI382,"前月同額",IF(CI382=0,"―",IF(ABS(CJ382/CI382-1)&gt;=設定!$B$5,"変動大 "&amp;TEXT(CJ382/CI382-1,"+0%;-0%"),"〇"))))</f>
        <v>―</v>
      </c>
      <c r="F382" s="10" t="str">
        <f aca="false">IF(OR(G382="",G382="なし"),"―",IF(CJ382=0,"入金不要",IF(COUNT(AD382,AF382,AH382,AJ382)=0,IF(AK382="○","手動確認","未入金"),IF(AND(N(AD382)=AC382,IF(AE382="",TRUE(),N(AF382)=AE382),IF(AG382="",TRUE(),N(AH382)=AG382),IF(AI382="",TRUE(),N(AJ382)=AI382)),"一致","不一致"))))</f>
        <v>―</v>
      </c>
      <c r="G382" s="25"/>
      <c r="H382" s="26"/>
      <c r="I382" s="27"/>
      <c r="J382" s="27"/>
      <c r="K382" s="27"/>
      <c r="L382" s="27"/>
      <c r="M382" s="27"/>
      <c r="N382" s="27"/>
      <c r="O382" s="27"/>
      <c r="P382" s="27"/>
      <c r="Q382" s="27"/>
      <c r="R382" s="27"/>
      <c r="S382" s="27"/>
      <c r="T382" s="27"/>
      <c r="U382" s="27"/>
      <c r="V382" s="27"/>
      <c r="W382" s="27"/>
      <c r="X382" s="27"/>
      <c r="Y382" s="27"/>
      <c r="Z382" s="27"/>
      <c r="AA382" s="10" t="str">
        <f aca="false">IFERROR(INDEX(設定!$E$61:$E$106,MATCH(B382,設定!$B$61:$B$106,0)),"合算")</f>
        <v>合算</v>
      </c>
      <c r="AB382" s="28"/>
      <c r="AC382" s="29" t="str">
        <f aca="false">IF(OR(G382="",G382="なし"),"",IF(AA382="合算",CJ382+N(Z382),IF(AA382="掛金・負担金別",(AY382+AZ382+BD382+BF382+BH382),SUM(AY382:BC382))))</f>
        <v/>
      </c>
      <c r="AD382" s="27"/>
      <c r="AE382" s="29" t="str">
        <f aca="false">IF(OR(G382="",G382="なし"),"",IF(AA382="掛金・負担金別",(BA382+BB382+BC382+BE382+BG382+BI382+N(Z382)),IF(AA382="経理区分別",BD382+BE382,"")))</f>
        <v/>
      </c>
      <c r="AF382" s="27"/>
      <c r="AG382" s="29" t="str">
        <f aca="false">IF(OR(G382="",G382="なし"),"",IF(AA382="経理区分別",BF382+BG382,""))</f>
        <v/>
      </c>
      <c r="AH382" s="27"/>
      <c r="AI382" s="29" t="str">
        <f aca="false">IF(OR(G382="",G382="なし"),"",IF(AA382="経理区分別",BH382+BI382+N(Z382),""))</f>
        <v/>
      </c>
      <c r="AJ382" s="27"/>
      <c r="AK382" s="26"/>
      <c r="AL382" s="26"/>
      <c r="AM382" s="30"/>
      <c r="AN382" s="31" t="n">
        <v>1344135</v>
      </c>
      <c r="AO382" s="31" t="n">
        <v>110175</v>
      </c>
      <c r="AP382" s="31" t="n">
        <v>1965390</v>
      </c>
      <c r="AQ382" s="31" t="n">
        <v>110175</v>
      </c>
      <c r="AR382" s="31" t="n">
        <v>1405</v>
      </c>
      <c r="AS382" s="31" t="n">
        <v>836690</v>
      </c>
      <c r="AT382" s="31" t="n">
        <v>851727</v>
      </c>
      <c r="AU382" s="31" t="n">
        <v>108309</v>
      </c>
      <c r="AV382" s="31" t="n">
        <v>108309</v>
      </c>
      <c r="AW382" s="31" t="n">
        <v>1</v>
      </c>
      <c r="AX382" s="31" t="n">
        <v>1</v>
      </c>
      <c r="AY382" s="31" t="n">
        <f aca="false">IF($G382="",AN382,O382)</f>
        <v>1344135</v>
      </c>
      <c r="AZ382" s="31" t="n">
        <f aca="false">IF($G382="",AO382,P382)</f>
        <v>110175</v>
      </c>
      <c r="BA382" s="31" t="n">
        <f aca="false">IF($G382="",AP382,T382)</f>
        <v>1965390</v>
      </c>
      <c r="BB382" s="31" t="n">
        <f aca="false">IF($G382="",AQ382,U382)</f>
        <v>110175</v>
      </c>
      <c r="BC382" s="31" t="n">
        <f aca="false">IF($G382="",AR382,V382)</f>
        <v>1405</v>
      </c>
      <c r="BD382" s="31" t="n">
        <f aca="false">IF($G382="",AS382,Q382)</f>
        <v>836690</v>
      </c>
      <c r="BE382" s="31" t="n">
        <f aca="false">IF($G382="",AT382,W382)</f>
        <v>851727</v>
      </c>
      <c r="BF382" s="31" t="n">
        <f aca="false">IF($G382="",AU382,R382)</f>
        <v>108309</v>
      </c>
      <c r="BG382" s="31" t="n">
        <f aca="false">IF($G382="",AV382,X382)</f>
        <v>108309</v>
      </c>
      <c r="BH382" s="31" t="n">
        <f aca="false">IF($G382="",AW382,S382)</f>
        <v>1</v>
      </c>
      <c r="BI382" s="31" t="n">
        <f aca="false">IF($G382="",AX382,Y382)</f>
        <v>1</v>
      </c>
      <c r="BJ382" s="31" t="n">
        <f aca="false">IF(CK382="N",BR382,ROUNDDOWN((I382-L382)*設定!$B$10/1000,0)+ROUNDDOWN((I382-L382)*設定!$B$11/1000,0))</f>
        <v>0</v>
      </c>
      <c r="BK382" s="31" t="n">
        <f aca="false">ROUNDDOWN((I382-L382)*設定!$C$10/1000,0)+ROUNDDOWN((I382-L382)*設定!$C$11/1000,0)+ROUNDDOWN(I382*設定!$C$12/1000,0)+IF(CL382="市局型",ROUNDDOWN(I382*設定!$C$16/1000,0),0)</f>
        <v>0</v>
      </c>
      <c r="BL382" s="31" t="n">
        <f aca="false">IF(CK382="N",BT382,ROUNDDOWN((J382-M382)*設定!$B$13/1000,0))</f>
        <v>0</v>
      </c>
      <c r="BM382" s="31" t="n">
        <f aca="false">ROUNDDOWN((J382-M382)*設定!$C$13/1000,0)+IF(CL382="市局型",ROUNDDOWN(J382*設定!$C$17/1000,0),0)</f>
        <v>0</v>
      </c>
      <c r="BN382" s="31" t="n">
        <f aca="false">IF(CK382="N",BV382,ROUNDDOWN((K382-N382)*設定!$B$14/1000,0))</f>
        <v>0</v>
      </c>
      <c r="BO382" s="31" t="n">
        <f aca="false">ROUNDDOWN((K382-N382)*設定!$C$14/1000,0)</f>
        <v>0</v>
      </c>
      <c r="BP382" s="31" t="n">
        <f aca="false">IF(CK382="N",BX382,ROUNDDOWN((J382-M382)*設定!$B$15/1000,0))</f>
        <v>0</v>
      </c>
      <c r="BQ382" s="31" t="n">
        <f aca="false">ROUNDDOWN((J382-M382)*設定!$C$15/1000,0)</f>
        <v>0</v>
      </c>
      <c r="BR382" s="31" t="n">
        <f aca="false">O382+P382</f>
        <v>0</v>
      </c>
      <c r="BS382" s="31" t="n">
        <f aca="false">T382+U382+V382</f>
        <v>0</v>
      </c>
      <c r="BT382" s="31" t="n">
        <f aca="false">Q382</f>
        <v>0</v>
      </c>
      <c r="BU382" s="31" t="n">
        <f aca="false">W382</f>
        <v>0</v>
      </c>
      <c r="BV382" s="31" t="n">
        <f aca="false">R382</f>
        <v>0</v>
      </c>
      <c r="BW382" s="31" t="n">
        <f aca="false">X382</f>
        <v>0</v>
      </c>
      <c r="BX382" s="31" t="n">
        <f aca="false">S382</f>
        <v>0</v>
      </c>
      <c r="BY382" s="31" t="n">
        <f aca="false">Y382</f>
        <v>0</v>
      </c>
      <c r="BZ382" s="32" t="n">
        <f aca="false">IF(BJ382=0,IF(BR382=0,0,1),(BR382-BJ382)/BJ382)</f>
        <v>0</v>
      </c>
      <c r="CA382" s="32" t="n">
        <f aca="false">IF(BK382=0,IF(BS382=0,0,1),(BS382-BK382)/BK382)</f>
        <v>0</v>
      </c>
      <c r="CB382" s="32" t="n">
        <f aca="false">IF(BL382=0,IF(BT382=0,0,1),(BT382-BL382)/BL382)</f>
        <v>0</v>
      </c>
      <c r="CC382" s="32" t="n">
        <f aca="false">IF(BM382=0,IF(BU382=0,0,1),(BU382-BM382)/BM382)</f>
        <v>0</v>
      </c>
      <c r="CD382" s="32" t="n">
        <f aca="false">IF(BN382=0,IF(BV382=0,0,1),(BV382-BN382)/BN382)</f>
        <v>0</v>
      </c>
      <c r="CE382" s="32" t="n">
        <f aca="false">IF(BO382=0,IF(BW382=0,0,1),(BW382-BO382)/BO382)</f>
        <v>0</v>
      </c>
      <c r="CF382" s="32" t="n">
        <f aca="false">IF(BP382=0,IF(BX382=0,0,1),(BX382-BP382)/BP382)</f>
        <v>0</v>
      </c>
      <c r="CG382" s="32" t="n">
        <f aca="false">IF(BQ382=0,IF(BY382=0,0,1),(BY382-BQ382)/BQ382)</f>
        <v>0</v>
      </c>
      <c r="CH382" s="32" t="n">
        <f aca="false">MAX(MAX(BZ382:CG382),-MIN(BZ382:CG382))</f>
        <v>-0</v>
      </c>
      <c r="CI382" s="31" t="n">
        <f aca="false">IF(CO382="","",SUMIFS($CJ$7:$CJ$696,$A$7:$A$696,CO382,$B$7:$B$696,B382))</f>
        <v>5436317</v>
      </c>
      <c r="CJ382" s="31" t="n">
        <f aca="false">SUM(AY382:BI382)</f>
        <v>5436317</v>
      </c>
      <c r="CK382" s="31" t="str">
        <f aca="false">IFERROR(INDEX(設定!$F$61:$F$106,MATCH(B382,設定!$B$61:$B$106,0)),"Y")</f>
        <v>Y</v>
      </c>
      <c r="CL382" s="31" t="str">
        <f aca="false">IFERROR(INDEX(設定!$G$61:$G$106,MATCH(B382,設定!$B$61:$B$106,0)),"外郭型")</f>
        <v>市局型</v>
      </c>
      <c r="CM382" s="33" t="str">
        <f aca="false">A382&amp;"|"&amp;B382</f>
        <v>2026-11 月例|監査事務局</v>
      </c>
      <c r="CN382" s="34" t="str">
        <f aca="false">IFERROR(INDEX(設定!$D$61:$D$106,MATCH(B382,設定!$B$61:$B$106,0)),"Y")</f>
        <v>Y</v>
      </c>
      <c r="CO382" s="34" t="str">
        <f aca="false">IFERROR(INDEX(設定!$D$20:$D$34,MATCH(A382,設定!$A$20:$A$34,0))&amp;"","")</f>
        <v>2026-10 月例</v>
      </c>
    </row>
    <row r="383" customFormat="false" ht="15" hidden="true" customHeight="false" outlineLevel="0" collapsed="false">
      <c r="A383" s="22" t="s">
        <v>224</v>
      </c>
      <c r="B383" s="23" t="s">
        <v>176</v>
      </c>
      <c r="C383" s="10" t="str">
        <f aca="false">IF(G383="","未受領",IF(G383="なし","報告なし",IF(AL383="○","起票済",IF(OR(AK383="○",F383="一致",F383="入金不要"),"入金確認済","受領済"))))</f>
        <v>未受領</v>
      </c>
      <c r="D383" s="10" t="str">
        <f aca="false">IF(OR(G383="",G383="なし"),"―",IF(CN383="N","対象外",IF(AND(I383="",J383="",K383=""),"標報未入力",IF(CH383&gt;=設定!$B$4,"要確認","問題なし"))))</f>
        <v>―</v>
      </c>
      <c r="E383" s="24" t="str">
        <f aca="false">IF(OR(G383="",G383="なし",CI383="",CJ383=0),"―",IF(CJ383=CI383,"前月同額",IF(CI383=0,"―",IF(ABS(CJ383/CI383-1)&gt;=設定!$B$5,"変動大 "&amp;TEXT(CJ383/CI383-1,"+0%;-0%"),"〇"))))</f>
        <v>―</v>
      </c>
      <c r="F383" s="10" t="str">
        <f aca="false">IF(OR(G383="",G383="なし"),"―",IF(CJ383=0,"入金不要",IF(COUNT(AD383,AF383,AH383,AJ383)=0,IF(AK383="○","手動確認","未入金"),IF(AND(N(AD383)=AC383,IF(AE383="",TRUE(),N(AF383)=AE383),IF(AG383="",TRUE(),N(AH383)=AG383),IF(AI383="",TRUE(),N(AJ383)=AI383)),"一致","不一致"))))</f>
        <v>―</v>
      </c>
      <c r="G383" s="25"/>
      <c r="H383" s="26"/>
      <c r="I383" s="27"/>
      <c r="J383" s="27"/>
      <c r="K383" s="27"/>
      <c r="L383" s="27"/>
      <c r="M383" s="27"/>
      <c r="N383" s="27"/>
      <c r="O383" s="27"/>
      <c r="P383" s="27"/>
      <c r="Q383" s="27"/>
      <c r="R383" s="27"/>
      <c r="S383" s="27"/>
      <c r="T383" s="27"/>
      <c r="U383" s="27"/>
      <c r="V383" s="27"/>
      <c r="W383" s="27"/>
      <c r="X383" s="27"/>
      <c r="Y383" s="27"/>
      <c r="Z383" s="27"/>
      <c r="AA383" s="10" t="str">
        <f aca="false">IFERROR(INDEX(設定!$E$61:$E$106,MATCH(B383,設定!$B$61:$B$106,0)),"合算")</f>
        <v>合算</v>
      </c>
      <c r="AB383" s="28"/>
      <c r="AC383" s="29" t="str">
        <f aca="false">IF(OR(G383="",G383="なし"),"",IF(AA383="合算",CJ383+N(Z383),IF(AA383="掛金・負担金別",(AY383+AZ383+BD383+BF383+BH383),SUM(AY383:BC383))))</f>
        <v/>
      </c>
      <c r="AD383" s="27"/>
      <c r="AE383" s="29" t="str">
        <f aca="false">IF(OR(G383="",G383="なし"),"",IF(AA383="掛金・負担金別",(BA383+BB383+BC383+BE383+BG383+BI383+N(Z383)),IF(AA383="経理区分別",BD383+BE383,"")))</f>
        <v/>
      </c>
      <c r="AF383" s="27"/>
      <c r="AG383" s="29" t="str">
        <f aca="false">IF(OR(G383="",G383="なし"),"",IF(AA383="経理区分別",BF383+BG383,""))</f>
        <v/>
      </c>
      <c r="AH383" s="27"/>
      <c r="AI383" s="29" t="str">
        <f aca="false">IF(OR(G383="",G383="なし"),"",IF(AA383="経理区分別",BH383+BI383+N(Z383),""))</f>
        <v/>
      </c>
      <c r="AJ383" s="27"/>
      <c r="AK383" s="26"/>
      <c r="AL383" s="26"/>
      <c r="AM383" s="30"/>
      <c r="AN383" s="31" t="n">
        <v>382470</v>
      </c>
      <c r="AO383" s="31" t="n">
        <v>31350</v>
      </c>
      <c r="AP383" s="31" t="n">
        <v>555940</v>
      </c>
      <c r="AQ383" s="31" t="n">
        <v>31350</v>
      </c>
      <c r="AR383" s="31" t="n">
        <v>392</v>
      </c>
      <c r="AS383" s="31" t="n">
        <v>308930</v>
      </c>
      <c r="AT383" s="31" t="n">
        <v>314382</v>
      </c>
      <c r="AU383" s="31" t="n">
        <v>32672</v>
      </c>
      <c r="AV383" s="31" t="n">
        <v>32674</v>
      </c>
      <c r="AW383" s="31" t="n">
        <v>1</v>
      </c>
      <c r="AX383" s="31" t="n">
        <v>1</v>
      </c>
      <c r="AY383" s="31" t="n">
        <f aca="false">IF($G383="",AN383,O383)</f>
        <v>382470</v>
      </c>
      <c r="AZ383" s="31" t="n">
        <f aca="false">IF($G383="",AO383,P383)</f>
        <v>31350</v>
      </c>
      <c r="BA383" s="31" t="n">
        <f aca="false">IF($G383="",AP383,T383)</f>
        <v>555940</v>
      </c>
      <c r="BB383" s="31" t="n">
        <f aca="false">IF($G383="",AQ383,U383)</f>
        <v>31350</v>
      </c>
      <c r="BC383" s="31" t="n">
        <f aca="false">IF($G383="",AR383,V383)</f>
        <v>392</v>
      </c>
      <c r="BD383" s="31" t="n">
        <f aca="false">IF($G383="",AS383,Q383)</f>
        <v>308930</v>
      </c>
      <c r="BE383" s="31" t="n">
        <f aca="false">IF($G383="",AT383,W383)</f>
        <v>314382</v>
      </c>
      <c r="BF383" s="31" t="n">
        <f aca="false">IF($G383="",AU383,R383)</f>
        <v>32672</v>
      </c>
      <c r="BG383" s="31" t="n">
        <f aca="false">IF($G383="",AV383,X383)</f>
        <v>32674</v>
      </c>
      <c r="BH383" s="31" t="n">
        <f aca="false">IF($G383="",AW383,S383)</f>
        <v>1</v>
      </c>
      <c r="BI383" s="31" t="n">
        <f aca="false">IF($G383="",AX383,Y383)</f>
        <v>1</v>
      </c>
      <c r="BJ383" s="31" t="n">
        <f aca="false">IF(CK383="N",BR383,ROUNDDOWN((I383-L383)*設定!$B$10/1000,0)+ROUNDDOWN((I383-L383)*設定!$B$11/1000,0))</f>
        <v>0</v>
      </c>
      <c r="BK383" s="31" t="n">
        <f aca="false">ROUNDDOWN((I383-L383)*設定!$C$10/1000,0)+ROUNDDOWN((I383-L383)*設定!$C$11/1000,0)+ROUNDDOWN(I383*設定!$C$12/1000,0)+IF(CL383="市局型",ROUNDDOWN(I383*設定!$C$16/1000,0),0)</f>
        <v>0</v>
      </c>
      <c r="BL383" s="31" t="n">
        <f aca="false">IF(CK383="N",BT383,ROUNDDOWN((J383-M383)*設定!$B$13/1000,0))</f>
        <v>0</v>
      </c>
      <c r="BM383" s="31" t="n">
        <f aca="false">ROUNDDOWN((J383-M383)*設定!$C$13/1000,0)+IF(CL383="市局型",ROUNDDOWN(J383*設定!$C$17/1000,0),0)</f>
        <v>0</v>
      </c>
      <c r="BN383" s="31" t="n">
        <f aca="false">IF(CK383="N",BV383,ROUNDDOWN((K383-N383)*設定!$B$14/1000,0))</f>
        <v>0</v>
      </c>
      <c r="BO383" s="31" t="n">
        <f aca="false">ROUNDDOWN((K383-N383)*設定!$C$14/1000,0)</f>
        <v>0</v>
      </c>
      <c r="BP383" s="31" t="n">
        <f aca="false">IF(CK383="N",BX383,ROUNDDOWN((J383-M383)*設定!$B$15/1000,0))</f>
        <v>0</v>
      </c>
      <c r="BQ383" s="31" t="n">
        <f aca="false">ROUNDDOWN((J383-M383)*設定!$C$15/1000,0)</f>
        <v>0</v>
      </c>
      <c r="BR383" s="31" t="n">
        <f aca="false">O383+P383</f>
        <v>0</v>
      </c>
      <c r="BS383" s="31" t="n">
        <f aca="false">T383+U383+V383</f>
        <v>0</v>
      </c>
      <c r="BT383" s="31" t="n">
        <f aca="false">Q383</f>
        <v>0</v>
      </c>
      <c r="BU383" s="31" t="n">
        <f aca="false">W383</f>
        <v>0</v>
      </c>
      <c r="BV383" s="31" t="n">
        <f aca="false">R383</f>
        <v>0</v>
      </c>
      <c r="BW383" s="31" t="n">
        <f aca="false">X383</f>
        <v>0</v>
      </c>
      <c r="BX383" s="31" t="n">
        <f aca="false">S383</f>
        <v>0</v>
      </c>
      <c r="BY383" s="31" t="n">
        <f aca="false">Y383</f>
        <v>0</v>
      </c>
      <c r="BZ383" s="32" t="n">
        <f aca="false">IF(BJ383=0,IF(BR383=0,0,1),(BR383-BJ383)/BJ383)</f>
        <v>0</v>
      </c>
      <c r="CA383" s="32" t="n">
        <f aca="false">IF(BK383=0,IF(BS383=0,0,1),(BS383-BK383)/BK383)</f>
        <v>0</v>
      </c>
      <c r="CB383" s="32" t="n">
        <f aca="false">IF(BL383=0,IF(BT383=0,0,1),(BT383-BL383)/BL383)</f>
        <v>0</v>
      </c>
      <c r="CC383" s="32" t="n">
        <f aca="false">IF(BM383=0,IF(BU383=0,0,1),(BU383-BM383)/BM383)</f>
        <v>0</v>
      </c>
      <c r="CD383" s="32" t="n">
        <f aca="false">IF(BN383=0,IF(BV383=0,0,1),(BV383-BN383)/BN383)</f>
        <v>0</v>
      </c>
      <c r="CE383" s="32" t="n">
        <f aca="false">IF(BO383=0,IF(BW383=0,0,1),(BW383-BO383)/BO383)</f>
        <v>0</v>
      </c>
      <c r="CF383" s="32" t="n">
        <f aca="false">IF(BP383=0,IF(BX383=0,0,1),(BX383-BP383)/BP383)</f>
        <v>0</v>
      </c>
      <c r="CG383" s="32" t="n">
        <f aca="false">IF(BQ383=0,IF(BY383=0,0,1),(BY383-BQ383)/BQ383)</f>
        <v>0</v>
      </c>
      <c r="CH383" s="32" t="n">
        <f aca="false">MAX(MAX(BZ383:CG383),-MIN(BZ383:CG383))</f>
        <v>-0</v>
      </c>
      <c r="CI383" s="31" t="n">
        <f aca="false">IF(CO383="","",SUMIFS($CJ$7:$CJ$696,$A$7:$A$696,CO383,$B$7:$B$696,B383))</f>
        <v>1693638</v>
      </c>
      <c r="CJ383" s="31" t="n">
        <f aca="false">SUM(AY383:BI383)</f>
        <v>1690162</v>
      </c>
      <c r="CK383" s="31" t="str">
        <f aca="false">IFERROR(INDEX(設定!$F$61:$F$106,MATCH(B383,設定!$B$61:$B$106,0)),"Y")</f>
        <v>Y</v>
      </c>
      <c r="CL383" s="31" t="str">
        <f aca="false">IFERROR(INDEX(設定!$G$61:$G$106,MATCH(B383,設定!$B$61:$B$106,0)),"外郭型")</f>
        <v>市局型</v>
      </c>
      <c r="CM383" s="33" t="str">
        <f aca="false">A383&amp;"|"&amp;B383</f>
        <v>2026-11 月例|農業委員会</v>
      </c>
      <c r="CN383" s="34" t="str">
        <f aca="false">IFERROR(INDEX(設定!$D$61:$D$106,MATCH(B383,設定!$B$61:$B$106,0)),"Y")</f>
        <v>Y</v>
      </c>
      <c r="CO383" s="34" t="str">
        <f aca="false">IFERROR(INDEX(設定!$D$20:$D$34,MATCH(A383,設定!$A$20:$A$34,0))&amp;"","")</f>
        <v>2026-10 月例</v>
      </c>
    </row>
    <row r="384" customFormat="false" ht="15" hidden="true" customHeight="false" outlineLevel="0" collapsed="false">
      <c r="A384" s="22" t="s">
        <v>224</v>
      </c>
      <c r="B384" s="23" t="s">
        <v>177</v>
      </c>
      <c r="C384" s="10" t="str">
        <f aca="false">IF(G384="","未受領",IF(G384="なし","報告なし",IF(AL384="○","起票済",IF(OR(AK384="○",F384="一致",F384="入金不要"),"入金確認済","受領済"))))</f>
        <v>未受領</v>
      </c>
      <c r="D384" s="10" t="str">
        <f aca="false">IF(OR(G384="",G384="なし"),"―",IF(CN384="N","対象外",IF(AND(I384="",J384="",K384=""),"標報未入力",IF(CH384&gt;=設定!$B$4,"要確認","問題なし"))))</f>
        <v>―</v>
      </c>
      <c r="E384" s="24" t="str">
        <f aca="false">IF(OR(G384="",G384="なし",CI384="",CJ384=0),"―",IF(CJ384=CI384,"前月同額",IF(CI384=0,"―",IF(ABS(CJ384/CI384-1)&gt;=設定!$B$5,"変動大 "&amp;TEXT(CJ384/CI384-1,"+0%;-0%"),"〇"))))</f>
        <v>―</v>
      </c>
      <c r="F384" s="10" t="str">
        <f aca="false">IF(OR(G384="",G384="なし"),"―",IF(CJ384=0,"入金不要",IF(COUNT(AD384,AF384,AH384,AJ384)=0,IF(AK384="○","手動確認","未入金"),IF(AND(N(AD384)=AC384,IF(AE384="",TRUE(),N(AF384)=AE384),IF(AG384="",TRUE(),N(AH384)=AG384),IF(AI384="",TRUE(),N(AJ384)=AI384)),"一致","不一致"))))</f>
        <v>―</v>
      </c>
      <c r="G384" s="25"/>
      <c r="H384" s="26"/>
      <c r="I384" s="27"/>
      <c r="J384" s="27"/>
      <c r="K384" s="27"/>
      <c r="L384" s="27"/>
      <c r="M384" s="27"/>
      <c r="N384" s="27"/>
      <c r="O384" s="27"/>
      <c r="P384" s="27"/>
      <c r="Q384" s="27"/>
      <c r="R384" s="27"/>
      <c r="S384" s="27"/>
      <c r="T384" s="27"/>
      <c r="U384" s="27"/>
      <c r="V384" s="27"/>
      <c r="W384" s="27"/>
      <c r="X384" s="27"/>
      <c r="Y384" s="27"/>
      <c r="Z384" s="27"/>
      <c r="AA384" s="10" t="str">
        <f aca="false">IFERROR(INDEX(設定!$E$61:$E$106,MATCH(B384,設定!$B$61:$B$106,0)),"合算")</f>
        <v>合算</v>
      </c>
      <c r="AB384" s="28"/>
      <c r="AC384" s="29" t="str">
        <f aca="false">IF(OR(G384="",G384="なし"),"",IF(AA384="合算",CJ384+N(Z384),IF(AA384="掛金・負担金別",(AY384+AZ384+BD384+BF384+BH384),SUM(AY384:BC384))))</f>
        <v/>
      </c>
      <c r="AD384" s="27"/>
      <c r="AE384" s="29" t="str">
        <f aca="false">IF(OR(G384="",G384="なし"),"",IF(AA384="掛金・負担金別",(BA384+BB384+BC384+BE384+BG384+BI384+N(Z384)),IF(AA384="経理区分別",BD384+BE384,"")))</f>
        <v/>
      </c>
      <c r="AF384" s="27"/>
      <c r="AG384" s="29" t="str">
        <f aca="false">IF(OR(G384="",G384="なし"),"",IF(AA384="経理区分別",BF384+BG384,""))</f>
        <v/>
      </c>
      <c r="AH384" s="27"/>
      <c r="AI384" s="29" t="str">
        <f aca="false">IF(OR(G384="",G384="なし"),"",IF(AA384="経理区分別",BH384+BI384+N(Z384),""))</f>
        <v/>
      </c>
      <c r="AJ384" s="27"/>
      <c r="AK384" s="26"/>
      <c r="AL384" s="26"/>
      <c r="AM384" s="30"/>
      <c r="AN384" s="31" t="n">
        <v>22400939</v>
      </c>
      <c r="AO384" s="31" t="n">
        <v>1836143</v>
      </c>
      <c r="AP384" s="31" t="n">
        <v>32700782</v>
      </c>
      <c r="AQ384" s="31" t="n">
        <v>1836143</v>
      </c>
      <c r="AR384" s="31" t="n">
        <v>23299</v>
      </c>
      <c r="AS384" s="31" t="n">
        <v>14200515</v>
      </c>
      <c r="AT384" s="31" t="n">
        <v>14454449</v>
      </c>
      <c r="AU384" s="31" t="n">
        <v>1347187</v>
      </c>
      <c r="AV384" s="31" t="n">
        <v>1347187</v>
      </c>
      <c r="AW384" s="31" t="n">
        <v>1</v>
      </c>
      <c r="AX384" s="31" t="n">
        <v>1</v>
      </c>
      <c r="AY384" s="31" t="n">
        <f aca="false">IF($G384="",AN384,O384)</f>
        <v>22400939</v>
      </c>
      <c r="AZ384" s="31" t="n">
        <f aca="false">IF($G384="",AO384,P384)</f>
        <v>1836143</v>
      </c>
      <c r="BA384" s="31" t="n">
        <f aca="false">IF($G384="",AP384,T384)</f>
        <v>32700782</v>
      </c>
      <c r="BB384" s="31" t="n">
        <f aca="false">IF($G384="",AQ384,U384)</f>
        <v>1836143</v>
      </c>
      <c r="BC384" s="31" t="n">
        <f aca="false">IF($G384="",AR384,V384)</f>
        <v>23299</v>
      </c>
      <c r="BD384" s="31" t="n">
        <f aca="false">IF($G384="",AS384,Q384)</f>
        <v>14200515</v>
      </c>
      <c r="BE384" s="31" t="n">
        <f aca="false">IF($G384="",AT384,W384)</f>
        <v>14454449</v>
      </c>
      <c r="BF384" s="31" t="n">
        <f aca="false">IF($G384="",AU384,R384)</f>
        <v>1347187</v>
      </c>
      <c r="BG384" s="31" t="n">
        <f aca="false">IF($G384="",AV384,X384)</f>
        <v>1347187</v>
      </c>
      <c r="BH384" s="31" t="n">
        <f aca="false">IF($G384="",AW384,S384)</f>
        <v>1</v>
      </c>
      <c r="BI384" s="31" t="n">
        <f aca="false">IF($G384="",AX384,Y384)</f>
        <v>1</v>
      </c>
      <c r="BJ384" s="31" t="n">
        <f aca="false">IF(CK384="N",BR384,ROUNDDOWN((I384-L384)*設定!$B$10/1000,0)+ROUNDDOWN((I384-L384)*設定!$B$11/1000,0))</f>
        <v>0</v>
      </c>
      <c r="BK384" s="31" t="n">
        <f aca="false">ROUNDDOWN((I384-L384)*設定!$C$10/1000,0)+ROUNDDOWN((I384-L384)*設定!$C$11/1000,0)+ROUNDDOWN(I384*設定!$C$12/1000,0)+IF(CL384="市局型",ROUNDDOWN(I384*設定!$C$16/1000,0),0)</f>
        <v>0</v>
      </c>
      <c r="BL384" s="31" t="n">
        <f aca="false">IF(CK384="N",BT384,ROUNDDOWN((J384-M384)*設定!$B$13/1000,0))</f>
        <v>0</v>
      </c>
      <c r="BM384" s="31" t="n">
        <f aca="false">ROUNDDOWN((J384-M384)*設定!$C$13/1000,0)+IF(CL384="市局型",ROUNDDOWN(J384*設定!$C$17/1000,0),0)</f>
        <v>0</v>
      </c>
      <c r="BN384" s="31" t="n">
        <f aca="false">IF(CK384="N",BV384,ROUNDDOWN((K384-N384)*設定!$B$14/1000,0))</f>
        <v>0</v>
      </c>
      <c r="BO384" s="31" t="n">
        <f aca="false">ROUNDDOWN((K384-N384)*設定!$C$14/1000,0)</f>
        <v>0</v>
      </c>
      <c r="BP384" s="31" t="n">
        <f aca="false">IF(CK384="N",BX384,ROUNDDOWN((J384-M384)*設定!$B$15/1000,0))</f>
        <v>0</v>
      </c>
      <c r="BQ384" s="31" t="n">
        <f aca="false">ROUNDDOWN((J384-M384)*設定!$C$15/1000,0)</f>
        <v>0</v>
      </c>
      <c r="BR384" s="31" t="n">
        <f aca="false">O384+P384</f>
        <v>0</v>
      </c>
      <c r="BS384" s="31" t="n">
        <f aca="false">T384+U384+V384</f>
        <v>0</v>
      </c>
      <c r="BT384" s="31" t="n">
        <f aca="false">Q384</f>
        <v>0</v>
      </c>
      <c r="BU384" s="31" t="n">
        <f aca="false">W384</f>
        <v>0</v>
      </c>
      <c r="BV384" s="31" t="n">
        <f aca="false">R384</f>
        <v>0</v>
      </c>
      <c r="BW384" s="31" t="n">
        <f aca="false">X384</f>
        <v>0</v>
      </c>
      <c r="BX384" s="31" t="n">
        <f aca="false">S384</f>
        <v>0</v>
      </c>
      <c r="BY384" s="31" t="n">
        <f aca="false">Y384</f>
        <v>0</v>
      </c>
      <c r="BZ384" s="32" t="n">
        <f aca="false">IF(BJ384=0,IF(BR384=0,0,1),(BR384-BJ384)/BJ384)</f>
        <v>0</v>
      </c>
      <c r="CA384" s="32" t="n">
        <f aca="false">IF(BK384=0,IF(BS384=0,0,1),(BS384-BK384)/BK384)</f>
        <v>0</v>
      </c>
      <c r="CB384" s="32" t="n">
        <f aca="false">IF(BL384=0,IF(BT384=0,0,1),(BT384-BL384)/BL384)</f>
        <v>0</v>
      </c>
      <c r="CC384" s="32" t="n">
        <f aca="false">IF(BM384=0,IF(BU384=0,0,1),(BU384-BM384)/BM384)</f>
        <v>0</v>
      </c>
      <c r="CD384" s="32" t="n">
        <f aca="false">IF(BN384=0,IF(BV384=0,0,1),(BV384-BN384)/BN384)</f>
        <v>0</v>
      </c>
      <c r="CE384" s="32" t="n">
        <f aca="false">IF(BO384=0,IF(BW384=0,0,1),(BW384-BO384)/BO384)</f>
        <v>0</v>
      </c>
      <c r="CF384" s="32" t="n">
        <f aca="false">IF(BP384=0,IF(BX384=0,0,1),(BX384-BP384)/BP384)</f>
        <v>0</v>
      </c>
      <c r="CG384" s="32" t="n">
        <f aca="false">IF(BQ384=0,IF(BY384=0,0,1),(BY384-BQ384)/BQ384)</f>
        <v>0</v>
      </c>
      <c r="CH384" s="32" t="n">
        <f aca="false">MAX(MAX(BZ384:CG384),-MIN(BZ384:CG384))</f>
        <v>-0</v>
      </c>
      <c r="CI384" s="31" t="n">
        <f aca="false">IF(CO384="","",SUMIFS($CJ$7:$CJ$696,$A$7:$A$696,CO384,$B$7:$B$696,B384))</f>
        <v>90223887</v>
      </c>
      <c r="CJ384" s="31" t="n">
        <f aca="false">SUM(AY384:BI384)</f>
        <v>90146646</v>
      </c>
      <c r="CK384" s="31" t="str">
        <f aca="false">IFERROR(INDEX(設定!$F$61:$F$106,MATCH(B384,設定!$B$61:$B$106,0)),"Y")</f>
        <v>Y</v>
      </c>
      <c r="CL384" s="31" t="str">
        <f aca="false">IFERROR(INDEX(設定!$G$61:$G$106,MATCH(B384,設定!$B$61:$B$106,0)),"外郭型")</f>
        <v>市局型</v>
      </c>
      <c r="CM384" s="33" t="str">
        <f aca="false">A384&amp;"|"&amp;B384</f>
        <v>2026-11 月例|水道局</v>
      </c>
      <c r="CN384" s="34" t="str">
        <f aca="false">IFERROR(INDEX(設定!$D$61:$D$106,MATCH(B384,設定!$B$61:$B$106,0)),"Y")</f>
        <v>N</v>
      </c>
      <c r="CO384" s="34" t="str">
        <f aca="false">IFERROR(INDEX(設定!$D$20:$D$34,MATCH(A384,設定!$A$20:$A$34,0))&amp;"","")</f>
        <v>2026-10 月例</v>
      </c>
    </row>
    <row r="385" customFormat="false" ht="15" hidden="true" customHeight="false" outlineLevel="0" collapsed="false">
      <c r="A385" s="22" t="s">
        <v>224</v>
      </c>
      <c r="B385" s="23" t="s">
        <v>178</v>
      </c>
      <c r="C385" s="10" t="str">
        <f aca="false">IF(G385="","未受領",IF(G385="なし","報告なし",IF(AL385="○","起票済",IF(OR(AK385="○",F385="一致",F385="入金不要"),"入金確認済","受領済"))))</f>
        <v>未受領</v>
      </c>
      <c r="D385" s="10" t="str">
        <f aca="false">IF(OR(G385="",G385="なし"),"―",IF(CN385="N","対象外",IF(AND(I385="",J385="",K385=""),"標報未入力",IF(CH385&gt;=設定!$B$4,"要確認","問題なし"))))</f>
        <v>―</v>
      </c>
      <c r="E385" s="24" t="str">
        <f aca="false">IF(OR(G385="",G385="なし",CI385="",CJ385=0),"―",IF(CJ385=CI385,"前月同額",IF(CI385=0,"―",IF(ABS(CJ385/CI385-1)&gt;=設定!$B$5,"変動大 "&amp;TEXT(CJ385/CI385-1,"+0%;-0%"),"〇"))))</f>
        <v>―</v>
      </c>
      <c r="F385" s="10" t="str">
        <f aca="false">IF(OR(G385="",G385="なし"),"―",IF(CJ385=0,"入金不要",IF(COUNT(AD385,AF385,AH385,AJ385)=0,IF(AK385="○","手動確認","未入金"),IF(AND(N(AD385)=AC385,IF(AE385="",TRUE(),N(AF385)=AE385),IF(AG385="",TRUE(),N(AH385)=AG385),IF(AI385="",TRUE(),N(AJ385)=AI385)),"一致","不一致"))))</f>
        <v>―</v>
      </c>
      <c r="G385" s="25"/>
      <c r="H385" s="26"/>
      <c r="I385" s="27"/>
      <c r="J385" s="27"/>
      <c r="K385" s="27"/>
      <c r="L385" s="27"/>
      <c r="M385" s="27"/>
      <c r="N385" s="27"/>
      <c r="O385" s="27"/>
      <c r="P385" s="27"/>
      <c r="Q385" s="27"/>
      <c r="R385" s="27"/>
      <c r="S385" s="27"/>
      <c r="T385" s="27"/>
      <c r="U385" s="27"/>
      <c r="V385" s="27"/>
      <c r="W385" s="27"/>
      <c r="X385" s="27"/>
      <c r="Y385" s="27"/>
      <c r="Z385" s="27"/>
      <c r="AA385" s="10" t="str">
        <f aca="false">IFERROR(INDEX(設定!$E$61:$E$106,MATCH(B385,設定!$B$61:$B$106,0)),"合算")</f>
        <v>合算</v>
      </c>
      <c r="AB385" s="28"/>
      <c r="AC385" s="29" t="str">
        <f aca="false">IF(OR(G385="",G385="なし"),"",IF(AA385="合算",CJ385+N(Z385),IF(AA385="掛金・負担金別",(AY385+AZ385+BD385+BF385+BH385),SUM(AY385:BC385))))</f>
        <v/>
      </c>
      <c r="AD385" s="27"/>
      <c r="AE385" s="29" t="str">
        <f aca="false">IF(OR(G385="",G385="なし"),"",IF(AA385="掛金・負担金別",(BA385+BB385+BC385+BE385+BG385+BI385+N(Z385)),IF(AA385="経理区分別",BD385+BE385,"")))</f>
        <v/>
      </c>
      <c r="AF385" s="27"/>
      <c r="AG385" s="29" t="str">
        <f aca="false">IF(OR(G385="",G385="なし"),"",IF(AA385="経理区分別",BF385+BG385,""))</f>
        <v/>
      </c>
      <c r="AH385" s="27"/>
      <c r="AI385" s="29" t="str">
        <f aca="false">IF(OR(G385="",G385="なし"),"",IF(AA385="経理区分別",BH385+BI385+N(Z385),""))</f>
        <v/>
      </c>
      <c r="AJ385" s="27"/>
      <c r="AK385" s="26"/>
      <c r="AL385" s="26"/>
      <c r="AM385" s="30"/>
      <c r="AN385" s="31" t="n">
        <v>48495</v>
      </c>
      <c r="AO385" s="31" t="n">
        <v>3975</v>
      </c>
      <c r="AP385" s="31" t="n">
        <v>70490</v>
      </c>
      <c r="AQ385" s="31" t="n">
        <v>3975</v>
      </c>
      <c r="AR385" s="31" t="n">
        <v>49</v>
      </c>
      <c r="AS385" s="31" t="n">
        <v>29155</v>
      </c>
      <c r="AT385" s="31" t="n">
        <v>29669</v>
      </c>
      <c r="AU385" s="31" t="n">
        <v>4187</v>
      </c>
      <c r="AV385" s="31" t="n">
        <v>4187</v>
      </c>
      <c r="AW385" s="31" t="n">
        <v>1</v>
      </c>
      <c r="AX385" s="31" t="n">
        <v>1</v>
      </c>
      <c r="AY385" s="31" t="n">
        <f aca="false">IF($G385="",AN385,O385)</f>
        <v>48495</v>
      </c>
      <c r="AZ385" s="31" t="n">
        <f aca="false">IF($G385="",AO385,P385)</f>
        <v>3975</v>
      </c>
      <c r="BA385" s="31" t="n">
        <f aca="false">IF($G385="",AP385,T385)</f>
        <v>70490</v>
      </c>
      <c r="BB385" s="31" t="n">
        <f aca="false">IF($G385="",AQ385,U385)</f>
        <v>3975</v>
      </c>
      <c r="BC385" s="31" t="n">
        <f aca="false">IF($G385="",AR385,V385)</f>
        <v>49</v>
      </c>
      <c r="BD385" s="31" t="n">
        <f aca="false">IF($G385="",AS385,Q385)</f>
        <v>29155</v>
      </c>
      <c r="BE385" s="31" t="n">
        <f aca="false">IF($G385="",AT385,W385)</f>
        <v>29669</v>
      </c>
      <c r="BF385" s="31" t="n">
        <f aca="false">IF($G385="",AU385,R385)</f>
        <v>4187</v>
      </c>
      <c r="BG385" s="31" t="n">
        <f aca="false">IF($G385="",AV385,X385)</f>
        <v>4187</v>
      </c>
      <c r="BH385" s="31" t="n">
        <f aca="false">IF($G385="",AW385,S385)</f>
        <v>1</v>
      </c>
      <c r="BI385" s="31" t="n">
        <f aca="false">IF($G385="",AX385,Y385)</f>
        <v>1</v>
      </c>
      <c r="BJ385" s="31" t="n">
        <f aca="false">IF(CK385="N",BR385,ROUNDDOWN((I385-L385)*設定!$B$10/1000,0)+ROUNDDOWN((I385-L385)*設定!$B$11/1000,0))</f>
        <v>0</v>
      </c>
      <c r="BK385" s="31" t="n">
        <f aca="false">ROUNDDOWN((I385-L385)*設定!$C$10/1000,0)+ROUNDDOWN((I385-L385)*設定!$C$11/1000,0)+ROUNDDOWN(I385*設定!$C$12/1000,0)+IF(CL385="市局型",ROUNDDOWN(I385*設定!$C$16/1000,0),0)</f>
        <v>0</v>
      </c>
      <c r="BL385" s="31" t="n">
        <f aca="false">IF(CK385="N",BT385,ROUNDDOWN((J385-M385)*設定!$B$13/1000,0))</f>
        <v>0</v>
      </c>
      <c r="BM385" s="31" t="n">
        <f aca="false">ROUNDDOWN((J385-M385)*設定!$C$13/1000,0)+IF(CL385="市局型",ROUNDDOWN(J385*設定!$C$17/1000,0),0)</f>
        <v>0</v>
      </c>
      <c r="BN385" s="31" t="n">
        <f aca="false">IF(CK385="N",BV385,ROUNDDOWN((K385-N385)*設定!$B$14/1000,0))</f>
        <v>0</v>
      </c>
      <c r="BO385" s="31" t="n">
        <f aca="false">ROUNDDOWN((K385-N385)*設定!$C$14/1000,0)</f>
        <v>0</v>
      </c>
      <c r="BP385" s="31" t="n">
        <f aca="false">IF(CK385="N",BX385,ROUNDDOWN((J385-M385)*設定!$B$15/1000,0))</f>
        <v>0</v>
      </c>
      <c r="BQ385" s="31" t="n">
        <f aca="false">ROUNDDOWN((J385-M385)*設定!$C$15/1000,0)</f>
        <v>0</v>
      </c>
      <c r="BR385" s="31" t="n">
        <f aca="false">O385+P385</f>
        <v>0</v>
      </c>
      <c r="BS385" s="31" t="n">
        <f aca="false">T385+U385+V385</f>
        <v>0</v>
      </c>
      <c r="BT385" s="31" t="n">
        <f aca="false">Q385</f>
        <v>0</v>
      </c>
      <c r="BU385" s="31" t="n">
        <f aca="false">W385</f>
        <v>0</v>
      </c>
      <c r="BV385" s="31" t="n">
        <f aca="false">R385</f>
        <v>0</v>
      </c>
      <c r="BW385" s="31" t="n">
        <f aca="false">X385</f>
        <v>0</v>
      </c>
      <c r="BX385" s="31" t="n">
        <f aca="false">S385</f>
        <v>0</v>
      </c>
      <c r="BY385" s="31" t="n">
        <f aca="false">Y385</f>
        <v>0</v>
      </c>
      <c r="BZ385" s="32" t="n">
        <f aca="false">IF(BJ385=0,IF(BR385=0,0,1),(BR385-BJ385)/BJ385)</f>
        <v>0</v>
      </c>
      <c r="CA385" s="32" t="n">
        <f aca="false">IF(BK385=0,IF(BS385=0,0,1),(BS385-BK385)/BK385)</f>
        <v>0</v>
      </c>
      <c r="CB385" s="32" t="n">
        <f aca="false">IF(BL385=0,IF(BT385=0,0,1),(BT385-BL385)/BL385)</f>
        <v>0</v>
      </c>
      <c r="CC385" s="32" t="n">
        <f aca="false">IF(BM385=0,IF(BU385=0,0,1),(BU385-BM385)/BM385)</f>
        <v>0</v>
      </c>
      <c r="CD385" s="32" t="n">
        <f aca="false">IF(BN385=0,IF(BV385=0,0,1),(BV385-BN385)/BN385)</f>
        <v>0</v>
      </c>
      <c r="CE385" s="32" t="n">
        <f aca="false">IF(BO385=0,IF(BW385=0,0,1),(BW385-BO385)/BO385)</f>
        <v>0</v>
      </c>
      <c r="CF385" s="32" t="n">
        <f aca="false">IF(BP385=0,IF(BX385=0,0,1),(BX385-BP385)/BP385)</f>
        <v>0</v>
      </c>
      <c r="CG385" s="32" t="n">
        <f aca="false">IF(BQ385=0,IF(BY385=0,0,1),(BY385-BQ385)/BQ385)</f>
        <v>0</v>
      </c>
      <c r="CH385" s="32" t="n">
        <f aca="false">MAX(MAX(BZ385:CG385),-MIN(BZ385:CG385))</f>
        <v>-0</v>
      </c>
      <c r="CI385" s="31" t="n">
        <f aca="false">IF(CO385="","",SUMIFS($CJ$7:$CJ$696,$A$7:$A$696,CO385,$B$7:$B$696,B385))</f>
        <v>194184</v>
      </c>
      <c r="CJ385" s="31" t="n">
        <f aca="false">SUM(AY385:BI385)</f>
        <v>194184</v>
      </c>
      <c r="CK385" s="31" t="str">
        <f aca="false">IFERROR(INDEX(設定!$F$61:$F$106,MATCH(B385,設定!$B$61:$B$106,0)),"Y")</f>
        <v>Y</v>
      </c>
      <c r="CL385" s="31" t="str">
        <f aca="false">IFERROR(INDEX(設定!$G$61:$G$106,MATCH(B385,設定!$B$61:$B$106,0)),"外郭型")</f>
        <v>市局型</v>
      </c>
      <c r="CM385" s="33" t="str">
        <f aca="false">A385&amp;"|"&amp;B385</f>
        <v>2026-11 月例|医療政策課(安芸市民)</v>
      </c>
      <c r="CN385" s="34" t="str">
        <f aca="false">IFERROR(INDEX(設定!$D$61:$D$106,MATCH(B385,設定!$B$61:$B$106,0)),"Y")</f>
        <v>Y</v>
      </c>
      <c r="CO385" s="34" t="str">
        <f aca="false">IFERROR(INDEX(設定!$D$20:$D$34,MATCH(A385,設定!$A$20:$A$34,0))&amp;"","")</f>
        <v>2026-10 月例</v>
      </c>
    </row>
    <row r="386" customFormat="false" ht="15" hidden="true" customHeight="false" outlineLevel="0" collapsed="false">
      <c r="A386" s="22" t="s">
        <v>224</v>
      </c>
      <c r="B386" s="23" t="s">
        <v>179</v>
      </c>
      <c r="C386" s="10" t="str">
        <f aca="false">IF(G386="","未受領",IF(G386="なし","報告なし",IF(AL386="○","起票済",IF(OR(AK386="○",F386="一致",F386="入金不要"),"入金確認済","受領済"))))</f>
        <v>未受領</v>
      </c>
      <c r="D386" s="10" t="str">
        <f aca="false">IF(OR(G386="",G386="なし"),"―",IF(CN386="N","対象外",IF(AND(I386="",J386="",K386=""),"標報未入力",IF(CH386&gt;=設定!$B$4,"要確認","問題なし"))))</f>
        <v>―</v>
      </c>
      <c r="E386" s="24" t="str">
        <f aca="false">IF(OR(G386="",G386="なし",CI386="",CJ386=0),"―",IF(CJ386=CI386,"前月同額",IF(CI386=0,"―",IF(ABS(CJ386/CI386-1)&gt;=設定!$B$5,"変動大 "&amp;TEXT(CJ386/CI386-1,"+0%;-0%"),"〇"))))</f>
        <v>―</v>
      </c>
      <c r="F386" s="10" t="str">
        <f aca="false">IF(OR(G386="",G386="なし"),"―",IF(CJ386=0,"入金不要",IF(COUNT(AD386,AF386,AH386,AJ386)=0,IF(AK386="○","手動確認","未入金"),IF(AND(N(AD386)=AC386,IF(AE386="",TRUE(),N(AF386)=AE386),IF(AG386="",TRUE(),N(AH386)=AG386),IF(AI386="",TRUE(),N(AJ386)=AI386)),"一致","不一致"))))</f>
        <v>―</v>
      </c>
      <c r="G386" s="25"/>
      <c r="H386" s="26"/>
      <c r="I386" s="27"/>
      <c r="J386" s="27"/>
      <c r="K386" s="27"/>
      <c r="L386" s="27"/>
      <c r="M386" s="27"/>
      <c r="N386" s="27"/>
      <c r="O386" s="27"/>
      <c r="P386" s="27"/>
      <c r="Q386" s="27"/>
      <c r="R386" s="27"/>
      <c r="S386" s="27"/>
      <c r="T386" s="27"/>
      <c r="U386" s="27"/>
      <c r="V386" s="27"/>
      <c r="W386" s="27"/>
      <c r="X386" s="27"/>
      <c r="Y386" s="27"/>
      <c r="Z386" s="27"/>
      <c r="AA386" s="10" t="str">
        <f aca="false">IFERROR(INDEX(設定!$E$61:$E$106,MATCH(B386,設定!$B$61:$B$106,0)),"合算")</f>
        <v>合算</v>
      </c>
      <c r="AB386" s="28"/>
      <c r="AC386" s="29" t="str">
        <f aca="false">IF(OR(G386="",G386="なし"),"",IF(AA386="合算",CJ386+N(Z386),IF(AA386="掛金・負担金別",(AY386+AZ386+BD386+BF386+BH386),SUM(AY386:BC386))))</f>
        <v/>
      </c>
      <c r="AD386" s="27"/>
      <c r="AE386" s="29" t="str">
        <f aca="false">IF(OR(G386="",G386="なし"),"",IF(AA386="掛金・負担金別",(BA386+BB386+BC386+BE386+BG386+BI386+N(Z386)),IF(AA386="経理区分別",BD386+BE386,"")))</f>
        <v/>
      </c>
      <c r="AF386" s="27"/>
      <c r="AG386" s="29" t="str">
        <f aca="false">IF(OR(G386="",G386="なし"),"",IF(AA386="経理区分別",BF386+BG386,""))</f>
        <v/>
      </c>
      <c r="AH386" s="27"/>
      <c r="AI386" s="29" t="str">
        <f aca="false">IF(OR(G386="",G386="なし"),"",IF(AA386="経理区分別",BH386+BI386+N(Z386),""))</f>
        <v/>
      </c>
      <c r="AJ386" s="27"/>
      <c r="AK386" s="26"/>
      <c r="AL386" s="26"/>
      <c r="AM386" s="30"/>
      <c r="AN386" s="31" t="n">
        <v>0</v>
      </c>
      <c r="AO386" s="31" t="n">
        <v>0</v>
      </c>
      <c r="AP386" s="31"/>
      <c r="AQ386" s="31"/>
      <c r="AR386" s="31" t="n">
        <v>0</v>
      </c>
      <c r="AS386" s="31" t="n">
        <v>303418</v>
      </c>
      <c r="AT386" s="31" t="n">
        <v>308994</v>
      </c>
      <c r="AU386" s="31" t="n">
        <v>6098</v>
      </c>
      <c r="AV386" s="31" t="n">
        <v>6098</v>
      </c>
      <c r="AW386" s="31" t="n">
        <v>1</v>
      </c>
      <c r="AX386" s="31" t="n">
        <v>1</v>
      </c>
      <c r="AY386" s="31" t="n">
        <f aca="false">IF($G386="",AN386,O386)</f>
        <v>0</v>
      </c>
      <c r="AZ386" s="31" t="n">
        <f aca="false">IF($G386="",AO386,P386)</f>
        <v>0</v>
      </c>
      <c r="BA386" s="31" t="n">
        <f aca="false">IF($G386="",AP386,T386)</f>
        <v>0</v>
      </c>
      <c r="BB386" s="31" t="n">
        <f aca="false">IF($G386="",AQ386,U386)</f>
        <v>0</v>
      </c>
      <c r="BC386" s="31" t="n">
        <f aca="false">IF($G386="",AR386,V386)</f>
        <v>0</v>
      </c>
      <c r="BD386" s="31" t="n">
        <f aca="false">IF($G386="",AS386,Q386)</f>
        <v>303418</v>
      </c>
      <c r="BE386" s="31" t="n">
        <f aca="false">IF($G386="",AT386,W386)</f>
        <v>308994</v>
      </c>
      <c r="BF386" s="31" t="n">
        <f aca="false">IF($G386="",AU386,R386)</f>
        <v>6098</v>
      </c>
      <c r="BG386" s="31" t="n">
        <f aca="false">IF($G386="",AV386,X386)</f>
        <v>6098</v>
      </c>
      <c r="BH386" s="31" t="n">
        <f aca="false">IF($G386="",AW386,S386)</f>
        <v>1</v>
      </c>
      <c r="BI386" s="31" t="n">
        <f aca="false">IF($G386="",AX386,Y386)</f>
        <v>1</v>
      </c>
      <c r="BJ386" s="31" t="n">
        <f aca="false">IF(CK386="N",BR386,ROUNDDOWN((I386-L386)*設定!$B$10/1000,0)+ROUNDDOWN((I386-L386)*設定!$B$11/1000,0))</f>
        <v>0</v>
      </c>
      <c r="BK386" s="31" t="n">
        <f aca="false">ROUNDDOWN((I386-L386)*設定!$C$10/1000,0)+ROUNDDOWN((I386-L386)*設定!$C$11/1000,0)+ROUNDDOWN(I386*設定!$C$12/1000,0)+IF(CL386="市局型",ROUNDDOWN(I386*設定!$C$16/1000,0),0)</f>
        <v>0</v>
      </c>
      <c r="BL386" s="31" t="n">
        <f aca="false">IF(CK386="N",BT386,ROUNDDOWN((J386-M386)*設定!$B$13/1000,0))</f>
        <v>0</v>
      </c>
      <c r="BM386" s="31" t="n">
        <f aca="false">ROUNDDOWN((J386-M386)*設定!$C$13/1000,0)+IF(CL386="市局型",ROUNDDOWN(J386*設定!$C$17/1000,0),0)</f>
        <v>0</v>
      </c>
      <c r="BN386" s="31" t="n">
        <f aca="false">IF(CK386="N",BV386,ROUNDDOWN((K386-N386)*設定!$B$14/1000,0))</f>
        <v>0</v>
      </c>
      <c r="BO386" s="31" t="n">
        <f aca="false">ROUNDDOWN((K386-N386)*設定!$C$14/1000,0)</f>
        <v>0</v>
      </c>
      <c r="BP386" s="31" t="n">
        <f aca="false">IF(CK386="N",BX386,ROUNDDOWN((J386-M386)*設定!$B$15/1000,0))</f>
        <v>0</v>
      </c>
      <c r="BQ386" s="31" t="n">
        <f aca="false">ROUNDDOWN((J386-M386)*設定!$C$15/1000,0)</f>
        <v>0</v>
      </c>
      <c r="BR386" s="31" t="n">
        <f aca="false">O386+P386</f>
        <v>0</v>
      </c>
      <c r="BS386" s="31" t="n">
        <f aca="false">T386+U386+V386</f>
        <v>0</v>
      </c>
      <c r="BT386" s="31" t="n">
        <f aca="false">Q386</f>
        <v>0</v>
      </c>
      <c r="BU386" s="31" t="n">
        <f aca="false">W386</f>
        <v>0</v>
      </c>
      <c r="BV386" s="31" t="n">
        <f aca="false">R386</f>
        <v>0</v>
      </c>
      <c r="BW386" s="31" t="n">
        <f aca="false">X386</f>
        <v>0</v>
      </c>
      <c r="BX386" s="31" t="n">
        <f aca="false">S386</f>
        <v>0</v>
      </c>
      <c r="BY386" s="31" t="n">
        <f aca="false">Y386</f>
        <v>0</v>
      </c>
      <c r="BZ386" s="32" t="n">
        <f aca="false">IF(BJ386=0,IF(BR386=0,0,1),(BR386-BJ386)/BJ386)</f>
        <v>0</v>
      </c>
      <c r="CA386" s="32" t="n">
        <f aca="false">IF(BK386=0,IF(BS386=0,0,1),(BS386-BK386)/BK386)</f>
        <v>0</v>
      </c>
      <c r="CB386" s="32" t="n">
        <f aca="false">IF(BL386=0,IF(BT386=0,0,1),(BT386-BL386)/BL386)</f>
        <v>0</v>
      </c>
      <c r="CC386" s="32" t="n">
        <f aca="false">IF(BM386=0,IF(BU386=0,0,1),(BU386-BM386)/BM386)</f>
        <v>0</v>
      </c>
      <c r="CD386" s="32" t="n">
        <f aca="false">IF(BN386=0,IF(BV386=0,0,1),(BV386-BN386)/BN386)</f>
        <v>0</v>
      </c>
      <c r="CE386" s="32" t="n">
        <f aca="false">IF(BO386=0,IF(BW386=0,0,1),(BW386-BO386)/BO386)</f>
        <v>0</v>
      </c>
      <c r="CF386" s="32" t="n">
        <f aca="false">IF(BP386=0,IF(BX386=0,0,1),(BX386-BP386)/BP386)</f>
        <v>0</v>
      </c>
      <c r="CG386" s="32" t="n">
        <f aca="false">IF(BQ386=0,IF(BY386=0,0,1),(BY386-BQ386)/BQ386)</f>
        <v>0</v>
      </c>
      <c r="CH386" s="32" t="n">
        <f aca="false">MAX(MAX(BZ386:CG386),-MIN(BZ386:CG386))</f>
        <v>-0</v>
      </c>
      <c r="CI386" s="31" t="n">
        <f aca="false">IF(CO386="","",SUMIFS($CJ$7:$CJ$696,$A$7:$A$696,CO386,$B$7:$B$696,B386))</f>
        <v>538471</v>
      </c>
      <c r="CJ386" s="31" t="n">
        <f aca="false">SUM(AY386:BI386)</f>
        <v>624610</v>
      </c>
      <c r="CK386" s="31" t="str">
        <f aca="false">IFERROR(INDEX(設定!$F$61:$F$106,MATCH(B386,設定!$B$61:$B$106,0)),"Y")</f>
        <v>Y</v>
      </c>
      <c r="CL386" s="31" t="str">
        <f aca="false">IFERROR(INDEX(設定!$G$61:$G$106,MATCH(B386,設定!$B$61:$B$106,0)),"外郭型")</f>
        <v>市局型</v>
      </c>
      <c r="CM386" s="33" t="str">
        <f aca="false">A386&amp;"|"&amp;B386</f>
        <v>2026-11 月例|教育委員会（教育給与課）</v>
      </c>
      <c r="CN386" s="34" t="str">
        <f aca="false">IFERROR(INDEX(設定!$D$61:$D$106,MATCH(B386,設定!$B$61:$B$106,0)),"Y")</f>
        <v>Y</v>
      </c>
      <c r="CO386" s="34" t="str">
        <f aca="false">IFERROR(INDEX(設定!$D$20:$D$34,MATCH(A386,設定!$A$20:$A$34,0))&amp;"","")</f>
        <v>2026-10 月例</v>
      </c>
    </row>
    <row r="387" customFormat="false" ht="15" hidden="true" customHeight="false" outlineLevel="0" collapsed="false">
      <c r="A387" s="22" t="s">
        <v>224</v>
      </c>
      <c r="B387" s="23" t="s">
        <v>180</v>
      </c>
      <c r="C387" s="10" t="str">
        <f aca="false">IF(G387="","未受領",IF(G387="なし","報告なし",IF(AL387="○","起票済",IF(OR(AK387="○",F387="一致",F387="入金不要"),"入金確認済","受領済"))))</f>
        <v>報告なし</v>
      </c>
      <c r="D387" s="10" t="str">
        <f aca="false">IF(OR(G387="",G387="なし"),"―",IF(CN387="N","対象外",IF(AND(I387="",J387="",K387=""),"標報未入力",IF(CH387&gt;=設定!$B$4,"要確認","問題なし"))))</f>
        <v>―</v>
      </c>
      <c r="E387" s="24" t="str">
        <f aca="false">IF(OR(G387="",G387="なし",CI387="",CJ387=0),"―",IF(CJ387=CI387,"前月同額",IF(CI387=0,"―",IF(ABS(CJ387/CI387-1)&gt;=設定!$B$5,"変動大 "&amp;TEXT(CJ387/CI387-1,"+0%;-0%"),"〇"))))</f>
        <v>―</v>
      </c>
      <c r="F387" s="10" t="str">
        <f aca="false">IF(OR(G387="",G387="なし"),"―",IF(CJ387=0,"入金不要",IF(COUNT(AD387,AF387,AH387,AJ387)=0,IF(AK387="○","手動確認","未入金"),IF(AND(N(AD387)=AC387,IF(AE387="",TRUE(),N(AF387)=AE387),IF(AG387="",TRUE(),N(AH387)=AG387),IF(AI387="",TRUE(),N(AJ387)=AI387)),"一致","不一致"))))</f>
        <v>―</v>
      </c>
      <c r="G387" s="25" t="s">
        <v>181</v>
      </c>
      <c r="H387" s="26"/>
      <c r="I387" s="27"/>
      <c r="J387" s="27"/>
      <c r="K387" s="27"/>
      <c r="L387" s="27"/>
      <c r="M387" s="27"/>
      <c r="N387" s="27"/>
      <c r="O387" s="27"/>
      <c r="P387" s="27"/>
      <c r="Q387" s="27"/>
      <c r="R387" s="27"/>
      <c r="S387" s="27"/>
      <c r="T387" s="27"/>
      <c r="U387" s="27"/>
      <c r="V387" s="27"/>
      <c r="W387" s="27"/>
      <c r="X387" s="27"/>
      <c r="Y387" s="27"/>
      <c r="Z387" s="27"/>
      <c r="AA387" s="10" t="str">
        <f aca="false">IFERROR(INDEX(設定!$E$61:$E$106,MATCH(B387,設定!$B$61:$B$106,0)),"合算")</f>
        <v>合算</v>
      </c>
      <c r="AB387" s="28"/>
      <c r="AC387" s="29" t="str">
        <f aca="false">IF(OR(G387="",G387="なし"),"",IF(AA387="合算",CJ387+N(Z387),IF(AA387="掛金・負担金別",(AY387+AZ387+BD387+BF387+BH387),SUM(AY387:BC387))))</f>
        <v/>
      </c>
      <c r="AD387" s="27"/>
      <c r="AE387" s="29" t="str">
        <f aca="false">IF(OR(G387="",G387="なし"),"",IF(AA387="掛金・負担金別",(BA387+BB387+BC387+BE387+BG387+BI387+N(Z387)),IF(AA387="経理区分別",BD387+BE387,"")))</f>
        <v/>
      </c>
      <c r="AF387" s="27"/>
      <c r="AG387" s="29" t="str">
        <f aca="false">IF(OR(G387="",G387="なし"),"",IF(AA387="経理区分別",BF387+BG387,""))</f>
        <v/>
      </c>
      <c r="AH387" s="27"/>
      <c r="AI387" s="29" t="str">
        <f aca="false">IF(OR(G387="",G387="なし"),"",IF(AA387="経理区分別",BH387+BI387+N(Z387),""))</f>
        <v/>
      </c>
      <c r="AJ387" s="27"/>
      <c r="AK387" s="26"/>
      <c r="AL387" s="26"/>
      <c r="AM387" s="30"/>
      <c r="AN387" s="31"/>
      <c r="AO387" s="31"/>
      <c r="AP387" s="31"/>
      <c r="AQ387" s="31"/>
      <c r="AR387" s="31"/>
      <c r="AS387" s="31"/>
      <c r="AT387" s="31"/>
      <c r="AU387" s="31"/>
      <c r="AV387" s="31"/>
      <c r="AW387" s="31"/>
      <c r="AX387" s="31"/>
      <c r="AY387" s="31" t="n">
        <f aca="false">IF($G387="",AN387,O387)</f>
        <v>0</v>
      </c>
      <c r="AZ387" s="31" t="n">
        <f aca="false">IF($G387="",AO387,P387)</f>
        <v>0</v>
      </c>
      <c r="BA387" s="31" t="n">
        <f aca="false">IF($G387="",AP387,T387)</f>
        <v>0</v>
      </c>
      <c r="BB387" s="31" t="n">
        <f aca="false">IF($G387="",AQ387,U387)</f>
        <v>0</v>
      </c>
      <c r="BC387" s="31" t="n">
        <f aca="false">IF($G387="",AR387,V387)</f>
        <v>0</v>
      </c>
      <c r="BD387" s="31" t="n">
        <f aca="false">IF($G387="",AS387,Q387)</f>
        <v>0</v>
      </c>
      <c r="BE387" s="31" t="n">
        <f aca="false">IF($G387="",AT387,W387)</f>
        <v>0</v>
      </c>
      <c r="BF387" s="31" t="n">
        <f aca="false">IF($G387="",AU387,R387)</f>
        <v>0</v>
      </c>
      <c r="BG387" s="31" t="n">
        <f aca="false">IF($G387="",AV387,X387)</f>
        <v>0</v>
      </c>
      <c r="BH387" s="31" t="n">
        <f aca="false">IF($G387="",AW387,S387)</f>
        <v>0</v>
      </c>
      <c r="BI387" s="31" t="n">
        <f aca="false">IF($G387="",AX387,Y387)</f>
        <v>0</v>
      </c>
      <c r="BJ387" s="31" t="n">
        <f aca="false">IF(CK387="N",BR387,ROUNDDOWN((I387-L387)*設定!$B$10/1000,0)+ROUNDDOWN((I387-L387)*設定!$B$11/1000,0))</f>
        <v>0</v>
      </c>
      <c r="BK387" s="31" t="n">
        <f aca="false">ROUNDDOWN((I387-L387)*設定!$C$10/1000,0)+ROUNDDOWN((I387-L387)*設定!$C$11/1000,0)+ROUNDDOWN(I387*設定!$C$12/1000,0)+IF(CL387="市局型",ROUNDDOWN(I387*設定!$C$16/1000,0),0)</f>
        <v>0</v>
      </c>
      <c r="BL387" s="31" t="n">
        <f aca="false">IF(CK387="N",BT387,ROUNDDOWN((J387-M387)*設定!$B$13/1000,0))</f>
        <v>0</v>
      </c>
      <c r="BM387" s="31" t="n">
        <f aca="false">ROUNDDOWN((J387-M387)*設定!$C$13/1000,0)+IF(CL387="市局型",ROUNDDOWN(J387*設定!$C$17/1000,0),0)</f>
        <v>0</v>
      </c>
      <c r="BN387" s="31" t="n">
        <f aca="false">IF(CK387="N",BV387,ROUNDDOWN((K387-N387)*設定!$B$14/1000,0))</f>
        <v>0</v>
      </c>
      <c r="BO387" s="31" t="n">
        <f aca="false">ROUNDDOWN((K387-N387)*設定!$C$14/1000,0)</f>
        <v>0</v>
      </c>
      <c r="BP387" s="31" t="n">
        <f aca="false">IF(CK387="N",BX387,ROUNDDOWN((J387-M387)*設定!$B$15/1000,0))</f>
        <v>0</v>
      </c>
      <c r="BQ387" s="31" t="n">
        <f aca="false">ROUNDDOWN((J387-M387)*設定!$C$15/1000,0)</f>
        <v>0</v>
      </c>
      <c r="BR387" s="31" t="n">
        <f aca="false">O387+P387</f>
        <v>0</v>
      </c>
      <c r="BS387" s="31" t="n">
        <f aca="false">T387+U387+V387</f>
        <v>0</v>
      </c>
      <c r="BT387" s="31" t="n">
        <f aca="false">Q387</f>
        <v>0</v>
      </c>
      <c r="BU387" s="31" t="n">
        <f aca="false">W387</f>
        <v>0</v>
      </c>
      <c r="BV387" s="31" t="n">
        <f aca="false">R387</f>
        <v>0</v>
      </c>
      <c r="BW387" s="31" t="n">
        <f aca="false">X387</f>
        <v>0</v>
      </c>
      <c r="BX387" s="31" t="n">
        <f aca="false">S387</f>
        <v>0</v>
      </c>
      <c r="BY387" s="31" t="n">
        <f aca="false">Y387</f>
        <v>0</v>
      </c>
      <c r="BZ387" s="32" t="n">
        <f aca="false">IF(BJ387=0,IF(BR387=0,0,1),(BR387-BJ387)/BJ387)</f>
        <v>0</v>
      </c>
      <c r="CA387" s="32" t="n">
        <f aca="false">IF(BK387=0,IF(BS387=0,0,1),(BS387-BK387)/BK387)</f>
        <v>0</v>
      </c>
      <c r="CB387" s="32" t="n">
        <f aca="false">IF(BL387=0,IF(BT387=0,0,1),(BT387-BL387)/BL387)</f>
        <v>0</v>
      </c>
      <c r="CC387" s="32" t="n">
        <f aca="false">IF(BM387=0,IF(BU387=0,0,1),(BU387-BM387)/BM387)</f>
        <v>0</v>
      </c>
      <c r="CD387" s="32" t="n">
        <f aca="false">IF(BN387=0,IF(BV387=0,0,1),(BV387-BN387)/BN387)</f>
        <v>0</v>
      </c>
      <c r="CE387" s="32" t="n">
        <f aca="false">IF(BO387=0,IF(BW387=0,0,1),(BW387-BO387)/BO387)</f>
        <v>0</v>
      </c>
      <c r="CF387" s="32" t="n">
        <f aca="false">IF(BP387=0,IF(BX387=0,0,1),(BX387-BP387)/BP387)</f>
        <v>0</v>
      </c>
      <c r="CG387" s="32" t="n">
        <f aca="false">IF(BQ387=0,IF(BY387=0,0,1),(BY387-BQ387)/BQ387)</f>
        <v>0</v>
      </c>
      <c r="CH387" s="32" t="n">
        <f aca="false">MAX(MAX(BZ387:CG387),-MIN(BZ387:CG387))</f>
        <v>-0</v>
      </c>
      <c r="CI387" s="31" t="n">
        <f aca="false">IF(CO387="","",SUMIFS($CJ$7:$CJ$696,$A$7:$A$696,CO387,$B$7:$B$696,B387))</f>
        <v>0</v>
      </c>
      <c r="CJ387" s="31" t="n">
        <f aca="false">SUM(AY387:BI387)</f>
        <v>0</v>
      </c>
      <c r="CK387" s="31" t="str">
        <f aca="false">IFERROR(INDEX(設定!$F$61:$F$106,MATCH(B387,設定!$B$61:$B$106,0)),"Y")</f>
        <v>N</v>
      </c>
      <c r="CL387" s="31" t="str">
        <f aca="false">IFERROR(INDEX(設定!$G$61:$G$106,MATCH(B387,設定!$B$61:$B$106,0)),"外郭型")</f>
        <v>外郭型</v>
      </c>
      <c r="CM387" s="33" t="str">
        <f aca="false">A387&amp;"|"&amp;B387</f>
        <v>2026-11 月例|地方税共同機構</v>
      </c>
      <c r="CN387" s="34" t="str">
        <f aca="false">IFERROR(INDEX(設定!$D$61:$D$106,MATCH(B387,設定!$B$61:$B$106,0)),"Y")</f>
        <v>Y</v>
      </c>
      <c r="CO387" s="34" t="str">
        <f aca="false">IFERROR(INDEX(設定!$D$20:$D$34,MATCH(A387,設定!$A$20:$A$34,0))&amp;"","")</f>
        <v>2026-10 月例</v>
      </c>
    </row>
    <row r="388" customFormat="false" ht="15" hidden="true" customHeight="false" outlineLevel="0" collapsed="false">
      <c r="A388" s="22" t="s">
        <v>224</v>
      </c>
      <c r="B388" s="23" t="s">
        <v>182</v>
      </c>
      <c r="C388" s="10" t="str">
        <f aca="false">IF(G388="","未受領",IF(G388="なし","報告なし",IF(AL388="○","起票済",IF(OR(AK388="○",F388="一致",F388="入金不要"),"入金確認済","受領済"))))</f>
        <v>未受領</v>
      </c>
      <c r="D388" s="10" t="str">
        <f aca="false">IF(OR(G388="",G388="なし"),"―",IF(CN388="N","対象外",IF(AND(I388="",J388="",K388=""),"標報未入力",IF(CH388&gt;=設定!$B$4,"要確認","問題なし"))))</f>
        <v>―</v>
      </c>
      <c r="E388" s="24" t="str">
        <f aca="false">IF(OR(G388="",G388="なし",CI388="",CJ388=0),"―",IF(CJ388=CI388,"前月同額",IF(CI388=0,"―",IF(ABS(CJ388/CI388-1)&gt;=設定!$B$5,"変動大 "&amp;TEXT(CJ388/CI388-1,"+0%;-0%"),"〇"))))</f>
        <v>―</v>
      </c>
      <c r="F388" s="10" t="str">
        <f aca="false">IF(OR(G388="",G388="なし"),"―",IF(CJ388=0,"入金不要",IF(COUNT(AD388,AF388,AH388,AJ388)=0,IF(AK388="○","手動確認","未入金"),IF(AND(N(AD388)=AC388,IF(AE388="",TRUE(),N(AF388)=AE388),IF(AG388="",TRUE(),N(AH388)=AG388),IF(AI388="",TRUE(),N(AJ388)=AI388)),"一致","不一致"))))</f>
        <v>―</v>
      </c>
      <c r="G388" s="25"/>
      <c r="H388" s="26"/>
      <c r="I388" s="27"/>
      <c r="J388" s="27"/>
      <c r="K388" s="27"/>
      <c r="L388" s="27"/>
      <c r="M388" s="27"/>
      <c r="N388" s="27"/>
      <c r="O388" s="27"/>
      <c r="P388" s="27"/>
      <c r="Q388" s="27"/>
      <c r="R388" s="27"/>
      <c r="S388" s="27"/>
      <c r="T388" s="27"/>
      <c r="U388" s="27"/>
      <c r="V388" s="27"/>
      <c r="W388" s="27"/>
      <c r="X388" s="27"/>
      <c r="Y388" s="27"/>
      <c r="Z388" s="27"/>
      <c r="AA388" s="10" t="str">
        <f aca="false">IFERROR(INDEX(設定!$E$61:$E$106,MATCH(B388,設定!$B$61:$B$106,0)),"合算")</f>
        <v>合算</v>
      </c>
      <c r="AB388" s="28"/>
      <c r="AC388" s="29" t="str">
        <f aca="false">IF(OR(G388="",G388="なし"),"",IF(AA388="合算",CJ388+N(Z388),IF(AA388="掛金・負担金別",(AY388+AZ388+BD388+BF388+BH388),SUM(AY388:BC388))))</f>
        <v/>
      </c>
      <c r="AD388" s="27"/>
      <c r="AE388" s="29" t="str">
        <f aca="false">IF(OR(G388="",G388="なし"),"",IF(AA388="掛金・負担金別",(BA388+BB388+BC388+BE388+BG388+BI388+N(Z388)),IF(AA388="経理区分別",BD388+BE388,"")))</f>
        <v/>
      </c>
      <c r="AF388" s="27"/>
      <c r="AG388" s="29" t="str">
        <f aca="false">IF(OR(G388="",G388="なし"),"",IF(AA388="経理区分別",BF388+BG388,""))</f>
        <v/>
      </c>
      <c r="AH388" s="27"/>
      <c r="AI388" s="29" t="str">
        <f aca="false">IF(OR(G388="",G388="なし"),"",IF(AA388="経理区分別",BH388+BI388+N(Z388),""))</f>
        <v/>
      </c>
      <c r="AJ388" s="27"/>
      <c r="AK388" s="26"/>
      <c r="AL388" s="26"/>
      <c r="AM388" s="30"/>
      <c r="AN388" s="31" t="n">
        <v>0</v>
      </c>
      <c r="AO388" s="31" t="n">
        <v>0</v>
      </c>
      <c r="AP388" s="31" t="n">
        <v>563640</v>
      </c>
      <c r="AQ388" s="31" t="n">
        <v>46200</v>
      </c>
      <c r="AR388" s="31" t="n">
        <v>713</v>
      </c>
      <c r="AS388" s="31" t="n">
        <v>0</v>
      </c>
      <c r="AT388" s="31" t="n">
        <v>341129</v>
      </c>
      <c r="AU388" s="31" t="n">
        <v>0</v>
      </c>
      <c r="AV388" s="31" t="n">
        <v>51903</v>
      </c>
      <c r="AW388" s="31" t="n">
        <v>0</v>
      </c>
      <c r="AX388" s="31" t="n">
        <v>1</v>
      </c>
      <c r="AY388" s="31" t="n">
        <f aca="false">IF($G388="",AN388,O388)</f>
        <v>0</v>
      </c>
      <c r="AZ388" s="31" t="n">
        <f aca="false">IF($G388="",AO388,P388)</f>
        <v>0</v>
      </c>
      <c r="BA388" s="31" t="n">
        <f aca="false">IF($G388="",AP388,T388)</f>
        <v>563640</v>
      </c>
      <c r="BB388" s="31" t="n">
        <f aca="false">IF($G388="",AQ388,U388)</f>
        <v>46200</v>
      </c>
      <c r="BC388" s="31" t="n">
        <f aca="false">IF($G388="",AR388,V388)</f>
        <v>713</v>
      </c>
      <c r="BD388" s="31" t="n">
        <f aca="false">IF($G388="",AS388,Q388)</f>
        <v>0</v>
      </c>
      <c r="BE388" s="31" t="n">
        <f aca="false">IF($G388="",AT388,W388)</f>
        <v>341129</v>
      </c>
      <c r="BF388" s="31" t="n">
        <f aca="false">IF($G388="",AU388,R388)</f>
        <v>0</v>
      </c>
      <c r="BG388" s="31" t="n">
        <f aca="false">IF($G388="",AV388,X388)</f>
        <v>51903</v>
      </c>
      <c r="BH388" s="31" t="n">
        <f aca="false">IF($G388="",AW388,S388)</f>
        <v>0</v>
      </c>
      <c r="BI388" s="31" t="n">
        <f aca="false">IF($G388="",AX388,Y388)</f>
        <v>1</v>
      </c>
      <c r="BJ388" s="31" t="n">
        <f aca="false">IF(CK388="N",BR388,ROUNDDOWN((I388-L388)*設定!$B$10/1000,0)+ROUNDDOWN((I388-L388)*設定!$B$11/1000,0))</f>
        <v>0</v>
      </c>
      <c r="BK388" s="31" t="n">
        <f aca="false">ROUNDDOWN((I388-L388)*設定!$C$10/1000,0)+ROUNDDOWN((I388-L388)*設定!$C$11/1000,0)+ROUNDDOWN(I388*設定!$C$12/1000,0)+IF(CL388="市局型",ROUNDDOWN(I388*設定!$C$16/1000,0),0)</f>
        <v>0</v>
      </c>
      <c r="BL388" s="31" t="n">
        <f aca="false">IF(CK388="N",BT388,ROUNDDOWN((J388-M388)*設定!$B$13/1000,0))</f>
        <v>0</v>
      </c>
      <c r="BM388" s="31" t="n">
        <f aca="false">ROUNDDOWN((J388-M388)*設定!$C$13/1000,0)+IF(CL388="市局型",ROUNDDOWN(J388*設定!$C$17/1000,0),0)</f>
        <v>0</v>
      </c>
      <c r="BN388" s="31" t="n">
        <f aca="false">IF(CK388="N",BV388,ROUNDDOWN((K388-N388)*設定!$B$14/1000,0))</f>
        <v>0</v>
      </c>
      <c r="BO388" s="31" t="n">
        <f aca="false">ROUNDDOWN((K388-N388)*設定!$C$14/1000,0)</f>
        <v>0</v>
      </c>
      <c r="BP388" s="31" t="n">
        <f aca="false">IF(CK388="N",BX388,ROUNDDOWN((J388-M388)*設定!$B$15/1000,0))</f>
        <v>0</v>
      </c>
      <c r="BQ388" s="31" t="n">
        <f aca="false">ROUNDDOWN((J388-M388)*設定!$C$15/1000,0)</f>
        <v>0</v>
      </c>
      <c r="BR388" s="31" t="n">
        <f aca="false">O388+P388</f>
        <v>0</v>
      </c>
      <c r="BS388" s="31" t="n">
        <f aca="false">T388+U388+V388</f>
        <v>0</v>
      </c>
      <c r="BT388" s="31" t="n">
        <f aca="false">Q388</f>
        <v>0</v>
      </c>
      <c r="BU388" s="31" t="n">
        <f aca="false">W388</f>
        <v>0</v>
      </c>
      <c r="BV388" s="31" t="n">
        <f aca="false">R388</f>
        <v>0</v>
      </c>
      <c r="BW388" s="31" t="n">
        <f aca="false">X388</f>
        <v>0</v>
      </c>
      <c r="BX388" s="31" t="n">
        <f aca="false">S388</f>
        <v>0</v>
      </c>
      <c r="BY388" s="31" t="n">
        <f aca="false">Y388</f>
        <v>0</v>
      </c>
      <c r="BZ388" s="32" t="n">
        <f aca="false">IF(BJ388=0,IF(BR388=0,0,1),(BR388-BJ388)/BJ388)</f>
        <v>0</v>
      </c>
      <c r="CA388" s="32" t="n">
        <f aca="false">IF(BK388=0,IF(BS388=0,0,1),(BS388-BK388)/BK388)</f>
        <v>0</v>
      </c>
      <c r="CB388" s="32" t="n">
        <f aca="false">IF(BL388=0,IF(BT388=0,0,1),(BT388-BL388)/BL388)</f>
        <v>0</v>
      </c>
      <c r="CC388" s="32" t="n">
        <f aca="false">IF(BM388=0,IF(BU388=0,0,1),(BU388-BM388)/BM388)</f>
        <v>0</v>
      </c>
      <c r="CD388" s="32" t="n">
        <f aca="false">IF(BN388=0,IF(BV388=0,0,1),(BV388-BN388)/BN388)</f>
        <v>0</v>
      </c>
      <c r="CE388" s="32" t="n">
        <f aca="false">IF(BO388=0,IF(BW388=0,0,1),(BW388-BO388)/BO388)</f>
        <v>0</v>
      </c>
      <c r="CF388" s="32" t="n">
        <f aca="false">IF(BP388=0,IF(BX388=0,0,1),(BX388-BP388)/BP388)</f>
        <v>0</v>
      </c>
      <c r="CG388" s="32" t="n">
        <f aca="false">IF(BQ388=0,IF(BY388=0,0,1),(BY388-BQ388)/BQ388)</f>
        <v>0</v>
      </c>
      <c r="CH388" s="32" t="n">
        <f aca="false">MAX(MAX(BZ388:CG388),-MIN(BZ388:CG388))</f>
        <v>-0</v>
      </c>
      <c r="CI388" s="31" t="n">
        <f aca="false">IF(CO388="","",SUMIFS($CJ$7:$CJ$696,$A$7:$A$696,CO388,$B$7:$B$696,B388))</f>
        <v>1225506</v>
      </c>
      <c r="CJ388" s="31" t="n">
        <f aca="false">SUM(AY388:BI388)</f>
        <v>1003586</v>
      </c>
      <c r="CK388" s="31" t="str">
        <f aca="false">IFERROR(INDEX(設定!$F$61:$F$106,MATCH(B388,設定!$B$61:$B$106,0)),"Y")</f>
        <v>Y</v>
      </c>
      <c r="CL388" s="31" t="str">
        <f aca="false">IFERROR(INDEX(設定!$G$61:$G$106,MATCH(B388,設定!$B$61:$B$106,0)),"外郭型")</f>
        <v>外郭型</v>
      </c>
      <c r="CM388" s="33" t="str">
        <f aca="false">A388&amp;"|"&amp;B388</f>
        <v>2026-11 月例|平和文化センター</v>
      </c>
      <c r="CN388" s="34" t="str">
        <f aca="false">IFERROR(INDEX(設定!$D$61:$D$106,MATCH(B388,設定!$B$61:$B$106,0)),"Y")</f>
        <v>Y</v>
      </c>
      <c r="CO388" s="34" t="str">
        <f aca="false">IFERROR(INDEX(設定!$D$20:$D$34,MATCH(A388,設定!$A$20:$A$34,0))&amp;"","")</f>
        <v>2026-10 月例</v>
      </c>
    </row>
    <row r="389" customFormat="false" ht="15" hidden="true" customHeight="false" outlineLevel="0" collapsed="false">
      <c r="A389" s="22" t="s">
        <v>224</v>
      </c>
      <c r="B389" s="23" t="s">
        <v>183</v>
      </c>
      <c r="C389" s="10" t="str">
        <f aca="false">IF(G389="","未受領",IF(G389="なし","報告なし",IF(AL389="○","起票済",IF(OR(AK389="○",F389="一致",F389="入金不要"),"入金確認済","受領済"))))</f>
        <v>未受領</v>
      </c>
      <c r="D389" s="10" t="str">
        <f aca="false">IF(OR(G389="",G389="なし"),"―",IF(CN389="N","対象外",IF(AND(I389="",J389="",K389=""),"標報未入力",IF(CH389&gt;=設定!$B$4,"要確認","問題なし"))))</f>
        <v>―</v>
      </c>
      <c r="E389" s="24" t="str">
        <f aca="false">IF(OR(G389="",G389="なし",CI389="",CJ389=0),"―",IF(CJ389=CI389,"前月同額",IF(CI389=0,"―",IF(ABS(CJ389/CI389-1)&gt;=設定!$B$5,"変動大 "&amp;TEXT(CJ389/CI389-1,"+0%;-0%"),"〇"))))</f>
        <v>―</v>
      </c>
      <c r="F389" s="10" t="str">
        <f aca="false">IF(OR(G389="",G389="なし"),"―",IF(CJ389=0,"入金不要",IF(COUNT(AD389,AF389,AH389,AJ389)=0,IF(AK389="○","手動確認","未入金"),IF(AND(N(AD389)=AC389,IF(AE389="",TRUE(),N(AF389)=AE389),IF(AG389="",TRUE(),N(AH389)=AG389),IF(AI389="",TRUE(),N(AJ389)=AI389)),"一致","不一致"))))</f>
        <v>―</v>
      </c>
      <c r="G389" s="25"/>
      <c r="H389" s="26"/>
      <c r="I389" s="27"/>
      <c r="J389" s="27"/>
      <c r="K389" s="27"/>
      <c r="L389" s="27"/>
      <c r="M389" s="27"/>
      <c r="N389" s="27"/>
      <c r="O389" s="27"/>
      <c r="P389" s="27"/>
      <c r="Q389" s="27"/>
      <c r="R389" s="27"/>
      <c r="S389" s="27"/>
      <c r="T389" s="27"/>
      <c r="U389" s="27"/>
      <c r="V389" s="27"/>
      <c r="W389" s="27"/>
      <c r="X389" s="27"/>
      <c r="Y389" s="27"/>
      <c r="Z389" s="27"/>
      <c r="AA389" s="10" t="str">
        <f aca="false">IFERROR(INDEX(設定!$E$61:$E$106,MATCH(B389,設定!$B$61:$B$106,0)),"合算")</f>
        <v>合算</v>
      </c>
      <c r="AB389" s="28"/>
      <c r="AC389" s="29" t="str">
        <f aca="false">IF(OR(G389="",G389="なし"),"",IF(AA389="合算",CJ389+N(Z389),IF(AA389="掛金・負担金別",(AY389+AZ389+BD389+BF389+BH389),SUM(AY389:BC389))))</f>
        <v/>
      </c>
      <c r="AD389" s="27"/>
      <c r="AE389" s="29" t="str">
        <f aca="false">IF(OR(G389="",G389="なし"),"",IF(AA389="掛金・負担金別",(BA389+BB389+BC389+BE389+BG389+BI389+N(Z389)),IF(AA389="経理区分別",BD389+BE389,"")))</f>
        <v/>
      </c>
      <c r="AF389" s="27"/>
      <c r="AG389" s="29" t="str">
        <f aca="false">IF(OR(G389="",G389="なし"),"",IF(AA389="経理区分別",BF389+BG389,""))</f>
        <v/>
      </c>
      <c r="AH389" s="27"/>
      <c r="AI389" s="29" t="str">
        <f aca="false">IF(OR(G389="",G389="なし"),"",IF(AA389="経理区分別",BH389+BI389+N(Z389),""))</f>
        <v/>
      </c>
      <c r="AJ389" s="27"/>
      <c r="AK389" s="26"/>
      <c r="AL389" s="26"/>
      <c r="AM389" s="30"/>
      <c r="AN389" s="31"/>
      <c r="AO389" s="31"/>
      <c r="AP389" s="31" t="n">
        <v>1881240</v>
      </c>
      <c r="AQ389" s="31" t="n">
        <v>154200</v>
      </c>
      <c r="AR389" s="31" t="n">
        <v>1960</v>
      </c>
      <c r="AS389" s="31"/>
      <c r="AT389" s="31" t="n">
        <v>1271974</v>
      </c>
      <c r="AU389" s="31"/>
      <c r="AV389" s="31" t="n">
        <v>141252</v>
      </c>
      <c r="AW389" s="31"/>
      <c r="AX389" s="31" t="n">
        <v>1</v>
      </c>
      <c r="AY389" s="31" t="n">
        <f aca="false">IF($G389="",AN389,O389)</f>
        <v>0</v>
      </c>
      <c r="AZ389" s="31" t="n">
        <f aca="false">IF($G389="",AO389,P389)</f>
        <v>0</v>
      </c>
      <c r="BA389" s="31" t="n">
        <f aca="false">IF($G389="",AP389,T389)</f>
        <v>1881240</v>
      </c>
      <c r="BB389" s="31" t="n">
        <f aca="false">IF($G389="",AQ389,U389)</f>
        <v>154200</v>
      </c>
      <c r="BC389" s="31" t="n">
        <f aca="false">IF($G389="",AR389,V389)</f>
        <v>1960</v>
      </c>
      <c r="BD389" s="31" t="n">
        <f aca="false">IF($G389="",AS389,Q389)</f>
        <v>0</v>
      </c>
      <c r="BE389" s="31" t="n">
        <f aca="false">IF($G389="",AT389,W389)</f>
        <v>1271974</v>
      </c>
      <c r="BF389" s="31" t="n">
        <f aca="false">IF($G389="",AU389,R389)</f>
        <v>0</v>
      </c>
      <c r="BG389" s="31" t="n">
        <f aca="false">IF($G389="",AV389,X389)</f>
        <v>141252</v>
      </c>
      <c r="BH389" s="31" t="n">
        <f aca="false">IF($G389="",AW389,S389)</f>
        <v>0</v>
      </c>
      <c r="BI389" s="31" t="n">
        <f aca="false">IF($G389="",AX389,Y389)</f>
        <v>1</v>
      </c>
      <c r="BJ389" s="31" t="n">
        <f aca="false">IF(CK389="N",BR389,ROUNDDOWN((I389-L389)*設定!$B$10/1000,0)+ROUNDDOWN((I389-L389)*設定!$B$11/1000,0))</f>
        <v>0</v>
      </c>
      <c r="BK389" s="31" t="n">
        <f aca="false">ROUNDDOWN((I389-L389)*設定!$C$10/1000,0)+ROUNDDOWN((I389-L389)*設定!$C$11/1000,0)+ROUNDDOWN(I389*設定!$C$12/1000,0)+IF(CL389="市局型",ROUNDDOWN(I389*設定!$C$16/1000,0),0)</f>
        <v>0</v>
      </c>
      <c r="BL389" s="31" t="n">
        <f aca="false">IF(CK389="N",BT389,ROUNDDOWN((J389-M389)*設定!$B$13/1000,0))</f>
        <v>0</v>
      </c>
      <c r="BM389" s="31" t="n">
        <f aca="false">ROUNDDOWN((J389-M389)*設定!$C$13/1000,0)+IF(CL389="市局型",ROUNDDOWN(J389*設定!$C$17/1000,0),0)</f>
        <v>0</v>
      </c>
      <c r="BN389" s="31" t="n">
        <f aca="false">IF(CK389="N",BV389,ROUNDDOWN((K389-N389)*設定!$B$14/1000,0))</f>
        <v>0</v>
      </c>
      <c r="BO389" s="31" t="n">
        <f aca="false">ROUNDDOWN((K389-N389)*設定!$C$14/1000,0)</f>
        <v>0</v>
      </c>
      <c r="BP389" s="31" t="n">
        <f aca="false">IF(CK389="N",BX389,ROUNDDOWN((J389-M389)*設定!$B$15/1000,0))</f>
        <v>0</v>
      </c>
      <c r="BQ389" s="31" t="n">
        <f aca="false">ROUNDDOWN((J389-M389)*設定!$C$15/1000,0)</f>
        <v>0</v>
      </c>
      <c r="BR389" s="31" t="n">
        <f aca="false">O389+P389</f>
        <v>0</v>
      </c>
      <c r="BS389" s="31" t="n">
        <f aca="false">T389+U389+V389</f>
        <v>0</v>
      </c>
      <c r="BT389" s="31" t="n">
        <f aca="false">Q389</f>
        <v>0</v>
      </c>
      <c r="BU389" s="31" t="n">
        <f aca="false">W389</f>
        <v>0</v>
      </c>
      <c r="BV389" s="31" t="n">
        <f aca="false">R389</f>
        <v>0</v>
      </c>
      <c r="BW389" s="31" t="n">
        <f aca="false">X389</f>
        <v>0</v>
      </c>
      <c r="BX389" s="31" t="n">
        <f aca="false">S389</f>
        <v>0</v>
      </c>
      <c r="BY389" s="31" t="n">
        <f aca="false">Y389</f>
        <v>0</v>
      </c>
      <c r="BZ389" s="32" t="n">
        <f aca="false">IF(BJ389=0,IF(BR389=0,0,1),(BR389-BJ389)/BJ389)</f>
        <v>0</v>
      </c>
      <c r="CA389" s="32" t="n">
        <f aca="false">IF(BK389=0,IF(BS389=0,0,1),(BS389-BK389)/BK389)</f>
        <v>0</v>
      </c>
      <c r="CB389" s="32" t="n">
        <f aca="false">IF(BL389=0,IF(BT389=0,0,1),(BT389-BL389)/BL389)</f>
        <v>0</v>
      </c>
      <c r="CC389" s="32" t="n">
        <f aca="false">IF(BM389=0,IF(BU389=0,0,1),(BU389-BM389)/BM389)</f>
        <v>0</v>
      </c>
      <c r="CD389" s="32" t="n">
        <f aca="false">IF(BN389=0,IF(BV389=0,0,1),(BV389-BN389)/BN389)</f>
        <v>0</v>
      </c>
      <c r="CE389" s="32" t="n">
        <f aca="false">IF(BO389=0,IF(BW389=0,0,1),(BW389-BO389)/BO389)</f>
        <v>0</v>
      </c>
      <c r="CF389" s="32" t="n">
        <f aca="false">IF(BP389=0,IF(BX389=0,0,1),(BX389-BP389)/BP389)</f>
        <v>0</v>
      </c>
      <c r="CG389" s="32" t="n">
        <f aca="false">IF(BQ389=0,IF(BY389=0,0,1),(BY389-BQ389)/BQ389)</f>
        <v>0</v>
      </c>
      <c r="CH389" s="32" t="n">
        <f aca="false">MAX(MAX(BZ389:CG389),-MIN(BZ389:CG389))</f>
        <v>-0</v>
      </c>
      <c r="CI389" s="31" t="n">
        <f aca="false">IF(CO389="","",SUMIFS($CJ$7:$CJ$696,$A$7:$A$696,CO389,$B$7:$B$696,B389))</f>
        <v>3450627</v>
      </c>
      <c r="CJ389" s="31" t="n">
        <f aca="false">SUM(AY389:BI389)</f>
        <v>3450627</v>
      </c>
      <c r="CK389" s="31" t="str">
        <f aca="false">IFERROR(INDEX(設定!$F$61:$F$106,MATCH(B389,設定!$B$61:$B$106,0)),"Y")</f>
        <v>N</v>
      </c>
      <c r="CL389" s="31" t="str">
        <f aca="false">IFERROR(INDEX(設定!$G$61:$G$106,MATCH(B389,設定!$B$61:$B$106,0)),"外郭型")</f>
        <v>外郭型</v>
      </c>
      <c r="CM389" s="33" t="str">
        <f aca="false">A389&amp;"|"&amp;B389</f>
        <v>2026-11 月例|社会福祉事業団</v>
      </c>
      <c r="CN389" s="34" t="str">
        <f aca="false">IFERROR(INDEX(設定!$D$61:$D$106,MATCH(B389,設定!$B$61:$B$106,0)),"Y")</f>
        <v>Y</v>
      </c>
      <c r="CO389" s="34" t="str">
        <f aca="false">IFERROR(INDEX(設定!$D$20:$D$34,MATCH(A389,設定!$A$20:$A$34,0))&amp;"","")</f>
        <v>2026-10 月例</v>
      </c>
    </row>
    <row r="390" customFormat="false" ht="15" hidden="true" customHeight="false" outlineLevel="0" collapsed="false">
      <c r="A390" s="22" t="s">
        <v>224</v>
      </c>
      <c r="B390" s="23" t="s">
        <v>184</v>
      </c>
      <c r="C390" s="10" t="str">
        <f aca="false">IF(G390="","未受領",IF(G390="なし","報告なし",IF(AL390="○","起票済",IF(OR(AK390="○",F390="一致",F390="入金不要"),"入金確認済","受領済"))))</f>
        <v>未受領</v>
      </c>
      <c r="D390" s="10" t="str">
        <f aca="false">IF(OR(G390="",G390="なし"),"―",IF(CN390="N","対象外",IF(AND(I390="",J390="",K390=""),"標報未入力",IF(CH390&gt;=設定!$B$4,"要確認","問題なし"))))</f>
        <v>―</v>
      </c>
      <c r="E390" s="24" t="str">
        <f aca="false">IF(OR(G390="",G390="なし",CI390="",CJ390=0),"―",IF(CJ390=CI390,"前月同額",IF(CI390=0,"―",IF(ABS(CJ390/CI390-1)&gt;=設定!$B$5,"変動大 "&amp;TEXT(CJ390/CI390-1,"+0%;-0%"),"〇"))))</f>
        <v>―</v>
      </c>
      <c r="F390" s="10" t="str">
        <f aca="false">IF(OR(G390="",G390="なし"),"―",IF(CJ390=0,"入金不要",IF(COUNT(AD390,AF390,AH390,AJ390)=0,IF(AK390="○","手動確認","未入金"),IF(AND(N(AD390)=AC390,IF(AE390="",TRUE(),N(AF390)=AE390),IF(AG390="",TRUE(),N(AH390)=AG390),IF(AI390="",TRUE(),N(AJ390)=AI390)),"一致","不一致"))))</f>
        <v>―</v>
      </c>
      <c r="G390" s="25"/>
      <c r="H390" s="26"/>
      <c r="I390" s="27"/>
      <c r="J390" s="27"/>
      <c r="K390" s="27"/>
      <c r="L390" s="27"/>
      <c r="M390" s="27"/>
      <c r="N390" s="27"/>
      <c r="O390" s="27"/>
      <c r="P390" s="27"/>
      <c r="Q390" s="27"/>
      <c r="R390" s="27"/>
      <c r="S390" s="27"/>
      <c r="T390" s="27"/>
      <c r="U390" s="27"/>
      <c r="V390" s="27"/>
      <c r="W390" s="27"/>
      <c r="X390" s="27"/>
      <c r="Y390" s="27"/>
      <c r="Z390" s="27"/>
      <c r="AA390" s="10" t="str">
        <f aca="false">IFERROR(INDEX(設定!$E$61:$E$106,MATCH(B390,設定!$B$61:$B$106,0)),"合算")</f>
        <v>合算</v>
      </c>
      <c r="AB390" s="28"/>
      <c r="AC390" s="29" t="str">
        <f aca="false">IF(OR(G390="",G390="なし"),"",IF(AA390="合算",CJ390+N(Z390),IF(AA390="掛金・負担金別",(AY390+AZ390+BD390+BF390+BH390),SUM(AY390:BC390))))</f>
        <v/>
      </c>
      <c r="AD390" s="27"/>
      <c r="AE390" s="29" t="str">
        <f aca="false">IF(OR(G390="",G390="なし"),"",IF(AA390="掛金・負担金別",(BA390+BB390+BC390+BE390+BG390+BI390+N(Z390)),IF(AA390="経理区分別",BD390+BE390,"")))</f>
        <v/>
      </c>
      <c r="AF390" s="27"/>
      <c r="AG390" s="29" t="str">
        <f aca="false">IF(OR(G390="",G390="なし"),"",IF(AA390="経理区分別",BF390+BG390,""))</f>
        <v/>
      </c>
      <c r="AH390" s="27"/>
      <c r="AI390" s="29" t="str">
        <f aca="false">IF(OR(G390="",G390="なし"),"",IF(AA390="経理区分別",BH390+BI390+N(Z390),""))</f>
        <v/>
      </c>
      <c r="AJ390" s="27"/>
      <c r="AK390" s="26"/>
      <c r="AL390" s="26"/>
      <c r="AM390" s="30"/>
      <c r="AN390" s="31"/>
      <c r="AO390" s="31"/>
      <c r="AP390" s="31" t="n">
        <v>48495</v>
      </c>
      <c r="AQ390" s="31" t="n">
        <v>3975</v>
      </c>
      <c r="AR390" s="31" t="n">
        <v>49</v>
      </c>
      <c r="AS390" s="31"/>
      <c r="AT390" s="31" t="n">
        <v>29208</v>
      </c>
      <c r="AU390" s="31"/>
      <c r="AV390" s="31" t="n">
        <v>4187</v>
      </c>
      <c r="AW390" s="31"/>
      <c r="AX390" s="31" t="n">
        <v>1</v>
      </c>
      <c r="AY390" s="31" t="n">
        <f aca="false">IF($G390="",AN390,O390)</f>
        <v>0</v>
      </c>
      <c r="AZ390" s="31" t="n">
        <f aca="false">IF($G390="",AO390,P390)</f>
        <v>0</v>
      </c>
      <c r="BA390" s="31" t="n">
        <f aca="false">IF($G390="",AP390,T390)</f>
        <v>48495</v>
      </c>
      <c r="BB390" s="31" t="n">
        <f aca="false">IF($G390="",AQ390,U390)</f>
        <v>3975</v>
      </c>
      <c r="BC390" s="31" t="n">
        <f aca="false">IF($G390="",AR390,V390)</f>
        <v>49</v>
      </c>
      <c r="BD390" s="31" t="n">
        <f aca="false">IF($G390="",AS390,Q390)</f>
        <v>0</v>
      </c>
      <c r="BE390" s="31" t="n">
        <f aca="false">IF($G390="",AT390,W390)</f>
        <v>29208</v>
      </c>
      <c r="BF390" s="31" t="n">
        <f aca="false">IF($G390="",AU390,R390)</f>
        <v>0</v>
      </c>
      <c r="BG390" s="31" t="n">
        <f aca="false">IF($G390="",AV390,X390)</f>
        <v>4187</v>
      </c>
      <c r="BH390" s="31" t="n">
        <f aca="false">IF($G390="",AW390,S390)</f>
        <v>0</v>
      </c>
      <c r="BI390" s="31" t="n">
        <f aca="false">IF($G390="",AX390,Y390)</f>
        <v>1</v>
      </c>
      <c r="BJ390" s="31" t="n">
        <f aca="false">IF(CK390="N",BR390,ROUNDDOWN((I390-L390)*設定!$B$10/1000,0)+ROUNDDOWN((I390-L390)*設定!$B$11/1000,0))</f>
        <v>0</v>
      </c>
      <c r="BK390" s="31" t="n">
        <f aca="false">ROUNDDOWN((I390-L390)*設定!$C$10/1000,0)+ROUNDDOWN((I390-L390)*設定!$C$11/1000,0)+ROUNDDOWN(I390*設定!$C$12/1000,0)+IF(CL390="市局型",ROUNDDOWN(I390*設定!$C$16/1000,0),0)</f>
        <v>0</v>
      </c>
      <c r="BL390" s="31" t="n">
        <f aca="false">IF(CK390="N",BT390,ROUNDDOWN((J390-M390)*設定!$B$13/1000,0))</f>
        <v>0</v>
      </c>
      <c r="BM390" s="31" t="n">
        <f aca="false">ROUNDDOWN((J390-M390)*設定!$C$13/1000,0)+IF(CL390="市局型",ROUNDDOWN(J390*設定!$C$17/1000,0),0)</f>
        <v>0</v>
      </c>
      <c r="BN390" s="31" t="n">
        <f aca="false">IF(CK390="N",BV390,ROUNDDOWN((K390-N390)*設定!$B$14/1000,0))</f>
        <v>0</v>
      </c>
      <c r="BO390" s="31" t="n">
        <f aca="false">ROUNDDOWN((K390-N390)*設定!$C$14/1000,0)</f>
        <v>0</v>
      </c>
      <c r="BP390" s="31" t="n">
        <f aca="false">IF(CK390="N",BX390,ROUNDDOWN((J390-M390)*設定!$B$15/1000,0))</f>
        <v>0</v>
      </c>
      <c r="BQ390" s="31" t="n">
        <f aca="false">ROUNDDOWN((J390-M390)*設定!$C$15/1000,0)</f>
        <v>0</v>
      </c>
      <c r="BR390" s="31" t="n">
        <f aca="false">O390+P390</f>
        <v>0</v>
      </c>
      <c r="BS390" s="31" t="n">
        <f aca="false">T390+U390+V390</f>
        <v>0</v>
      </c>
      <c r="BT390" s="31" t="n">
        <f aca="false">Q390</f>
        <v>0</v>
      </c>
      <c r="BU390" s="31" t="n">
        <f aca="false">W390</f>
        <v>0</v>
      </c>
      <c r="BV390" s="31" t="n">
        <f aca="false">R390</f>
        <v>0</v>
      </c>
      <c r="BW390" s="31" t="n">
        <f aca="false">X390</f>
        <v>0</v>
      </c>
      <c r="BX390" s="31" t="n">
        <f aca="false">S390</f>
        <v>0</v>
      </c>
      <c r="BY390" s="31" t="n">
        <f aca="false">Y390</f>
        <v>0</v>
      </c>
      <c r="BZ390" s="32" t="n">
        <f aca="false">IF(BJ390=0,IF(BR390=0,0,1),(BR390-BJ390)/BJ390)</f>
        <v>0</v>
      </c>
      <c r="CA390" s="32" t="n">
        <f aca="false">IF(BK390=0,IF(BS390=0,0,1),(BS390-BK390)/BK390)</f>
        <v>0</v>
      </c>
      <c r="CB390" s="32" t="n">
        <f aca="false">IF(BL390=0,IF(BT390=0,0,1),(BT390-BL390)/BL390)</f>
        <v>0</v>
      </c>
      <c r="CC390" s="32" t="n">
        <f aca="false">IF(BM390=0,IF(BU390=0,0,1),(BU390-BM390)/BM390)</f>
        <v>0</v>
      </c>
      <c r="CD390" s="32" t="n">
        <f aca="false">IF(BN390=0,IF(BV390=0,0,1),(BV390-BN390)/BN390)</f>
        <v>0</v>
      </c>
      <c r="CE390" s="32" t="n">
        <f aca="false">IF(BO390=0,IF(BW390=0,0,1),(BW390-BO390)/BO390)</f>
        <v>0</v>
      </c>
      <c r="CF390" s="32" t="n">
        <f aca="false">IF(BP390=0,IF(BX390=0,0,1),(BX390-BP390)/BP390)</f>
        <v>0</v>
      </c>
      <c r="CG390" s="32" t="n">
        <f aca="false">IF(BQ390=0,IF(BY390=0,0,1),(BY390-BQ390)/BQ390)</f>
        <v>0</v>
      </c>
      <c r="CH390" s="32" t="n">
        <f aca="false">MAX(MAX(BZ390:CG390),-MIN(BZ390:CG390))</f>
        <v>-0</v>
      </c>
      <c r="CI390" s="31" t="n">
        <f aca="false">IF(CO390="","",SUMIFS($CJ$7:$CJ$696,$A$7:$A$696,CO390,$B$7:$B$696,B390))</f>
        <v>85915</v>
      </c>
      <c r="CJ390" s="31" t="n">
        <f aca="false">SUM(AY390:BI390)</f>
        <v>85915</v>
      </c>
      <c r="CK390" s="31" t="str">
        <f aca="false">IFERROR(INDEX(設定!$F$61:$F$106,MATCH(B390,設定!$B$61:$B$106,0)),"Y")</f>
        <v>N</v>
      </c>
      <c r="CL390" s="31" t="str">
        <f aca="false">IFERROR(INDEX(設定!$G$61:$G$106,MATCH(B390,設定!$B$61:$B$106,0)),"外郭型")</f>
        <v>外郭型</v>
      </c>
      <c r="CM390" s="33" t="str">
        <f aca="false">A390&amp;"|"&amp;B390</f>
        <v>2026-11 月例|原爆障害対策協議会</v>
      </c>
      <c r="CN390" s="34" t="str">
        <f aca="false">IFERROR(INDEX(設定!$D$61:$D$106,MATCH(B390,設定!$B$61:$B$106,0)),"Y")</f>
        <v>Y</v>
      </c>
      <c r="CO390" s="34" t="str">
        <f aca="false">IFERROR(INDEX(設定!$D$20:$D$34,MATCH(A390,設定!$A$20:$A$34,0))&amp;"","")</f>
        <v>2026-10 月例</v>
      </c>
    </row>
    <row r="391" customFormat="false" ht="15" hidden="true" customHeight="false" outlineLevel="0" collapsed="false">
      <c r="A391" s="22" t="s">
        <v>224</v>
      </c>
      <c r="B391" s="23" t="s">
        <v>185</v>
      </c>
      <c r="C391" s="10" t="str">
        <f aca="false">IF(G391="","未受領",IF(G391="なし","報告なし",IF(AL391="○","起票済",IF(OR(AK391="○",F391="一致",F391="入金不要"),"入金確認済","受領済"))))</f>
        <v>未受領</v>
      </c>
      <c r="D391" s="10" t="str">
        <f aca="false">IF(OR(G391="",G391="なし"),"―",IF(CN391="N","対象外",IF(AND(I391="",J391="",K391=""),"標報未入力",IF(CH391&gt;=設定!$B$4,"要確認","問題なし"))))</f>
        <v>―</v>
      </c>
      <c r="E391" s="24" t="str">
        <f aca="false">IF(OR(G391="",G391="なし",CI391="",CJ391=0),"―",IF(CJ391=CI391,"前月同額",IF(CI391=0,"―",IF(ABS(CJ391/CI391-1)&gt;=設定!$B$5,"変動大 "&amp;TEXT(CJ391/CI391-1,"+0%;-0%"),"〇"))))</f>
        <v>―</v>
      </c>
      <c r="F391" s="10" t="str">
        <f aca="false">IF(OR(G391="",G391="なし"),"―",IF(CJ391=0,"入金不要",IF(COUNT(AD391,AF391,AH391,AJ391)=0,IF(AK391="○","手動確認","未入金"),IF(AND(N(AD391)=AC391,IF(AE391="",TRUE(),N(AF391)=AE391),IF(AG391="",TRUE(),N(AH391)=AG391),IF(AI391="",TRUE(),N(AJ391)=AI391)),"一致","不一致"))))</f>
        <v>―</v>
      </c>
      <c r="G391" s="25"/>
      <c r="H391" s="26"/>
      <c r="I391" s="27"/>
      <c r="J391" s="27"/>
      <c r="K391" s="27"/>
      <c r="L391" s="27"/>
      <c r="M391" s="27"/>
      <c r="N391" s="27"/>
      <c r="O391" s="27"/>
      <c r="P391" s="27"/>
      <c r="Q391" s="27"/>
      <c r="R391" s="27"/>
      <c r="S391" s="27"/>
      <c r="T391" s="27"/>
      <c r="U391" s="27"/>
      <c r="V391" s="27"/>
      <c r="W391" s="27"/>
      <c r="X391" s="27"/>
      <c r="Y391" s="27"/>
      <c r="Z391" s="27"/>
      <c r="AA391" s="10" t="str">
        <f aca="false">IFERROR(INDEX(設定!$E$61:$E$106,MATCH(B391,設定!$B$61:$B$106,0)),"合算")</f>
        <v>合算</v>
      </c>
      <c r="AB391" s="28"/>
      <c r="AC391" s="29" t="str">
        <f aca="false">IF(OR(G391="",G391="なし"),"",IF(AA391="合算",CJ391+N(Z391),IF(AA391="掛金・負担金別",(AY391+AZ391+BD391+BF391+BH391),SUM(AY391:BC391))))</f>
        <v/>
      </c>
      <c r="AD391" s="27"/>
      <c r="AE391" s="29" t="str">
        <f aca="false">IF(OR(G391="",G391="なし"),"",IF(AA391="掛金・負担金別",(BA391+BB391+BC391+BE391+BG391+BI391+N(Z391)),IF(AA391="経理区分別",BD391+BE391,"")))</f>
        <v/>
      </c>
      <c r="AF391" s="27"/>
      <c r="AG391" s="29" t="str">
        <f aca="false">IF(OR(G391="",G391="なし"),"",IF(AA391="経理区分別",BF391+BG391,""))</f>
        <v/>
      </c>
      <c r="AH391" s="27"/>
      <c r="AI391" s="29" t="str">
        <f aca="false">IF(OR(G391="",G391="なし"),"",IF(AA391="経理区分別",BH391+BI391+N(Z391),""))</f>
        <v/>
      </c>
      <c r="AJ391" s="27"/>
      <c r="AK391" s="26"/>
      <c r="AL391" s="26"/>
      <c r="AM391" s="30"/>
      <c r="AN391" s="31"/>
      <c r="AO391" s="31"/>
      <c r="AP391" s="31" t="n">
        <v>425475</v>
      </c>
      <c r="AQ391" s="31" t="n">
        <v>34875</v>
      </c>
      <c r="AR391" s="31" t="n">
        <v>435</v>
      </c>
      <c r="AS391" s="31"/>
      <c r="AT391" s="31" t="n">
        <v>256260</v>
      </c>
      <c r="AU391" s="31"/>
      <c r="AV391" s="31" t="n">
        <v>34207</v>
      </c>
      <c r="AW391" s="31"/>
      <c r="AX391" s="31" t="n">
        <v>1</v>
      </c>
      <c r="AY391" s="31" t="n">
        <f aca="false">IF($G391="",AN391,O391)</f>
        <v>0</v>
      </c>
      <c r="AZ391" s="31" t="n">
        <f aca="false">IF($G391="",AO391,P391)</f>
        <v>0</v>
      </c>
      <c r="BA391" s="31" t="n">
        <f aca="false">IF($G391="",AP391,T391)</f>
        <v>425475</v>
      </c>
      <c r="BB391" s="31" t="n">
        <f aca="false">IF($G391="",AQ391,U391)</f>
        <v>34875</v>
      </c>
      <c r="BC391" s="31" t="n">
        <f aca="false">IF($G391="",AR391,V391)</f>
        <v>435</v>
      </c>
      <c r="BD391" s="31" t="n">
        <f aca="false">IF($G391="",AS391,Q391)</f>
        <v>0</v>
      </c>
      <c r="BE391" s="31" t="n">
        <f aca="false">IF($G391="",AT391,W391)</f>
        <v>256260</v>
      </c>
      <c r="BF391" s="31" t="n">
        <f aca="false">IF($G391="",AU391,R391)</f>
        <v>0</v>
      </c>
      <c r="BG391" s="31" t="n">
        <f aca="false">IF($G391="",AV391,X391)</f>
        <v>34207</v>
      </c>
      <c r="BH391" s="31" t="n">
        <f aca="false">IF($G391="",AW391,S391)</f>
        <v>0</v>
      </c>
      <c r="BI391" s="31" t="n">
        <f aca="false">IF($G391="",AX391,Y391)</f>
        <v>1</v>
      </c>
      <c r="BJ391" s="31" t="n">
        <f aca="false">IF(CK391="N",BR391,ROUNDDOWN((I391-L391)*設定!$B$10/1000,0)+ROUNDDOWN((I391-L391)*設定!$B$11/1000,0))</f>
        <v>0</v>
      </c>
      <c r="BK391" s="31" t="n">
        <f aca="false">ROUNDDOWN((I391-L391)*設定!$C$10/1000,0)+ROUNDDOWN((I391-L391)*設定!$C$11/1000,0)+ROUNDDOWN(I391*設定!$C$12/1000,0)+IF(CL391="市局型",ROUNDDOWN(I391*設定!$C$16/1000,0),0)</f>
        <v>0</v>
      </c>
      <c r="BL391" s="31" t="n">
        <f aca="false">IF(CK391="N",BT391,ROUNDDOWN((J391-M391)*設定!$B$13/1000,0))</f>
        <v>0</v>
      </c>
      <c r="BM391" s="31" t="n">
        <f aca="false">ROUNDDOWN((J391-M391)*設定!$C$13/1000,0)+IF(CL391="市局型",ROUNDDOWN(J391*設定!$C$17/1000,0),0)</f>
        <v>0</v>
      </c>
      <c r="BN391" s="31" t="n">
        <f aca="false">IF(CK391="N",BV391,ROUNDDOWN((K391-N391)*設定!$B$14/1000,0))</f>
        <v>0</v>
      </c>
      <c r="BO391" s="31" t="n">
        <f aca="false">ROUNDDOWN((K391-N391)*設定!$C$14/1000,0)</f>
        <v>0</v>
      </c>
      <c r="BP391" s="31" t="n">
        <f aca="false">IF(CK391="N",BX391,ROUNDDOWN((J391-M391)*設定!$B$15/1000,0))</f>
        <v>0</v>
      </c>
      <c r="BQ391" s="31" t="n">
        <f aca="false">ROUNDDOWN((J391-M391)*設定!$C$15/1000,0)</f>
        <v>0</v>
      </c>
      <c r="BR391" s="31" t="n">
        <f aca="false">O391+P391</f>
        <v>0</v>
      </c>
      <c r="BS391" s="31" t="n">
        <f aca="false">T391+U391+V391</f>
        <v>0</v>
      </c>
      <c r="BT391" s="31" t="n">
        <f aca="false">Q391</f>
        <v>0</v>
      </c>
      <c r="BU391" s="31" t="n">
        <f aca="false">W391</f>
        <v>0</v>
      </c>
      <c r="BV391" s="31" t="n">
        <f aca="false">R391</f>
        <v>0</v>
      </c>
      <c r="BW391" s="31" t="n">
        <f aca="false">X391</f>
        <v>0</v>
      </c>
      <c r="BX391" s="31" t="n">
        <f aca="false">S391</f>
        <v>0</v>
      </c>
      <c r="BY391" s="31" t="n">
        <f aca="false">Y391</f>
        <v>0</v>
      </c>
      <c r="BZ391" s="32" t="n">
        <f aca="false">IF(BJ391=0,IF(BR391=0,0,1),(BR391-BJ391)/BJ391)</f>
        <v>0</v>
      </c>
      <c r="CA391" s="32" t="n">
        <f aca="false">IF(BK391=0,IF(BS391=0,0,1),(BS391-BK391)/BK391)</f>
        <v>0</v>
      </c>
      <c r="CB391" s="32" t="n">
        <f aca="false">IF(BL391=0,IF(BT391=0,0,1),(BT391-BL391)/BL391)</f>
        <v>0</v>
      </c>
      <c r="CC391" s="32" t="n">
        <f aca="false">IF(BM391=0,IF(BU391=0,0,1),(BU391-BM391)/BM391)</f>
        <v>0</v>
      </c>
      <c r="CD391" s="32" t="n">
        <f aca="false">IF(BN391=0,IF(BV391=0,0,1),(BV391-BN391)/BN391)</f>
        <v>0</v>
      </c>
      <c r="CE391" s="32" t="n">
        <f aca="false">IF(BO391=0,IF(BW391=0,0,1),(BW391-BO391)/BO391)</f>
        <v>0</v>
      </c>
      <c r="CF391" s="32" t="n">
        <f aca="false">IF(BP391=0,IF(BX391=0,0,1),(BX391-BP391)/BP391)</f>
        <v>0</v>
      </c>
      <c r="CG391" s="32" t="n">
        <f aca="false">IF(BQ391=0,IF(BY391=0,0,1),(BY391-BQ391)/BQ391)</f>
        <v>0</v>
      </c>
      <c r="CH391" s="32" t="n">
        <f aca="false">MAX(MAX(BZ391:CG391),-MIN(BZ391:CG391))</f>
        <v>-0</v>
      </c>
      <c r="CI391" s="31" t="n">
        <f aca="false">IF(CO391="","",SUMIFS($CJ$7:$CJ$696,$A$7:$A$696,CO391,$B$7:$B$696,B391))</f>
        <v>751253</v>
      </c>
      <c r="CJ391" s="31" t="n">
        <f aca="false">SUM(AY391:BI391)</f>
        <v>751253</v>
      </c>
      <c r="CK391" s="31" t="str">
        <f aca="false">IFERROR(INDEX(設定!$F$61:$F$106,MATCH(B391,設定!$B$61:$B$106,0)),"Y")</f>
        <v>N</v>
      </c>
      <c r="CL391" s="31" t="str">
        <f aca="false">IFERROR(INDEX(設定!$G$61:$G$106,MATCH(B391,設定!$B$61:$B$106,0)),"外郭型")</f>
        <v>外郭型</v>
      </c>
      <c r="CM391" s="33" t="str">
        <f aca="false">A391&amp;"|"&amp;B391</f>
        <v>2026-11 月例|産業振興センター</v>
      </c>
      <c r="CN391" s="34" t="str">
        <f aca="false">IFERROR(INDEX(設定!$D$61:$D$106,MATCH(B391,設定!$B$61:$B$106,0)),"Y")</f>
        <v>Y</v>
      </c>
      <c r="CO391" s="34" t="str">
        <f aca="false">IFERROR(INDEX(設定!$D$20:$D$34,MATCH(A391,設定!$A$20:$A$34,0))&amp;"","")</f>
        <v>2026-10 月例</v>
      </c>
    </row>
    <row r="392" customFormat="false" ht="15" hidden="true" customHeight="false" outlineLevel="0" collapsed="false">
      <c r="A392" s="22" t="s">
        <v>224</v>
      </c>
      <c r="B392" s="23" t="s">
        <v>186</v>
      </c>
      <c r="C392" s="10" t="str">
        <f aca="false">IF(G392="","未受領",IF(G392="なし","報告なし",IF(AL392="○","起票済",IF(OR(AK392="○",F392="一致",F392="入金不要"),"入金確認済","受領済"))))</f>
        <v>未受領</v>
      </c>
      <c r="D392" s="10" t="str">
        <f aca="false">IF(OR(G392="",G392="なし"),"―",IF(CN392="N","対象外",IF(AND(I392="",J392="",K392=""),"標報未入力",IF(CH392&gt;=設定!$B$4,"要確認","問題なし"))))</f>
        <v>―</v>
      </c>
      <c r="E392" s="24" t="str">
        <f aca="false">IF(OR(G392="",G392="なし",CI392="",CJ392=0),"―",IF(CJ392=CI392,"前月同額",IF(CI392=0,"―",IF(ABS(CJ392/CI392-1)&gt;=設定!$B$5,"変動大 "&amp;TEXT(CJ392/CI392-1,"+0%;-0%"),"〇"))))</f>
        <v>―</v>
      </c>
      <c r="F392" s="10" t="str">
        <f aca="false">IF(OR(G392="",G392="なし"),"―",IF(CJ392=0,"入金不要",IF(COUNT(AD392,AF392,AH392,AJ392)=0,IF(AK392="○","手動確認","未入金"),IF(AND(N(AD392)=AC392,IF(AE392="",TRUE(),N(AF392)=AE392),IF(AG392="",TRUE(),N(AH392)=AG392),IF(AI392="",TRUE(),N(AJ392)=AI392)),"一致","不一致"))))</f>
        <v>―</v>
      </c>
      <c r="G392" s="25"/>
      <c r="H392" s="26"/>
      <c r="I392" s="27"/>
      <c r="J392" s="27"/>
      <c r="K392" s="27"/>
      <c r="L392" s="27"/>
      <c r="M392" s="27"/>
      <c r="N392" s="27"/>
      <c r="O392" s="27"/>
      <c r="P392" s="27"/>
      <c r="Q392" s="27"/>
      <c r="R392" s="27"/>
      <c r="S392" s="27"/>
      <c r="T392" s="27"/>
      <c r="U392" s="27"/>
      <c r="V392" s="27"/>
      <c r="W392" s="27"/>
      <c r="X392" s="27"/>
      <c r="Y392" s="27"/>
      <c r="Z392" s="27"/>
      <c r="AA392" s="10" t="str">
        <f aca="false">IFERROR(INDEX(設定!$E$61:$E$106,MATCH(B392,設定!$B$61:$B$106,0)),"合算")</f>
        <v>合算</v>
      </c>
      <c r="AB392" s="28"/>
      <c r="AC392" s="29" t="str">
        <f aca="false">IF(OR(G392="",G392="なし"),"",IF(AA392="合算",CJ392+N(Z392),IF(AA392="掛金・負担金別",(AY392+AZ392+BD392+BF392+BH392),SUM(AY392:BC392))))</f>
        <v/>
      </c>
      <c r="AD392" s="27"/>
      <c r="AE392" s="29" t="str">
        <f aca="false">IF(OR(G392="",G392="なし"),"",IF(AA392="掛金・負担金別",(BA392+BB392+BC392+BE392+BG392+BI392+N(Z392)),IF(AA392="経理区分別",BD392+BE392,"")))</f>
        <v/>
      </c>
      <c r="AF392" s="27"/>
      <c r="AG392" s="29" t="str">
        <f aca="false">IF(OR(G392="",G392="なし"),"",IF(AA392="経理区分別",BF392+BG392,""))</f>
        <v/>
      </c>
      <c r="AH392" s="27"/>
      <c r="AI392" s="29" t="str">
        <f aca="false">IF(OR(G392="",G392="なし"),"",IF(AA392="経理区分別",BH392+BI392+N(Z392),""))</f>
        <v/>
      </c>
      <c r="AJ392" s="27"/>
      <c r="AK392" s="26"/>
      <c r="AL392" s="26"/>
      <c r="AM392" s="30"/>
      <c r="AN392" s="31"/>
      <c r="AO392" s="31"/>
      <c r="AP392" s="31" t="n">
        <v>86010</v>
      </c>
      <c r="AQ392" s="31" t="n">
        <v>7050</v>
      </c>
      <c r="AR392" s="31" t="n">
        <v>88</v>
      </c>
      <c r="AS392" s="31"/>
      <c r="AT392" s="31" t="n">
        <v>51803</v>
      </c>
      <c r="AU392" s="31"/>
      <c r="AV392" s="31" t="n">
        <v>7426</v>
      </c>
      <c r="AW392" s="31"/>
      <c r="AX392" s="31" t="n">
        <v>1</v>
      </c>
      <c r="AY392" s="31" t="n">
        <f aca="false">IF($G392="",AN392,O392)</f>
        <v>0</v>
      </c>
      <c r="AZ392" s="31" t="n">
        <f aca="false">IF($G392="",AO392,P392)</f>
        <v>0</v>
      </c>
      <c r="BA392" s="31" t="n">
        <f aca="false">IF($G392="",AP392,T392)</f>
        <v>86010</v>
      </c>
      <c r="BB392" s="31" t="n">
        <f aca="false">IF($G392="",AQ392,U392)</f>
        <v>7050</v>
      </c>
      <c r="BC392" s="31" t="n">
        <f aca="false">IF($G392="",AR392,V392)</f>
        <v>88</v>
      </c>
      <c r="BD392" s="31" t="n">
        <f aca="false">IF($G392="",AS392,Q392)</f>
        <v>0</v>
      </c>
      <c r="BE392" s="31" t="n">
        <f aca="false">IF($G392="",AT392,W392)</f>
        <v>51803</v>
      </c>
      <c r="BF392" s="31" t="n">
        <f aca="false">IF($G392="",AU392,R392)</f>
        <v>0</v>
      </c>
      <c r="BG392" s="31" t="n">
        <f aca="false">IF($G392="",AV392,X392)</f>
        <v>7426</v>
      </c>
      <c r="BH392" s="31" t="n">
        <f aca="false">IF($G392="",AW392,S392)</f>
        <v>0</v>
      </c>
      <c r="BI392" s="31" t="n">
        <f aca="false">IF($G392="",AX392,Y392)</f>
        <v>1</v>
      </c>
      <c r="BJ392" s="31" t="n">
        <f aca="false">IF(CK392="N",BR392,ROUNDDOWN((I392-L392)*設定!$B$10/1000,0)+ROUNDDOWN((I392-L392)*設定!$B$11/1000,0))</f>
        <v>0</v>
      </c>
      <c r="BK392" s="31" t="n">
        <f aca="false">ROUNDDOWN((I392-L392)*設定!$C$10/1000,0)+ROUNDDOWN((I392-L392)*設定!$C$11/1000,0)+ROUNDDOWN(I392*設定!$C$12/1000,0)+IF(CL392="市局型",ROUNDDOWN(I392*設定!$C$16/1000,0),0)</f>
        <v>0</v>
      </c>
      <c r="BL392" s="31" t="n">
        <f aca="false">IF(CK392="N",BT392,ROUNDDOWN((J392-M392)*設定!$B$13/1000,0))</f>
        <v>0</v>
      </c>
      <c r="BM392" s="31" t="n">
        <f aca="false">ROUNDDOWN((J392-M392)*設定!$C$13/1000,0)+IF(CL392="市局型",ROUNDDOWN(J392*設定!$C$17/1000,0),0)</f>
        <v>0</v>
      </c>
      <c r="BN392" s="31" t="n">
        <f aca="false">IF(CK392="N",BV392,ROUNDDOWN((K392-N392)*設定!$B$14/1000,0))</f>
        <v>0</v>
      </c>
      <c r="BO392" s="31" t="n">
        <f aca="false">ROUNDDOWN((K392-N392)*設定!$C$14/1000,0)</f>
        <v>0</v>
      </c>
      <c r="BP392" s="31" t="n">
        <f aca="false">IF(CK392="N",BX392,ROUNDDOWN((J392-M392)*設定!$B$15/1000,0))</f>
        <v>0</v>
      </c>
      <c r="BQ392" s="31" t="n">
        <f aca="false">ROUNDDOWN((J392-M392)*設定!$C$15/1000,0)</f>
        <v>0</v>
      </c>
      <c r="BR392" s="31" t="n">
        <f aca="false">O392+P392</f>
        <v>0</v>
      </c>
      <c r="BS392" s="31" t="n">
        <f aca="false">T392+U392+V392</f>
        <v>0</v>
      </c>
      <c r="BT392" s="31" t="n">
        <f aca="false">Q392</f>
        <v>0</v>
      </c>
      <c r="BU392" s="31" t="n">
        <f aca="false">W392</f>
        <v>0</v>
      </c>
      <c r="BV392" s="31" t="n">
        <f aca="false">R392</f>
        <v>0</v>
      </c>
      <c r="BW392" s="31" t="n">
        <f aca="false">X392</f>
        <v>0</v>
      </c>
      <c r="BX392" s="31" t="n">
        <f aca="false">S392</f>
        <v>0</v>
      </c>
      <c r="BY392" s="31" t="n">
        <f aca="false">Y392</f>
        <v>0</v>
      </c>
      <c r="BZ392" s="32" t="n">
        <f aca="false">IF(BJ392=0,IF(BR392=0,0,1),(BR392-BJ392)/BJ392)</f>
        <v>0</v>
      </c>
      <c r="CA392" s="32" t="n">
        <f aca="false">IF(BK392=0,IF(BS392=0,0,1),(BS392-BK392)/BK392)</f>
        <v>0</v>
      </c>
      <c r="CB392" s="32" t="n">
        <f aca="false">IF(BL392=0,IF(BT392=0,0,1),(BT392-BL392)/BL392)</f>
        <v>0</v>
      </c>
      <c r="CC392" s="32" t="n">
        <f aca="false">IF(BM392=0,IF(BU392=0,0,1),(BU392-BM392)/BM392)</f>
        <v>0</v>
      </c>
      <c r="CD392" s="32" t="n">
        <f aca="false">IF(BN392=0,IF(BV392=0,0,1),(BV392-BN392)/BN392)</f>
        <v>0</v>
      </c>
      <c r="CE392" s="32" t="n">
        <f aca="false">IF(BO392=0,IF(BW392=0,0,1),(BW392-BO392)/BO392)</f>
        <v>0</v>
      </c>
      <c r="CF392" s="32" t="n">
        <f aca="false">IF(BP392=0,IF(BX392=0,0,1),(BX392-BP392)/BP392)</f>
        <v>0</v>
      </c>
      <c r="CG392" s="32" t="n">
        <f aca="false">IF(BQ392=0,IF(BY392=0,0,1),(BY392-BQ392)/BQ392)</f>
        <v>0</v>
      </c>
      <c r="CH392" s="32" t="n">
        <f aca="false">MAX(MAX(BZ392:CG392),-MIN(BZ392:CG392))</f>
        <v>-0</v>
      </c>
      <c r="CI392" s="31" t="n">
        <f aca="false">IF(CO392="","",SUMIFS($CJ$7:$CJ$696,$A$7:$A$696,CO392,$B$7:$B$696,B392))</f>
        <v>152378</v>
      </c>
      <c r="CJ392" s="31" t="n">
        <f aca="false">SUM(AY392:BI392)</f>
        <v>152378</v>
      </c>
      <c r="CK392" s="31" t="str">
        <f aca="false">IFERROR(INDEX(設定!$F$61:$F$106,MATCH(B392,設定!$B$61:$B$106,0)),"Y")</f>
        <v>N</v>
      </c>
      <c r="CL392" s="31" t="str">
        <f aca="false">IFERROR(INDEX(設定!$G$61:$G$106,MATCH(B392,設定!$B$61:$B$106,0)),"外郭型")</f>
        <v>外郭型</v>
      </c>
      <c r="CM392" s="33" t="str">
        <f aca="false">A392&amp;"|"&amp;B392</f>
        <v>2026-11 月例|ひろしま産業振興</v>
      </c>
      <c r="CN392" s="34" t="str">
        <f aca="false">IFERROR(INDEX(設定!$D$61:$D$106,MATCH(B392,設定!$B$61:$B$106,0)),"Y")</f>
        <v>Y</v>
      </c>
      <c r="CO392" s="34" t="str">
        <f aca="false">IFERROR(INDEX(設定!$D$20:$D$34,MATCH(A392,設定!$A$20:$A$34,0))&amp;"","")</f>
        <v>2026-10 月例</v>
      </c>
    </row>
    <row r="393" customFormat="false" ht="15" hidden="true" customHeight="false" outlineLevel="0" collapsed="false">
      <c r="A393" s="22" t="s">
        <v>224</v>
      </c>
      <c r="B393" s="23" t="s">
        <v>187</v>
      </c>
      <c r="C393" s="10" t="str">
        <f aca="false">IF(G393="","未受領",IF(G393="なし","報告なし",IF(AL393="○","起票済",IF(OR(AK393="○",F393="一致",F393="入金不要"),"入金確認済","受領済"))))</f>
        <v>未受領</v>
      </c>
      <c r="D393" s="10" t="str">
        <f aca="false">IF(OR(G393="",G393="なし"),"―",IF(CN393="N","対象外",IF(AND(I393="",J393="",K393=""),"標報未入力",IF(CH393&gt;=設定!$B$4,"要確認","問題なし"))))</f>
        <v>―</v>
      </c>
      <c r="E393" s="24" t="str">
        <f aca="false">IF(OR(G393="",G393="なし",CI393="",CJ393=0),"―",IF(CJ393=CI393,"前月同額",IF(CI393=0,"―",IF(ABS(CJ393/CI393-1)&gt;=設定!$B$5,"変動大 "&amp;TEXT(CJ393/CI393-1,"+0%;-0%"),"〇"))))</f>
        <v>―</v>
      </c>
      <c r="F393" s="10" t="str">
        <f aca="false">IF(OR(G393="",G393="なし"),"―",IF(CJ393=0,"入金不要",IF(COUNT(AD393,AF393,AH393,AJ393)=0,IF(AK393="○","手動確認","未入金"),IF(AND(N(AD393)=AC393,IF(AE393="",TRUE(),N(AF393)=AE393),IF(AG393="",TRUE(),N(AH393)=AG393),IF(AI393="",TRUE(),N(AJ393)=AI393)),"一致","不一致"))))</f>
        <v>―</v>
      </c>
      <c r="G393" s="25"/>
      <c r="H393" s="26"/>
      <c r="I393" s="27"/>
      <c r="J393" s="27"/>
      <c r="K393" s="27"/>
      <c r="L393" s="27"/>
      <c r="M393" s="27"/>
      <c r="N393" s="27"/>
      <c r="O393" s="27"/>
      <c r="P393" s="27"/>
      <c r="Q393" s="27"/>
      <c r="R393" s="27"/>
      <c r="S393" s="27"/>
      <c r="T393" s="27"/>
      <c r="U393" s="27"/>
      <c r="V393" s="27"/>
      <c r="W393" s="27"/>
      <c r="X393" s="27"/>
      <c r="Y393" s="27"/>
      <c r="Z393" s="27"/>
      <c r="AA393" s="10" t="str">
        <f aca="false">IFERROR(INDEX(設定!$E$61:$E$106,MATCH(B393,設定!$B$61:$B$106,0)),"合算")</f>
        <v>合算</v>
      </c>
      <c r="AB393" s="28"/>
      <c r="AC393" s="29" t="str">
        <f aca="false">IF(OR(G393="",G393="なし"),"",IF(AA393="合算",CJ393+N(Z393),IF(AA393="掛金・負担金別",(AY393+AZ393+BD393+BF393+BH393),SUM(AY393:BC393))))</f>
        <v/>
      </c>
      <c r="AD393" s="27"/>
      <c r="AE393" s="29" t="str">
        <f aca="false">IF(OR(G393="",G393="なし"),"",IF(AA393="掛金・負担金別",(BA393+BB393+BC393+BE393+BG393+BI393+N(Z393)),IF(AA393="経理区分別",BD393+BE393,"")))</f>
        <v/>
      </c>
      <c r="AF393" s="27"/>
      <c r="AG393" s="29" t="str">
        <f aca="false">IF(OR(G393="",G393="なし"),"",IF(AA393="経理区分別",BF393+BG393,""))</f>
        <v/>
      </c>
      <c r="AH393" s="27"/>
      <c r="AI393" s="29" t="str">
        <f aca="false">IF(OR(G393="",G393="なし"),"",IF(AA393="経理区分別",BH393+BI393+N(Z393),""))</f>
        <v/>
      </c>
      <c r="AJ393" s="27"/>
      <c r="AK393" s="26"/>
      <c r="AL393" s="26"/>
      <c r="AM393" s="30"/>
      <c r="AN393" s="31"/>
      <c r="AO393" s="31"/>
      <c r="AP393" s="31" t="n">
        <v>48495</v>
      </c>
      <c r="AQ393" s="31" t="n">
        <v>3975</v>
      </c>
      <c r="AR393" s="31" t="n">
        <v>49</v>
      </c>
      <c r="AS393" s="31"/>
      <c r="AT393" s="31" t="n">
        <v>29208</v>
      </c>
      <c r="AU393" s="31"/>
      <c r="AV393" s="31" t="n">
        <v>4187</v>
      </c>
      <c r="AW393" s="31"/>
      <c r="AX393" s="31" t="n">
        <v>1</v>
      </c>
      <c r="AY393" s="31" t="n">
        <f aca="false">IF($G393="",AN393,O393)</f>
        <v>0</v>
      </c>
      <c r="AZ393" s="31" t="n">
        <f aca="false">IF($G393="",AO393,P393)</f>
        <v>0</v>
      </c>
      <c r="BA393" s="31" t="n">
        <f aca="false">IF($G393="",AP393,T393)</f>
        <v>48495</v>
      </c>
      <c r="BB393" s="31" t="n">
        <f aca="false">IF($G393="",AQ393,U393)</f>
        <v>3975</v>
      </c>
      <c r="BC393" s="31" t="n">
        <f aca="false">IF($G393="",AR393,V393)</f>
        <v>49</v>
      </c>
      <c r="BD393" s="31" t="n">
        <f aca="false">IF($G393="",AS393,Q393)</f>
        <v>0</v>
      </c>
      <c r="BE393" s="31" t="n">
        <f aca="false">IF($G393="",AT393,W393)</f>
        <v>29208</v>
      </c>
      <c r="BF393" s="31" t="n">
        <f aca="false">IF($G393="",AU393,R393)</f>
        <v>0</v>
      </c>
      <c r="BG393" s="31" t="n">
        <f aca="false">IF($G393="",AV393,X393)</f>
        <v>4187</v>
      </c>
      <c r="BH393" s="31" t="n">
        <f aca="false">IF($G393="",AW393,S393)</f>
        <v>0</v>
      </c>
      <c r="BI393" s="31" t="n">
        <f aca="false">IF($G393="",AX393,Y393)</f>
        <v>1</v>
      </c>
      <c r="BJ393" s="31" t="n">
        <f aca="false">IF(CK393="N",BR393,ROUNDDOWN((I393-L393)*設定!$B$10/1000,0)+ROUNDDOWN((I393-L393)*設定!$B$11/1000,0))</f>
        <v>0</v>
      </c>
      <c r="BK393" s="31" t="n">
        <f aca="false">ROUNDDOWN((I393-L393)*設定!$C$10/1000,0)+ROUNDDOWN((I393-L393)*設定!$C$11/1000,0)+ROUNDDOWN(I393*設定!$C$12/1000,0)+IF(CL393="市局型",ROUNDDOWN(I393*設定!$C$16/1000,0),0)</f>
        <v>0</v>
      </c>
      <c r="BL393" s="31" t="n">
        <f aca="false">IF(CK393="N",BT393,ROUNDDOWN((J393-M393)*設定!$B$13/1000,0))</f>
        <v>0</v>
      </c>
      <c r="BM393" s="31" t="n">
        <f aca="false">ROUNDDOWN((J393-M393)*設定!$C$13/1000,0)+IF(CL393="市局型",ROUNDDOWN(J393*設定!$C$17/1000,0),0)</f>
        <v>0</v>
      </c>
      <c r="BN393" s="31" t="n">
        <f aca="false">IF(CK393="N",BV393,ROUNDDOWN((K393-N393)*設定!$B$14/1000,0))</f>
        <v>0</v>
      </c>
      <c r="BO393" s="31" t="n">
        <f aca="false">ROUNDDOWN((K393-N393)*設定!$C$14/1000,0)</f>
        <v>0</v>
      </c>
      <c r="BP393" s="31" t="n">
        <f aca="false">IF(CK393="N",BX393,ROUNDDOWN((J393-M393)*設定!$B$15/1000,0))</f>
        <v>0</v>
      </c>
      <c r="BQ393" s="31" t="n">
        <f aca="false">ROUNDDOWN((J393-M393)*設定!$C$15/1000,0)</f>
        <v>0</v>
      </c>
      <c r="BR393" s="31" t="n">
        <f aca="false">O393+P393</f>
        <v>0</v>
      </c>
      <c r="BS393" s="31" t="n">
        <f aca="false">T393+U393+V393</f>
        <v>0</v>
      </c>
      <c r="BT393" s="31" t="n">
        <f aca="false">Q393</f>
        <v>0</v>
      </c>
      <c r="BU393" s="31" t="n">
        <f aca="false">W393</f>
        <v>0</v>
      </c>
      <c r="BV393" s="31" t="n">
        <f aca="false">R393</f>
        <v>0</v>
      </c>
      <c r="BW393" s="31" t="n">
        <f aca="false">X393</f>
        <v>0</v>
      </c>
      <c r="BX393" s="31" t="n">
        <f aca="false">S393</f>
        <v>0</v>
      </c>
      <c r="BY393" s="31" t="n">
        <f aca="false">Y393</f>
        <v>0</v>
      </c>
      <c r="BZ393" s="32" t="n">
        <f aca="false">IF(BJ393=0,IF(BR393=0,0,1),(BR393-BJ393)/BJ393)</f>
        <v>0</v>
      </c>
      <c r="CA393" s="32" t="n">
        <f aca="false">IF(BK393=0,IF(BS393=0,0,1),(BS393-BK393)/BK393)</f>
        <v>0</v>
      </c>
      <c r="CB393" s="32" t="n">
        <f aca="false">IF(BL393=0,IF(BT393=0,0,1),(BT393-BL393)/BL393)</f>
        <v>0</v>
      </c>
      <c r="CC393" s="32" t="n">
        <f aca="false">IF(BM393=0,IF(BU393=0,0,1),(BU393-BM393)/BM393)</f>
        <v>0</v>
      </c>
      <c r="CD393" s="32" t="n">
        <f aca="false">IF(BN393=0,IF(BV393=0,0,1),(BV393-BN393)/BN393)</f>
        <v>0</v>
      </c>
      <c r="CE393" s="32" t="n">
        <f aca="false">IF(BO393=0,IF(BW393=0,0,1),(BW393-BO393)/BO393)</f>
        <v>0</v>
      </c>
      <c r="CF393" s="32" t="n">
        <f aca="false">IF(BP393=0,IF(BX393=0,0,1),(BX393-BP393)/BP393)</f>
        <v>0</v>
      </c>
      <c r="CG393" s="32" t="n">
        <f aca="false">IF(BQ393=0,IF(BY393=0,0,1),(BY393-BQ393)/BQ393)</f>
        <v>0</v>
      </c>
      <c r="CH393" s="32" t="n">
        <f aca="false">MAX(MAX(BZ393:CG393),-MIN(BZ393:CG393))</f>
        <v>-0</v>
      </c>
      <c r="CI393" s="31" t="n">
        <f aca="false">IF(CO393="","",SUMIFS($CJ$7:$CJ$696,$A$7:$A$696,CO393,$B$7:$B$696,B393))</f>
        <v>85915</v>
      </c>
      <c r="CJ393" s="31" t="n">
        <f aca="false">SUM(AY393:BI393)</f>
        <v>85915</v>
      </c>
      <c r="CK393" s="31" t="str">
        <f aca="false">IFERROR(INDEX(設定!$F$61:$F$106,MATCH(B393,設定!$B$61:$B$106,0)),"Y")</f>
        <v>N</v>
      </c>
      <c r="CL393" s="31" t="str">
        <f aca="false">IFERROR(INDEX(設定!$G$61:$G$106,MATCH(B393,設定!$B$61:$B$106,0)),"外郭型")</f>
        <v>外郭型</v>
      </c>
      <c r="CM393" s="33" t="str">
        <f aca="false">A393&amp;"|"&amp;B393</f>
        <v>2026-11 月例|都市整備公社　市</v>
      </c>
      <c r="CN393" s="34" t="str">
        <f aca="false">IFERROR(INDEX(設定!$D$61:$D$106,MATCH(B393,設定!$B$61:$B$106,0)),"Y")</f>
        <v>Y</v>
      </c>
      <c r="CO393" s="34" t="str">
        <f aca="false">IFERROR(INDEX(設定!$D$20:$D$34,MATCH(A393,設定!$A$20:$A$34,0))&amp;"","")</f>
        <v>2026-10 月例</v>
      </c>
    </row>
    <row r="394" customFormat="false" ht="15" hidden="true" customHeight="false" outlineLevel="0" collapsed="false">
      <c r="A394" s="22" t="s">
        <v>224</v>
      </c>
      <c r="B394" s="23" t="s">
        <v>188</v>
      </c>
      <c r="C394" s="10" t="str">
        <f aca="false">IF(G394="","未受領",IF(G394="なし","報告なし",IF(AL394="○","起票済",IF(OR(AK394="○",F394="一致",F394="入金不要"),"入金確認済","受領済"))))</f>
        <v>未受領</v>
      </c>
      <c r="D394" s="10" t="str">
        <f aca="false">IF(OR(G394="",G394="なし"),"―",IF(CN394="N","対象外",IF(AND(I394="",J394="",K394=""),"標報未入力",IF(CH394&gt;=設定!$B$4,"要確認","問題なし"))))</f>
        <v>―</v>
      </c>
      <c r="E394" s="24" t="str">
        <f aca="false">IF(OR(G394="",G394="なし",CI394="",CJ394=0),"―",IF(CJ394=CI394,"前月同額",IF(CI394=0,"―",IF(ABS(CJ394/CI394-1)&gt;=設定!$B$5,"変動大 "&amp;TEXT(CJ394/CI394-1,"+0%;-0%"),"〇"))))</f>
        <v>―</v>
      </c>
      <c r="F394" s="10" t="str">
        <f aca="false">IF(OR(G394="",G394="なし"),"―",IF(CJ394=0,"入金不要",IF(COUNT(AD394,AF394,AH394,AJ394)=0,IF(AK394="○","手動確認","未入金"),IF(AND(N(AD394)=AC394,IF(AE394="",TRUE(),N(AF394)=AE394),IF(AG394="",TRUE(),N(AH394)=AG394),IF(AI394="",TRUE(),N(AJ394)=AI394)),"一致","不一致"))))</f>
        <v>―</v>
      </c>
      <c r="G394" s="25"/>
      <c r="H394" s="26"/>
      <c r="I394" s="27"/>
      <c r="J394" s="27"/>
      <c r="K394" s="27"/>
      <c r="L394" s="27"/>
      <c r="M394" s="27"/>
      <c r="N394" s="27"/>
      <c r="O394" s="27"/>
      <c r="P394" s="27"/>
      <c r="Q394" s="27"/>
      <c r="R394" s="27"/>
      <c r="S394" s="27"/>
      <c r="T394" s="27"/>
      <c r="U394" s="27"/>
      <c r="V394" s="27"/>
      <c r="W394" s="27"/>
      <c r="X394" s="27"/>
      <c r="Y394" s="27"/>
      <c r="Z394" s="27"/>
      <c r="AA394" s="10" t="str">
        <f aca="false">IFERROR(INDEX(設定!$E$61:$E$106,MATCH(B394,設定!$B$61:$B$106,0)),"合算")</f>
        <v>合算</v>
      </c>
      <c r="AB394" s="28"/>
      <c r="AC394" s="29" t="str">
        <f aca="false">IF(OR(G394="",G394="なし"),"",IF(AA394="合算",CJ394+N(Z394),IF(AA394="掛金・負担金別",(AY394+AZ394+BD394+BF394+BH394),SUM(AY394:BC394))))</f>
        <v/>
      </c>
      <c r="AD394" s="27"/>
      <c r="AE394" s="29" t="str">
        <f aca="false">IF(OR(G394="",G394="なし"),"",IF(AA394="掛金・負担金別",(BA394+BB394+BC394+BE394+BG394+BI394+N(Z394)),IF(AA394="経理区分別",BD394+BE394,"")))</f>
        <v/>
      </c>
      <c r="AF394" s="27"/>
      <c r="AG394" s="29" t="str">
        <f aca="false">IF(OR(G394="",G394="なし"),"",IF(AA394="経理区分別",BF394+BG394,""))</f>
        <v/>
      </c>
      <c r="AH394" s="27"/>
      <c r="AI394" s="29" t="str">
        <f aca="false">IF(OR(G394="",G394="なし"),"",IF(AA394="経理区分別",BH394+BI394+N(Z394),""))</f>
        <v/>
      </c>
      <c r="AJ394" s="27"/>
      <c r="AK394" s="26"/>
      <c r="AL394" s="26"/>
      <c r="AM394" s="30"/>
      <c r="AN394" s="31"/>
      <c r="AO394" s="31"/>
      <c r="AP394" s="31" t="n">
        <v>124440</v>
      </c>
      <c r="AQ394" s="31" t="n">
        <v>10200</v>
      </c>
      <c r="AR394" s="31" t="n">
        <v>127</v>
      </c>
      <c r="AS394" s="31"/>
      <c r="AT394" s="31" t="n">
        <v>74949</v>
      </c>
      <c r="AU394" s="31"/>
      <c r="AV394" s="31" t="n">
        <v>7031</v>
      </c>
      <c r="AW394" s="31"/>
      <c r="AX394" s="31" t="n">
        <v>1</v>
      </c>
      <c r="AY394" s="31" t="n">
        <f aca="false">IF($G394="",AN394,O394)</f>
        <v>0</v>
      </c>
      <c r="AZ394" s="31" t="n">
        <f aca="false">IF($G394="",AO394,P394)</f>
        <v>0</v>
      </c>
      <c r="BA394" s="31" t="n">
        <f aca="false">IF($G394="",AP394,T394)</f>
        <v>124440</v>
      </c>
      <c r="BB394" s="31" t="n">
        <f aca="false">IF($G394="",AQ394,U394)</f>
        <v>10200</v>
      </c>
      <c r="BC394" s="31" t="n">
        <f aca="false">IF($G394="",AR394,V394)</f>
        <v>127</v>
      </c>
      <c r="BD394" s="31" t="n">
        <f aca="false">IF($G394="",AS394,Q394)</f>
        <v>0</v>
      </c>
      <c r="BE394" s="31" t="n">
        <f aca="false">IF($G394="",AT394,W394)</f>
        <v>74949</v>
      </c>
      <c r="BF394" s="31" t="n">
        <f aca="false">IF($G394="",AU394,R394)</f>
        <v>0</v>
      </c>
      <c r="BG394" s="31" t="n">
        <f aca="false">IF($G394="",AV394,X394)</f>
        <v>7031</v>
      </c>
      <c r="BH394" s="31" t="n">
        <f aca="false">IF($G394="",AW394,S394)</f>
        <v>0</v>
      </c>
      <c r="BI394" s="31" t="n">
        <f aca="false">IF($G394="",AX394,Y394)</f>
        <v>1</v>
      </c>
      <c r="BJ394" s="31" t="n">
        <f aca="false">IF(CK394="N",BR394,ROUNDDOWN((I394-L394)*設定!$B$10/1000,0)+ROUNDDOWN((I394-L394)*設定!$B$11/1000,0))</f>
        <v>0</v>
      </c>
      <c r="BK394" s="31" t="n">
        <f aca="false">ROUNDDOWN((I394-L394)*設定!$C$10/1000,0)+ROUNDDOWN((I394-L394)*設定!$C$11/1000,0)+ROUNDDOWN(I394*設定!$C$12/1000,0)+IF(CL394="市局型",ROUNDDOWN(I394*設定!$C$16/1000,0),0)</f>
        <v>0</v>
      </c>
      <c r="BL394" s="31" t="n">
        <f aca="false">IF(CK394="N",BT394,ROUNDDOWN((J394-M394)*設定!$B$13/1000,0))</f>
        <v>0</v>
      </c>
      <c r="BM394" s="31" t="n">
        <f aca="false">ROUNDDOWN((J394-M394)*設定!$C$13/1000,0)+IF(CL394="市局型",ROUNDDOWN(J394*設定!$C$17/1000,0),0)</f>
        <v>0</v>
      </c>
      <c r="BN394" s="31" t="n">
        <f aca="false">IF(CK394="N",BV394,ROUNDDOWN((K394-N394)*設定!$B$14/1000,0))</f>
        <v>0</v>
      </c>
      <c r="BO394" s="31" t="n">
        <f aca="false">ROUNDDOWN((K394-N394)*設定!$C$14/1000,0)</f>
        <v>0</v>
      </c>
      <c r="BP394" s="31" t="n">
        <f aca="false">IF(CK394="N",BX394,ROUNDDOWN((J394-M394)*設定!$B$15/1000,0))</f>
        <v>0</v>
      </c>
      <c r="BQ394" s="31" t="n">
        <f aca="false">ROUNDDOWN((J394-M394)*設定!$C$15/1000,0)</f>
        <v>0</v>
      </c>
      <c r="BR394" s="31" t="n">
        <f aca="false">O394+P394</f>
        <v>0</v>
      </c>
      <c r="BS394" s="31" t="n">
        <f aca="false">T394+U394+V394</f>
        <v>0</v>
      </c>
      <c r="BT394" s="31" t="n">
        <f aca="false">Q394</f>
        <v>0</v>
      </c>
      <c r="BU394" s="31" t="n">
        <f aca="false">W394</f>
        <v>0</v>
      </c>
      <c r="BV394" s="31" t="n">
        <f aca="false">R394</f>
        <v>0</v>
      </c>
      <c r="BW394" s="31" t="n">
        <f aca="false">X394</f>
        <v>0</v>
      </c>
      <c r="BX394" s="31" t="n">
        <f aca="false">S394</f>
        <v>0</v>
      </c>
      <c r="BY394" s="31" t="n">
        <f aca="false">Y394</f>
        <v>0</v>
      </c>
      <c r="BZ394" s="32" t="n">
        <f aca="false">IF(BJ394=0,IF(BR394=0,0,1),(BR394-BJ394)/BJ394)</f>
        <v>0</v>
      </c>
      <c r="CA394" s="32" t="n">
        <f aca="false">IF(BK394=0,IF(BS394=0,0,1),(BS394-BK394)/BK394)</f>
        <v>0</v>
      </c>
      <c r="CB394" s="32" t="n">
        <f aca="false">IF(BL394=0,IF(BT394=0,0,1),(BT394-BL394)/BL394)</f>
        <v>0</v>
      </c>
      <c r="CC394" s="32" t="n">
        <f aca="false">IF(BM394=0,IF(BU394=0,0,1),(BU394-BM394)/BM394)</f>
        <v>0</v>
      </c>
      <c r="CD394" s="32" t="n">
        <f aca="false">IF(BN394=0,IF(BV394=0,0,1),(BV394-BN394)/BN394)</f>
        <v>0</v>
      </c>
      <c r="CE394" s="32" t="n">
        <f aca="false">IF(BO394=0,IF(BW394=0,0,1),(BW394-BO394)/BO394)</f>
        <v>0</v>
      </c>
      <c r="CF394" s="32" t="n">
        <f aca="false">IF(BP394=0,IF(BX394=0,0,1),(BX394-BP394)/BP394)</f>
        <v>0</v>
      </c>
      <c r="CG394" s="32" t="n">
        <f aca="false">IF(BQ394=0,IF(BY394=0,0,1),(BY394-BQ394)/BQ394)</f>
        <v>0</v>
      </c>
      <c r="CH394" s="32" t="n">
        <f aca="false">MAX(MAX(BZ394:CG394),-MIN(BZ394:CG394))</f>
        <v>-0</v>
      </c>
      <c r="CI394" s="31" t="n">
        <f aca="false">IF(CO394="","",SUMIFS($CJ$7:$CJ$696,$A$7:$A$696,CO394,$B$7:$B$696,B394))</f>
        <v>216748</v>
      </c>
      <c r="CJ394" s="31" t="n">
        <f aca="false">SUM(AY394:BI394)</f>
        <v>216748</v>
      </c>
      <c r="CK394" s="31" t="str">
        <f aca="false">IFERROR(INDEX(設定!$F$61:$F$106,MATCH(B394,設定!$B$61:$B$106,0)),"Y")</f>
        <v>N</v>
      </c>
      <c r="CL394" s="31" t="str">
        <f aca="false">IFERROR(INDEX(設定!$G$61:$G$106,MATCH(B394,設定!$B$61:$B$106,0)),"外郭型")</f>
        <v>外郭型</v>
      </c>
      <c r="CM394" s="33" t="str">
        <f aca="false">A394&amp;"|"&amp;B394</f>
        <v>2026-11 月例|都市整備公社　消防</v>
      </c>
      <c r="CN394" s="34" t="str">
        <f aca="false">IFERROR(INDEX(設定!$D$61:$D$106,MATCH(B394,設定!$B$61:$B$106,0)),"Y")</f>
        <v>Y</v>
      </c>
      <c r="CO394" s="34" t="str">
        <f aca="false">IFERROR(INDEX(設定!$D$20:$D$34,MATCH(A394,設定!$A$20:$A$34,0))&amp;"","")</f>
        <v>2026-10 月例</v>
      </c>
    </row>
    <row r="395" customFormat="false" ht="15" hidden="true" customHeight="false" outlineLevel="0" collapsed="false">
      <c r="A395" s="22" t="s">
        <v>224</v>
      </c>
      <c r="B395" s="23" t="s">
        <v>189</v>
      </c>
      <c r="C395" s="10" t="str">
        <f aca="false">IF(G395="","未受領",IF(G395="なし","報告なし",IF(AL395="○","起票済",IF(OR(AK395="○",F395="一致",F395="入金不要"),"入金確認済","受領済"))))</f>
        <v>未受領</v>
      </c>
      <c r="D395" s="10" t="str">
        <f aca="false">IF(OR(G395="",G395="なし"),"―",IF(CN395="N","対象外",IF(AND(I395="",J395="",K395=""),"標報未入力",IF(CH395&gt;=設定!$B$4,"要確認","問題なし"))))</f>
        <v>―</v>
      </c>
      <c r="E395" s="24" t="str">
        <f aca="false">IF(OR(G395="",G395="なし",CI395="",CJ395=0),"―",IF(CJ395=CI395,"前月同額",IF(CI395=0,"―",IF(ABS(CJ395/CI395-1)&gt;=設定!$B$5,"変動大 "&amp;TEXT(CJ395/CI395-1,"+0%;-0%"),"〇"))))</f>
        <v>―</v>
      </c>
      <c r="F395" s="10" t="str">
        <f aca="false">IF(OR(G395="",G395="なし"),"―",IF(CJ395=0,"入金不要",IF(COUNT(AD395,AF395,AH395,AJ395)=0,IF(AK395="○","手動確認","未入金"),IF(AND(N(AD395)=AC395,IF(AE395="",TRUE(),N(AF395)=AE395),IF(AG395="",TRUE(),N(AH395)=AG395),IF(AI395="",TRUE(),N(AJ395)=AI395)),"一致","不一致"))))</f>
        <v>―</v>
      </c>
      <c r="G395" s="25"/>
      <c r="H395" s="26"/>
      <c r="I395" s="27"/>
      <c r="J395" s="27"/>
      <c r="K395" s="27"/>
      <c r="L395" s="27"/>
      <c r="M395" s="27"/>
      <c r="N395" s="27"/>
      <c r="O395" s="27"/>
      <c r="P395" s="27"/>
      <c r="Q395" s="27"/>
      <c r="R395" s="27"/>
      <c r="S395" s="27"/>
      <c r="T395" s="27"/>
      <c r="U395" s="27"/>
      <c r="V395" s="27"/>
      <c r="W395" s="27"/>
      <c r="X395" s="27"/>
      <c r="Y395" s="27"/>
      <c r="Z395" s="27"/>
      <c r="AA395" s="10" t="str">
        <f aca="false">IFERROR(INDEX(設定!$E$61:$E$106,MATCH(B395,設定!$B$61:$B$106,0)),"合算")</f>
        <v>合算</v>
      </c>
      <c r="AB395" s="28"/>
      <c r="AC395" s="29" t="str">
        <f aca="false">IF(OR(G395="",G395="なし"),"",IF(AA395="合算",CJ395+N(Z395),IF(AA395="掛金・負担金別",(AY395+AZ395+BD395+BF395+BH395),SUM(AY395:BC395))))</f>
        <v/>
      </c>
      <c r="AD395" s="27"/>
      <c r="AE395" s="29" t="str">
        <f aca="false">IF(OR(G395="",G395="なし"),"",IF(AA395="掛金・負担金別",(BA395+BB395+BC395+BE395+BG395+BI395+N(Z395)),IF(AA395="経理区分別",BD395+BE395,"")))</f>
        <v/>
      </c>
      <c r="AF395" s="27"/>
      <c r="AG395" s="29" t="str">
        <f aca="false">IF(OR(G395="",G395="なし"),"",IF(AA395="経理区分別",BF395+BG395,""))</f>
        <v/>
      </c>
      <c r="AH395" s="27"/>
      <c r="AI395" s="29" t="str">
        <f aca="false">IF(OR(G395="",G395="なし"),"",IF(AA395="経理区分別",BH395+BI395+N(Z395),""))</f>
        <v/>
      </c>
      <c r="AJ395" s="27"/>
      <c r="AK395" s="26"/>
      <c r="AL395" s="26"/>
      <c r="AM395" s="30"/>
      <c r="AN395" s="31" t="n">
        <v>245220</v>
      </c>
      <c r="AO395" s="31" t="n">
        <v>20100</v>
      </c>
      <c r="AP395" s="31" t="n">
        <v>245220</v>
      </c>
      <c r="AQ395" s="31" t="n">
        <v>20100</v>
      </c>
      <c r="AR395" s="31" t="n">
        <v>251</v>
      </c>
      <c r="AS395" s="31" t="n">
        <v>147425</v>
      </c>
      <c r="AT395" s="31" t="n">
        <v>147694</v>
      </c>
      <c r="AU395" s="31" t="n">
        <v>9559</v>
      </c>
      <c r="AV395" s="31" t="n">
        <v>9559</v>
      </c>
      <c r="AW395" s="31" t="n">
        <v>1</v>
      </c>
      <c r="AX395" s="31" t="n">
        <v>1</v>
      </c>
      <c r="AY395" s="31" t="n">
        <f aca="false">IF($G395="",AN395,O395)</f>
        <v>245220</v>
      </c>
      <c r="AZ395" s="31" t="n">
        <f aca="false">IF($G395="",AO395,P395)</f>
        <v>20100</v>
      </c>
      <c r="BA395" s="31" t="n">
        <f aca="false">IF($G395="",AP395,T395)</f>
        <v>245220</v>
      </c>
      <c r="BB395" s="31" t="n">
        <f aca="false">IF($G395="",AQ395,U395)</f>
        <v>20100</v>
      </c>
      <c r="BC395" s="31" t="n">
        <f aca="false">IF($G395="",AR395,V395)</f>
        <v>251</v>
      </c>
      <c r="BD395" s="31" t="n">
        <f aca="false">IF($G395="",AS395,Q395)</f>
        <v>147425</v>
      </c>
      <c r="BE395" s="31" t="n">
        <f aca="false">IF($G395="",AT395,W395)</f>
        <v>147694</v>
      </c>
      <c r="BF395" s="31" t="n">
        <f aca="false">IF($G395="",AU395,R395)</f>
        <v>9559</v>
      </c>
      <c r="BG395" s="31" t="n">
        <f aca="false">IF($G395="",AV395,X395)</f>
        <v>9559</v>
      </c>
      <c r="BH395" s="31" t="n">
        <f aca="false">IF($G395="",AW395,S395)</f>
        <v>1</v>
      </c>
      <c r="BI395" s="31" t="n">
        <f aca="false">IF($G395="",AX395,Y395)</f>
        <v>1</v>
      </c>
      <c r="BJ395" s="31" t="n">
        <f aca="false">IF(CK395="N",BR395,ROUNDDOWN((I395-L395)*設定!$B$10/1000,0)+ROUNDDOWN((I395-L395)*設定!$B$11/1000,0))</f>
        <v>0</v>
      </c>
      <c r="BK395" s="31" t="n">
        <f aca="false">ROUNDDOWN((I395-L395)*設定!$C$10/1000,0)+ROUNDDOWN((I395-L395)*設定!$C$11/1000,0)+ROUNDDOWN(I395*設定!$C$12/1000,0)+IF(CL395="市局型",ROUNDDOWN(I395*設定!$C$16/1000,0),0)</f>
        <v>0</v>
      </c>
      <c r="BL395" s="31" t="n">
        <f aca="false">IF(CK395="N",BT395,ROUNDDOWN((J395-M395)*設定!$B$13/1000,0))</f>
        <v>0</v>
      </c>
      <c r="BM395" s="31" t="n">
        <f aca="false">ROUNDDOWN((J395-M395)*設定!$C$13/1000,0)+IF(CL395="市局型",ROUNDDOWN(J395*設定!$C$17/1000,0),0)</f>
        <v>0</v>
      </c>
      <c r="BN395" s="31" t="n">
        <f aca="false">IF(CK395="N",BV395,ROUNDDOWN((K395-N395)*設定!$B$14/1000,0))</f>
        <v>0</v>
      </c>
      <c r="BO395" s="31" t="n">
        <f aca="false">ROUNDDOWN((K395-N395)*設定!$C$14/1000,0)</f>
        <v>0</v>
      </c>
      <c r="BP395" s="31" t="n">
        <f aca="false">IF(CK395="N",BX395,ROUNDDOWN((J395-M395)*設定!$B$15/1000,0))</f>
        <v>0</v>
      </c>
      <c r="BQ395" s="31" t="n">
        <f aca="false">ROUNDDOWN((J395-M395)*設定!$C$15/1000,0)</f>
        <v>0</v>
      </c>
      <c r="BR395" s="31" t="n">
        <f aca="false">O395+P395</f>
        <v>0</v>
      </c>
      <c r="BS395" s="31" t="n">
        <f aca="false">T395+U395+V395</f>
        <v>0</v>
      </c>
      <c r="BT395" s="31" t="n">
        <f aca="false">Q395</f>
        <v>0</v>
      </c>
      <c r="BU395" s="31" t="n">
        <f aca="false">W395</f>
        <v>0</v>
      </c>
      <c r="BV395" s="31" t="n">
        <f aca="false">R395</f>
        <v>0</v>
      </c>
      <c r="BW395" s="31" t="n">
        <f aca="false">X395</f>
        <v>0</v>
      </c>
      <c r="BX395" s="31" t="n">
        <f aca="false">S395</f>
        <v>0</v>
      </c>
      <c r="BY395" s="31" t="n">
        <f aca="false">Y395</f>
        <v>0</v>
      </c>
      <c r="BZ395" s="32" t="n">
        <f aca="false">IF(BJ395=0,IF(BR395=0,0,1),(BR395-BJ395)/BJ395)</f>
        <v>0</v>
      </c>
      <c r="CA395" s="32" t="n">
        <f aca="false">IF(BK395=0,IF(BS395=0,0,1),(BS395-BK395)/BK395)</f>
        <v>0</v>
      </c>
      <c r="CB395" s="32" t="n">
        <f aca="false">IF(BL395=0,IF(BT395=0,0,1),(BT395-BL395)/BL395)</f>
        <v>0</v>
      </c>
      <c r="CC395" s="32" t="n">
        <f aca="false">IF(BM395=0,IF(BU395=0,0,1),(BU395-BM395)/BM395)</f>
        <v>0</v>
      </c>
      <c r="CD395" s="32" t="n">
        <f aca="false">IF(BN395=0,IF(BV395=0,0,1),(BV395-BN395)/BN395)</f>
        <v>0</v>
      </c>
      <c r="CE395" s="32" t="n">
        <f aca="false">IF(BO395=0,IF(BW395=0,0,1),(BW395-BO395)/BO395)</f>
        <v>0</v>
      </c>
      <c r="CF395" s="32" t="n">
        <f aca="false">IF(BP395=0,IF(BX395=0,0,1),(BX395-BP395)/BP395)</f>
        <v>0</v>
      </c>
      <c r="CG395" s="32" t="n">
        <f aca="false">IF(BQ395=0,IF(BY395=0,0,1),(BY395-BQ395)/BQ395)</f>
        <v>0</v>
      </c>
      <c r="CH395" s="32" t="n">
        <f aca="false">MAX(MAX(BZ395:CG395),-MIN(BZ395:CG395))</f>
        <v>-0</v>
      </c>
      <c r="CI395" s="31" t="n">
        <f aca="false">IF(CO395="","",SUMIFS($CJ$7:$CJ$696,$A$7:$A$696,CO395,$B$7:$B$696,B395))</f>
        <v>841761</v>
      </c>
      <c r="CJ395" s="31" t="n">
        <f aca="false">SUM(AY395:BI395)</f>
        <v>845130</v>
      </c>
      <c r="CK395" s="31" t="str">
        <f aca="false">IFERROR(INDEX(設定!$F$61:$F$106,MATCH(B395,設定!$B$61:$B$106,0)),"Y")</f>
        <v>Y</v>
      </c>
      <c r="CL395" s="31" t="str">
        <f aca="false">IFERROR(INDEX(設定!$G$61:$G$106,MATCH(B395,設定!$B$61:$B$106,0)),"外郭型")</f>
        <v>外郭型</v>
      </c>
      <c r="CM395" s="33" t="str">
        <f aca="false">A395&amp;"|"&amp;B395</f>
        <v>2026-11 月例|日本下水道事業団</v>
      </c>
      <c r="CN395" s="34" t="str">
        <f aca="false">IFERROR(INDEX(設定!$D$61:$D$106,MATCH(B395,設定!$B$61:$B$106,0)),"Y")</f>
        <v>Y</v>
      </c>
      <c r="CO395" s="34" t="str">
        <f aca="false">IFERROR(INDEX(設定!$D$20:$D$34,MATCH(A395,設定!$A$20:$A$34,0))&amp;"","")</f>
        <v>2026-10 月例</v>
      </c>
    </row>
    <row r="396" customFormat="false" ht="15" hidden="true" customHeight="false" outlineLevel="0" collapsed="false">
      <c r="A396" s="22" t="s">
        <v>224</v>
      </c>
      <c r="B396" s="23" t="s">
        <v>190</v>
      </c>
      <c r="C396" s="10" t="str">
        <f aca="false">IF(G396="","未受領",IF(G396="なし","報告なし",IF(AL396="○","起票済",IF(OR(AK396="○",F396="一致",F396="入金不要"),"入金確認済","受領済"))))</f>
        <v>未受領</v>
      </c>
      <c r="D396" s="10" t="str">
        <f aca="false">IF(OR(G396="",G396="なし"),"―",IF(CN396="N","対象外",IF(AND(I396="",J396="",K396=""),"標報未入力",IF(CH396&gt;=設定!$B$4,"要確認","問題なし"))))</f>
        <v>―</v>
      </c>
      <c r="E396" s="24" t="str">
        <f aca="false">IF(OR(G396="",G396="なし",CI396="",CJ396=0),"―",IF(CJ396=CI396,"前月同額",IF(CI396=0,"―",IF(ABS(CJ396/CI396-1)&gt;=設定!$B$5,"変動大 "&amp;TEXT(CJ396/CI396-1,"+0%;-0%"),"〇"))))</f>
        <v>―</v>
      </c>
      <c r="F396" s="10" t="str">
        <f aca="false">IF(OR(G396="",G396="なし"),"―",IF(CJ396=0,"入金不要",IF(COUNT(AD396,AF396,AH396,AJ396)=0,IF(AK396="○","手動確認","未入金"),IF(AND(N(AD396)=AC396,IF(AE396="",TRUE(),N(AF396)=AE396),IF(AG396="",TRUE(),N(AH396)=AG396),IF(AI396="",TRUE(),N(AJ396)=AI396)),"一致","不一致"))))</f>
        <v>―</v>
      </c>
      <c r="G396" s="25"/>
      <c r="H396" s="26"/>
      <c r="I396" s="27"/>
      <c r="J396" s="27"/>
      <c r="K396" s="27"/>
      <c r="L396" s="27"/>
      <c r="M396" s="27"/>
      <c r="N396" s="27"/>
      <c r="O396" s="27"/>
      <c r="P396" s="27"/>
      <c r="Q396" s="27"/>
      <c r="R396" s="27"/>
      <c r="S396" s="27"/>
      <c r="T396" s="27"/>
      <c r="U396" s="27"/>
      <c r="V396" s="27"/>
      <c r="W396" s="27"/>
      <c r="X396" s="27"/>
      <c r="Y396" s="27"/>
      <c r="Z396" s="27"/>
      <c r="AA396" s="10" t="str">
        <f aca="false">IFERROR(INDEX(設定!$E$61:$E$106,MATCH(B396,設定!$B$61:$B$106,0)),"合算")</f>
        <v>合算</v>
      </c>
      <c r="AB396" s="28"/>
      <c r="AC396" s="29" t="str">
        <f aca="false">IF(OR(G396="",G396="なし"),"",IF(AA396="合算",CJ396+N(Z396),IF(AA396="掛金・負担金別",(AY396+AZ396+BD396+BF396+BH396),SUM(AY396:BC396))))</f>
        <v/>
      </c>
      <c r="AD396" s="27"/>
      <c r="AE396" s="29" t="str">
        <f aca="false">IF(OR(G396="",G396="なし"),"",IF(AA396="掛金・負担金別",(BA396+BB396+BC396+BE396+BG396+BI396+N(Z396)),IF(AA396="経理区分別",BD396+BE396,"")))</f>
        <v/>
      </c>
      <c r="AF396" s="27"/>
      <c r="AG396" s="29" t="str">
        <f aca="false">IF(OR(G396="",G396="なし"),"",IF(AA396="経理区分別",BF396+BG396,""))</f>
        <v/>
      </c>
      <c r="AH396" s="27"/>
      <c r="AI396" s="29" t="str">
        <f aca="false">IF(OR(G396="",G396="なし"),"",IF(AA396="経理区分別",BH396+BI396+N(Z396),""))</f>
        <v/>
      </c>
      <c r="AJ396" s="27"/>
      <c r="AK396" s="26"/>
      <c r="AL396" s="26"/>
      <c r="AM396" s="30"/>
      <c r="AN396" s="31" t="n">
        <v>40260</v>
      </c>
      <c r="AO396" s="31" t="n">
        <v>3300</v>
      </c>
      <c r="AP396" s="31" t="n">
        <v>40260</v>
      </c>
      <c r="AQ396" s="31" t="n">
        <v>3300</v>
      </c>
      <c r="AR396" s="31" t="n">
        <v>41</v>
      </c>
      <c r="AS396" s="31" t="n">
        <v>24204</v>
      </c>
      <c r="AT396" s="31" t="n">
        <v>24248</v>
      </c>
      <c r="AU396" s="31" t="n">
        <v>0</v>
      </c>
      <c r="AV396" s="31" t="n">
        <v>0</v>
      </c>
      <c r="AW396" s="31" t="n">
        <v>1</v>
      </c>
      <c r="AX396" s="31" t="n">
        <v>1</v>
      </c>
      <c r="AY396" s="31" t="n">
        <f aca="false">IF($G396="",AN396,O396)</f>
        <v>40260</v>
      </c>
      <c r="AZ396" s="31" t="n">
        <f aca="false">IF($G396="",AO396,P396)</f>
        <v>3300</v>
      </c>
      <c r="BA396" s="31" t="n">
        <f aca="false">IF($G396="",AP396,T396)</f>
        <v>40260</v>
      </c>
      <c r="BB396" s="31" t="n">
        <f aca="false">IF($G396="",AQ396,U396)</f>
        <v>3300</v>
      </c>
      <c r="BC396" s="31" t="n">
        <f aca="false">IF($G396="",AR396,V396)</f>
        <v>41</v>
      </c>
      <c r="BD396" s="31" t="n">
        <f aca="false">IF($G396="",AS396,Q396)</f>
        <v>24204</v>
      </c>
      <c r="BE396" s="31" t="n">
        <f aca="false">IF($G396="",AT396,W396)</f>
        <v>24248</v>
      </c>
      <c r="BF396" s="31" t="n">
        <f aca="false">IF($G396="",AU396,R396)</f>
        <v>0</v>
      </c>
      <c r="BG396" s="31" t="n">
        <f aca="false">IF($G396="",AV396,X396)</f>
        <v>0</v>
      </c>
      <c r="BH396" s="31" t="n">
        <f aca="false">IF($G396="",AW396,S396)</f>
        <v>1</v>
      </c>
      <c r="BI396" s="31" t="n">
        <f aca="false">IF($G396="",AX396,Y396)</f>
        <v>1</v>
      </c>
      <c r="BJ396" s="31" t="n">
        <f aca="false">IF(CK396="N",BR396,ROUNDDOWN((I396-L396)*設定!$B$10/1000,0)+ROUNDDOWN((I396-L396)*設定!$B$11/1000,0))</f>
        <v>0</v>
      </c>
      <c r="BK396" s="31" t="n">
        <f aca="false">ROUNDDOWN((I396-L396)*設定!$C$10/1000,0)+ROUNDDOWN((I396-L396)*設定!$C$11/1000,0)+ROUNDDOWN(I396*設定!$C$12/1000,0)+IF(CL396="市局型",ROUNDDOWN(I396*設定!$C$16/1000,0),0)</f>
        <v>0</v>
      </c>
      <c r="BL396" s="31" t="n">
        <f aca="false">IF(CK396="N",BT396,ROUNDDOWN((J396-M396)*設定!$B$13/1000,0))</f>
        <v>0</v>
      </c>
      <c r="BM396" s="31" t="n">
        <f aca="false">ROUNDDOWN((J396-M396)*設定!$C$13/1000,0)+IF(CL396="市局型",ROUNDDOWN(J396*設定!$C$17/1000,0),0)</f>
        <v>0</v>
      </c>
      <c r="BN396" s="31" t="n">
        <f aca="false">IF(CK396="N",BV396,ROUNDDOWN((K396-N396)*設定!$B$14/1000,0))</f>
        <v>0</v>
      </c>
      <c r="BO396" s="31" t="n">
        <f aca="false">ROUNDDOWN((K396-N396)*設定!$C$14/1000,0)</f>
        <v>0</v>
      </c>
      <c r="BP396" s="31" t="n">
        <f aca="false">IF(CK396="N",BX396,ROUNDDOWN((J396-M396)*設定!$B$15/1000,0))</f>
        <v>0</v>
      </c>
      <c r="BQ396" s="31" t="n">
        <f aca="false">ROUNDDOWN((J396-M396)*設定!$C$15/1000,0)</f>
        <v>0</v>
      </c>
      <c r="BR396" s="31" t="n">
        <f aca="false">O396+P396</f>
        <v>0</v>
      </c>
      <c r="BS396" s="31" t="n">
        <f aca="false">T396+U396+V396</f>
        <v>0</v>
      </c>
      <c r="BT396" s="31" t="n">
        <f aca="false">Q396</f>
        <v>0</v>
      </c>
      <c r="BU396" s="31" t="n">
        <f aca="false">W396</f>
        <v>0</v>
      </c>
      <c r="BV396" s="31" t="n">
        <f aca="false">R396</f>
        <v>0</v>
      </c>
      <c r="BW396" s="31" t="n">
        <f aca="false">X396</f>
        <v>0</v>
      </c>
      <c r="BX396" s="31" t="n">
        <f aca="false">S396</f>
        <v>0</v>
      </c>
      <c r="BY396" s="31" t="n">
        <f aca="false">Y396</f>
        <v>0</v>
      </c>
      <c r="BZ396" s="32" t="n">
        <f aca="false">IF(BJ396=0,IF(BR396=0,0,1),(BR396-BJ396)/BJ396)</f>
        <v>0</v>
      </c>
      <c r="CA396" s="32" t="n">
        <f aca="false">IF(BK396=0,IF(BS396=0,0,1),(BS396-BK396)/BK396)</f>
        <v>0</v>
      </c>
      <c r="CB396" s="32" t="n">
        <f aca="false">IF(BL396=0,IF(BT396=0,0,1),(BT396-BL396)/BL396)</f>
        <v>0</v>
      </c>
      <c r="CC396" s="32" t="n">
        <f aca="false">IF(BM396=0,IF(BU396=0,0,1),(BU396-BM396)/BM396)</f>
        <v>0</v>
      </c>
      <c r="CD396" s="32" t="n">
        <f aca="false">IF(BN396=0,IF(BV396=0,0,1),(BV396-BN396)/BN396)</f>
        <v>0</v>
      </c>
      <c r="CE396" s="32" t="n">
        <f aca="false">IF(BO396=0,IF(BW396=0,0,1),(BW396-BO396)/BO396)</f>
        <v>0</v>
      </c>
      <c r="CF396" s="32" t="n">
        <f aca="false">IF(BP396=0,IF(BX396=0,0,1),(BX396-BP396)/BP396)</f>
        <v>0</v>
      </c>
      <c r="CG396" s="32" t="n">
        <f aca="false">IF(BQ396=0,IF(BY396=0,0,1),(BY396-BQ396)/BQ396)</f>
        <v>0</v>
      </c>
      <c r="CH396" s="32" t="n">
        <f aca="false">MAX(MAX(BZ396:CG396),-MIN(BZ396:CG396))</f>
        <v>-0</v>
      </c>
      <c r="CI396" s="31" t="n">
        <f aca="false">IF(CO396="","",SUMIFS($CJ$7:$CJ$696,$A$7:$A$696,CO396,$B$7:$B$696,B396))</f>
        <v>142951</v>
      </c>
      <c r="CJ396" s="31" t="n">
        <f aca="false">SUM(AY396:BI396)</f>
        <v>135615</v>
      </c>
      <c r="CK396" s="31" t="str">
        <f aca="false">IFERROR(INDEX(設定!$F$61:$F$106,MATCH(B396,設定!$B$61:$B$106,0)),"Y")</f>
        <v>Y</v>
      </c>
      <c r="CL396" s="31" t="str">
        <f aca="false">IFERROR(INDEX(設定!$G$61:$G$106,MATCH(B396,設定!$B$61:$B$106,0)),"外郭型")</f>
        <v>外郭型</v>
      </c>
      <c r="CM396" s="33" t="str">
        <f aca="false">A396&amp;"|"&amp;B396</f>
        <v>2026-11 月例|地方公務員災害補償基金本部</v>
      </c>
      <c r="CN396" s="34" t="str">
        <f aca="false">IFERROR(INDEX(設定!$D$61:$D$106,MATCH(B396,設定!$B$61:$B$106,0)),"Y")</f>
        <v>Y</v>
      </c>
      <c r="CO396" s="34" t="str">
        <f aca="false">IFERROR(INDEX(設定!$D$20:$D$34,MATCH(A396,設定!$A$20:$A$34,0))&amp;"","")</f>
        <v>2026-10 月例</v>
      </c>
    </row>
    <row r="397" customFormat="false" ht="15" hidden="true" customHeight="false" outlineLevel="0" collapsed="false">
      <c r="A397" s="22" t="s">
        <v>224</v>
      </c>
      <c r="B397" s="23" t="s">
        <v>191</v>
      </c>
      <c r="C397" s="10" t="str">
        <f aca="false">IF(G397="","未受領",IF(G397="なし","報告なし",IF(AL397="○","起票済",IF(OR(AK397="○",F397="一致",F397="入金不要"),"入金確認済","受領済"))))</f>
        <v>未受領</v>
      </c>
      <c r="D397" s="10" t="str">
        <f aca="false">IF(OR(G397="",G397="なし"),"―",IF(CN397="N","対象外",IF(AND(I397="",J397="",K397=""),"標報未入力",IF(CH397&gt;=設定!$B$4,"要確認","問題なし"))))</f>
        <v>―</v>
      </c>
      <c r="E397" s="24" t="str">
        <f aca="false">IF(OR(G397="",G397="なし",CI397="",CJ397=0),"―",IF(CJ397=CI397,"前月同額",IF(CI397=0,"―",IF(ABS(CJ397/CI397-1)&gt;=設定!$B$5,"変動大 "&amp;TEXT(CJ397/CI397-1,"+0%;-0%"),"〇"))))</f>
        <v>―</v>
      </c>
      <c r="F397" s="10" t="str">
        <f aca="false">IF(OR(G397="",G397="なし"),"―",IF(CJ397=0,"入金不要",IF(COUNT(AD397,AF397,AH397,AJ397)=0,IF(AK397="○","手動確認","未入金"),IF(AND(N(AD397)=AC397,IF(AE397="",TRUE(),N(AF397)=AE397),IF(AG397="",TRUE(),N(AH397)=AG397),IF(AI397="",TRUE(),N(AJ397)=AI397)),"一致","不一致"))))</f>
        <v>―</v>
      </c>
      <c r="G397" s="25"/>
      <c r="H397" s="26"/>
      <c r="I397" s="27"/>
      <c r="J397" s="27"/>
      <c r="K397" s="27"/>
      <c r="L397" s="27"/>
      <c r="M397" s="27"/>
      <c r="N397" s="27"/>
      <c r="O397" s="27"/>
      <c r="P397" s="27"/>
      <c r="Q397" s="27"/>
      <c r="R397" s="27"/>
      <c r="S397" s="27"/>
      <c r="T397" s="27"/>
      <c r="U397" s="27"/>
      <c r="V397" s="27"/>
      <c r="W397" s="27"/>
      <c r="X397" s="27"/>
      <c r="Y397" s="27"/>
      <c r="Z397" s="27"/>
      <c r="AA397" s="10" t="str">
        <f aca="false">IFERROR(INDEX(設定!$E$61:$E$106,MATCH(B397,設定!$B$61:$B$106,0)),"合算")</f>
        <v>合算</v>
      </c>
      <c r="AB397" s="28"/>
      <c r="AC397" s="29" t="str">
        <f aca="false">IF(OR(G397="",G397="なし"),"",IF(AA397="合算",CJ397+N(Z397),IF(AA397="掛金・負担金別",(AY397+AZ397+BD397+BF397+BH397),SUM(AY397:BC397))))</f>
        <v/>
      </c>
      <c r="AD397" s="27"/>
      <c r="AE397" s="29" t="str">
        <f aca="false">IF(OR(G397="",G397="なし"),"",IF(AA397="掛金・負担金別",(BA397+BB397+BC397+BE397+BG397+BI397+N(Z397)),IF(AA397="経理区分別",BD397+BE397,"")))</f>
        <v/>
      </c>
      <c r="AF397" s="27"/>
      <c r="AG397" s="29" t="str">
        <f aca="false">IF(OR(G397="",G397="なし"),"",IF(AA397="経理区分別",BF397+BG397,""))</f>
        <v/>
      </c>
      <c r="AH397" s="27"/>
      <c r="AI397" s="29" t="str">
        <f aca="false">IF(OR(G397="",G397="なし"),"",IF(AA397="経理区分別",BH397+BI397+N(Z397),""))</f>
        <v/>
      </c>
      <c r="AJ397" s="27"/>
      <c r="AK397" s="26"/>
      <c r="AL397" s="26"/>
      <c r="AM397" s="30"/>
      <c r="AN397" s="31" t="n">
        <v>102480</v>
      </c>
      <c r="AO397" s="31" t="n">
        <v>8400</v>
      </c>
      <c r="AP397" s="31" t="n">
        <v>102480</v>
      </c>
      <c r="AQ397" s="31" t="n">
        <v>8400</v>
      </c>
      <c r="AR397" s="31" t="n">
        <v>105</v>
      </c>
      <c r="AS397" s="31" t="n">
        <v>61610</v>
      </c>
      <c r="AT397" s="31" t="n">
        <v>61723</v>
      </c>
      <c r="AU397" s="31" t="n">
        <v>4661</v>
      </c>
      <c r="AV397" s="31" t="n">
        <v>4661</v>
      </c>
      <c r="AW397" s="31" t="n">
        <v>1</v>
      </c>
      <c r="AX397" s="31" t="n">
        <v>1</v>
      </c>
      <c r="AY397" s="31" t="n">
        <f aca="false">IF($G397="",AN397,O397)</f>
        <v>102480</v>
      </c>
      <c r="AZ397" s="31" t="n">
        <f aca="false">IF($G397="",AO397,P397)</f>
        <v>8400</v>
      </c>
      <c r="BA397" s="31" t="n">
        <f aca="false">IF($G397="",AP397,T397)</f>
        <v>102480</v>
      </c>
      <c r="BB397" s="31" t="n">
        <f aca="false">IF($G397="",AQ397,U397)</f>
        <v>8400</v>
      </c>
      <c r="BC397" s="31" t="n">
        <f aca="false">IF($G397="",AR397,V397)</f>
        <v>105</v>
      </c>
      <c r="BD397" s="31" t="n">
        <f aca="false">IF($G397="",AS397,Q397)</f>
        <v>61610</v>
      </c>
      <c r="BE397" s="31" t="n">
        <f aca="false">IF($G397="",AT397,W397)</f>
        <v>61723</v>
      </c>
      <c r="BF397" s="31" t="n">
        <f aca="false">IF($G397="",AU397,R397)</f>
        <v>4661</v>
      </c>
      <c r="BG397" s="31" t="n">
        <f aca="false">IF($G397="",AV397,X397)</f>
        <v>4661</v>
      </c>
      <c r="BH397" s="31" t="n">
        <f aca="false">IF($G397="",AW397,S397)</f>
        <v>1</v>
      </c>
      <c r="BI397" s="31" t="n">
        <f aca="false">IF($G397="",AX397,Y397)</f>
        <v>1</v>
      </c>
      <c r="BJ397" s="31" t="n">
        <f aca="false">IF(CK397="N",BR397,ROUNDDOWN((I397-L397)*設定!$B$10/1000,0)+ROUNDDOWN((I397-L397)*設定!$B$11/1000,0))</f>
        <v>0</v>
      </c>
      <c r="BK397" s="31" t="n">
        <f aca="false">ROUNDDOWN((I397-L397)*設定!$C$10/1000,0)+ROUNDDOWN((I397-L397)*設定!$C$11/1000,0)+ROUNDDOWN(I397*設定!$C$12/1000,0)+IF(CL397="市局型",ROUNDDOWN(I397*設定!$C$16/1000,0),0)</f>
        <v>0</v>
      </c>
      <c r="BL397" s="31" t="n">
        <f aca="false">IF(CK397="N",BT397,ROUNDDOWN((J397-M397)*設定!$B$13/1000,0))</f>
        <v>0</v>
      </c>
      <c r="BM397" s="31" t="n">
        <f aca="false">ROUNDDOWN((J397-M397)*設定!$C$13/1000,0)+IF(CL397="市局型",ROUNDDOWN(J397*設定!$C$17/1000,0),0)</f>
        <v>0</v>
      </c>
      <c r="BN397" s="31" t="n">
        <f aca="false">IF(CK397="N",BV397,ROUNDDOWN((K397-N397)*設定!$B$14/1000,0))</f>
        <v>0</v>
      </c>
      <c r="BO397" s="31" t="n">
        <f aca="false">ROUNDDOWN((K397-N397)*設定!$C$14/1000,0)</f>
        <v>0</v>
      </c>
      <c r="BP397" s="31" t="n">
        <f aca="false">IF(CK397="N",BX397,ROUNDDOWN((J397-M397)*設定!$B$15/1000,0))</f>
        <v>0</v>
      </c>
      <c r="BQ397" s="31" t="n">
        <f aca="false">ROUNDDOWN((J397-M397)*設定!$C$15/1000,0)</f>
        <v>0</v>
      </c>
      <c r="BR397" s="31" t="n">
        <f aca="false">O397+P397</f>
        <v>0</v>
      </c>
      <c r="BS397" s="31" t="n">
        <f aca="false">T397+U397+V397</f>
        <v>0</v>
      </c>
      <c r="BT397" s="31" t="n">
        <f aca="false">Q397</f>
        <v>0</v>
      </c>
      <c r="BU397" s="31" t="n">
        <f aca="false">W397</f>
        <v>0</v>
      </c>
      <c r="BV397" s="31" t="n">
        <f aca="false">R397</f>
        <v>0</v>
      </c>
      <c r="BW397" s="31" t="n">
        <f aca="false">X397</f>
        <v>0</v>
      </c>
      <c r="BX397" s="31" t="n">
        <f aca="false">S397</f>
        <v>0</v>
      </c>
      <c r="BY397" s="31" t="n">
        <f aca="false">Y397</f>
        <v>0</v>
      </c>
      <c r="BZ397" s="32" t="n">
        <f aca="false">IF(BJ397=0,IF(BR397=0,0,1),(BR397-BJ397)/BJ397)</f>
        <v>0</v>
      </c>
      <c r="CA397" s="32" t="n">
        <f aca="false">IF(BK397=0,IF(BS397=0,0,1),(BS397-BK397)/BK397)</f>
        <v>0</v>
      </c>
      <c r="CB397" s="32" t="n">
        <f aca="false">IF(BL397=0,IF(BT397=0,0,1),(BT397-BL397)/BL397)</f>
        <v>0</v>
      </c>
      <c r="CC397" s="32" t="n">
        <f aca="false">IF(BM397=0,IF(BU397=0,0,1),(BU397-BM397)/BM397)</f>
        <v>0</v>
      </c>
      <c r="CD397" s="32" t="n">
        <f aca="false">IF(BN397=0,IF(BV397=0,0,1),(BV397-BN397)/BN397)</f>
        <v>0</v>
      </c>
      <c r="CE397" s="32" t="n">
        <f aca="false">IF(BO397=0,IF(BW397=0,0,1),(BW397-BO397)/BO397)</f>
        <v>0</v>
      </c>
      <c r="CF397" s="32" t="n">
        <f aca="false">IF(BP397=0,IF(BX397=0,0,1),(BX397-BP397)/BP397)</f>
        <v>0</v>
      </c>
      <c r="CG397" s="32" t="n">
        <f aca="false">IF(BQ397=0,IF(BY397=0,0,1),(BY397-BQ397)/BQ397)</f>
        <v>0</v>
      </c>
      <c r="CH397" s="32" t="n">
        <f aca="false">MAX(MAX(BZ397:CG397),-MIN(BZ397:CG397))</f>
        <v>-0</v>
      </c>
      <c r="CI397" s="31" t="n">
        <f aca="false">IF(CO397="","",SUMIFS($CJ$7:$CJ$696,$A$7:$A$696,CO397,$B$7:$B$696,B397))</f>
        <v>354522</v>
      </c>
      <c r="CJ397" s="31" t="n">
        <f aca="false">SUM(AY397:BI397)</f>
        <v>354522</v>
      </c>
      <c r="CK397" s="31" t="str">
        <f aca="false">IFERROR(INDEX(設定!$F$61:$F$106,MATCH(B397,設定!$B$61:$B$106,0)),"Y")</f>
        <v>Y</v>
      </c>
      <c r="CL397" s="31" t="str">
        <f aca="false">IFERROR(INDEX(設定!$G$61:$G$106,MATCH(B397,設定!$B$61:$B$106,0)),"外郭型")</f>
        <v>外郭型</v>
      </c>
      <c r="CM397" s="33" t="str">
        <f aca="false">A397&amp;"|"&amp;B397</f>
        <v>2026-11 月例|救急振興財団</v>
      </c>
      <c r="CN397" s="34" t="str">
        <f aca="false">IFERROR(INDEX(設定!$D$61:$D$106,MATCH(B397,設定!$B$61:$B$106,0)),"Y")</f>
        <v>Y</v>
      </c>
      <c r="CO397" s="34" t="str">
        <f aca="false">IFERROR(INDEX(設定!$D$20:$D$34,MATCH(A397,設定!$A$20:$A$34,0))&amp;"","")</f>
        <v>2026-10 月例</v>
      </c>
    </row>
    <row r="398" customFormat="false" ht="15" hidden="true" customHeight="false" outlineLevel="0" collapsed="false">
      <c r="A398" s="22" t="s">
        <v>224</v>
      </c>
      <c r="B398" s="23" t="s">
        <v>192</v>
      </c>
      <c r="C398" s="10" t="str">
        <f aca="false">IF(G398="","未受領",IF(G398="なし","報告なし",IF(AL398="○","起票済",IF(OR(AK398="○",F398="一致",F398="入金不要"),"入金確認済","受領済"))))</f>
        <v>未受領</v>
      </c>
      <c r="D398" s="10" t="str">
        <f aca="false">IF(OR(G398="",G398="なし"),"―",IF(CN398="N","対象外",IF(AND(I398="",J398="",K398=""),"標報未入力",IF(CH398&gt;=設定!$B$4,"要確認","問題なし"))))</f>
        <v>―</v>
      </c>
      <c r="E398" s="24" t="str">
        <f aca="false">IF(OR(G398="",G398="なし",CI398="",CJ398=0),"―",IF(CJ398=CI398,"前月同額",IF(CI398=0,"―",IF(ABS(CJ398/CI398-1)&gt;=設定!$B$5,"変動大 "&amp;TEXT(CJ398/CI398-1,"+0%;-0%"),"〇"))))</f>
        <v>―</v>
      </c>
      <c r="F398" s="10" t="str">
        <f aca="false">IF(OR(G398="",G398="なし"),"―",IF(CJ398=0,"入金不要",IF(COUNT(AD398,AF398,AH398,AJ398)=0,IF(AK398="○","手動確認","未入金"),IF(AND(N(AD398)=AC398,IF(AE398="",TRUE(),N(AF398)=AE398),IF(AG398="",TRUE(),N(AH398)=AG398),IF(AI398="",TRUE(),N(AJ398)=AI398)),"一致","不一致"))))</f>
        <v>―</v>
      </c>
      <c r="G398" s="25"/>
      <c r="H398" s="26"/>
      <c r="I398" s="27"/>
      <c r="J398" s="27"/>
      <c r="K398" s="27"/>
      <c r="L398" s="27"/>
      <c r="M398" s="27"/>
      <c r="N398" s="27"/>
      <c r="O398" s="27"/>
      <c r="P398" s="27"/>
      <c r="Q398" s="27"/>
      <c r="R398" s="27"/>
      <c r="S398" s="27"/>
      <c r="T398" s="27"/>
      <c r="U398" s="27"/>
      <c r="V398" s="27"/>
      <c r="W398" s="27"/>
      <c r="X398" s="27"/>
      <c r="Y398" s="27"/>
      <c r="Z398" s="27"/>
      <c r="AA398" s="10" t="str">
        <f aca="false">IFERROR(INDEX(設定!$E$61:$E$106,MATCH(B398,設定!$B$61:$B$106,0)),"合算")</f>
        <v>合算</v>
      </c>
      <c r="AB398" s="28"/>
      <c r="AC398" s="29" t="str">
        <f aca="false">IF(OR(G398="",G398="なし"),"",IF(AA398="合算",CJ398+N(Z398),IF(AA398="掛金・負担金別",(AY398+AZ398+BD398+BF398+BH398),SUM(AY398:BC398))))</f>
        <v/>
      </c>
      <c r="AD398" s="27"/>
      <c r="AE398" s="29" t="str">
        <f aca="false">IF(OR(G398="",G398="なし"),"",IF(AA398="掛金・負担金別",(BA398+BB398+BC398+BE398+BG398+BI398+N(Z398)),IF(AA398="経理区分別",BD398+BE398,"")))</f>
        <v/>
      </c>
      <c r="AF398" s="27"/>
      <c r="AG398" s="29" t="str">
        <f aca="false">IF(OR(G398="",G398="なし"),"",IF(AA398="経理区分別",BF398+BG398,""))</f>
        <v/>
      </c>
      <c r="AH398" s="27"/>
      <c r="AI398" s="29" t="str">
        <f aca="false">IF(OR(G398="",G398="なし"),"",IF(AA398="経理区分別",BH398+BI398+N(Z398),""))</f>
        <v/>
      </c>
      <c r="AJ398" s="27"/>
      <c r="AK398" s="26"/>
      <c r="AL398" s="26"/>
      <c r="AM398" s="30"/>
      <c r="AN398" s="31" t="n">
        <v>912255</v>
      </c>
      <c r="AO398" s="31" t="n">
        <v>74775</v>
      </c>
      <c r="AP398" s="31" t="n">
        <v>912255</v>
      </c>
      <c r="AQ398" s="31" t="n">
        <v>74775</v>
      </c>
      <c r="AR398" s="31" t="n">
        <v>936</v>
      </c>
      <c r="AS398" s="31" t="n">
        <v>548442</v>
      </c>
      <c r="AT398" s="31" t="n">
        <v>549446</v>
      </c>
      <c r="AU398" s="31" t="n">
        <v>50086</v>
      </c>
      <c r="AV398" s="31" t="n">
        <v>50086</v>
      </c>
      <c r="AW398" s="31" t="n">
        <v>1</v>
      </c>
      <c r="AX398" s="31" t="n">
        <v>1</v>
      </c>
      <c r="AY398" s="31" t="n">
        <f aca="false">IF($G398="",AN398,O398)</f>
        <v>912255</v>
      </c>
      <c r="AZ398" s="31" t="n">
        <f aca="false">IF($G398="",AO398,P398)</f>
        <v>74775</v>
      </c>
      <c r="BA398" s="31" t="n">
        <f aca="false">IF($G398="",AP398,T398)</f>
        <v>912255</v>
      </c>
      <c r="BB398" s="31" t="n">
        <f aca="false">IF($G398="",AQ398,U398)</f>
        <v>74775</v>
      </c>
      <c r="BC398" s="31" t="n">
        <f aca="false">IF($G398="",AR398,V398)</f>
        <v>936</v>
      </c>
      <c r="BD398" s="31" t="n">
        <f aca="false">IF($G398="",AS398,Q398)</f>
        <v>548442</v>
      </c>
      <c r="BE398" s="31" t="n">
        <f aca="false">IF($G398="",AT398,W398)</f>
        <v>549446</v>
      </c>
      <c r="BF398" s="31" t="n">
        <f aca="false">IF($G398="",AU398,R398)</f>
        <v>50086</v>
      </c>
      <c r="BG398" s="31" t="n">
        <f aca="false">IF($G398="",AV398,X398)</f>
        <v>50086</v>
      </c>
      <c r="BH398" s="31" t="n">
        <f aca="false">IF($G398="",AW398,S398)</f>
        <v>1</v>
      </c>
      <c r="BI398" s="31" t="n">
        <f aca="false">IF($G398="",AX398,Y398)</f>
        <v>1</v>
      </c>
      <c r="BJ398" s="31" t="n">
        <f aca="false">IF(CK398="N",BR398,ROUNDDOWN((I398-L398)*設定!$B$10/1000,0)+ROUNDDOWN((I398-L398)*設定!$B$11/1000,0))</f>
        <v>0</v>
      </c>
      <c r="BK398" s="31" t="n">
        <f aca="false">ROUNDDOWN((I398-L398)*設定!$C$10/1000,0)+ROUNDDOWN((I398-L398)*設定!$C$11/1000,0)+ROUNDDOWN(I398*設定!$C$12/1000,0)+IF(CL398="市局型",ROUNDDOWN(I398*設定!$C$16/1000,0),0)</f>
        <v>0</v>
      </c>
      <c r="BL398" s="31" t="n">
        <f aca="false">IF(CK398="N",BT398,ROUNDDOWN((J398-M398)*設定!$B$13/1000,0))</f>
        <v>0</v>
      </c>
      <c r="BM398" s="31" t="n">
        <f aca="false">ROUNDDOWN((J398-M398)*設定!$C$13/1000,0)+IF(CL398="市局型",ROUNDDOWN(J398*設定!$C$17/1000,0),0)</f>
        <v>0</v>
      </c>
      <c r="BN398" s="31" t="n">
        <f aca="false">IF(CK398="N",BV398,ROUNDDOWN((K398-N398)*設定!$B$14/1000,0))</f>
        <v>0</v>
      </c>
      <c r="BO398" s="31" t="n">
        <f aca="false">ROUNDDOWN((K398-N398)*設定!$C$14/1000,0)</f>
        <v>0</v>
      </c>
      <c r="BP398" s="31" t="n">
        <f aca="false">IF(CK398="N",BX398,ROUNDDOWN((J398-M398)*設定!$B$15/1000,0))</f>
        <v>0</v>
      </c>
      <c r="BQ398" s="31" t="n">
        <f aca="false">ROUNDDOWN((J398-M398)*設定!$C$15/1000,0)</f>
        <v>0</v>
      </c>
      <c r="BR398" s="31" t="n">
        <f aca="false">O398+P398</f>
        <v>0</v>
      </c>
      <c r="BS398" s="31" t="n">
        <f aca="false">T398+U398+V398</f>
        <v>0</v>
      </c>
      <c r="BT398" s="31" t="n">
        <f aca="false">Q398</f>
        <v>0</v>
      </c>
      <c r="BU398" s="31" t="n">
        <f aca="false">W398</f>
        <v>0</v>
      </c>
      <c r="BV398" s="31" t="n">
        <f aca="false">R398</f>
        <v>0</v>
      </c>
      <c r="BW398" s="31" t="n">
        <f aca="false">X398</f>
        <v>0</v>
      </c>
      <c r="BX398" s="31" t="n">
        <f aca="false">S398</f>
        <v>0</v>
      </c>
      <c r="BY398" s="31" t="n">
        <f aca="false">Y398</f>
        <v>0</v>
      </c>
      <c r="BZ398" s="32" t="n">
        <f aca="false">IF(BJ398=0,IF(BR398=0,0,1),(BR398-BJ398)/BJ398)</f>
        <v>0</v>
      </c>
      <c r="CA398" s="32" t="n">
        <f aca="false">IF(BK398=0,IF(BS398=0,0,1),(BS398-BK398)/BK398)</f>
        <v>0</v>
      </c>
      <c r="CB398" s="32" t="n">
        <f aca="false">IF(BL398=0,IF(BT398=0,0,1),(BT398-BL398)/BL398)</f>
        <v>0</v>
      </c>
      <c r="CC398" s="32" t="n">
        <f aca="false">IF(BM398=0,IF(BU398=0,0,1),(BU398-BM398)/BM398)</f>
        <v>0</v>
      </c>
      <c r="CD398" s="32" t="n">
        <f aca="false">IF(BN398=0,IF(BV398=0,0,1),(BV398-BN398)/BN398)</f>
        <v>0</v>
      </c>
      <c r="CE398" s="32" t="n">
        <f aca="false">IF(BO398=0,IF(BW398=0,0,1),(BW398-BO398)/BO398)</f>
        <v>0</v>
      </c>
      <c r="CF398" s="32" t="n">
        <f aca="false">IF(BP398=0,IF(BX398=0,0,1),(BX398-BP398)/BP398)</f>
        <v>0</v>
      </c>
      <c r="CG398" s="32" t="n">
        <f aca="false">IF(BQ398=0,IF(BY398=0,0,1),(BY398-BQ398)/BQ398)</f>
        <v>0</v>
      </c>
      <c r="CH398" s="32" t="n">
        <f aca="false">MAX(MAX(BZ398:CG398),-MIN(BZ398:CG398))</f>
        <v>-0</v>
      </c>
      <c r="CI398" s="31" t="n">
        <f aca="false">IF(CO398="","",SUMIFS($CJ$7:$CJ$696,$A$7:$A$696,CO398,$B$7:$B$696,B398))</f>
        <v>3173058</v>
      </c>
      <c r="CJ398" s="31" t="n">
        <f aca="false">SUM(AY398:BI398)</f>
        <v>3173058</v>
      </c>
      <c r="CK398" s="31" t="str">
        <f aca="false">IFERROR(INDEX(設定!$F$61:$F$106,MATCH(B398,設定!$B$61:$B$106,0)),"Y")</f>
        <v>Y</v>
      </c>
      <c r="CL398" s="31" t="str">
        <f aca="false">IFERROR(INDEX(設定!$G$61:$G$106,MATCH(B398,設定!$B$61:$B$106,0)),"外郭型")</f>
        <v>外郭型</v>
      </c>
      <c r="CM398" s="33" t="str">
        <f aca="false">A398&amp;"|"&amp;B398</f>
        <v>2026-11 月例|高速道路公社</v>
      </c>
      <c r="CN398" s="34" t="str">
        <f aca="false">IFERROR(INDEX(設定!$D$61:$D$106,MATCH(B398,設定!$B$61:$B$106,0)),"Y")</f>
        <v>Y</v>
      </c>
      <c r="CO398" s="34" t="str">
        <f aca="false">IFERROR(INDEX(設定!$D$20:$D$34,MATCH(A398,設定!$A$20:$A$34,0))&amp;"","")</f>
        <v>2026-10 月例</v>
      </c>
    </row>
    <row r="399" customFormat="false" ht="15" hidden="true" customHeight="false" outlineLevel="0" collapsed="false">
      <c r="A399" s="22" t="s">
        <v>224</v>
      </c>
      <c r="B399" s="23" t="s">
        <v>193</v>
      </c>
      <c r="C399" s="10" t="str">
        <f aca="false">IF(G399="","未受領",IF(G399="なし","報告なし",IF(AL399="○","起票済",IF(OR(AK399="○",F399="一致",F399="入金不要"),"入金確認済","受領済"))))</f>
        <v>未受領</v>
      </c>
      <c r="D399" s="10" t="str">
        <f aca="false">IF(OR(G399="",G399="なし"),"―",IF(CN399="N","対象外",IF(AND(I399="",J399="",K399=""),"標報未入力",IF(CH399&gt;=設定!$B$4,"要確認","問題なし"))))</f>
        <v>―</v>
      </c>
      <c r="E399" s="24" t="str">
        <f aca="false">IF(OR(G399="",G399="なし",CI399="",CJ399=0),"―",IF(CJ399=CI399,"前月同額",IF(CI399=0,"―",IF(ABS(CJ399/CI399-1)&gt;=設定!$B$5,"変動大 "&amp;TEXT(CJ399/CI399-1,"+0%;-0%"),"〇"))))</f>
        <v>―</v>
      </c>
      <c r="F399" s="10" t="str">
        <f aca="false">IF(OR(G399="",G399="なし"),"―",IF(CJ399=0,"入金不要",IF(COUNT(AD399,AF399,AH399,AJ399)=0,IF(AK399="○","手動確認","未入金"),IF(AND(N(AD399)=AC399,IF(AE399="",TRUE(),N(AF399)=AE399),IF(AG399="",TRUE(),N(AH399)=AG399),IF(AI399="",TRUE(),N(AJ399)=AI399)),"一致","不一致"))))</f>
        <v>―</v>
      </c>
      <c r="G399" s="25"/>
      <c r="H399" s="26"/>
      <c r="I399" s="27"/>
      <c r="J399" s="27"/>
      <c r="K399" s="27"/>
      <c r="L399" s="27"/>
      <c r="M399" s="27"/>
      <c r="N399" s="27"/>
      <c r="O399" s="27"/>
      <c r="P399" s="27"/>
      <c r="Q399" s="27"/>
      <c r="R399" s="27"/>
      <c r="S399" s="27"/>
      <c r="T399" s="27"/>
      <c r="U399" s="27"/>
      <c r="V399" s="27"/>
      <c r="W399" s="27"/>
      <c r="X399" s="27"/>
      <c r="Y399" s="27"/>
      <c r="Z399" s="27"/>
      <c r="AA399" s="10" t="str">
        <f aca="false">IFERROR(INDEX(設定!$E$61:$E$106,MATCH(B399,設定!$B$61:$B$106,0)),"合算")</f>
        <v>合算</v>
      </c>
      <c r="AB399" s="28"/>
      <c r="AC399" s="29" t="str">
        <f aca="false">IF(OR(G399="",G399="なし"),"",IF(AA399="合算",CJ399+N(Z399),IF(AA399="掛金・負担金別",(AY399+AZ399+BD399+BF399+BH399),SUM(AY399:BC399))))</f>
        <v/>
      </c>
      <c r="AD399" s="27"/>
      <c r="AE399" s="29" t="str">
        <f aca="false">IF(OR(G399="",G399="なし"),"",IF(AA399="掛金・負担金別",(BA399+BB399+BC399+BE399+BG399+BI399+N(Z399)),IF(AA399="経理区分別",BD399+BE399,"")))</f>
        <v/>
      </c>
      <c r="AF399" s="27"/>
      <c r="AG399" s="29" t="str">
        <f aca="false">IF(OR(G399="",G399="なし"),"",IF(AA399="経理区分別",BF399+BG399,""))</f>
        <v/>
      </c>
      <c r="AH399" s="27"/>
      <c r="AI399" s="29" t="str">
        <f aca="false">IF(OR(G399="",G399="なし"),"",IF(AA399="経理区分別",BH399+BI399+N(Z399),""))</f>
        <v/>
      </c>
      <c r="AJ399" s="27"/>
      <c r="AK399" s="26"/>
      <c r="AL399" s="26"/>
      <c r="AM399" s="30"/>
      <c r="AN399" s="31"/>
      <c r="AO399" s="31"/>
      <c r="AP399" s="31" t="n">
        <v>571875</v>
      </c>
      <c r="AQ399" s="31" t="n">
        <v>46875</v>
      </c>
      <c r="AR399" s="31" t="n">
        <v>613</v>
      </c>
      <c r="AS399" s="31"/>
      <c r="AT399" s="31" t="n">
        <v>344467</v>
      </c>
      <c r="AU399" s="31"/>
      <c r="AV399" s="31" t="n">
        <v>27255</v>
      </c>
      <c r="AW399" s="31"/>
      <c r="AX399" s="31" t="n">
        <v>1</v>
      </c>
      <c r="AY399" s="31" t="n">
        <f aca="false">IF($G399="",AN399,O399)</f>
        <v>0</v>
      </c>
      <c r="AZ399" s="31" t="n">
        <f aca="false">IF($G399="",AO399,P399)</f>
        <v>0</v>
      </c>
      <c r="BA399" s="31" t="n">
        <f aca="false">IF($G399="",AP399,T399)</f>
        <v>571875</v>
      </c>
      <c r="BB399" s="31" t="n">
        <f aca="false">IF($G399="",AQ399,U399)</f>
        <v>46875</v>
      </c>
      <c r="BC399" s="31" t="n">
        <f aca="false">IF($G399="",AR399,V399)</f>
        <v>613</v>
      </c>
      <c r="BD399" s="31" t="n">
        <f aca="false">IF($G399="",AS399,Q399)</f>
        <v>0</v>
      </c>
      <c r="BE399" s="31" t="n">
        <f aca="false">IF($G399="",AT399,W399)</f>
        <v>344467</v>
      </c>
      <c r="BF399" s="31" t="n">
        <f aca="false">IF($G399="",AU399,R399)</f>
        <v>0</v>
      </c>
      <c r="BG399" s="31" t="n">
        <f aca="false">IF($G399="",AV399,X399)</f>
        <v>27255</v>
      </c>
      <c r="BH399" s="31" t="n">
        <f aca="false">IF($G399="",AW399,S399)</f>
        <v>0</v>
      </c>
      <c r="BI399" s="31" t="n">
        <f aca="false">IF($G399="",AX399,Y399)</f>
        <v>1</v>
      </c>
      <c r="BJ399" s="31" t="n">
        <f aca="false">IF(CK399="N",BR399,ROUNDDOWN((I399-L399)*設定!$B$10/1000,0)+ROUNDDOWN((I399-L399)*設定!$B$11/1000,0))</f>
        <v>0</v>
      </c>
      <c r="BK399" s="31" t="n">
        <f aca="false">ROUNDDOWN((I399-L399)*設定!$C$10/1000,0)+ROUNDDOWN((I399-L399)*設定!$C$11/1000,0)+ROUNDDOWN(I399*設定!$C$12/1000,0)+IF(CL399="市局型",ROUNDDOWN(I399*設定!$C$16/1000,0),0)</f>
        <v>0</v>
      </c>
      <c r="BL399" s="31" t="n">
        <f aca="false">IF(CK399="N",BT399,ROUNDDOWN((J399-M399)*設定!$B$13/1000,0))</f>
        <v>0</v>
      </c>
      <c r="BM399" s="31" t="n">
        <f aca="false">ROUNDDOWN((J399-M399)*設定!$C$13/1000,0)+IF(CL399="市局型",ROUNDDOWN(J399*設定!$C$17/1000,0),0)</f>
        <v>0</v>
      </c>
      <c r="BN399" s="31" t="n">
        <f aca="false">IF(CK399="N",BV399,ROUNDDOWN((K399-N399)*設定!$B$14/1000,0))</f>
        <v>0</v>
      </c>
      <c r="BO399" s="31" t="n">
        <f aca="false">ROUNDDOWN((K399-N399)*設定!$C$14/1000,0)</f>
        <v>0</v>
      </c>
      <c r="BP399" s="31" t="n">
        <f aca="false">IF(CK399="N",BX399,ROUNDDOWN((J399-M399)*設定!$B$15/1000,0))</f>
        <v>0</v>
      </c>
      <c r="BQ399" s="31" t="n">
        <f aca="false">ROUNDDOWN((J399-M399)*設定!$C$15/1000,0)</f>
        <v>0</v>
      </c>
      <c r="BR399" s="31" t="n">
        <f aca="false">O399+P399</f>
        <v>0</v>
      </c>
      <c r="BS399" s="31" t="n">
        <f aca="false">T399+U399+V399</f>
        <v>0</v>
      </c>
      <c r="BT399" s="31" t="n">
        <f aca="false">Q399</f>
        <v>0</v>
      </c>
      <c r="BU399" s="31" t="n">
        <f aca="false">W399</f>
        <v>0</v>
      </c>
      <c r="BV399" s="31" t="n">
        <f aca="false">R399</f>
        <v>0</v>
      </c>
      <c r="BW399" s="31" t="n">
        <f aca="false">X399</f>
        <v>0</v>
      </c>
      <c r="BX399" s="31" t="n">
        <f aca="false">S399</f>
        <v>0</v>
      </c>
      <c r="BY399" s="31" t="n">
        <f aca="false">Y399</f>
        <v>0</v>
      </c>
      <c r="BZ399" s="32" t="n">
        <f aca="false">IF(BJ399=0,IF(BR399=0,0,1),(BR399-BJ399)/BJ399)</f>
        <v>0</v>
      </c>
      <c r="CA399" s="32" t="n">
        <f aca="false">IF(BK399=0,IF(BS399=0,0,1),(BS399-BK399)/BK399)</f>
        <v>0</v>
      </c>
      <c r="CB399" s="32" t="n">
        <f aca="false">IF(BL399=0,IF(BT399=0,0,1),(BT399-BL399)/BL399)</f>
        <v>0</v>
      </c>
      <c r="CC399" s="32" t="n">
        <f aca="false">IF(BM399=0,IF(BU399=0,0,1),(BU399-BM399)/BM399)</f>
        <v>0</v>
      </c>
      <c r="CD399" s="32" t="n">
        <f aca="false">IF(BN399=0,IF(BV399=0,0,1),(BV399-BN399)/BN399)</f>
        <v>0</v>
      </c>
      <c r="CE399" s="32" t="n">
        <f aca="false">IF(BO399=0,IF(BW399=0,0,1),(BW399-BO399)/BO399)</f>
        <v>0</v>
      </c>
      <c r="CF399" s="32" t="n">
        <f aca="false">IF(BP399=0,IF(BX399=0,0,1),(BX399-BP399)/BP399)</f>
        <v>0</v>
      </c>
      <c r="CG399" s="32" t="n">
        <f aca="false">IF(BQ399=0,IF(BY399=0,0,1),(BY399-BQ399)/BQ399)</f>
        <v>0</v>
      </c>
      <c r="CH399" s="32" t="n">
        <f aca="false">MAX(MAX(BZ399:CG399),-MIN(BZ399:CG399))</f>
        <v>-0</v>
      </c>
      <c r="CI399" s="31" t="n">
        <f aca="false">IF(CO399="","",SUMIFS($CJ$7:$CJ$696,$A$7:$A$696,CO399,$B$7:$B$696,B399))</f>
        <v>1040369</v>
      </c>
      <c r="CJ399" s="31" t="n">
        <f aca="false">SUM(AY399:BI399)</f>
        <v>991086</v>
      </c>
      <c r="CK399" s="31" t="str">
        <f aca="false">IFERROR(INDEX(設定!$F$61:$F$106,MATCH(B399,設定!$B$61:$B$106,0)),"Y")</f>
        <v>N</v>
      </c>
      <c r="CL399" s="31" t="str">
        <f aca="false">IFERROR(INDEX(設定!$G$61:$G$106,MATCH(B399,設定!$B$61:$B$106,0)),"外郭型")</f>
        <v>外郭型</v>
      </c>
      <c r="CM399" s="33" t="str">
        <f aca="false">A399&amp;"|"&amp;B399</f>
        <v>2026-11 月例|農林水産振興センタ</v>
      </c>
      <c r="CN399" s="34" t="str">
        <f aca="false">IFERROR(INDEX(設定!$D$61:$D$106,MATCH(B399,設定!$B$61:$B$106,0)),"Y")</f>
        <v>Y</v>
      </c>
      <c r="CO399" s="34" t="str">
        <f aca="false">IFERROR(INDEX(設定!$D$20:$D$34,MATCH(A399,設定!$A$20:$A$34,0))&amp;"","")</f>
        <v>2026-10 月例</v>
      </c>
    </row>
    <row r="400" customFormat="false" ht="15" hidden="true" customHeight="false" outlineLevel="0" collapsed="false">
      <c r="A400" s="22" t="s">
        <v>224</v>
      </c>
      <c r="B400" s="23" t="s">
        <v>194</v>
      </c>
      <c r="C400" s="10" t="str">
        <f aca="false">IF(G400="","未受領",IF(G400="なし","報告なし",IF(AL400="○","起票済",IF(OR(AK400="○",F400="一致",F400="入金不要"),"入金確認済","受領済"))))</f>
        <v>未受領</v>
      </c>
      <c r="D400" s="10" t="str">
        <f aca="false">IF(OR(G400="",G400="なし"),"―",IF(CN400="N","対象外",IF(AND(I400="",J400="",K400=""),"標報未入力",IF(CH400&gt;=設定!$B$4,"要確認","問題なし"))))</f>
        <v>―</v>
      </c>
      <c r="E400" s="24" t="str">
        <f aca="false">IF(OR(G400="",G400="なし",CI400="",CJ400=0),"―",IF(CJ400=CI400,"前月同額",IF(CI400=0,"―",IF(ABS(CJ400/CI400-1)&gt;=設定!$B$5,"変動大 "&amp;TEXT(CJ400/CI400-1,"+0%;-0%"),"〇"))))</f>
        <v>―</v>
      </c>
      <c r="F400" s="10" t="str">
        <f aca="false">IF(OR(G400="",G400="なし"),"―",IF(CJ400=0,"入金不要",IF(COUNT(AD400,AF400,AH400,AJ400)=0,IF(AK400="○","手動確認","未入金"),IF(AND(N(AD400)=AC400,IF(AE400="",TRUE(),N(AF400)=AE400),IF(AG400="",TRUE(),N(AH400)=AG400),IF(AI400="",TRUE(),N(AJ400)=AI400)),"一致","不一致"))))</f>
        <v>―</v>
      </c>
      <c r="G400" s="25"/>
      <c r="H400" s="26"/>
      <c r="I400" s="27"/>
      <c r="J400" s="27"/>
      <c r="K400" s="27"/>
      <c r="L400" s="27"/>
      <c r="M400" s="27"/>
      <c r="N400" s="27"/>
      <c r="O400" s="27"/>
      <c r="P400" s="27"/>
      <c r="Q400" s="27"/>
      <c r="R400" s="27"/>
      <c r="S400" s="27"/>
      <c r="T400" s="27"/>
      <c r="U400" s="27"/>
      <c r="V400" s="27"/>
      <c r="W400" s="27"/>
      <c r="X400" s="27"/>
      <c r="Y400" s="27"/>
      <c r="Z400" s="27"/>
      <c r="AA400" s="10" t="str">
        <f aca="false">IFERROR(INDEX(設定!$E$61:$E$106,MATCH(B400,設定!$B$61:$B$106,0)),"合算")</f>
        <v>合算</v>
      </c>
      <c r="AB400" s="28"/>
      <c r="AC400" s="29" t="str">
        <f aca="false">IF(OR(G400="",G400="なし"),"",IF(AA400="合算",CJ400+N(Z400),IF(AA400="掛金・負担金別",(AY400+AZ400+BD400+BF400+BH400),SUM(AY400:BC400))))</f>
        <v/>
      </c>
      <c r="AD400" s="27"/>
      <c r="AE400" s="29" t="str">
        <f aca="false">IF(OR(G400="",G400="なし"),"",IF(AA400="掛金・負担金別",(BA400+BB400+BC400+BE400+BG400+BI400+N(Z400)),IF(AA400="経理区分別",BD400+BE400,"")))</f>
        <v/>
      </c>
      <c r="AF400" s="27"/>
      <c r="AG400" s="29" t="str">
        <f aca="false">IF(OR(G400="",G400="なし"),"",IF(AA400="経理区分別",BF400+BG400,""))</f>
        <v/>
      </c>
      <c r="AH400" s="27"/>
      <c r="AI400" s="29" t="str">
        <f aca="false">IF(OR(G400="",G400="なし"),"",IF(AA400="経理区分別",BH400+BI400+N(Z400),""))</f>
        <v/>
      </c>
      <c r="AJ400" s="27"/>
      <c r="AK400" s="26"/>
      <c r="AL400" s="26"/>
      <c r="AM400" s="30"/>
      <c r="AN400" s="31"/>
      <c r="AO400" s="31"/>
      <c r="AP400" s="31" t="n">
        <v>1160220</v>
      </c>
      <c r="AQ400" s="31" t="n">
        <v>95100</v>
      </c>
      <c r="AR400" s="31" t="n">
        <v>1185</v>
      </c>
      <c r="AS400" s="31"/>
      <c r="AT400" s="31" t="n">
        <v>698790</v>
      </c>
      <c r="AU400" s="31"/>
      <c r="AV400" s="31" t="n">
        <v>94721</v>
      </c>
      <c r="AW400" s="31"/>
      <c r="AX400" s="31" t="n">
        <v>1</v>
      </c>
      <c r="AY400" s="31" t="n">
        <f aca="false">IF($G400="",AN400,O400)</f>
        <v>0</v>
      </c>
      <c r="AZ400" s="31" t="n">
        <f aca="false">IF($G400="",AO400,P400)</f>
        <v>0</v>
      </c>
      <c r="BA400" s="31" t="n">
        <f aca="false">IF($G400="",AP400,T400)</f>
        <v>1160220</v>
      </c>
      <c r="BB400" s="31" t="n">
        <f aca="false">IF($G400="",AQ400,U400)</f>
        <v>95100</v>
      </c>
      <c r="BC400" s="31" t="n">
        <f aca="false">IF($G400="",AR400,V400)</f>
        <v>1185</v>
      </c>
      <c r="BD400" s="31" t="n">
        <f aca="false">IF($G400="",AS400,Q400)</f>
        <v>0</v>
      </c>
      <c r="BE400" s="31" t="n">
        <f aca="false">IF($G400="",AT400,W400)</f>
        <v>698790</v>
      </c>
      <c r="BF400" s="31" t="n">
        <f aca="false">IF($G400="",AU400,R400)</f>
        <v>0</v>
      </c>
      <c r="BG400" s="31" t="n">
        <f aca="false">IF($G400="",AV400,X400)</f>
        <v>94721</v>
      </c>
      <c r="BH400" s="31" t="n">
        <f aca="false">IF($G400="",AW400,S400)</f>
        <v>0</v>
      </c>
      <c r="BI400" s="31" t="n">
        <f aca="false">IF($G400="",AX400,Y400)</f>
        <v>1</v>
      </c>
      <c r="BJ400" s="31" t="n">
        <f aca="false">IF(CK400="N",BR400,ROUNDDOWN((I400-L400)*設定!$B$10/1000,0)+ROUNDDOWN((I400-L400)*設定!$B$11/1000,0))</f>
        <v>0</v>
      </c>
      <c r="BK400" s="31" t="n">
        <f aca="false">ROUNDDOWN((I400-L400)*設定!$C$10/1000,0)+ROUNDDOWN((I400-L400)*設定!$C$11/1000,0)+ROUNDDOWN(I400*設定!$C$12/1000,0)+IF(CL400="市局型",ROUNDDOWN(I400*設定!$C$16/1000,0),0)</f>
        <v>0</v>
      </c>
      <c r="BL400" s="31" t="n">
        <f aca="false">IF(CK400="N",BT400,ROUNDDOWN((J400-M400)*設定!$B$13/1000,0))</f>
        <v>0</v>
      </c>
      <c r="BM400" s="31" t="n">
        <f aca="false">ROUNDDOWN((J400-M400)*設定!$C$13/1000,0)+IF(CL400="市局型",ROUNDDOWN(J400*設定!$C$17/1000,0),0)</f>
        <v>0</v>
      </c>
      <c r="BN400" s="31" t="n">
        <f aca="false">IF(CK400="N",BV400,ROUNDDOWN((K400-N400)*設定!$B$14/1000,0))</f>
        <v>0</v>
      </c>
      <c r="BO400" s="31" t="n">
        <f aca="false">ROUNDDOWN((K400-N400)*設定!$C$14/1000,0)</f>
        <v>0</v>
      </c>
      <c r="BP400" s="31" t="n">
        <f aca="false">IF(CK400="N",BX400,ROUNDDOWN((J400-M400)*設定!$B$15/1000,0))</f>
        <v>0</v>
      </c>
      <c r="BQ400" s="31" t="n">
        <f aca="false">ROUNDDOWN((J400-M400)*設定!$C$15/1000,0)</f>
        <v>0</v>
      </c>
      <c r="BR400" s="31" t="n">
        <f aca="false">O400+P400</f>
        <v>0</v>
      </c>
      <c r="BS400" s="31" t="n">
        <f aca="false">T400+U400+V400</f>
        <v>0</v>
      </c>
      <c r="BT400" s="31" t="n">
        <f aca="false">Q400</f>
        <v>0</v>
      </c>
      <c r="BU400" s="31" t="n">
        <f aca="false">W400</f>
        <v>0</v>
      </c>
      <c r="BV400" s="31" t="n">
        <f aca="false">R400</f>
        <v>0</v>
      </c>
      <c r="BW400" s="31" t="n">
        <f aca="false">X400</f>
        <v>0</v>
      </c>
      <c r="BX400" s="31" t="n">
        <f aca="false">S400</f>
        <v>0</v>
      </c>
      <c r="BY400" s="31" t="n">
        <f aca="false">Y400</f>
        <v>0</v>
      </c>
      <c r="BZ400" s="32" t="n">
        <f aca="false">IF(BJ400=0,IF(BR400=0,0,1),(BR400-BJ400)/BJ400)</f>
        <v>0</v>
      </c>
      <c r="CA400" s="32" t="n">
        <f aca="false">IF(BK400=0,IF(BS400=0,0,1),(BS400-BK400)/BK400)</f>
        <v>0</v>
      </c>
      <c r="CB400" s="32" t="n">
        <f aca="false">IF(BL400=0,IF(BT400=0,0,1),(BT400-BL400)/BL400)</f>
        <v>0</v>
      </c>
      <c r="CC400" s="32" t="n">
        <f aca="false">IF(BM400=0,IF(BU400=0,0,1),(BU400-BM400)/BM400)</f>
        <v>0</v>
      </c>
      <c r="CD400" s="32" t="n">
        <f aca="false">IF(BN400=0,IF(BV400=0,0,1),(BV400-BN400)/BN400)</f>
        <v>0</v>
      </c>
      <c r="CE400" s="32" t="n">
        <f aca="false">IF(BO400=0,IF(BW400=0,0,1),(BW400-BO400)/BO400)</f>
        <v>0</v>
      </c>
      <c r="CF400" s="32" t="n">
        <f aca="false">IF(BP400=0,IF(BX400=0,0,1),(BX400-BP400)/BP400)</f>
        <v>0</v>
      </c>
      <c r="CG400" s="32" t="n">
        <f aca="false">IF(BQ400=0,IF(BY400=0,0,1),(BY400-BQ400)/BQ400)</f>
        <v>0</v>
      </c>
      <c r="CH400" s="32" t="n">
        <f aca="false">MAX(MAX(BZ400:CG400),-MIN(BZ400:CG400))</f>
        <v>-0</v>
      </c>
      <c r="CI400" s="31" t="n">
        <f aca="false">IF(CO400="","",SUMIFS($CJ$7:$CJ$696,$A$7:$A$696,CO400,$B$7:$B$696,B400))</f>
        <v>2050017</v>
      </c>
      <c r="CJ400" s="31" t="n">
        <f aca="false">SUM(AY400:BI400)</f>
        <v>2050017</v>
      </c>
      <c r="CK400" s="31" t="str">
        <f aca="false">IFERROR(INDEX(設定!$F$61:$F$106,MATCH(B400,設定!$B$61:$B$106,0)),"Y")</f>
        <v>N</v>
      </c>
      <c r="CL400" s="31" t="str">
        <f aca="false">IFERROR(INDEX(設定!$G$61:$G$106,MATCH(B400,設定!$B$61:$B$106,0)),"外郭型")</f>
        <v>外郭型</v>
      </c>
      <c r="CM400" s="33" t="str">
        <f aca="false">A400&amp;"|"&amp;B400</f>
        <v>2026-11 月例|文化財団　市長部局</v>
      </c>
      <c r="CN400" s="34" t="str">
        <f aca="false">IFERROR(INDEX(設定!$D$61:$D$106,MATCH(B400,設定!$B$61:$B$106,0)),"Y")</f>
        <v>Y</v>
      </c>
      <c r="CO400" s="34" t="str">
        <f aca="false">IFERROR(INDEX(設定!$D$20:$D$34,MATCH(A400,設定!$A$20:$A$34,0))&amp;"","")</f>
        <v>2026-10 月例</v>
      </c>
    </row>
    <row r="401" customFormat="false" ht="15" hidden="true" customHeight="false" outlineLevel="0" collapsed="false">
      <c r="A401" s="22" t="s">
        <v>224</v>
      </c>
      <c r="B401" s="23" t="s">
        <v>195</v>
      </c>
      <c r="C401" s="10" t="str">
        <f aca="false">IF(G401="","未受領",IF(G401="なし","報告なし",IF(AL401="○","起票済",IF(OR(AK401="○",F401="一致",F401="入金不要"),"入金確認済","受領済"))))</f>
        <v>未受領</v>
      </c>
      <c r="D401" s="10" t="str">
        <f aca="false">IF(OR(G401="",G401="なし"),"―",IF(CN401="N","対象外",IF(AND(I401="",J401="",K401=""),"標報未入力",IF(CH401&gt;=設定!$B$4,"要確認","問題なし"))))</f>
        <v>―</v>
      </c>
      <c r="E401" s="24" t="str">
        <f aca="false">IF(OR(G401="",G401="なし",CI401="",CJ401=0),"―",IF(CJ401=CI401,"前月同額",IF(CI401=0,"―",IF(ABS(CJ401/CI401-1)&gt;=設定!$B$5,"変動大 "&amp;TEXT(CJ401/CI401-1,"+0%;-0%"),"〇"))))</f>
        <v>―</v>
      </c>
      <c r="F401" s="10" t="str">
        <f aca="false">IF(OR(G401="",G401="なし"),"―",IF(CJ401=0,"入金不要",IF(COUNT(AD401,AF401,AH401,AJ401)=0,IF(AK401="○","手動確認","未入金"),IF(AND(N(AD401)=AC401,IF(AE401="",TRUE(),N(AF401)=AE401),IF(AG401="",TRUE(),N(AH401)=AG401),IF(AI401="",TRUE(),N(AJ401)=AI401)),"一致","不一致"))))</f>
        <v>―</v>
      </c>
      <c r="G401" s="25"/>
      <c r="H401" s="26"/>
      <c r="I401" s="27"/>
      <c r="J401" s="27"/>
      <c r="K401" s="27"/>
      <c r="L401" s="27"/>
      <c r="M401" s="27"/>
      <c r="N401" s="27"/>
      <c r="O401" s="27"/>
      <c r="P401" s="27"/>
      <c r="Q401" s="27"/>
      <c r="R401" s="27"/>
      <c r="S401" s="27"/>
      <c r="T401" s="27"/>
      <c r="U401" s="27"/>
      <c r="V401" s="27"/>
      <c r="W401" s="27"/>
      <c r="X401" s="27"/>
      <c r="Y401" s="27"/>
      <c r="Z401" s="27"/>
      <c r="AA401" s="10" t="str">
        <f aca="false">IFERROR(INDEX(設定!$E$61:$E$106,MATCH(B401,設定!$B$61:$B$106,0)),"合算")</f>
        <v>合算</v>
      </c>
      <c r="AB401" s="28"/>
      <c r="AC401" s="29" t="str">
        <f aca="false">IF(OR(G401="",G401="なし"),"",IF(AA401="合算",CJ401+N(Z401),IF(AA401="掛金・負担金別",(AY401+AZ401+BD401+BF401+BH401),SUM(AY401:BC401))))</f>
        <v/>
      </c>
      <c r="AD401" s="27"/>
      <c r="AE401" s="29" t="str">
        <f aca="false">IF(OR(G401="",G401="なし"),"",IF(AA401="掛金・負担金別",(BA401+BB401+BC401+BE401+BG401+BI401+N(Z401)),IF(AA401="経理区分別",BD401+BE401,"")))</f>
        <v/>
      </c>
      <c r="AF401" s="27"/>
      <c r="AG401" s="29" t="str">
        <f aca="false">IF(OR(G401="",G401="なし"),"",IF(AA401="経理区分別",BF401+BG401,""))</f>
        <v/>
      </c>
      <c r="AH401" s="27"/>
      <c r="AI401" s="29" t="str">
        <f aca="false">IF(OR(G401="",G401="なし"),"",IF(AA401="経理区分別",BH401+BI401+N(Z401),""))</f>
        <v/>
      </c>
      <c r="AJ401" s="27"/>
      <c r="AK401" s="26"/>
      <c r="AL401" s="26"/>
      <c r="AM401" s="30"/>
      <c r="AN401" s="31"/>
      <c r="AO401" s="31"/>
      <c r="AP401" s="31" t="n">
        <v>0</v>
      </c>
      <c r="AQ401" s="31" t="n">
        <v>0</v>
      </c>
      <c r="AR401" s="31" t="n">
        <v>0</v>
      </c>
      <c r="AS401" s="31"/>
      <c r="AT401" s="31" t="n">
        <v>0</v>
      </c>
      <c r="AU401" s="31"/>
      <c r="AV401" s="31" t="n">
        <v>0</v>
      </c>
      <c r="AW401" s="31"/>
      <c r="AX401" s="31" t="n">
        <v>0</v>
      </c>
      <c r="AY401" s="31" t="n">
        <f aca="false">IF($G401="",AN401,O401)</f>
        <v>0</v>
      </c>
      <c r="AZ401" s="31" t="n">
        <f aca="false">IF($G401="",AO401,P401)</f>
        <v>0</v>
      </c>
      <c r="BA401" s="31" t="n">
        <f aca="false">IF($G401="",AP401,T401)</f>
        <v>0</v>
      </c>
      <c r="BB401" s="31" t="n">
        <f aca="false">IF($G401="",AQ401,U401)</f>
        <v>0</v>
      </c>
      <c r="BC401" s="31" t="n">
        <f aca="false">IF($G401="",AR401,V401)</f>
        <v>0</v>
      </c>
      <c r="BD401" s="31" t="n">
        <f aca="false">IF($G401="",AS401,Q401)</f>
        <v>0</v>
      </c>
      <c r="BE401" s="31" t="n">
        <f aca="false">IF($G401="",AT401,W401)</f>
        <v>0</v>
      </c>
      <c r="BF401" s="31" t="n">
        <f aca="false">IF($G401="",AU401,R401)</f>
        <v>0</v>
      </c>
      <c r="BG401" s="31" t="n">
        <f aca="false">IF($G401="",AV401,X401)</f>
        <v>0</v>
      </c>
      <c r="BH401" s="31" t="n">
        <f aca="false">IF($G401="",AW401,S401)</f>
        <v>0</v>
      </c>
      <c r="BI401" s="31" t="n">
        <f aca="false">IF($G401="",AX401,Y401)</f>
        <v>0</v>
      </c>
      <c r="BJ401" s="31" t="n">
        <f aca="false">IF(CK401="N",BR401,ROUNDDOWN((I401-L401)*設定!$B$10/1000,0)+ROUNDDOWN((I401-L401)*設定!$B$11/1000,0))</f>
        <v>0</v>
      </c>
      <c r="BK401" s="31" t="n">
        <f aca="false">ROUNDDOWN((I401-L401)*設定!$C$10/1000,0)+ROUNDDOWN((I401-L401)*設定!$C$11/1000,0)+ROUNDDOWN(I401*設定!$C$12/1000,0)+IF(CL401="市局型",ROUNDDOWN(I401*設定!$C$16/1000,0),0)</f>
        <v>0</v>
      </c>
      <c r="BL401" s="31" t="n">
        <f aca="false">IF(CK401="N",BT401,ROUNDDOWN((J401-M401)*設定!$B$13/1000,0))</f>
        <v>0</v>
      </c>
      <c r="BM401" s="31" t="n">
        <f aca="false">ROUNDDOWN((J401-M401)*設定!$C$13/1000,0)+IF(CL401="市局型",ROUNDDOWN(J401*設定!$C$17/1000,0),0)</f>
        <v>0</v>
      </c>
      <c r="BN401" s="31" t="n">
        <f aca="false">IF(CK401="N",BV401,ROUNDDOWN((K401-N401)*設定!$B$14/1000,0))</f>
        <v>0</v>
      </c>
      <c r="BO401" s="31" t="n">
        <f aca="false">ROUNDDOWN((K401-N401)*設定!$C$14/1000,0)</f>
        <v>0</v>
      </c>
      <c r="BP401" s="31" t="n">
        <f aca="false">IF(CK401="N",BX401,ROUNDDOWN((J401-M401)*設定!$B$15/1000,0))</f>
        <v>0</v>
      </c>
      <c r="BQ401" s="31" t="n">
        <f aca="false">ROUNDDOWN((J401-M401)*設定!$C$15/1000,0)</f>
        <v>0</v>
      </c>
      <c r="BR401" s="31" t="n">
        <f aca="false">O401+P401</f>
        <v>0</v>
      </c>
      <c r="BS401" s="31" t="n">
        <f aca="false">T401+U401+V401</f>
        <v>0</v>
      </c>
      <c r="BT401" s="31" t="n">
        <f aca="false">Q401</f>
        <v>0</v>
      </c>
      <c r="BU401" s="31" t="n">
        <f aca="false">W401</f>
        <v>0</v>
      </c>
      <c r="BV401" s="31" t="n">
        <f aca="false">R401</f>
        <v>0</v>
      </c>
      <c r="BW401" s="31" t="n">
        <f aca="false">X401</f>
        <v>0</v>
      </c>
      <c r="BX401" s="31" t="n">
        <f aca="false">S401</f>
        <v>0</v>
      </c>
      <c r="BY401" s="31" t="n">
        <f aca="false">Y401</f>
        <v>0</v>
      </c>
      <c r="BZ401" s="32" t="n">
        <f aca="false">IF(BJ401=0,IF(BR401=0,0,1),(BR401-BJ401)/BJ401)</f>
        <v>0</v>
      </c>
      <c r="CA401" s="32" t="n">
        <f aca="false">IF(BK401=0,IF(BS401=0,0,1),(BS401-BK401)/BK401)</f>
        <v>0</v>
      </c>
      <c r="CB401" s="32" t="n">
        <f aca="false">IF(BL401=0,IF(BT401=0,0,1),(BT401-BL401)/BL401)</f>
        <v>0</v>
      </c>
      <c r="CC401" s="32" t="n">
        <f aca="false">IF(BM401=0,IF(BU401=0,0,1),(BU401-BM401)/BM401)</f>
        <v>0</v>
      </c>
      <c r="CD401" s="32" t="n">
        <f aca="false">IF(BN401=0,IF(BV401=0,0,1),(BV401-BN401)/BN401)</f>
        <v>0</v>
      </c>
      <c r="CE401" s="32" t="n">
        <f aca="false">IF(BO401=0,IF(BW401=0,0,1),(BW401-BO401)/BO401)</f>
        <v>0</v>
      </c>
      <c r="CF401" s="32" t="n">
        <f aca="false">IF(BP401=0,IF(BX401=0,0,1),(BX401-BP401)/BP401)</f>
        <v>0</v>
      </c>
      <c r="CG401" s="32" t="n">
        <f aca="false">IF(BQ401=0,IF(BY401=0,0,1),(BY401-BQ401)/BQ401)</f>
        <v>0</v>
      </c>
      <c r="CH401" s="32" t="n">
        <f aca="false">MAX(MAX(BZ401:CG401),-MIN(BZ401:CG401))</f>
        <v>-0</v>
      </c>
      <c r="CI401" s="31" t="n">
        <f aca="false">IF(CO401="","",SUMIFS($CJ$7:$CJ$696,$A$7:$A$696,CO401,$B$7:$B$696,B401))</f>
        <v>0</v>
      </c>
      <c r="CJ401" s="31" t="n">
        <f aca="false">SUM(AY401:BI401)</f>
        <v>0</v>
      </c>
      <c r="CK401" s="31" t="str">
        <f aca="false">IFERROR(INDEX(設定!$F$61:$F$106,MATCH(B401,設定!$B$61:$B$106,0)),"Y")</f>
        <v>N</v>
      </c>
      <c r="CL401" s="31" t="str">
        <f aca="false">IFERROR(INDEX(設定!$G$61:$G$106,MATCH(B401,設定!$B$61:$B$106,0)),"外郭型")</f>
        <v>外郭型</v>
      </c>
      <c r="CM401" s="33" t="str">
        <f aca="false">A401&amp;"|"&amp;B401</f>
        <v>2026-11 月例|文化財団　教育委員会</v>
      </c>
      <c r="CN401" s="34" t="str">
        <f aca="false">IFERROR(INDEX(設定!$D$61:$D$106,MATCH(B401,設定!$B$61:$B$106,0)),"Y")</f>
        <v>Y</v>
      </c>
      <c r="CO401" s="34" t="str">
        <f aca="false">IFERROR(INDEX(設定!$D$20:$D$34,MATCH(A401,設定!$A$20:$A$34,0))&amp;"","")</f>
        <v>2026-10 月例</v>
      </c>
    </row>
    <row r="402" customFormat="false" ht="15" hidden="true" customHeight="false" outlineLevel="0" collapsed="false">
      <c r="A402" s="22" t="s">
        <v>224</v>
      </c>
      <c r="B402" s="23" t="s">
        <v>196</v>
      </c>
      <c r="C402" s="10" t="str">
        <f aca="false">IF(G402="","未受領",IF(G402="なし","報告なし",IF(AL402="○","起票済",IF(OR(AK402="○",F402="一致",F402="入金不要"),"入金確認済","受領済"))))</f>
        <v>未受領</v>
      </c>
      <c r="D402" s="10" t="str">
        <f aca="false">IF(OR(G402="",G402="なし"),"―",IF(CN402="N","対象外",IF(AND(I402="",J402="",K402=""),"標報未入力",IF(CH402&gt;=設定!$B$4,"要確認","問題なし"))))</f>
        <v>―</v>
      </c>
      <c r="E402" s="24" t="str">
        <f aca="false">IF(OR(G402="",G402="なし",CI402="",CJ402=0),"―",IF(CJ402=CI402,"前月同額",IF(CI402=0,"―",IF(ABS(CJ402/CI402-1)&gt;=設定!$B$5,"変動大 "&amp;TEXT(CJ402/CI402-1,"+0%;-0%"),"〇"))))</f>
        <v>―</v>
      </c>
      <c r="F402" s="10" t="str">
        <f aca="false">IF(OR(G402="",G402="なし"),"―",IF(CJ402=0,"入金不要",IF(COUNT(AD402,AF402,AH402,AJ402)=0,IF(AK402="○","手動確認","未入金"),IF(AND(N(AD402)=AC402,IF(AE402="",TRUE(),N(AF402)=AE402),IF(AG402="",TRUE(),N(AH402)=AG402),IF(AI402="",TRUE(),N(AJ402)=AI402)),"一致","不一致"))))</f>
        <v>―</v>
      </c>
      <c r="G402" s="25"/>
      <c r="H402" s="26"/>
      <c r="I402" s="27"/>
      <c r="J402" s="27"/>
      <c r="K402" s="27"/>
      <c r="L402" s="27"/>
      <c r="M402" s="27"/>
      <c r="N402" s="27"/>
      <c r="O402" s="27"/>
      <c r="P402" s="27"/>
      <c r="Q402" s="27"/>
      <c r="R402" s="27"/>
      <c r="S402" s="27"/>
      <c r="T402" s="27"/>
      <c r="U402" s="27"/>
      <c r="V402" s="27"/>
      <c r="W402" s="27"/>
      <c r="X402" s="27"/>
      <c r="Y402" s="27"/>
      <c r="Z402" s="27"/>
      <c r="AA402" s="10" t="str">
        <f aca="false">IFERROR(INDEX(設定!$E$61:$E$106,MATCH(B402,設定!$B$61:$B$106,0)),"合算")</f>
        <v>合算</v>
      </c>
      <c r="AB402" s="28"/>
      <c r="AC402" s="29" t="str">
        <f aca="false">IF(OR(G402="",G402="なし"),"",IF(AA402="合算",CJ402+N(Z402),IF(AA402="掛金・負担金別",(AY402+AZ402+BD402+BF402+BH402),SUM(AY402:BC402))))</f>
        <v/>
      </c>
      <c r="AD402" s="27"/>
      <c r="AE402" s="29" t="str">
        <f aca="false">IF(OR(G402="",G402="なし"),"",IF(AA402="掛金・負担金別",(BA402+BB402+BC402+BE402+BG402+BI402+N(Z402)),IF(AA402="経理区分別",BD402+BE402,"")))</f>
        <v/>
      </c>
      <c r="AF402" s="27"/>
      <c r="AG402" s="29" t="str">
        <f aca="false">IF(OR(G402="",G402="なし"),"",IF(AA402="経理区分別",BF402+BG402,""))</f>
        <v/>
      </c>
      <c r="AH402" s="27"/>
      <c r="AI402" s="29" t="str">
        <f aca="false">IF(OR(G402="",G402="なし"),"",IF(AA402="経理区分別",BH402+BI402+N(Z402),""))</f>
        <v/>
      </c>
      <c r="AJ402" s="27"/>
      <c r="AK402" s="26"/>
      <c r="AL402" s="26"/>
      <c r="AM402" s="30"/>
      <c r="AN402" s="31"/>
      <c r="AO402" s="31"/>
      <c r="AP402" s="31" t="n">
        <v>394365</v>
      </c>
      <c r="AQ402" s="31" t="n">
        <v>32325</v>
      </c>
      <c r="AR402" s="31" t="n">
        <v>403</v>
      </c>
      <c r="AS402" s="31"/>
      <c r="AT402" s="31" t="n">
        <v>237523</v>
      </c>
      <c r="AU402" s="31"/>
      <c r="AV402" s="31" t="n">
        <v>34049</v>
      </c>
      <c r="AW402" s="31"/>
      <c r="AX402" s="31" t="n">
        <v>1</v>
      </c>
      <c r="AY402" s="31" t="n">
        <f aca="false">IF($G402="",AN402,O402)</f>
        <v>0</v>
      </c>
      <c r="AZ402" s="31" t="n">
        <f aca="false">IF($G402="",AO402,P402)</f>
        <v>0</v>
      </c>
      <c r="BA402" s="31" t="n">
        <f aca="false">IF($G402="",AP402,T402)</f>
        <v>394365</v>
      </c>
      <c r="BB402" s="31" t="n">
        <f aca="false">IF($G402="",AQ402,U402)</f>
        <v>32325</v>
      </c>
      <c r="BC402" s="31" t="n">
        <f aca="false">IF($G402="",AR402,V402)</f>
        <v>403</v>
      </c>
      <c r="BD402" s="31" t="n">
        <f aca="false">IF($G402="",AS402,Q402)</f>
        <v>0</v>
      </c>
      <c r="BE402" s="31" t="n">
        <f aca="false">IF($G402="",AT402,W402)</f>
        <v>237523</v>
      </c>
      <c r="BF402" s="31" t="n">
        <f aca="false">IF($G402="",AU402,R402)</f>
        <v>0</v>
      </c>
      <c r="BG402" s="31" t="n">
        <f aca="false">IF($G402="",AV402,X402)</f>
        <v>34049</v>
      </c>
      <c r="BH402" s="31" t="n">
        <f aca="false">IF($G402="",AW402,S402)</f>
        <v>0</v>
      </c>
      <c r="BI402" s="31" t="n">
        <f aca="false">IF($G402="",AX402,Y402)</f>
        <v>1</v>
      </c>
      <c r="BJ402" s="31" t="n">
        <f aca="false">IF(CK402="N",BR402,ROUNDDOWN((I402-L402)*設定!$B$10/1000,0)+ROUNDDOWN((I402-L402)*設定!$B$11/1000,0))</f>
        <v>0</v>
      </c>
      <c r="BK402" s="31" t="n">
        <f aca="false">ROUNDDOWN((I402-L402)*設定!$C$10/1000,0)+ROUNDDOWN((I402-L402)*設定!$C$11/1000,0)+ROUNDDOWN(I402*設定!$C$12/1000,0)+IF(CL402="市局型",ROUNDDOWN(I402*設定!$C$16/1000,0),0)</f>
        <v>0</v>
      </c>
      <c r="BL402" s="31" t="n">
        <f aca="false">IF(CK402="N",BT402,ROUNDDOWN((J402-M402)*設定!$B$13/1000,0))</f>
        <v>0</v>
      </c>
      <c r="BM402" s="31" t="n">
        <f aca="false">ROUNDDOWN((J402-M402)*設定!$C$13/1000,0)+IF(CL402="市局型",ROUNDDOWN(J402*設定!$C$17/1000,0),0)</f>
        <v>0</v>
      </c>
      <c r="BN402" s="31" t="n">
        <f aca="false">IF(CK402="N",BV402,ROUNDDOWN((K402-N402)*設定!$B$14/1000,0))</f>
        <v>0</v>
      </c>
      <c r="BO402" s="31" t="n">
        <f aca="false">ROUNDDOWN((K402-N402)*設定!$C$14/1000,0)</f>
        <v>0</v>
      </c>
      <c r="BP402" s="31" t="n">
        <f aca="false">IF(CK402="N",BX402,ROUNDDOWN((J402-M402)*設定!$B$15/1000,0))</f>
        <v>0</v>
      </c>
      <c r="BQ402" s="31" t="n">
        <f aca="false">ROUNDDOWN((J402-M402)*設定!$C$15/1000,0)</f>
        <v>0</v>
      </c>
      <c r="BR402" s="31" t="n">
        <f aca="false">O402+P402</f>
        <v>0</v>
      </c>
      <c r="BS402" s="31" t="n">
        <f aca="false">T402+U402+V402</f>
        <v>0</v>
      </c>
      <c r="BT402" s="31" t="n">
        <f aca="false">Q402</f>
        <v>0</v>
      </c>
      <c r="BU402" s="31" t="n">
        <f aca="false">W402</f>
        <v>0</v>
      </c>
      <c r="BV402" s="31" t="n">
        <f aca="false">R402</f>
        <v>0</v>
      </c>
      <c r="BW402" s="31" t="n">
        <f aca="false">X402</f>
        <v>0</v>
      </c>
      <c r="BX402" s="31" t="n">
        <f aca="false">S402</f>
        <v>0</v>
      </c>
      <c r="BY402" s="31" t="n">
        <f aca="false">Y402</f>
        <v>0</v>
      </c>
      <c r="BZ402" s="32" t="n">
        <f aca="false">IF(BJ402=0,IF(BR402=0,0,1),(BR402-BJ402)/BJ402)</f>
        <v>0</v>
      </c>
      <c r="CA402" s="32" t="n">
        <f aca="false">IF(BK402=0,IF(BS402=0,0,1),(BS402-BK402)/BK402)</f>
        <v>0</v>
      </c>
      <c r="CB402" s="32" t="n">
        <f aca="false">IF(BL402=0,IF(BT402=0,0,1),(BT402-BL402)/BL402)</f>
        <v>0</v>
      </c>
      <c r="CC402" s="32" t="n">
        <f aca="false">IF(BM402=0,IF(BU402=0,0,1),(BU402-BM402)/BM402)</f>
        <v>0</v>
      </c>
      <c r="CD402" s="32" t="n">
        <f aca="false">IF(BN402=0,IF(BV402=0,0,1),(BV402-BN402)/BN402)</f>
        <v>0</v>
      </c>
      <c r="CE402" s="32" t="n">
        <f aca="false">IF(BO402=0,IF(BW402=0,0,1),(BW402-BO402)/BO402)</f>
        <v>0</v>
      </c>
      <c r="CF402" s="32" t="n">
        <f aca="false">IF(BP402=0,IF(BX402=0,0,1),(BX402-BP402)/BP402)</f>
        <v>0</v>
      </c>
      <c r="CG402" s="32" t="n">
        <f aca="false">IF(BQ402=0,IF(BY402=0,0,1),(BY402-BQ402)/BQ402)</f>
        <v>0</v>
      </c>
      <c r="CH402" s="32" t="n">
        <f aca="false">MAX(MAX(BZ402:CG402),-MIN(BZ402:CG402))</f>
        <v>-0</v>
      </c>
      <c r="CI402" s="31" t="n">
        <f aca="false">IF(CO402="","",SUMIFS($CJ$7:$CJ$696,$A$7:$A$696,CO402,$B$7:$B$696,B402))</f>
        <v>698666</v>
      </c>
      <c r="CJ402" s="31" t="n">
        <f aca="false">SUM(AY402:BI402)</f>
        <v>698666</v>
      </c>
      <c r="CK402" s="31" t="str">
        <f aca="false">IFERROR(INDEX(設定!$F$61:$F$106,MATCH(B402,設定!$B$61:$B$106,0)),"Y")</f>
        <v>N</v>
      </c>
      <c r="CL402" s="31" t="str">
        <f aca="false">IFERROR(INDEX(設定!$G$61:$G$106,MATCH(B402,設定!$B$61:$B$106,0)),"外郭型")</f>
        <v>外郭型</v>
      </c>
      <c r="CM402" s="33" t="str">
        <f aca="false">A402&amp;"|"&amp;B402</f>
        <v>2026-11 月例|みどり生きもの協会</v>
      </c>
      <c r="CN402" s="34" t="str">
        <f aca="false">IFERROR(INDEX(設定!$D$61:$D$106,MATCH(B402,設定!$B$61:$B$106,0)),"Y")</f>
        <v>Y</v>
      </c>
      <c r="CO402" s="34" t="str">
        <f aca="false">IFERROR(INDEX(設定!$D$20:$D$34,MATCH(A402,設定!$A$20:$A$34,0))&amp;"","")</f>
        <v>2026-10 月例</v>
      </c>
    </row>
    <row r="403" customFormat="false" ht="15" hidden="true" customHeight="false" outlineLevel="0" collapsed="false">
      <c r="A403" s="22" t="s">
        <v>224</v>
      </c>
      <c r="B403" s="23" t="s">
        <v>197</v>
      </c>
      <c r="C403" s="10" t="str">
        <f aca="false">IF(G403="","未受領",IF(G403="なし","報告なし",IF(AL403="○","起票済",IF(OR(AK403="○",F403="一致",F403="入金不要"),"入金確認済","受領済"))))</f>
        <v>未受領</v>
      </c>
      <c r="D403" s="10" t="str">
        <f aca="false">IF(OR(G403="",G403="なし"),"―",IF(CN403="N","対象外",IF(AND(I403="",J403="",K403=""),"標報未入力",IF(CH403&gt;=設定!$B$4,"要確認","問題なし"))))</f>
        <v>―</v>
      </c>
      <c r="E403" s="24" t="str">
        <f aca="false">IF(OR(G403="",G403="なし",CI403="",CJ403=0),"―",IF(CJ403=CI403,"前月同額",IF(CI403=0,"―",IF(ABS(CJ403/CI403-1)&gt;=設定!$B$5,"変動大 "&amp;TEXT(CJ403/CI403-1,"+0%;-0%"),"〇"))))</f>
        <v>―</v>
      </c>
      <c r="F403" s="10" t="str">
        <f aca="false">IF(OR(G403="",G403="なし"),"―",IF(CJ403=0,"入金不要",IF(COUNT(AD403,AF403,AH403,AJ403)=0,IF(AK403="○","手動確認","未入金"),IF(AND(N(AD403)=AC403,IF(AE403="",TRUE(),N(AF403)=AE403),IF(AG403="",TRUE(),N(AH403)=AG403),IF(AI403="",TRUE(),N(AJ403)=AI403)),"一致","不一致"))))</f>
        <v>―</v>
      </c>
      <c r="G403" s="25"/>
      <c r="H403" s="26"/>
      <c r="I403" s="27"/>
      <c r="J403" s="27"/>
      <c r="K403" s="27"/>
      <c r="L403" s="27"/>
      <c r="M403" s="27"/>
      <c r="N403" s="27"/>
      <c r="O403" s="27"/>
      <c r="P403" s="27"/>
      <c r="Q403" s="27"/>
      <c r="R403" s="27"/>
      <c r="S403" s="27"/>
      <c r="T403" s="27"/>
      <c r="U403" s="27"/>
      <c r="V403" s="27"/>
      <c r="W403" s="27"/>
      <c r="X403" s="27"/>
      <c r="Y403" s="27"/>
      <c r="Z403" s="27"/>
      <c r="AA403" s="10" t="str">
        <f aca="false">IFERROR(INDEX(設定!$E$61:$E$106,MATCH(B403,設定!$B$61:$B$106,0)),"合算")</f>
        <v>合算</v>
      </c>
      <c r="AB403" s="28"/>
      <c r="AC403" s="29" t="str">
        <f aca="false">IF(OR(G403="",G403="なし"),"",IF(AA403="合算",CJ403+N(Z403),IF(AA403="掛金・負担金別",(AY403+AZ403+BD403+BF403+BH403),SUM(AY403:BC403))))</f>
        <v/>
      </c>
      <c r="AD403" s="27"/>
      <c r="AE403" s="29" t="str">
        <f aca="false">IF(OR(G403="",G403="なし"),"",IF(AA403="掛金・負担金別",(BA403+BB403+BC403+BE403+BG403+BI403+N(Z403)),IF(AA403="経理区分別",BD403+BE403,"")))</f>
        <v/>
      </c>
      <c r="AF403" s="27"/>
      <c r="AG403" s="29" t="str">
        <f aca="false">IF(OR(G403="",G403="なし"),"",IF(AA403="経理区分別",BF403+BG403,""))</f>
        <v/>
      </c>
      <c r="AH403" s="27"/>
      <c r="AI403" s="29" t="str">
        <f aca="false">IF(OR(G403="",G403="なし"),"",IF(AA403="経理区分別",BH403+BI403+N(Z403),""))</f>
        <v/>
      </c>
      <c r="AJ403" s="27"/>
      <c r="AK403" s="26"/>
      <c r="AL403" s="26"/>
      <c r="AM403" s="30"/>
      <c r="AN403" s="31" t="n">
        <v>137250</v>
      </c>
      <c r="AO403" s="31" t="n">
        <v>11250</v>
      </c>
      <c r="AP403" s="31" t="n">
        <v>137250</v>
      </c>
      <c r="AQ403" s="31" t="n">
        <v>11250</v>
      </c>
      <c r="AR403" s="31" t="n">
        <v>140</v>
      </c>
      <c r="AS403" s="31" t="n">
        <v>82514</v>
      </c>
      <c r="AT403" s="31" t="n">
        <v>82665</v>
      </c>
      <c r="AU403" s="31" t="n">
        <v>8611</v>
      </c>
      <c r="AV403" s="31" t="n">
        <v>8611</v>
      </c>
      <c r="AW403" s="31" t="n">
        <v>1</v>
      </c>
      <c r="AX403" s="31" t="n">
        <v>1</v>
      </c>
      <c r="AY403" s="31" t="n">
        <f aca="false">IF($G403="",AN403,O403)</f>
        <v>137250</v>
      </c>
      <c r="AZ403" s="31" t="n">
        <f aca="false">IF($G403="",AO403,P403)</f>
        <v>11250</v>
      </c>
      <c r="BA403" s="31" t="n">
        <f aca="false">IF($G403="",AP403,T403)</f>
        <v>137250</v>
      </c>
      <c r="BB403" s="31" t="n">
        <f aca="false">IF($G403="",AQ403,U403)</f>
        <v>11250</v>
      </c>
      <c r="BC403" s="31" t="n">
        <f aca="false">IF($G403="",AR403,V403)</f>
        <v>140</v>
      </c>
      <c r="BD403" s="31" t="n">
        <f aca="false">IF($G403="",AS403,Q403)</f>
        <v>82514</v>
      </c>
      <c r="BE403" s="31" t="n">
        <f aca="false">IF($G403="",AT403,W403)</f>
        <v>82665</v>
      </c>
      <c r="BF403" s="31" t="n">
        <f aca="false">IF($G403="",AU403,R403)</f>
        <v>8611</v>
      </c>
      <c r="BG403" s="31" t="n">
        <f aca="false">IF($G403="",AV403,X403)</f>
        <v>8611</v>
      </c>
      <c r="BH403" s="31" t="n">
        <f aca="false">IF($G403="",AW403,S403)</f>
        <v>1</v>
      </c>
      <c r="BI403" s="31" t="n">
        <f aca="false">IF($G403="",AX403,Y403)</f>
        <v>1</v>
      </c>
      <c r="BJ403" s="31" t="n">
        <f aca="false">IF(CK403="N",BR403,ROUNDDOWN((I403-L403)*設定!$B$10/1000,0)+ROUNDDOWN((I403-L403)*設定!$B$11/1000,0))</f>
        <v>0</v>
      </c>
      <c r="BK403" s="31" t="n">
        <f aca="false">ROUNDDOWN((I403-L403)*設定!$C$10/1000,0)+ROUNDDOWN((I403-L403)*設定!$C$11/1000,0)+ROUNDDOWN(I403*設定!$C$12/1000,0)+IF(CL403="市局型",ROUNDDOWN(I403*設定!$C$16/1000,0),0)</f>
        <v>0</v>
      </c>
      <c r="BL403" s="31" t="n">
        <f aca="false">IF(CK403="N",BT403,ROUNDDOWN((J403-M403)*設定!$B$13/1000,0))</f>
        <v>0</v>
      </c>
      <c r="BM403" s="31" t="n">
        <f aca="false">ROUNDDOWN((J403-M403)*設定!$C$13/1000,0)+IF(CL403="市局型",ROUNDDOWN(J403*設定!$C$17/1000,0),0)</f>
        <v>0</v>
      </c>
      <c r="BN403" s="31" t="n">
        <f aca="false">IF(CK403="N",BV403,ROUNDDOWN((K403-N403)*設定!$B$14/1000,0))</f>
        <v>0</v>
      </c>
      <c r="BO403" s="31" t="n">
        <f aca="false">ROUNDDOWN((K403-N403)*設定!$C$14/1000,0)</f>
        <v>0</v>
      </c>
      <c r="BP403" s="31" t="n">
        <f aca="false">IF(CK403="N",BX403,ROUNDDOWN((J403-M403)*設定!$B$15/1000,0))</f>
        <v>0</v>
      </c>
      <c r="BQ403" s="31" t="n">
        <f aca="false">ROUNDDOWN((J403-M403)*設定!$C$15/1000,0)</f>
        <v>0</v>
      </c>
      <c r="BR403" s="31" t="n">
        <f aca="false">O403+P403</f>
        <v>0</v>
      </c>
      <c r="BS403" s="31" t="n">
        <f aca="false">T403+U403+V403</f>
        <v>0</v>
      </c>
      <c r="BT403" s="31" t="n">
        <f aca="false">Q403</f>
        <v>0</v>
      </c>
      <c r="BU403" s="31" t="n">
        <f aca="false">W403</f>
        <v>0</v>
      </c>
      <c r="BV403" s="31" t="n">
        <f aca="false">R403</f>
        <v>0</v>
      </c>
      <c r="BW403" s="31" t="n">
        <f aca="false">X403</f>
        <v>0</v>
      </c>
      <c r="BX403" s="31" t="n">
        <f aca="false">S403</f>
        <v>0</v>
      </c>
      <c r="BY403" s="31" t="n">
        <f aca="false">Y403</f>
        <v>0</v>
      </c>
      <c r="BZ403" s="32" t="n">
        <f aca="false">IF(BJ403=0,IF(BR403=0,0,1),(BR403-BJ403)/BJ403)</f>
        <v>0</v>
      </c>
      <c r="CA403" s="32" t="n">
        <f aca="false">IF(BK403=0,IF(BS403=0,0,1),(BS403-BK403)/BK403)</f>
        <v>0</v>
      </c>
      <c r="CB403" s="32" t="n">
        <f aca="false">IF(BL403=0,IF(BT403=0,0,1),(BT403-BL403)/BL403)</f>
        <v>0</v>
      </c>
      <c r="CC403" s="32" t="n">
        <f aca="false">IF(BM403=0,IF(BU403=0,0,1),(BU403-BM403)/BM403)</f>
        <v>0</v>
      </c>
      <c r="CD403" s="32" t="n">
        <f aca="false">IF(BN403=0,IF(BV403=0,0,1),(BV403-BN403)/BN403)</f>
        <v>0</v>
      </c>
      <c r="CE403" s="32" t="n">
        <f aca="false">IF(BO403=0,IF(BW403=0,0,1),(BW403-BO403)/BO403)</f>
        <v>0</v>
      </c>
      <c r="CF403" s="32" t="n">
        <f aca="false">IF(BP403=0,IF(BX403=0,0,1),(BX403-BP403)/BP403)</f>
        <v>0</v>
      </c>
      <c r="CG403" s="32" t="n">
        <f aca="false">IF(BQ403=0,IF(BY403=0,0,1),(BY403-BQ403)/BQ403)</f>
        <v>0</v>
      </c>
      <c r="CH403" s="32" t="n">
        <f aca="false">MAX(MAX(BZ403:CG403),-MIN(BZ403:CG403))</f>
        <v>-0</v>
      </c>
      <c r="CI403" s="31" t="n">
        <f aca="false">IF(CO403="","",SUMIFS($CJ$7:$CJ$696,$A$7:$A$696,CO403,$B$7:$B$696,B403))</f>
        <v>479543</v>
      </c>
      <c r="CJ403" s="31" t="n">
        <f aca="false">SUM(AY403:BI403)</f>
        <v>479543</v>
      </c>
      <c r="CK403" s="31" t="str">
        <f aca="false">IFERROR(INDEX(設定!$F$61:$F$106,MATCH(B403,設定!$B$61:$B$106,0)),"Y")</f>
        <v>Y</v>
      </c>
      <c r="CL403" s="31" t="str">
        <f aca="false">IFERROR(INDEX(設定!$G$61:$G$106,MATCH(B403,設定!$B$61:$B$106,0)),"外郭型")</f>
        <v>外郭型</v>
      </c>
      <c r="CM403" s="33" t="str">
        <f aca="false">A403&amp;"|"&amp;B403</f>
        <v>2026-11 月例|県下水道公社</v>
      </c>
      <c r="CN403" s="34" t="str">
        <f aca="false">IFERROR(INDEX(設定!$D$61:$D$106,MATCH(B403,設定!$B$61:$B$106,0)),"Y")</f>
        <v>Y</v>
      </c>
      <c r="CO403" s="34" t="str">
        <f aca="false">IFERROR(INDEX(設定!$D$20:$D$34,MATCH(A403,設定!$A$20:$A$34,0))&amp;"","")</f>
        <v>2026-10 月例</v>
      </c>
    </row>
    <row r="404" customFormat="false" ht="26.85" hidden="true" customHeight="false" outlineLevel="0" collapsed="false">
      <c r="A404" s="22" t="s">
        <v>224</v>
      </c>
      <c r="B404" s="35" t="s">
        <v>198</v>
      </c>
      <c r="C404" s="10" t="str">
        <f aca="false">IF(G404="","未受領",IF(G404="なし","報告なし",IF(AL404="○","起票済",IF(OR(AK404="○",F404="一致",F404="入金不要"),"入金確認済","受領済"))))</f>
        <v>未受領</v>
      </c>
      <c r="D404" s="10" t="str">
        <f aca="false">IF(OR(G404="",G404="なし"),"―",IF(CN404="N","対象外",IF(AND(I404="",J404="",K404=""),"標報未入力",IF(CH404&gt;=設定!$B$4,"要確認","問題なし"))))</f>
        <v>―</v>
      </c>
      <c r="E404" s="24" t="str">
        <f aca="false">IF(OR(G404="",G404="なし",CI404="",CJ404=0),"―",IF(CJ404=CI404,"前月同額",IF(CI404=0,"―",IF(ABS(CJ404/CI404-1)&gt;=設定!$B$5,"変動大 "&amp;TEXT(CJ404/CI404-1,"+0%;-0%"),"〇"))))</f>
        <v>―</v>
      </c>
      <c r="F404" s="10" t="str">
        <f aca="false">IF(OR(G404="",G404="なし"),"―",IF(CJ404=0,"入金不要",IF(COUNT(AD404,AF404,AH404,AJ404)=0,IF(AK404="○","手動確認","未入金"),IF(AND(N(AD404)=AC404,IF(AE404="",TRUE(),N(AF404)=AE404),IF(AG404="",TRUE(),N(AH404)=AG404),IF(AI404="",TRUE(),N(AJ404)=AI404)),"一致","不一致"))))</f>
        <v>―</v>
      </c>
      <c r="G404" s="25"/>
      <c r="H404" s="26"/>
      <c r="I404" s="27"/>
      <c r="J404" s="27"/>
      <c r="K404" s="27"/>
      <c r="L404" s="27"/>
      <c r="M404" s="27"/>
      <c r="N404" s="27"/>
      <c r="O404" s="27"/>
      <c r="P404" s="27"/>
      <c r="Q404" s="27"/>
      <c r="R404" s="27"/>
      <c r="S404" s="27"/>
      <c r="T404" s="27"/>
      <c r="U404" s="27"/>
      <c r="V404" s="27"/>
      <c r="W404" s="27"/>
      <c r="X404" s="27"/>
      <c r="Y404" s="27"/>
      <c r="Z404" s="27"/>
      <c r="AA404" s="10" t="str">
        <f aca="false">IFERROR(INDEX(設定!$E$61:$E$106,MATCH(B404,設定!$B$61:$B$106,0)),"合算")</f>
        <v>合算</v>
      </c>
      <c r="AB404" s="28"/>
      <c r="AC404" s="29" t="str">
        <f aca="false">IF(OR(G404="",G404="なし"),"",IF(AA404="合算",CJ404+N(Z404),IF(AA404="掛金・負担金別",(AY404+AZ404+BD404+BF404+BH404),SUM(AY404:BC404))))</f>
        <v/>
      </c>
      <c r="AD404" s="27"/>
      <c r="AE404" s="29" t="str">
        <f aca="false">IF(OR(G404="",G404="なし"),"",IF(AA404="掛金・負担金別",(BA404+BB404+BC404+BE404+BG404+BI404+N(Z404)),IF(AA404="経理区分別",BD404+BE404,"")))</f>
        <v/>
      </c>
      <c r="AF404" s="27"/>
      <c r="AG404" s="29" t="str">
        <f aca="false">IF(OR(G404="",G404="なし"),"",IF(AA404="経理区分別",BF404+BG404,""))</f>
        <v/>
      </c>
      <c r="AH404" s="27"/>
      <c r="AI404" s="29" t="str">
        <f aca="false">IF(OR(G404="",G404="なし"),"",IF(AA404="経理区分別",BH404+BI404+N(Z404),""))</f>
        <v/>
      </c>
      <c r="AJ404" s="27"/>
      <c r="AK404" s="26"/>
      <c r="AL404" s="26"/>
      <c r="AM404" s="30"/>
      <c r="AN404" s="31"/>
      <c r="AO404" s="31"/>
      <c r="AP404" s="31" t="n">
        <v>472140</v>
      </c>
      <c r="AQ404" s="31" t="n">
        <v>38700</v>
      </c>
      <c r="AR404" s="31" t="n">
        <v>484</v>
      </c>
      <c r="AS404" s="31"/>
      <c r="AT404" s="31" t="n">
        <v>289878</v>
      </c>
      <c r="AU404" s="31"/>
      <c r="AV404" s="31" t="n">
        <v>25517</v>
      </c>
      <c r="AW404" s="31"/>
      <c r="AX404" s="31" t="n">
        <v>1</v>
      </c>
      <c r="AY404" s="31" t="n">
        <f aca="false">IF($G404="",AN404,O404)</f>
        <v>0</v>
      </c>
      <c r="AZ404" s="31" t="n">
        <f aca="false">IF($G404="",AO404,P404)</f>
        <v>0</v>
      </c>
      <c r="BA404" s="31" t="n">
        <f aca="false">IF($G404="",AP404,T404)</f>
        <v>472140</v>
      </c>
      <c r="BB404" s="31" t="n">
        <f aca="false">IF($G404="",AQ404,U404)</f>
        <v>38700</v>
      </c>
      <c r="BC404" s="31" t="n">
        <f aca="false">IF($G404="",AR404,V404)</f>
        <v>484</v>
      </c>
      <c r="BD404" s="31" t="n">
        <f aca="false">IF($G404="",AS404,Q404)</f>
        <v>0</v>
      </c>
      <c r="BE404" s="31" t="n">
        <f aca="false">IF($G404="",AT404,W404)</f>
        <v>289878</v>
      </c>
      <c r="BF404" s="31" t="n">
        <f aca="false">IF($G404="",AU404,R404)</f>
        <v>0</v>
      </c>
      <c r="BG404" s="31" t="n">
        <f aca="false">IF($G404="",AV404,X404)</f>
        <v>25517</v>
      </c>
      <c r="BH404" s="31" t="n">
        <f aca="false">IF($G404="",AW404,S404)</f>
        <v>0</v>
      </c>
      <c r="BI404" s="31" t="n">
        <f aca="false">IF($G404="",AX404,Y404)</f>
        <v>1</v>
      </c>
      <c r="BJ404" s="31" t="n">
        <f aca="false">IF(CK404="N",BR404,ROUNDDOWN((I404-L404)*設定!$B$10/1000,0)+ROUNDDOWN((I404-L404)*設定!$B$11/1000,0))</f>
        <v>0</v>
      </c>
      <c r="BK404" s="31" t="n">
        <f aca="false">ROUNDDOWN((I404-L404)*設定!$C$10/1000,0)+ROUNDDOWN((I404-L404)*設定!$C$11/1000,0)+ROUNDDOWN(I404*設定!$C$12/1000,0)+IF(CL404="市局型",ROUNDDOWN(I404*設定!$C$16/1000,0),0)</f>
        <v>0</v>
      </c>
      <c r="BL404" s="31" t="n">
        <f aca="false">IF(CK404="N",BT404,ROUNDDOWN((J404-M404)*設定!$B$13/1000,0))</f>
        <v>0</v>
      </c>
      <c r="BM404" s="31" t="n">
        <f aca="false">ROUNDDOWN((J404-M404)*設定!$C$13/1000,0)+IF(CL404="市局型",ROUNDDOWN(J404*設定!$C$17/1000,0),0)</f>
        <v>0</v>
      </c>
      <c r="BN404" s="31" t="n">
        <f aca="false">IF(CK404="N",BV404,ROUNDDOWN((K404-N404)*設定!$B$14/1000,0))</f>
        <v>0</v>
      </c>
      <c r="BO404" s="31" t="n">
        <f aca="false">ROUNDDOWN((K404-N404)*設定!$C$14/1000,0)</f>
        <v>0</v>
      </c>
      <c r="BP404" s="31" t="n">
        <f aca="false">IF(CK404="N",BX404,ROUNDDOWN((J404-M404)*設定!$B$15/1000,0))</f>
        <v>0</v>
      </c>
      <c r="BQ404" s="31" t="n">
        <f aca="false">ROUNDDOWN((J404-M404)*設定!$C$15/1000,0)</f>
        <v>0</v>
      </c>
      <c r="BR404" s="31" t="n">
        <f aca="false">O404+P404</f>
        <v>0</v>
      </c>
      <c r="BS404" s="31" t="n">
        <f aca="false">T404+U404+V404</f>
        <v>0</v>
      </c>
      <c r="BT404" s="31" t="n">
        <f aca="false">Q404</f>
        <v>0</v>
      </c>
      <c r="BU404" s="31" t="n">
        <f aca="false">W404</f>
        <v>0</v>
      </c>
      <c r="BV404" s="31" t="n">
        <f aca="false">R404</f>
        <v>0</v>
      </c>
      <c r="BW404" s="31" t="n">
        <f aca="false">X404</f>
        <v>0</v>
      </c>
      <c r="BX404" s="31" t="n">
        <f aca="false">S404</f>
        <v>0</v>
      </c>
      <c r="BY404" s="31" t="n">
        <f aca="false">Y404</f>
        <v>0</v>
      </c>
      <c r="BZ404" s="32" t="n">
        <f aca="false">IF(BJ404=0,IF(BR404=0,0,1),(BR404-BJ404)/BJ404)</f>
        <v>0</v>
      </c>
      <c r="CA404" s="32" t="n">
        <f aca="false">IF(BK404=0,IF(BS404=0,0,1),(BS404-BK404)/BK404)</f>
        <v>0</v>
      </c>
      <c r="CB404" s="32" t="n">
        <f aca="false">IF(BL404=0,IF(BT404=0,0,1),(BT404-BL404)/BL404)</f>
        <v>0</v>
      </c>
      <c r="CC404" s="32" t="n">
        <f aca="false">IF(BM404=0,IF(BU404=0,0,1),(BU404-BM404)/BM404)</f>
        <v>0</v>
      </c>
      <c r="CD404" s="32" t="n">
        <f aca="false">IF(BN404=0,IF(BV404=0,0,1),(BV404-BN404)/BN404)</f>
        <v>0</v>
      </c>
      <c r="CE404" s="32" t="n">
        <f aca="false">IF(BO404=0,IF(BW404=0,0,1),(BW404-BO404)/BO404)</f>
        <v>0</v>
      </c>
      <c r="CF404" s="32" t="n">
        <f aca="false">IF(BP404=0,IF(BX404=0,0,1),(BX404-BP404)/BP404)</f>
        <v>0</v>
      </c>
      <c r="CG404" s="32" t="n">
        <f aca="false">IF(BQ404=0,IF(BY404=0,0,1),(BY404-BQ404)/BQ404)</f>
        <v>0</v>
      </c>
      <c r="CH404" s="32" t="n">
        <f aca="false">MAX(MAX(BZ404:CG404),-MIN(BZ404:CG404))</f>
        <v>-0</v>
      </c>
      <c r="CI404" s="31" t="n">
        <f aca="false">IF(CO404="","",SUMIFS($CJ$7:$CJ$696,$A$7:$A$696,CO404,$B$7:$B$696,B404))</f>
        <v>826720</v>
      </c>
      <c r="CJ404" s="31" t="n">
        <f aca="false">SUM(AY404:BI404)</f>
        <v>826720</v>
      </c>
      <c r="CK404" s="31" t="str">
        <f aca="false">IFERROR(INDEX(設定!$F$61:$F$106,MATCH(B404,設定!$B$61:$B$106,0)),"Y")</f>
        <v>N</v>
      </c>
      <c r="CL404" s="31" t="str">
        <f aca="false">IFERROR(INDEX(設定!$G$61:$G$106,MATCH(B404,設定!$B$61:$B$106,0)),"外郭型")</f>
        <v>外郭型</v>
      </c>
      <c r="CM404" s="36" t="str">
        <f aca="false">A404&amp;"|"&amp;B404</f>
        <v>2026-11 月例|バス協調・共創
プラットフォーム</v>
      </c>
      <c r="CN404" s="34" t="str">
        <f aca="false">IFERROR(INDEX(設定!$D$61:$D$106,MATCH(B404,設定!$B$61:$B$106,0)),"Y")</f>
        <v>Y</v>
      </c>
      <c r="CO404" s="34" t="str">
        <f aca="false">IFERROR(INDEX(設定!$D$20:$D$34,MATCH(A404,設定!$A$20:$A$34,0))&amp;"","")</f>
        <v>2026-10 月例</v>
      </c>
    </row>
    <row r="405" customFormat="false" ht="15" hidden="true" customHeight="false" outlineLevel="0" collapsed="false">
      <c r="A405" s="22" t="s">
        <v>224</v>
      </c>
      <c r="B405" s="23" t="s">
        <v>199</v>
      </c>
      <c r="C405" s="10" t="str">
        <f aca="false">IF(G405="","未受領",IF(G405="なし","報告なし",IF(AL405="○","起票済",IF(OR(AK405="○",F405="一致",F405="入金不要"),"入金確認済","受領済"))))</f>
        <v>未受領</v>
      </c>
      <c r="D405" s="10" t="str">
        <f aca="false">IF(OR(G405="",G405="なし"),"―",IF(CN405="N","対象外",IF(AND(I405="",J405="",K405=""),"標報未入力",IF(CH405&gt;=設定!$B$4,"要確認","問題なし"))))</f>
        <v>―</v>
      </c>
      <c r="E405" s="24" t="str">
        <f aca="false">IF(OR(G405="",G405="なし",CI405="",CJ405=0),"―",IF(CJ405=CI405,"前月同額",IF(CI405=0,"―",IF(ABS(CJ405/CI405-1)&gt;=設定!$B$5,"変動大 "&amp;TEXT(CJ405/CI405-1,"+0%;-0%"),"〇"))))</f>
        <v>―</v>
      </c>
      <c r="F405" s="10" t="str">
        <f aca="false">IF(OR(G405="",G405="なし"),"―",IF(CJ405=0,"入金不要",IF(COUNT(AD405,AF405,AH405,AJ405)=0,IF(AK405="○","手動確認","未入金"),IF(AND(N(AD405)=AC405,IF(AE405="",TRUE(),N(AF405)=AE405),IF(AG405="",TRUE(),N(AH405)=AG405),IF(AI405="",TRUE(),N(AJ405)=AI405)),"一致","不一致"))))</f>
        <v>―</v>
      </c>
      <c r="G405" s="25"/>
      <c r="H405" s="26"/>
      <c r="I405" s="27"/>
      <c r="J405" s="27"/>
      <c r="K405" s="27"/>
      <c r="L405" s="27"/>
      <c r="M405" s="27"/>
      <c r="N405" s="27"/>
      <c r="O405" s="27"/>
      <c r="P405" s="27"/>
      <c r="Q405" s="27"/>
      <c r="R405" s="27"/>
      <c r="S405" s="27"/>
      <c r="T405" s="27"/>
      <c r="U405" s="27"/>
      <c r="V405" s="27"/>
      <c r="W405" s="27"/>
      <c r="X405" s="27"/>
      <c r="Y405" s="27"/>
      <c r="Z405" s="27"/>
      <c r="AA405" s="10" t="str">
        <f aca="false">IFERROR(INDEX(設定!$E$61:$E$106,MATCH(B405,設定!$B$61:$B$106,0)),"合算")</f>
        <v>合算</v>
      </c>
      <c r="AB405" s="28"/>
      <c r="AC405" s="29" t="str">
        <f aca="false">IF(OR(G405="",G405="なし"),"",IF(AA405="合算",CJ405+N(Z405),IF(AA405="掛金・負担金別",(AY405+AZ405+BD405+BF405+BH405),SUM(AY405:BC405))))</f>
        <v/>
      </c>
      <c r="AD405" s="27"/>
      <c r="AE405" s="29" t="str">
        <f aca="false">IF(OR(G405="",G405="なし"),"",IF(AA405="掛金・負担金別",(BA405+BB405+BC405+BE405+BG405+BI405+N(Z405)),IF(AA405="経理区分別",BD405+BE405,"")))</f>
        <v/>
      </c>
      <c r="AF405" s="27"/>
      <c r="AG405" s="29" t="str">
        <f aca="false">IF(OR(G405="",G405="なし"),"",IF(AA405="経理区分別",BF405+BG405,""))</f>
        <v/>
      </c>
      <c r="AH405" s="27"/>
      <c r="AI405" s="29" t="str">
        <f aca="false">IF(OR(G405="",G405="なし"),"",IF(AA405="経理区分別",BH405+BI405+N(Z405),""))</f>
        <v/>
      </c>
      <c r="AJ405" s="27"/>
      <c r="AK405" s="26"/>
      <c r="AL405" s="26"/>
      <c r="AM405" s="30"/>
      <c r="AN405" s="31" t="n">
        <v>56730</v>
      </c>
      <c r="AO405" s="31" t="n">
        <v>4650</v>
      </c>
      <c r="AP405" s="31" t="n">
        <v>56730</v>
      </c>
      <c r="AQ405" s="31" t="n">
        <v>4650</v>
      </c>
      <c r="AR405" s="31" t="n">
        <v>58</v>
      </c>
      <c r="AS405" s="31" t="n">
        <v>34106</v>
      </c>
      <c r="AT405" s="31" t="n">
        <v>34168</v>
      </c>
      <c r="AU405" s="31" t="n">
        <v>4898</v>
      </c>
      <c r="AV405" s="31" t="n">
        <v>4898</v>
      </c>
      <c r="AW405" s="31" t="n">
        <v>1</v>
      </c>
      <c r="AX405" s="31" t="n">
        <v>1</v>
      </c>
      <c r="AY405" s="31" t="n">
        <f aca="false">IF($G405="",AN405,O405)</f>
        <v>56730</v>
      </c>
      <c r="AZ405" s="31" t="n">
        <f aca="false">IF($G405="",AO405,P405)</f>
        <v>4650</v>
      </c>
      <c r="BA405" s="31" t="n">
        <f aca="false">IF($G405="",AP405,T405)</f>
        <v>56730</v>
      </c>
      <c r="BB405" s="31" t="n">
        <f aca="false">IF($G405="",AQ405,U405)</f>
        <v>4650</v>
      </c>
      <c r="BC405" s="31" t="n">
        <f aca="false">IF($G405="",AR405,V405)</f>
        <v>58</v>
      </c>
      <c r="BD405" s="31" t="n">
        <f aca="false">IF($G405="",AS405,Q405)</f>
        <v>34106</v>
      </c>
      <c r="BE405" s="31" t="n">
        <f aca="false">IF($G405="",AT405,W405)</f>
        <v>34168</v>
      </c>
      <c r="BF405" s="31" t="n">
        <f aca="false">IF($G405="",AU405,R405)</f>
        <v>4898</v>
      </c>
      <c r="BG405" s="31" t="n">
        <f aca="false">IF($G405="",AV405,X405)</f>
        <v>4898</v>
      </c>
      <c r="BH405" s="31" t="n">
        <f aca="false">IF($G405="",AW405,S405)</f>
        <v>1</v>
      </c>
      <c r="BI405" s="31" t="n">
        <f aca="false">IF($G405="",AX405,Y405)</f>
        <v>1</v>
      </c>
      <c r="BJ405" s="31" t="n">
        <f aca="false">IF(CK405="N",BR405,ROUNDDOWN((I405-L405)*設定!$B$10/1000,0)+ROUNDDOWN((I405-L405)*設定!$B$11/1000,0))</f>
        <v>0</v>
      </c>
      <c r="BK405" s="31" t="n">
        <f aca="false">ROUNDDOWN((I405-L405)*設定!$C$10/1000,0)+ROUNDDOWN((I405-L405)*設定!$C$11/1000,0)+ROUNDDOWN(I405*設定!$C$12/1000,0)+IF(CL405="市局型",ROUNDDOWN(I405*設定!$C$16/1000,0),0)</f>
        <v>0</v>
      </c>
      <c r="BL405" s="31" t="n">
        <f aca="false">IF(CK405="N",BT405,ROUNDDOWN((J405-M405)*設定!$B$13/1000,0))</f>
        <v>0</v>
      </c>
      <c r="BM405" s="31" t="n">
        <f aca="false">ROUNDDOWN((J405-M405)*設定!$C$13/1000,0)+IF(CL405="市局型",ROUNDDOWN(J405*設定!$C$17/1000,0),0)</f>
        <v>0</v>
      </c>
      <c r="BN405" s="31" t="n">
        <f aca="false">IF(CK405="N",BV405,ROUNDDOWN((K405-N405)*設定!$B$14/1000,0))</f>
        <v>0</v>
      </c>
      <c r="BO405" s="31" t="n">
        <f aca="false">ROUNDDOWN((K405-N405)*設定!$C$14/1000,0)</f>
        <v>0</v>
      </c>
      <c r="BP405" s="31" t="n">
        <f aca="false">IF(CK405="N",BX405,ROUNDDOWN((J405-M405)*設定!$B$15/1000,0))</f>
        <v>0</v>
      </c>
      <c r="BQ405" s="31" t="n">
        <f aca="false">ROUNDDOWN((J405-M405)*設定!$C$15/1000,0)</f>
        <v>0</v>
      </c>
      <c r="BR405" s="31" t="n">
        <f aca="false">O405+P405</f>
        <v>0</v>
      </c>
      <c r="BS405" s="31" t="n">
        <f aca="false">T405+U405+V405</f>
        <v>0</v>
      </c>
      <c r="BT405" s="31" t="n">
        <f aca="false">Q405</f>
        <v>0</v>
      </c>
      <c r="BU405" s="31" t="n">
        <f aca="false">W405</f>
        <v>0</v>
      </c>
      <c r="BV405" s="31" t="n">
        <f aca="false">R405</f>
        <v>0</v>
      </c>
      <c r="BW405" s="31" t="n">
        <f aca="false">X405</f>
        <v>0</v>
      </c>
      <c r="BX405" s="31" t="n">
        <f aca="false">S405</f>
        <v>0</v>
      </c>
      <c r="BY405" s="31" t="n">
        <f aca="false">Y405</f>
        <v>0</v>
      </c>
      <c r="BZ405" s="32" t="n">
        <f aca="false">IF(BJ405=0,IF(BR405=0,0,1),(BR405-BJ405)/BJ405)</f>
        <v>0</v>
      </c>
      <c r="CA405" s="32" t="n">
        <f aca="false">IF(BK405=0,IF(BS405=0,0,1),(BS405-BK405)/BK405)</f>
        <v>0</v>
      </c>
      <c r="CB405" s="32" t="n">
        <f aca="false">IF(BL405=0,IF(BT405=0,0,1),(BT405-BL405)/BL405)</f>
        <v>0</v>
      </c>
      <c r="CC405" s="32" t="n">
        <f aca="false">IF(BM405=0,IF(BU405=0,0,1),(BU405-BM405)/BM405)</f>
        <v>0</v>
      </c>
      <c r="CD405" s="32" t="n">
        <f aca="false">IF(BN405=0,IF(BV405=0,0,1),(BV405-BN405)/BN405)</f>
        <v>0</v>
      </c>
      <c r="CE405" s="32" t="n">
        <f aca="false">IF(BO405=0,IF(BW405=0,0,1),(BW405-BO405)/BO405)</f>
        <v>0</v>
      </c>
      <c r="CF405" s="32" t="n">
        <f aca="false">IF(BP405=0,IF(BX405=0,0,1),(BX405-BP405)/BP405)</f>
        <v>0</v>
      </c>
      <c r="CG405" s="32" t="n">
        <f aca="false">IF(BQ405=0,IF(BY405=0,0,1),(BY405-BQ405)/BQ405)</f>
        <v>0</v>
      </c>
      <c r="CH405" s="32" t="n">
        <f aca="false">MAX(MAX(BZ405:CG405),-MIN(BZ405:CG405))</f>
        <v>-0</v>
      </c>
      <c r="CI405" s="31" t="n">
        <f aca="false">IF(CO405="","",SUMIFS($CJ$7:$CJ$696,$A$7:$A$696,CO405,$B$7:$B$696,B405))</f>
        <v>188772</v>
      </c>
      <c r="CJ405" s="31" t="n">
        <f aca="false">SUM(AY405:BI405)</f>
        <v>200890</v>
      </c>
      <c r="CK405" s="31" t="str">
        <f aca="false">IFERROR(INDEX(設定!$F$61:$F$106,MATCH(B405,設定!$B$61:$B$106,0)),"Y")</f>
        <v>Y</v>
      </c>
      <c r="CL405" s="31" t="str">
        <f aca="false">IFERROR(INDEX(設定!$G$61:$G$106,MATCH(B405,設定!$B$61:$B$106,0)),"外郭型")</f>
        <v>外郭型</v>
      </c>
      <c r="CM405" s="33" t="str">
        <f aca="false">A405&amp;"|"&amp;B405</f>
        <v>2026-11 月例|広島県市長会</v>
      </c>
      <c r="CN405" s="34" t="str">
        <f aca="false">IFERROR(INDEX(設定!$D$61:$D$106,MATCH(B405,設定!$B$61:$B$106,0)),"Y")</f>
        <v>Y</v>
      </c>
      <c r="CO405" s="34" t="str">
        <f aca="false">IFERROR(INDEX(設定!$D$20:$D$34,MATCH(A405,設定!$A$20:$A$34,0))&amp;"","")</f>
        <v>2026-10 月例</v>
      </c>
    </row>
    <row r="406" customFormat="false" ht="15" hidden="true" customHeight="false" outlineLevel="0" collapsed="false">
      <c r="A406" s="22" t="s">
        <v>224</v>
      </c>
      <c r="B406" s="23" t="s">
        <v>200</v>
      </c>
      <c r="C406" s="10" t="str">
        <f aca="false">IF(G406="","未受領",IF(G406="なし","報告なし",IF(AL406="○","起票済",IF(OR(AK406="○",F406="一致",F406="入金不要"),"入金確認済","受領済"))))</f>
        <v>未受領</v>
      </c>
      <c r="D406" s="10" t="str">
        <f aca="false">IF(OR(G406="",G406="なし"),"―",IF(CN406="N","対象外",IF(AND(I406="",J406="",K406=""),"標報未入力",IF(CH406&gt;=設定!$B$4,"要確認","問題なし"))))</f>
        <v>―</v>
      </c>
      <c r="E406" s="24" t="str">
        <f aca="false">IF(OR(G406="",G406="なし",CI406="",CJ406=0),"―",IF(CJ406=CI406,"前月同額",IF(CI406=0,"―",IF(ABS(CJ406/CI406-1)&gt;=設定!$B$5,"変動大 "&amp;TEXT(CJ406/CI406-1,"+0%;-0%"),"〇"))))</f>
        <v>―</v>
      </c>
      <c r="F406" s="10" t="str">
        <f aca="false">IF(OR(G406="",G406="なし"),"―",IF(CJ406=0,"入金不要",IF(COUNT(AD406,AF406,AH406,AJ406)=0,IF(AK406="○","手動確認","未入金"),IF(AND(N(AD406)=AC406,IF(AE406="",TRUE(),N(AF406)=AE406),IF(AG406="",TRUE(),N(AH406)=AG406),IF(AI406="",TRUE(),N(AJ406)=AI406)),"一致","不一致"))))</f>
        <v>―</v>
      </c>
      <c r="G406" s="25"/>
      <c r="H406" s="26"/>
      <c r="I406" s="27"/>
      <c r="J406" s="27"/>
      <c r="K406" s="27"/>
      <c r="L406" s="27"/>
      <c r="M406" s="27"/>
      <c r="N406" s="27"/>
      <c r="O406" s="27"/>
      <c r="P406" s="27"/>
      <c r="Q406" s="27"/>
      <c r="R406" s="27"/>
      <c r="S406" s="27"/>
      <c r="T406" s="27"/>
      <c r="U406" s="27"/>
      <c r="V406" s="27"/>
      <c r="W406" s="27"/>
      <c r="X406" s="27"/>
      <c r="Y406" s="27"/>
      <c r="Z406" s="27"/>
      <c r="AA406" s="10" t="str">
        <f aca="false">IFERROR(INDEX(設定!$E$61:$E$106,MATCH(B406,設定!$B$61:$B$106,0)),"合算")</f>
        <v>合算</v>
      </c>
      <c r="AB406" s="28"/>
      <c r="AC406" s="29" t="str">
        <f aca="false">IF(OR(G406="",G406="なし"),"",IF(AA406="合算",CJ406+N(Z406),IF(AA406="掛金・負担金別",(AY406+AZ406+BD406+BF406+BH406),SUM(AY406:BC406))))</f>
        <v/>
      </c>
      <c r="AD406" s="27"/>
      <c r="AE406" s="29" t="str">
        <f aca="false">IF(OR(G406="",G406="なし"),"",IF(AA406="掛金・負担金別",(BA406+BB406+BC406+BE406+BG406+BI406+N(Z406)),IF(AA406="経理区分別",BD406+BE406,"")))</f>
        <v/>
      </c>
      <c r="AF406" s="27"/>
      <c r="AG406" s="29" t="str">
        <f aca="false">IF(OR(G406="",G406="なし"),"",IF(AA406="経理区分別",BF406+BG406,""))</f>
        <v/>
      </c>
      <c r="AH406" s="27"/>
      <c r="AI406" s="29" t="str">
        <f aca="false">IF(OR(G406="",G406="なし"),"",IF(AA406="経理区分別",BH406+BI406+N(Z406),""))</f>
        <v/>
      </c>
      <c r="AJ406" s="27"/>
      <c r="AK406" s="26"/>
      <c r="AL406" s="26"/>
      <c r="AM406" s="30"/>
      <c r="AN406" s="31" t="n">
        <v>59475</v>
      </c>
      <c r="AO406" s="31" t="n">
        <v>4875</v>
      </c>
      <c r="AP406" s="31" t="n">
        <v>59475</v>
      </c>
      <c r="AQ406" s="31" t="n">
        <v>4875</v>
      </c>
      <c r="AR406" s="31" t="n">
        <v>61</v>
      </c>
      <c r="AS406" s="31" t="n">
        <v>41257</v>
      </c>
      <c r="AT406" s="31" t="n">
        <v>41332</v>
      </c>
      <c r="AU406" s="31" t="n">
        <v>5925</v>
      </c>
      <c r="AV406" s="31" t="n">
        <v>5925</v>
      </c>
      <c r="AW406" s="31" t="n">
        <v>1</v>
      </c>
      <c r="AX406" s="31" t="n">
        <v>1</v>
      </c>
      <c r="AY406" s="31" t="n">
        <f aca="false">IF($G406="",AN406,O406)</f>
        <v>59475</v>
      </c>
      <c r="AZ406" s="31" t="n">
        <f aca="false">IF($G406="",AO406,P406)</f>
        <v>4875</v>
      </c>
      <c r="BA406" s="31" t="n">
        <f aca="false">IF($G406="",AP406,T406)</f>
        <v>59475</v>
      </c>
      <c r="BB406" s="31" t="n">
        <f aca="false">IF($G406="",AQ406,U406)</f>
        <v>4875</v>
      </c>
      <c r="BC406" s="31" t="n">
        <f aca="false">IF($G406="",AR406,V406)</f>
        <v>61</v>
      </c>
      <c r="BD406" s="31" t="n">
        <f aca="false">IF($G406="",AS406,Q406)</f>
        <v>41257</v>
      </c>
      <c r="BE406" s="31" t="n">
        <f aca="false">IF($G406="",AT406,W406)</f>
        <v>41332</v>
      </c>
      <c r="BF406" s="31" t="n">
        <f aca="false">IF($G406="",AU406,R406)</f>
        <v>5925</v>
      </c>
      <c r="BG406" s="31" t="n">
        <f aca="false">IF($G406="",AV406,X406)</f>
        <v>5925</v>
      </c>
      <c r="BH406" s="31" t="n">
        <f aca="false">IF($G406="",AW406,S406)</f>
        <v>1</v>
      </c>
      <c r="BI406" s="31" t="n">
        <f aca="false">IF($G406="",AX406,Y406)</f>
        <v>1</v>
      </c>
      <c r="BJ406" s="31" t="n">
        <f aca="false">IF(CK406="N",BR406,ROUNDDOWN((I406-L406)*設定!$B$10/1000,0)+ROUNDDOWN((I406-L406)*設定!$B$11/1000,0))</f>
        <v>0</v>
      </c>
      <c r="BK406" s="31" t="n">
        <f aca="false">ROUNDDOWN((I406-L406)*設定!$C$10/1000,0)+ROUNDDOWN((I406-L406)*設定!$C$11/1000,0)+ROUNDDOWN(I406*設定!$C$12/1000,0)+IF(CL406="市局型",ROUNDDOWN(I406*設定!$C$16/1000,0),0)</f>
        <v>0</v>
      </c>
      <c r="BL406" s="31" t="n">
        <f aca="false">IF(CK406="N",BT406,ROUNDDOWN((J406-M406)*設定!$B$13/1000,0))</f>
        <v>0</v>
      </c>
      <c r="BM406" s="31" t="n">
        <f aca="false">ROUNDDOWN((J406-M406)*設定!$C$13/1000,0)+IF(CL406="市局型",ROUNDDOWN(J406*設定!$C$17/1000,0),0)</f>
        <v>0</v>
      </c>
      <c r="BN406" s="31" t="n">
        <f aca="false">IF(CK406="N",BV406,ROUNDDOWN((K406-N406)*設定!$B$14/1000,0))</f>
        <v>0</v>
      </c>
      <c r="BO406" s="31" t="n">
        <f aca="false">ROUNDDOWN((K406-N406)*設定!$C$14/1000,0)</f>
        <v>0</v>
      </c>
      <c r="BP406" s="31" t="n">
        <f aca="false">IF(CK406="N",BX406,ROUNDDOWN((J406-M406)*設定!$B$15/1000,0))</f>
        <v>0</v>
      </c>
      <c r="BQ406" s="31" t="n">
        <f aca="false">ROUNDDOWN((J406-M406)*設定!$C$15/1000,0)</f>
        <v>0</v>
      </c>
      <c r="BR406" s="31" t="n">
        <f aca="false">O406+P406</f>
        <v>0</v>
      </c>
      <c r="BS406" s="31" t="n">
        <f aca="false">T406+U406+V406</f>
        <v>0</v>
      </c>
      <c r="BT406" s="31" t="n">
        <f aca="false">Q406</f>
        <v>0</v>
      </c>
      <c r="BU406" s="31" t="n">
        <f aca="false">W406</f>
        <v>0</v>
      </c>
      <c r="BV406" s="31" t="n">
        <f aca="false">R406</f>
        <v>0</v>
      </c>
      <c r="BW406" s="31" t="n">
        <f aca="false">X406</f>
        <v>0</v>
      </c>
      <c r="BX406" s="31" t="n">
        <f aca="false">S406</f>
        <v>0</v>
      </c>
      <c r="BY406" s="31" t="n">
        <f aca="false">Y406</f>
        <v>0</v>
      </c>
      <c r="BZ406" s="32" t="n">
        <f aca="false">IF(BJ406=0,IF(BR406=0,0,1),(BR406-BJ406)/BJ406)</f>
        <v>0</v>
      </c>
      <c r="CA406" s="32" t="n">
        <f aca="false">IF(BK406=0,IF(BS406=0,0,1),(BS406-BK406)/BK406)</f>
        <v>0</v>
      </c>
      <c r="CB406" s="32" t="n">
        <f aca="false">IF(BL406=0,IF(BT406=0,0,1),(BT406-BL406)/BL406)</f>
        <v>0</v>
      </c>
      <c r="CC406" s="32" t="n">
        <f aca="false">IF(BM406=0,IF(BU406=0,0,1),(BU406-BM406)/BM406)</f>
        <v>0</v>
      </c>
      <c r="CD406" s="32" t="n">
        <f aca="false">IF(BN406=0,IF(BV406=0,0,1),(BV406-BN406)/BN406)</f>
        <v>0</v>
      </c>
      <c r="CE406" s="32" t="n">
        <f aca="false">IF(BO406=0,IF(BW406=0,0,1),(BW406-BO406)/BO406)</f>
        <v>0</v>
      </c>
      <c r="CF406" s="32" t="n">
        <f aca="false">IF(BP406=0,IF(BX406=0,0,1),(BX406-BP406)/BP406)</f>
        <v>0</v>
      </c>
      <c r="CG406" s="32" t="n">
        <f aca="false">IF(BQ406=0,IF(BY406=0,0,1),(BY406-BQ406)/BQ406)</f>
        <v>0</v>
      </c>
      <c r="CH406" s="32" t="n">
        <f aca="false">MAX(MAX(BZ406:CG406),-MIN(BZ406:CG406))</f>
        <v>-0</v>
      </c>
      <c r="CI406" s="31" t="n">
        <f aca="false">IF(CO406="","",SUMIFS($CJ$7:$CJ$696,$A$7:$A$696,CO406,$B$7:$B$696,B406))</f>
        <v>215282</v>
      </c>
      <c r="CJ406" s="31" t="n">
        <f aca="false">SUM(AY406:BI406)</f>
        <v>223202</v>
      </c>
      <c r="CK406" s="31" t="str">
        <f aca="false">IFERROR(INDEX(設定!$F$61:$F$106,MATCH(B406,設定!$B$61:$B$106,0)),"Y")</f>
        <v>Y</v>
      </c>
      <c r="CL406" s="31" t="str">
        <f aca="false">IFERROR(INDEX(設定!$G$61:$G$106,MATCH(B406,設定!$B$61:$B$106,0)),"外郭型")</f>
        <v>外郭型</v>
      </c>
      <c r="CM406" s="33" t="str">
        <f aca="false">A406&amp;"|"&amp;B406</f>
        <v>2026-11 月例|全国市町村研修財団</v>
      </c>
      <c r="CN406" s="34" t="str">
        <f aca="false">IFERROR(INDEX(設定!$D$61:$D$106,MATCH(B406,設定!$B$61:$B$106,0)),"Y")</f>
        <v>Y</v>
      </c>
      <c r="CO406" s="34" t="str">
        <f aca="false">IFERROR(INDEX(設定!$D$20:$D$34,MATCH(A406,設定!$A$20:$A$34,0))&amp;"","")</f>
        <v>2026-10 月例</v>
      </c>
    </row>
    <row r="407" customFormat="false" ht="15" hidden="true" customHeight="false" outlineLevel="0" collapsed="false">
      <c r="A407" s="22" t="s">
        <v>224</v>
      </c>
      <c r="B407" s="23" t="s">
        <v>201</v>
      </c>
      <c r="C407" s="10" t="str">
        <f aca="false">IF(G407="","未受領",IF(G407="なし","報告なし",IF(AL407="○","起票済",IF(OR(AK407="○",F407="一致",F407="入金不要"),"入金確認済","受領済"))))</f>
        <v>未受領</v>
      </c>
      <c r="D407" s="10" t="str">
        <f aca="false">IF(OR(G407="",G407="なし"),"―",IF(CN407="N","対象外",IF(AND(I407="",J407="",K407=""),"標報未入力",IF(CH407&gt;=設定!$B$4,"要確認","問題なし"))))</f>
        <v>―</v>
      </c>
      <c r="E407" s="24" t="str">
        <f aca="false">IF(OR(G407="",G407="なし",CI407="",CJ407=0),"―",IF(CJ407=CI407,"前月同額",IF(CI407=0,"―",IF(ABS(CJ407/CI407-1)&gt;=設定!$B$5,"変動大 "&amp;TEXT(CJ407/CI407-1,"+0%;-0%"),"〇"))))</f>
        <v>―</v>
      </c>
      <c r="F407" s="10" t="str">
        <f aca="false">IF(OR(G407="",G407="なし"),"―",IF(CJ407=0,"入金不要",IF(COUNT(AD407,AF407,AH407,AJ407)=0,IF(AK407="○","手動確認","未入金"),IF(AND(N(AD407)=AC407,IF(AE407="",TRUE(),N(AF407)=AE407),IF(AG407="",TRUE(),N(AH407)=AG407),IF(AI407="",TRUE(),N(AJ407)=AI407)),"一致","不一致"))))</f>
        <v>―</v>
      </c>
      <c r="G407" s="25"/>
      <c r="H407" s="26"/>
      <c r="I407" s="27"/>
      <c r="J407" s="27"/>
      <c r="K407" s="27"/>
      <c r="L407" s="27"/>
      <c r="M407" s="27"/>
      <c r="N407" s="27"/>
      <c r="O407" s="27"/>
      <c r="P407" s="27"/>
      <c r="Q407" s="27"/>
      <c r="R407" s="27"/>
      <c r="S407" s="27"/>
      <c r="T407" s="27"/>
      <c r="U407" s="27"/>
      <c r="V407" s="27"/>
      <c r="W407" s="27"/>
      <c r="X407" s="27"/>
      <c r="Y407" s="27"/>
      <c r="Z407" s="27"/>
      <c r="AA407" s="10" t="str">
        <f aca="false">IFERROR(INDEX(設定!$E$61:$E$106,MATCH(B407,設定!$B$61:$B$106,0)),"合算")</f>
        <v>合算</v>
      </c>
      <c r="AB407" s="28"/>
      <c r="AC407" s="29" t="str">
        <f aca="false">IF(OR(G407="",G407="なし"),"",IF(AA407="合算",CJ407+N(Z407),IF(AA407="掛金・負担金別",(AY407+AZ407+BD407+BF407+BH407),SUM(AY407:BC407))))</f>
        <v/>
      </c>
      <c r="AD407" s="27"/>
      <c r="AE407" s="29" t="str">
        <f aca="false">IF(OR(G407="",G407="なし"),"",IF(AA407="掛金・負担金別",(BA407+BB407+BC407+BE407+BG407+BI407+N(Z407)),IF(AA407="経理区分別",BD407+BE407,"")))</f>
        <v/>
      </c>
      <c r="AF407" s="27"/>
      <c r="AG407" s="29" t="str">
        <f aca="false">IF(OR(G407="",G407="なし"),"",IF(AA407="経理区分別",BF407+BG407,""))</f>
        <v/>
      </c>
      <c r="AH407" s="27"/>
      <c r="AI407" s="29" t="str">
        <f aca="false">IF(OR(G407="",G407="なし"),"",IF(AA407="経理区分別",BH407+BI407+N(Z407),""))</f>
        <v/>
      </c>
      <c r="AJ407" s="27"/>
      <c r="AK407" s="26"/>
      <c r="AL407" s="26"/>
      <c r="AM407" s="30"/>
      <c r="AN407" s="31" t="n">
        <v>48495</v>
      </c>
      <c r="AO407" s="31" t="n">
        <v>3975</v>
      </c>
      <c r="AP407" s="31" t="n">
        <v>48495</v>
      </c>
      <c r="AQ407" s="31" t="n">
        <v>3975</v>
      </c>
      <c r="AR407" s="31" t="n">
        <v>49</v>
      </c>
      <c r="AS407" s="31" t="n">
        <v>29155</v>
      </c>
      <c r="AT407" s="31" t="n">
        <v>29208</v>
      </c>
      <c r="AU407" s="31" t="n">
        <v>0</v>
      </c>
      <c r="AV407" s="31" t="n">
        <v>0</v>
      </c>
      <c r="AW407" s="31" t="n">
        <v>1</v>
      </c>
      <c r="AX407" s="31" t="n">
        <v>1</v>
      </c>
      <c r="AY407" s="31" t="n">
        <f aca="false">IF($G407="",AN407,O407)</f>
        <v>48495</v>
      </c>
      <c r="AZ407" s="31" t="n">
        <f aca="false">IF($G407="",AO407,P407)</f>
        <v>3975</v>
      </c>
      <c r="BA407" s="31" t="n">
        <f aca="false">IF($G407="",AP407,T407)</f>
        <v>48495</v>
      </c>
      <c r="BB407" s="31" t="n">
        <f aca="false">IF($G407="",AQ407,U407)</f>
        <v>3975</v>
      </c>
      <c r="BC407" s="31" t="n">
        <f aca="false">IF($G407="",AR407,V407)</f>
        <v>49</v>
      </c>
      <c r="BD407" s="31" t="n">
        <f aca="false">IF($G407="",AS407,Q407)</f>
        <v>29155</v>
      </c>
      <c r="BE407" s="31" t="n">
        <f aca="false">IF($G407="",AT407,W407)</f>
        <v>29208</v>
      </c>
      <c r="BF407" s="31" t="n">
        <f aca="false">IF($G407="",AU407,R407)</f>
        <v>0</v>
      </c>
      <c r="BG407" s="31" t="n">
        <f aca="false">IF($G407="",AV407,X407)</f>
        <v>0</v>
      </c>
      <c r="BH407" s="31" t="n">
        <f aca="false">IF($G407="",AW407,S407)</f>
        <v>1</v>
      </c>
      <c r="BI407" s="31" t="n">
        <f aca="false">IF($G407="",AX407,Y407)</f>
        <v>1</v>
      </c>
      <c r="BJ407" s="31" t="n">
        <f aca="false">IF(CK407="N",BR407,ROUNDDOWN((I407-L407)*設定!$B$10/1000,0)+ROUNDDOWN((I407-L407)*設定!$B$11/1000,0))</f>
        <v>0</v>
      </c>
      <c r="BK407" s="31" t="n">
        <f aca="false">ROUNDDOWN((I407-L407)*設定!$C$10/1000,0)+ROUNDDOWN((I407-L407)*設定!$C$11/1000,0)+ROUNDDOWN(I407*設定!$C$12/1000,0)+IF(CL407="市局型",ROUNDDOWN(I407*設定!$C$16/1000,0),0)</f>
        <v>0</v>
      </c>
      <c r="BL407" s="31" t="n">
        <f aca="false">IF(CK407="N",BT407,ROUNDDOWN((J407-M407)*設定!$B$13/1000,0))</f>
        <v>0</v>
      </c>
      <c r="BM407" s="31" t="n">
        <f aca="false">ROUNDDOWN((J407-M407)*設定!$C$13/1000,0)+IF(CL407="市局型",ROUNDDOWN(J407*設定!$C$17/1000,0),0)</f>
        <v>0</v>
      </c>
      <c r="BN407" s="31" t="n">
        <f aca="false">IF(CK407="N",BV407,ROUNDDOWN((K407-N407)*設定!$B$14/1000,0))</f>
        <v>0</v>
      </c>
      <c r="BO407" s="31" t="n">
        <f aca="false">ROUNDDOWN((K407-N407)*設定!$C$14/1000,0)</f>
        <v>0</v>
      </c>
      <c r="BP407" s="31" t="n">
        <f aca="false">IF(CK407="N",BX407,ROUNDDOWN((J407-M407)*設定!$B$15/1000,0))</f>
        <v>0</v>
      </c>
      <c r="BQ407" s="31" t="n">
        <f aca="false">ROUNDDOWN((J407-M407)*設定!$C$15/1000,0)</f>
        <v>0</v>
      </c>
      <c r="BR407" s="31" t="n">
        <f aca="false">O407+P407</f>
        <v>0</v>
      </c>
      <c r="BS407" s="31" t="n">
        <f aca="false">T407+U407+V407</f>
        <v>0</v>
      </c>
      <c r="BT407" s="31" t="n">
        <f aca="false">Q407</f>
        <v>0</v>
      </c>
      <c r="BU407" s="31" t="n">
        <f aca="false">W407</f>
        <v>0</v>
      </c>
      <c r="BV407" s="31" t="n">
        <f aca="false">R407</f>
        <v>0</v>
      </c>
      <c r="BW407" s="31" t="n">
        <f aca="false">X407</f>
        <v>0</v>
      </c>
      <c r="BX407" s="31" t="n">
        <f aca="false">S407</f>
        <v>0</v>
      </c>
      <c r="BY407" s="31" t="n">
        <f aca="false">Y407</f>
        <v>0</v>
      </c>
      <c r="BZ407" s="32" t="n">
        <f aca="false">IF(BJ407=0,IF(BR407=0,0,1),(BR407-BJ407)/BJ407)</f>
        <v>0</v>
      </c>
      <c r="CA407" s="32" t="n">
        <f aca="false">IF(BK407=0,IF(BS407=0,0,1),(BS407-BK407)/BK407)</f>
        <v>0</v>
      </c>
      <c r="CB407" s="32" t="n">
        <f aca="false">IF(BL407=0,IF(BT407=0,0,1),(BT407-BL407)/BL407)</f>
        <v>0</v>
      </c>
      <c r="CC407" s="32" t="n">
        <f aca="false">IF(BM407=0,IF(BU407=0,0,1),(BU407-BM407)/BM407)</f>
        <v>0</v>
      </c>
      <c r="CD407" s="32" t="n">
        <f aca="false">IF(BN407=0,IF(BV407=0,0,1),(BV407-BN407)/BN407)</f>
        <v>0</v>
      </c>
      <c r="CE407" s="32" t="n">
        <f aca="false">IF(BO407=0,IF(BW407=0,0,1),(BW407-BO407)/BO407)</f>
        <v>0</v>
      </c>
      <c r="CF407" s="32" t="n">
        <f aca="false">IF(BP407=0,IF(BX407=0,0,1),(BX407-BP407)/BP407)</f>
        <v>0</v>
      </c>
      <c r="CG407" s="32" t="n">
        <f aca="false">IF(BQ407=0,IF(BY407=0,0,1),(BY407-BQ407)/BQ407)</f>
        <v>0</v>
      </c>
      <c r="CH407" s="32" t="n">
        <f aca="false">MAX(MAX(BZ407:CG407),-MIN(BZ407:CG407))</f>
        <v>-0</v>
      </c>
      <c r="CI407" s="31" t="n">
        <f aca="false">IF(CO407="","",SUMIFS($CJ$7:$CJ$696,$A$7:$A$696,CO407,$B$7:$B$696,B407))</f>
        <v>152078</v>
      </c>
      <c r="CJ407" s="31" t="n">
        <f aca="false">SUM(AY407:BI407)</f>
        <v>163354</v>
      </c>
      <c r="CK407" s="31" t="str">
        <f aca="false">IFERROR(INDEX(設定!$F$61:$F$106,MATCH(B407,設定!$B$61:$B$106,0)),"Y")</f>
        <v>Y</v>
      </c>
      <c r="CL407" s="31" t="str">
        <f aca="false">IFERROR(INDEX(設定!$G$61:$G$106,MATCH(B407,設定!$B$61:$B$106,0)),"外郭型")</f>
        <v>外郭型</v>
      </c>
      <c r="CM407" s="33" t="str">
        <f aca="false">A407&amp;"|"&amp;B407</f>
        <v>2026-11 月例|都市再生機構</v>
      </c>
      <c r="CN407" s="34" t="str">
        <f aca="false">IFERROR(INDEX(設定!$D$61:$D$106,MATCH(B407,設定!$B$61:$B$106,0)),"Y")</f>
        <v>Y</v>
      </c>
      <c r="CO407" s="34" t="str">
        <f aca="false">IFERROR(INDEX(設定!$D$20:$D$34,MATCH(A407,設定!$A$20:$A$34,0))&amp;"","")</f>
        <v>2026-10 月例</v>
      </c>
    </row>
    <row r="408" customFormat="false" ht="15" hidden="true" customHeight="false" outlineLevel="0" collapsed="false">
      <c r="A408" s="22" t="s">
        <v>224</v>
      </c>
      <c r="B408" s="23" t="s">
        <v>202</v>
      </c>
      <c r="C408" s="10" t="str">
        <f aca="false">IF(G408="","未受領",IF(G408="なし","報告なし",IF(AL408="○","起票済",IF(OR(AK408="○",F408="一致",F408="入金不要"),"入金確認済","受領済"))))</f>
        <v>未受領</v>
      </c>
      <c r="D408" s="10" t="str">
        <f aca="false">IF(OR(G408="",G408="なし"),"―",IF(CN408="N","対象外",IF(AND(I408="",J408="",K408=""),"標報未入力",IF(CH408&gt;=設定!$B$4,"要確認","問題なし"))))</f>
        <v>―</v>
      </c>
      <c r="E408" s="24" t="str">
        <f aca="false">IF(OR(G408="",G408="なし",CI408="",CJ408=0),"―",IF(CJ408=CI408,"前月同額",IF(CI408=0,"―",IF(ABS(CJ408/CI408-1)&gt;=設定!$B$5,"変動大 "&amp;TEXT(CJ408/CI408-1,"+0%;-0%"),"〇"))))</f>
        <v>―</v>
      </c>
      <c r="F408" s="10" t="str">
        <f aca="false">IF(OR(G408="",G408="なし"),"―",IF(CJ408=0,"入金不要",IF(COUNT(AD408,AF408,AH408,AJ408)=0,IF(AK408="○","手動確認","未入金"),IF(AND(N(AD408)=AC408,IF(AE408="",TRUE(),N(AF408)=AE408),IF(AG408="",TRUE(),N(AH408)=AG408),IF(AI408="",TRUE(),N(AJ408)=AI408)),"一致","不一致"))))</f>
        <v>―</v>
      </c>
      <c r="G408" s="25"/>
      <c r="H408" s="26"/>
      <c r="I408" s="27"/>
      <c r="J408" s="27"/>
      <c r="K408" s="27"/>
      <c r="L408" s="27"/>
      <c r="M408" s="27"/>
      <c r="N408" s="27"/>
      <c r="O408" s="27"/>
      <c r="P408" s="27"/>
      <c r="Q408" s="27"/>
      <c r="R408" s="27"/>
      <c r="S408" s="27"/>
      <c r="T408" s="27"/>
      <c r="U408" s="27"/>
      <c r="V408" s="27"/>
      <c r="W408" s="27"/>
      <c r="X408" s="27"/>
      <c r="Y408" s="27"/>
      <c r="Z408" s="27"/>
      <c r="AA408" s="10" t="str">
        <f aca="false">IFERROR(INDEX(設定!$E$61:$E$106,MATCH(B408,設定!$B$61:$B$106,0)),"合算")</f>
        <v>合算</v>
      </c>
      <c r="AB408" s="28"/>
      <c r="AC408" s="29" t="str">
        <f aca="false">IF(OR(G408="",G408="なし"),"",IF(AA408="合算",CJ408+N(Z408),IF(AA408="掛金・負担金別",(AY408+AZ408+BD408+BF408+BH408),SUM(AY408:BC408))))</f>
        <v/>
      </c>
      <c r="AD408" s="27"/>
      <c r="AE408" s="29" t="str">
        <f aca="false">IF(OR(G408="",G408="なし"),"",IF(AA408="掛金・負担金別",(BA408+BB408+BC408+BE408+BG408+BI408+N(Z408)),IF(AA408="経理区分別",BD408+BE408,"")))</f>
        <v/>
      </c>
      <c r="AF408" s="27"/>
      <c r="AG408" s="29" t="str">
        <f aca="false">IF(OR(G408="",G408="なし"),"",IF(AA408="経理区分別",BF408+BG408,""))</f>
        <v/>
      </c>
      <c r="AH408" s="27"/>
      <c r="AI408" s="29" t="str">
        <f aca="false">IF(OR(G408="",G408="なし"),"",IF(AA408="経理区分別",BH408+BI408+N(Z408),""))</f>
        <v/>
      </c>
      <c r="AJ408" s="27"/>
      <c r="AK408" s="26"/>
      <c r="AL408" s="26"/>
      <c r="AM408" s="30"/>
      <c r="AN408" s="31" t="n">
        <v>1122705</v>
      </c>
      <c r="AO408" s="31" t="n">
        <v>92025</v>
      </c>
      <c r="AP408" s="31" t="n">
        <v>1122705</v>
      </c>
      <c r="AQ408" s="31" t="n">
        <v>92025</v>
      </c>
      <c r="AR408" s="31" t="n">
        <v>1337</v>
      </c>
      <c r="AS408" s="31" t="n">
        <v>674963</v>
      </c>
      <c r="AT408" s="31" t="n">
        <v>676398</v>
      </c>
      <c r="AU408" s="31" t="n">
        <v>64227</v>
      </c>
      <c r="AV408" s="31" t="n">
        <v>64227</v>
      </c>
      <c r="AW408" s="31" t="n">
        <v>1</v>
      </c>
      <c r="AX408" s="31" t="n">
        <v>1</v>
      </c>
      <c r="AY408" s="31" t="n">
        <f aca="false">IF($G408="",AN408,O408)</f>
        <v>1122705</v>
      </c>
      <c r="AZ408" s="31" t="n">
        <f aca="false">IF($G408="",AO408,P408)</f>
        <v>92025</v>
      </c>
      <c r="BA408" s="31" t="n">
        <f aca="false">IF($G408="",AP408,T408)</f>
        <v>1122705</v>
      </c>
      <c r="BB408" s="31" t="n">
        <f aca="false">IF($G408="",AQ408,U408)</f>
        <v>92025</v>
      </c>
      <c r="BC408" s="31" t="n">
        <f aca="false">IF($G408="",AR408,V408)</f>
        <v>1337</v>
      </c>
      <c r="BD408" s="31" t="n">
        <f aca="false">IF($G408="",AS408,Q408)</f>
        <v>674963</v>
      </c>
      <c r="BE408" s="31" t="n">
        <f aca="false">IF($G408="",AT408,W408)</f>
        <v>676398</v>
      </c>
      <c r="BF408" s="31" t="n">
        <f aca="false">IF($G408="",AU408,R408)</f>
        <v>64227</v>
      </c>
      <c r="BG408" s="31" t="n">
        <f aca="false">IF($G408="",AV408,X408)</f>
        <v>64227</v>
      </c>
      <c r="BH408" s="31" t="n">
        <f aca="false">IF($G408="",AW408,S408)</f>
        <v>1</v>
      </c>
      <c r="BI408" s="31" t="n">
        <f aca="false">IF($G408="",AX408,Y408)</f>
        <v>1</v>
      </c>
      <c r="BJ408" s="31" t="n">
        <f aca="false">IF(CK408="N",BR408,ROUNDDOWN((I408-L408)*設定!$B$10/1000,0)+ROUNDDOWN((I408-L408)*設定!$B$11/1000,0))</f>
        <v>0</v>
      </c>
      <c r="BK408" s="31" t="n">
        <f aca="false">ROUNDDOWN((I408-L408)*設定!$C$10/1000,0)+ROUNDDOWN((I408-L408)*設定!$C$11/1000,0)+ROUNDDOWN(I408*設定!$C$12/1000,0)+IF(CL408="市局型",ROUNDDOWN(I408*設定!$C$16/1000,0),0)</f>
        <v>0</v>
      </c>
      <c r="BL408" s="31" t="n">
        <f aca="false">IF(CK408="N",BT408,ROUNDDOWN((J408-M408)*設定!$B$13/1000,0))</f>
        <v>0</v>
      </c>
      <c r="BM408" s="31" t="n">
        <f aca="false">ROUNDDOWN((J408-M408)*設定!$C$13/1000,0)+IF(CL408="市局型",ROUNDDOWN(J408*設定!$C$17/1000,0),0)</f>
        <v>0</v>
      </c>
      <c r="BN408" s="31" t="n">
        <f aca="false">IF(CK408="N",BV408,ROUNDDOWN((K408-N408)*設定!$B$14/1000,0))</f>
        <v>0</v>
      </c>
      <c r="BO408" s="31" t="n">
        <f aca="false">ROUNDDOWN((K408-N408)*設定!$C$14/1000,0)</f>
        <v>0</v>
      </c>
      <c r="BP408" s="31" t="n">
        <f aca="false">IF(CK408="N",BX408,ROUNDDOWN((J408-M408)*設定!$B$15/1000,0))</f>
        <v>0</v>
      </c>
      <c r="BQ408" s="31" t="n">
        <f aca="false">ROUNDDOWN((J408-M408)*設定!$C$15/1000,0)</f>
        <v>0</v>
      </c>
      <c r="BR408" s="31" t="n">
        <f aca="false">O408+P408</f>
        <v>0</v>
      </c>
      <c r="BS408" s="31" t="n">
        <f aca="false">T408+U408+V408</f>
        <v>0</v>
      </c>
      <c r="BT408" s="31" t="n">
        <f aca="false">Q408</f>
        <v>0</v>
      </c>
      <c r="BU408" s="31" t="n">
        <f aca="false">W408</f>
        <v>0</v>
      </c>
      <c r="BV408" s="31" t="n">
        <f aca="false">R408</f>
        <v>0</v>
      </c>
      <c r="BW408" s="31" t="n">
        <f aca="false">X408</f>
        <v>0</v>
      </c>
      <c r="BX408" s="31" t="n">
        <f aca="false">S408</f>
        <v>0</v>
      </c>
      <c r="BY408" s="31" t="n">
        <f aca="false">Y408</f>
        <v>0</v>
      </c>
      <c r="BZ408" s="32" t="n">
        <f aca="false">IF(BJ408=0,IF(BR408=0,0,1),(BR408-BJ408)/BJ408)</f>
        <v>0</v>
      </c>
      <c r="CA408" s="32" t="n">
        <f aca="false">IF(BK408=0,IF(BS408=0,0,1),(BS408-BK408)/BK408)</f>
        <v>0</v>
      </c>
      <c r="CB408" s="32" t="n">
        <f aca="false">IF(BL408=0,IF(BT408=0,0,1),(BT408-BL408)/BL408)</f>
        <v>0</v>
      </c>
      <c r="CC408" s="32" t="n">
        <f aca="false">IF(BM408=0,IF(BU408=0,0,1),(BU408-BM408)/BM408)</f>
        <v>0</v>
      </c>
      <c r="CD408" s="32" t="n">
        <f aca="false">IF(BN408=0,IF(BV408=0,0,1),(BV408-BN408)/BN408)</f>
        <v>0</v>
      </c>
      <c r="CE408" s="32" t="n">
        <f aca="false">IF(BO408=0,IF(BW408=0,0,1),(BW408-BO408)/BO408)</f>
        <v>0</v>
      </c>
      <c r="CF408" s="32" t="n">
        <f aca="false">IF(BP408=0,IF(BX408=0,0,1),(BX408-BP408)/BP408)</f>
        <v>0</v>
      </c>
      <c r="CG408" s="32" t="n">
        <f aca="false">IF(BQ408=0,IF(BY408=0,0,1),(BY408-BQ408)/BQ408)</f>
        <v>0</v>
      </c>
      <c r="CH408" s="32" t="n">
        <f aca="false">MAX(MAX(BZ408:CG408),-MIN(BZ408:CG408))</f>
        <v>-0</v>
      </c>
      <c r="CI408" s="31" t="n">
        <f aca="false">IF(CO408="","",SUMIFS($CJ$7:$CJ$696,$A$7:$A$696,CO408,$B$7:$B$696,B408))</f>
        <v>4286396</v>
      </c>
      <c r="CJ408" s="31" t="n">
        <f aca="false">SUM(AY408:BI408)</f>
        <v>3910614</v>
      </c>
      <c r="CK408" s="31" t="str">
        <f aca="false">IFERROR(INDEX(設定!$F$61:$F$106,MATCH(B408,設定!$B$61:$B$106,0)),"Y")</f>
        <v>Y</v>
      </c>
      <c r="CL408" s="31" t="str">
        <f aca="false">IFERROR(INDEX(設定!$G$61:$G$106,MATCH(B408,設定!$B$61:$B$106,0)),"外郭型")</f>
        <v>外郭型</v>
      </c>
      <c r="CM408" s="33" t="str">
        <f aca="false">A408&amp;"|"&amp;B408</f>
        <v>2026-11 月例|広島市立大学</v>
      </c>
      <c r="CN408" s="34" t="str">
        <f aca="false">IFERROR(INDEX(設定!$D$61:$D$106,MATCH(B408,設定!$B$61:$B$106,0)),"Y")</f>
        <v>Y</v>
      </c>
      <c r="CO408" s="34" t="str">
        <f aca="false">IFERROR(INDEX(設定!$D$20:$D$34,MATCH(A408,設定!$A$20:$A$34,0))&amp;"","")</f>
        <v>2026-10 月例</v>
      </c>
    </row>
    <row r="409" customFormat="false" ht="15" hidden="true" customHeight="false" outlineLevel="0" collapsed="false">
      <c r="A409" s="22" t="s">
        <v>224</v>
      </c>
      <c r="B409" s="23" t="s">
        <v>203</v>
      </c>
      <c r="C409" s="10" t="str">
        <f aca="false">IF(G409="","未受領",IF(G409="なし","報告なし",IF(AL409="○","起票済",IF(OR(AK409="○",F409="一致",F409="入金不要"),"入金確認済","受領済"))))</f>
        <v>未受領</v>
      </c>
      <c r="D409" s="10" t="str">
        <f aca="false">IF(OR(G409="",G409="なし"),"―",IF(CN409="N","対象外",IF(AND(I409="",J409="",K409=""),"標報未入力",IF(CH409&gt;=設定!$B$4,"要確認","問題なし"))))</f>
        <v>―</v>
      </c>
      <c r="E409" s="24" t="str">
        <f aca="false">IF(OR(G409="",G409="なし",CI409="",CJ409=0),"―",IF(CJ409=CI409,"前月同額",IF(CI409=0,"―",IF(ABS(CJ409/CI409-1)&gt;=設定!$B$5,"変動大 "&amp;TEXT(CJ409/CI409-1,"+0%;-0%"),"〇"))))</f>
        <v>―</v>
      </c>
      <c r="F409" s="10" t="str">
        <f aca="false">IF(OR(G409="",G409="なし"),"―",IF(CJ409=0,"入金不要",IF(COUNT(AD409,AF409,AH409,AJ409)=0,IF(AK409="○","手動確認","未入金"),IF(AND(N(AD409)=AC409,IF(AE409="",TRUE(),N(AF409)=AE409),IF(AG409="",TRUE(),N(AH409)=AG409),IF(AI409="",TRUE(),N(AJ409)=AI409)),"一致","不一致"))))</f>
        <v>―</v>
      </c>
      <c r="G409" s="25"/>
      <c r="H409" s="26"/>
      <c r="I409" s="27"/>
      <c r="J409" s="27"/>
      <c r="K409" s="27"/>
      <c r="L409" s="27"/>
      <c r="M409" s="27"/>
      <c r="N409" s="27"/>
      <c r="O409" s="27"/>
      <c r="P409" s="27"/>
      <c r="Q409" s="27"/>
      <c r="R409" s="27"/>
      <c r="S409" s="27"/>
      <c r="T409" s="27"/>
      <c r="U409" s="27"/>
      <c r="V409" s="27"/>
      <c r="W409" s="27"/>
      <c r="X409" s="27"/>
      <c r="Y409" s="27"/>
      <c r="Z409" s="27"/>
      <c r="AA409" s="10" t="str">
        <f aca="false">IFERROR(INDEX(設定!$E$61:$E$106,MATCH(B409,設定!$B$61:$B$106,0)),"合算")</f>
        <v>合算</v>
      </c>
      <c r="AB409" s="28"/>
      <c r="AC409" s="29" t="str">
        <f aca="false">IF(OR(G409="",G409="なし"),"",IF(AA409="合算",CJ409+N(Z409),IF(AA409="掛金・負担金別",(AY409+AZ409+BD409+BF409+BH409),SUM(AY409:BC409))))</f>
        <v/>
      </c>
      <c r="AD409" s="27"/>
      <c r="AE409" s="29" t="str">
        <f aca="false">IF(OR(G409="",G409="なし"),"",IF(AA409="掛金・負担金別",(BA409+BB409+BC409+BE409+BG409+BI409+N(Z409)),IF(AA409="経理区分別",BD409+BE409,"")))</f>
        <v/>
      </c>
      <c r="AF409" s="27"/>
      <c r="AG409" s="29" t="str">
        <f aca="false">IF(OR(G409="",G409="なし"),"",IF(AA409="経理区分別",BF409+BG409,""))</f>
        <v/>
      </c>
      <c r="AH409" s="27"/>
      <c r="AI409" s="29" t="str">
        <f aca="false">IF(OR(G409="",G409="なし"),"",IF(AA409="経理区分別",BH409+BI409+N(Z409),""))</f>
        <v/>
      </c>
      <c r="AJ409" s="27"/>
      <c r="AK409" s="26"/>
      <c r="AL409" s="26"/>
      <c r="AM409" s="30"/>
      <c r="AN409" s="31"/>
      <c r="AO409" s="31"/>
      <c r="AP409" s="31" t="n">
        <v>245220</v>
      </c>
      <c r="AQ409" s="31" t="n">
        <v>20100</v>
      </c>
      <c r="AR409" s="31" t="n">
        <v>251</v>
      </c>
      <c r="AS409" s="31"/>
      <c r="AT409" s="31" t="n">
        <v>151001</v>
      </c>
      <c r="AU409" s="31"/>
      <c r="AV409" s="31" t="n">
        <v>10744</v>
      </c>
      <c r="AW409" s="31"/>
      <c r="AX409" s="31" t="n">
        <v>1</v>
      </c>
      <c r="AY409" s="31" t="n">
        <f aca="false">IF($G409="",AN409,O409)</f>
        <v>0</v>
      </c>
      <c r="AZ409" s="31" t="n">
        <f aca="false">IF($G409="",AO409,P409)</f>
        <v>0</v>
      </c>
      <c r="BA409" s="31" t="n">
        <f aca="false">IF($G409="",AP409,T409)</f>
        <v>245220</v>
      </c>
      <c r="BB409" s="31" t="n">
        <f aca="false">IF($G409="",AQ409,U409)</f>
        <v>20100</v>
      </c>
      <c r="BC409" s="31" t="n">
        <f aca="false">IF($G409="",AR409,V409)</f>
        <v>251</v>
      </c>
      <c r="BD409" s="31" t="n">
        <f aca="false">IF($G409="",AS409,Q409)</f>
        <v>0</v>
      </c>
      <c r="BE409" s="31" t="n">
        <f aca="false">IF($G409="",AT409,W409)</f>
        <v>151001</v>
      </c>
      <c r="BF409" s="31" t="n">
        <f aca="false">IF($G409="",AU409,R409)</f>
        <v>0</v>
      </c>
      <c r="BG409" s="31" t="n">
        <f aca="false">IF($G409="",AV409,X409)</f>
        <v>10744</v>
      </c>
      <c r="BH409" s="31" t="n">
        <f aca="false">IF($G409="",AW409,S409)</f>
        <v>0</v>
      </c>
      <c r="BI409" s="31" t="n">
        <f aca="false">IF($G409="",AX409,Y409)</f>
        <v>1</v>
      </c>
      <c r="BJ409" s="31" t="n">
        <f aca="false">IF(CK409="N",BR409,ROUNDDOWN((I409-L409)*設定!$B$10/1000,0)+ROUNDDOWN((I409-L409)*設定!$B$11/1000,0))</f>
        <v>0</v>
      </c>
      <c r="BK409" s="31" t="n">
        <f aca="false">ROUNDDOWN((I409-L409)*設定!$C$10/1000,0)+ROUNDDOWN((I409-L409)*設定!$C$11/1000,0)+ROUNDDOWN(I409*設定!$C$12/1000,0)+IF(CL409="市局型",ROUNDDOWN(I409*設定!$C$16/1000,0),0)</f>
        <v>0</v>
      </c>
      <c r="BL409" s="31" t="n">
        <f aca="false">IF(CK409="N",BT409,ROUNDDOWN((J409-M409)*設定!$B$13/1000,0))</f>
        <v>0</v>
      </c>
      <c r="BM409" s="31" t="n">
        <f aca="false">ROUNDDOWN((J409-M409)*設定!$C$13/1000,0)+IF(CL409="市局型",ROUNDDOWN(J409*設定!$C$17/1000,0),0)</f>
        <v>0</v>
      </c>
      <c r="BN409" s="31" t="n">
        <f aca="false">IF(CK409="N",BV409,ROUNDDOWN((K409-N409)*設定!$B$14/1000,0))</f>
        <v>0</v>
      </c>
      <c r="BO409" s="31" t="n">
        <f aca="false">ROUNDDOWN((K409-N409)*設定!$C$14/1000,0)</f>
        <v>0</v>
      </c>
      <c r="BP409" s="31" t="n">
        <f aca="false">IF(CK409="N",BX409,ROUNDDOWN((J409-M409)*設定!$B$15/1000,0))</f>
        <v>0</v>
      </c>
      <c r="BQ409" s="31" t="n">
        <f aca="false">ROUNDDOWN((J409-M409)*設定!$C$15/1000,0)</f>
        <v>0</v>
      </c>
      <c r="BR409" s="31" t="n">
        <f aca="false">O409+P409</f>
        <v>0</v>
      </c>
      <c r="BS409" s="31" t="n">
        <f aca="false">T409+U409+V409</f>
        <v>0</v>
      </c>
      <c r="BT409" s="31" t="n">
        <f aca="false">Q409</f>
        <v>0</v>
      </c>
      <c r="BU409" s="31" t="n">
        <f aca="false">W409</f>
        <v>0</v>
      </c>
      <c r="BV409" s="31" t="n">
        <f aca="false">R409</f>
        <v>0</v>
      </c>
      <c r="BW409" s="31" t="n">
        <f aca="false">X409</f>
        <v>0</v>
      </c>
      <c r="BX409" s="31" t="n">
        <f aca="false">S409</f>
        <v>0</v>
      </c>
      <c r="BY409" s="31" t="n">
        <f aca="false">Y409</f>
        <v>0</v>
      </c>
      <c r="BZ409" s="32" t="n">
        <f aca="false">IF(BJ409=0,IF(BR409=0,0,1),(BR409-BJ409)/BJ409)</f>
        <v>0</v>
      </c>
      <c r="CA409" s="32" t="n">
        <f aca="false">IF(BK409=0,IF(BS409=0,0,1),(BS409-BK409)/BK409)</f>
        <v>0</v>
      </c>
      <c r="CB409" s="32" t="n">
        <f aca="false">IF(BL409=0,IF(BT409=0,0,1),(BT409-BL409)/BL409)</f>
        <v>0</v>
      </c>
      <c r="CC409" s="32" t="n">
        <f aca="false">IF(BM409=0,IF(BU409=0,0,1),(BU409-BM409)/BM409)</f>
        <v>0</v>
      </c>
      <c r="CD409" s="32" t="n">
        <f aca="false">IF(BN409=0,IF(BV409=0,0,1),(BV409-BN409)/BN409)</f>
        <v>0</v>
      </c>
      <c r="CE409" s="32" t="n">
        <f aca="false">IF(BO409=0,IF(BW409=0,0,1),(BW409-BO409)/BO409)</f>
        <v>0</v>
      </c>
      <c r="CF409" s="32" t="n">
        <f aca="false">IF(BP409=0,IF(BX409=0,0,1),(BX409-BP409)/BP409)</f>
        <v>0</v>
      </c>
      <c r="CG409" s="32" t="n">
        <f aca="false">IF(BQ409=0,IF(BY409=0,0,1),(BY409-BQ409)/BQ409)</f>
        <v>0</v>
      </c>
      <c r="CH409" s="32" t="n">
        <f aca="false">MAX(MAX(BZ409:CG409),-MIN(BZ409:CG409))</f>
        <v>-0</v>
      </c>
      <c r="CI409" s="31" t="n">
        <f aca="false">IF(CO409="","",SUMIFS($CJ$7:$CJ$696,$A$7:$A$696,CO409,$B$7:$B$696,B409))</f>
        <v>427317</v>
      </c>
      <c r="CJ409" s="31" t="n">
        <f aca="false">SUM(AY409:BI409)</f>
        <v>427317</v>
      </c>
      <c r="CK409" s="31" t="str">
        <f aca="false">IFERROR(INDEX(設定!$F$61:$F$106,MATCH(B409,設定!$B$61:$B$106,0)),"Y")</f>
        <v>N</v>
      </c>
      <c r="CL409" s="31" t="str">
        <f aca="false">IFERROR(INDEX(設定!$G$61:$G$106,MATCH(B409,設定!$B$61:$B$106,0)),"外郭型")</f>
        <v>外郭型</v>
      </c>
      <c r="CM409" s="33" t="str">
        <f aca="false">A409&amp;"|"&amp;B409</f>
        <v>2026-11 月例|社会福祉協議会</v>
      </c>
      <c r="CN409" s="34" t="str">
        <f aca="false">IFERROR(INDEX(設定!$D$61:$D$106,MATCH(B409,設定!$B$61:$B$106,0)),"Y")</f>
        <v>Y</v>
      </c>
      <c r="CO409" s="34" t="str">
        <f aca="false">IFERROR(INDEX(設定!$D$20:$D$34,MATCH(A409,設定!$A$20:$A$34,0))&amp;"","")</f>
        <v>2026-10 月例</v>
      </c>
    </row>
    <row r="410" customFormat="false" ht="15" hidden="true" customHeight="false" outlineLevel="0" collapsed="false">
      <c r="A410" s="22" t="s">
        <v>224</v>
      </c>
      <c r="B410" s="23" t="s">
        <v>204</v>
      </c>
      <c r="C410" s="10" t="str">
        <f aca="false">IF(G410="","未受領",IF(G410="なし","報告なし",IF(AL410="○","起票済",IF(OR(AK410="○",F410="一致",F410="入金不要"),"入金確認済","受領済"))))</f>
        <v>未受領</v>
      </c>
      <c r="D410" s="10" t="str">
        <f aca="false">IF(OR(G410="",G410="なし"),"―",IF(CN410="N","対象外",IF(AND(I410="",J410="",K410=""),"標報未入力",IF(CH410&gt;=設定!$B$4,"要確認","問題なし"))))</f>
        <v>―</v>
      </c>
      <c r="E410" s="24" t="str">
        <f aca="false">IF(OR(G410="",G410="なし",CI410="",CJ410=0),"―",IF(CJ410=CI410,"前月同額",IF(CI410=0,"―",IF(ABS(CJ410/CI410-1)&gt;=設定!$B$5,"変動大 "&amp;TEXT(CJ410/CI410-1,"+0%;-0%"),"〇"))))</f>
        <v>―</v>
      </c>
      <c r="F410" s="10" t="str">
        <f aca="false">IF(OR(G410="",G410="なし"),"―",IF(CJ410=0,"入金不要",IF(COUNT(AD410,AF410,AH410,AJ410)=0,IF(AK410="○","手動確認","未入金"),IF(AND(N(AD410)=AC410,IF(AE410="",TRUE(),N(AF410)=AE410),IF(AG410="",TRUE(),N(AH410)=AG410),IF(AI410="",TRUE(),N(AJ410)=AI410)),"一致","不一致"))))</f>
        <v>―</v>
      </c>
      <c r="G410" s="25"/>
      <c r="H410" s="26"/>
      <c r="I410" s="27"/>
      <c r="J410" s="27"/>
      <c r="K410" s="27"/>
      <c r="L410" s="27"/>
      <c r="M410" s="27"/>
      <c r="N410" s="27"/>
      <c r="O410" s="27"/>
      <c r="P410" s="27"/>
      <c r="Q410" s="27"/>
      <c r="R410" s="27"/>
      <c r="S410" s="27"/>
      <c r="T410" s="27"/>
      <c r="U410" s="27"/>
      <c r="V410" s="27"/>
      <c r="W410" s="27"/>
      <c r="X410" s="27"/>
      <c r="Y410" s="27"/>
      <c r="Z410" s="27"/>
      <c r="AA410" s="10" t="str">
        <f aca="false">IFERROR(INDEX(設定!$E$61:$E$106,MATCH(B410,設定!$B$61:$B$106,0)),"合算")</f>
        <v>合算</v>
      </c>
      <c r="AB410" s="28"/>
      <c r="AC410" s="29" t="str">
        <f aca="false">IF(OR(G410="",G410="なし"),"",IF(AA410="合算",CJ410+N(Z410),IF(AA410="掛金・負担金別",(AY410+AZ410+BD410+BF410+BH410),SUM(AY410:BC410))))</f>
        <v/>
      </c>
      <c r="AD410" s="27"/>
      <c r="AE410" s="29" t="str">
        <f aca="false">IF(OR(G410="",G410="なし"),"",IF(AA410="掛金・負担金別",(BA410+BB410+BC410+BE410+BG410+BI410+N(Z410)),IF(AA410="経理区分別",BD410+BE410,"")))</f>
        <v/>
      </c>
      <c r="AF410" s="27"/>
      <c r="AG410" s="29" t="str">
        <f aca="false">IF(OR(G410="",G410="なし"),"",IF(AA410="経理区分別",BF410+BG410,""))</f>
        <v/>
      </c>
      <c r="AH410" s="27"/>
      <c r="AI410" s="29" t="str">
        <f aca="false">IF(OR(G410="",G410="なし"),"",IF(AA410="経理区分別",BH410+BI410+N(Z410),""))</f>
        <v/>
      </c>
      <c r="AJ410" s="27"/>
      <c r="AK410" s="26"/>
      <c r="AL410" s="26"/>
      <c r="AM410" s="30"/>
      <c r="AN410" s="31" t="n">
        <v>123858792</v>
      </c>
      <c r="AO410" s="31" t="n">
        <v>10152360</v>
      </c>
      <c r="AP410" s="31" t="n">
        <v>183351440</v>
      </c>
      <c r="AQ410" s="31" t="n">
        <v>10152360</v>
      </c>
      <c r="AR410" s="31" t="n">
        <v>134503</v>
      </c>
      <c r="AS410" s="31" t="n">
        <v>96232987</v>
      </c>
      <c r="AT410" s="31" t="n">
        <v>96420754</v>
      </c>
      <c r="AU410" s="31" t="n">
        <v>7770719</v>
      </c>
      <c r="AV410" s="31" t="n">
        <v>7770719</v>
      </c>
      <c r="AW410" s="31" t="n">
        <v>1</v>
      </c>
      <c r="AX410" s="31" t="n">
        <v>1</v>
      </c>
      <c r="AY410" s="31" t="n">
        <f aca="false">IF($G410="",AN410,O410)</f>
        <v>123858792</v>
      </c>
      <c r="AZ410" s="31" t="n">
        <f aca="false">IF($G410="",AO410,P410)</f>
        <v>10152360</v>
      </c>
      <c r="BA410" s="31" t="n">
        <f aca="false">IF($G410="",AP410,T410)</f>
        <v>183351440</v>
      </c>
      <c r="BB410" s="31" t="n">
        <f aca="false">IF($G410="",AQ410,U410)</f>
        <v>10152360</v>
      </c>
      <c r="BC410" s="31" t="n">
        <f aca="false">IF($G410="",AR410,V410)</f>
        <v>134503</v>
      </c>
      <c r="BD410" s="31" t="n">
        <f aca="false">IF($G410="",AS410,Q410)</f>
        <v>96232987</v>
      </c>
      <c r="BE410" s="31" t="n">
        <f aca="false">IF($G410="",AT410,W410)</f>
        <v>96420754</v>
      </c>
      <c r="BF410" s="31" t="n">
        <f aca="false">IF($G410="",AU410,R410)</f>
        <v>7770719</v>
      </c>
      <c r="BG410" s="31" t="n">
        <f aca="false">IF($G410="",AV410,X410)</f>
        <v>7770719</v>
      </c>
      <c r="BH410" s="31" t="n">
        <f aca="false">IF($G410="",AW410,S410)</f>
        <v>1</v>
      </c>
      <c r="BI410" s="31" t="n">
        <f aca="false">IF($G410="",AX410,Y410)</f>
        <v>1</v>
      </c>
      <c r="BJ410" s="31" t="n">
        <f aca="false">IF(CK410="N",BR410,ROUNDDOWN((I410-L410)*設定!$B$10/1000,0)+ROUNDDOWN((I410-L410)*設定!$B$11/1000,0))</f>
        <v>0</v>
      </c>
      <c r="BK410" s="31" t="n">
        <f aca="false">ROUNDDOWN((I410-L410)*設定!$C$10/1000,0)+ROUNDDOWN((I410-L410)*設定!$C$11/1000,0)+ROUNDDOWN(I410*設定!$C$12/1000,0)+IF(CL410="市局型",ROUNDDOWN(I410*設定!$C$16/1000,0),0)</f>
        <v>0</v>
      </c>
      <c r="BL410" s="31" t="n">
        <f aca="false">IF(CK410="N",BT410,ROUNDDOWN((J410-M410)*設定!$B$13/1000,0))</f>
        <v>0</v>
      </c>
      <c r="BM410" s="31" t="n">
        <f aca="false">ROUNDDOWN((J410-M410)*設定!$C$13/1000,0)+IF(CL410="市局型",ROUNDDOWN(J410*設定!$C$17/1000,0),0)</f>
        <v>0</v>
      </c>
      <c r="BN410" s="31" t="n">
        <f aca="false">IF(CK410="N",BV410,ROUNDDOWN((K410-N410)*設定!$B$14/1000,0))</f>
        <v>0</v>
      </c>
      <c r="BO410" s="31" t="n">
        <f aca="false">ROUNDDOWN((K410-N410)*設定!$C$14/1000,0)</f>
        <v>0</v>
      </c>
      <c r="BP410" s="31" t="n">
        <f aca="false">IF(CK410="N",BX410,ROUNDDOWN((J410-M410)*設定!$B$15/1000,0))</f>
        <v>0</v>
      </c>
      <c r="BQ410" s="31" t="n">
        <f aca="false">ROUNDDOWN((J410-M410)*設定!$C$15/1000,0)</f>
        <v>0</v>
      </c>
      <c r="BR410" s="31" t="n">
        <f aca="false">O410+P410</f>
        <v>0</v>
      </c>
      <c r="BS410" s="31" t="n">
        <f aca="false">T410+U410+V410</f>
        <v>0</v>
      </c>
      <c r="BT410" s="31" t="n">
        <f aca="false">Q410</f>
        <v>0</v>
      </c>
      <c r="BU410" s="31" t="n">
        <f aca="false">W410</f>
        <v>0</v>
      </c>
      <c r="BV410" s="31" t="n">
        <f aca="false">R410</f>
        <v>0</v>
      </c>
      <c r="BW410" s="31" t="n">
        <f aca="false">X410</f>
        <v>0</v>
      </c>
      <c r="BX410" s="31" t="n">
        <f aca="false">S410</f>
        <v>0</v>
      </c>
      <c r="BY410" s="31" t="n">
        <f aca="false">Y410</f>
        <v>0</v>
      </c>
      <c r="BZ410" s="32" t="n">
        <f aca="false">IF(BJ410=0,IF(BR410=0,0,1),(BR410-BJ410)/BJ410)</f>
        <v>0</v>
      </c>
      <c r="CA410" s="32" t="n">
        <f aca="false">IF(BK410=0,IF(BS410=0,0,1),(BS410-BK410)/BK410)</f>
        <v>0</v>
      </c>
      <c r="CB410" s="32" t="n">
        <f aca="false">IF(BL410=0,IF(BT410=0,0,1),(BT410-BL410)/BL410)</f>
        <v>0</v>
      </c>
      <c r="CC410" s="32" t="n">
        <f aca="false">IF(BM410=0,IF(BU410=0,0,1),(BU410-BM410)/BM410)</f>
        <v>0</v>
      </c>
      <c r="CD410" s="32" t="n">
        <f aca="false">IF(BN410=0,IF(BV410=0,0,1),(BV410-BN410)/BN410)</f>
        <v>0</v>
      </c>
      <c r="CE410" s="32" t="n">
        <f aca="false">IF(BO410=0,IF(BW410=0,0,1),(BW410-BO410)/BO410)</f>
        <v>0</v>
      </c>
      <c r="CF410" s="32" t="n">
        <f aca="false">IF(BP410=0,IF(BX410=0,0,1),(BX410-BP410)/BP410)</f>
        <v>0</v>
      </c>
      <c r="CG410" s="32" t="n">
        <f aca="false">IF(BQ410=0,IF(BY410=0,0,1),(BY410-BQ410)/BQ410)</f>
        <v>0</v>
      </c>
      <c r="CH410" s="32" t="n">
        <f aca="false">MAX(MAX(BZ410:CG410),-MIN(BZ410:CG410))</f>
        <v>-0</v>
      </c>
      <c r="CI410" s="31" t="n">
        <f aca="false">IF(CO410="","",SUMIFS($CJ$7:$CJ$696,$A$7:$A$696,CO410,$B$7:$B$696,B410))</f>
        <v>536466148</v>
      </c>
      <c r="CJ410" s="31" t="n">
        <f aca="false">SUM(AY410:BI410)</f>
        <v>535844636</v>
      </c>
      <c r="CK410" s="31" t="str">
        <f aca="false">IFERROR(INDEX(設定!$F$61:$F$106,MATCH(B410,設定!$B$61:$B$106,0)),"Y")</f>
        <v>Y</v>
      </c>
      <c r="CL410" s="31" t="str">
        <f aca="false">IFERROR(INDEX(設定!$G$61:$G$106,MATCH(B410,設定!$B$61:$B$106,0)),"外郭型")</f>
        <v>外郭型</v>
      </c>
      <c r="CM410" s="33" t="str">
        <f aca="false">A410&amp;"|"&amp;B410</f>
        <v>2026-11 月例|市立病院機構</v>
      </c>
      <c r="CN410" s="34" t="str">
        <f aca="false">IFERROR(INDEX(設定!$D$61:$D$106,MATCH(B410,設定!$B$61:$B$106,0)),"Y")</f>
        <v>N</v>
      </c>
      <c r="CO410" s="34" t="str">
        <f aca="false">IFERROR(INDEX(設定!$D$20:$D$34,MATCH(A410,設定!$A$20:$A$34,0))&amp;"","")</f>
        <v>2026-10 月例</v>
      </c>
    </row>
    <row r="411" customFormat="false" ht="15" hidden="true" customHeight="false" outlineLevel="0" collapsed="false">
      <c r="A411" s="22" t="s">
        <v>224</v>
      </c>
      <c r="B411" s="23" t="s">
        <v>205</v>
      </c>
      <c r="C411" s="10" t="str">
        <f aca="false">IF(G411="","未受領",IF(G411="なし","報告なし",IF(AL411="○","起票済",IF(OR(AK411="○",F411="一致",F411="入金不要"),"入金確認済","受領済"))))</f>
        <v>未受領</v>
      </c>
      <c r="D411" s="10" t="str">
        <f aca="false">IF(OR(G411="",G411="なし"),"―",IF(CN411="N","対象外",IF(AND(I411="",J411="",K411=""),"標報未入力",IF(CH411&gt;=設定!$B$4,"要確認","問題なし"))))</f>
        <v>―</v>
      </c>
      <c r="E411" s="24" t="str">
        <f aca="false">IF(OR(G411="",G411="なし",CI411="",CJ411=0),"―",IF(CJ411=CI411,"前月同額",IF(CI411=0,"―",IF(ABS(CJ411/CI411-1)&gt;=設定!$B$5,"変動大 "&amp;TEXT(CJ411/CI411-1,"+0%;-0%"),"〇"))))</f>
        <v>―</v>
      </c>
      <c r="F411" s="10" t="str">
        <f aca="false">IF(OR(G411="",G411="なし"),"―",IF(CJ411=0,"入金不要",IF(COUNT(AD411,AF411,AH411,AJ411)=0,IF(AK411="○","手動確認","未入金"),IF(AND(N(AD411)=AC411,IF(AE411="",TRUE(),N(AF411)=AE411),IF(AG411="",TRUE(),N(AH411)=AG411),IF(AI411="",TRUE(),N(AJ411)=AI411)),"一致","不一致"))))</f>
        <v>―</v>
      </c>
      <c r="G411" s="25"/>
      <c r="H411" s="26"/>
      <c r="I411" s="27"/>
      <c r="J411" s="27"/>
      <c r="K411" s="27"/>
      <c r="L411" s="27"/>
      <c r="M411" s="27"/>
      <c r="N411" s="27"/>
      <c r="O411" s="27"/>
      <c r="P411" s="27"/>
      <c r="Q411" s="27"/>
      <c r="R411" s="27"/>
      <c r="S411" s="27"/>
      <c r="T411" s="27"/>
      <c r="U411" s="27"/>
      <c r="V411" s="27"/>
      <c r="W411" s="27"/>
      <c r="X411" s="27"/>
      <c r="Y411" s="27"/>
      <c r="Z411" s="27"/>
      <c r="AA411" s="10" t="str">
        <f aca="false">IFERROR(INDEX(設定!$E$61:$E$106,MATCH(B411,設定!$B$61:$B$106,0)),"合算")</f>
        <v>合算</v>
      </c>
      <c r="AB411" s="28"/>
      <c r="AC411" s="29" t="str">
        <f aca="false">IF(OR(G411="",G411="なし"),"",IF(AA411="合算",CJ411+N(Z411),IF(AA411="掛金・負担金別",(AY411+AZ411+BD411+BF411+BH411),SUM(AY411:BC411))))</f>
        <v/>
      </c>
      <c r="AD411" s="27"/>
      <c r="AE411" s="29" t="str">
        <f aca="false">IF(OR(G411="",G411="なし"),"",IF(AA411="掛金・負担金別",(BA411+BB411+BC411+BE411+BG411+BI411+N(Z411)),IF(AA411="経理区分別",BD411+BE411,"")))</f>
        <v/>
      </c>
      <c r="AF411" s="27"/>
      <c r="AG411" s="29" t="str">
        <f aca="false">IF(OR(G411="",G411="なし"),"",IF(AA411="経理区分別",BF411+BG411,""))</f>
        <v/>
      </c>
      <c r="AH411" s="27"/>
      <c r="AI411" s="29" t="str">
        <f aca="false">IF(OR(G411="",G411="なし"),"",IF(AA411="経理区分別",BH411+BI411+N(Z411),""))</f>
        <v/>
      </c>
      <c r="AJ411" s="27"/>
      <c r="AK411" s="26"/>
      <c r="AL411" s="26"/>
      <c r="AM411" s="30"/>
      <c r="AN411" s="31"/>
      <c r="AO411" s="31"/>
      <c r="AP411" s="31"/>
      <c r="AQ411" s="31"/>
      <c r="AR411" s="31"/>
      <c r="AS411" s="31" t="n">
        <v>128716</v>
      </c>
      <c r="AT411" s="31" t="n">
        <v>108566</v>
      </c>
      <c r="AU411" s="31" t="n">
        <v>15168</v>
      </c>
      <c r="AV411" s="31" t="n">
        <v>12245</v>
      </c>
      <c r="AW411" s="31" t="n">
        <v>1</v>
      </c>
      <c r="AX411" s="31" t="n">
        <v>1</v>
      </c>
      <c r="AY411" s="31" t="n">
        <f aca="false">IF($G411="",AN411,O411)</f>
        <v>0</v>
      </c>
      <c r="AZ411" s="31" t="n">
        <f aca="false">IF($G411="",AO411,P411)</f>
        <v>0</v>
      </c>
      <c r="BA411" s="31" t="n">
        <f aca="false">IF($G411="",AP411,T411)</f>
        <v>0</v>
      </c>
      <c r="BB411" s="31" t="n">
        <f aca="false">IF($G411="",AQ411,U411)</f>
        <v>0</v>
      </c>
      <c r="BC411" s="31" t="n">
        <f aca="false">IF($G411="",AR411,V411)</f>
        <v>0</v>
      </c>
      <c r="BD411" s="31" t="n">
        <f aca="false">IF($G411="",AS411,Q411)</f>
        <v>128716</v>
      </c>
      <c r="BE411" s="31" t="n">
        <f aca="false">IF($G411="",AT411,W411)</f>
        <v>108566</v>
      </c>
      <c r="BF411" s="31" t="n">
        <f aca="false">IF($G411="",AU411,R411)</f>
        <v>15168</v>
      </c>
      <c r="BG411" s="31" t="n">
        <f aca="false">IF($G411="",AV411,X411)</f>
        <v>12245</v>
      </c>
      <c r="BH411" s="31" t="n">
        <f aca="false">IF($G411="",AW411,S411)</f>
        <v>1</v>
      </c>
      <c r="BI411" s="31" t="n">
        <f aca="false">IF($G411="",AX411,Y411)</f>
        <v>1</v>
      </c>
      <c r="BJ411" s="31" t="n">
        <f aca="false">IF(CK411="N",BR411,ROUNDDOWN((I411-L411)*設定!$B$10/1000,0)+ROUNDDOWN((I411-L411)*設定!$B$11/1000,0))</f>
        <v>0</v>
      </c>
      <c r="BK411" s="31" t="n">
        <f aca="false">ROUNDDOWN((I411-L411)*設定!$C$10/1000,0)+ROUNDDOWN((I411-L411)*設定!$C$11/1000,0)+ROUNDDOWN(I411*設定!$C$12/1000,0)+IF(CL411="市局型",ROUNDDOWN(I411*設定!$C$16/1000,0),0)</f>
        <v>0</v>
      </c>
      <c r="BL411" s="31" t="n">
        <f aca="false">IF(CK411="N",BT411,ROUNDDOWN((J411-M411)*設定!$B$13/1000,0))</f>
        <v>0</v>
      </c>
      <c r="BM411" s="31" t="n">
        <f aca="false">ROUNDDOWN((J411-M411)*設定!$C$13/1000,0)+IF(CL411="市局型",ROUNDDOWN(J411*設定!$C$17/1000,0),0)</f>
        <v>0</v>
      </c>
      <c r="BN411" s="31" t="n">
        <f aca="false">IF(CK411="N",BV411,ROUNDDOWN((K411-N411)*設定!$B$14/1000,0))</f>
        <v>0</v>
      </c>
      <c r="BO411" s="31" t="n">
        <f aca="false">ROUNDDOWN((K411-N411)*設定!$C$14/1000,0)</f>
        <v>0</v>
      </c>
      <c r="BP411" s="31" t="n">
        <f aca="false">IF(CK411="N",BX411,ROUNDDOWN((J411-M411)*設定!$B$15/1000,0))</f>
        <v>0</v>
      </c>
      <c r="BQ411" s="31" t="n">
        <f aca="false">ROUNDDOWN((J411-M411)*設定!$C$15/1000,0)</f>
        <v>0</v>
      </c>
      <c r="BR411" s="31" t="n">
        <f aca="false">O411+P411</f>
        <v>0</v>
      </c>
      <c r="BS411" s="31" t="n">
        <f aca="false">T411+U411+V411</f>
        <v>0</v>
      </c>
      <c r="BT411" s="31" t="n">
        <f aca="false">Q411</f>
        <v>0</v>
      </c>
      <c r="BU411" s="31" t="n">
        <f aca="false">W411</f>
        <v>0</v>
      </c>
      <c r="BV411" s="31" t="n">
        <f aca="false">R411</f>
        <v>0</v>
      </c>
      <c r="BW411" s="31" t="n">
        <f aca="false">X411</f>
        <v>0</v>
      </c>
      <c r="BX411" s="31" t="n">
        <f aca="false">S411</f>
        <v>0</v>
      </c>
      <c r="BY411" s="31" t="n">
        <f aca="false">Y411</f>
        <v>0</v>
      </c>
      <c r="BZ411" s="32" t="n">
        <f aca="false">IF(BJ411=0,IF(BR411=0,0,1),(BR411-BJ411)/BJ411)</f>
        <v>0</v>
      </c>
      <c r="CA411" s="32" t="n">
        <f aca="false">IF(BK411=0,IF(BS411=0,0,1),(BS411-BK411)/BK411)</f>
        <v>0</v>
      </c>
      <c r="CB411" s="32" t="n">
        <f aca="false">IF(BL411=0,IF(BT411=0,0,1),(BT411-BL411)/BL411)</f>
        <v>0</v>
      </c>
      <c r="CC411" s="32" t="n">
        <f aca="false">IF(BM411=0,IF(BU411=0,0,1),(BU411-BM411)/BM411)</f>
        <v>0</v>
      </c>
      <c r="CD411" s="32" t="n">
        <f aca="false">IF(BN411=0,IF(BV411=0,0,1),(BV411-BN411)/BN411)</f>
        <v>0</v>
      </c>
      <c r="CE411" s="32" t="n">
        <f aca="false">IF(BO411=0,IF(BW411=0,0,1),(BW411-BO411)/BO411)</f>
        <v>0</v>
      </c>
      <c r="CF411" s="32" t="n">
        <f aca="false">IF(BP411=0,IF(BX411=0,0,1),(BX411-BP411)/BP411)</f>
        <v>0</v>
      </c>
      <c r="CG411" s="32" t="n">
        <f aca="false">IF(BQ411=0,IF(BY411=0,0,1),(BY411-BQ411)/BQ411)</f>
        <v>0</v>
      </c>
      <c r="CH411" s="32" t="n">
        <f aca="false">MAX(MAX(BZ411:CG411),-MIN(BZ411:CG411))</f>
        <v>-0</v>
      </c>
      <c r="CI411" s="31" t="n">
        <f aca="false">IF(CO411="","",SUMIFS($CJ$7:$CJ$696,$A$7:$A$696,CO411,$B$7:$B$696,B411))</f>
        <v>218147</v>
      </c>
      <c r="CJ411" s="31" t="n">
        <f aca="false">SUM(AY411:BI411)</f>
        <v>264697</v>
      </c>
      <c r="CK411" s="31" t="str">
        <f aca="false">IFERROR(INDEX(設定!$F$61:$F$106,MATCH(B411,設定!$B$61:$B$106,0)),"Y")</f>
        <v>Y</v>
      </c>
      <c r="CL411" s="31" t="str">
        <f aca="false">IFERROR(INDEX(設定!$G$61:$G$106,MATCH(B411,設定!$B$61:$B$106,0)),"外郭型")</f>
        <v>外郭型</v>
      </c>
      <c r="CM411" s="33" t="str">
        <f aca="false">A411&amp;"|"&amp;B411</f>
        <v>2026-11 月例|職員共済組合</v>
      </c>
      <c r="CN411" s="34" t="str">
        <f aca="false">IFERROR(INDEX(設定!$D$61:$D$106,MATCH(B411,設定!$B$61:$B$106,0)),"Y")</f>
        <v>N</v>
      </c>
      <c r="CO411" s="34" t="str">
        <f aca="false">IFERROR(INDEX(設定!$D$20:$D$34,MATCH(A411,設定!$A$20:$A$34,0))&amp;"","")</f>
        <v>2026-10 月例</v>
      </c>
    </row>
    <row r="412" customFormat="false" ht="26.85" hidden="true" customHeight="false" outlineLevel="0" collapsed="false">
      <c r="A412" s="22" t="s">
        <v>224</v>
      </c>
      <c r="B412" s="35" t="s">
        <v>206</v>
      </c>
      <c r="C412" s="10" t="str">
        <f aca="false">IF(G412="","未受領",IF(G412="なし","報告なし",IF(AL412="○","起票済",IF(OR(AK412="○",F412="一致",F412="入金不要"),"入金確認済","受領済"))))</f>
        <v>報告なし</v>
      </c>
      <c r="D412" s="10" t="str">
        <f aca="false">IF(OR(G412="",G412="なし"),"―",IF(CN412="N","対象外",IF(AND(I412="",J412="",K412=""),"標報未入力",IF(CH412&gt;=設定!$B$4,"要確認","問題なし"))))</f>
        <v>―</v>
      </c>
      <c r="E412" s="24" t="str">
        <f aca="false">IF(OR(G412="",G412="なし",CI412="",CJ412=0),"―",IF(CJ412=CI412,"前月同額",IF(CI412=0,"―",IF(ABS(CJ412/CI412-1)&gt;=設定!$B$5,"変動大 "&amp;TEXT(CJ412/CI412-1,"+0%;-0%"),"〇"))))</f>
        <v>―</v>
      </c>
      <c r="F412" s="10" t="str">
        <f aca="false">IF(OR(G412="",G412="なし"),"―",IF(CJ412=0,"入金不要",IF(COUNT(AD412,AF412,AH412,AJ412)=0,IF(AK412="○","手動確認","未入金"),IF(AND(N(AD412)=AC412,IF(AE412="",TRUE(),N(AF412)=AE412),IF(AG412="",TRUE(),N(AH412)=AG412),IF(AI412="",TRUE(),N(AJ412)=AI412)),"一致","不一致"))))</f>
        <v>―</v>
      </c>
      <c r="G412" s="25" t="s">
        <v>181</v>
      </c>
      <c r="H412" s="26"/>
      <c r="I412" s="27"/>
      <c r="J412" s="27"/>
      <c r="K412" s="27"/>
      <c r="L412" s="27"/>
      <c r="M412" s="27"/>
      <c r="N412" s="27"/>
      <c r="O412" s="27"/>
      <c r="P412" s="27"/>
      <c r="Q412" s="27"/>
      <c r="R412" s="27"/>
      <c r="S412" s="27"/>
      <c r="T412" s="27"/>
      <c r="U412" s="27"/>
      <c r="V412" s="27"/>
      <c r="W412" s="27"/>
      <c r="X412" s="27"/>
      <c r="Y412" s="27"/>
      <c r="Z412" s="27"/>
      <c r="AA412" s="10" t="str">
        <f aca="false">IFERROR(INDEX(設定!$E$61:$E$106,MATCH(B412,設定!$B$61:$B$106,0)),"合算")</f>
        <v>合算</v>
      </c>
      <c r="AB412" s="28"/>
      <c r="AC412" s="29" t="str">
        <f aca="false">IF(OR(G412="",G412="なし"),"",IF(AA412="合算",CJ412+N(Z412),IF(AA412="掛金・負担金別",(AY412+AZ412+BD412+BF412+BH412),SUM(AY412:BC412))))</f>
        <v/>
      </c>
      <c r="AD412" s="27"/>
      <c r="AE412" s="29" t="str">
        <f aca="false">IF(OR(G412="",G412="なし"),"",IF(AA412="掛金・負担金別",(BA412+BB412+BC412+BE412+BG412+BI412+N(Z412)),IF(AA412="経理区分別",BD412+BE412,"")))</f>
        <v/>
      </c>
      <c r="AF412" s="27"/>
      <c r="AG412" s="29" t="str">
        <f aca="false">IF(OR(G412="",G412="なし"),"",IF(AA412="経理区分別",BF412+BG412,""))</f>
        <v/>
      </c>
      <c r="AH412" s="27"/>
      <c r="AI412" s="29" t="str">
        <f aca="false">IF(OR(G412="",G412="なし"),"",IF(AA412="経理区分別",BH412+BI412+N(Z412),""))</f>
        <v/>
      </c>
      <c r="AJ412" s="27"/>
      <c r="AK412" s="26"/>
      <c r="AL412" s="26"/>
      <c r="AM412" s="30"/>
      <c r="AN412" s="31"/>
      <c r="AO412" s="31"/>
      <c r="AP412" s="31"/>
      <c r="AQ412" s="31"/>
      <c r="AR412" s="31"/>
      <c r="AS412" s="31"/>
      <c r="AT412" s="31"/>
      <c r="AU412" s="31"/>
      <c r="AV412" s="31"/>
      <c r="AW412" s="31"/>
      <c r="AX412" s="31"/>
      <c r="AY412" s="31" t="n">
        <f aca="false">IF($G412="",AN412,O412)</f>
        <v>0</v>
      </c>
      <c r="AZ412" s="31" t="n">
        <f aca="false">IF($G412="",AO412,P412)</f>
        <v>0</v>
      </c>
      <c r="BA412" s="31" t="n">
        <f aca="false">IF($G412="",AP412,T412)</f>
        <v>0</v>
      </c>
      <c r="BB412" s="31" t="n">
        <f aca="false">IF($G412="",AQ412,U412)</f>
        <v>0</v>
      </c>
      <c r="BC412" s="31" t="n">
        <f aca="false">IF($G412="",AR412,V412)</f>
        <v>0</v>
      </c>
      <c r="BD412" s="31" t="n">
        <f aca="false">IF($G412="",AS412,Q412)</f>
        <v>0</v>
      </c>
      <c r="BE412" s="31" t="n">
        <f aca="false">IF($G412="",AT412,W412)</f>
        <v>0</v>
      </c>
      <c r="BF412" s="31" t="n">
        <f aca="false">IF($G412="",AU412,R412)</f>
        <v>0</v>
      </c>
      <c r="BG412" s="31" t="n">
        <f aca="false">IF($G412="",AV412,X412)</f>
        <v>0</v>
      </c>
      <c r="BH412" s="31" t="n">
        <f aca="false">IF($G412="",AW412,S412)</f>
        <v>0</v>
      </c>
      <c r="BI412" s="31" t="n">
        <f aca="false">IF($G412="",AX412,Y412)</f>
        <v>0</v>
      </c>
      <c r="BJ412" s="31" t="n">
        <f aca="false">IF(CK412="N",BR412,ROUNDDOWN((I412-L412)*設定!$B$10/1000,0)+ROUNDDOWN((I412-L412)*設定!$B$11/1000,0))</f>
        <v>0</v>
      </c>
      <c r="BK412" s="31" t="n">
        <f aca="false">ROUNDDOWN((I412-L412)*設定!$C$10/1000,0)+ROUNDDOWN((I412-L412)*設定!$C$11/1000,0)+ROUNDDOWN(I412*設定!$C$12/1000,0)+IF(CL412="市局型",ROUNDDOWN(I412*設定!$C$16/1000,0),0)</f>
        <v>0</v>
      </c>
      <c r="BL412" s="31" t="n">
        <f aca="false">IF(CK412="N",BT412,ROUNDDOWN((J412-M412)*設定!$B$13/1000,0))</f>
        <v>0</v>
      </c>
      <c r="BM412" s="31" t="n">
        <f aca="false">ROUNDDOWN((J412-M412)*設定!$C$13/1000,0)+IF(CL412="市局型",ROUNDDOWN(J412*設定!$C$17/1000,0),0)</f>
        <v>0</v>
      </c>
      <c r="BN412" s="31" t="n">
        <f aca="false">IF(CK412="N",BV412,ROUNDDOWN((K412-N412)*設定!$B$14/1000,0))</f>
        <v>0</v>
      </c>
      <c r="BO412" s="31" t="n">
        <f aca="false">ROUNDDOWN((K412-N412)*設定!$C$14/1000,0)</f>
        <v>0</v>
      </c>
      <c r="BP412" s="31" t="n">
        <f aca="false">IF(CK412="N",BX412,ROUNDDOWN((J412-M412)*設定!$B$15/1000,0))</f>
        <v>0</v>
      </c>
      <c r="BQ412" s="31" t="n">
        <f aca="false">ROUNDDOWN((J412-M412)*設定!$C$15/1000,0)</f>
        <v>0</v>
      </c>
      <c r="BR412" s="31" t="n">
        <f aca="false">O412+P412</f>
        <v>0</v>
      </c>
      <c r="BS412" s="31" t="n">
        <f aca="false">T412+U412+V412</f>
        <v>0</v>
      </c>
      <c r="BT412" s="31" t="n">
        <f aca="false">Q412</f>
        <v>0</v>
      </c>
      <c r="BU412" s="31" t="n">
        <f aca="false">W412</f>
        <v>0</v>
      </c>
      <c r="BV412" s="31" t="n">
        <f aca="false">R412</f>
        <v>0</v>
      </c>
      <c r="BW412" s="31" t="n">
        <f aca="false">X412</f>
        <v>0</v>
      </c>
      <c r="BX412" s="31" t="n">
        <f aca="false">S412</f>
        <v>0</v>
      </c>
      <c r="BY412" s="31" t="n">
        <f aca="false">Y412</f>
        <v>0</v>
      </c>
      <c r="BZ412" s="32" t="n">
        <f aca="false">IF(BJ412=0,IF(BR412=0,0,1),(BR412-BJ412)/BJ412)</f>
        <v>0</v>
      </c>
      <c r="CA412" s="32" t="n">
        <f aca="false">IF(BK412=0,IF(BS412=0,0,1),(BS412-BK412)/BK412)</f>
        <v>0</v>
      </c>
      <c r="CB412" s="32" t="n">
        <f aca="false">IF(BL412=0,IF(BT412=0,0,1),(BT412-BL412)/BL412)</f>
        <v>0</v>
      </c>
      <c r="CC412" s="32" t="n">
        <f aca="false">IF(BM412=0,IF(BU412=0,0,1),(BU412-BM412)/BM412)</f>
        <v>0</v>
      </c>
      <c r="CD412" s="32" t="n">
        <f aca="false">IF(BN412=0,IF(BV412=0,0,1),(BV412-BN412)/BN412)</f>
        <v>0</v>
      </c>
      <c r="CE412" s="32" t="n">
        <f aca="false">IF(BO412=0,IF(BW412=0,0,1),(BW412-BO412)/BO412)</f>
        <v>0</v>
      </c>
      <c r="CF412" s="32" t="n">
        <f aca="false">IF(BP412=0,IF(BX412=0,0,1),(BX412-BP412)/BP412)</f>
        <v>0</v>
      </c>
      <c r="CG412" s="32" t="n">
        <f aca="false">IF(BQ412=0,IF(BY412=0,0,1),(BY412-BQ412)/BQ412)</f>
        <v>0</v>
      </c>
      <c r="CH412" s="32" t="n">
        <f aca="false">MAX(MAX(BZ412:CG412),-MIN(BZ412:CG412))</f>
        <v>-0</v>
      </c>
      <c r="CI412" s="31" t="n">
        <f aca="false">IF(CO412="","",SUMIFS($CJ$7:$CJ$696,$A$7:$A$696,CO412,$B$7:$B$696,B412))</f>
        <v>0</v>
      </c>
      <c r="CJ412" s="31" t="n">
        <f aca="false">SUM(AY412:BI412)</f>
        <v>0</v>
      </c>
      <c r="CK412" s="31" t="str">
        <f aca="false">IFERROR(INDEX(設定!$F$61:$F$106,MATCH(B412,設定!$B$61:$B$106,0)),"Y")</f>
        <v>N</v>
      </c>
      <c r="CL412" s="31" t="str">
        <f aca="false">IFERROR(INDEX(設定!$G$61:$G$106,MATCH(B412,設定!$B$61:$B$106,0)),"外郭型")</f>
        <v>外郭型</v>
      </c>
      <c r="CM412" s="36" t="str">
        <f aca="false">A412&amp;"|"&amp;B412</f>
        <v>2026-11 月例|地方公共団体
情報システム機構</v>
      </c>
      <c r="CN412" s="34" t="str">
        <f aca="false">IFERROR(INDEX(設定!$D$61:$D$106,MATCH(B412,設定!$B$61:$B$106,0)),"Y")</f>
        <v>Y</v>
      </c>
      <c r="CO412" s="34" t="str">
        <f aca="false">IFERROR(INDEX(設定!$D$20:$D$34,MATCH(A412,設定!$A$20:$A$34,0))&amp;"","")</f>
        <v>2026-10 月例</v>
      </c>
    </row>
    <row r="413" customFormat="false" ht="15" hidden="true" customHeight="false" outlineLevel="0" collapsed="false">
      <c r="A413" s="22" t="s">
        <v>224</v>
      </c>
      <c r="B413" s="23" t="s">
        <v>207</v>
      </c>
      <c r="C413" s="10" t="str">
        <f aca="false">IF(G413="","未受領",IF(G413="なし","報告なし",IF(AL413="○","起票済",IF(OR(AK413="○",F413="一致",F413="入金不要"),"入金確認済","受領済"))))</f>
        <v>未受領</v>
      </c>
      <c r="D413" s="10" t="str">
        <f aca="false">IF(OR(G413="",G413="なし"),"―",IF(CN413="N","対象外",IF(AND(I413="",J413="",K413=""),"標報未入力",IF(CH413&gt;=設定!$B$4,"要確認","問題なし"))))</f>
        <v>―</v>
      </c>
      <c r="E413" s="24" t="str">
        <f aca="false">IF(OR(G413="",G413="なし",CI413="",CJ413=0),"―",IF(CJ413=CI413,"前月同額",IF(CI413=0,"―",IF(ABS(CJ413/CI413-1)&gt;=設定!$B$5,"変動大 "&amp;TEXT(CJ413/CI413-1,"+0%;-0%"),"〇"))))</f>
        <v>―</v>
      </c>
      <c r="F413" s="10" t="str">
        <f aca="false">IF(OR(G413="",G413="なし"),"―",IF(CJ413=0,"入金不要",IF(COUNT(AD413,AF413,AH413,AJ413)=0,IF(AK413="○","手動確認","未入金"),IF(AND(N(AD413)=AC413,IF(AE413="",TRUE(),N(AF413)=AE413),IF(AG413="",TRUE(),N(AH413)=AG413),IF(AI413="",TRUE(),N(AJ413)=AI413)),"一致","不一致"))))</f>
        <v>―</v>
      </c>
      <c r="G413" s="25"/>
      <c r="H413" s="26"/>
      <c r="I413" s="27"/>
      <c r="J413" s="27"/>
      <c r="K413" s="27"/>
      <c r="L413" s="27"/>
      <c r="M413" s="27"/>
      <c r="N413" s="27"/>
      <c r="O413" s="27"/>
      <c r="P413" s="27"/>
      <c r="Q413" s="27"/>
      <c r="R413" s="27"/>
      <c r="S413" s="27"/>
      <c r="T413" s="27"/>
      <c r="U413" s="27"/>
      <c r="V413" s="27"/>
      <c r="W413" s="27"/>
      <c r="X413" s="27"/>
      <c r="Y413" s="27"/>
      <c r="Z413" s="27"/>
      <c r="AA413" s="10" t="str">
        <f aca="false">IFERROR(INDEX(設定!$E$61:$E$106,MATCH(B413,設定!$B$61:$B$106,0)),"合算")</f>
        <v>合算</v>
      </c>
      <c r="AB413" s="28"/>
      <c r="AC413" s="29" t="str">
        <f aca="false">IF(OR(G413="",G413="なし"),"",IF(AA413="合算",CJ413+N(Z413),IF(AA413="掛金・負担金別",(AY413+AZ413+BD413+BF413+BH413),SUM(AY413:BC413))))</f>
        <v/>
      </c>
      <c r="AD413" s="27"/>
      <c r="AE413" s="29" t="str">
        <f aca="false">IF(OR(G413="",G413="なし"),"",IF(AA413="掛金・負担金別",(BA413+BB413+BC413+BE413+BG413+BI413+N(Z413)),IF(AA413="経理区分別",BD413+BE413,"")))</f>
        <v/>
      </c>
      <c r="AF413" s="27"/>
      <c r="AG413" s="29" t="str">
        <f aca="false">IF(OR(G413="",G413="なし"),"",IF(AA413="経理区分別",BF413+BG413,""))</f>
        <v/>
      </c>
      <c r="AH413" s="27"/>
      <c r="AI413" s="29" t="str">
        <f aca="false">IF(OR(G413="",G413="なし"),"",IF(AA413="経理区分別",BH413+BI413+N(Z413),""))</f>
        <v/>
      </c>
      <c r="AJ413" s="27"/>
      <c r="AK413" s="26"/>
      <c r="AL413" s="26"/>
      <c r="AM413" s="30"/>
      <c r="AN413" s="31" t="n">
        <v>59475</v>
      </c>
      <c r="AO413" s="31" t="n">
        <v>4875</v>
      </c>
      <c r="AP413" s="31" t="n">
        <v>59475</v>
      </c>
      <c r="AQ413" s="31" t="n">
        <v>4875</v>
      </c>
      <c r="AR413" s="31" t="n">
        <v>61</v>
      </c>
      <c r="AS413" s="31" t="n">
        <v>41257</v>
      </c>
      <c r="AT413" s="31" t="n">
        <v>41332</v>
      </c>
      <c r="AU413" s="31" t="n">
        <v>5925</v>
      </c>
      <c r="AV413" s="31" t="n">
        <v>5925</v>
      </c>
      <c r="AW413" s="31" t="n">
        <v>1</v>
      </c>
      <c r="AX413" s="31" t="n">
        <v>1</v>
      </c>
      <c r="AY413" s="31" t="n">
        <f aca="false">IF($G413="",AN413,O413)</f>
        <v>59475</v>
      </c>
      <c r="AZ413" s="31" t="n">
        <f aca="false">IF($G413="",AO413,P413)</f>
        <v>4875</v>
      </c>
      <c r="BA413" s="31" t="n">
        <f aca="false">IF($G413="",AP413,T413)</f>
        <v>59475</v>
      </c>
      <c r="BB413" s="31" t="n">
        <f aca="false">IF($G413="",AQ413,U413)</f>
        <v>4875</v>
      </c>
      <c r="BC413" s="31" t="n">
        <f aca="false">IF($G413="",AR413,V413)</f>
        <v>61</v>
      </c>
      <c r="BD413" s="31" t="n">
        <f aca="false">IF($G413="",AS413,Q413)</f>
        <v>41257</v>
      </c>
      <c r="BE413" s="31" t="n">
        <f aca="false">IF($G413="",AT413,W413)</f>
        <v>41332</v>
      </c>
      <c r="BF413" s="31" t="n">
        <f aca="false">IF($G413="",AU413,R413)</f>
        <v>5925</v>
      </c>
      <c r="BG413" s="31" t="n">
        <f aca="false">IF($G413="",AV413,X413)</f>
        <v>5925</v>
      </c>
      <c r="BH413" s="31" t="n">
        <f aca="false">IF($G413="",AW413,S413)</f>
        <v>1</v>
      </c>
      <c r="BI413" s="31" t="n">
        <f aca="false">IF($G413="",AX413,Y413)</f>
        <v>1</v>
      </c>
      <c r="BJ413" s="31" t="n">
        <f aca="false">IF(CK413="N",BR413,ROUNDDOWN((I413-L413)*設定!$B$10/1000,0)+ROUNDDOWN((I413-L413)*設定!$B$11/1000,0))</f>
        <v>0</v>
      </c>
      <c r="BK413" s="31" t="n">
        <f aca="false">ROUNDDOWN((I413-L413)*設定!$C$10/1000,0)+ROUNDDOWN((I413-L413)*設定!$C$11/1000,0)+ROUNDDOWN(I413*設定!$C$12/1000,0)+IF(CL413="市局型",ROUNDDOWN(I413*設定!$C$16/1000,0),0)</f>
        <v>0</v>
      </c>
      <c r="BL413" s="31" t="n">
        <f aca="false">IF(CK413="N",BT413,ROUNDDOWN((J413-M413)*設定!$B$13/1000,0))</f>
        <v>0</v>
      </c>
      <c r="BM413" s="31" t="n">
        <f aca="false">ROUNDDOWN((J413-M413)*設定!$C$13/1000,0)+IF(CL413="市局型",ROUNDDOWN(J413*設定!$C$17/1000,0),0)</f>
        <v>0</v>
      </c>
      <c r="BN413" s="31" t="n">
        <f aca="false">IF(CK413="N",BV413,ROUNDDOWN((K413-N413)*設定!$B$14/1000,0))</f>
        <v>0</v>
      </c>
      <c r="BO413" s="31" t="n">
        <f aca="false">ROUNDDOWN((K413-N413)*設定!$C$14/1000,0)</f>
        <v>0</v>
      </c>
      <c r="BP413" s="31" t="n">
        <f aca="false">IF(CK413="N",BX413,ROUNDDOWN((J413-M413)*設定!$B$15/1000,0))</f>
        <v>0</v>
      </c>
      <c r="BQ413" s="31" t="n">
        <f aca="false">ROUNDDOWN((J413-M413)*設定!$C$15/1000,0)</f>
        <v>0</v>
      </c>
      <c r="BR413" s="31" t="n">
        <f aca="false">O413+P413</f>
        <v>0</v>
      </c>
      <c r="BS413" s="31" t="n">
        <f aca="false">T413+U413+V413</f>
        <v>0</v>
      </c>
      <c r="BT413" s="31" t="n">
        <f aca="false">Q413</f>
        <v>0</v>
      </c>
      <c r="BU413" s="31" t="n">
        <f aca="false">W413</f>
        <v>0</v>
      </c>
      <c r="BV413" s="31" t="n">
        <f aca="false">R413</f>
        <v>0</v>
      </c>
      <c r="BW413" s="31" t="n">
        <f aca="false">X413</f>
        <v>0</v>
      </c>
      <c r="BX413" s="31" t="n">
        <f aca="false">S413</f>
        <v>0</v>
      </c>
      <c r="BY413" s="31" t="n">
        <f aca="false">Y413</f>
        <v>0</v>
      </c>
      <c r="BZ413" s="32" t="n">
        <f aca="false">IF(BJ413=0,IF(BR413=0,0,1),(BR413-BJ413)/BJ413)</f>
        <v>0</v>
      </c>
      <c r="CA413" s="32" t="n">
        <f aca="false">IF(BK413=0,IF(BS413=0,0,1),(BS413-BK413)/BK413)</f>
        <v>0</v>
      </c>
      <c r="CB413" s="32" t="n">
        <f aca="false">IF(BL413=0,IF(BT413=0,0,1),(BT413-BL413)/BL413)</f>
        <v>0</v>
      </c>
      <c r="CC413" s="32" t="n">
        <f aca="false">IF(BM413=0,IF(BU413=0,0,1),(BU413-BM413)/BM413)</f>
        <v>0</v>
      </c>
      <c r="CD413" s="32" t="n">
        <f aca="false">IF(BN413=0,IF(BV413=0,0,1),(BV413-BN413)/BN413)</f>
        <v>0</v>
      </c>
      <c r="CE413" s="32" t="n">
        <f aca="false">IF(BO413=0,IF(BW413=0,0,1),(BW413-BO413)/BO413)</f>
        <v>0</v>
      </c>
      <c r="CF413" s="32" t="n">
        <f aca="false">IF(BP413=0,IF(BX413=0,0,1),(BX413-BP413)/BP413)</f>
        <v>0</v>
      </c>
      <c r="CG413" s="32" t="n">
        <f aca="false">IF(BQ413=0,IF(BY413=0,0,1),(BY413-BQ413)/BQ413)</f>
        <v>0</v>
      </c>
      <c r="CH413" s="32" t="n">
        <f aca="false">MAX(MAX(BZ413:CG413),-MIN(BZ413:CG413))</f>
        <v>-0</v>
      </c>
      <c r="CI413" s="31" t="n">
        <f aca="false">IF(CO413="","",SUMIFS($CJ$7:$CJ$696,$A$7:$A$696,CO413,$B$7:$B$696,B413))</f>
        <v>461032</v>
      </c>
      <c r="CJ413" s="31" t="n">
        <f aca="false">SUM(AY413:BI413)</f>
        <v>223202</v>
      </c>
      <c r="CK413" s="31" t="str">
        <f aca="false">IFERROR(INDEX(設定!$F$61:$F$106,MATCH(B413,設定!$B$61:$B$106,0)),"Y")</f>
        <v>Y</v>
      </c>
      <c r="CL413" s="31" t="str">
        <f aca="false">IFERROR(INDEX(設定!$G$61:$G$106,MATCH(B413,設定!$B$61:$B$106,0)),"外郭型")</f>
        <v>外郭型</v>
      </c>
      <c r="CM413" s="33" t="str">
        <f aca="false">A413&amp;"|"&amp;B413</f>
        <v>2026-11 月例|全国市長会</v>
      </c>
      <c r="CN413" s="34" t="str">
        <f aca="false">IFERROR(INDEX(設定!$D$61:$D$106,MATCH(B413,設定!$B$61:$B$106,0)),"Y")</f>
        <v>Y</v>
      </c>
      <c r="CO413" s="34" t="str">
        <f aca="false">IFERROR(INDEX(設定!$D$20:$D$34,MATCH(A413,設定!$A$20:$A$34,0))&amp;"","")</f>
        <v>2026-10 月例</v>
      </c>
    </row>
    <row r="414" customFormat="false" ht="15" hidden="true" customHeight="false" outlineLevel="0" collapsed="false">
      <c r="A414" s="22" t="s">
        <v>224</v>
      </c>
      <c r="B414" s="23" t="s">
        <v>208</v>
      </c>
      <c r="C414" s="10" t="str">
        <f aca="false">IF(G414="","未受領",IF(G414="なし","報告なし",IF(AL414="○","起票済",IF(OR(AK414="○",F414="一致",F414="入金不要"),"入金確認済","受領済"))))</f>
        <v>未受領</v>
      </c>
      <c r="D414" s="10" t="str">
        <f aca="false">IF(OR(G414="",G414="なし"),"―",IF(CN414="N","対象外",IF(AND(I414="",J414="",K414=""),"標報未入力",IF(CH414&gt;=設定!$B$4,"要確認","問題なし"))))</f>
        <v>―</v>
      </c>
      <c r="E414" s="24" t="str">
        <f aca="false">IF(OR(G414="",G414="なし",CI414="",CJ414=0),"―",IF(CJ414=CI414,"前月同額",IF(CI414=0,"―",IF(ABS(CJ414/CI414-1)&gt;=設定!$B$5,"変動大 "&amp;TEXT(CJ414/CI414-1,"+0%;-0%"),"〇"))))</f>
        <v>―</v>
      </c>
      <c r="F414" s="10" t="str">
        <f aca="false">IF(OR(G414="",G414="なし"),"―",IF(CJ414=0,"入金不要",IF(COUNT(AD414,AF414,AH414,AJ414)=0,IF(AK414="○","手動確認","未入金"),IF(AND(N(AD414)=AC414,IF(AE414="",TRUE(),N(AF414)=AE414),IF(AG414="",TRUE(),N(AH414)=AG414),IF(AI414="",TRUE(),N(AJ414)=AI414)),"一致","不一致"))))</f>
        <v>―</v>
      </c>
      <c r="G414" s="25"/>
      <c r="H414" s="26"/>
      <c r="I414" s="27"/>
      <c r="J414" s="27"/>
      <c r="K414" s="27"/>
      <c r="L414" s="27"/>
      <c r="M414" s="27"/>
      <c r="N414" s="27"/>
      <c r="O414" s="27"/>
      <c r="P414" s="27"/>
      <c r="Q414" s="27"/>
      <c r="R414" s="27"/>
      <c r="S414" s="27"/>
      <c r="T414" s="27"/>
      <c r="U414" s="27"/>
      <c r="V414" s="27"/>
      <c r="W414" s="27"/>
      <c r="X414" s="27"/>
      <c r="Y414" s="27"/>
      <c r="Z414" s="27"/>
      <c r="AA414" s="10" t="str">
        <f aca="false">IFERROR(INDEX(設定!$E$61:$E$106,MATCH(B414,設定!$B$61:$B$106,0)),"合算")</f>
        <v>合算</v>
      </c>
      <c r="AB414" s="28"/>
      <c r="AC414" s="29" t="str">
        <f aca="false">IF(OR(G414="",G414="なし"),"",IF(AA414="合算",CJ414+N(Z414),IF(AA414="掛金・負担金別",(AY414+AZ414+BD414+BF414+BH414),SUM(AY414:BC414))))</f>
        <v/>
      </c>
      <c r="AD414" s="27"/>
      <c r="AE414" s="29" t="str">
        <f aca="false">IF(OR(G414="",G414="なし"),"",IF(AA414="掛金・負担金別",(BA414+BB414+BC414+BE414+BG414+BI414+N(Z414)),IF(AA414="経理区分別",BD414+BE414,"")))</f>
        <v/>
      </c>
      <c r="AF414" s="27"/>
      <c r="AG414" s="29" t="str">
        <f aca="false">IF(OR(G414="",G414="なし"),"",IF(AA414="経理区分別",BF414+BG414,""))</f>
        <v/>
      </c>
      <c r="AH414" s="27"/>
      <c r="AI414" s="29" t="str">
        <f aca="false">IF(OR(G414="",G414="なし"),"",IF(AA414="経理区分別",BH414+BI414+N(Z414),""))</f>
        <v/>
      </c>
      <c r="AJ414" s="27"/>
      <c r="AK414" s="26"/>
      <c r="AL414" s="26"/>
      <c r="AM414" s="30"/>
      <c r="AN414" s="31" t="n">
        <v>145485</v>
      </c>
      <c r="AO414" s="31" t="n">
        <v>11925</v>
      </c>
      <c r="AP414" s="31" t="n">
        <v>145485</v>
      </c>
      <c r="AQ414" s="31" t="n">
        <v>11925</v>
      </c>
      <c r="AR414" s="31" t="n">
        <v>149</v>
      </c>
      <c r="AS414" s="31"/>
      <c r="AT414" s="31"/>
      <c r="AU414" s="31"/>
      <c r="AV414" s="31"/>
      <c r="AW414" s="31"/>
      <c r="AX414" s="31"/>
      <c r="AY414" s="31" t="n">
        <f aca="false">IF($G414="",AN414,O414)</f>
        <v>145485</v>
      </c>
      <c r="AZ414" s="31" t="n">
        <f aca="false">IF($G414="",AO414,P414)</f>
        <v>11925</v>
      </c>
      <c r="BA414" s="31" t="n">
        <f aca="false">IF($G414="",AP414,T414)</f>
        <v>145485</v>
      </c>
      <c r="BB414" s="31" t="n">
        <f aca="false">IF($G414="",AQ414,U414)</f>
        <v>11925</v>
      </c>
      <c r="BC414" s="31" t="n">
        <f aca="false">IF($G414="",AR414,V414)</f>
        <v>149</v>
      </c>
      <c r="BD414" s="31" t="n">
        <f aca="false">IF($G414="",AS414,Q414)</f>
        <v>0</v>
      </c>
      <c r="BE414" s="31" t="n">
        <f aca="false">IF($G414="",AT414,W414)</f>
        <v>0</v>
      </c>
      <c r="BF414" s="31" t="n">
        <f aca="false">IF($G414="",AU414,R414)</f>
        <v>0</v>
      </c>
      <c r="BG414" s="31" t="n">
        <f aca="false">IF($G414="",AV414,X414)</f>
        <v>0</v>
      </c>
      <c r="BH414" s="31" t="n">
        <f aca="false">IF($G414="",AW414,S414)</f>
        <v>0</v>
      </c>
      <c r="BI414" s="31" t="n">
        <f aca="false">IF($G414="",AX414,Y414)</f>
        <v>0</v>
      </c>
      <c r="BJ414" s="31" t="n">
        <f aca="false">IF(CK414="N",BR414,ROUNDDOWN((I414-L414)*設定!$B$10/1000,0)+ROUNDDOWN((I414-L414)*設定!$B$11/1000,0))</f>
        <v>0</v>
      </c>
      <c r="BK414" s="31" t="n">
        <f aca="false">ROUNDDOWN((I414-L414)*設定!$C$10/1000,0)+ROUNDDOWN((I414-L414)*設定!$C$11/1000,0)+ROUNDDOWN(I414*設定!$C$12/1000,0)+IF(CL414="市局型",ROUNDDOWN(I414*設定!$C$16/1000,0),0)</f>
        <v>0</v>
      </c>
      <c r="BL414" s="31" t="n">
        <f aca="false">IF(CK414="N",BT414,ROUNDDOWN((J414-M414)*設定!$B$13/1000,0))</f>
        <v>0</v>
      </c>
      <c r="BM414" s="31" t="n">
        <f aca="false">ROUNDDOWN((J414-M414)*設定!$C$13/1000,0)+IF(CL414="市局型",ROUNDDOWN(J414*設定!$C$17/1000,0),0)</f>
        <v>0</v>
      </c>
      <c r="BN414" s="31" t="n">
        <f aca="false">IF(CK414="N",BV414,ROUNDDOWN((K414-N414)*設定!$B$14/1000,0))</f>
        <v>0</v>
      </c>
      <c r="BO414" s="31" t="n">
        <f aca="false">ROUNDDOWN((K414-N414)*設定!$C$14/1000,0)</f>
        <v>0</v>
      </c>
      <c r="BP414" s="31" t="n">
        <f aca="false">IF(CK414="N",BX414,ROUNDDOWN((J414-M414)*設定!$B$15/1000,0))</f>
        <v>0</v>
      </c>
      <c r="BQ414" s="31" t="n">
        <f aca="false">ROUNDDOWN((J414-M414)*設定!$C$15/1000,0)</f>
        <v>0</v>
      </c>
      <c r="BR414" s="31" t="n">
        <f aca="false">O414+P414</f>
        <v>0</v>
      </c>
      <c r="BS414" s="31" t="n">
        <f aca="false">T414+U414+V414</f>
        <v>0</v>
      </c>
      <c r="BT414" s="31" t="n">
        <f aca="false">Q414</f>
        <v>0</v>
      </c>
      <c r="BU414" s="31" t="n">
        <f aca="false">W414</f>
        <v>0</v>
      </c>
      <c r="BV414" s="31" t="n">
        <f aca="false">R414</f>
        <v>0</v>
      </c>
      <c r="BW414" s="31" t="n">
        <f aca="false">X414</f>
        <v>0</v>
      </c>
      <c r="BX414" s="31" t="n">
        <f aca="false">S414</f>
        <v>0</v>
      </c>
      <c r="BY414" s="31" t="n">
        <f aca="false">Y414</f>
        <v>0</v>
      </c>
      <c r="BZ414" s="32" t="n">
        <f aca="false">IF(BJ414=0,IF(BR414=0,0,1),(BR414-BJ414)/BJ414)</f>
        <v>0</v>
      </c>
      <c r="CA414" s="32" t="n">
        <f aca="false">IF(BK414=0,IF(BS414=0,0,1),(BS414-BK414)/BK414)</f>
        <v>0</v>
      </c>
      <c r="CB414" s="32" t="n">
        <f aca="false">IF(BL414=0,IF(BT414=0,0,1),(BT414-BL414)/BL414)</f>
        <v>0</v>
      </c>
      <c r="CC414" s="32" t="n">
        <f aca="false">IF(BM414=0,IF(BU414=0,0,1),(BU414-BM414)/BM414)</f>
        <v>0</v>
      </c>
      <c r="CD414" s="32" t="n">
        <f aca="false">IF(BN414=0,IF(BV414=0,0,1),(BV414-BN414)/BN414)</f>
        <v>0</v>
      </c>
      <c r="CE414" s="32" t="n">
        <f aca="false">IF(BO414=0,IF(BW414=0,0,1),(BW414-BO414)/BO414)</f>
        <v>0</v>
      </c>
      <c r="CF414" s="32" t="n">
        <f aca="false">IF(BP414=0,IF(BX414=0,0,1),(BX414-BP414)/BP414)</f>
        <v>0</v>
      </c>
      <c r="CG414" s="32" t="n">
        <f aca="false">IF(BQ414=0,IF(BY414=0,0,1),(BY414-BQ414)/BQ414)</f>
        <v>0</v>
      </c>
      <c r="CH414" s="32" t="n">
        <f aca="false">MAX(MAX(BZ414:CG414),-MIN(BZ414:CG414))</f>
        <v>-0</v>
      </c>
      <c r="CI414" s="31" t="n">
        <f aca="false">IF(CO414="","",SUMIFS($CJ$7:$CJ$696,$A$7:$A$696,CO414,$B$7:$B$696,B414))</f>
        <v>314969</v>
      </c>
      <c r="CJ414" s="31" t="n">
        <f aca="false">SUM(AY414:BI414)</f>
        <v>314969</v>
      </c>
      <c r="CK414" s="31" t="str">
        <f aca="false">IFERROR(INDEX(設定!$F$61:$F$106,MATCH(B414,設定!$B$61:$B$106,0)),"Y")</f>
        <v>Y</v>
      </c>
      <c r="CL414" s="31" t="str">
        <f aca="false">IFERROR(INDEX(設定!$G$61:$G$106,MATCH(B414,設定!$B$61:$B$106,0)),"外郭型")</f>
        <v>外郭型</v>
      </c>
      <c r="CM414" s="33" t="str">
        <f aca="false">A414&amp;"|"&amp;B414</f>
        <v>2026-11 月例|高速交通（株）</v>
      </c>
      <c r="CN414" s="34" t="str">
        <f aca="false">IFERROR(INDEX(設定!$D$61:$D$106,MATCH(B414,設定!$B$61:$B$106,0)),"Y")</f>
        <v>Y</v>
      </c>
      <c r="CO414" s="34" t="str">
        <f aca="false">IFERROR(INDEX(設定!$D$20:$D$34,MATCH(A414,設定!$A$20:$A$34,0))&amp;"","")</f>
        <v>2026-10 月例</v>
      </c>
    </row>
    <row r="415" customFormat="false" ht="15" hidden="true" customHeight="false" outlineLevel="0" collapsed="false">
      <c r="A415" s="22" t="s">
        <v>224</v>
      </c>
      <c r="B415" s="23" t="s">
        <v>209</v>
      </c>
      <c r="C415" s="10" t="str">
        <f aca="false">IF(G415="","未受領",IF(G415="なし","報告なし",IF(AL415="○","起票済",IF(OR(AK415="○",F415="一致",F415="入金不要"),"入金確認済","受領済"))))</f>
        <v>未受領</v>
      </c>
      <c r="D415" s="10" t="str">
        <f aca="false">IF(OR(G415="",G415="なし"),"―",IF(CN415="N","対象外",IF(AND(I415="",J415="",K415=""),"標報未入力",IF(CH415&gt;=設定!$B$4,"要確認","問題なし"))))</f>
        <v>―</v>
      </c>
      <c r="E415" s="24" t="str">
        <f aca="false">IF(OR(G415="",G415="なし",CI415="",CJ415=0),"―",IF(CJ415=CI415,"前月同額",IF(CI415=0,"―",IF(ABS(CJ415/CI415-1)&gt;=設定!$B$5,"変動大 "&amp;TEXT(CJ415/CI415-1,"+0%;-0%"),"〇"))))</f>
        <v>―</v>
      </c>
      <c r="F415" s="10" t="str">
        <f aca="false">IF(OR(G415="",G415="なし"),"―",IF(CJ415=0,"入金不要",IF(COUNT(AD415,AF415,AH415,AJ415)=0,IF(AK415="○","手動確認","未入金"),IF(AND(N(AD415)=AC415,IF(AE415="",TRUE(),N(AF415)=AE415),IF(AG415="",TRUE(),N(AH415)=AG415),IF(AI415="",TRUE(),N(AJ415)=AI415)),"一致","不一致"))))</f>
        <v>―</v>
      </c>
      <c r="G415" s="25"/>
      <c r="H415" s="26"/>
      <c r="I415" s="27"/>
      <c r="J415" s="27"/>
      <c r="K415" s="27"/>
      <c r="L415" s="27"/>
      <c r="M415" s="27"/>
      <c r="N415" s="27"/>
      <c r="O415" s="27"/>
      <c r="P415" s="27"/>
      <c r="Q415" s="27"/>
      <c r="R415" s="27"/>
      <c r="S415" s="27"/>
      <c r="T415" s="27"/>
      <c r="U415" s="27"/>
      <c r="V415" s="27"/>
      <c r="W415" s="27"/>
      <c r="X415" s="27"/>
      <c r="Y415" s="27"/>
      <c r="Z415" s="27"/>
      <c r="AA415" s="10" t="str">
        <f aca="false">IFERROR(INDEX(設定!$E$61:$E$106,MATCH(B415,設定!$B$61:$B$106,0)),"合算")</f>
        <v>合算</v>
      </c>
      <c r="AB415" s="28"/>
      <c r="AC415" s="29" t="str">
        <f aca="false">IF(OR(G415="",G415="なし"),"",IF(AA415="合算",CJ415+N(Z415),IF(AA415="掛金・負担金別",(AY415+AZ415+BD415+BF415+BH415),SUM(AY415:BC415))))</f>
        <v/>
      </c>
      <c r="AD415" s="27"/>
      <c r="AE415" s="29" t="str">
        <f aca="false">IF(OR(G415="",G415="なし"),"",IF(AA415="掛金・負担金別",(BA415+BB415+BC415+BE415+BG415+BI415+N(Z415)),IF(AA415="経理区分別",BD415+BE415,"")))</f>
        <v/>
      </c>
      <c r="AF415" s="27"/>
      <c r="AG415" s="29" t="str">
        <f aca="false">IF(OR(G415="",G415="なし"),"",IF(AA415="経理区分別",BF415+BG415,""))</f>
        <v/>
      </c>
      <c r="AH415" s="27"/>
      <c r="AI415" s="29" t="str">
        <f aca="false">IF(OR(G415="",G415="なし"),"",IF(AA415="経理区分別",BH415+BI415+N(Z415),""))</f>
        <v/>
      </c>
      <c r="AJ415" s="27"/>
      <c r="AK415" s="26"/>
      <c r="AL415" s="26"/>
      <c r="AM415" s="30"/>
      <c r="AN415" s="31" t="n">
        <v>53985</v>
      </c>
      <c r="AO415" s="31" t="n">
        <v>4425</v>
      </c>
      <c r="AP415" s="31" t="n">
        <v>53985</v>
      </c>
      <c r="AQ415" s="31" t="n">
        <v>4425</v>
      </c>
      <c r="AR415" s="31" t="n">
        <v>55</v>
      </c>
      <c r="AS415" s="31"/>
      <c r="AT415" s="31"/>
      <c r="AU415" s="31"/>
      <c r="AV415" s="31"/>
      <c r="AW415" s="31"/>
      <c r="AX415" s="31"/>
      <c r="AY415" s="31" t="n">
        <f aca="false">IF($G415="",AN415,O415)</f>
        <v>53985</v>
      </c>
      <c r="AZ415" s="31" t="n">
        <f aca="false">IF($G415="",AO415,P415)</f>
        <v>4425</v>
      </c>
      <c r="BA415" s="31" t="n">
        <f aca="false">IF($G415="",AP415,T415)</f>
        <v>53985</v>
      </c>
      <c r="BB415" s="31" t="n">
        <f aca="false">IF($G415="",AQ415,U415)</f>
        <v>4425</v>
      </c>
      <c r="BC415" s="31" t="n">
        <f aca="false">IF($G415="",AR415,V415)</f>
        <v>55</v>
      </c>
      <c r="BD415" s="31" t="n">
        <f aca="false">IF($G415="",AS415,Q415)</f>
        <v>0</v>
      </c>
      <c r="BE415" s="31" t="n">
        <f aca="false">IF($G415="",AT415,W415)</f>
        <v>0</v>
      </c>
      <c r="BF415" s="31" t="n">
        <f aca="false">IF($G415="",AU415,R415)</f>
        <v>0</v>
      </c>
      <c r="BG415" s="31" t="n">
        <f aca="false">IF($G415="",AV415,X415)</f>
        <v>0</v>
      </c>
      <c r="BH415" s="31" t="n">
        <f aca="false">IF($G415="",AW415,S415)</f>
        <v>0</v>
      </c>
      <c r="BI415" s="31" t="n">
        <f aca="false">IF($G415="",AX415,Y415)</f>
        <v>0</v>
      </c>
      <c r="BJ415" s="31" t="n">
        <f aca="false">IF(CK415="N",BR415,ROUNDDOWN((I415-L415)*設定!$B$10/1000,0)+ROUNDDOWN((I415-L415)*設定!$B$11/1000,0))</f>
        <v>0</v>
      </c>
      <c r="BK415" s="31" t="n">
        <f aca="false">ROUNDDOWN((I415-L415)*設定!$C$10/1000,0)+ROUNDDOWN((I415-L415)*設定!$C$11/1000,0)+ROUNDDOWN(I415*設定!$C$12/1000,0)+IF(CL415="市局型",ROUNDDOWN(I415*設定!$C$16/1000,0),0)</f>
        <v>0</v>
      </c>
      <c r="BL415" s="31" t="n">
        <f aca="false">IF(CK415="N",BT415,ROUNDDOWN((J415-M415)*設定!$B$13/1000,0))</f>
        <v>0</v>
      </c>
      <c r="BM415" s="31" t="n">
        <f aca="false">ROUNDDOWN((J415-M415)*設定!$C$13/1000,0)+IF(CL415="市局型",ROUNDDOWN(J415*設定!$C$17/1000,0),0)</f>
        <v>0</v>
      </c>
      <c r="BN415" s="31" t="n">
        <f aca="false">IF(CK415="N",BV415,ROUNDDOWN((K415-N415)*設定!$B$14/1000,0))</f>
        <v>0</v>
      </c>
      <c r="BO415" s="31" t="n">
        <f aca="false">ROUNDDOWN((K415-N415)*設定!$C$14/1000,0)</f>
        <v>0</v>
      </c>
      <c r="BP415" s="31" t="n">
        <f aca="false">IF(CK415="N",BX415,ROUNDDOWN((J415-M415)*設定!$B$15/1000,0))</f>
        <v>0</v>
      </c>
      <c r="BQ415" s="31" t="n">
        <f aca="false">ROUNDDOWN((J415-M415)*設定!$C$15/1000,0)</f>
        <v>0</v>
      </c>
      <c r="BR415" s="31" t="n">
        <f aca="false">O415+P415</f>
        <v>0</v>
      </c>
      <c r="BS415" s="31" t="n">
        <f aca="false">T415+U415+V415</f>
        <v>0</v>
      </c>
      <c r="BT415" s="31" t="n">
        <f aca="false">Q415</f>
        <v>0</v>
      </c>
      <c r="BU415" s="31" t="n">
        <f aca="false">W415</f>
        <v>0</v>
      </c>
      <c r="BV415" s="31" t="n">
        <f aca="false">R415</f>
        <v>0</v>
      </c>
      <c r="BW415" s="31" t="n">
        <f aca="false">X415</f>
        <v>0</v>
      </c>
      <c r="BX415" s="31" t="n">
        <f aca="false">S415</f>
        <v>0</v>
      </c>
      <c r="BY415" s="31" t="n">
        <f aca="false">Y415</f>
        <v>0</v>
      </c>
      <c r="BZ415" s="32" t="n">
        <f aca="false">IF(BJ415=0,IF(BR415=0,0,1),(BR415-BJ415)/BJ415)</f>
        <v>0</v>
      </c>
      <c r="CA415" s="32" t="n">
        <f aca="false">IF(BK415=0,IF(BS415=0,0,1),(BS415-BK415)/BK415)</f>
        <v>0</v>
      </c>
      <c r="CB415" s="32" t="n">
        <f aca="false">IF(BL415=0,IF(BT415=0,0,1),(BT415-BL415)/BL415)</f>
        <v>0</v>
      </c>
      <c r="CC415" s="32" t="n">
        <f aca="false">IF(BM415=0,IF(BU415=0,0,1),(BU415-BM415)/BM415)</f>
        <v>0</v>
      </c>
      <c r="CD415" s="32" t="n">
        <f aca="false">IF(BN415=0,IF(BV415=0,0,1),(BV415-BN415)/BN415)</f>
        <v>0</v>
      </c>
      <c r="CE415" s="32" t="n">
        <f aca="false">IF(BO415=0,IF(BW415=0,0,1),(BW415-BO415)/BO415)</f>
        <v>0</v>
      </c>
      <c r="CF415" s="32" t="n">
        <f aca="false">IF(BP415=0,IF(BX415=0,0,1),(BX415-BP415)/BP415)</f>
        <v>0</v>
      </c>
      <c r="CG415" s="32" t="n">
        <f aca="false">IF(BQ415=0,IF(BY415=0,0,1),(BY415-BQ415)/BQ415)</f>
        <v>0</v>
      </c>
      <c r="CH415" s="32" t="n">
        <f aca="false">MAX(MAX(BZ415:CG415),-MIN(BZ415:CG415))</f>
        <v>-0</v>
      </c>
      <c r="CI415" s="31" t="n">
        <f aca="false">IF(CO415="","",SUMIFS($CJ$7:$CJ$696,$A$7:$A$696,CO415,$B$7:$B$696,B415))</f>
        <v>116871</v>
      </c>
      <c r="CJ415" s="31" t="n">
        <f aca="false">SUM(AY415:BI415)</f>
        <v>116875</v>
      </c>
      <c r="CK415" s="31" t="str">
        <f aca="false">IFERROR(INDEX(設定!$F$61:$F$106,MATCH(B415,設定!$B$61:$B$106,0)),"Y")</f>
        <v>Y</v>
      </c>
      <c r="CL415" s="31" t="str">
        <f aca="false">IFERROR(INDEX(設定!$G$61:$G$106,MATCH(B415,設定!$B$61:$B$106,0)),"外郭型")</f>
        <v>外郭型</v>
      </c>
      <c r="CM415" s="33" t="str">
        <f aca="false">A415&amp;"|"&amp;B415</f>
        <v>2026-11 月例|広島駅南口開発（株）</v>
      </c>
      <c r="CN415" s="34" t="str">
        <f aca="false">IFERROR(INDEX(設定!$D$61:$D$106,MATCH(B415,設定!$B$61:$B$106,0)),"Y")</f>
        <v>Y</v>
      </c>
      <c r="CO415" s="34" t="str">
        <f aca="false">IFERROR(INDEX(設定!$D$20:$D$34,MATCH(A415,設定!$A$20:$A$34,0))&amp;"","")</f>
        <v>2026-10 月例</v>
      </c>
    </row>
    <row r="416" customFormat="false" ht="15" hidden="true" customHeight="false" outlineLevel="0" collapsed="false">
      <c r="A416" s="22" t="s">
        <v>224</v>
      </c>
      <c r="B416" s="23" t="s">
        <v>210</v>
      </c>
      <c r="C416" s="10" t="str">
        <f aca="false">IF(G416="","未受領",IF(G416="なし","報告なし",IF(AL416="○","起票済",IF(OR(AK416="○",F416="一致",F416="入金不要"),"入金確認済","受領済"))))</f>
        <v>未受領</v>
      </c>
      <c r="D416" s="10" t="str">
        <f aca="false">IF(OR(G416="",G416="なし"),"―",IF(CN416="N","対象外",IF(AND(I416="",J416="",K416=""),"標報未入力",IF(CH416&gt;=設定!$B$4,"要確認","問題なし"))))</f>
        <v>―</v>
      </c>
      <c r="E416" s="24" t="str">
        <f aca="false">IF(OR(G416="",G416="なし",CI416="",CJ416=0),"―",IF(CJ416=CI416,"前月同額",IF(CI416=0,"―",IF(ABS(CJ416/CI416-1)&gt;=設定!$B$5,"変動大 "&amp;TEXT(CJ416/CI416-1,"+0%;-0%"),"〇"))))</f>
        <v>―</v>
      </c>
      <c r="F416" s="10" t="str">
        <f aca="false">IF(OR(G416="",G416="なし"),"―",IF(CJ416=0,"入金不要",IF(COUNT(AD416,AF416,AH416,AJ416)=0,IF(AK416="○","手動確認","未入金"),IF(AND(N(AD416)=AC416,IF(AE416="",TRUE(),N(AF416)=AE416),IF(AG416="",TRUE(),N(AH416)=AG416),IF(AI416="",TRUE(),N(AJ416)=AI416)),"一致","不一致"))))</f>
        <v>―</v>
      </c>
      <c r="G416" s="25"/>
      <c r="H416" s="26"/>
      <c r="I416" s="27"/>
      <c r="J416" s="27"/>
      <c r="K416" s="27"/>
      <c r="L416" s="27"/>
      <c r="M416" s="27"/>
      <c r="N416" s="27"/>
      <c r="O416" s="27"/>
      <c r="P416" s="27"/>
      <c r="Q416" s="27"/>
      <c r="R416" s="27"/>
      <c r="S416" s="27"/>
      <c r="T416" s="27"/>
      <c r="U416" s="27"/>
      <c r="V416" s="27"/>
      <c r="W416" s="27"/>
      <c r="X416" s="27"/>
      <c r="Y416" s="27"/>
      <c r="Z416" s="27"/>
      <c r="AA416" s="10" t="str">
        <f aca="false">IFERROR(INDEX(設定!$E$61:$E$106,MATCH(B416,設定!$B$61:$B$106,0)),"合算")</f>
        <v>合算</v>
      </c>
      <c r="AB416" s="28"/>
      <c r="AC416" s="29" t="str">
        <f aca="false">IF(OR(G416="",G416="なし"),"",IF(AA416="合算",CJ416+N(Z416),IF(AA416="掛金・負担金別",(AY416+AZ416+BD416+BF416+BH416),SUM(AY416:BC416))))</f>
        <v/>
      </c>
      <c r="AD416" s="27"/>
      <c r="AE416" s="29" t="str">
        <f aca="false">IF(OR(G416="",G416="なし"),"",IF(AA416="掛金・負担金別",(BA416+BB416+BC416+BE416+BG416+BI416+N(Z416)),IF(AA416="経理区分別",BD416+BE416,"")))</f>
        <v/>
      </c>
      <c r="AF416" s="27"/>
      <c r="AG416" s="29" t="str">
        <f aca="false">IF(OR(G416="",G416="なし"),"",IF(AA416="経理区分別",BF416+BG416,""))</f>
        <v/>
      </c>
      <c r="AH416" s="27"/>
      <c r="AI416" s="29" t="str">
        <f aca="false">IF(OR(G416="",G416="なし"),"",IF(AA416="経理区分別",BH416+BI416+N(Z416),""))</f>
        <v/>
      </c>
      <c r="AJ416" s="27"/>
      <c r="AK416" s="26"/>
      <c r="AL416" s="26"/>
      <c r="AM416" s="30"/>
      <c r="AN416" s="31" t="n">
        <v>29280</v>
      </c>
      <c r="AO416" s="31" t="n">
        <v>2400</v>
      </c>
      <c r="AP416" s="31" t="n">
        <v>29280</v>
      </c>
      <c r="AQ416" s="31" t="n">
        <v>2400</v>
      </c>
      <c r="AR416" s="31"/>
      <c r="AS416" s="31" t="n">
        <v>17603</v>
      </c>
      <c r="AT416" s="31" t="n">
        <v>17635</v>
      </c>
      <c r="AU416" s="31" t="n">
        <v>2528</v>
      </c>
      <c r="AV416" s="31" t="n">
        <v>2528</v>
      </c>
      <c r="AW416" s="31" t="n">
        <v>1</v>
      </c>
      <c r="AX416" s="31" t="n">
        <v>1</v>
      </c>
      <c r="AY416" s="31" t="n">
        <f aca="false">IF($G416="",AN416,O416)</f>
        <v>29280</v>
      </c>
      <c r="AZ416" s="31" t="n">
        <f aca="false">IF($G416="",AO416,P416)</f>
        <v>2400</v>
      </c>
      <c r="BA416" s="31" t="n">
        <f aca="false">IF($G416="",AP416,T416)</f>
        <v>29280</v>
      </c>
      <c r="BB416" s="31" t="n">
        <f aca="false">IF($G416="",AQ416,U416)</f>
        <v>2400</v>
      </c>
      <c r="BC416" s="31" t="n">
        <f aca="false">IF($G416="",AR416,V416)</f>
        <v>0</v>
      </c>
      <c r="BD416" s="31" t="n">
        <f aca="false">IF($G416="",AS416,Q416)</f>
        <v>17603</v>
      </c>
      <c r="BE416" s="31" t="n">
        <f aca="false">IF($G416="",AT416,W416)</f>
        <v>17635</v>
      </c>
      <c r="BF416" s="31" t="n">
        <f aca="false">IF($G416="",AU416,R416)</f>
        <v>2528</v>
      </c>
      <c r="BG416" s="31" t="n">
        <f aca="false">IF($G416="",AV416,X416)</f>
        <v>2528</v>
      </c>
      <c r="BH416" s="31" t="n">
        <f aca="false">IF($G416="",AW416,S416)</f>
        <v>1</v>
      </c>
      <c r="BI416" s="31" t="n">
        <f aca="false">IF($G416="",AX416,Y416)</f>
        <v>1</v>
      </c>
      <c r="BJ416" s="31" t="n">
        <f aca="false">IF(CK416="N",BR416,ROUNDDOWN((I416-L416)*設定!$B$10/1000,0)+ROUNDDOWN((I416-L416)*設定!$B$11/1000,0))</f>
        <v>0</v>
      </c>
      <c r="BK416" s="31" t="n">
        <f aca="false">ROUNDDOWN((I416-L416)*設定!$C$10/1000,0)+ROUNDDOWN((I416-L416)*設定!$C$11/1000,0)+ROUNDDOWN(I416*設定!$C$12/1000,0)+IF(CL416="市局型",ROUNDDOWN(I416*設定!$C$16/1000,0),0)</f>
        <v>0</v>
      </c>
      <c r="BL416" s="31" t="n">
        <f aca="false">IF(CK416="N",BT416,ROUNDDOWN((J416-M416)*設定!$B$13/1000,0))</f>
        <v>0</v>
      </c>
      <c r="BM416" s="31" t="n">
        <f aca="false">ROUNDDOWN((J416-M416)*設定!$C$13/1000,0)+IF(CL416="市局型",ROUNDDOWN(J416*設定!$C$17/1000,0),0)</f>
        <v>0</v>
      </c>
      <c r="BN416" s="31" t="n">
        <f aca="false">IF(CK416="N",BV416,ROUNDDOWN((K416-N416)*設定!$B$14/1000,0))</f>
        <v>0</v>
      </c>
      <c r="BO416" s="31" t="n">
        <f aca="false">ROUNDDOWN((K416-N416)*設定!$C$14/1000,0)</f>
        <v>0</v>
      </c>
      <c r="BP416" s="31" t="n">
        <f aca="false">IF(CK416="N",BX416,ROUNDDOWN((J416-M416)*設定!$B$15/1000,0))</f>
        <v>0</v>
      </c>
      <c r="BQ416" s="31" t="n">
        <f aca="false">ROUNDDOWN((J416-M416)*設定!$C$15/1000,0)</f>
        <v>0</v>
      </c>
      <c r="BR416" s="31" t="n">
        <f aca="false">O416+P416</f>
        <v>0</v>
      </c>
      <c r="BS416" s="31" t="n">
        <f aca="false">T416+U416+V416</f>
        <v>0</v>
      </c>
      <c r="BT416" s="31" t="n">
        <f aca="false">Q416</f>
        <v>0</v>
      </c>
      <c r="BU416" s="31" t="n">
        <f aca="false">W416</f>
        <v>0</v>
      </c>
      <c r="BV416" s="31" t="n">
        <f aca="false">R416</f>
        <v>0</v>
      </c>
      <c r="BW416" s="31" t="n">
        <f aca="false">X416</f>
        <v>0</v>
      </c>
      <c r="BX416" s="31" t="n">
        <f aca="false">S416</f>
        <v>0</v>
      </c>
      <c r="BY416" s="31" t="n">
        <f aca="false">Y416</f>
        <v>0</v>
      </c>
      <c r="BZ416" s="32" t="n">
        <f aca="false">IF(BJ416=0,IF(BR416=0,0,1),(BR416-BJ416)/BJ416)</f>
        <v>0</v>
      </c>
      <c r="CA416" s="32" t="n">
        <f aca="false">IF(BK416=0,IF(BS416=0,0,1),(BS416-BK416)/BK416)</f>
        <v>0</v>
      </c>
      <c r="CB416" s="32" t="n">
        <f aca="false">IF(BL416=0,IF(BT416=0,0,1),(BT416-BL416)/BL416)</f>
        <v>0</v>
      </c>
      <c r="CC416" s="32" t="n">
        <f aca="false">IF(BM416=0,IF(BU416=0,0,1),(BU416-BM416)/BM416)</f>
        <v>0</v>
      </c>
      <c r="CD416" s="32" t="n">
        <f aca="false">IF(BN416=0,IF(BV416=0,0,1),(BV416-BN416)/BN416)</f>
        <v>0</v>
      </c>
      <c r="CE416" s="32" t="n">
        <f aca="false">IF(BO416=0,IF(BW416=0,0,1),(BW416-BO416)/BO416)</f>
        <v>0</v>
      </c>
      <c r="CF416" s="32" t="n">
        <f aca="false">IF(BP416=0,IF(BX416=0,0,1),(BX416-BP416)/BP416)</f>
        <v>0</v>
      </c>
      <c r="CG416" s="32" t="n">
        <f aca="false">IF(BQ416=0,IF(BY416=0,0,1),(BY416-BQ416)/BQ416)</f>
        <v>0</v>
      </c>
      <c r="CH416" s="32" t="n">
        <f aca="false">MAX(MAX(BZ416:CG416),-MIN(BZ416:CG416))</f>
        <v>-0</v>
      </c>
      <c r="CI416" s="31" t="n">
        <f aca="false">IF(CO416="","",SUMIFS($CJ$7:$CJ$696,$A$7:$A$696,CO416,$B$7:$B$696,B416))</f>
        <v>103656</v>
      </c>
      <c r="CJ416" s="31" t="n">
        <f aca="false">SUM(AY416:BI416)</f>
        <v>103656</v>
      </c>
      <c r="CK416" s="31" t="str">
        <f aca="false">IFERROR(INDEX(設定!$F$61:$F$106,MATCH(B416,設定!$B$61:$B$106,0)),"Y")</f>
        <v>Y</v>
      </c>
      <c r="CL416" s="31" t="str">
        <f aca="false">IFERROR(INDEX(設定!$G$61:$G$106,MATCH(B416,設定!$B$61:$B$106,0)),"外郭型")</f>
        <v>外郭型</v>
      </c>
      <c r="CM416" s="33" t="str">
        <f aca="false">A416&amp;"|"&amp;B416</f>
        <v>2026-11 月例|市職員労働組合</v>
      </c>
      <c r="CN416" s="34" t="str">
        <f aca="false">IFERROR(INDEX(設定!$D$61:$D$106,MATCH(B416,設定!$B$61:$B$106,0)),"Y")</f>
        <v>Y</v>
      </c>
      <c r="CO416" s="34" t="str">
        <f aca="false">IFERROR(INDEX(設定!$D$20:$D$34,MATCH(A416,設定!$A$20:$A$34,0))&amp;"","")</f>
        <v>2026-10 月例</v>
      </c>
    </row>
    <row r="417" customFormat="false" ht="15" hidden="true" customHeight="false" outlineLevel="0" collapsed="false">
      <c r="A417" s="22" t="s">
        <v>224</v>
      </c>
      <c r="B417" s="23" t="s">
        <v>211</v>
      </c>
      <c r="C417" s="10" t="str">
        <f aca="false">IF(G417="","未受領",IF(G417="なし","報告なし",IF(AL417="○","起票済",IF(OR(AK417="○",F417="一致",F417="入金不要"),"入金確認済","受領済"))))</f>
        <v>報告なし</v>
      </c>
      <c r="D417" s="10" t="str">
        <f aca="false">IF(OR(G417="",G417="なし"),"―",IF(CN417="N","対象外",IF(AND(I417="",J417="",K417=""),"標報未入力",IF(CH417&gt;=設定!$B$4,"要確認","問題なし"))))</f>
        <v>―</v>
      </c>
      <c r="E417" s="24" t="str">
        <f aca="false">IF(OR(G417="",G417="なし",CI417="",CJ417=0),"―",IF(CJ417=CI417,"前月同額",IF(CI417=0,"―",IF(ABS(CJ417/CI417-1)&gt;=設定!$B$5,"変動大 "&amp;TEXT(CJ417/CI417-1,"+0%;-0%"),"〇"))))</f>
        <v>―</v>
      </c>
      <c r="F417" s="10" t="str">
        <f aca="false">IF(OR(G417="",G417="なし"),"―",IF(CJ417=0,"入金不要",IF(COUNT(AD417,AF417,AH417,AJ417)=0,IF(AK417="○","手動確認","未入金"),IF(AND(N(AD417)=AC417,IF(AE417="",TRUE(),N(AF417)=AE417),IF(AG417="",TRUE(),N(AH417)=AG417),IF(AI417="",TRUE(),N(AJ417)=AI417)),"一致","不一致"))))</f>
        <v>―</v>
      </c>
      <c r="G417" s="25" t="s">
        <v>181</v>
      </c>
      <c r="H417" s="26"/>
      <c r="I417" s="27"/>
      <c r="J417" s="27"/>
      <c r="K417" s="27"/>
      <c r="L417" s="27"/>
      <c r="M417" s="27"/>
      <c r="N417" s="27"/>
      <c r="O417" s="27"/>
      <c r="P417" s="27"/>
      <c r="Q417" s="27"/>
      <c r="R417" s="27"/>
      <c r="S417" s="27"/>
      <c r="T417" s="27"/>
      <c r="U417" s="27"/>
      <c r="V417" s="27"/>
      <c r="W417" s="27"/>
      <c r="X417" s="27"/>
      <c r="Y417" s="27"/>
      <c r="Z417" s="27"/>
      <c r="AA417" s="10" t="str">
        <f aca="false">IFERROR(INDEX(設定!$E$61:$E$106,MATCH(B417,設定!$B$61:$B$106,0)),"合算")</f>
        <v>合算</v>
      </c>
      <c r="AB417" s="28"/>
      <c r="AC417" s="29" t="str">
        <f aca="false">IF(OR(G417="",G417="なし"),"",IF(AA417="合算",CJ417+N(Z417),IF(AA417="掛金・負担金別",(AY417+AZ417+BD417+BF417+BH417),SUM(AY417:BC417))))</f>
        <v/>
      </c>
      <c r="AD417" s="27"/>
      <c r="AE417" s="29" t="str">
        <f aca="false">IF(OR(G417="",G417="なし"),"",IF(AA417="掛金・負担金別",(BA417+BB417+BC417+BE417+BG417+BI417+N(Z417)),IF(AA417="経理区分別",BD417+BE417,"")))</f>
        <v/>
      </c>
      <c r="AF417" s="27"/>
      <c r="AG417" s="29" t="str">
        <f aca="false">IF(OR(G417="",G417="なし"),"",IF(AA417="経理区分別",BF417+BG417,""))</f>
        <v/>
      </c>
      <c r="AH417" s="27"/>
      <c r="AI417" s="29" t="str">
        <f aca="false">IF(OR(G417="",G417="なし"),"",IF(AA417="経理区分別",BH417+BI417+N(Z417),""))</f>
        <v/>
      </c>
      <c r="AJ417" s="27"/>
      <c r="AK417" s="26"/>
      <c r="AL417" s="26"/>
      <c r="AM417" s="30"/>
      <c r="AN417" s="31"/>
      <c r="AO417" s="31"/>
      <c r="AP417" s="31"/>
      <c r="AQ417" s="31"/>
      <c r="AR417" s="31"/>
      <c r="AS417" s="31"/>
      <c r="AT417" s="31"/>
      <c r="AU417" s="31"/>
      <c r="AV417" s="31"/>
      <c r="AW417" s="31"/>
      <c r="AX417" s="31"/>
      <c r="AY417" s="31" t="n">
        <f aca="false">IF($G417="",AN417,O417)</f>
        <v>0</v>
      </c>
      <c r="AZ417" s="31" t="n">
        <f aca="false">IF($G417="",AO417,P417)</f>
        <v>0</v>
      </c>
      <c r="BA417" s="31" t="n">
        <f aca="false">IF($G417="",AP417,T417)</f>
        <v>0</v>
      </c>
      <c r="BB417" s="31" t="n">
        <f aca="false">IF($G417="",AQ417,U417)</f>
        <v>0</v>
      </c>
      <c r="BC417" s="31" t="n">
        <f aca="false">IF($G417="",AR417,V417)</f>
        <v>0</v>
      </c>
      <c r="BD417" s="31" t="n">
        <f aca="false">IF($G417="",AS417,Q417)</f>
        <v>0</v>
      </c>
      <c r="BE417" s="31" t="n">
        <f aca="false">IF($G417="",AT417,W417)</f>
        <v>0</v>
      </c>
      <c r="BF417" s="31" t="n">
        <f aca="false">IF($G417="",AU417,R417)</f>
        <v>0</v>
      </c>
      <c r="BG417" s="31" t="n">
        <f aca="false">IF($G417="",AV417,X417)</f>
        <v>0</v>
      </c>
      <c r="BH417" s="31" t="n">
        <f aca="false">IF($G417="",AW417,S417)</f>
        <v>0</v>
      </c>
      <c r="BI417" s="31" t="n">
        <f aca="false">IF($G417="",AX417,Y417)</f>
        <v>0</v>
      </c>
      <c r="BJ417" s="31" t="n">
        <f aca="false">IF(CK417="N",BR417,ROUNDDOWN((I417-L417)*設定!$B$10/1000,0)+ROUNDDOWN((I417-L417)*設定!$B$11/1000,0))</f>
        <v>0</v>
      </c>
      <c r="BK417" s="31" t="n">
        <f aca="false">ROUNDDOWN((I417-L417)*設定!$C$10/1000,0)+ROUNDDOWN((I417-L417)*設定!$C$11/1000,0)+ROUNDDOWN(I417*設定!$C$12/1000,0)+IF(CL417="市局型",ROUNDDOWN(I417*設定!$C$16/1000,0),0)</f>
        <v>0</v>
      </c>
      <c r="BL417" s="31" t="n">
        <f aca="false">IF(CK417="N",BT417,ROUNDDOWN((J417-M417)*設定!$B$13/1000,0))</f>
        <v>0</v>
      </c>
      <c r="BM417" s="31" t="n">
        <f aca="false">ROUNDDOWN((J417-M417)*設定!$C$13/1000,0)+IF(CL417="市局型",ROUNDDOWN(J417*設定!$C$17/1000,0),0)</f>
        <v>0</v>
      </c>
      <c r="BN417" s="31" t="n">
        <f aca="false">IF(CK417="N",BV417,ROUNDDOWN((K417-N417)*設定!$B$14/1000,0))</f>
        <v>0</v>
      </c>
      <c r="BO417" s="31" t="n">
        <f aca="false">ROUNDDOWN((K417-N417)*設定!$C$14/1000,0)</f>
        <v>0</v>
      </c>
      <c r="BP417" s="31" t="n">
        <f aca="false">IF(CK417="N",BX417,ROUNDDOWN((J417-M417)*設定!$B$15/1000,0))</f>
        <v>0</v>
      </c>
      <c r="BQ417" s="31" t="n">
        <f aca="false">ROUNDDOWN((J417-M417)*設定!$C$15/1000,0)</f>
        <v>0</v>
      </c>
      <c r="BR417" s="31" t="n">
        <f aca="false">O417+P417</f>
        <v>0</v>
      </c>
      <c r="BS417" s="31" t="n">
        <f aca="false">T417+U417+V417</f>
        <v>0</v>
      </c>
      <c r="BT417" s="31" t="n">
        <f aca="false">Q417</f>
        <v>0</v>
      </c>
      <c r="BU417" s="31" t="n">
        <f aca="false">W417</f>
        <v>0</v>
      </c>
      <c r="BV417" s="31" t="n">
        <f aca="false">R417</f>
        <v>0</v>
      </c>
      <c r="BW417" s="31" t="n">
        <f aca="false">X417</f>
        <v>0</v>
      </c>
      <c r="BX417" s="31" t="n">
        <f aca="false">S417</f>
        <v>0</v>
      </c>
      <c r="BY417" s="31" t="n">
        <f aca="false">Y417</f>
        <v>0</v>
      </c>
      <c r="BZ417" s="32" t="n">
        <f aca="false">IF(BJ417=0,IF(BR417=0,0,1),(BR417-BJ417)/BJ417)</f>
        <v>0</v>
      </c>
      <c r="CA417" s="32" t="n">
        <f aca="false">IF(BK417=0,IF(BS417=0,0,1),(BS417-BK417)/BK417)</f>
        <v>0</v>
      </c>
      <c r="CB417" s="32" t="n">
        <f aca="false">IF(BL417=0,IF(BT417=0,0,1),(BT417-BL417)/BL417)</f>
        <v>0</v>
      </c>
      <c r="CC417" s="32" t="n">
        <f aca="false">IF(BM417=0,IF(BU417=0,0,1),(BU417-BM417)/BM417)</f>
        <v>0</v>
      </c>
      <c r="CD417" s="32" t="n">
        <f aca="false">IF(BN417=0,IF(BV417=0,0,1),(BV417-BN417)/BN417)</f>
        <v>0</v>
      </c>
      <c r="CE417" s="32" t="n">
        <f aca="false">IF(BO417=0,IF(BW417=0,0,1),(BW417-BO417)/BO417)</f>
        <v>0</v>
      </c>
      <c r="CF417" s="32" t="n">
        <f aca="false">IF(BP417=0,IF(BX417=0,0,1),(BX417-BP417)/BP417)</f>
        <v>0</v>
      </c>
      <c r="CG417" s="32" t="n">
        <f aca="false">IF(BQ417=0,IF(BY417=0,0,1),(BY417-BQ417)/BQ417)</f>
        <v>0</v>
      </c>
      <c r="CH417" s="32" t="n">
        <f aca="false">MAX(MAX(BZ417:CG417),-MIN(BZ417:CG417))</f>
        <v>-0</v>
      </c>
      <c r="CI417" s="31" t="n">
        <f aca="false">IF(CO417="","",SUMIFS($CJ$7:$CJ$696,$A$7:$A$696,CO417,$B$7:$B$696,B417))</f>
        <v>0</v>
      </c>
      <c r="CJ417" s="31" t="n">
        <f aca="false">SUM(AY417:BI417)</f>
        <v>0</v>
      </c>
      <c r="CK417" s="31" t="str">
        <f aca="false">IFERROR(INDEX(設定!$F$61:$F$106,MATCH(B417,設定!$B$61:$B$106,0)),"Y")</f>
        <v>N</v>
      </c>
      <c r="CL417" s="31" t="str">
        <f aca="false">IFERROR(INDEX(設定!$G$61:$G$106,MATCH(B417,設定!$B$61:$B$106,0)),"外郭型")</f>
        <v>外郭型</v>
      </c>
      <c r="CM417" s="33" t="str">
        <f aca="false">A417&amp;"|"&amp;B417</f>
        <v>2026-11 月例|自治労労働組合</v>
      </c>
      <c r="CN417" s="34" t="str">
        <f aca="false">IFERROR(INDEX(設定!$D$61:$D$106,MATCH(B417,設定!$B$61:$B$106,0)),"Y")</f>
        <v>Y</v>
      </c>
      <c r="CO417" s="34" t="str">
        <f aca="false">IFERROR(INDEX(設定!$D$20:$D$34,MATCH(A417,設定!$A$20:$A$34,0))&amp;"","")</f>
        <v>2026-10 月例</v>
      </c>
    </row>
    <row r="418" customFormat="false" ht="15" hidden="true" customHeight="false" outlineLevel="0" collapsed="false">
      <c r="A418" s="22" t="s">
        <v>224</v>
      </c>
      <c r="B418" s="23" t="s">
        <v>212</v>
      </c>
      <c r="C418" s="10" t="str">
        <f aca="false">IF(G418="","未受領",IF(G418="なし","報告なし",IF(AL418="○","起票済",IF(OR(AK418="○",F418="一致",F418="入金不要"),"入金確認済","受領済"))))</f>
        <v>未受領</v>
      </c>
      <c r="D418" s="10" t="str">
        <f aca="false">IF(OR(G418="",G418="なし"),"―",IF(CN418="N","対象外",IF(AND(I418="",J418="",K418=""),"標報未入力",IF(CH418&gt;=設定!$B$4,"要確認","問題なし"))))</f>
        <v>―</v>
      </c>
      <c r="E418" s="24" t="str">
        <f aca="false">IF(OR(G418="",G418="なし",CI418="",CJ418=0),"―",IF(CJ418=CI418,"前月同額",IF(CI418=0,"―",IF(ABS(CJ418/CI418-1)&gt;=設定!$B$5,"変動大 "&amp;TEXT(CJ418/CI418-1,"+0%;-0%"),"〇"))))</f>
        <v>―</v>
      </c>
      <c r="F418" s="10" t="str">
        <f aca="false">IF(OR(G418="",G418="なし"),"―",IF(CJ418=0,"入金不要",IF(COUNT(AD418,AF418,AH418,AJ418)=0,IF(AK418="○","手動確認","未入金"),IF(AND(N(AD418)=AC418,IF(AE418="",TRUE(),N(AF418)=AE418),IF(AG418="",TRUE(),N(AH418)=AG418),IF(AI418="",TRUE(),N(AJ418)=AI418)),"一致","不一致"))))</f>
        <v>―</v>
      </c>
      <c r="G418" s="25"/>
      <c r="H418" s="26"/>
      <c r="I418" s="27"/>
      <c r="J418" s="27"/>
      <c r="K418" s="27"/>
      <c r="L418" s="27"/>
      <c r="M418" s="27"/>
      <c r="N418" s="27"/>
      <c r="O418" s="27"/>
      <c r="P418" s="27"/>
      <c r="Q418" s="27"/>
      <c r="R418" s="27"/>
      <c r="S418" s="27"/>
      <c r="T418" s="27"/>
      <c r="U418" s="27"/>
      <c r="V418" s="27"/>
      <c r="W418" s="27"/>
      <c r="X418" s="27"/>
      <c r="Y418" s="27"/>
      <c r="Z418" s="27"/>
      <c r="AA418" s="10" t="str">
        <f aca="false">IFERROR(INDEX(設定!$E$61:$E$106,MATCH(B418,設定!$B$61:$B$106,0)),"合算")</f>
        <v>合算</v>
      </c>
      <c r="AB418" s="28"/>
      <c r="AC418" s="29" t="str">
        <f aca="false">IF(OR(G418="",G418="なし"),"",IF(AA418="合算",CJ418+N(Z418),IF(AA418="掛金・負担金別",(AY418+AZ418+BD418+BF418+BH418),SUM(AY418:BC418))))</f>
        <v/>
      </c>
      <c r="AD418" s="27"/>
      <c r="AE418" s="29" t="str">
        <f aca="false">IF(OR(G418="",G418="なし"),"",IF(AA418="掛金・負担金別",(BA418+BB418+BC418+BE418+BG418+BI418+N(Z418)),IF(AA418="経理区分別",BD418+BE418,"")))</f>
        <v/>
      </c>
      <c r="AF418" s="27"/>
      <c r="AG418" s="29" t="str">
        <f aca="false">IF(OR(G418="",G418="なし"),"",IF(AA418="経理区分別",BF418+BG418,""))</f>
        <v/>
      </c>
      <c r="AH418" s="27"/>
      <c r="AI418" s="29" t="str">
        <f aca="false">IF(OR(G418="",G418="なし"),"",IF(AA418="経理区分別",BH418+BI418+N(Z418),""))</f>
        <v/>
      </c>
      <c r="AJ418" s="27"/>
      <c r="AK418" s="26"/>
      <c r="AL418" s="26"/>
      <c r="AM418" s="30"/>
      <c r="AN418" s="31" t="n">
        <v>23790</v>
      </c>
      <c r="AO418" s="31" t="n">
        <v>1950</v>
      </c>
      <c r="AP418" s="31" t="n">
        <v>23790</v>
      </c>
      <c r="AQ418" s="31" t="n">
        <v>1950</v>
      </c>
      <c r="AR418" s="31"/>
      <c r="AS418" s="31" t="n">
        <v>30805</v>
      </c>
      <c r="AT418" s="31" t="n">
        <v>30861</v>
      </c>
      <c r="AU418" s="31" t="n">
        <v>2370</v>
      </c>
      <c r="AV418" s="31" t="n">
        <v>2370</v>
      </c>
      <c r="AW418" s="31" t="n">
        <v>1</v>
      </c>
      <c r="AX418" s="31" t="n">
        <v>1</v>
      </c>
      <c r="AY418" s="31" t="n">
        <f aca="false">IF($G418="",AN418,O418)</f>
        <v>23790</v>
      </c>
      <c r="AZ418" s="31" t="n">
        <f aca="false">IF($G418="",AO418,P418)</f>
        <v>1950</v>
      </c>
      <c r="BA418" s="31" t="n">
        <f aca="false">IF($G418="",AP418,T418)</f>
        <v>23790</v>
      </c>
      <c r="BB418" s="31" t="n">
        <f aca="false">IF($G418="",AQ418,U418)</f>
        <v>1950</v>
      </c>
      <c r="BC418" s="31" t="n">
        <f aca="false">IF($G418="",AR418,V418)</f>
        <v>0</v>
      </c>
      <c r="BD418" s="31" t="n">
        <f aca="false">IF($G418="",AS418,Q418)</f>
        <v>30805</v>
      </c>
      <c r="BE418" s="31" t="n">
        <f aca="false">IF($G418="",AT418,W418)</f>
        <v>30861</v>
      </c>
      <c r="BF418" s="31" t="n">
        <f aca="false">IF($G418="",AU418,R418)</f>
        <v>2370</v>
      </c>
      <c r="BG418" s="31" t="n">
        <f aca="false">IF($G418="",AV418,X418)</f>
        <v>2370</v>
      </c>
      <c r="BH418" s="31" t="n">
        <f aca="false">IF($G418="",AW418,S418)</f>
        <v>1</v>
      </c>
      <c r="BI418" s="31" t="n">
        <f aca="false">IF($G418="",AX418,Y418)</f>
        <v>1</v>
      </c>
      <c r="BJ418" s="31" t="n">
        <f aca="false">IF(CK418="N",BR418,ROUNDDOWN((I418-L418)*設定!$B$10/1000,0)+ROUNDDOWN((I418-L418)*設定!$B$11/1000,0))</f>
        <v>0</v>
      </c>
      <c r="BK418" s="31" t="n">
        <f aca="false">ROUNDDOWN((I418-L418)*設定!$C$10/1000,0)+ROUNDDOWN((I418-L418)*設定!$C$11/1000,0)+ROUNDDOWN(I418*設定!$C$12/1000,0)+IF(CL418="市局型",ROUNDDOWN(I418*設定!$C$16/1000,0),0)</f>
        <v>0</v>
      </c>
      <c r="BL418" s="31" t="n">
        <f aca="false">IF(CK418="N",BT418,ROUNDDOWN((J418-M418)*設定!$B$13/1000,0))</f>
        <v>0</v>
      </c>
      <c r="BM418" s="31" t="n">
        <f aca="false">ROUNDDOWN((J418-M418)*設定!$C$13/1000,0)+IF(CL418="市局型",ROUNDDOWN(J418*設定!$C$17/1000,0),0)</f>
        <v>0</v>
      </c>
      <c r="BN418" s="31" t="n">
        <f aca="false">IF(CK418="N",BV418,ROUNDDOWN((K418-N418)*設定!$B$14/1000,0))</f>
        <v>0</v>
      </c>
      <c r="BO418" s="31" t="n">
        <f aca="false">ROUNDDOWN((K418-N418)*設定!$C$14/1000,0)</f>
        <v>0</v>
      </c>
      <c r="BP418" s="31" t="n">
        <f aca="false">IF(CK418="N",BX418,ROUNDDOWN((J418-M418)*設定!$B$15/1000,0))</f>
        <v>0</v>
      </c>
      <c r="BQ418" s="31" t="n">
        <f aca="false">ROUNDDOWN((J418-M418)*設定!$C$15/1000,0)</f>
        <v>0</v>
      </c>
      <c r="BR418" s="31" t="n">
        <f aca="false">O418+P418</f>
        <v>0</v>
      </c>
      <c r="BS418" s="31" t="n">
        <f aca="false">T418+U418+V418</f>
        <v>0</v>
      </c>
      <c r="BT418" s="31" t="n">
        <f aca="false">Q418</f>
        <v>0</v>
      </c>
      <c r="BU418" s="31" t="n">
        <f aca="false">W418</f>
        <v>0</v>
      </c>
      <c r="BV418" s="31" t="n">
        <f aca="false">R418</f>
        <v>0</v>
      </c>
      <c r="BW418" s="31" t="n">
        <f aca="false">X418</f>
        <v>0</v>
      </c>
      <c r="BX418" s="31" t="n">
        <f aca="false">S418</f>
        <v>0</v>
      </c>
      <c r="BY418" s="31" t="n">
        <f aca="false">Y418</f>
        <v>0</v>
      </c>
      <c r="BZ418" s="32" t="n">
        <f aca="false">IF(BJ418=0,IF(BR418=0,0,1),(BR418-BJ418)/BJ418)</f>
        <v>0</v>
      </c>
      <c r="CA418" s="32" t="n">
        <f aca="false">IF(BK418=0,IF(BS418=0,0,1),(BS418-BK418)/BK418)</f>
        <v>0</v>
      </c>
      <c r="CB418" s="32" t="n">
        <f aca="false">IF(BL418=0,IF(BT418=0,0,1),(BT418-BL418)/BL418)</f>
        <v>0</v>
      </c>
      <c r="CC418" s="32" t="n">
        <f aca="false">IF(BM418=0,IF(BU418=0,0,1),(BU418-BM418)/BM418)</f>
        <v>0</v>
      </c>
      <c r="CD418" s="32" t="n">
        <f aca="false">IF(BN418=0,IF(BV418=0,0,1),(BV418-BN418)/BN418)</f>
        <v>0</v>
      </c>
      <c r="CE418" s="32" t="n">
        <f aca="false">IF(BO418=0,IF(BW418=0,0,1),(BW418-BO418)/BO418)</f>
        <v>0</v>
      </c>
      <c r="CF418" s="32" t="n">
        <f aca="false">IF(BP418=0,IF(BX418=0,0,1),(BX418-BP418)/BP418)</f>
        <v>0</v>
      </c>
      <c r="CG418" s="32" t="n">
        <f aca="false">IF(BQ418=0,IF(BY418=0,0,1),(BY418-BQ418)/BQ418)</f>
        <v>0</v>
      </c>
      <c r="CH418" s="32" t="n">
        <f aca="false">MAX(MAX(BZ418:CG418),-MIN(BZ418:CG418))</f>
        <v>-0</v>
      </c>
      <c r="CI418" s="31" t="n">
        <f aca="false">IF(CO418="","",SUMIFS($CJ$7:$CJ$696,$A$7:$A$696,CO418,$B$7:$B$696,B418))</f>
        <v>133863</v>
      </c>
      <c r="CJ418" s="31" t="n">
        <f aca="false">SUM(AY418:BI418)</f>
        <v>117888</v>
      </c>
      <c r="CK418" s="31" t="str">
        <f aca="false">IFERROR(INDEX(設定!$F$61:$F$106,MATCH(B418,設定!$B$61:$B$106,0)),"Y")</f>
        <v>Y</v>
      </c>
      <c r="CL418" s="31" t="str">
        <f aca="false">IFERROR(INDEX(設定!$G$61:$G$106,MATCH(B418,設定!$B$61:$B$106,0)),"外郭型")</f>
        <v>外郭型</v>
      </c>
      <c r="CM418" s="33" t="str">
        <f aca="false">A418&amp;"|"&amp;B418</f>
        <v>2026-11 月例|病院労働組合</v>
      </c>
      <c r="CN418" s="34" t="str">
        <f aca="false">IFERROR(INDEX(設定!$D$61:$D$106,MATCH(B418,設定!$B$61:$B$106,0)),"Y")</f>
        <v>Y</v>
      </c>
      <c r="CO418" s="34" t="str">
        <f aca="false">IFERROR(INDEX(設定!$D$20:$D$34,MATCH(A418,設定!$A$20:$A$34,0))&amp;"","")</f>
        <v>2026-10 月例</v>
      </c>
    </row>
    <row r="419" customFormat="false" ht="15" hidden="true" customHeight="false" outlineLevel="0" collapsed="false">
      <c r="A419" s="22" t="s">
        <v>224</v>
      </c>
      <c r="B419" s="23" t="s">
        <v>213</v>
      </c>
      <c r="C419" s="10" t="str">
        <f aca="false">IF(G419="","未受領",IF(G419="なし","報告なし",IF(AL419="○","起票済",IF(OR(AK419="○",F419="一致",F419="入金不要"),"入金確認済","受領済"))))</f>
        <v>報告なし</v>
      </c>
      <c r="D419" s="10" t="str">
        <f aca="false">IF(OR(G419="",G419="なし"),"―",IF(CN419="N","対象外",IF(AND(I419="",J419="",K419=""),"標報未入力",IF(CH419&gt;=設定!$B$4,"要確認","問題なし"))))</f>
        <v>―</v>
      </c>
      <c r="E419" s="24" t="str">
        <f aca="false">IF(OR(G419="",G419="なし",CI419="",CJ419=0),"―",IF(CJ419=CI419,"前月同額",IF(CI419=0,"―",IF(ABS(CJ419/CI419-1)&gt;=設定!$B$5,"変動大 "&amp;TEXT(CJ419/CI419-1,"+0%;-0%"),"〇"))))</f>
        <v>―</v>
      </c>
      <c r="F419" s="10" t="str">
        <f aca="false">IF(OR(G419="",G419="なし"),"―",IF(CJ419=0,"入金不要",IF(COUNT(AD419,AF419,AH419,AJ419)=0,IF(AK419="○","手動確認","未入金"),IF(AND(N(AD419)=AC419,IF(AE419="",TRUE(),N(AF419)=AE419),IF(AG419="",TRUE(),N(AH419)=AG419),IF(AI419="",TRUE(),N(AJ419)=AI419)),"一致","不一致"))))</f>
        <v>―</v>
      </c>
      <c r="G419" s="25" t="s">
        <v>181</v>
      </c>
      <c r="H419" s="26"/>
      <c r="I419" s="27"/>
      <c r="J419" s="27"/>
      <c r="K419" s="27"/>
      <c r="L419" s="27"/>
      <c r="M419" s="27"/>
      <c r="N419" s="27"/>
      <c r="O419" s="27"/>
      <c r="P419" s="27"/>
      <c r="Q419" s="27"/>
      <c r="R419" s="27"/>
      <c r="S419" s="27"/>
      <c r="T419" s="27"/>
      <c r="U419" s="27"/>
      <c r="V419" s="27"/>
      <c r="W419" s="27"/>
      <c r="X419" s="27"/>
      <c r="Y419" s="27"/>
      <c r="Z419" s="27"/>
      <c r="AA419" s="10" t="str">
        <f aca="false">IFERROR(INDEX(設定!$E$61:$E$106,MATCH(B419,設定!$B$61:$B$106,0)),"合算")</f>
        <v>合算</v>
      </c>
      <c r="AB419" s="28"/>
      <c r="AC419" s="29" t="str">
        <f aca="false">IF(OR(G419="",G419="なし"),"",IF(AA419="合算",CJ419+N(Z419),IF(AA419="掛金・負担金別",(AY419+AZ419+BD419+BF419+BH419),SUM(AY419:BC419))))</f>
        <v/>
      </c>
      <c r="AD419" s="27"/>
      <c r="AE419" s="29" t="str">
        <f aca="false">IF(OR(G419="",G419="なし"),"",IF(AA419="掛金・負担金別",(BA419+BB419+BC419+BE419+BG419+BI419+N(Z419)),IF(AA419="経理区分別",BD419+BE419,"")))</f>
        <v/>
      </c>
      <c r="AF419" s="27"/>
      <c r="AG419" s="29" t="str">
        <f aca="false">IF(OR(G419="",G419="なし"),"",IF(AA419="経理区分別",BF419+BG419,""))</f>
        <v/>
      </c>
      <c r="AH419" s="27"/>
      <c r="AI419" s="29" t="str">
        <f aca="false">IF(OR(G419="",G419="なし"),"",IF(AA419="経理区分別",BH419+BI419+N(Z419),""))</f>
        <v/>
      </c>
      <c r="AJ419" s="27"/>
      <c r="AK419" s="26"/>
      <c r="AL419" s="26"/>
      <c r="AM419" s="30"/>
      <c r="AN419" s="31"/>
      <c r="AO419" s="31"/>
      <c r="AP419" s="31"/>
      <c r="AQ419" s="31"/>
      <c r="AR419" s="31"/>
      <c r="AS419" s="31"/>
      <c r="AT419" s="31"/>
      <c r="AU419" s="31"/>
      <c r="AV419" s="31"/>
      <c r="AW419" s="31"/>
      <c r="AX419" s="31"/>
      <c r="AY419" s="31" t="n">
        <f aca="false">IF($G419="",AN419,O419)</f>
        <v>0</v>
      </c>
      <c r="AZ419" s="31" t="n">
        <f aca="false">IF($G419="",AO419,P419)</f>
        <v>0</v>
      </c>
      <c r="BA419" s="31" t="n">
        <f aca="false">IF($G419="",AP419,T419)</f>
        <v>0</v>
      </c>
      <c r="BB419" s="31" t="n">
        <f aca="false">IF($G419="",AQ419,U419)</f>
        <v>0</v>
      </c>
      <c r="BC419" s="31" t="n">
        <f aca="false">IF($G419="",AR419,V419)</f>
        <v>0</v>
      </c>
      <c r="BD419" s="31" t="n">
        <f aca="false">IF($G419="",AS419,Q419)</f>
        <v>0</v>
      </c>
      <c r="BE419" s="31" t="n">
        <f aca="false">IF($G419="",AT419,W419)</f>
        <v>0</v>
      </c>
      <c r="BF419" s="31" t="n">
        <f aca="false">IF($G419="",AU419,R419)</f>
        <v>0</v>
      </c>
      <c r="BG419" s="31" t="n">
        <f aca="false">IF($G419="",AV419,X419)</f>
        <v>0</v>
      </c>
      <c r="BH419" s="31" t="n">
        <f aca="false">IF($G419="",AW419,S419)</f>
        <v>0</v>
      </c>
      <c r="BI419" s="31" t="n">
        <f aca="false">IF($G419="",AX419,Y419)</f>
        <v>0</v>
      </c>
      <c r="BJ419" s="31" t="n">
        <f aca="false">IF(CK419="N",BR419,ROUNDDOWN((I419-L419)*設定!$B$10/1000,0)+ROUNDDOWN((I419-L419)*設定!$B$11/1000,0))</f>
        <v>0</v>
      </c>
      <c r="BK419" s="31" t="n">
        <f aca="false">ROUNDDOWN((I419-L419)*設定!$C$10/1000,0)+ROUNDDOWN((I419-L419)*設定!$C$11/1000,0)+ROUNDDOWN(I419*設定!$C$12/1000,0)+IF(CL419="市局型",ROUNDDOWN(I419*設定!$C$16/1000,0),0)</f>
        <v>0</v>
      </c>
      <c r="BL419" s="31" t="n">
        <f aca="false">IF(CK419="N",BT419,ROUNDDOWN((J419-M419)*設定!$B$13/1000,0))</f>
        <v>0</v>
      </c>
      <c r="BM419" s="31" t="n">
        <f aca="false">ROUNDDOWN((J419-M419)*設定!$C$13/1000,0)+IF(CL419="市局型",ROUNDDOWN(J419*設定!$C$17/1000,0),0)</f>
        <v>0</v>
      </c>
      <c r="BN419" s="31" t="n">
        <f aca="false">IF(CK419="N",BV419,ROUNDDOWN((K419-N419)*設定!$B$14/1000,0))</f>
        <v>0</v>
      </c>
      <c r="BO419" s="31" t="n">
        <f aca="false">ROUNDDOWN((K419-N419)*設定!$C$14/1000,0)</f>
        <v>0</v>
      </c>
      <c r="BP419" s="31" t="n">
        <f aca="false">IF(CK419="N",BX419,ROUNDDOWN((J419-M419)*設定!$B$15/1000,0))</f>
        <v>0</v>
      </c>
      <c r="BQ419" s="31" t="n">
        <f aca="false">ROUNDDOWN((J419-M419)*設定!$C$15/1000,0)</f>
        <v>0</v>
      </c>
      <c r="BR419" s="31" t="n">
        <f aca="false">O419+P419</f>
        <v>0</v>
      </c>
      <c r="BS419" s="31" t="n">
        <f aca="false">T419+U419+V419</f>
        <v>0</v>
      </c>
      <c r="BT419" s="31" t="n">
        <f aca="false">Q419</f>
        <v>0</v>
      </c>
      <c r="BU419" s="31" t="n">
        <f aca="false">W419</f>
        <v>0</v>
      </c>
      <c r="BV419" s="31" t="n">
        <f aca="false">R419</f>
        <v>0</v>
      </c>
      <c r="BW419" s="31" t="n">
        <f aca="false">X419</f>
        <v>0</v>
      </c>
      <c r="BX419" s="31" t="n">
        <f aca="false">S419</f>
        <v>0</v>
      </c>
      <c r="BY419" s="31" t="n">
        <f aca="false">Y419</f>
        <v>0</v>
      </c>
      <c r="BZ419" s="32" t="n">
        <f aca="false">IF(BJ419=0,IF(BR419=0,0,1),(BR419-BJ419)/BJ419)</f>
        <v>0</v>
      </c>
      <c r="CA419" s="32" t="n">
        <f aca="false">IF(BK419=0,IF(BS419=0,0,1),(BS419-BK419)/BK419)</f>
        <v>0</v>
      </c>
      <c r="CB419" s="32" t="n">
        <f aca="false">IF(BL419=0,IF(BT419=0,0,1),(BT419-BL419)/BL419)</f>
        <v>0</v>
      </c>
      <c r="CC419" s="32" t="n">
        <f aca="false">IF(BM419=0,IF(BU419=0,0,1),(BU419-BM419)/BM419)</f>
        <v>0</v>
      </c>
      <c r="CD419" s="32" t="n">
        <f aca="false">IF(BN419=0,IF(BV419=0,0,1),(BV419-BN419)/BN419)</f>
        <v>0</v>
      </c>
      <c r="CE419" s="32" t="n">
        <f aca="false">IF(BO419=0,IF(BW419=0,0,1),(BW419-BO419)/BO419)</f>
        <v>0</v>
      </c>
      <c r="CF419" s="32" t="n">
        <f aca="false">IF(BP419=0,IF(BX419=0,0,1),(BX419-BP419)/BP419)</f>
        <v>0</v>
      </c>
      <c r="CG419" s="32" t="n">
        <f aca="false">IF(BQ419=0,IF(BY419=0,0,1),(BY419-BQ419)/BQ419)</f>
        <v>0</v>
      </c>
      <c r="CH419" s="32" t="n">
        <f aca="false">MAX(MAX(BZ419:CG419),-MIN(BZ419:CG419))</f>
        <v>-0</v>
      </c>
      <c r="CI419" s="31" t="n">
        <f aca="false">IF(CO419="","",SUMIFS($CJ$7:$CJ$696,$A$7:$A$696,CO419,$B$7:$B$696,B419))</f>
        <v>0</v>
      </c>
      <c r="CJ419" s="31" t="n">
        <f aca="false">SUM(AY419:BI419)</f>
        <v>0</v>
      </c>
      <c r="CK419" s="31" t="str">
        <f aca="false">IFERROR(INDEX(設定!$F$61:$F$106,MATCH(B419,設定!$B$61:$B$106,0)),"Y")</f>
        <v>N</v>
      </c>
      <c r="CL419" s="31" t="str">
        <f aca="false">IFERROR(INDEX(設定!$G$61:$G$106,MATCH(B419,設定!$B$61:$B$106,0)),"外郭型")</f>
        <v>外郭型</v>
      </c>
      <c r="CM419" s="33" t="str">
        <f aca="false">A419&amp;"|"&amp;B419</f>
        <v>2026-11 月例|水道労働組合</v>
      </c>
      <c r="CN419" s="34" t="str">
        <f aca="false">IFERROR(INDEX(設定!$D$61:$D$106,MATCH(B419,設定!$B$61:$B$106,0)),"Y")</f>
        <v>Y</v>
      </c>
      <c r="CO419" s="34" t="str">
        <f aca="false">IFERROR(INDEX(設定!$D$20:$D$34,MATCH(A419,設定!$A$20:$A$34,0))&amp;"","")</f>
        <v>2026-10 月例</v>
      </c>
    </row>
    <row r="420" customFormat="false" ht="15" hidden="true" customHeight="false" outlineLevel="0" collapsed="false">
      <c r="A420" s="22" t="s">
        <v>224</v>
      </c>
      <c r="B420" s="23" t="s">
        <v>214</v>
      </c>
      <c r="C420" s="10" t="str">
        <f aca="false">IF(G420="","未受領",IF(G420="なし","報告なし",IF(AL420="○","起票済",IF(OR(AK420="○",F420="一致",F420="入金不要"),"入金確認済","受領済"))))</f>
        <v>未受領</v>
      </c>
      <c r="D420" s="10" t="str">
        <f aca="false">IF(OR(G420="",G420="なし"),"―",IF(CN420="N","対象外",IF(AND(I420="",J420="",K420=""),"標報未入力",IF(CH420&gt;=設定!$B$4,"要確認","問題なし"))))</f>
        <v>―</v>
      </c>
      <c r="E420" s="24" t="str">
        <f aca="false">IF(OR(G420="",G420="なし",CI420="",CJ420=0),"―",IF(CJ420=CI420,"前月同額",IF(CI420=0,"―",IF(ABS(CJ420/CI420-1)&gt;=設定!$B$5,"変動大 "&amp;TEXT(CJ420/CI420-1,"+0%;-0%"),"〇"))))</f>
        <v>―</v>
      </c>
      <c r="F420" s="10" t="str">
        <f aca="false">IF(OR(G420="",G420="なし"),"―",IF(CJ420=0,"入金不要",IF(COUNT(AD420,AF420,AH420,AJ420)=0,IF(AK420="○","手動確認","未入金"),IF(AND(N(AD420)=AC420,IF(AE420="",TRUE(),N(AF420)=AE420),IF(AG420="",TRUE(),N(AH420)=AG420),IF(AI420="",TRUE(),N(AJ420)=AI420)),"一致","不一致"))))</f>
        <v>―</v>
      </c>
      <c r="G420" s="25"/>
      <c r="H420" s="26"/>
      <c r="I420" s="27"/>
      <c r="J420" s="27"/>
      <c r="K420" s="27"/>
      <c r="L420" s="27"/>
      <c r="M420" s="27"/>
      <c r="N420" s="27"/>
      <c r="O420" s="27"/>
      <c r="P420" s="27"/>
      <c r="Q420" s="27"/>
      <c r="R420" s="27"/>
      <c r="S420" s="27"/>
      <c r="T420" s="27"/>
      <c r="U420" s="27"/>
      <c r="V420" s="27"/>
      <c r="W420" s="27"/>
      <c r="X420" s="27"/>
      <c r="Y420" s="27"/>
      <c r="Z420" s="27"/>
      <c r="AA420" s="10" t="str">
        <f aca="false">IFERROR(INDEX(設定!$E$61:$E$106,MATCH(B420,設定!$B$61:$B$106,0)),"合算")</f>
        <v>合算</v>
      </c>
      <c r="AB420" s="28"/>
      <c r="AC420" s="29" t="str">
        <f aca="false">IF(OR(G420="",G420="なし"),"",IF(AA420="合算",CJ420+N(Z420),IF(AA420="掛金・負担金別",(AY420+AZ420+BD420+BF420+BH420),SUM(AY420:BC420))))</f>
        <v/>
      </c>
      <c r="AD420" s="27"/>
      <c r="AE420" s="29" t="str">
        <f aca="false">IF(OR(G420="",G420="なし"),"",IF(AA420="掛金・負担金別",(BA420+BB420+BC420+BE420+BG420+BI420+N(Z420)),IF(AA420="経理区分別",BD420+BE420,"")))</f>
        <v/>
      </c>
      <c r="AF420" s="27"/>
      <c r="AG420" s="29" t="str">
        <f aca="false">IF(OR(G420="",G420="なし"),"",IF(AA420="経理区分別",BF420+BG420,""))</f>
        <v/>
      </c>
      <c r="AH420" s="27"/>
      <c r="AI420" s="29" t="str">
        <f aca="false">IF(OR(G420="",G420="なし"),"",IF(AA420="経理区分別",BH420+BI420+N(Z420),""))</f>
        <v/>
      </c>
      <c r="AJ420" s="27"/>
      <c r="AK420" s="26"/>
      <c r="AL420" s="26"/>
      <c r="AM420" s="30"/>
      <c r="AN420" s="31"/>
      <c r="AO420" s="31"/>
      <c r="AP420" s="31"/>
      <c r="AQ420" s="31"/>
      <c r="AR420" s="31"/>
      <c r="AS420" s="31" t="n">
        <v>1365918</v>
      </c>
      <c r="AT420" s="31"/>
      <c r="AU420" s="31" t="n">
        <v>91032</v>
      </c>
      <c r="AV420" s="31"/>
      <c r="AW420" s="31" t="n">
        <v>1</v>
      </c>
      <c r="AX420" s="31"/>
      <c r="AY420" s="31" t="n">
        <f aca="false">IF($G420="",AN420,O420)</f>
        <v>0</v>
      </c>
      <c r="AZ420" s="31" t="n">
        <f aca="false">IF($G420="",AO420,P420)</f>
        <v>0</v>
      </c>
      <c r="BA420" s="31" t="n">
        <f aca="false">IF($G420="",AP420,T420)</f>
        <v>0</v>
      </c>
      <c r="BB420" s="31" t="n">
        <f aca="false">IF($G420="",AQ420,U420)</f>
        <v>0</v>
      </c>
      <c r="BC420" s="31" t="n">
        <f aca="false">IF($G420="",AR420,V420)</f>
        <v>0</v>
      </c>
      <c r="BD420" s="31" t="n">
        <f aca="false">IF($G420="",AS420,Q420)</f>
        <v>1365918</v>
      </c>
      <c r="BE420" s="31" t="n">
        <f aca="false">IF($G420="",AT420,W420)</f>
        <v>0</v>
      </c>
      <c r="BF420" s="31" t="n">
        <f aca="false">IF($G420="",AU420,R420)</f>
        <v>91032</v>
      </c>
      <c r="BG420" s="31" t="n">
        <f aca="false">IF($G420="",AV420,X420)</f>
        <v>0</v>
      </c>
      <c r="BH420" s="31" t="n">
        <f aca="false">IF($G420="",AW420,S420)</f>
        <v>1</v>
      </c>
      <c r="BI420" s="31" t="n">
        <f aca="false">IF($G420="",AX420,Y420)</f>
        <v>0</v>
      </c>
      <c r="BJ420" s="31" t="n">
        <f aca="false">IF(CK420="N",BR420,ROUNDDOWN((I420-L420)*設定!$B$10/1000,0)+ROUNDDOWN((I420-L420)*設定!$B$11/1000,0))</f>
        <v>0</v>
      </c>
      <c r="BK420" s="31" t="n">
        <f aca="false">ROUNDDOWN((I420-L420)*設定!$C$10/1000,0)+ROUNDDOWN((I420-L420)*設定!$C$11/1000,0)+ROUNDDOWN(I420*設定!$C$12/1000,0)+IF(CL420="市局型",ROUNDDOWN(I420*設定!$C$16/1000,0),0)</f>
        <v>0</v>
      </c>
      <c r="BL420" s="31" t="n">
        <f aca="false">IF(CK420="N",BT420,ROUNDDOWN((J420-M420)*設定!$B$13/1000,0))</f>
        <v>0</v>
      </c>
      <c r="BM420" s="31" t="n">
        <f aca="false">ROUNDDOWN((J420-M420)*設定!$C$13/1000,0)+IF(CL420="市局型",ROUNDDOWN(J420*設定!$C$17/1000,0),0)</f>
        <v>0</v>
      </c>
      <c r="BN420" s="31" t="n">
        <f aca="false">IF(CK420="N",BV420,ROUNDDOWN((K420-N420)*設定!$B$14/1000,0))</f>
        <v>0</v>
      </c>
      <c r="BO420" s="31" t="n">
        <f aca="false">ROUNDDOWN((K420-N420)*設定!$C$14/1000,0)</f>
        <v>0</v>
      </c>
      <c r="BP420" s="31" t="n">
        <f aca="false">IF(CK420="N",BX420,ROUNDDOWN((J420-M420)*設定!$B$15/1000,0))</f>
        <v>0</v>
      </c>
      <c r="BQ420" s="31" t="n">
        <f aca="false">ROUNDDOWN((J420-M420)*設定!$C$15/1000,0)</f>
        <v>0</v>
      </c>
      <c r="BR420" s="31" t="n">
        <f aca="false">O420+P420</f>
        <v>0</v>
      </c>
      <c r="BS420" s="31" t="n">
        <f aca="false">T420+U420+V420</f>
        <v>0</v>
      </c>
      <c r="BT420" s="31" t="n">
        <f aca="false">Q420</f>
        <v>0</v>
      </c>
      <c r="BU420" s="31" t="n">
        <f aca="false">W420</f>
        <v>0</v>
      </c>
      <c r="BV420" s="31" t="n">
        <f aca="false">R420</f>
        <v>0</v>
      </c>
      <c r="BW420" s="31" t="n">
        <f aca="false">X420</f>
        <v>0</v>
      </c>
      <c r="BX420" s="31" t="n">
        <f aca="false">S420</f>
        <v>0</v>
      </c>
      <c r="BY420" s="31" t="n">
        <f aca="false">Y420</f>
        <v>0</v>
      </c>
      <c r="BZ420" s="32" t="n">
        <f aca="false">IF(BJ420=0,IF(BR420=0,0,1),(BR420-BJ420)/BJ420)</f>
        <v>0</v>
      </c>
      <c r="CA420" s="32" t="n">
        <f aca="false">IF(BK420=0,IF(BS420=0,0,1),(BS420-BK420)/BK420)</f>
        <v>0</v>
      </c>
      <c r="CB420" s="32" t="n">
        <f aca="false">IF(BL420=0,IF(BT420=0,0,1),(BT420-BL420)/BL420)</f>
        <v>0</v>
      </c>
      <c r="CC420" s="32" t="n">
        <f aca="false">IF(BM420=0,IF(BU420=0,0,1),(BU420-BM420)/BM420)</f>
        <v>0</v>
      </c>
      <c r="CD420" s="32" t="n">
        <f aca="false">IF(BN420=0,IF(BV420=0,0,1),(BV420-BN420)/BN420)</f>
        <v>0</v>
      </c>
      <c r="CE420" s="32" t="n">
        <f aca="false">IF(BO420=0,IF(BW420=0,0,1),(BW420-BO420)/BO420)</f>
        <v>0</v>
      </c>
      <c r="CF420" s="32" t="n">
        <f aca="false">IF(BP420=0,IF(BX420=0,0,1),(BX420-BP420)/BP420)</f>
        <v>0</v>
      </c>
      <c r="CG420" s="32" t="n">
        <f aca="false">IF(BQ420=0,IF(BY420=0,0,1),(BY420-BQ420)/BQ420)</f>
        <v>0</v>
      </c>
      <c r="CH420" s="32" t="n">
        <f aca="false">MAX(MAX(BZ420:CG420),-MIN(BZ420:CG420))</f>
        <v>-0</v>
      </c>
      <c r="CI420" s="31" t="n">
        <f aca="false">IF(CO420="","",SUMIFS($CJ$7:$CJ$696,$A$7:$A$696,CO420,$B$7:$B$696,B420))</f>
        <v>2760715</v>
      </c>
      <c r="CJ420" s="31" t="n">
        <f aca="false">SUM(AY420:BI420)</f>
        <v>1456951</v>
      </c>
      <c r="CK420" s="31" t="str">
        <f aca="false">IFERROR(INDEX(設定!$F$61:$F$106,MATCH(B420,設定!$B$61:$B$106,0)),"Y")</f>
        <v>Y</v>
      </c>
      <c r="CL420" s="31" t="str">
        <f aca="false">IFERROR(INDEX(設定!$G$61:$G$106,MATCH(B420,設定!$B$61:$B$106,0)),"外郭型")</f>
        <v>外郭型</v>
      </c>
      <c r="CM420" s="33" t="str">
        <f aca="false">A420&amp;"|"&amp;B420</f>
        <v>2026-11 月例|任意継続組合員</v>
      </c>
      <c r="CN420" s="34" t="str">
        <f aca="false">IFERROR(INDEX(設定!$D$61:$D$106,MATCH(B420,設定!$B$61:$B$106,0)),"Y")</f>
        <v>N</v>
      </c>
      <c r="CO420" s="34" t="str">
        <f aca="false">IFERROR(INDEX(設定!$D$20:$D$34,MATCH(A420,設定!$A$20:$A$34,0))&amp;"","")</f>
        <v>2026-10 月例</v>
      </c>
    </row>
    <row r="421" customFormat="false" ht="15" hidden="true" customHeight="false" outlineLevel="0" collapsed="false">
      <c r="A421" s="22" t="s">
        <v>225</v>
      </c>
      <c r="B421" s="23" t="s">
        <v>166</v>
      </c>
      <c r="C421" s="10" t="str">
        <f aca="false">IF(G421="","未受領",IF(G421="なし","報告なし",IF(AL421="○","起票済",IF(OR(AK421="○",F421="一致",F421="入金不要"),"入金確認済","受領済"))))</f>
        <v>未受領</v>
      </c>
      <c r="D421" s="10" t="str">
        <f aca="false">IF(OR(G421="",G421="なし"),"―",IF(CN421="N","対象外",IF(AND(I421="",J421="",K421=""),"標報未入力",IF(CH421&gt;=設定!$B$4,"要確認","問題なし"))))</f>
        <v>―</v>
      </c>
      <c r="E421" s="24" t="str">
        <f aca="false">IF(OR(G421="",G421="なし",CI421="",CJ421=0),"―",IF(CJ421=CI421,"前月同額",IF(CI421=0,"―",IF(ABS(CJ421/CI421-1)&gt;=設定!$B$5,"変動大 "&amp;TEXT(CJ421/CI421-1,"+0%;-0%"),"〇"))))</f>
        <v>―</v>
      </c>
      <c r="F421" s="10" t="str">
        <f aca="false">IF(OR(G421="",G421="なし"),"―",IF(CJ421=0,"入金不要",IF(COUNT(AD421,AF421,AH421,AJ421)=0,IF(AK421="○","手動確認","未入金"),IF(AND(N(AD421)=AC421,IF(AE421="",TRUE(),N(AF421)=AE421),IF(AG421="",TRUE(),N(AH421)=AG421),IF(AI421="",TRUE(),N(AJ421)=AI421)),"一致","不一致"))))</f>
        <v>―</v>
      </c>
      <c r="G421" s="25"/>
      <c r="H421" s="26"/>
      <c r="I421" s="27"/>
      <c r="J421" s="27"/>
      <c r="K421" s="27"/>
      <c r="L421" s="27"/>
      <c r="M421" s="27"/>
      <c r="N421" s="27"/>
      <c r="O421" s="27"/>
      <c r="P421" s="27"/>
      <c r="Q421" s="27"/>
      <c r="R421" s="27"/>
      <c r="S421" s="27"/>
      <c r="T421" s="27"/>
      <c r="U421" s="27"/>
      <c r="V421" s="27"/>
      <c r="W421" s="27"/>
      <c r="X421" s="27"/>
      <c r="Y421" s="27"/>
      <c r="Z421" s="27"/>
      <c r="AA421" s="10" t="str">
        <f aca="false">IFERROR(INDEX(設定!$E$61:$E$106,MATCH(B421,設定!$B$61:$B$106,0)),"合算")</f>
        <v>合算</v>
      </c>
      <c r="AB421" s="28"/>
      <c r="AC421" s="29" t="str">
        <f aca="false">IF(OR(G421="",G421="なし"),"",IF(AA421="合算",CJ421+N(Z421),IF(AA421="掛金・負担金別",(AY421+AZ421+BD421+BF421+BH421),SUM(AY421:BC421))))</f>
        <v/>
      </c>
      <c r="AD421" s="27"/>
      <c r="AE421" s="29" t="str">
        <f aca="false">IF(OR(G421="",G421="なし"),"",IF(AA421="掛金・負担金別",(BA421+BB421+BC421+BE421+BG421+BI421+N(Z421)),IF(AA421="経理区分別",BD421+BE421,"")))</f>
        <v/>
      </c>
      <c r="AF421" s="27"/>
      <c r="AG421" s="29" t="str">
        <f aca="false">IF(OR(G421="",G421="なし"),"",IF(AA421="経理区分別",BF421+BG421,""))</f>
        <v/>
      </c>
      <c r="AH421" s="27"/>
      <c r="AI421" s="29" t="str">
        <f aca="false">IF(OR(G421="",G421="なし"),"",IF(AA421="経理区分別",BH421+BI421+N(Z421),""))</f>
        <v/>
      </c>
      <c r="AJ421" s="27"/>
      <c r="AK421" s="26"/>
      <c r="AL421" s="26"/>
      <c r="AM421" s="30"/>
      <c r="AN421" s="31" t="n">
        <v>435917995</v>
      </c>
      <c r="AO421" s="31" t="n">
        <v>35740897</v>
      </c>
      <c r="AP421" s="31" t="n">
        <v>627554698</v>
      </c>
      <c r="AQ421" s="31" t="n">
        <v>34768215</v>
      </c>
      <c r="AR421" s="31" t="n">
        <v>442176</v>
      </c>
      <c r="AS421" s="31" t="n">
        <v>336211683</v>
      </c>
      <c r="AT421" s="31" t="n">
        <v>335081107</v>
      </c>
      <c r="AU421" s="31" t="n">
        <v>30330019</v>
      </c>
      <c r="AV421" s="31" t="n">
        <v>29480520</v>
      </c>
      <c r="AW421" s="31" t="n">
        <v>1</v>
      </c>
      <c r="AX421" s="31" t="n">
        <v>1</v>
      </c>
      <c r="AY421" s="31" t="n">
        <f aca="false">IF($G421="",AN421,O421)</f>
        <v>435917995</v>
      </c>
      <c r="AZ421" s="31" t="n">
        <f aca="false">IF($G421="",AO421,P421)</f>
        <v>35740897</v>
      </c>
      <c r="BA421" s="31" t="n">
        <f aca="false">IF($G421="",AP421,T421)</f>
        <v>627554698</v>
      </c>
      <c r="BB421" s="31" t="n">
        <f aca="false">IF($G421="",AQ421,U421)</f>
        <v>34768215</v>
      </c>
      <c r="BC421" s="31" t="n">
        <f aca="false">IF($G421="",AR421,V421)</f>
        <v>442176</v>
      </c>
      <c r="BD421" s="31" t="n">
        <f aca="false">IF($G421="",AS421,Q421)</f>
        <v>336211683</v>
      </c>
      <c r="BE421" s="31" t="n">
        <f aca="false">IF($G421="",AT421,W421)</f>
        <v>335081107</v>
      </c>
      <c r="BF421" s="31" t="n">
        <f aca="false">IF($G421="",AU421,R421)</f>
        <v>30330019</v>
      </c>
      <c r="BG421" s="31" t="n">
        <f aca="false">IF($G421="",AV421,X421)</f>
        <v>29480520</v>
      </c>
      <c r="BH421" s="31" t="n">
        <f aca="false">IF($G421="",AW421,S421)</f>
        <v>1</v>
      </c>
      <c r="BI421" s="31" t="n">
        <f aca="false">IF($G421="",AX421,Y421)</f>
        <v>1</v>
      </c>
      <c r="BJ421" s="31" t="n">
        <f aca="false">IF(CK421="N",BR421,ROUNDDOWN((I421-L421)*設定!$B$10/1000,0)+ROUNDDOWN((I421-L421)*設定!$B$11/1000,0))</f>
        <v>0</v>
      </c>
      <c r="BK421" s="31" t="n">
        <f aca="false">ROUNDDOWN((I421-L421)*設定!$C$10/1000,0)+ROUNDDOWN((I421-L421)*設定!$C$11/1000,0)+ROUNDDOWN(I421*設定!$C$12/1000,0)+IF(CL421="市局型",ROUNDDOWN(I421*設定!$C$16/1000,0),0)</f>
        <v>0</v>
      </c>
      <c r="BL421" s="31" t="n">
        <f aca="false">IF(CK421="N",BT421,ROUNDDOWN((J421-M421)*設定!$B$13/1000,0))</f>
        <v>0</v>
      </c>
      <c r="BM421" s="31" t="n">
        <f aca="false">ROUNDDOWN((J421-M421)*設定!$C$13/1000,0)+IF(CL421="市局型",ROUNDDOWN(J421*設定!$C$17/1000,0),0)</f>
        <v>0</v>
      </c>
      <c r="BN421" s="31" t="n">
        <f aca="false">IF(CK421="N",BV421,ROUNDDOWN((K421-N421)*設定!$B$14/1000,0))</f>
        <v>0</v>
      </c>
      <c r="BO421" s="31" t="n">
        <f aca="false">ROUNDDOWN((K421-N421)*設定!$C$14/1000,0)</f>
        <v>0</v>
      </c>
      <c r="BP421" s="31" t="n">
        <f aca="false">IF(CK421="N",BX421,ROUNDDOWN((J421-M421)*設定!$B$15/1000,0))</f>
        <v>0</v>
      </c>
      <c r="BQ421" s="31" t="n">
        <f aca="false">ROUNDDOWN((J421-M421)*設定!$C$15/1000,0)</f>
        <v>0</v>
      </c>
      <c r="BR421" s="31" t="n">
        <f aca="false">O421+P421</f>
        <v>0</v>
      </c>
      <c r="BS421" s="31" t="n">
        <f aca="false">T421+U421+V421</f>
        <v>0</v>
      </c>
      <c r="BT421" s="31" t="n">
        <f aca="false">Q421</f>
        <v>0</v>
      </c>
      <c r="BU421" s="31" t="n">
        <f aca="false">W421</f>
        <v>0</v>
      </c>
      <c r="BV421" s="31" t="n">
        <f aca="false">R421</f>
        <v>0</v>
      </c>
      <c r="BW421" s="31" t="n">
        <f aca="false">X421</f>
        <v>0</v>
      </c>
      <c r="BX421" s="31" t="n">
        <f aca="false">S421</f>
        <v>0</v>
      </c>
      <c r="BY421" s="31" t="n">
        <f aca="false">Y421</f>
        <v>0</v>
      </c>
      <c r="BZ421" s="32" t="n">
        <f aca="false">IF(BJ421=0,IF(BR421=0,0,1),(BR421-BJ421)/BJ421)</f>
        <v>0</v>
      </c>
      <c r="CA421" s="32" t="n">
        <f aca="false">IF(BK421=0,IF(BS421=0,0,1),(BS421-BK421)/BK421)</f>
        <v>0</v>
      </c>
      <c r="CB421" s="32" t="n">
        <f aca="false">IF(BL421=0,IF(BT421=0,0,1),(BT421-BL421)/BL421)</f>
        <v>0</v>
      </c>
      <c r="CC421" s="32" t="n">
        <f aca="false">IF(BM421=0,IF(BU421=0,0,1),(BU421-BM421)/BM421)</f>
        <v>0</v>
      </c>
      <c r="CD421" s="32" t="n">
        <f aca="false">IF(BN421=0,IF(BV421=0,0,1),(BV421-BN421)/BN421)</f>
        <v>0</v>
      </c>
      <c r="CE421" s="32" t="n">
        <f aca="false">IF(BO421=0,IF(BW421=0,0,1),(BW421-BO421)/BO421)</f>
        <v>0</v>
      </c>
      <c r="CF421" s="32" t="n">
        <f aca="false">IF(BP421=0,IF(BX421=0,0,1),(BX421-BP421)/BP421)</f>
        <v>0</v>
      </c>
      <c r="CG421" s="32" t="n">
        <f aca="false">IF(BQ421=0,IF(BY421=0,0,1),(BY421-BQ421)/BQ421)</f>
        <v>0</v>
      </c>
      <c r="CH421" s="32" t="n">
        <f aca="false">MAX(MAX(BZ421:CG421),-MIN(BZ421:CG421))</f>
        <v>-0</v>
      </c>
      <c r="CI421" s="31" t="str">
        <f aca="false">IF(CO421="","",SUMIFS($CJ$7:$CJ$696,$A$7:$A$696,CO421,$B$7:$B$696,B421))</f>
        <v/>
      </c>
      <c r="CJ421" s="31" t="n">
        <f aca="false">SUM(AY421:BI421)</f>
        <v>1865527312</v>
      </c>
      <c r="CK421" s="31" t="str">
        <f aca="false">IFERROR(INDEX(設定!$F$61:$F$106,MATCH(B421,設定!$B$61:$B$106,0)),"Y")</f>
        <v>Y</v>
      </c>
      <c r="CL421" s="31" t="str">
        <f aca="false">IFERROR(INDEX(設定!$G$61:$G$106,MATCH(B421,設定!$B$61:$B$106,0)),"外郭型")</f>
        <v>市局型</v>
      </c>
      <c r="CM421" s="33" t="str">
        <f aca="false">A421&amp;"|"&amp;B421</f>
        <v>2026-12 賞与|市長部局</v>
      </c>
      <c r="CN421" s="34" t="str">
        <f aca="false">IFERROR(INDEX(設定!$D$61:$D$106,MATCH(B421,設定!$B$61:$B$106,0)),"Y")</f>
        <v>N</v>
      </c>
      <c r="CO421" s="34" t="str">
        <f aca="false">IFERROR(INDEX(設定!$D$20:$D$34,MATCH(A421,設定!$A$20:$A$34,0))&amp;"","")</f>
        <v/>
      </c>
    </row>
    <row r="422" customFormat="false" ht="15" hidden="true" customHeight="false" outlineLevel="0" collapsed="false">
      <c r="A422" s="22" t="s">
        <v>225</v>
      </c>
      <c r="B422" s="23" t="s">
        <v>169</v>
      </c>
      <c r="C422" s="10" t="str">
        <f aca="false">IF(G422="","未受領",IF(G422="なし","報告なし",IF(AL422="○","起票済",IF(OR(AK422="○",F422="一致",F422="入金不要"),"入金確認済","受領済"))))</f>
        <v>未受領</v>
      </c>
      <c r="D422" s="10" t="str">
        <f aca="false">IF(OR(G422="",G422="なし"),"―",IF(CN422="N","対象外",IF(AND(I422="",J422="",K422=""),"標報未入力",IF(CH422&gt;=設定!$B$4,"要確認","問題なし"))))</f>
        <v>―</v>
      </c>
      <c r="E422" s="24" t="str">
        <f aca="false">IF(OR(G422="",G422="なし",CI422="",CJ422=0),"―",IF(CJ422=CI422,"前月同額",IF(CI422=0,"―",IF(ABS(CJ422/CI422-1)&gt;=設定!$B$5,"変動大 "&amp;TEXT(CJ422/CI422-1,"+0%;-0%"),"〇"))))</f>
        <v>―</v>
      </c>
      <c r="F422" s="10" t="str">
        <f aca="false">IF(OR(G422="",G422="なし"),"―",IF(CJ422=0,"入金不要",IF(COUNT(AD422,AF422,AH422,AJ422)=0,IF(AK422="○","手動確認","未入金"),IF(AND(N(AD422)=AC422,IF(AE422="",TRUE(),N(AF422)=AE422),IF(AG422="",TRUE(),N(AH422)=AG422),IF(AI422="",TRUE(),N(AJ422)=AI422)),"一致","不一致"))))</f>
        <v>―</v>
      </c>
      <c r="G422" s="25"/>
      <c r="H422" s="26"/>
      <c r="I422" s="27"/>
      <c r="J422" s="27"/>
      <c r="K422" s="27"/>
      <c r="L422" s="27"/>
      <c r="M422" s="27"/>
      <c r="N422" s="27"/>
      <c r="O422" s="27"/>
      <c r="P422" s="27"/>
      <c r="Q422" s="27"/>
      <c r="R422" s="27"/>
      <c r="S422" s="27"/>
      <c r="T422" s="27"/>
      <c r="U422" s="27"/>
      <c r="V422" s="27"/>
      <c r="W422" s="27"/>
      <c r="X422" s="27"/>
      <c r="Y422" s="27"/>
      <c r="Z422" s="27"/>
      <c r="AA422" s="10" t="str">
        <f aca="false">IFERROR(INDEX(設定!$E$61:$E$106,MATCH(B422,設定!$B$61:$B$106,0)),"合算")</f>
        <v>合算</v>
      </c>
      <c r="AB422" s="28"/>
      <c r="AC422" s="29" t="str">
        <f aca="false">IF(OR(G422="",G422="なし"),"",IF(AA422="合算",CJ422+N(Z422),IF(AA422="掛金・負担金別",(AY422+AZ422+BD422+BF422+BH422),SUM(AY422:BC422))))</f>
        <v/>
      </c>
      <c r="AD422" s="27"/>
      <c r="AE422" s="29" t="str">
        <f aca="false">IF(OR(G422="",G422="なし"),"",IF(AA422="掛金・負担金別",(BA422+BB422+BC422+BE422+BG422+BI422+N(Z422)),IF(AA422="経理区分別",BD422+BE422,"")))</f>
        <v/>
      </c>
      <c r="AF422" s="27"/>
      <c r="AG422" s="29" t="str">
        <f aca="false">IF(OR(G422="",G422="なし"),"",IF(AA422="経理区分別",BF422+BG422,""))</f>
        <v/>
      </c>
      <c r="AH422" s="27"/>
      <c r="AI422" s="29" t="str">
        <f aca="false">IF(OR(G422="",G422="なし"),"",IF(AA422="経理区分別",BH422+BI422+N(Z422),""))</f>
        <v/>
      </c>
      <c r="AJ422" s="27"/>
      <c r="AK422" s="26"/>
      <c r="AL422" s="26"/>
      <c r="AM422" s="30"/>
      <c r="AN422" s="31" t="n">
        <v>29227117</v>
      </c>
      <c r="AO422" s="31" t="n">
        <v>2395585</v>
      </c>
      <c r="AP422" s="31" t="n">
        <v>42483252</v>
      </c>
      <c r="AQ422" s="31" t="n">
        <v>2395669</v>
      </c>
      <c r="AR422" s="31" t="n">
        <v>29988</v>
      </c>
      <c r="AS422" s="31" t="n">
        <v>18194146</v>
      </c>
      <c r="AT422" s="31" t="n">
        <v>18515147</v>
      </c>
      <c r="AU422" s="31" t="n">
        <v>1869293</v>
      </c>
      <c r="AV422" s="31" t="n">
        <v>1869401</v>
      </c>
      <c r="AW422" s="31" t="n">
        <v>1</v>
      </c>
      <c r="AX422" s="31" t="n">
        <v>1</v>
      </c>
      <c r="AY422" s="31" t="n">
        <f aca="false">IF($G422="",AN422,O422)</f>
        <v>29227117</v>
      </c>
      <c r="AZ422" s="31" t="n">
        <f aca="false">IF($G422="",AO422,P422)</f>
        <v>2395585</v>
      </c>
      <c r="BA422" s="31" t="n">
        <f aca="false">IF($G422="",AP422,T422)</f>
        <v>42483252</v>
      </c>
      <c r="BB422" s="31" t="n">
        <f aca="false">IF($G422="",AQ422,U422)</f>
        <v>2395669</v>
      </c>
      <c r="BC422" s="31" t="n">
        <f aca="false">IF($G422="",AR422,V422)</f>
        <v>29988</v>
      </c>
      <c r="BD422" s="31" t="n">
        <f aca="false">IF($G422="",AS422,Q422)</f>
        <v>18194146</v>
      </c>
      <c r="BE422" s="31" t="n">
        <f aca="false">IF($G422="",AT422,W422)</f>
        <v>18515147</v>
      </c>
      <c r="BF422" s="31" t="n">
        <f aca="false">IF($G422="",AU422,R422)</f>
        <v>1869293</v>
      </c>
      <c r="BG422" s="31" t="n">
        <f aca="false">IF($G422="",AV422,X422)</f>
        <v>1869401</v>
      </c>
      <c r="BH422" s="31" t="n">
        <f aca="false">IF($G422="",AW422,S422)</f>
        <v>1</v>
      </c>
      <c r="BI422" s="31" t="n">
        <f aca="false">IF($G422="",AX422,Y422)</f>
        <v>1</v>
      </c>
      <c r="BJ422" s="31" t="n">
        <f aca="false">IF(CK422="N",BR422,ROUNDDOWN((I422-L422)*設定!$B$10/1000,0)+ROUNDDOWN((I422-L422)*設定!$B$11/1000,0))</f>
        <v>0</v>
      </c>
      <c r="BK422" s="31" t="n">
        <f aca="false">ROUNDDOWN((I422-L422)*設定!$C$10/1000,0)+ROUNDDOWN((I422-L422)*設定!$C$11/1000,0)+ROUNDDOWN(I422*設定!$C$12/1000,0)+IF(CL422="市局型",ROUNDDOWN(I422*設定!$C$16/1000,0),0)</f>
        <v>0</v>
      </c>
      <c r="BL422" s="31" t="n">
        <f aca="false">IF(CK422="N",BT422,ROUNDDOWN((J422-M422)*設定!$B$13/1000,0))</f>
        <v>0</v>
      </c>
      <c r="BM422" s="31" t="n">
        <f aca="false">ROUNDDOWN((J422-M422)*設定!$C$13/1000,0)+IF(CL422="市局型",ROUNDDOWN(J422*設定!$C$17/1000,0),0)</f>
        <v>0</v>
      </c>
      <c r="BN422" s="31" t="n">
        <f aca="false">IF(CK422="N",BV422,ROUNDDOWN((K422-N422)*設定!$B$14/1000,0))</f>
        <v>0</v>
      </c>
      <c r="BO422" s="31" t="n">
        <f aca="false">ROUNDDOWN((K422-N422)*設定!$C$14/1000,0)</f>
        <v>0</v>
      </c>
      <c r="BP422" s="31" t="n">
        <f aca="false">IF(CK422="N",BX422,ROUNDDOWN((J422-M422)*設定!$B$15/1000,0))</f>
        <v>0</v>
      </c>
      <c r="BQ422" s="31" t="n">
        <f aca="false">ROUNDDOWN((J422-M422)*設定!$C$15/1000,0)</f>
        <v>0</v>
      </c>
      <c r="BR422" s="31" t="n">
        <f aca="false">O422+P422</f>
        <v>0</v>
      </c>
      <c r="BS422" s="31" t="n">
        <f aca="false">T422+U422+V422</f>
        <v>0</v>
      </c>
      <c r="BT422" s="31" t="n">
        <f aca="false">Q422</f>
        <v>0</v>
      </c>
      <c r="BU422" s="31" t="n">
        <f aca="false">W422</f>
        <v>0</v>
      </c>
      <c r="BV422" s="31" t="n">
        <f aca="false">R422</f>
        <v>0</v>
      </c>
      <c r="BW422" s="31" t="n">
        <f aca="false">X422</f>
        <v>0</v>
      </c>
      <c r="BX422" s="31" t="n">
        <f aca="false">S422</f>
        <v>0</v>
      </c>
      <c r="BY422" s="31" t="n">
        <f aca="false">Y422</f>
        <v>0</v>
      </c>
      <c r="BZ422" s="32" t="n">
        <f aca="false">IF(BJ422=0,IF(BR422=0,0,1),(BR422-BJ422)/BJ422)</f>
        <v>0</v>
      </c>
      <c r="CA422" s="32" t="n">
        <f aca="false">IF(BK422=0,IF(BS422=0,0,1),(BS422-BK422)/BK422)</f>
        <v>0</v>
      </c>
      <c r="CB422" s="32" t="n">
        <f aca="false">IF(BL422=0,IF(BT422=0,0,1),(BT422-BL422)/BL422)</f>
        <v>0</v>
      </c>
      <c r="CC422" s="32" t="n">
        <f aca="false">IF(BM422=0,IF(BU422=0,0,1),(BU422-BM422)/BM422)</f>
        <v>0</v>
      </c>
      <c r="CD422" s="32" t="n">
        <f aca="false">IF(BN422=0,IF(BV422=0,0,1),(BV422-BN422)/BN422)</f>
        <v>0</v>
      </c>
      <c r="CE422" s="32" t="n">
        <f aca="false">IF(BO422=0,IF(BW422=0,0,1),(BW422-BO422)/BO422)</f>
        <v>0</v>
      </c>
      <c r="CF422" s="32" t="n">
        <f aca="false">IF(BP422=0,IF(BX422=0,0,1),(BX422-BP422)/BP422)</f>
        <v>0</v>
      </c>
      <c r="CG422" s="32" t="n">
        <f aca="false">IF(BQ422=0,IF(BY422=0,0,1),(BY422-BQ422)/BQ422)</f>
        <v>0</v>
      </c>
      <c r="CH422" s="32" t="n">
        <f aca="false">MAX(MAX(BZ422:CG422),-MIN(BZ422:CG422))</f>
        <v>-0</v>
      </c>
      <c r="CI422" s="31" t="str">
        <f aca="false">IF(CO422="","",SUMIFS($CJ$7:$CJ$696,$A$7:$A$696,CO422,$B$7:$B$696,B422))</f>
        <v/>
      </c>
      <c r="CJ422" s="31" t="n">
        <f aca="false">SUM(AY422:BI422)</f>
        <v>116979600</v>
      </c>
      <c r="CK422" s="31" t="str">
        <f aca="false">IFERROR(INDEX(設定!$F$61:$F$106,MATCH(B422,設定!$B$61:$B$106,0)),"Y")</f>
        <v>Y</v>
      </c>
      <c r="CL422" s="31" t="str">
        <f aca="false">IFERROR(INDEX(設定!$G$61:$G$106,MATCH(B422,設定!$B$61:$B$106,0)),"外郭型")</f>
        <v>市局型</v>
      </c>
      <c r="CM422" s="33" t="str">
        <f aca="false">A422&amp;"|"&amp;B422</f>
        <v>2026-12 賞与|下水道局</v>
      </c>
      <c r="CN422" s="34" t="str">
        <f aca="false">IFERROR(INDEX(設定!$D$61:$D$106,MATCH(B422,設定!$B$61:$B$106,0)),"Y")</f>
        <v>Y</v>
      </c>
      <c r="CO422" s="34" t="str">
        <f aca="false">IFERROR(INDEX(設定!$D$20:$D$34,MATCH(A422,設定!$A$20:$A$34,0))&amp;"","")</f>
        <v/>
      </c>
    </row>
    <row r="423" customFormat="false" ht="15" hidden="true" customHeight="false" outlineLevel="0" collapsed="false">
      <c r="A423" s="22" t="s">
        <v>225</v>
      </c>
      <c r="B423" s="23" t="s">
        <v>170</v>
      </c>
      <c r="C423" s="10" t="str">
        <f aca="false">IF(G423="","未受領",IF(G423="なし","報告なし",IF(AL423="○","起票済",IF(OR(AK423="○",F423="一致",F423="入金不要"),"入金確認済","受領済"))))</f>
        <v>未受領</v>
      </c>
      <c r="D423" s="10" t="str">
        <f aca="false">IF(OR(G423="",G423="なし"),"―",IF(CN423="N","対象外",IF(AND(I423="",J423="",K423=""),"標報未入力",IF(CH423&gt;=設定!$B$4,"要確認","問題なし"))))</f>
        <v>―</v>
      </c>
      <c r="E423" s="24" t="str">
        <f aca="false">IF(OR(G423="",G423="なし",CI423="",CJ423=0),"―",IF(CJ423=CI423,"前月同額",IF(CI423=0,"―",IF(ABS(CJ423/CI423-1)&gt;=設定!$B$5,"変動大 "&amp;TEXT(CJ423/CI423-1,"+0%;-0%"),"〇"))))</f>
        <v>―</v>
      </c>
      <c r="F423" s="10" t="str">
        <f aca="false">IF(OR(G423="",G423="なし"),"―",IF(CJ423=0,"入金不要",IF(COUNT(AD423,AF423,AH423,AJ423)=0,IF(AK423="○","手動確認","未入金"),IF(AND(N(AD423)=AC423,IF(AE423="",TRUE(),N(AF423)=AE423),IF(AG423="",TRUE(),N(AH423)=AG423),IF(AI423="",TRUE(),N(AJ423)=AI423)),"一致","不一致"))))</f>
        <v>―</v>
      </c>
      <c r="G423" s="25"/>
      <c r="H423" s="26"/>
      <c r="I423" s="27"/>
      <c r="J423" s="27"/>
      <c r="K423" s="27"/>
      <c r="L423" s="27"/>
      <c r="M423" s="27"/>
      <c r="N423" s="27"/>
      <c r="O423" s="27"/>
      <c r="P423" s="27"/>
      <c r="Q423" s="27"/>
      <c r="R423" s="27"/>
      <c r="S423" s="27"/>
      <c r="T423" s="27"/>
      <c r="U423" s="27"/>
      <c r="V423" s="27"/>
      <c r="W423" s="27"/>
      <c r="X423" s="27"/>
      <c r="Y423" s="27"/>
      <c r="Z423" s="27"/>
      <c r="AA423" s="10" t="str">
        <f aca="false">IFERROR(INDEX(設定!$E$61:$E$106,MATCH(B423,設定!$B$61:$B$106,0)),"合算")</f>
        <v>合算</v>
      </c>
      <c r="AB423" s="28"/>
      <c r="AC423" s="29" t="str">
        <f aca="false">IF(OR(G423="",G423="なし"),"",IF(AA423="合算",CJ423+N(Z423),IF(AA423="掛金・負担金別",(AY423+AZ423+BD423+BF423+BH423),SUM(AY423:BC423))))</f>
        <v/>
      </c>
      <c r="AD423" s="27"/>
      <c r="AE423" s="29" t="str">
        <f aca="false">IF(OR(G423="",G423="なし"),"",IF(AA423="掛金・負担金別",(BA423+BB423+BC423+BE423+BG423+BI423+N(Z423)),IF(AA423="経理区分別",BD423+BE423,"")))</f>
        <v/>
      </c>
      <c r="AF423" s="27"/>
      <c r="AG423" s="29" t="str">
        <f aca="false">IF(OR(G423="",G423="なし"),"",IF(AA423="経理区分別",BF423+BG423,""))</f>
        <v/>
      </c>
      <c r="AH423" s="27"/>
      <c r="AI423" s="29" t="str">
        <f aca="false">IF(OR(G423="",G423="なし"),"",IF(AA423="経理区分別",BH423+BI423+N(Z423),""))</f>
        <v/>
      </c>
      <c r="AJ423" s="27"/>
      <c r="AK423" s="26"/>
      <c r="AL423" s="26"/>
      <c r="AM423" s="30"/>
      <c r="AN423" s="31" t="n">
        <v>93890932</v>
      </c>
      <c r="AO423" s="31" t="n">
        <v>7695676</v>
      </c>
      <c r="AP423" s="31" t="n">
        <v>136397911</v>
      </c>
      <c r="AQ423" s="31" t="n">
        <v>7675343</v>
      </c>
      <c r="AR423" s="31" t="n">
        <v>96295</v>
      </c>
      <c r="AS423" s="31" t="n">
        <v>57727100</v>
      </c>
      <c r="AT423" s="31" t="n">
        <v>58597723</v>
      </c>
      <c r="AU423" s="31" t="n">
        <v>3696794</v>
      </c>
      <c r="AV423" s="31" t="n">
        <v>3682228</v>
      </c>
      <c r="AW423" s="31" t="n">
        <v>1</v>
      </c>
      <c r="AX423" s="31" t="n">
        <v>1</v>
      </c>
      <c r="AY423" s="31" t="n">
        <f aca="false">IF($G423="",AN423,O423)</f>
        <v>93890932</v>
      </c>
      <c r="AZ423" s="31" t="n">
        <f aca="false">IF($G423="",AO423,P423)</f>
        <v>7695676</v>
      </c>
      <c r="BA423" s="31" t="n">
        <f aca="false">IF($G423="",AP423,T423)</f>
        <v>136397911</v>
      </c>
      <c r="BB423" s="31" t="n">
        <f aca="false">IF($G423="",AQ423,U423)</f>
        <v>7675343</v>
      </c>
      <c r="BC423" s="31" t="n">
        <f aca="false">IF($G423="",AR423,V423)</f>
        <v>96295</v>
      </c>
      <c r="BD423" s="31" t="n">
        <f aca="false">IF($G423="",AS423,Q423)</f>
        <v>57727100</v>
      </c>
      <c r="BE423" s="31" t="n">
        <f aca="false">IF($G423="",AT423,W423)</f>
        <v>58597723</v>
      </c>
      <c r="BF423" s="31" t="n">
        <f aca="false">IF($G423="",AU423,R423)</f>
        <v>3696794</v>
      </c>
      <c r="BG423" s="31" t="n">
        <f aca="false">IF($G423="",AV423,X423)</f>
        <v>3682228</v>
      </c>
      <c r="BH423" s="31" t="n">
        <f aca="false">IF($G423="",AW423,S423)</f>
        <v>1</v>
      </c>
      <c r="BI423" s="31" t="n">
        <f aca="false">IF($G423="",AX423,Y423)</f>
        <v>1</v>
      </c>
      <c r="BJ423" s="31" t="n">
        <f aca="false">IF(CK423="N",BR423,ROUNDDOWN((I423-L423)*設定!$B$10/1000,0)+ROUNDDOWN((I423-L423)*設定!$B$11/1000,0))</f>
        <v>0</v>
      </c>
      <c r="BK423" s="31" t="n">
        <f aca="false">ROUNDDOWN((I423-L423)*設定!$C$10/1000,0)+ROUNDDOWN((I423-L423)*設定!$C$11/1000,0)+ROUNDDOWN(I423*設定!$C$12/1000,0)+IF(CL423="市局型",ROUNDDOWN(I423*設定!$C$16/1000,0),0)</f>
        <v>0</v>
      </c>
      <c r="BL423" s="31" t="n">
        <f aca="false">IF(CK423="N",BT423,ROUNDDOWN((J423-M423)*設定!$B$13/1000,0))</f>
        <v>0</v>
      </c>
      <c r="BM423" s="31" t="n">
        <f aca="false">ROUNDDOWN((J423-M423)*設定!$C$13/1000,0)+IF(CL423="市局型",ROUNDDOWN(J423*設定!$C$17/1000,0),0)</f>
        <v>0</v>
      </c>
      <c r="BN423" s="31" t="n">
        <f aca="false">IF(CK423="N",BV423,ROUNDDOWN((K423-N423)*設定!$B$14/1000,0))</f>
        <v>0</v>
      </c>
      <c r="BO423" s="31" t="n">
        <f aca="false">ROUNDDOWN((K423-N423)*設定!$C$14/1000,0)</f>
        <v>0</v>
      </c>
      <c r="BP423" s="31" t="n">
        <f aca="false">IF(CK423="N",BX423,ROUNDDOWN((J423-M423)*設定!$B$15/1000,0))</f>
        <v>0</v>
      </c>
      <c r="BQ423" s="31" t="n">
        <f aca="false">ROUNDDOWN((J423-M423)*設定!$C$15/1000,0)</f>
        <v>0</v>
      </c>
      <c r="BR423" s="31" t="n">
        <f aca="false">O423+P423</f>
        <v>0</v>
      </c>
      <c r="BS423" s="31" t="n">
        <f aca="false">T423+U423+V423</f>
        <v>0</v>
      </c>
      <c r="BT423" s="31" t="n">
        <f aca="false">Q423</f>
        <v>0</v>
      </c>
      <c r="BU423" s="31" t="n">
        <f aca="false">W423</f>
        <v>0</v>
      </c>
      <c r="BV423" s="31" t="n">
        <f aca="false">R423</f>
        <v>0</v>
      </c>
      <c r="BW423" s="31" t="n">
        <f aca="false">X423</f>
        <v>0</v>
      </c>
      <c r="BX423" s="31" t="n">
        <f aca="false">S423</f>
        <v>0</v>
      </c>
      <c r="BY423" s="31" t="n">
        <f aca="false">Y423</f>
        <v>0</v>
      </c>
      <c r="BZ423" s="32" t="n">
        <f aca="false">IF(BJ423=0,IF(BR423=0,0,1),(BR423-BJ423)/BJ423)</f>
        <v>0</v>
      </c>
      <c r="CA423" s="32" t="n">
        <f aca="false">IF(BK423=0,IF(BS423=0,0,1),(BS423-BK423)/BK423)</f>
        <v>0</v>
      </c>
      <c r="CB423" s="32" t="n">
        <f aca="false">IF(BL423=0,IF(BT423=0,0,1),(BT423-BL423)/BL423)</f>
        <v>0</v>
      </c>
      <c r="CC423" s="32" t="n">
        <f aca="false">IF(BM423=0,IF(BU423=0,0,1),(BU423-BM423)/BM423)</f>
        <v>0</v>
      </c>
      <c r="CD423" s="32" t="n">
        <f aca="false">IF(BN423=0,IF(BV423=0,0,1),(BV423-BN423)/BN423)</f>
        <v>0</v>
      </c>
      <c r="CE423" s="32" t="n">
        <f aca="false">IF(BO423=0,IF(BW423=0,0,1),(BW423-BO423)/BO423)</f>
        <v>0</v>
      </c>
      <c r="CF423" s="32" t="n">
        <f aca="false">IF(BP423=0,IF(BX423=0,0,1),(BX423-BP423)/BP423)</f>
        <v>0</v>
      </c>
      <c r="CG423" s="32" t="n">
        <f aca="false">IF(BQ423=0,IF(BY423=0,0,1),(BY423-BQ423)/BQ423)</f>
        <v>0</v>
      </c>
      <c r="CH423" s="32" t="n">
        <f aca="false">MAX(MAX(BZ423:CG423),-MIN(BZ423:CG423))</f>
        <v>-0</v>
      </c>
      <c r="CI423" s="31" t="str">
        <f aca="false">IF(CO423="","",SUMIFS($CJ$7:$CJ$696,$A$7:$A$696,CO423,$B$7:$B$696,B423))</f>
        <v/>
      </c>
      <c r="CJ423" s="31" t="n">
        <f aca="false">SUM(AY423:BI423)</f>
        <v>369460004</v>
      </c>
      <c r="CK423" s="31" t="str">
        <f aca="false">IFERROR(INDEX(設定!$F$61:$F$106,MATCH(B423,設定!$B$61:$B$106,0)),"Y")</f>
        <v>Y</v>
      </c>
      <c r="CL423" s="31" t="str">
        <f aca="false">IFERROR(INDEX(設定!$G$61:$G$106,MATCH(B423,設定!$B$61:$B$106,0)),"外郭型")</f>
        <v>市局型</v>
      </c>
      <c r="CM423" s="33" t="str">
        <f aca="false">A423&amp;"|"&amp;B423</f>
        <v>2026-12 賞与|消防局</v>
      </c>
      <c r="CN423" s="34" t="str">
        <f aca="false">IFERROR(INDEX(設定!$D$61:$D$106,MATCH(B423,設定!$B$61:$B$106,0)),"Y")</f>
        <v>N</v>
      </c>
      <c r="CO423" s="34" t="str">
        <f aca="false">IFERROR(INDEX(設定!$D$20:$D$34,MATCH(A423,設定!$A$20:$A$34,0))&amp;"","")</f>
        <v/>
      </c>
    </row>
    <row r="424" customFormat="false" ht="15" hidden="true" customHeight="false" outlineLevel="0" collapsed="false">
      <c r="A424" s="22" t="s">
        <v>225</v>
      </c>
      <c r="B424" s="23" t="s">
        <v>171</v>
      </c>
      <c r="C424" s="10" t="str">
        <f aca="false">IF(G424="","未受領",IF(G424="なし","報告なし",IF(AL424="○","起票済",IF(OR(AK424="○",F424="一致",F424="入金不要"),"入金確認済","受領済"))))</f>
        <v>未受領</v>
      </c>
      <c r="D424" s="10" t="str">
        <f aca="false">IF(OR(G424="",G424="なし"),"―",IF(CN424="N","対象外",IF(AND(I424="",J424="",K424=""),"標報未入力",IF(CH424&gt;=設定!$B$4,"要確認","問題なし"))))</f>
        <v>―</v>
      </c>
      <c r="E424" s="24" t="str">
        <f aca="false">IF(OR(G424="",G424="なし",CI424="",CJ424=0),"―",IF(CJ424=CI424,"前月同額",IF(CI424=0,"―",IF(ABS(CJ424/CI424-1)&gt;=設定!$B$5,"変動大 "&amp;TEXT(CJ424/CI424-1,"+0%;-0%"),"〇"))))</f>
        <v>―</v>
      </c>
      <c r="F424" s="10" t="str">
        <f aca="false">IF(OR(G424="",G424="なし"),"―",IF(CJ424=0,"入金不要",IF(COUNT(AD424,AF424,AH424,AJ424)=0,IF(AK424="○","手動確認","未入金"),IF(AND(N(AD424)=AC424,IF(AE424="",TRUE(),N(AF424)=AE424),IF(AG424="",TRUE(),N(AH424)=AG424),IF(AI424="",TRUE(),N(AJ424)=AI424)),"一致","不一致"))))</f>
        <v>―</v>
      </c>
      <c r="G424" s="25"/>
      <c r="H424" s="26"/>
      <c r="I424" s="27"/>
      <c r="J424" s="27"/>
      <c r="K424" s="27"/>
      <c r="L424" s="27"/>
      <c r="M424" s="27"/>
      <c r="N424" s="27"/>
      <c r="O424" s="27"/>
      <c r="P424" s="27"/>
      <c r="Q424" s="27"/>
      <c r="R424" s="27"/>
      <c r="S424" s="27"/>
      <c r="T424" s="27"/>
      <c r="U424" s="27"/>
      <c r="V424" s="27"/>
      <c r="W424" s="27"/>
      <c r="X424" s="27"/>
      <c r="Y424" s="27"/>
      <c r="Z424" s="27"/>
      <c r="AA424" s="10" t="str">
        <f aca="false">IFERROR(INDEX(設定!$E$61:$E$106,MATCH(B424,設定!$B$61:$B$106,0)),"合算")</f>
        <v>合算</v>
      </c>
      <c r="AB424" s="28"/>
      <c r="AC424" s="29" t="str">
        <f aca="false">IF(OR(G424="",G424="なし"),"",IF(AA424="合算",CJ424+N(Z424),IF(AA424="掛金・負担金別",(AY424+AZ424+BD424+BF424+BH424),SUM(AY424:BC424))))</f>
        <v/>
      </c>
      <c r="AD424" s="27"/>
      <c r="AE424" s="29" t="str">
        <f aca="false">IF(OR(G424="",G424="なし"),"",IF(AA424="掛金・負担金別",(BA424+BB424+BC424+BE424+BG424+BI424+N(Z424)),IF(AA424="経理区分別",BD424+BE424,"")))</f>
        <v/>
      </c>
      <c r="AF424" s="27"/>
      <c r="AG424" s="29" t="str">
        <f aca="false">IF(OR(G424="",G424="なし"),"",IF(AA424="経理区分別",BF424+BG424,""))</f>
        <v/>
      </c>
      <c r="AH424" s="27"/>
      <c r="AI424" s="29" t="str">
        <f aca="false">IF(OR(G424="",G424="なし"),"",IF(AA424="経理区分別",BH424+BI424+N(Z424),""))</f>
        <v/>
      </c>
      <c r="AJ424" s="27"/>
      <c r="AK424" s="26"/>
      <c r="AL424" s="26"/>
      <c r="AM424" s="30"/>
      <c r="AN424" s="31" t="n">
        <v>3447894</v>
      </c>
      <c r="AO424" s="31" t="n">
        <v>282606</v>
      </c>
      <c r="AP424" s="31" t="n">
        <v>5011706</v>
      </c>
      <c r="AQ424" s="31" t="n">
        <v>282615</v>
      </c>
      <c r="AR424" s="31" t="n">
        <v>3538</v>
      </c>
      <c r="AS424" s="31" t="n">
        <v>2082544</v>
      </c>
      <c r="AT424" s="31" t="n">
        <v>2119290</v>
      </c>
      <c r="AU424" s="31" t="n">
        <v>204837</v>
      </c>
      <c r="AV424" s="31" t="n">
        <v>204847</v>
      </c>
      <c r="AW424" s="31" t="n">
        <v>1</v>
      </c>
      <c r="AX424" s="31" t="n">
        <v>1</v>
      </c>
      <c r="AY424" s="31" t="n">
        <f aca="false">IF($G424="",AN424,O424)</f>
        <v>3447894</v>
      </c>
      <c r="AZ424" s="31" t="n">
        <f aca="false">IF($G424="",AO424,P424)</f>
        <v>282606</v>
      </c>
      <c r="BA424" s="31" t="n">
        <f aca="false">IF($G424="",AP424,T424)</f>
        <v>5011706</v>
      </c>
      <c r="BB424" s="31" t="n">
        <f aca="false">IF($G424="",AQ424,U424)</f>
        <v>282615</v>
      </c>
      <c r="BC424" s="31" t="n">
        <f aca="false">IF($G424="",AR424,V424)</f>
        <v>3538</v>
      </c>
      <c r="BD424" s="31" t="n">
        <f aca="false">IF($G424="",AS424,Q424)</f>
        <v>2082544</v>
      </c>
      <c r="BE424" s="31" t="n">
        <f aca="false">IF($G424="",AT424,W424)</f>
        <v>2119290</v>
      </c>
      <c r="BF424" s="31" t="n">
        <f aca="false">IF($G424="",AU424,R424)</f>
        <v>204837</v>
      </c>
      <c r="BG424" s="31" t="n">
        <f aca="false">IF($G424="",AV424,X424)</f>
        <v>204847</v>
      </c>
      <c r="BH424" s="31" t="n">
        <f aca="false">IF($G424="",AW424,S424)</f>
        <v>1</v>
      </c>
      <c r="BI424" s="31" t="n">
        <f aca="false">IF($G424="",AX424,Y424)</f>
        <v>1</v>
      </c>
      <c r="BJ424" s="31" t="n">
        <f aca="false">IF(CK424="N",BR424,ROUNDDOWN((I424-L424)*設定!$B$10/1000,0)+ROUNDDOWN((I424-L424)*設定!$B$11/1000,0))</f>
        <v>0</v>
      </c>
      <c r="BK424" s="31" t="n">
        <f aca="false">ROUNDDOWN((I424-L424)*設定!$C$10/1000,0)+ROUNDDOWN((I424-L424)*設定!$C$11/1000,0)+ROUNDDOWN(I424*設定!$C$12/1000,0)+IF(CL424="市局型",ROUNDDOWN(I424*設定!$C$16/1000,0),0)</f>
        <v>0</v>
      </c>
      <c r="BL424" s="31" t="n">
        <f aca="false">IF(CK424="N",BT424,ROUNDDOWN((J424-M424)*設定!$B$13/1000,0))</f>
        <v>0</v>
      </c>
      <c r="BM424" s="31" t="n">
        <f aca="false">ROUNDDOWN((J424-M424)*設定!$C$13/1000,0)+IF(CL424="市局型",ROUNDDOWN(J424*設定!$C$17/1000,0),0)</f>
        <v>0</v>
      </c>
      <c r="BN424" s="31" t="n">
        <f aca="false">IF(CK424="N",BV424,ROUNDDOWN((K424-N424)*設定!$B$14/1000,0))</f>
        <v>0</v>
      </c>
      <c r="BO424" s="31" t="n">
        <f aca="false">ROUNDDOWN((K424-N424)*設定!$C$14/1000,0)</f>
        <v>0</v>
      </c>
      <c r="BP424" s="31" t="n">
        <f aca="false">IF(CK424="N",BX424,ROUNDDOWN((J424-M424)*設定!$B$15/1000,0))</f>
        <v>0</v>
      </c>
      <c r="BQ424" s="31" t="n">
        <f aca="false">ROUNDDOWN((J424-M424)*設定!$C$15/1000,0)</f>
        <v>0</v>
      </c>
      <c r="BR424" s="31" t="n">
        <f aca="false">O424+P424</f>
        <v>0</v>
      </c>
      <c r="BS424" s="31" t="n">
        <f aca="false">T424+U424+V424</f>
        <v>0</v>
      </c>
      <c r="BT424" s="31" t="n">
        <f aca="false">Q424</f>
        <v>0</v>
      </c>
      <c r="BU424" s="31" t="n">
        <f aca="false">W424</f>
        <v>0</v>
      </c>
      <c r="BV424" s="31" t="n">
        <f aca="false">R424</f>
        <v>0</v>
      </c>
      <c r="BW424" s="31" t="n">
        <f aca="false">X424</f>
        <v>0</v>
      </c>
      <c r="BX424" s="31" t="n">
        <f aca="false">S424</f>
        <v>0</v>
      </c>
      <c r="BY424" s="31" t="n">
        <f aca="false">Y424</f>
        <v>0</v>
      </c>
      <c r="BZ424" s="32" t="n">
        <f aca="false">IF(BJ424=0,IF(BR424=0,0,1),(BR424-BJ424)/BJ424)</f>
        <v>0</v>
      </c>
      <c r="CA424" s="32" t="n">
        <f aca="false">IF(BK424=0,IF(BS424=0,0,1),(BS424-BK424)/BK424)</f>
        <v>0</v>
      </c>
      <c r="CB424" s="32" t="n">
        <f aca="false">IF(BL424=0,IF(BT424=0,0,1),(BT424-BL424)/BL424)</f>
        <v>0</v>
      </c>
      <c r="CC424" s="32" t="n">
        <f aca="false">IF(BM424=0,IF(BU424=0,0,1),(BU424-BM424)/BM424)</f>
        <v>0</v>
      </c>
      <c r="CD424" s="32" t="n">
        <f aca="false">IF(BN424=0,IF(BV424=0,0,1),(BV424-BN424)/BN424)</f>
        <v>0</v>
      </c>
      <c r="CE424" s="32" t="n">
        <f aca="false">IF(BO424=0,IF(BW424=0,0,1),(BW424-BO424)/BO424)</f>
        <v>0</v>
      </c>
      <c r="CF424" s="32" t="n">
        <f aca="false">IF(BP424=0,IF(BX424=0,0,1),(BX424-BP424)/BP424)</f>
        <v>0</v>
      </c>
      <c r="CG424" s="32" t="n">
        <f aca="false">IF(BQ424=0,IF(BY424=0,0,1),(BY424-BQ424)/BQ424)</f>
        <v>0</v>
      </c>
      <c r="CH424" s="32" t="n">
        <f aca="false">MAX(MAX(BZ424:CG424),-MIN(BZ424:CG424))</f>
        <v>-0</v>
      </c>
      <c r="CI424" s="31" t="str">
        <f aca="false">IF(CO424="","",SUMIFS($CJ$7:$CJ$696,$A$7:$A$696,CO424,$B$7:$B$696,B424))</f>
        <v/>
      </c>
      <c r="CJ424" s="31" t="n">
        <f aca="false">SUM(AY424:BI424)</f>
        <v>13639879</v>
      </c>
      <c r="CK424" s="31" t="str">
        <f aca="false">IFERROR(INDEX(設定!$F$61:$F$106,MATCH(B424,設定!$B$61:$B$106,0)),"Y")</f>
        <v>Y</v>
      </c>
      <c r="CL424" s="31" t="str">
        <f aca="false">IFERROR(INDEX(設定!$G$61:$G$106,MATCH(B424,設定!$B$61:$B$106,0)),"外郭型")</f>
        <v>市局型</v>
      </c>
      <c r="CM424" s="33" t="str">
        <f aca="false">A424&amp;"|"&amp;B424</f>
        <v>2026-12 賞与|議会事務局</v>
      </c>
      <c r="CN424" s="34" t="str">
        <f aca="false">IFERROR(INDEX(設定!$D$61:$D$106,MATCH(B424,設定!$B$61:$B$106,0)),"Y")</f>
        <v>Y</v>
      </c>
      <c r="CO424" s="34" t="str">
        <f aca="false">IFERROR(INDEX(設定!$D$20:$D$34,MATCH(A424,設定!$A$20:$A$34,0))&amp;"","")</f>
        <v/>
      </c>
    </row>
    <row r="425" customFormat="false" ht="15" hidden="true" customHeight="false" outlineLevel="0" collapsed="false">
      <c r="A425" s="22" t="s">
        <v>225</v>
      </c>
      <c r="B425" s="23" t="s">
        <v>172</v>
      </c>
      <c r="C425" s="10" t="str">
        <f aca="false">IF(G425="","未受領",IF(G425="なし","報告なし",IF(AL425="○","起票済",IF(OR(AK425="○",F425="一致",F425="入金不要"),"入金確認済","受領済"))))</f>
        <v>未受領</v>
      </c>
      <c r="D425" s="10" t="str">
        <f aca="false">IF(OR(G425="",G425="なし"),"―",IF(CN425="N","対象外",IF(AND(I425="",J425="",K425=""),"標報未入力",IF(CH425&gt;=設定!$B$4,"要確認","問題なし"))))</f>
        <v>―</v>
      </c>
      <c r="E425" s="24" t="str">
        <f aca="false">IF(OR(G425="",G425="なし",CI425="",CJ425=0),"―",IF(CJ425=CI425,"前月同額",IF(CI425=0,"―",IF(ABS(CJ425/CI425-1)&gt;=設定!$B$5,"変動大 "&amp;TEXT(CJ425/CI425-1,"+0%;-0%"),"〇"))))</f>
        <v>―</v>
      </c>
      <c r="F425" s="10" t="str">
        <f aca="false">IF(OR(G425="",G425="なし"),"―",IF(CJ425=0,"入金不要",IF(COUNT(AD425,AF425,AH425,AJ425)=0,IF(AK425="○","手動確認","未入金"),IF(AND(N(AD425)=AC425,IF(AE425="",TRUE(),N(AF425)=AE425),IF(AG425="",TRUE(),N(AH425)=AG425),IF(AI425="",TRUE(),N(AJ425)=AI425)),"一致","不一致"))))</f>
        <v>―</v>
      </c>
      <c r="G425" s="25"/>
      <c r="H425" s="26"/>
      <c r="I425" s="27"/>
      <c r="J425" s="27"/>
      <c r="K425" s="27"/>
      <c r="L425" s="27"/>
      <c r="M425" s="27"/>
      <c r="N425" s="27"/>
      <c r="O425" s="27"/>
      <c r="P425" s="27"/>
      <c r="Q425" s="27"/>
      <c r="R425" s="27"/>
      <c r="S425" s="27"/>
      <c r="T425" s="27"/>
      <c r="U425" s="27"/>
      <c r="V425" s="27"/>
      <c r="W425" s="27"/>
      <c r="X425" s="27"/>
      <c r="Y425" s="27"/>
      <c r="Z425" s="27"/>
      <c r="AA425" s="10" t="str">
        <f aca="false">IFERROR(INDEX(設定!$E$61:$E$106,MATCH(B425,設定!$B$61:$B$106,0)),"合算")</f>
        <v>合算</v>
      </c>
      <c r="AB425" s="28"/>
      <c r="AC425" s="29" t="str">
        <f aca="false">IF(OR(G425="",G425="なし"),"",IF(AA425="合算",CJ425+N(Z425),IF(AA425="掛金・負担金別",(AY425+AZ425+BD425+BF425+BH425),SUM(AY425:BC425))))</f>
        <v/>
      </c>
      <c r="AD425" s="27"/>
      <c r="AE425" s="29" t="str">
        <f aca="false">IF(OR(G425="",G425="なし"),"",IF(AA425="掛金・負担金別",(BA425+BB425+BC425+BE425+BG425+BI425+N(Z425)),IF(AA425="経理区分別",BD425+BE425,"")))</f>
        <v/>
      </c>
      <c r="AF425" s="27"/>
      <c r="AG425" s="29" t="str">
        <f aca="false">IF(OR(G425="",G425="なし"),"",IF(AA425="経理区分別",BF425+BG425,""))</f>
        <v/>
      </c>
      <c r="AH425" s="27"/>
      <c r="AI425" s="29" t="str">
        <f aca="false">IF(OR(G425="",G425="なし"),"",IF(AA425="経理区分別",BH425+BI425+N(Z425),""))</f>
        <v/>
      </c>
      <c r="AJ425" s="27"/>
      <c r="AK425" s="26"/>
      <c r="AL425" s="26"/>
      <c r="AM425" s="30"/>
      <c r="AN425" s="31" t="n">
        <v>45885450</v>
      </c>
      <c r="AO425" s="31" t="n">
        <v>3760962</v>
      </c>
      <c r="AP425" s="31" t="n">
        <v>66761387</v>
      </c>
      <c r="AQ425" s="31" t="n">
        <v>3761114</v>
      </c>
      <c r="AR425" s="31" t="n">
        <v>47227</v>
      </c>
      <c r="AS425" s="31" t="n">
        <v>46934335</v>
      </c>
      <c r="AT425" s="31" t="n">
        <v>47766260</v>
      </c>
      <c r="AU425" s="31" t="n">
        <v>5175632</v>
      </c>
      <c r="AV425" s="31" t="n">
        <v>5176190</v>
      </c>
      <c r="AW425" s="31" t="n">
        <v>1</v>
      </c>
      <c r="AX425" s="31" t="n">
        <v>1</v>
      </c>
      <c r="AY425" s="31" t="n">
        <f aca="false">IF($G425="",AN425,O425)</f>
        <v>45885450</v>
      </c>
      <c r="AZ425" s="31" t="n">
        <f aca="false">IF($G425="",AO425,P425)</f>
        <v>3760962</v>
      </c>
      <c r="BA425" s="31" t="n">
        <f aca="false">IF($G425="",AP425,T425)</f>
        <v>66761387</v>
      </c>
      <c r="BB425" s="31" t="n">
        <f aca="false">IF($G425="",AQ425,U425)</f>
        <v>3761114</v>
      </c>
      <c r="BC425" s="31" t="n">
        <f aca="false">IF($G425="",AR425,V425)</f>
        <v>47227</v>
      </c>
      <c r="BD425" s="31" t="n">
        <f aca="false">IF($G425="",AS425,Q425)</f>
        <v>46934335</v>
      </c>
      <c r="BE425" s="31" t="n">
        <f aca="false">IF($G425="",AT425,W425)</f>
        <v>47766260</v>
      </c>
      <c r="BF425" s="31" t="n">
        <f aca="false">IF($G425="",AU425,R425)</f>
        <v>5175632</v>
      </c>
      <c r="BG425" s="31" t="n">
        <f aca="false">IF($G425="",AV425,X425)</f>
        <v>5176190</v>
      </c>
      <c r="BH425" s="31" t="n">
        <f aca="false">IF($G425="",AW425,S425)</f>
        <v>1</v>
      </c>
      <c r="BI425" s="31" t="n">
        <f aca="false">IF($G425="",AX425,Y425)</f>
        <v>1</v>
      </c>
      <c r="BJ425" s="31" t="n">
        <f aca="false">IF(CK425="N",BR425,ROUNDDOWN((I425-L425)*設定!$B$10/1000,0)+ROUNDDOWN((I425-L425)*設定!$B$11/1000,0))</f>
        <v>0</v>
      </c>
      <c r="BK425" s="31" t="n">
        <f aca="false">ROUNDDOWN((I425-L425)*設定!$C$10/1000,0)+ROUNDDOWN((I425-L425)*設定!$C$11/1000,0)+ROUNDDOWN(I425*設定!$C$12/1000,0)+IF(CL425="市局型",ROUNDDOWN(I425*設定!$C$16/1000,0),0)</f>
        <v>0</v>
      </c>
      <c r="BL425" s="31" t="n">
        <f aca="false">IF(CK425="N",BT425,ROUNDDOWN((J425-M425)*設定!$B$13/1000,0))</f>
        <v>0</v>
      </c>
      <c r="BM425" s="31" t="n">
        <f aca="false">ROUNDDOWN((J425-M425)*設定!$C$13/1000,0)+IF(CL425="市局型",ROUNDDOWN(J425*設定!$C$17/1000,0),0)</f>
        <v>0</v>
      </c>
      <c r="BN425" s="31" t="n">
        <f aca="false">IF(CK425="N",BV425,ROUNDDOWN((K425-N425)*設定!$B$14/1000,0))</f>
        <v>0</v>
      </c>
      <c r="BO425" s="31" t="n">
        <f aca="false">ROUNDDOWN((K425-N425)*設定!$C$14/1000,0)</f>
        <v>0</v>
      </c>
      <c r="BP425" s="31" t="n">
        <f aca="false">IF(CK425="N",BX425,ROUNDDOWN((J425-M425)*設定!$B$15/1000,0))</f>
        <v>0</v>
      </c>
      <c r="BQ425" s="31" t="n">
        <f aca="false">ROUNDDOWN((J425-M425)*設定!$C$15/1000,0)</f>
        <v>0</v>
      </c>
      <c r="BR425" s="31" t="n">
        <f aca="false">O425+P425</f>
        <v>0</v>
      </c>
      <c r="BS425" s="31" t="n">
        <f aca="false">T425+U425+V425</f>
        <v>0</v>
      </c>
      <c r="BT425" s="31" t="n">
        <f aca="false">Q425</f>
        <v>0</v>
      </c>
      <c r="BU425" s="31" t="n">
        <f aca="false">W425</f>
        <v>0</v>
      </c>
      <c r="BV425" s="31" t="n">
        <f aca="false">R425</f>
        <v>0</v>
      </c>
      <c r="BW425" s="31" t="n">
        <f aca="false">X425</f>
        <v>0</v>
      </c>
      <c r="BX425" s="31" t="n">
        <f aca="false">S425</f>
        <v>0</v>
      </c>
      <c r="BY425" s="31" t="n">
        <f aca="false">Y425</f>
        <v>0</v>
      </c>
      <c r="BZ425" s="32" t="n">
        <f aca="false">IF(BJ425=0,IF(BR425=0,0,1),(BR425-BJ425)/BJ425)</f>
        <v>0</v>
      </c>
      <c r="CA425" s="32" t="n">
        <f aca="false">IF(BK425=0,IF(BS425=0,0,1),(BS425-BK425)/BK425)</f>
        <v>0</v>
      </c>
      <c r="CB425" s="32" t="n">
        <f aca="false">IF(BL425=0,IF(BT425=0,0,1),(BT425-BL425)/BL425)</f>
        <v>0</v>
      </c>
      <c r="CC425" s="32" t="n">
        <f aca="false">IF(BM425=0,IF(BU425=0,0,1),(BU425-BM425)/BM425)</f>
        <v>0</v>
      </c>
      <c r="CD425" s="32" t="n">
        <f aca="false">IF(BN425=0,IF(BV425=0,0,1),(BV425-BN425)/BN425)</f>
        <v>0</v>
      </c>
      <c r="CE425" s="32" t="n">
        <f aca="false">IF(BO425=0,IF(BW425=0,0,1),(BW425-BO425)/BO425)</f>
        <v>0</v>
      </c>
      <c r="CF425" s="32" t="n">
        <f aca="false">IF(BP425=0,IF(BX425=0,0,1),(BX425-BP425)/BP425)</f>
        <v>0</v>
      </c>
      <c r="CG425" s="32" t="n">
        <f aca="false">IF(BQ425=0,IF(BY425=0,0,1),(BY425-BQ425)/BQ425)</f>
        <v>0</v>
      </c>
      <c r="CH425" s="32" t="n">
        <f aca="false">MAX(MAX(BZ425:CG425),-MIN(BZ425:CG425))</f>
        <v>-0</v>
      </c>
      <c r="CI425" s="31" t="str">
        <f aca="false">IF(CO425="","",SUMIFS($CJ$7:$CJ$696,$A$7:$A$696,CO425,$B$7:$B$696,B425))</f>
        <v/>
      </c>
      <c r="CJ425" s="31" t="n">
        <f aca="false">SUM(AY425:BI425)</f>
        <v>225268559</v>
      </c>
      <c r="CK425" s="31" t="str">
        <f aca="false">IFERROR(INDEX(設定!$F$61:$F$106,MATCH(B425,設定!$B$61:$B$106,0)),"Y")</f>
        <v>Y</v>
      </c>
      <c r="CL425" s="31" t="str">
        <f aca="false">IFERROR(INDEX(設定!$G$61:$G$106,MATCH(B425,設定!$B$61:$B$106,0)),"外郭型")</f>
        <v>市局型</v>
      </c>
      <c r="CM425" s="33" t="str">
        <f aca="false">A425&amp;"|"&amp;B425</f>
        <v>2026-12 賞与|教育委員会（総務課）</v>
      </c>
      <c r="CN425" s="34" t="str">
        <f aca="false">IFERROR(INDEX(設定!$D$61:$D$106,MATCH(B425,設定!$B$61:$B$106,0)),"Y")</f>
        <v>N</v>
      </c>
      <c r="CO425" s="34" t="str">
        <f aca="false">IFERROR(INDEX(設定!$D$20:$D$34,MATCH(A425,設定!$A$20:$A$34,0))&amp;"","")</f>
        <v/>
      </c>
    </row>
    <row r="426" customFormat="false" ht="15" hidden="true" customHeight="false" outlineLevel="0" collapsed="false">
      <c r="A426" s="22" t="s">
        <v>225</v>
      </c>
      <c r="B426" s="23" t="s">
        <v>173</v>
      </c>
      <c r="C426" s="10" t="str">
        <f aca="false">IF(G426="","未受領",IF(G426="なし","報告なし",IF(AL426="○","起票済",IF(OR(AK426="○",F426="一致",F426="入金不要"),"入金確認済","受領済"))))</f>
        <v>未受領</v>
      </c>
      <c r="D426" s="10" t="str">
        <f aca="false">IF(OR(G426="",G426="なし"),"―",IF(CN426="N","対象外",IF(AND(I426="",J426="",K426=""),"標報未入力",IF(CH426&gt;=設定!$B$4,"要確認","問題なし"))))</f>
        <v>―</v>
      </c>
      <c r="E426" s="24" t="str">
        <f aca="false">IF(OR(G426="",G426="なし",CI426="",CJ426=0),"―",IF(CJ426=CI426,"前月同額",IF(CI426=0,"―",IF(ABS(CJ426/CI426-1)&gt;=設定!$B$5,"変動大 "&amp;TEXT(CJ426/CI426-1,"+0%;-0%"),"〇"))))</f>
        <v>―</v>
      </c>
      <c r="F426" s="10" t="str">
        <f aca="false">IF(OR(G426="",G426="なし"),"―",IF(CJ426=0,"入金不要",IF(COUNT(AD426,AF426,AH426,AJ426)=0,IF(AK426="○","手動確認","未入金"),IF(AND(N(AD426)=AC426,IF(AE426="",TRUE(),N(AF426)=AE426),IF(AG426="",TRUE(),N(AH426)=AG426),IF(AI426="",TRUE(),N(AJ426)=AI426)),"一致","不一致"))))</f>
        <v>―</v>
      </c>
      <c r="G426" s="25"/>
      <c r="H426" s="26"/>
      <c r="I426" s="27"/>
      <c r="J426" s="27"/>
      <c r="K426" s="27"/>
      <c r="L426" s="27"/>
      <c r="M426" s="27"/>
      <c r="N426" s="27"/>
      <c r="O426" s="27"/>
      <c r="P426" s="27"/>
      <c r="Q426" s="27"/>
      <c r="R426" s="27"/>
      <c r="S426" s="27"/>
      <c r="T426" s="27"/>
      <c r="U426" s="27"/>
      <c r="V426" s="27"/>
      <c r="W426" s="27"/>
      <c r="X426" s="27"/>
      <c r="Y426" s="27"/>
      <c r="Z426" s="27"/>
      <c r="AA426" s="10" t="str">
        <f aca="false">IFERROR(INDEX(設定!$E$61:$E$106,MATCH(B426,設定!$B$61:$B$106,0)),"合算")</f>
        <v>合算</v>
      </c>
      <c r="AB426" s="28"/>
      <c r="AC426" s="29" t="str">
        <f aca="false">IF(OR(G426="",G426="なし"),"",IF(AA426="合算",CJ426+N(Z426),IF(AA426="掛金・負担金別",(AY426+AZ426+BD426+BF426+BH426),SUM(AY426:BC426))))</f>
        <v/>
      </c>
      <c r="AD426" s="27"/>
      <c r="AE426" s="29" t="str">
        <f aca="false">IF(OR(G426="",G426="なし"),"",IF(AA426="掛金・負担金別",(BA426+BB426+BC426+BE426+BG426+BI426+N(Z426)),IF(AA426="経理区分別",BD426+BE426,"")))</f>
        <v/>
      </c>
      <c r="AF426" s="27"/>
      <c r="AG426" s="29" t="str">
        <f aca="false">IF(OR(G426="",G426="なし"),"",IF(AA426="経理区分別",BF426+BG426,""))</f>
        <v/>
      </c>
      <c r="AH426" s="27"/>
      <c r="AI426" s="29" t="str">
        <f aca="false">IF(OR(G426="",G426="なし"),"",IF(AA426="経理区分別",BH426+BI426+N(Z426),""))</f>
        <v/>
      </c>
      <c r="AJ426" s="27"/>
      <c r="AK426" s="26"/>
      <c r="AL426" s="26"/>
      <c r="AM426" s="30"/>
      <c r="AN426" s="31" t="n">
        <v>541129</v>
      </c>
      <c r="AO426" s="31" t="n">
        <v>44353</v>
      </c>
      <c r="AP426" s="31" t="n">
        <v>786562</v>
      </c>
      <c r="AQ426" s="31" t="n">
        <v>44355</v>
      </c>
      <c r="AR426" s="31" t="n">
        <v>555</v>
      </c>
      <c r="AS426" s="31" t="n">
        <v>363611</v>
      </c>
      <c r="AT426" s="31" t="n">
        <v>370027</v>
      </c>
      <c r="AU426" s="31" t="n">
        <v>32214</v>
      </c>
      <c r="AV426" s="31" t="n">
        <v>32215</v>
      </c>
      <c r="AW426" s="31" t="n">
        <v>1</v>
      </c>
      <c r="AX426" s="31" t="n">
        <v>1</v>
      </c>
      <c r="AY426" s="31" t="n">
        <f aca="false">IF($G426="",AN426,O426)</f>
        <v>541129</v>
      </c>
      <c r="AZ426" s="31" t="n">
        <f aca="false">IF($G426="",AO426,P426)</f>
        <v>44353</v>
      </c>
      <c r="BA426" s="31" t="n">
        <f aca="false">IF($G426="",AP426,T426)</f>
        <v>786562</v>
      </c>
      <c r="BB426" s="31" t="n">
        <f aca="false">IF($G426="",AQ426,U426)</f>
        <v>44355</v>
      </c>
      <c r="BC426" s="31" t="n">
        <f aca="false">IF($G426="",AR426,V426)</f>
        <v>555</v>
      </c>
      <c r="BD426" s="31" t="n">
        <f aca="false">IF($G426="",AS426,Q426)</f>
        <v>363611</v>
      </c>
      <c r="BE426" s="31" t="n">
        <f aca="false">IF($G426="",AT426,W426)</f>
        <v>370027</v>
      </c>
      <c r="BF426" s="31" t="n">
        <f aca="false">IF($G426="",AU426,R426)</f>
        <v>32214</v>
      </c>
      <c r="BG426" s="31" t="n">
        <f aca="false">IF($G426="",AV426,X426)</f>
        <v>32215</v>
      </c>
      <c r="BH426" s="31" t="n">
        <f aca="false">IF($G426="",AW426,S426)</f>
        <v>1</v>
      </c>
      <c r="BI426" s="31" t="n">
        <f aca="false">IF($G426="",AX426,Y426)</f>
        <v>1</v>
      </c>
      <c r="BJ426" s="31" t="n">
        <f aca="false">IF(CK426="N",BR426,ROUNDDOWN((I426-L426)*設定!$B$10/1000,0)+ROUNDDOWN((I426-L426)*設定!$B$11/1000,0))</f>
        <v>0</v>
      </c>
      <c r="BK426" s="31" t="n">
        <f aca="false">ROUNDDOWN((I426-L426)*設定!$C$10/1000,0)+ROUNDDOWN((I426-L426)*設定!$C$11/1000,0)+ROUNDDOWN(I426*設定!$C$12/1000,0)+IF(CL426="市局型",ROUNDDOWN(I426*設定!$C$16/1000,0),0)</f>
        <v>0</v>
      </c>
      <c r="BL426" s="31" t="n">
        <f aca="false">IF(CK426="N",BT426,ROUNDDOWN((J426-M426)*設定!$B$13/1000,0))</f>
        <v>0</v>
      </c>
      <c r="BM426" s="31" t="n">
        <f aca="false">ROUNDDOWN((J426-M426)*設定!$C$13/1000,0)+IF(CL426="市局型",ROUNDDOWN(J426*設定!$C$17/1000,0),0)</f>
        <v>0</v>
      </c>
      <c r="BN426" s="31" t="n">
        <f aca="false">IF(CK426="N",BV426,ROUNDDOWN((K426-N426)*設定!$B$14/1000,0))</f>
        <v>0</v>
      </c>
      <c r="BO426" s="31" t="n">
        <f aca="false">ROUNDDOWN((K426-N426)*設定!$C$14/1000,0)</f>
        <v>0</v>
      </c>
      <c r="BP426" s="31" t="n">
        <f aca="false">IF(CK426="N",BX426,ROUNDDOWN((J426-M426)*設定!$B$15/1000,0))</f>
        <v>0</v>
      </c>
      <c r="BQ426" s="31" t="n">
        <f aca="false">ROUNDDOWN((J426-M426)*設定!$C$15/1000,0)</f>
        <v>0</v>
      </c>
      <c r="BR426" s="31" t="n">
        <f aca="false">O426+P426</f>
        <v>0</v>
      </c>
      <c r="BS426" s="31" t="n">
        <f aca="false">T426+U426+V426</f>
        <v>0</v>
      </c>
      <c r="BT426" s="31" t="n">
        <f aca="false">Q426</f>
        <v>0</v>
      </c>
      <c r="BU426" s="31" t="n">
        <f aca="false">W426</f>
        <v>0</v>
      </c>
      <c r="BV426" s="31" t="n">
        <f aca="false">R426</f>
        <v>0</v>
      </c>
      <c r="BW426" s="31" t="n">
        <f aca="false">X426</f>
        <v>0</v>
      </c>
      <c r="BX426" s="31" t="n">
        <f aca="false">S426</f>
        <v>0</v>
      </c>
      <c r="BY426" s="31" t="n">
        <f aca="false">Y426</f>
        <v>0</v>
      </c>
      <c r="BZ426" s="32" t="n">
        <f aca="false">IF(BJ426=0,IF(BR426=0,0,1),(BR426-BJ426)/BJ426)</f>
        <v>0</v>
      </c>
      <c r="CA426" s="32" t="n">
        <f aca="false">IF(BK426=0,IF(BS426=0,0,1),(BS426-BK426)/BK426)</f>
        <v>0</v>
      </c>
      <c r="CB426" s="32" t="n">
        <f aca="false">IF(BL426=0,IF(BT426=0,0,1),(BT426-BL426)/BL426)</f>
        <v>0</v>
      </c>
      <c r="CC426" s="32" t="n">
        <f aca="false">IF(BM426=0,IF(BU426=0,0,1),(BU426-BM426)/BM426)</f>
        <v>0</v>
      </c>
      <c r="CD426" s="32" t="n">
        <f aca="false">IF(BN426=0,IF(BV426=0,0,1),(BV426-BN426)/BN426)</f>
        <v>0</v>
      </c>
      <c r="CE426" s="32" t="n">
        <f aca="false">IF(BO426=0,IF(BW426=0,0,1),(BW426-BO426)/BO426)</f>
        <v>0</v>
      </c>
      <c r="CF426" s="32" t="n">
        <f aca="false">IF(BP426=0,IF(BX426=0,0,1),(BX426-BP426)/BP426)</f>
        <v>0</v>
      </c>
      <c r="CG426" s="32" t="n">
        <f aca="false">IF(BQ426=0,IF(BY426=0,0,1),(BY426-BQ426)/BQ426)</f>
        <v>0</v>
      </c>
      <c r="CH426" s="32" t="n">
        <f aca="false">MAX(MAX(BZ426:CG426),-MIN(BZ426:CG426))</f>
        <v>-0</v>
      </c>
      <c r="CI426" s="31" t="str">
        <f aca="false">IF(CO426="","",SUMIFS($CJ$7:$CJ$696,$A$7:$A$696,CO426,$B$7:$B$696,B426))</f>
        <v/>
      </c>
      <c r="CJ426" s="31" t="n">
        <f aca="false">SUM(AY426:BI426)</f>
        <v>2215023</v>
      </c>
      <c r="CK426" s="31" t="str">
        <f aca="false">IFERROR(INDEX(設定!$F$61:$F$106,MATCH(B426,設定!$B$61:$B$106,0)),"Y")</f>
        <v>Y</v>
      </c>
      <c r="CL426" s="31" t="str">
        <f aca="false">IFERROR(INDEX(設定!$G$61:$G$106,MATCH(B426,設定!$B$61:$B$106,0)),"外郭型")</f>
        <v>市局型</v>
      </c>
      <c r="CM426" s="33" t="str">
        <f aca="false">A426&amp;"|"&amp;B426</f>
        <v>2026-12 賞与|選挙管理委員会</v>
      </c>
      <c r="CN426" s="34" t="str">
        <f aca="false">IFERROR(INDEX(設定!$D$61:$D$106,MATCH(B426,設定!$B$61:$B$106,0)),"Y")</f>
        <v>Y</v>
      </c>
      <c r="CO426" s="34" t="str">
        <f aca="false">IFERROR(INDEX(設定!$D$20:$D$34,MATCH(A426,設定!$A$20:$A$34,0))&amp;"","")</f>
        <v/>
      </c>
    </row>
    <row r="427" customFormat="false" ht="15" hidden="true" customHeight="false" outlineLevel="0" collapsed="false">
      <c r="A427" s="22" t="s">
        <v>225</v>
      </c>
      <c r="B427" s="23" t="s">
        <v>174</v>
      </c>
      <c r="C427" s="10" t="str">
        <f aca="false">IF(G427="","未受領",IF(G427="なし","報告なし",IF(AL427="○","起票済",IF(OR(AK427="○",F427="一致",F427="入金不要"),"入金確認済","受領済"))))</f>
        <v>未受領</v>
      </c>
      <c r="D427" s="10" t="str">
        <f aca="false">IF(OR(G427="",G427="なし"),"―",IF(CN427="N","対象外",IF(AND(I427="",J427="",K427=""),"標報未入力",IF(CH427&gt;=設定!$B$4,"要確認","問題なし"))))</f>
        <v>―</v>
      </c>
      <c r="E427" s="24" t="str">
        <f aca="false">IF(OR(G427="",G427="なし",CI427="",CJ427=0),"―",IF(CJ427=CI427,"前月同額",IF(CI427=0,"―",IF(ABS(CJ427/CI427-1)&gt;=設定!$B$5,"変動大 "&amp;TEXT(CJ427/CI427-1,"+0%;-0%"),"〇"))))</f>
        <v>―</v>
      </c>
      <c r="F427" s="10" t="str">
        <f aca="false">IF(OR(G427="",G427="なし"),"―",IF(CJ427=0,"入金不要",IF(COUNT(AD427,AF427,AH427,AJ427)=0,IF(AK427="○","手動確認","未入金"),IF(AND(N(AD427)=AC427,IF(AE427="",TRUE(),N(AF427)=AE427),IF(AG427="",TRUE(),N(AH427)=AG427),IF(AI427="",TRUE(),N(AJ427)=AI427)),"一致","不一致"))))</f>
        <v>―</v>
      </c>
      <c r="G427" s="25"/>
      <c r="H427" s="26"/>
      <c r="I427" s="27"/>
      <c r="J427" s="27"/>
      <c r="K427" s="27"/>
      <c r="L427" s="27"/>
      <c r="M427" s="27"/>
      <c r="N427" s="27"/>
      <c r="O427" s="27"/>
      <c r="P427" s="27"/>
      <c r="Q427" s="27"/>
      <c r="R427" s="27"/>
      <c r="S427" s="27"/>
      <c r="T427" s="27"/>
      <c r="U427" s="27"/>
      <c r="V427" s="27"/>
      <c r="W427" s="27"/>
      <c r="X427" s="27"/>
      <c r="Y427" s="27"/>
      <c r="Z427" s="27"/>
      <c r="AA427" s="10" t="str">
        <f aca="false">IFERROR(INDEX(設定!$E$61:$E$106,MATCH(B427,設定!$B$61:$B$106,0)),"合算")</f>
        <v>合算</v>
      </c>
      <c r="AB427" s="28"/>
      <c r="AC427" s="29" t="str">
        <f aca="false">IF(OR(G427="",G427="なし"),"",IF(AA427="合算",CJ427+N(Z427),IF(AA427="掛金・負担金別",(AY427+AZ427+BD427+BF427+BH427),SUM(AY427:BC427))))</f>
        <v/>
      </c>
      <c r="AD427" s="27"/>
      <c r="AE427" s="29" t="str">
        <f aca="false">IF(OR(G427="",G427="なし"),"",IF(AA427="掛金・負担金別",(BA427+BB427+BC427+BE427+BG427+BI427+N(Z427)),IF(AA427="経理区分別",BD427+BE427,"")))</f>
        <v/>
      </c>
      <c r="AF427" s="27"/>
      <c r="AG427" s="29" t="str">
        <f aca="false">IF(OR(G427="",G427="なし"),"",IF(AA427="経理区分別",BF427+BG427,""))</f>
        <v/>
      </c>
      <c r="AH427" s="27"/>
      <c r="AI427" s="29" t="str">
        <f aca="false">IF(OR(G427="",G427="なし"),"",IF(AA427="経理区分別",BH427+BI427+N(Z427),""))</f>
        <v/>
      </c>
      <c r="AJ427" s="27"/>
      <c r="AK427" s="26"/>
      <c r="AL427" s="26"/>
      <c r="AM427" s="30"/>
      <c r="AN427" s="31" t="n">
        <v>1109161</v>
      </c>
      <c r="AO427" s="31" t="n">
        <v>90913</v>
      </c>
      <c r="AP427" s="31" t="n">
        <v>1612226</v>
      </c>
      <c r="AQ427" s="31" t="n">
        <v>90915</v>
      </c>
      <c r="AR427" s="31" t="n">
        <v>1138</v>
      </c>
      <c r="AS427" s="31" t="n">
        <v>679368</v>
      </c>
      <c r="AT427" s="31" t="n">
        <v>691353</v>
      </c>
      <c r="AU427" s="31" t="n">
        <v>66024</v>
      </c>
      <c r="AV427" s="31" t="n">
        <v>66028</v>
      </c>
      <c r="AW427" s="31" t="n">
        <v>1</v>
      </c>
      <c r="AX427" s="31" t="n">
        <v>1</v>
      </c>
      <c r="AY427" s="31" t="n">
        <f aca="false">IF($G427="",AN427,O427)</f>
        <v>1109161</v>
      </c>
      <c r="AZ427" s="31" t="n">
        <f aca="false">IF($G427="",AO427,P427)</f>
        <v>90913</v>
      </c>
      <c r="BA427" s="31" t="n">
        <f aca="false">IF($G427="",AP427,T427)</f>
        <v>1612226</v>
      </c>
      <c r="BB427" s="31" t="n">
        <f aca="false">IF($G427="",AQ427,U427)</f>
        <v>90915</v>
      </c>
      <c r="BC427" s="31" t="n">
        <f aca="false">IF($G427="",AR427,V427)</f>
        <v>1138</v>
      </c>
      <c r="BD427" s="31" t="n">
        <f aca="false">IF($G427="",AS427,Q427)</f>
        <v>679368</v>
      </c>
      <c r="BE427" s="31" t="n">
        <f aca="false">IF($G427="",AT427,W427)</f>
        <v>691353</v>
      </c>
      <c r="BF427" s="31" t="n">
        <f aca="false">IF($G427="",AU427,R427)</f>
        <v>66024</v>
      </c>
      <c r="BG427" s="31" t="n">
        <f aca="false">IF($G427="",AV427,X427)</f>
        <v>66028</v>
      </c>
      <c r="BH427" s="31" t="n">
        <f aca="false">IF($G427="",AW427,S427)</f>
        <v>1</v>
      </c>
      <c r="BI427" s="31" t="n">
        <f aca="false">IF($G427="",AX427,Y427)</f>
        <v>1</v>
      </c>
      <c r="BJ427" s="31" t="n">
        <f aca="false">IF(CK427="N",BR427,ROUNDDOWN((I427-L427)*設定!$B$10/1000,0)+ROUNDDOWN((I427-L427)*設定!$B$11/1000,0))</f>
        <v>0</v>
      </c>
      <c r="BK427" s="31" t="n">
        <f aca="false">ROUNDDOWN((I427-L427)*設定!$C$10/1000,0)+ROUNDDOWN((I427-L427)*設定!$C$11/1000,0)+ROUNDDOWN(I427*設定!$C$12/1000,0)+IF(CL427="市局型",ROUNDDOWN(I427*設定!$C$16/1000,0),0)</f>
        <v>0</v>
      </c>
      <c r="BL427" s="31" t="n">
        <f aca="false">IF(CK427="N",BT427,ROUNDDOWN((J427-M427)*設定!$B$13/1000,0))</f>
        <v>0</v>
      </c>
      <c r="BM427" s="31" t="n">
        <f aca="false">ROUNDDOWN((J427-M427)*設定!$C$13/1000,0)+IF(CL427="市局型",ROUNDDOWN(J427*設定!$C$17/1000,0),0)</f>
        <v>0</v>
      </c>
      <c r="BN427" s="31" t="n">
        <f aca="false">IF(CK427="N",BV427,ROUNDDOWN((K427-N427)*設定!$B$14/1000,0))</f>
        <v>0</v>
      </c>
      <c r="BO427" s="31" t="n">
        <f aca="false">ROUNDDOWN((K427-N427)*設定!$C$14/1000,0)</f>
        <v>0</v>
      </c>
      <c r="BP427" s="31" t="n">
        <f aca="false">IF(CK427="N",BX427,ROUNDDOWN((J427-M427)*設定!$B$15/1000,0))</f>
        <v>0</v>
      </c>
      <c r="BQ427" s="31" t="n">
        <f aca="false">ROUNDDOWN((J427-M427)*設定!$C$15/1000,0)</f>
        <v>0</v>
      </c>
      <c r="BR427" s="31" t="n">
        <f aca="false">O427+P427</f>
        <v>0</v>
      </c>
      <c r="BS427" s="31" t="n">
        <f aca="false">T427+U427+V427</f>
        <v>0</v>
      </c>
      <c r="BT427" s="31" t="n">
        <f aca="false">Q427</f>
        <v>0</v>
      </c>
      <c r="BU427" s="31" t="n">
        <f aca="false">W427</f>
        <v>0</v>
      </c>
      <c r="BV427" s="31" t="n">
        <f aca="false">R427</f>
        <v>0</v>
      </c>
      <c r="BW427" s="31" t="n">
        <f aca="false">X427</f>
        <v>0</v>
      </c>
      <c r="BX427" s="31" t="n">
        <f aca="false">S427</f>
        <v>0</v>
      </c>
      <c r="BY427" s="31" t="n">
        <f aca="false">Y427</f>
        <v>0</v>
      </c>
      <c r="BZ427" s="32" t="n">
        <f aca="false">IF(BJ427=0,IF(BR427=0,0,1),(BR427-BJ427)/BJ427)</f>
        <v>0</v>
      </c>
      <c r="CA427" s="32" t="n">
        <f aca="false">IF(BK427=0,IF(BS427=0,0,1),(BS427-BK427)/BK427)</f>
        <v>0</v>
      </c>
      <c r="CB427" s="32" t="n">
        <f aca="false">IF(BL427=0,IF(BT427=0,0,1),(BT427-BL427)/BL427)</f>
        <v>0</v>
      </c>
      <c r="CC427" s="32" t="n">
        <f aca="false">IF(BM427=0,IF(BU427=0,0,1),(BU427-BM427)/BM427)</f>
        <v>0</v>
      </c>
      <c r="CD427" s="32" t="n">
        <f aca="false">IF(BN427=0,IF(BV427=0,0,1),(BV427-BN427)/BN427)</f>
        <v>0</v>
      </c>
      <c r="CE427" s="32" t="n">
        <f aca="false">IF(BO427=0,IF(BW427=0,0,1),(BW427-BO427)/BO427)</f>
        <v>0</v>
      </c>
      <c r="CF427" s="32" t="n">
        <f aca="false">IF(BP427=0,IF(BX427=0,0,1),(BX427-BP427)/BP427)</f>
        <v>0</v>
      </c>
      <c r="CG427" s="32" t="n">
        <f aca="false">IF(BQ427=0,IF(BY427=0,0,1),(BY427-BQ427)/BQ427)</f>
        <v>0</v>
      </c>
      <c r="CH427" s="32" t="n">
        <f aca="false">MAX(MAX(BZ427:CG427),-MIN(BZ427:CG427))</f>
        <v>-0</v>
      </c>
      <c r="CI427" s="31" t="str">
        <f aca="false">IF(CO427="","",SUMIFS($CJ$7:$CJ$696,$A$7:$A$696,CO427,$B$7:$B$696,B427))</f>
        <v/>
      </c>
      <c r="CJ427" s="31" t="n">
        <f aca="false">SUM(AY427:BI427)</f>
        <v>4407128</v>
      </c>
      <c r="CK427" s="31" t="str">
        <f aca="false">IFERROR(INDEX(設定!$F$61:$F$106,MATCH(B427,設定!$B$61:$B$106,0)),"Y")</f>
        <v>Y</v>
      </c>
      <c r="CL427" s="31" t="str">
        <f aca="false">IFERROR(INDEX(設定!$G$61:$G$106,MATCH(B427,設定!$B$61:$B$106,0)),"外郭型")</f>
        <v>市局型</v>
      </c>
      <c r="CM427" s="33" t="str">
        <f aca="false">A427&amp;"|"&amp;B427</f>
        <v>2026-12 賞与|人事委員会</v>
      </c>
      <c r="CN427" s="34" t="str">
        <f aca="false">IFERROR(INDEX(設定!$D$61:$D$106,MATCH(B427,設定!$B$61:$B$106,0)),"Y")</f>
        <v>Y</v>
      </c>
      <c r="CO427" s="34" t="str">
        <f aca="false">IFERROR(INDEX(設定!$D$20:$D$34,MATCH(A427,設定!$A$20:$A$34,0))&amp;"","")</f>
        <v/>
      </c>
    </row>
    <row r="428" customFormat="false" ht="15" hidden="true" customHeight="false" outlineLevel="0" collapsed="false">
      <c r="A428" s="22" t="s">
        <v>225</v>
      </c>
      <c r="B428" s="23" t="s">
        <v>175</v>
      </c>
      <c r="C428" s="10" t="str">
        <f aca="false">IF(G428="","未受領",IF(G428="なし","報告なし",IF(AL428="○","起票済",IF(OR(AK428="○",F428="一致",F428="入金不要"),"入金確認済","受領済"))))</f>
        <v>未受領</v>
      </c>
      <c r="D428" s="10" t="str">
        <f aca="false">IF(OR(G428="",G428="なし"),"―",IF(CN428="N","対象外",IF(AND(I428="",J428="",K428=""),"標報未入力",IF(CH428&gt;=設定!$B$4,"要確認","問題なし"))))</f>
        <v>―</v>
      </c>
      <c r="E428" s="24" t="str">
        <f aca="false">IF(OR(G428="",G428="なし",CI428="",CJ428=0),"―",IF(CJ428=CI428,"前月同額",IF(CI428=0,"―",IF(ABS(CJ428/CI428-1)&gt;=設定!$B$5,"変動大 "&amp;TEXT(CJ428/CI428-1,"+0%;-0%"),"〇"))))</f>
        <v>―</v>
      </c>
      <c r="F428" s="10" t="str">
        <f aca="false">IF(OR(G428="",G428="なし"),"―",IF(CJ428=0,"入金不要",IF(COUNT(AD428,AF428,AH428,AJ428)=0,IF(AK428="○","手動確認","未入金"),IF(AND(N(AD428)=AC428,IF(AE428="",TRUE(),N(AF428)=AE428),IF(AG428="",TRUE(),N(AH428)=AG428),IF(AI428="",TRUE(),N(AJ428)=AI428)),"一致","不一致"))))</f>
        <v>―</v>
      </c>
      <c r="G428" s="25"/>
      <c r="H428" s="26"/>
      <c r="I428" s="27"/>
      <c r="J428" s="27"/>
      <c r="K428" s="27"/>
      <c r="L428" s="27"/>
      <c r="M428" s="27"/>
      <c r="N428" s="27"/>
      <c r="O428" s="27"/>
      <c r="P428" s="27"/>
      <c r="Q428" s="27"/>
      <c r="R428" s="27"/>
      <c r="S428" s="27"/>
      <c r="T428" s="27"/>
      <c r="U428" s="27"/>
      <c r="V428" s="27"/>
      <c r="W428" s="27"/>
      <c r="X428" s="27"/>
      <c r="Y428" s="27"/>
      <c r="Z428" s="27"/>
      <c r="AA428" s="10" t="str">
        <f aca="false">IFERROR(INDEX(設定!$E$61:$E$106,MATCH(B428,設定!$B$61:$B$106,0)),"合算")</f>
        <v>合算</v>
      </c>
      <c r="AB428" s="28"/>
      <c r="AC428" s="29" t="str">
        <f aca="false">IF(OR(G428="",G428="なし"),"",IF(AA428="合算",CJ428+N(Z428),IF(AA428="掛金・負担金別",(AY428+AZ428+BD428+BF428+BH428),SUM(AY428:BC428))))</f>
        <v/>
      </c>
      <c r="AD428" s="27"/>
      <c r="AE428" s="29" t="str">
        <f aca="false">IF(OR(G428="",G428="なし"),"",IF(AA428="掛金・負担金別",(BA428+BB428+BC428+BE428+BG428+BI428+N(Z428)),IF(AA428="経理区分別",BD428+BE428,"")))</f>
        <v/>
      </c>
      <c r="AF428" s="27"/>
      <c r="AG428" s="29" t="str">
        <f aca="false">IF(OR(G428="",G428="なし"),"",IF(AA428="経理区分別",BF428+BG428,""))</f>
        <v/>
      </c>
      <c r="AH428" s="27"/>
      <c r="AI428" s="29" t="str">
        <f aca="false">IF(OR(G428="",G428="なし"),"",IF(AA428="経理区分別",BH428+BI428+N(Z428),""))</f>
        <v/>
      </c>
      <c r="AJ428" s="27"/>
      <c r="AK428" s="26"/>
      <c r="AL428" s="26"/>
      <c r="AM428" s="30"/>
      <c r="AN428" s="31" t="n">
        <v>2686433</v>
      </c>
      <c r="AO428" s="31" t="n">
        <v>220193</v>
      </c>
      <c r="AP428" s="31" t="n">
        <v>3904880</v>
      </c>
      <c r="AQ428" s="31" t="n">
        <v>220200</v>
      </c>
      <c r="AR428" s="31" t="n">
        <v>2756</v>
      </c>
      <c r="AS428" s="31" t="n">
        <v>1670805</v>
      </c>
      <c r="AT428" s="31" t="n">
        <v>1700280</v>
      </c>
      <c r="AU428" s="31" t="n">
        <v>217229</v>
      </c>
      <c r="AV428" s="31" t="n">
        <v>217241</v>
      </c>
      <c r="AW428" s="31" t="n">
        <v>1</v>
      </c>
      <c r="AX428" s="31" t="n">
        <v>1</v>
      </c>
      <c r="AY428" s="31" t="n">
        <f aca="false">IF($G428="",AN428,O428)</f>
        <v>2686433</v>
      </c>
      <c r="AZ428" s="31" t="n">
        <f aca="false">IF($G428="",AO428,P428)</f>
        <v>220193</v>
      </c>
      <c r="BA428" s="31" t="n">
        <f aca="false">IF($G428="",AP428,T428)</f>
        <v>3904880</v>
      </c>
      <c r="BB428" s="31" t="n">
        <f aca="false">IF($G428="",AQ428,U428)</f>
        <v>220200</v>
      </c>
      <c r="BC428" s="31" t="n">
        <f aca="false">IF($G428="",AR428,V428)</f>
        <v>2756</v>
      </c>
      <c r="BD428" s="31" t="n">
        <f aca="false">IF($G428="",AS428,Q428)</f>
        <v>1670805</v>
      </c>
      <c r="BE428" s="31" t="n">
        <f aca="false">IF($G428="",AT428,W428)</f>
        <v>1700280</v>
      </c>
      <c r="BF428" s="31" t="n">
        <f aca="false">IF($G428="",AU428,R428)</f>
        <v>217229</v>
      </c>
      <c r="BG428" s="31" t="n">
        <f aca="false">IF($G428="",AV428,X428)</f>
        <v>217241</v>
      </c>
      <c r="BH428" s="31" t="n">
        <f aca="false">IF($G428="",AW428,S428)</f>
        <v>1</v>
      </c>
      <c r="BI428" s="31" t="n">
        <f aca="false">IF($G428="",AX428,Y428)</f>
        <v>1</v>
      </c>
      <c r="BJ428" s="31" t="n">
        <f aca="false">IF(CK428="N",BR428,ROUNDDOWN((I428-L428)*設定!$B$10/1000,0)+ROUNDDOWN((I428-L428)*設定!$B$11/1000,0))</f>
        <v>0</v>
      </c>
      <c r="BK428" s="31" t="n">
        <f aca="false">ROUNDDOWN((I428-L428)*設定!$C$10/1000,0)+ROUNDDOWN((I428-L428)*設定!$C$11/1000,0)+ROUNDDOWN(I428*設定!$C$12/1000,0)+IF(CL428="市局型",ROUNDDOWN(I428*設定!$C$16/1000,0),0)</f>
        <v>0</v>
      </c>
      <c r="BL428" s="31" t="n">
        <f aca="false">IF(CK428="N",BT428,ROUNDDOWN((J428-M428)*設定!$B$13/1000,0))</f>
        <v>0</v>
      </c>
      <c r="BM428" s="31" t="n">
        <f aca="false">ROUNDDOWN((J428-M428)*設定!$C$13/1000,0)+IF(CL428="市局型",ROUNDDOWN(J428*設定!$C$17/1000,0),0)</f>
        <v>0</v>
      </c>
      <c r="BN428" s="31" t="n">
        <f aca="false">IF(CK428="N",BV428,ROUNDDOWN((K428-N428)*設定!$B$14/1000,0))</f>
        <v>0</v>
      </c>
      <c r="BO428" s="31" t="n">
        <f aca="false">ROUNDDOWN((K428-N428)*設定!$C$14/1000,0)</f>
        <v>0</v>
      </c>
      <c r="BP428" s="31" t="n">
        <f aca="false">IF(CK428="N",BX428,ROUNDDOWN((J428-M428)*設定!$B$15/1000,0))</f>
        <v>0</v>
      </c>
      <c r="BQ428" s="31" t="n">
        <f aca="false">ROUNDDOWN((J428-M428)*設定!$C$15/1000,0)</f>
        <v>0</v>
      </c>
      <c r="BR428" s="31" t="n">
        <f aca="false">O428+P428</f>
        <v>0</v>
      </c>
      <c r="BS428" s="31" t="n">
        <f aca="false">T428+U428+V428</f>
        <v>0</v>
      </c>
      <c r="BT428" s="31" t="n">
        <f aca="false">Q428</f>
        <v>0</v>
      </c>
      <c r="BU428" s="31" t="n">
        <f aca="false">W428</f>
        <v>0</v>
      </c>
      <c r="BV428" s="31" t="n">
        <f aca="false">R428</f>
        <v>0</v>
      </c>
      <c r="BW428" s="31" t="n">
        <f aca="false">X428</f>
        <v>0</v>
      </c>
      <c r="BX428" s="31" t="n">
        <f aca="false">S428</f>
        <v>0</v>
      </c>
      <c r="BY428" s="31" t="n">
        <f aca="false">Y428</f>
        <v>0</v>
      </c>
      <c r="BZ428" s="32" t="n">
        <f aca="false">IF(BJ428=0,IF(BR428=0,0,1),(BR428-BJ428)/BJ428)</f>
        <v>0</v>
      </c>
      <c r="CA428" s="32" t="n">
        <f aca="false">IF(BK428=0,IF(BS428=0,0,1),(BS428-BK428)/BK428)</f>
        <v>0</v>
      </c>
      <c r="CB428" s="32" t="n">
        <f aca="false">IF(BL428=0,IF(BT428=0,0,1),(BT428-BL428)/BL428)</f>
        <v>0</v>
      </c>
      <c r="CC428" s="32" t="n">
        <f aca="false">IF(BM428=0,IF(BU428=0,0,1),(BU428-BM428)/BM428)</f>
        <v>0</v>
      </c>
      <c r="CD428" s="32" t="n">
        <f aca="false">IF(BN428=0,IF(BV428=0,0,1),(BV428-BN428)/BN428)</f>
        <v>0</v>
      </c>
      <c r="CE428" s="32" t="n">
        <f aca="false">IF(BO428=0,IF(BW428=0,0,1),(BW428-BO428)/BO428)</f>
        <v>0</v>
      </c>
      <c r="CF428" s="32" t="n">
        <f aca="false">IF(BP428=0,IF(BX428=0,0,1),(BX428-BP428)/BP428)</f>
        <v>0</v>
      </c>
      <c r="CG428" s="32" t="n">
        <f aca="false">IF(BQ428=0,IF(BY428=0,0,1),(BY428-BQ428)/BQ428)</f>
        <v>0</v>
      </c>
      <c r="CH428" s="32" t="n">
        <f aca="false">MAX(MAX(BZ428:CG428),-MIN(BZ428:CG428))</f>
        <v>-0</v>
      </c>
      <c r="CI428" s="31" t="str">
        <f aca="false">IF(CO428="","",SUMIFS($CJ$7:$CJ$696,$A$7:$A$696,CO428,$B$7:$B$696,B428))</f>
        <v/>
      </c>
      <c r="CJ428" s="31" t="n">
        <f aca="false">SUM(AY428:BI428)</f>
        <v>10840019</v>
      </c>
      <c r="CK428" s="31" t="str">
        <f aca="false">IFERROR(INDEX(設定!$F$61:$F$106,MATCH(B428,設定!$B$61:$B$106,0)),"Y")</f>
        <v>Y</v>
      </c>
      <c r="CL428" s="31" t="str">
        <f aca="false">IFERROR(INDEX(設定!$G$61:$G$106,MATCH(B428,設定!$B$61:$B$106,0)),"外郭型")</f>
        <v>市局型</v>
      </c>
      <c r="CM428" s="33" t="str">
        <f aca="false">A428&amp;"|"&amp;B428</f>
        <v>2026-12 賞与|監査事務局</v>
      </c>
      <c r="CN428" s="34" t="str">
        <f aca="false">IFERROR(INDEX(設定!$D$61:$D$106,MATCH(B428,設定!$B$61:$B$106,0)),"Y")</f>
        <v>Y</v>
      </c>
      <c r="CO428" s="34" t="str">
        <f aca="false">IFERROR(INDEX(設定!$D$20:$D$34,MATCH(A428,設定!$A$20:$A$34,0))&amp;"","")</f>
        <v/>
      </c>
    </row>
    <row r="429" customFormat="false" ht="15" hidden="true" customHeight="false" outlineLevel="0" collapsed="false">
      <c r="A429" s="22" t="s">
        <v>225</v>
      </c>
      <c r="B429" s="23" t="s">
        <v>176</v>
      </c>
      <c r="C429" s="10" t="str">
        <f aca="false">IF(G429="","未受領",IF(G429="なし","報告なし",IF(AL429="○","起票済",IF(OR(AK429="○",F429="一致",F429="入金不要"),"入金確認済","受領済"))))</f>
        <v>未受領</v>
      </c>
      <c r="D429" s="10" t="str">
        <f aca="false">IF(OR(G429="",G429="なし"),"―",IF(CN429="N","対象外",IF(AND(I429="",J429="",K429=""),"標報未入力",IF(CH429&gt;=設定!$B$4,"要確認","問題なし"))))</f>
        <v>―</v>
      </c>
      <c r="E429" s="24" t="str">
        <f aca="false">IF(OR(G429="",G429="なし",CI429="",CJ429=0),"―",IF(CJ429=CI429,"前月同額",IF(CI429=0,"―",IF(ABS(CJ429/CI429-1)&gt;=設定!$B$5,"変動大 "&amp;TEXT(CJ429/CI429-1,"+0%;-0%"),"〇"))))</f>
        <v>―</v>
      </c>
      <c r="F429" s="10" t="str">
        <f aca="false">IF(OR(G429="",G429="なし"),"―",IF(CJ429=0,"入金不要",IF(COUNT(AD429,AF429,AH429,AJ429)=0,IF(AK429="○","手動確認","未入金"),IF(AND(N(AD429)=AC429,IF(AE429="",TRUE(),N(AF429)=AE429),IF(AG429="",TRUE(),N(AH429)=AG429),IF(AI429="",TRUE(),N(AJ429)=AI429)),"一致","不一致"))))</f>
        <v>―</v>
      </c>
      <c r="G429" s="25"/>
      <c r="H429" s="26"/>
      <c r="I429" s="27"/>
      <c r="J429" s="27"/>
      <c r="K429" s="27"/>
      <c r="L429" s="27"/>
      <c r="M429" s="27"/>
      <c r="N429" s="27"/>
      <c r="O429" s="27"/>
      <c r="P429" s="27"/>
      <c r="Q429" s="27"/>
      <c r="R429" s="27"/>
      <c r="S429" s="27"/>
      <c r="T429" s="27"/>
      <c r="U429" s="27"/>
      <c r="V429" s="27"/>
      <c r="W429" s="27"/>
      <c r="X429" s="27"/>
      <c r="Y429" s="27"/>
      <c r="Z429" s="27"/>
      <c r="AA429" s="10" t="str">
        <f aca="false">IFERROR(INDEX(設定!$E$61:$E$106,MATCH(B429,設定!$B$61:$B$106,0)),"合算")</f>
        <v>合算</v>
      </c>
      <c r="AB429" s="28"/>
      <c r="AC429" s="29" t="str">
        <f aca="false">IF(OR(G429="",G429="なし"),"",IF(AA429="合算",CJ429+N(Z429),IF(AA429="掛金・負担金別",(AY429+AZ429+BD429+BF429+BH429),SUM(AY429:BC429))))</f>
        <v/>
      </c>
      <c r="AD429" s="27"/>
      <c r="AE429" s="29" t="str">
        <f aca="false">IF(OR(G429="",G429="なし"),"",IF(AA429="掛金・負担金別",(BA429+BB429+BC429+BE429+BG429+BI429+N(Z429)),IF(AA429="経理区分別",BD429+BE429,"")))</f>
        <v/>
      </c>
      <c r="AF429" s="27"/>
      <c r="AG429" s="29" t="str">
        <f aca="false">IF(OR(G429="",G429="なし"),"",IF(AA429="経理区分別",BF429+BG429,""))</f>
        <v/>
      </c>
      <c r="AH429" s="27"/>
      <c r="AI429" s="29" t="str">
        <f aca="false">IF(OR(G429="",G429="なし"),"",IF(AA429="経理区分別",BH429+BI429+N(Z429),""))</f>
        <v/>
      </c>
      <c r="AJ429" s="27"/>
      <c r="AK429" s="26"/>
      <c r="AL429" s="26"/>
      <c r="AM429" s="30"/>
      <c r="AN429" s="31" t="n">
        <v>763383</v>
      </c>
      <c r="AO429" s="31" t="n">
        <v>62571</v>
      </c>
      <c r="AP429" s="31" t="n">
        <v>1109618</v>
      </c>
      <c r="AQ429" s="31" t="n">
        <v>62572</v>
      </c>
      <c r="AR429" s="31" t="n">
        <v>783</v>
      </c>
      <c r="AS429" s="31" t="n">
        <v>609062</v>
      </c>
      <c r="AT429" s="31" t="n">
        <v>619810</v>
      </c>
      <c r="AU429" s="31" t="n">
        <v>66757</v>
      </c>
      <c r="AV429" s="31" t="n">
        <v>66762</v>
      </c>
      <c r="AW429" s="31" t="n">
        <v>1</v>
      </c>
      <c r="AX429" s="31" t="n">
        <v>1</v>
      </c>
      <c r="AY429" s="31" t="n">
        <f aca="false">IF($G429="",AN429,O429)</f>
        <v>763383</v>
      </c>
      <c r="AZ429" s="31" t="n">
        <f aca="false">IF($G429="",AO429,P429)</f>
        <v>62571</v>
      </c>
      <c r="BA429" s="31" t="n">
        <f aca="false">IF($G429="",AP429,T429)</f>
        <v>1109618</v>
      </c>
      <c r="BB429" s="31" t="n">
        <f aca="false">IF($G429="",AQ429,U429)</f>
        <v>62572</v>
      </c>
      <c r="BC429" s="31" t="n">
        <f aca="false">IF($G429="",AR429,V429)</f>
        <v>783</v>
      </c>
      <c r="BD429" s="31" t="n">
        <f aca="false">IF($G429="",AS429,Q429)</f>
        <v>609062</v>
      </c>
      <c r="BE429" s="31" t="n">
        <f aca="false">IF($G429="",AT429,W429)</f>
        <v>619810</v>
      </c>
      <c r="BF429" s="31" t="n">
        <f aca="false">IF($G429="",AU429,R429)</f>
        <v>66757</v>
      </c>
      <c r="BG429" s="31" t="n">
        <f aca="false">IF($G429="",AV429,X429)</f>
        <v>66762</v>
      </c>
      <c r="BH429" s="31" t="n">
        <f aca="false">IF($G429="",AW429,S429)</f>
        <v>1</v>
      </c>
      <c r="BI429" s="31" t="n">
        <f aca="false">IF($G429="",AX429,Y429)</f>
        <v>1</v>
      </c>
      <c r="BJ429" s="31" t="n">
        <f aca="false">IF(CK429="N",BR429,ROUNDDOWN((I429-L429)*設定!$B$10/1000,0)+ROUNDDOWN((I429-L429)*設定!$B$11/1000,0))</f>
        <v>0</v>
      </c>
      <c r="BK429" s="31" t="n">
        <f aca="false">ROUNDDOWN((I429-L429)*設定!$C$10/1000,0)+ROUNDDOWN((I429-L429)*設定!$C$11/1000,0)+ROUNDDOWN(I429*設定!$C$12/1000,0)+IF(CL429="市局型",ROUNDDOWN(I429*設定!$C$16/1000,0),0)</f>
        <v>0</v>
      </c>
      <c r="BL429" s="31" t="n">
        <f aca="false">IF(CK429="N",BT429,ROUNDDOWN((J429-M429)*設定!$B$13/1000,0))</f>
        <v>0</v>
      </c>
      <c r="BM429" s="31" t="n">
        <f aca="false">ROUNDDOWN((J429-M429)*設定!$C$13/1000,0)+IF(CL429="市局型",ROUNDDOWN(J429*設定!$C$17/1000,0),0)</f>
        <v>0</v>
      </c>
      <c r="BN429" s="31" t="n">
        <f aca="false">IF(CK429="N",BV429,ROUNDDOWN((K429-N429)*設定!$B$14/1000,0))</f>
        <v>0</v>
      </c>
      <c r="BO429" s="31" t="n">
        <f aca="false">ROUNDDOWN((K429-N429)*設定!$C$14/1000,0)</f>
        <v>0</v>
      </c>
      <c r="BP429" s="31" t="n">
        <f aca="false">IF(CK429="N",BX429,ROUNDDOWN((J429-M429)*設定!$B$15/1000,0))</f>
        <v>0</v>
      </c>
      <c r="BQ429" s="31" t="n">
        <f aca="false">ROUNDDOWN((J429-M429)*設定!$C$15/1000,0)</f>
        <v>0</v>
      </c>
      <c r="BR429" s="31" t="n">
        <f aca="false">O429+P429</f>
        <v>0</v>
      </c>
      <c r="BS429" s="31" t="n">
        <f aca="false">T429+U429+V429</f>
        <v>0</v>
      </c>
      <c r="BT429" s="31" t="n">
        <f aca="false">Q429</f>
        <v>0</v>
      </c>
      <c r="BU429" s="31" t="n">
        <f aca="false">W429</f>
        <v>0</v>
      </c>
      <c r="BV429" s="31" t="n">
        <f aca="false">R429</f>
        <v>0</v>
      </c>
      <c r="BW429" s="31" t="n">
        <f aca="false">X429</f>
        <v>0</v>
      </c>
      <c r="BX429" s="31" t="n">
        <f aca="false">S429</f>
        <v>0</v>
      </c>
      <c r="BY429" s="31" t="n">
        <f aca="false">Y429</f>
        <v>0</v>
      </c>
      <c r="BZ429" s="32" t="n">
        <f aca="false">IF(BJ429=0,IF(BR429=0,0,1),(BR429-BJ429)/BJ429)</f>
        <v>0</v>
      </c>
      <c r="CA429" s="32" t="n">
        <f aca="false">IF(BK429=0,IF(BS429=0,0,1),(BS429-BK429)/BK429)</f>
        <v>0</v>
      </c>
      <c r="CB429" s="32" t="n">
        <f aca="false">IF(BL429=0,IF(BT429=0,0,1),(BT429-BL429)/BL429)</f>
        <v>0</v>
      </c>
      <c r="CC429" s="32" t="n">
        <f aca="false">IF(BM429=0,IF(BU429=0,0,1),(BU429-BM429)/BM429)</f>
        <v>0</v>
      </c>
      <c r="CD429" s="32" t="n">
        <f aca="false">IF(BN429=0,IF(BV429=0,0,1),(BV429-BN429)/BN429)</f>
        <v>0</v>
      </c>
      <c r="CE429" s="32" t="n">
        <f aca="false">IF(BO429=0,IF(BW429=0,0,1),(BW429-BO429)/BO429)</f>
        <v>0</v>
      </c>
      <c r="CF429" s="32" t="n">
        <f aca="false">IF(BP429=0,IF(BX429=0,0,1),(BX429-BP429)/BP429)</f>
        <v>0</v>
      </c>
      <c r="CG429" s="32" t="n">
        <f aca="false">IF(BQ429=0,IF(BY429=0,0,1),(BY429-BQ429)/BQ429)</f>
        <v>0</v>
      </c>
      <c r="CH429" s="32" t="n">
        <f aca="false">MAX(MAX(BZ429:CG429),-MIN(BZ429:CG429))</f>
        <v>-0</v>
      </c>
      <c r="CI429" s="31" t="str">
        <f aca="false">IF(CO429="","",SUMIFS($CJ$7:$CJ$696,$A$7:$A$696,CO429,$B$7:$B$696,B429))</f>
        <v/>
      </c>
      <c r="CJ429" s="31" t="n">
        <f aca="false">SUM(AY429:BI429)</f>
        <v>3361320</v>
      </c>
      <c r="CK429" s="31" t="str">
        <f aca="false">IFERROR(INDEX(設定!$F$61:$F$106,MATCH(B429,設定!$B$61:$B$106,0)),"Y")</f>
        <v>Y</v>
      </c>
      <c r="CL429" s="31" t="str">
        <f aca="false">IFERROR(INDEX(設定!$G$61:$G$106,MATCH(B429,設定!$B$61:$B$106,0)),"外郭型")</f>
        <v>市局型</v>
      </c>
      <c r="CM429" s="33" t="str">
        <f aca="false">A429&amp;"|"&amp;B429</f>
        <v>2026-12 賞与|農業委員会</v>
      </c>
      <c r="CN429" s="34" t="str">
        <f aca="false">IFERROR(INDEX(設定!$D$61:$D$106,MATCH(B429,設定!$B$61:$B$106,0)),"Y")</f>
        <v>Y</v>
      </c>
      <c r="CO429" s="34" t="str">
        <f aca="false">IFERROR(INDEX(設定!$D$20:$D$34,MATCH(A429,設定!$A$20:$A$34,0))&amp;"","")</f>
        <v/>
      </c>
    </row>
    <row r="430" customFormat="false" ht="15" hidden="true" customHeight="false" outlineLevel="0" collapsed="false">
      <c r="A430" s="22" t="s">
        <v>225</v>
      </c>
      <c r="B430" s="23" t="s">
        <v>177</v>
      </c>
      <c r="C430" s="10" t="str">
        <f aca="false">IF(G430="","未受領",IF(G430="なし","報告なし",IF(AL430="○","起票済",IF(OR(AK430="○",F430="一致",F430="入金不要"),"入金確認済","受領済"))))</f>
        <v>未受領</v>
      </c>
      <c r="D430" s="10" t="str">
        <f aca="false">IF(OR(G430="",G430="なし"),"―",IF(CN430="N","対象外",IF(AND(I430="",J430="",K430=""),"標報未入力",IF(CH430&gt;=設定!$B$4,"要確認","問題なし"))))</f>
        <v>―</v>
      </c>
      <c r="E430" s="24" t="str">
        <f aca="false">IF(OR(G430="",G430="なし",CI430="",CJ430=0),"―",IF(CJ430=CI430,"前月同額",IF(CI430=0,"―",IF(ABS(CJ430/CI430-1)&gt;=設定!$B$5,"変動大 "&amp;TEXT(CJ430/CI430-1,"+0%;-0%"),"〇"))))</f>
        <v>―</v>
      </c>
      <c r="F430" s="10" t="str">
        <f aca="false">IF(OR(G430="",G430="なし"),"―",IF(CJ430=0,"入金不要",IF(COUNT(AD430,AF430,AH430,AJ430)=0,IF(AK430="○","手動確認","未入金"),IF(AND(N(AD430)=AC430,IF(AE430="",TRUE(),N(AF430)=AE430),IF(AG430="",TRUE(),N(AH430)=AG430),IF(AI430="",TRUE(),N(AJ430)=AI430)),"一致","不一致"))))</f>
        <v>―</v>
      </c>
      <c r="G430" s="25"/>
      <c r="H430" s="26"/>
      <c r="I430" s="27"/>
      <c r="J430" s="27"/>
      <c r="K430" s="27"/>
      <c r="L430" s="27"/>
      <c r="M430" s="27"/>
      <c r="N430" s="27"/>
      <c r="O430" s="27"/>
      <c r="P430" s="27"/>
      <c r="Q430" s="27"/>
      <c r="R430" s="27"/>
      <c r="S430" s="27"/>
      <c r="T430" s="27"/>
      <c r="U430" s="27"/>
      <c r="V430" s="27"/>
      <c r="W430" s="27"/>
      <c r="X430" s="27"/>
      <c r="Y430" s="27"/>
      <c r="Z430" s="27"/>
      <c r="AA430" s="10" t="str">
        <f aca="false">IFERROR(INDEX(設定!$E$61:$E$106,MATCH(B430,設定!$B$61:$B$106,0)),"合算")</f>
        <v>合算</v>
      </c>
      <c r="AB430" s="28"/>
      <c r="AC430" s="29" t="str">
        <f aca="false">IF(OR(G430="",G430="なし"),"",IF(AA430="合算",CJ430+N(Z430),IF(AA430="掛金・負担金別",(AY430+AZ430+BD430+BF430+BH430),SUM(AY430:BC430))))</f>
        <v/>
      </c>
      <c r="AD430" s="27"/>
      <c r="AE430" s="29" t="str">
        <f aca="false">IF(OR(G430="",G430="なし"),"",IF(AA430="掛金・負担金別",(BA430+BB430+BC430+BE430+BG430+BI430+N(Z430)),IF(AA430="経理区分別",BD430+BE430,"")))</f>
        <v/>
      </c>
      <c r="AF430" s="27"/>
      <c r="AG430" s="29" t="str">
        <f aca="false">IF(OR(G430="",G430="なし"),"",IF(AA430="経理区分別",BF430+BG430,""))</f>
        <v/>
      </c>
      <c r="AH430" s="27"/>
      <c r="AI430" s="29" t="str">
        <f aca="false">IF(OR(G430="",G430="なし"),"",IF(AA430="経理区分別",BH430+BI430+N(Z430),""))</f>
        <v/>
      </c>
      <c r="AJ430" s="27"/>
      <c r="AK430" s="26"/>
      <c r="AL430" s="26"/>
      <c r="AM430" s="30"/>
      <c r="AN430" s="31" t="n">
        <v>45078163</v>
      </c>
      <c r="AO430" s="31" t="n">
        <v>3694807</v>
      </c>
      <c r="AP430" s="31" t="n">
        <v>65628029</v>
      </c>
      <c r="AQ430" s="31" t="n">
        <v>3694940</v>
      </c>
      <c r="AR430" s="31" t="n">
        <v>46490</v>
      </c>
      <c r="AS430" s="31" t="n">
        <v>28168338</v>
      </c>
      <c r="AT430" s="31" t="n">
        <v>28667777</v>
      </c>
      <c r="AU430" s="31" t="n">
        <v>2740609</v>
      </c>
      <c r="AV430" s="31" t="n">
        <v>2740766</v>
      </c>
      <c r="AW430" s="31" t="n">
        <v>1</v>
      </c>
      <c r="AX430" s="31" t="n">
        <v>1</v>
      </c>
      <c r="AY430" s="31" t="n">
        <f aca="false">IF($G430="",AN430,O430)</f>
        <v>45078163</v>
      </c>
      <c r="AZ430" s="31" t="n">
        <f aca="false">IF($G430="",AO430,P430)</f>
        <v>3694807</v>
      </c>
      <c r="BA430" s="31" t="n">
        <f aca="false">IF($G430="",AP430,T430)</f>
        <v>65628029</v>
      </c>
      <c r="BB430" s="31" t="n">
        <f aca="false">IF($G430="",AQ430,U430)</f>
        <v>3694940</v>
      </c>
      <c r="BC430" s="31" t="n">
        <f aca="false">IF($G430="",AR430,V430)</f>
        <v>46490</v>
      </c>
      <c r="BD430" s="31" t="n">
        <f aca="false">IF($G430="",AS430,Q430)</f>
        <v>28168338</v>
      </c>
      <c r="BE430" s="31" t="n">
        <f aca="false">IF($G430="",AT430,W430)</f>
        <v>28667777</v>
      </c>
      <c r="BF430" s="31" t="n">
        <f aca="false">IF($G430="",AU430,R430)</f>
        <v>2740609</v>
      </c>
      <c r="BG430" s="31" t="n">
        <f aca="false">IF($G430="",AV430,X430)</f>
        <v>2740766</v>
      </c>
      <c r="BH430" s="31" t="n">
        <f aca="false">IF($G430="",AW430,S430)</f>
        <v>1</v>
      </c>
      <c r="BI430" s="31" t="n">
        <f aca="false">IF($G430="",AX430,Y430)</f>
        <v>1</v>
      </c>
      <c r="BJ430" s="31" t="n">
        <f aca="false">IF(CK430="N",BR430,ROUNDDOWN((I430-L430)*設定!$B$10/1000,0)+ROUNDDOWN((I430-L430)*設定!$B$11/1000,0))</f>
        <v>0</v>
      </c>
      <c r="BK430" s="31" t="n">
        <f aca="false">ROUNDDOWN((I430-L430)*設定!$C$10/1000,0)+ROUNDDOWN((I430-L430)*設定!$C$11/1000,0)+ROUNDDOWN(I430*設定!$C$12/1000,0)+IF(CL430="市局型",ROUNDDOWN(I430*設定!$C$16/1000,0),0)</f>
        <v>0</v>
      </c>
      <c r="BL430" s="31" t="n">
        <f aca="false">IF(CK430="N",BT430,ROUNDDOWN((J430-M430)*設定!$B$13/1000,0))</f>
        <v>0</v>
      </c>
      <c r="BM430" s="31" t="n">
        <f aca="false">ROUNDDOWN((J430-M430)*設定!$C$13/1000,0)+IF(CL430="市局型",ROUNDDOWN(J430*設定!$C$17/1000,0),0)</f>
        <v>0</v>
      </c>
      <c r="BN430" s="31" t="n">
        <f aca="false">IF(CK430="N",BV430,ROUNDDOWN((K430-N430)*設定!$B$14/1000,0))</f>
        <v>0</v>
      </c>
      <c r="BO430" s="31" t="n">
        <f aca="false">ROUNDDOWN((K430-N430)*設定!$C$14/1000,0)</f>
        <v>0</v>
      </c>
      <c r="BP430" s="31" t="n">
        <f aca="false">IF(CK430="N",BX430,ROUNDDOWN((J430-M430)*設定!$B$15/1000,0))</f>
        <v>0</v>
      </c>
      <c r="BQ430" s="31" t="n">
        <f aca="false">ROUNDDOWN((J430-M430)*設定!$C$15/1000,0)</f>
        <v>0</v>
      </c>
      <c r="BR430" s="31" t="n">
        <f aca="false">O430+P430</f>
        <v>0</v>
      </c>
      <c r="BS430" s="31" t="n">
        <f aca="false">T430+U430+V430</f>
        <v>0</v>
      </c>
      <c r="BT430" s="31" t="n">
        <f aca="false">Q430</f>
        <v>0</v>
      </c>
      <c r="BU430" s="31" t="n">
        <f aca="false">W430</f>
        <v>0</v>
      </c>
      <c r="BV430" s="31" t="n">
        <f aca="false">R430</f>
        <v>0</v>
      </c>
      <c r="BW430" s="31" t="n">
        <f aca="false">X430</f>
        <v>0</v>
      </c>
      <c r="BX430" s="31" t="n">
        <f aca="false">S430</f>
        <v>0</v>
      </c>
      <c r="BY430" s="31" t="n">
        <f aca="false">Y430</f>
        <v>0</v>
      </c>
      <c r="BZ430" s="32" t="n">
        <f aca="false">IF(BJ430=0,IF(BR430=0,0,1),(BR430-BJ430)/BJ430)</f>
        <v>0</v>
      </c>
      <c r="CA430" s="32" t="n">
        <f aca="false">IF(BK430=0,IF(BS430=0,0,1),(BS430-BK430)/BK430)</f>
        <v>0</v>
      </c>
      <c r="CB430" s="32" t="n">
        <f aca="false">IF(BL430=0,IF(BT430=0,0,1),(BT430-BL430)/BL430)</f>
        <v>0</v>
      </c>
      <c r="CC430" s="32" t="n">
        <f aca="false">IF(BM430=0,IF(BU430=0,0,1),(BU430-BM430)/BM430)</f>
        <v>0</v>
      </c>
      <c r="CD430" s="32" t="n">
        <f aca="false">IF(BN430=0,IF(BV430=0,0,1),(BV430-BN430)/BN430)</f>
        <v>0</v>
      </c>
      <c r="CE430" s="32" t="n">
        <f aca="false">IF(BO430=0,IF(BW430=0,0,1),(BW430-BO430)/BO430)</f>
        <v>0</v>
      </c>
      <c r="CF430" s="32" t="n">
        <f aca="false">IF(BP430=0,IF(BX430=0,0,1),(BX430-BP430)/BP430)</f>
        <v>0</v>
      </c>
      <c r="CG430" s="32" t="n">
        <f aca="false">IF(BQ430=0,IF(BY430=0,0,1),(BY430-BQ430)/BQ430)</f>
        <v>0</v>
      </c>
      <c r="CH430" s="32" t="n">
        <f aca="false">MAX(MAX(BZ430:CG430),-MIN(BZ430:CG430))</f>
        <v>-0</v>
      </c>
      <c r="CI430" s="31" t="str">
        <f aca="false">IF(CO430="","",SUMIFS($CJ$7:$CJ$696,$A$7:$A$696,CO430,$B$7:$B$696,B430))</f>
        <v/>
      </c>
      <c r="CJ430" s="31" t="n">
        <f aca="false">SUM(AY430:BI430)</f>
        <v>180459921</v>
      </c>
      <c r="CK430" s="31" t="str">
        <f aca="false">IFERROR(INDEX(設定!$F$61:$F$106,MATCH(B430,設定!$B$61:$B$106,0)),"Y")</f>
        <v>Y</v>
      </c>
      <c r="CL430" s="31" t="str">
        <f aca="false">IFERROR(INDEX(設定!$G$61:$G$106,MATCH(B430,設定!$B$61:$B$106,0)),"外郭型")</f>
        <v>市局型</v>
      </c>
      <c r="CM430" s="33" t="str">
        <f aca="false">A430&amp;"|"&amp;B430</f>
        <v>2026-12 賞与|水道局</v>
      </c>
      <c r="CN430" s="34" t="str">
        <f aca="false">IFERROR(INDEX(設定!$D$61:$D$106,MATCH(B430,設定!$B$61:$B$106,0)),"Y")</f>
        <v>N</v>
      </c>
      <c r="CO430" s="34" t="str">
        <f aca="false">IFERROR(INDEX(設定!$D$20:$D$34,MATCH(A430,設定!$A$20:$A$34,0))&amp;"","")</f>
        <v/>
      </c>
    </row>
    <row r="431" customFormat="false" ht="15" hidden="true" customHeight="false" outlineLevel="0" collapsed="false">
      <c r="A431" s="22" t="s">
        <v>225</v>
      </c>
      <c r="B431" s="23" t="s">
        <v>178</v>
      </c>
      <c r="C431" s="10" t="str">
        <f aca="false">IF(G431="","未受領",IF(G431="なし","報告なし",IF(AL431="○","起票済",IF(OR(AK431="○",F431="一致",F431="入金不要"),"入金確認済","受領済"))))</f>
        <v>未受領</v>
      </c>
      <c r="D431" s="10" t="str">
        <f aca="false">IF(OR(G431="",G431="なし"),"―",IF(CN431="N","対象外",IF(AND(I431="",J431="",K431=""),"標報未入力",IF(CH431&gt;=設定!$B$4,"要確認","問題なし"))))</f>
        <v>―</v>
      </c>
      <c r="E431" s="24" t="str">
        <f aca="false">IF(OR(G431="",G431="なし",CI431="",CJ431=0),"―",IF(CJ431=CI431,"前月同額",IF(CI431=0,"―",IF(ABS(CJ431/CI431-1)&gt;=設定!$B$5,"変動大 "&amp;TEXT(CJ431/CI431-1,"+0%;-0%"),"〇"))))</f>
        <v>―</v>
      </c>
      <c r="F431" s="10" t="str">
        <f aca="false">IF(OR(G431="",G431="なし"),"―",IF(CJ431=0,"入金不要",IF(COUNT(AD431,AF431,AH431,AJ431)=0,IF(AK431="○","手動確認","未入金"),IF(AND(N(AD431)=AC431,IF(AE431="",TRUE(),N(AF431)=AE431),IF(AG431="",TRUE(),N(AH431)=AG431),IF(AI431="",TRUE(),N(AJ431)=AI431)),"一致","不一致"))))</f>
        <v>―</v>
      </c>
      <c r="G431" s="25"/>
      <c r="H431" s="26"/>
      <c r="I431" s="27"/>
      <c r="J431" s="27"/>
      <c r="K431" s="27"/>
      <c r="L431" s="27"/>
      <c r="M431" s="27"/>
      <c r="N431" s="27"/>
      <c r="O431" s="27"/>
      <c r="P431" s="27"/>
      <c r="Q431" s="27"/>
      <c r="R431" s="27"/>
      <c r="S431" s="27"/>
      <c r="T431" s="27"/>
      <c r="U431" s="27"/>
      <c r="V431" s="27"/>
      <c r="W431" s="27"/>
      <c r="X431" s="27"/>
      <c r="Y431" s="27"/>
      <c r="Z431" s="27"/>
      <c r="AA431" s="10" t="str">
        <f aca="false">IFERROR(INDEX(設定!$E$61:$E$106,MATCH(B431,設定!$B$61:$B$106,0)),"合算")</f>
        <v>合算</v>
      </c>
      <c r="AB431" s="28"/>
      <c r="AC431" s="29" t="str">
        <f aca="false">IF(OR(G431="",G431="なし"),"",IF(AA431="合算",CJ431+N(Z431),IF(AA431="掛金・負担金別",(AY431+AZ431+BD431+BF431+BH431),SUM(AY431:BC431))))</f>
        <v/>
      </c>
      <c r="AD431" s="27"/>
      <c r="AE431" s="29" t="str">
        <f aca="false">IF(OR(G431="",G431="なし"),"",IF(AA431="掛金・負担金別",(BA431+BB431+BC431+BE431+BG431+BI431+N(Z431)),IF(AA431="経理区分別",BD431+BE431,"")))</f>
        <v/>
      </c>
      <c r="AF431" s="27"/>
      <c r="AG431" s="29" t="str">
        <f aca="false">IF(OR(G431="",G431="なし"),"",IF(AA431="経理区分別",BF431+BG431,""))</f>
        <v/>
      </c>
      <c r="AH431" s="27"/>
      <c r="AI431" s="29" t="str">
        <f aca="false">IF(OR(G431="",G431="なし"),"",IF(AA431="経理区分別",BH431+BI431+N(Z431),""))</f>
        <v/>
      </c>
      <c r="AJ431" s="27"/>
      <c r="AK431" s="26"/>
      <c r="AL431" s="26"/>
      <c r="AM431" s="30"/>
      <c r="AN431" s="31" t="n">
        <v>71461</v>
      </c>
      <c r="AO431" s="31" t="n">
        <v>5857</v>
      </c>
      <c r="AP431" s="31" t="n">
        <v>103873</v>
      </c>
      <c r="AQ431" s="31" t="n">
        <v>5857</v>
      </c>
      <c r="AR431" s="31" t="n">
        <v>73</v>
      </c>
      <c r="AS431" s="31" t="n">
        <v>42962</v>
      </c>
      <c r="AT431" s="31" t="n">
        <v>43720</v>
      </c>
      <c r="AU431" s="31" t="n">
        <v>6169</v>
      </c>
      <c r="AV431" s="31" t="n">
        <v>6169</v>
      </c>
      <c r="AW431" s="31" t="n">
        <v>1</v>
      </c>
      <c r="AX431" s="31" t="n">
        <v>1</v>
      </c>
      <c r="AY431" s="31" t="n">
        <f aca="false">IF($G431="",AN431,O431)</f>
        <v>71461</v>
      </c>
      <c r="AZ431" s="31" t="n">
        <f aca="false">IF($G431="",AO431,P431)</f>
        <v>5857</v>
      </c>
      <c r="BA431" s="31" t="n">
        <f aca="false">IF($G431="",AP431,T431)</f>
        <v>103873</v>
      </c>
      <c r="BB431" s="31" t="n">
        <f aca="false">IF($G431="",AQ431,U431)</f>
        <v>5857</v>
      </c>
      <c r="BC431" s="31" t="n">
        <f aca="false">IF($G431="",AR431,V431)</f>
        <v>73</v>
      </c>
      <c r="BD431" s="31" t="n">
        <f aca="false">IF($G431="",AS431,Q431)</f>
        <v>42962</v>
      </c>
      <c r="BE431" s="31" t="n">
        <f aca="false">IF($G431="",AT431,W431)</f>
        <v>43720</v>
      </c>
      <c r="BF431" s="31" t="n">
        <f aca="false">IF($G431="",AU431,R431)</f>
        <v>6169</v>
      </c>
      <c r="BG431" s="31" t="n">
        <f aca="false">IF($G431="",AV431,X431)</f>
        <v>6169</v>
      </c>
      <c r="BH431" s="31" t="n">
        <f aca="false">IF($G431="",AW431,S431)</f>
        <v>1</v>
      </c>
      <c r="BI431" s="31" t="n">
        <f aca="false">IF($G431="",AX431,Y431)</f>
        <v>1</v>
      </c>
      <c r="BJ431" s="31" t="n">
        <f aca="false">IF(CK431="N",BR431,ROUNDDOWN((I431-L431)*設定!$B$10/1000,0)+ROUNDDOWN((I431-L431)*設定!$B$11/1000,0))</f>
        <v>0</v>
      </c>
      <c r="BK431" s="31" t="n">
        <f aca="false">ROUNDDOWN((I431-L431)*設定!$C$10/1000,0)+ROUNDDOWN((I431-L431)*設定!$C$11/1000,0)+ROUNDDOWN(I431*設定!$C$12/1000,0)+IF(CL431="市局型",ROUNDDOWN(I431*設定!$C$16/1000,0),0)</f>
        <v>0</v>
      </c>
      <c r="BL431" s="31" t="n">
        <f aca="false">IF(CK431="N",BT431,ROUNDDOWN((J431-M431)*設定!$B$13/1000,0))</f>
        <v>0</v>
      </c>
      <c r="BM431" s="31" t="n">
        <f aca="false">ROUNDDOWN((J431-M431)*設定!$C$13/1000,0)+IF(CL431="市局型",ROUNDDOWN(J431*設定!$C$17/1000,0),0)</f>
        <v>0</v>
      </c>
      <c r="BN431" s="31" t="n">
        <f aca="false">IF(CK431="N",BV431,ROUNDDOWN((K431-N431)*設定!$B$14/1000,0))</f>
        <v>0</v>
      </c>
      <c r="BO431" s="31" t="n">
        <f aca="false">ROUNDDOWN((K431-N431)*設定!$C$14/1000,0)</f>
        <v>0</v>
      </c>
      <c r="BP431" s="31" t="n">
        <f aca="false">IF(CK431="N",BX431,ROUNDDOWN((J431-M431)*設定!$B$15/1000,0))</f>
        <v>0</v>
      </c>
      <c r="BQ431" s="31" t="n">
        <f aca="false">ROUNDDOWN((J431-M431)*設定!$C$15/1000,0)</f>
        <v>0</v>
      </c>
      <c r="BR431" s="31" t="n">
        <f aca="false">O431+P431</f>
        <v>0</v>
      </c>
      <c r="BS431" s="31" t="n">
        <f aca="false">T431+U431+V431</f>
        <v>0</v>
      </c>
      <c r="BT431" s="31" t="n">
        <f aca="false">Q431</f>
        <v>0</v>
      </c>
      <c r="BU431" s="31" t="n">
        <f aca="false">W431</f>
        <v>0</v>
      </c>
      <c r="BV431" s="31" t="n">
        <f aca="false">R431</f>
        <v>0</v>
      </c>
      <c r="BW431" s="31" t="n">
        <f aca="false">X431</f>
        <v>0</v>
      </c>
      <c r="BX431" s="31" t="n">
        <f aca="false">S431</f>
        <v>0</v>
      </c>
      <c r="BY431" s="31" t="n">
        <f aca="false">Y431</f>
        <v>0</v>
      </c>
      <c r="BZ431" s="32" t="n">
        <f aca="false">IF(BJ431=0,IF(BR431=0,0,1),(BR431-BJ431)/BJ431)</f>
        <v>0</v>
      </c>
      <c r="CA431" s="32" t="n">
        <f aca="false">IF(BK431=0,IF(BS431=0,0,1),(BS431-BK431)/BK431)</f>
        <v>0</v>
      </c>
      <c r="CB431" s="32" t="n">
        <f aca="false">IF(BL431=0,IF(BT431=0,0,1),(BT431-BL431)/BL431)</f>
        <v>0</v>
      </c>
      <c r="CC431" s="32" t="n">
        <f aca="false">IF(BM431=0,IF(BU431=0,0,1),(BU431-BM431)/BM431)</f>
        <v>0</v>
      </c>
      <c r="CD431" s="32" t="n">
        <f aca="false">IF(BN431=0,IF(BV431=0,0,1),(BV431-BN431)/BN431)</f>
        <v>0</v>
      </c>
      <c r="CE431" s="32" t="n">
        <f aca="false">IF(BO431=0,IF(BW431=0,0,1),(BW431-BO431)/BO431)</f>
        <v>0</v>
      </c>
      <c r="CF431" s="32" t="n">
        <f aca="false">IF(BP431=0,IF(BX431=0,0,1),(BX431-BP431)/BP431)</f>
        <v>0</v>
      </c>
      <c r="CG431" s="32" t="n">
        <f aca="false">IF(BQ431=0,IF(BY431=0,0,1),(BY431-BQ431)/BQ431)</f>
        <v>0</v>
      </c>
      <c r="CH431" s="32" t="n">
        <f aca="false">MAX(MAX(BZ431:CG431),-MIN(BZ431:CG431))</f>
        <v>-0</v>
      </c>
      <c r="CI431" s="31" t="str">
        <f aca="false">IF(CO431="","",SUMIFS($CJ$7:$CJ$696,$A$7:$A$696,CO431,$B$7:$B$696,B431))</f>
        <v/>
      </c>
      <c r="CJ431" s="31" t="n">
        <f aca="false">SUM(AY431:BI431)</f>
        <v>286143</v>
      </c>
      <c r="CK431" s="31" t="str">
        <f aca="false">IFERROR(INDEX(設定!$F$61:$F$106,MATCH(B431,設定!$B$61:$B$106,0)),"Y")</f>
        <v>Y</v>
      </c>
      <c r="CL431" s="31" t="str">
        <f aca="false">IFERROR(INDEX(設定!$G$61:$G$106,MATCH(B431,設定!$B$61:$B$106,0)),"外郭型")</f>
        <v>市局型</v>
      </c>
      <c r="CM431" s="33" t="str">
        <f aca="false">A431&amp;"|"&amp;B431</f>
        <v>2026-12 賞与|医療政策課(安芸市民)</v>
      </c>
      <c r="CN431" s="34" t="str">
        <f aca="false">IFERROR(INDEX(設定!$D$61:$D$106,MATCH(B431,設定!$B$61:$B$106,0)),"Y")</f>
        <v>Y</v>
      </c>
      <c r="CO431" s="34" t="str">
        <f aca="false">IFERROR(INDEX(設定!$D$20:$D$34,MATCH(A431,設定!$A$20:$A$34,0))&amp;"","")</f>
        <v/>
      </c>
    </row>
    <row r="432" customFormat="false" ht="15" hidden="true" customHeight="false" outlineLevel="0" collapsed="false">
      <c r="A432" s="22" t="s">
        <v>225</v>
      </c>
      <c r="B432" s="23" t="s">
        <v>179</v>
      </c>
      <c r="C432" s="10" t="str">
        <f aca="false">IF(G432="","未受領",IF(G432="なし","報告なし",IF(AL432="○","起票済",IF(OR(AK432="○",F432="一致",F432="入金不要"),"入金確認済","受領済"))))</f>
        <v>未受領</v>
      </c>
      <c r="D432" s="10" t="str">
        <f aca="false">IF(OR(G432="",G432="なし"),"―",IF(CN432="N","対象外",IF(AND(I432="",J432="",K432=""),"標報未入力",IF(CH432&gt;=設定!$B$4,"要確認","問題なし"))))</f>
        <v>―</v>
      </c>
      <c r="E432" s="24" t="str">
        <f aca="false">IF(OR(G432="",G432="なし",CI432="",CJ432=0),"―",IF(CJ432=CI432,"前月同額",IF(CI432=0,"―",IF(ABS(CJ432/CI432-1)&gt;=設定!$B$5,"変動大 "&amp;TEXT(CJ432/CI432-1,"+0%;-0%"),"〇"))))</f>
        <v>―</v>
      </c>
      <c r="F432" s="10" t="str">
        <f aca="false">IF(OR(G432="",G432="なし"),"―",IF(CJ432=0,"入金不要",IF(COUNT(AD432,AF432,AH432,AJ432)=0,IF(AK432="○","手動確認","未入金"),IF(AND(N(AD432)=AC432,IF(AE432="",TRUE(),N(AF432)=AE432),IF(AG432="",TRUE(),N(AH432)=AG432),IF(AI432="",TRUE(),N(AJ432)=AI432)),"一致","不一致"))))</f>
        <v>―</v>
      </c>
      <c r="G432" s="25"/>
      <c r="H432" s="26"/>
      <c r="I432" s="27"/>
      <c r="J432" s="27"/>
      <c r="K432" s="27"/>
      <c r="L432" s="27"/>
      <c r="M432" s="27"/>
      <c r="N432" s="27"/>
      <c r="O432" s="27"/>
      <c r="P432" s="27"/>
      <c r="Q432" s="27"/>
      <c r="R432" s="27"/>
      <c r="S432" s="27"/>
      <c r="T432" s="27"/>
      <c r="U432" s="27"/>
      <c r="V432" s="27"/>
      <c r="W432" s="27"/>
      <c r="X432" s="27"/>
      <c r="Y432" s="27"/>
      <c r="Z432" s="27"/>
      <c r="AA432" s="10" t="str">
        <f aca="false">IFERROR(INDEX(設定!$E$61:$E$106,MATCH(B432,設定!$B$61:$B$106,0)),"合算")</f>
        <v>合算</v>
      </c>
      <c r="AB432" s="28"/>
      <c r="AC432" s="29" t="str">
        <f aca="false">IF(OR(G432="",G432="なし"),"",IF(AA432="合算",CJ432+N(Z432),IF(AA432="掛金・負担金別",(AY432+AZ432+BD432+BF432+BH432),SUM(AY432:BC432))))</f>
        <v/>
      </c>
      <c r="AD432" s="27"/>
      <c r="AE432" s="29" t="str">
        <f aca="false">IF(OR(G432="",G432="なし"),"",IF(AA432="掛金・負担金別",(BA432+BB432+BC432+BE432+BG432+BI432+N(Z432)),IF(AA432="経理区分別",BD432+BE432,"")))</f>
        <v/>
      </c>
      <c r="AF432" s="27"/>
      <c r="AG432" s="29" t="str">
        <f aca="false">IF(OR(G432="",G432="なし"),"",IF(AA432="経理区分別",BF432+BG432,""))</f>
        <v/>
      </c>
      <c r="AH432" s="27"/>
      <c r="AI432" s="29" t="str">
        <f aca="false">IF(OR(G432="",G432="なし"),"",IF(AA432="経理区分別",BH432+BI432+N(Z432),""))</f>
        <v/>
      </c>
      <c r="AJ432" s="27"/>
      <c r="AK432" s="26"/>
      <c r="AL432" s="26"/>
      <c r="AM432" s="30"/>
      <c r="AN432" s="31" t="n">
        <v>0</v>
      </c>
      <c r="AO432" s="31" t="n">
        <v>0</v>
      </c>
      <c r="AP432" s="31"/>
      <c r="AQ432" s="31"/>
      <c r="AR432" s="31" t="n">
        <v>0</v>
      </c>
      <c r="AS432" s="31" t="n">
        <v>397155</v>
      </c>
      <c r="AT432" s="31" t="n">
        <v>404459</v>
      </c>
      <c r="AU432" s="31" t="n">
        <v>10385</v>
      </c>
      <c r="AV432" s="31" t="n">
        <v>10388</v>
      </c>
      <c r="AW432" s="31" t="n">
        <v>1</v>
      </c>
      <c r="AX432" s="31" t="n">
        <v>1</v>
      </c>
      <c r="AY432" s="31" t="n">
        <f aca="false">IF($G432="",AN432,O432)</f>
        <v>0</v>
      </c>
      <c r="AZ432" s="31" t="n">
        <f aca="false">IF($G432="",AO432,P432)</f>
        <v>0</v>
      </c>
      <c r="BA432" s="31" t="n">
        <f aca="false">IF($G432="",AP432,T432)</f>
        <v>0</v>
      </c>
      <c r="BB432" s="31" t="n">
        <f aca="false">IF($G432="",AQ432,U432)</f>
        <v>0</v>
      </c>
      <c r="BC432" s="31" t="n">
        <f aca="false">IF($G432="",AR432,V432)</f>
        <v>0</v>
      </c>
      <c r="BD432" s="31" t="n">
        <f aca="false">IF($G432="",AS432,Q432)</f>
        <v>397155</v>
      </c>
      <c r="BE432" s="31" t="n">
        <f aca="false">IF($G432="",AT432,W432)</f>
        <v>404459</v>
      </c>
      <c r="BF432" s="31" t="n">
        <f aca="false">IF($G432="",AU432,R432)</f>
        <v>10385</v>
      </c>
      <c r="BG432" s="31" t="n">
        <f aca="false">IF($G432="",AV432,X432)</f>
        <v>10388</v>
      </c>
      <c r="BH432" s="31" t="n">
        <f aca="false">IF($G432="",AW432,S432)</f>
        <v>1</v>
      </c>
      <c r="BI432" s="31" t="n">
        <f aca="false">IF($G432="",AX432,Y432)</f>
        <v>1</v>
      </c>
      <c r="BJ432" s="31" t="n">
        <f aca="false">IF(CK432="N",BR432,ROUNDDOWN((I432-L432)*設定!$B$10/1000,0)+ROUNDDOWN((I432-L432)*設定!$B$11/1000,0))</f>
        <v>0</v>
      </c>
      <c r="BK432" s="31" t="n">
        <f aca="false">ROUNDDOWN((I432-L432)*設定!$C$10/1000,0)+ROUNDDOWN((I432-L432)*設定!$C$11/1000,0)+ROUNDDOWN(I432*設定!$C$12/1000,0)+IF(CL432="市局型",ROUNDDOWN(I432*設定!$C$16/1000,0),0)</f>
        <v>0</v>
      </c>
      <c r="BL432" s="31" t="n">
        <f aca="false">IF(CK432="N",BT432,ROUNDDOWN((J432-M432)*設定!$B$13/1000,0))</f>
        <v>0</v>
      </c>
      <c r="BM432" s="31" t="n">
        <f aca="false">ROUNDDOWN((J432-M432)*設定!$C$13/1000,0)+IF(CL432="市局型",ROUNDDOWN(J432*設定!$C$17/1000,0),0)</f>
        <v>0</v>
      </c>
      <c r="BN432" s="31" t="n">
        <f aca="false">IF(CK432="N",BV432,ROUNDDOWN((K432-N432)*設定!$B$14/1000,0))</f>
        <v>0</v>
      </c>
      <c r="BO432" s="31" t="n">
        <f aca="false">ROUNDDOWN((K432-N432)*設定!$C$14/1000,0)</f>
        <v>0</v>
      </c>
      <c r="BP432" s="31" t="n">
        <f aca="false">IF(CK432="N",BX432,ROUNDDOWN((J432-M432)*設定!$B$15/1000,0))</f>
        <v>0</v>
      </c>
      <c r="BQ432" s="31" t="n">
        <f aca="false">ROUNDDOWN((J432-M432)*設定!$C$15/1000,0)</f>
        <v>0</v>
      </c>
      <c r="BR432" s="31" t="n">
        <f aca="false">O432+P432</f>
        <v>0</v>
      </c>
      <c r="BS432" s="31" t="n">
        <f aca="false">T432+U432+V432</f>
        <v>0</v>
      </c>
      <c r="BT432" s="31" t="n">
        <f aca="false">Q432</f>
        <v>0</v>
      </c>
      <c r="BU432" s="31" t="n">
        <f aca="false">W432</f>
        <v>0</v>
      </c>
      <c r="BV432" s="31" t="n">
        <f aca="false">R432</f>
        <v>0</v>
      </c>
      <c r="BW432" s="31" t="n">
        <f aca="false">X432</f>
        <v>0</v>
      </c>
      <c r="BX432" s="31" t="n">
        <f aca="false">S432</f>
        <v>0</v>
      </c>
      <c r="BY432" s="31" t="n">
        <f aca="false">Y432</f>
        <v>0</v>
      </c>
      <c r="BZ432" s="32" t="n">
        <f aca="false">IF(BJ432=0,IF(BR432=0,0,1),(BR432-BJ432)/BJ432)</f>
        <v>0</v>
      </c>
      <c r="CA432" s="32" t="n">
        <f aca="false">IF(BK432=0,IF(BS432=0,0,1),(BS432-BK432)/BK432)</f>
        <v>0</v>
      </c>
      <c r="CB432" s="32" t="n">
        <f aca="false">IF(BL432=0,IF(BT432=0,0,1),(BT432-BL432)/BL432)</f>
        <v>0</v>
      </c>
      <c r="CC432" s="32" t="n">
        <f aca="false">IF(BM432=0,IF(BU432=0,0,1),(BU432-BM432)/BM432)</f>
        <v>0</v>
      </c>
      <c r="CD432" s="32" t="n">
        <f aca="false">IF(BN432=0,IF(BV432=0,0,1),(BV432-BN432)/BN432)</f>
        <v>0</v>
      </c>
      <c r="CE432" s="32" t="n">
        <f aca="false">IF(BO432=0,IF(BW432=0,0,1),(BW432-BO432)/BO432)</f>
        <v>0</v>
      </c>
      <c r="CF432" s="32" t="n">
        <f aca="false">IF(BP432=0,IF(BX432=0,0,1),(BX432-BP432)/BP432)</f>
        <v>0</v>
      </c>
      <c r="CG432" s="32" t="n">
        <f aca="false">IF(BQ432=0,IF(BY432=0,0,1),(BY432-BQ432)/BQ432)</f>
        <v>0</v>
      </c>
      <c r="CH432" s="32" t="n">
        <f aca="false">MAX(MAX(BZ432:CG432),-MIN(BZ432:CG432))</f>
        <v>-0</v>
      </c>
      <c r="CI432" s="31" t="str">
        <f aca="false">IF(CO432="","",SUMIFS($CJ$7:$CJ$696,$A$7:$A$696,CO432,$B$7:$B$696,B432))</f>
        <v/>
      </c>
      <c r="CJ432" s="31" t="n">
        <f aca="false">SUM(AY432:BI432)</f>
        <v>822389</v>
      </c>
      <c r="CK432" s="31" t="str">
        <f aca="false">IFERROR(INDEX(設定!$F$61:$F$106,MATCH(B432,設定!$B$61:$B$106,0)),"Y")</f>
        <v>Y</v>
      </c>
      <c r="CL432" s="31" t="str">
        <f aca="false">IFERROR(INDEX(設定!$G$61:$G$106,MATCH(B432,設定!$B$61:$B$106,0)),"外郭型")</f>
        <v>市局型</v>
      </c>
      <c r="CM432" s="33" t="str">
        <f aca="false">A432&amp;"|"&amp;B432</f>
        <v>2026-12 賞与|教育委員会（教育給与課）</v>
      </c>
      <c r="CN432" s="34" t="str">
        <f aca="false">IFERROR(INDEX(設定!$D$61:$D$106,MATCH(B432,設定!$B$61:$B$106,0)),"Y")</f>
        <v>Y</v>
      </c>
      <c r="CO432" s="34" t="str">
        <f aca="false">IFERROR(INDEX(設定!$D$20:$D$34,MATCH(A432,設定!$A$20:$A$34,0))&amp;"","")</f>
        <v/>
      </c>
    </row>
    <row r="433" customFormat="false" ht="15" hidden="true" customHeight="false" outlineLevel="0" collapsed="false">
      <c r="A433" s="22" t="s">
        <v>225</v>
      </c>
      <c r="B433" s="23" t="s">
        <v>180</v>
      </c>
      <c r="C433" s="10" t="str">
        <f aca="false">IF(G433="","未受領",IF(G433="なし","報告なし",IF(AL433="○","起票済",IF(OR(AK433="○",F433="一致",F433="入金不要"),"入金確認済","受領済"))))</f>
        <v>報告なし</v>
      </c>
      <c r="D433" s="10" t="str">
        <f aca="false">IF(OR(G433="",G433="なし"),"―",IF(CN433="N","対象外",IF(AND(I433="",J433="",K433=""),"標報未入力",IF(CH433&gt;=設定!$B$4,"要確認","問題なし"))))</f>
        <v>―</v>
      </c>
      <c r="E433" s="24" t="str">
        <f aca="false">IF(OR(G433="",G433="なし",CI433="",CJ433=0),"―",IF(CJ433=CI433,"前月同額",IF(CI433=0,"―",IF(ABS(CJ433/CI433-1)&gt;=設定!$B$5,"変動大 "&amp;TEXT(CJ433/CI433-1,"+0%;-0%"),"〇"))))</f>
        <v>―</v>
      </c>
      <c r="F433" s="10" t="str">
        <f aca="false">IF(OR(G433="",G433="なし"),"―",IF(CJ433=0,"入金不要",IF(COUNT(AD433,AF433,AH433,AJ433)=0,IF(AK433="○","手動確認","未入金"),IF(AND(N(AD433)=AC433,IF(AE433="",TRUE(),N(AF433)=AE433),IF(AG433="",TRUE(),N(AH433)=AG433),IF(AI433="",TRUE(),N(AJ433)=AI433)),"一致","不一致"))))</f>
        <v>―</v>
      </c>
      <c r="G433" s="25" t="s">
        <v>181</v>
      </c>
      <c r="H433" s="26"/>
      <c r="I433" s="27"/>
      <c r="J433" s="27"/>
      <c r="K433" s="27"/>
      <c r="L433" s="27"/>
      <c r="M433" s="27"/>
      <c r="N433" s="27"/>
      <c r="O433" s="27"/>
      <c r="P433" s="27"/>
      <c r="Q433" s="27"/>
      <c r="R433" s="27"/>
      <c r="S433" s="27"/>
      <c r="T433" s="27"/>
      <c r="U433" s="27"/>
      <c r="V433" s="27"/>
      <c r="W433" s="27"/>
      <c r="X433" s="27"/>
      <c r="Y433" s="27"/>
      <c r="Z433" s="27"/>
      <c r="AA433" s="10" t="str">
        <f aca="false">IFERROR(INDEX(設定!$E$61:$E$106,MATCH(B433,設定!$B$61:$B$106,0)),"合算")</f>
        <v>合算</v>
      </c>
      <c r="AB433" s="28"/>
      <c r="AC433" s="29" t="str">
        <f aca="false">IF(OR(G433="",G433="なし"),"",IF(AA433="合算",CJ433+N(Z433),IF(AA433="掛金・負担金別",(AY433+AZ433+BD433+BF433+BH433),SUM(AY433:BC433))))</f>
        <v/>
      </c>
      <c r="AD433" s="27"/>
      <c r="AE433" s="29" t="str">
        <f aca="false">IF(OR(G433="",G433="なし"),"",IF(AA433="掛金・負担金別",(BA433+BB433+BC433+BE433+BG433+BI433+N(Z433)),IF(AA433="経理区分別",BD433+BE433,"")))</f>
        <v/>
      </c>
      <c r="AF433" s="27"/>
      <c r="AG433" s="29" t="str">
        <f aca="false">IF(OR(G433="",G433="なし"),"",IF(AA433="経理区分別",BF433+BG433,""))</f>
        <v/>
      </c>
      <c r="AH433" s="27"/>
      <c r="AI433" s="29" t="str">
        <f aca="false">IF(OR(G433="",G433="なし"),"",IF(AA433="経理区分別",BH433+BI433+N(Z433),""))</f>
        <v/>
      </c>
      <c r="AJ433" s="27"/>
      <c r="AK433" s="26"/>
      <c r="AL433" s="26"/>
      <c r="AM433" s="30"/>
      <c r="AN433" s="31"/>
      <c r="AO433" s="31"/>
      <c r="AP433" s="31"/>
      <c r="AQ433" s="31"/>
      <c r="AR433" s="31"/>
      <c r="AS433" s="31"/>
      <c r="AT433" s="31"/>
      <c r="AU433" s="31"/>
      <c r="AV433" s="31"/>
      <c r="AW433" s="31"/>
      <c r="AX433" s="31"/>
      <c r="AY433" s="31" t="n">
        <f aca="false">IF($G433="",AN433,O433)</f>
        <v>0</v>
      </c>
      <c r="AZ433" s="31" t="n">
        <f aca="false">IF($G433="",AO433,P433)</f>
        <v>0</v>
      </c>
      <c r="BA433" s="31" t="n">
        <f aca="false">IF($G433="",AP433,T433)</f>
        <v>0</v>
      </c>
      <c r="BB433" s="31" t="n">
        <f aca="false">IF($G433="",AQ433,U433)</f>
        <v>0</v>
      </c>
      <c r="BC433" s="31" t="n">
        <f aca="false">IF($G433="",AR433,V433)</f>
        <v>0</v>
      </c>
      <c r="BD433" s="31" t="n">
        <f aca="false">IF($G433="",AS433,Q433)</f>
        <v>0</v>
      </c>
      <c r="BE433" s="31" t="n">
        <f aca="false">IF($G433="",AT433,W433)</f>
        <v>0</v>
      </c>
      <c r="BF433" s="31" t="n">
        <f aca="false">IF($G433="",AU433,R433)</f>
        <v>0</v>
      </c>
      <c r="BG433" s="31" t="n">
        <f aca="false">IF($G433="",AV433,X433)</f>
        <v>0</v>
      </c>
      <c r="BH433" s="31" t="n">
        <f aca="false">IF($G433="",AW433,S433)</f>
        <v>0</v>
      </c>
      <c r="BI433" s="31" t="n">
        <f aca="false">IF($G433="",AX433,Y433)</f>
        <v>0</v>
      </c>
      <c r="BJ433" s="31" t="n">
        <f aca="false">IF(CK433="N",BR433,ROUNDDOWN((I433-L433)*設定!$B$10/1000,0)+ROUNDDOWN((I433-L433)*設定!$B$11/1000,0))</f>
        <v>0</v>
      </c>
      <c r="BK433" s="31" t="n">
        <f aca="false">ROUNDDOWN((I433-L433)*設定!$C$10/1000,0)+ROUNDDOWN((I433-L433)*設定!$C$11/1000,0)+ROUNDDOWN(I433*設定!$C$12/1000,0)+IF(CL433="市局型",ROUNDDOWN(I433*設定!$C$16/1000,0),0)</f>
        <v>0</v>
      </c>
      <c r="BL433" s="31" t="n">
        <f aca="false">IF(CK433="N",BT433,ROUNDDOWN((J433-M433)*設定!$B$13/1000,0))</f>
        <v>0</v>
      </c>
      <c r="BM433" s="31" t="n">
        <f aca="false">ROUNDDOWN((J433-M433)*設定!$C$13/1000,0)+IF(CL433="市局型",ROUNDDOWN(J433*設定!$C$17/1000,0),0)</f>
        <v>0</v>
      </c>
      <c r="BN433" s="31" t="n">
        <f aca="false">IF(CK433="N",BV433,ROUNDDOWN((K433-N433)*設定!$B$14/1000,0))</f>
        <v>0</v>
      </c>
      <c r="BO433" s="31" t="n">
        <f aca="false">ROUNDDOWN((K433-N433)*設定!$C$14/1000,0)</f>
        <v>0</v>
      </c>
      <c r="BP433" s="31" t="n">
        <f aca="false">IF(CK433="N",BX433,ROUNDDOWN((J433-M433)*設定!$B$15/1000,0))</f>
        <v>0</v>
      </c>
      <c r="BQ433" s="31" t="n">
        <f aca="false">ROUNDDOWN((J433-M433)*設定!$C$15/1000,0)</f>
        <v>0</v>
      </c>
      <c r="BR433" s="31" t="n">
        <f aca="false">O433+P433</f>
        <v>0</v>
      </c>
      <c r="BS433" s="31" t="n">
        <f aca="false">T433+U433+V433</f>
        <v>0</v>
      </c>
      <c r="BT433" s="31" t="n">
        <f aca="false">Q433</f>
        <v>0</v>
      </c>
      <c r="BU433" s="31" t="n">
        <f aca="false">W433</f>
        <v>0</v>
      </c>
      <c r="BV433" s="31" t="n">
        <f aca="false">R433</f>
        <v>0</v>
      </c>
      <c r="BW433" s="31" t="n">
        <f aca="false">X433</f>
        <v>0</v>
      </c>
      <c r="BX433" s="31" t="n">
        <f aca="false">S433</f>
        <v>0</v>
      </c>
      <c r="BY433" s="31" t="n">
        <f aca="false">Y433</f>
        <v>0</v>
      </c>
      <c r="BZ433" s="32" t="n">
        <f aca="false">IF(BJ433=0,IF(BR433=0,0,1),(BR433-BJ433)/BJ433)</f>
        <v>0</v>
      </c>
      <c r="CA433" s="32" t="n">
        <f aca="false">IF(BK433=0,IF(BS433=0,0,1),(BS433-BK433)/BK433)</f>
        <v>0</v>
      </c>
      <c r="CB433" s="32" t="n">
        <f aca="false">IF(BL433=0,IF(BT433=0,0,1),(BT433-BL433)/BL433)</f>
        <v>0</v>
      </c>
      <c r="CC433" s="32" t="n">
        <f aca="false">IF(BM433=0,IF(BU433=0,0,1),(BU433-BM433)/BM433)</f>
        <v>0</v>
      </c>
      <c r="CD433" s="32" t="n">
        <f aca="false">IF(BN433=0,IF(BV433=0,0,1),(BV433-BN433)/BN433)</f>
        <v>0</v>
      </c>
      <c r="CE433" s="32" t="n">
        <f aca="false">IF(BO433=0,IF(BW433=0,0,1),(BW433-BO433)/BO433)</f>
        <v>0</v>
      </c>
      <c r="CF433" s="32" t="n">
        <f aca="false">IF(BP433=0,IF(BX433=0,0,1),(BX433-BP433)/BP433)</f>
        <v>0</v>
      </c>
      <c r="CG433" s="32" t="n">
        <f aca="false">IF(BQ433=0,IF(BY433=0,0,1),(BY433-BQ433)/BQ433)</f>
        <v>0</v>
      </c>
      <c r="CH433" s="32" t="n">
        <f aca="false">MAX(MAX(BZ433:CG433),-MIN(BZ433:CG433))</f>
        <v>-0</v>
      </c>
      <c r="CI433" s="31" t="str">
        <f aca="false">IF(CO433="","",SUMIFS($CJ$7:$CJ$696,$A$7:$A$696,CO433,$B$7:$B$696,B433))</f>
        <v/>
      </c>
      <c r="CJ433" s="31" t="n">
        <f aca="false">SUM(AY433:BI433)</f>
        <v>0</v>
      </c>
      <c r="CK433" s="31" t="str">
        <f aca="false">IFERROR(INDEX(設定!$F$61:$F$106,MATCH(B433,設定!$B$61:$B$106,0)),"Y")</f>
        <v>N</v>
      </c>
      <c r="CL433" s="31" t="str">
        <f aca="false">IFERROR(INDEX(設定!$G$61:$G$106,MATCH(B433,設定!$B$61:$B$106,0)),"外郭型")</f>
        <v>外郭型</v>
      </c>
      <c r="CM433" s="33" t="str">
        <f aca="false">A433&amp;"|"&amp;B433</f>
        <v>2026-12 賞与|地方税共同機構</v>
      </c>
      <c r="CN433" s="34" t="str">
        <f aca="false">IFERROR(INDEX(設定!$D$61:$D$106,MATCH(B433,設定!$B$61:$B$106,0)),"Y")</f>
        <v>Y</v>
      </c>
      <c r="CO433" s="34" t="str">
        <f aca="false">IFERROR(INDEX(設定!$D$20:$D$34,MATCH(A433,設定!$A$20:$A$34,0))&amp;"","")</f>
        <v/>
      </c>
    </row>
    <row r="434" customFormat="false" ht="15" hidden="true" customHeight="false" outlineLevel="0" collapsed="false">
      <c r="A434" s="22" t="s">
        <v>225</v>
      </c>
      <c r="B434" s="23" t="s">
        <v>182</v>
      </c>
      <c r="C434" s="10" t="str">
        <f aca="false">IF(G434="","未受領",IF(G434="なし","報告なし",IF(AL434="○","起票済",IF(OR(AK434="○",F434="一致",F434="入金不要"),"入金確認済","受領済"))))</f>
        <v>未受領</v>
      </c>
      <c r="D434" s="10" t="str">
        <f aca="false">IF(OR(G434="",G434="なし"),"―",IF(CN434="N","対象外",IF(AND(I434="",J434="",K434=""),"標報未入力",IF(CH434&gt;=設定!$B$4,"要確認","問題なし"))))</f>
        <v>―</v>
      </c>
      <c r="E434" s="24" t="str">
        <f aca="false">IF(OR(G434="",G434="なし",CI434="",CJ434=0),"―",IF(CJ434=CI434,"前月同額",IF(CI434=0,"―",IF(ABS(CJ434/CI434-1)&gt;=設定!$B$5,"変動大 "&amp;TEXT(CJ434/CI434-1,"+0%;-0%"),"〇"))))</f>
        <v>―</v>
      </c>
      <c r="F434" s="10" t="str">
        <f aca="false">IF(OR(G434="",G434="なし"),"―",IF(CJ434=0,"入金不要",IF(COUNT(AD434,AF434,AH434,AJ434)=0,IF(AK434="○","手動確認","未入金"),IF(AND(N(AD434)=AC434,IF(AE434="",TRUE(),N(AF434)=AE434),IF(AG434="",TRUE(),N(AH434)=AG434),IF(AI434="",TRUE(),N(AJ434)=AI434)),"一致","不一致"))))</f>
        <v>―</v>
      </c>
      <c r="G434" s="25"/>
      <c r="H434" s="26"/>
      <c r="I434" s="27"/>
      <c r="J434" s="27"/>
      <c r="K434" s="27"/>
      <c r="L434" s="27"/>
      <c r="M434" s="27"/>
      <c r="N434" s="27"/>
      <c r="O434" s="27"/>
      <c r="P434" s="27"/>
      <c r="Q434" s="27"/>
      <c r="R434" s="27"/>
      <c r="S434" s="27"/>
      <c r="T434" s="27"/>
      <c r="U434" s="27"/>
      <c r="V434" s="27"/>
      <c r="W434" s="27"/>
      <c r="X434" s="27"/>
      <c r="Y434" s="27"/>
      <c r="Z434" s="27"/>
      <c r="AA434" s="10" t="str">
        <f aca="false">IFERROR(INDEX(設定!$E$61:$E$106,MATCH(B434,設定!$B$61:$B$106,0)),"合算")</f>
        <v>合算</v>
      </c>
      <c r="AB434" s="28"/>
      <c r="AC434" s="29" t="str">
        <f aca="false">IF(OR(G434="",G434="なし"),"",IF(AA434="合算",CJ434+N(Z434),IF(AA434="掛金・負担金別",(AY434+AZ434+BD434+BF434+BH434),SUM(AY434:BC434))))</f>
        <v/>
      </c>
      <c r="AD434" s="27"/>
      <c r="AE434" s="29" t="str">
        <f aca="false">IF(OR(G434="",G434="なし"),"",IF(AA434="掛金・負担金別",(BA434+BB434+BC434+BE434+BG434+BI434+N(Z434)),IF(AA434="経理区分別",BD434+BE434,"")))</f>
        <v/>
      </c>
      <c r="AF434" s="27"/>
      <c r="AG434" s="29" t="str">
        <f aca="false">IF(OR(G434="",G434="なし"),"",IF(AA434="経理区分別",BF434+BG434,""))</f>
        <v/>
      </c>
      <c r="AH434" s="27"/>
      <c r="AI434" s="29" t="str">
        <f aca="false">IF(OR(G434="",G434="なし"),"",IF(AA434="経理区分別",BH434+BI434+N(Z434),""))</f>
        <v/>
      </c>
      <c r="AJ434" s="27"/>
      <c r="AK434" s="26"/>
      <c r="AL434" s="26"/>
      <c r="AM434" s="30"/>
      <c r="AN434" s="31" t="n">
        <v>0</v>
      </c>
      <c r="AO434" s="31" t="n">
        <v>0</v>
      </c>
      <c r="AP434" s="31" t="n">
        <v>1159671</v>
      </c>
      <c r="AQ434" s="31" t="n">
        <v>95056</v>
      </c>
      <c r="AR434" s="31" t="n">
        <v>1306</v>
      </c>
      <c r="AS434" s="31" t="n">
        <v>0</v>
      </c>
      <c r="AT434" s="31" t="n">
        <v>698465</v>
      </c>
      <c r="AU434" s="31" t="n">
        <v>0</v>
      </c>
      <c r="AV434" s="31" t="n">
        <v>95329</v>
      </c>
      <c r="AW434" s="31" t="n">
        <v>0</v>
      </c>
      <c r="AX434" s="31" t="n">
        <v>1</v>
      </c>
      <c r="AY434" s="31" t="n">
        <f aca="false">IF($G434="",AN434,O434)</f>
        <v>0</v>
      </c>
      <c r="AZ434" s="31" t="n">
        <f aca="false">IF($G434="",AO434,P434)</f>
        <v>0</v>
      </c>
      <c r="BA434" s="31" t="n">
        <f aca="false">IF($G434="",AP434,T434)</f>
        <v>1159671</v>
      </c>
      <c r="BB434" s="31" t="n">
        <f aca="false">IF($G434="",AQ434,U434)</f>
        <v>95056</v>
      </c>
      <c r="BC434" s="31" t="n">
        <f aca="false">IF($G434="",AR434,V434)</f>
        <v>1306</v>
      </c>
      <c r="BD434" s="31" t="n">
        <f aca="false">IF($G434="",AS434,Q434)</f>
        <v>0</v>
      </c>
      <c r="BE434" s="31" t="n">
        <f aca="false">IF($G434="",AT434,W434)</f>
        <v>698465</v>
      </c>
      <c r="BF434" s="31" t="n">
        <f aca="false">IF($G434="",AU434,R434)</f>
        <v>0</v>
      </c>
      <c r="BG434" s="31" t="n">
        <f aca="false">IF($G434="",AV434,X434)</f>
        <v>95329</v>
      </c>
      <c r="BH434" s="31" t="n">
        <f aca="false">IF($G434="",AW434,S434)</f>
        <v>0</v>
      </c>
      <c r="BI434" s="31" t="n">
        <f aca="false">IF($G434="",AX434,Y434)</f>
        <v>1</v>
      </c>
      <c r="BJ434" s="31" t="n">
        <f aca="false">IF(CK434="N",BR434,ROUNDDOWN((I434-L434)*設定!$B$10/1000,0)+ROUNDDOWN((I434-L434)*設定!$B$11/1000,0))</f>
        <v>0</v>
      </c>
      <c r="BK434" s="31" t="n">
        <f aca="false">ROUNDDOWN((I434-L434)*設定!$C$10/1000,0)+ROUNDDOWN((I434-L434)*設定!$C$11/1000,0)+ROUNDDOWN(I434*設定!$C$12/1000,0)+IF(CL434="市局型",ROUNDDOWN(I434*設定!$C$16/1000,0),0)</f>
        <v>0</v>
      </c>
      <c r="BL434" s="31" t="n">
        <f aca="false">IF(CK434="N",BT434,ROUNDDOWN((J434-M434)*設定!$B$13/1000,0))</f>
        <v>0</v>
      </c>
      <c r="BM434" s="31" t="n">
        <f aca="false">ROUNDDOWN((J434-M434)*設定!$C$13/1000,0)+IF(CL434="市局型",ROUNDDOWN(J434*設定!$C$17/1000,0),0)</f>
        <v>0</v>
      </c>
      <c r="BN434" s="31" t="n">
        <f aca="false">IF(CK434="N",BV434,ROUNDDOWN((K434-N434)*設定!$B$14/1000,0))</f>
        <v>0</v>
      </c>
      <c r="BO434" s="31" t="n">
        <f aca="false">ROUNDDOWN((K434-N434)*設定!$C$14/1000,0)</f>
        <v>0</v>
      </c>
      <c r="BP434" s="31" t="n">
        <f aca="false">IF(CK434="N",BX434,ROUNDDOWN((J434-M434)*設定!$B$15/1000,0))</f>
        <v>0</v>
      </c>
      <c r="BQ434" s="31" t="n">
        <f aca="false">ROUNDDOWN((J434-M434)*設定!$C$15/1000,0)</f>
        <v>0</v>
      </c>
      <c r="BR434" s="31" t="n">
        <f aca="false">O434+P434</f>
        <v>0</v>
      </c>
      <c r="BS434" s="31" t="n">
        <f aca="false">T434+U434+V434</f>
        <v>0</v>
      </c>
      <c r="BT434" s="31" t="n">
        <f aca="false">Q434</f>
        <v>0</v>
      </c>
      <c r="BU434" s="31" t="n">
        <f aca="false">W434</f>
        <v>0</v>
      </c>
      <c r="BV434" s="31" t="n">
        <f aca="false">R434</f>
        <v>0</v>
      </c>
      <c r="BW434" s="31" t="n">
        <f aca="false">X434</f>
        <v>0</v>
      </c>
      <c r="BX434" s="31" t="n">
        <f aca="false">S434</f>
        <v>0</v>
      </c>
      <c r="BY434" s="31" t="n">
        <f aca="false">Y434</f>
        <v>0</v>
      </c>
      <c r="BZ434" s="32" t="n">
        <f aca="false">IF(BJ434=0,IF(BR434=0,0,1),(BR434-BJ434)/BJ434)</f>
        <v>0</v>
      </c>
      <c r="CA434" s="32" t="n">
        <f aca="false">IF(BK434=0,IF(BS434=0,0,1),(BS434-BK434)/BK434)</f>
        <v>0</v>
      </c>
      <c r="CB434" s="32" t="n">
        <f aca="false">IF(BL434=0,IF(BT434=0,0,1),(BT434-BL434)/BL434)</f>
        <v>0</v>
      </c>
      <c r="CC434" s="32" t="n">
        <f aca="false">IF(BM434=0,IF(BU434=0,0,1),(BU434-BM434)/BM434)</f>
        <v>0</v>
      </c>
      <c r="CD434" s="32" t="n">
        <f aca="false">IF(BN434=0,IF(BV434=0,0,1),(BV434-BN434)/BN434)</f>
        <v>0</v>
      </c>
      <c r="CE434" s="32" t="n">
        <f aca="false">IF(BO434=0,IF(BW434=0,0,1),(BW434-BO434)/BO434)</f>
        <v>0</v>
      </c>
      <c r="CF434" s="32" t="n">
        <f aca="false">IF(BP434=0,IF(BX434=0,0,1),(BX434-BP434)/BP434)</f>
        <v>0</v>
      </c>
      <c r="CG434" s="32" t="n">
        <f aca="false">IF(BQ434=0,IF(BY434=0,0,1),(BY434-BQ434)/BQ434)</f>
        <v>0</v>
      </c>
      <c r="CH434" s="32" t="n">
        <f aca="false">MAX(MAX(BZ434:CG434),-MIN(BZ434:CG434))</f>
        <v>-0</v>
      </c>
      <c r="CI434" s="31" t="str">
        <f aca="false">IF(CO434="","",SUMIFS($CJ$7:$CJ$696,$A$7:$A$696,CO434,$B$7:$B$696,B434))</f>
        <v/>
      </c>
      <c r="CJ434" s="31" t="n">
        <f aca="false">SUM(AY434:BI434)</f>
        <v>2049828</v>
      </c>
      <c r="CK434" s="31" t="str">
        <f aca="false">IFERROR(INDEX(設定!$F$61:$F$106,MATCH(B434,設定!$B$61:$B$106,0)),"Y")</f>
        <v>Y</v>
      </c>
      <c r="CL434" s="31" t="str">
        <f aca="false">IFERROR(INDEX(設定!$G$61:$G$106,MATCH(B434,設定!$B$61:$B$106,0)),"外郭型")</f>
        <v>外郭型</v>
      </c>
      <c r="CM434" s="33" t="str">
        <f aca="false">A434&amp;"|"&amp;B434</f>
        <v>2026-12 賞与|平和文化センター</v>
      </c>
      <c r="CN434" s="34" t="str">
        <f aca="false">IFERROR(INDEX(設定!$D$61:$D$106,MATCH(B434,設定!$B$61:$B$106,0)),"Y")</f>
        <v>Y</v>
      </c>
      <c r="CO434" s="34" t="str">
        <f aca="false">IFERROR(INDEX(設定!$D$20:$D$34,MATCH(A434,設定!$A$20:$A$34,0))&amp;"","")</f>
        <v/>
      </c>
    </row>
    <row r="435" customFormat="false" ht="15" hidden="true" customHeight="false" outlineLevel="0" collapsed="false">
      <c r="A435" s="22" t="s">
        <v>225</v>
      </c>
      <c r="B435" s="23" t="s">
        <v>183</v>
      </c>
      <c r="C435" s="10" t="str">
        <f aca="false">IF(G435="","未受領",IF(G435="なし","報告なし",IF(AL435="○","起票済",IF(OR(AK435="○",F435="一致",F435="入金不要"),"入金確認済","受領済"))))</f>
        <v>未受領</v>
      </c>
      <c r="D435" s="10" t="str">
        <f aca="false">IF(OR(G435="",G435="なし"),"―",IF(CN435="N","対象外",IF(AND(I435="",J435="",K435=""),"標報未入力",IF(CH435&gt;=設定!$B$4,"要確認","問題なし"))))</f>
        <v>―</v>
      </c>
      <c r="E435" s="24" t="str">
        <f aca="false">IF(OR(G435="",G435="なし",CI435="",CJ435=0),"―",IF(CJ435=CI435,"前月同額",IF(CI435=0,"―",IF(ABS(CJ435/CI435-1)&gt;=設定!$B$5,"変動大 "&amp;TEXT(CJ435/CI435-1,"+0%;-0%"),"〇"))))</f>
        <v>―</v>
      </c>
      <c r="F435" s="10" t="str">
        <f aca="false">IF(OR(G435="",G435="なし"),"―",IF(CJ435=0,"入金不要",IF(COUNT(AD435,AF435,AH435,AJ435)=0,IF(AK435="○","手動確認","未入金"),IF(AND(N(AD435)=AC435,IF(AE435="",TRUE(),N(AF435)=AE435),IF(AG435="",TRUE(),N(AH435)=AG435),IF(AI435="",TRUE(),N(AJ435)=AI435)),"一致","不一致"))))</f>
        <v>―</v>
      </c>
      <c r="G435" s="25"/>
      <c r="H435" s="26"/>
      <c r="I435" s="27"/>
      <c r="J435" s="27"/>
      <c r="K435" s="27"/>
      <c r="L435" s="27"/>
      <c r="M435" s="27"/>
      <c r="N435" s="27"/>
      <c r="O435" s="27"/>
      <c r="P435" s="27"/>
      <c r="Q435" s="27"/>
      <c r="R435" s="27"/>
      <c r="S435" s="27"/>
      <c r="T435" s="27"/>
      <c r="U435" s="27"/>
      <c r="V435" s="27"/>
      <c r="W435" s="27"/>
      <c r="X435" s="27"/>
      <c r="Y435" s="27"/>
      <c r="Z435" s="27"/>
      <c r="AA435" s="10" t="str">
        <f aca="false">IFERROR(INDEX(設定!$E$61:$E$106,MATCH(B435,設定!$B$61:$B$106,0)),"合算")</f>
        <v>合算</v>
      </c>
      <c r="AB435" s="28"/>
      <c r="AC435" s="29" t="str">
        <f aca="false">IF(OR(G435="",G435="なし"),"",IF(AA435="合算",CJ435+N(Z435),IF(AA435="掛金・負担金別",(AY435+AZ435+BD435+BF435+BH435),SUM(AY435:BC435))))</f>
        <v/>
      </c>
      <c r="AD435" s="27"/>
      <c r="AE435" s="29" t="str">
        <f aca="false">IF(OR(G435="",G435="なし"),"",IF(AA435="掛金・負担金別",(BA435+BB435+BC435+BE435+BG435+BI435+N(Z435)),IF(AA435="経理区分別",BD435+BE435,"")))</f>
        <v/>
      </c>
      <c r="AF435" s="27"/>
      <c r="AG435" s="29" t="str">
        <f aca="false">IF(OR(G435="",G435="なし"),"",IF(AA435="経理区分別",BF435+BG435,""))</f>
        <v/>
      </c>
      <c r="AH435" s="27"/>
      <c r="AI435" s="29" t="str">
        <f aca="false">IF(OR(G435="",G435="なし"),"",IF(AA435="経理区分別",BH435+BI435+N(Z435),""))</f>
        <v/>
      </c>
      <c r="AJ435" s="27"/>
      <c r="AK435" s="26"/>
      <c r="AL435" s="26"/>
      <c r="AM435" s="30"/>
      <c r="AN435" s="31"/>
      <c r="AO435" s="31"/>
      <c r="AP435" s="31" t="n">
        <v>3806683</v>
      </c>
      <c r="AQ435" s="31" t="n">
        <v>312018</v>
      </c>
      <c r="AR435" s="31" t="n">
        <v>3974</v>
      </c>
      <c r="AS435" s="31"/>
      <c r="AT435" s="31" t="n">
        <v>2319101</v>
      </c>
      <c r="AU435" s="31"/>
      <c r="AV435" s="31" t="n">
        <v>255827</v>
      </c>
      <c r="AW435" s="31"/>
      <c r="AX435" s="31" t="n">
        <v>1</v>
      </c>
      <c r="AY435" s="31" t="n">
        <f aca="false">IF($G435="",AN435,O435)</f>
        <v>0</v>
      </c>
      <c r="AZ435" s="31" t="n">
        <f aca="false">IF($G435="",AO435,P435)</f>
        <v>0</v>
      </c>
      <c r="BA435" s="31" t="n">
        <f aca="false">IF($G435="",AP435,T435)</f>
        <v>3806683</v>
      </c>
      <c r="BB435" s="31" t="n">
        <f aca="false">IF($G435="",AQ435,U435)</f>
        <v>312018</v>
      </c>
      <c r="BC435" s="31" t="n">
        <f aca="false">IF($G435="",AR435,V435)</f>
        <v>3974</v>
      </c>
      <c r="BD435" s="31" t="n">
        <f aca="false">IF($G435="",AS435,Q435)</f>
        <v>0</v>
      </c>
      <c r="BE435" s="31" t="n">
        <f aca="false">IF($G435="",AT435,W435)</f>
        <v>2319101</v>
      </c>
      <c r="BF435" s="31" t="n">
        <f aca="false">IF($G435="",AU435,R435)</f>
        <v>0</v>
      </c>
      <c r="BG435" s="31" t="n">
        <f aca="false">IF($G435="",AV435,X435)</f>
        <v>255827</v>
      </c>
      <c r="BH435" s="31" t="n">
        <f aca="false">IF($G435="",AW435,S435)</f>
        <v>0</v>
      </c>
      <c r="BI435" s="31" t="n">
        <f aca="false">IF($G435="",AX435,Y435)</f>
        <v>1</v>
      </c>
      <c r="BJ435" s="31" t="n">
        <f aca="false">IF(CK435="N",BR435,ROUNDDOWN((I435-L435)*設定!$B$10/1000,0)+ROUNDDOWN((I435-L435)*設定!$B$11/1000,0))</f>
        <v>0</v>
      </c>
      <c r="BK435" s="31" t="n">
        <f aca="false">ROUNDDOWN((I435-L435)*設定!$C$10/1000,0)+ROUNDDOWN((I435-L435)*設定!$C$11/1000,0)+ROUNDDOWN(I435*設定!$C$12/1000,0)+IF(CL435="市局型",ROUNDDOWN(I435*設定!$C$16/1000,0),0)</f>
        <v>0</v>
      </c>
      <c r="BL435" s="31" t="n">
        <f aca="false">IF(CK435="N",BT435,ROUNDDOWN((J435-M435)*設定!$B$13/1000,0))</f>
        <v>0</v>
      </c>
      <c r="BM435" s="31" t="n">
        <f aca="false">ROUNDDOWN((J435-M435)*設定!$C$13/1000,0)+IF(CL435="市局型",ROUNDDOWN(J435*設定!$C$17/1000,0),0)</f>
        <v>0</v>
      </c>
      <c r="BN435" s="31" t="n">
        <f aca="false">IF(CK435="N",BV435,ROUNDDOWN((K435-N435)*設定!$B$14/1000,0))</f>
        <v>0</v>
      </c>
      <c r="BO435" s="31" t="n">
        <f aca="false">ROUNDDOWN((K435-N435)*設定!$C$14/1000,0)</f>
        <v>0</v>
      </c>
      <c r="BP435" s="31" t="n">
        <f aca="false">IF(CK435="N",BX435,ROUNDDOWN((J435-M435)*設定!$B$15/1000,0))</f>
        <v>0</v>
      </c>
      <c r="BQ435" s="31" t="n">
        <f aca="false">ROUNDDOWN((J435-M435)*設定!$C$15/1000,0)</f>
        <v>0</v>
      </c>
      <c r="BR435" s="31" t="n">
        <f aca="false">O435+P435</f>
        <v>0</v>
      </c>
      <c r="BS435" s="31" t="n">
        <f aca="false">T435+U435+V435</f>
        <v>0</v>
      </c>
      <c r="BT435" s="31" t="n">
        <f aca="false">Q435</f>
        <v>0</v>
      </c>
      <c r="BU435" s="31" t="n">
        <f aca="false">W435</f>
        <v>0</v>
      </c>
      <c r="BV435" s="31" t="n">
        <f aca="false">R435</f>
        <v>0</v>
      </c>
      <c r="BW435" s="31" t="n">
        <f aca="false">X435</f>
        <v>0</v>
      </c>
      <c r="BX435" s="31" t="n">
        <f aca="false">S435</f>
        <v>0</v>
      </c>
      <c r="BY435" s="31" t="n">
        <f aca="false">Y435</f>
        <v>0</v>
      </c>
      <c r="BZ435" s="32" t="n">
        <f aca="false">IF(BJ435=0,IF(BR435=0,0,1),(BR435-BJ435)/BJ435)</f>
        <v>0</v>
      </c>
      <c r="CA435" s="32" t="n">
        <f aca="false">IF(BK435=0,IF(BS435=0,0,1),(BS435-BK435)/BK435)</f>
        <v>0</v>
      </c>
      <c r="CB435" s="32" t="n">
        <f aca="false">IF(BL435=0,IF(BT435=0,0,1),(BT435-BL435)/BL435)</f>
        <v>0</v>
      </c>
      <c r="CC435" s="32" t="n">
        <f aca="false">IF(BM435=0,IF(BU435=0,0,1),(BU435-BM435)/BM435)</f>
        <v>0</v>
      </c>
      <c r="CD435" s="32" t="n">
        <f aca="false">IF(BN435=0,IF(BV435=0,0,1),(BV435-BN435)/BN435)</f>
        <v>0</v>
      </c>
      <c r="CE435" s="32" t="n">
        <f aca="false">IF(BO435=0,IF(BW435=0,0,1),(BW435-BO435)/BO435)</f>
        <v>0</v>
      </c>
      <c r="CF435" s="32" t="n">
        <f aca="false">IF(BP435=0,IF(BX435=0,0,1),(BX435-BP435)/BP435)</f>
        <v>0</v>
      </c>
      <c r="CG435" s="32" t="n">
        <f aca="false">IF(BQ435=0,IF(BY435=0,0,1),(BY435-BQ435)/BQ435)</f>
        <v>0</v>
      </c>
      <c r="CH435" s="32" t="n">
        <f aca="false">MAX(MAX(BZ435:CG435),-MIN(BZ435:CG435))</f>
        <v>-0</v>
      </c>
      <c r="CI435" s="31" t="str">
        <f aca="false">IF(CO435="","",SUMIFS($CJ$7:$CJ$696,$A$7:$A$696,CO435,$B$7:$B$696,B435))</f>
        <v/>
      </c>
      <c r="CJ435" s="31" t="n">
        <f aca="false">SUM(AY435:BI435)</f>
        <v>6697604</v>
      </c>
      <c r="CK435" s="31" t="str">
        <f aca="false">IFERROR(INDEX(設定!$F$61:$F$106,MATCH(B435,設定!$B$61:$B$106,0)),"Y")</f>
        <v>N</v>
      </c>
      <c r="CL435" s="31" t="str">
        <f aca="false">IFERROR(INDEX(設定!$G$61:$G$106,MATCH(B435,設定!$B$61:$B$106,0)),"外郭型")</f>
        <v>外郭型</v>
      </c>
      <c r="CM435" s="33" t="str">
        <f aca="false">A435&amp;"|"&amp;B435</f>
        <v>2026-12 賞与|社会福祉事業団</v>
      </c>
      <c r="CN435" s="34" t="str">
        <f aca="false">IFERROR(INDEX(設定!$D$61:$D$106,MATCH(B435,設定!$B$61:$B$106,0)),"Y")</f>
        <v>Y</v>
      </c>
      <c r="CO435" s="34" t="str">
        <f aca="false">IFERROR(INDEX(設定!$D$20:$D$34,MATCH(A435,設定!$A$20:$A$34,0))&amp;"","")</f>
        <v/>
      </c>
    </row>
    <row r="436" customFormat="false" ht="15" hidden="true" customHeight="false" outlineLevel="0" collapsed="false">
      <c r="A436" s="22" t="s">
        <v>225</v>
      </c>
      <c r="B436" s="23" t="s">
        <v>184</v>
      </c>
      <c r="C436" s="10" t="str">
        <f aca="false">IF(G436="","未受領",IF(G436="なし","報告なし",IF(AL436="○","起票済",IF(OR(AK436="○",F436="一致",F436="入金不要"),"入金確認済","受領済"))))</f>
        <v>未受領</v>
      </c>
      <c r="D436" s="10" t="str">
        <f aca="false">IF(OR(G436="",G436="なし"),"―",IF(CN436="N","対象外",IF(AND(I436="",J436="",K436=""),"標報未入力",IF(CH436&gt;=設定!$B$4,"要確認","問題なし"))))</f>
        <v>―</v>
      </c>
      <c r="E436" s="24" t="str">
        <f aca="false">IF(OR(G436="",G436="なし",CI436="",CJ436=0),"―",IF(CJ436=CI436,"前月同額",IF(CI436=0,"―",IF(ABS(CJ436/CI436-1)&gt;=設定!$B$5,"変動大 "&amp;TEXT(CJ436/CI436-1,"+0%;-0%"),"〇"))))</f>
        <v>―</v>
      </c>
      <c r="F436" s="10" t="str">
        <f aca="false">IF(OR(G436="",G436="なし"),"―",IF(CJ436=0,"入金不要",IF(COUNT(AD436,AF436,AH436,AJ436)=0,IF(AK436="○","手動確認","未入金"),IF(AND(N(AD436)=AC436,IF(AE436="",TRUE(),N(AF436)=AE436),IF(AG436="",TRUE(),N(AH436)=AG436),IF(AI436="",TRUE(),N(AJ436)=AI436)),"一致","不一致"))))</f>
        <v>―</v>
      </c>
      <c r="G436" s="25"/>
      <c r="H436" s="26"/>
      <c r="I436" s="27"/>
      <c r="J436" s="27"/>
      <c r="K436" s="27"/>
      <c r="L436" s="27"/>
      <c r="M436" s="27"/>
      <c r="N436" s="27"/>
      <c r="O436" s="27"/>
      <c r="P436" s="27"/>
      <c r="Q436" s="27"/>
      <c r="R436" s="27"/>
      <c r="S436" s="27"/>
      <c r="T436" s="27"/>
      <c r="U436" s="27"/>
      <c r="V436" s="27"/>
      <c r="W436" s="27"/>
      <c r="X436" s="27"/>
      <c r="Y436" s="27"/>
      <c r="Z436" s="27"/>
      <c r="AA436" s="10" t="str">
        <f aca="false">IFERROR(INDEX(設定!$E$61:$E$106,MATCH(B436,設定!$B$61:$B$106,0)),"合算")</f>
        <v>合算</v>
      </c>
      <c r="AB436" s="28"/>
      <c r="AC436" s="29" t="str">
        <f aca="false">IF(OR(G436="",G436="なし"),"",IF(AA436="合算",CJ436+N(Z436),IF(AA436="掛金・負担金別",(AY436+AZ436+BD436+BF436+BH436),SUM(AY436:BC436))))</f>
        <v/>
      </c>
      <c r="AD436" s="27"/>
      <c r="AE436" s="29" t="str">
        <f aca="false">IF(OR(G436="",G436="なし"),"",IF(AA436="掛金・負担金別",(BA436+BB436+BC436+BE436+BG436+BI436+N(Z436)),IF(AA436="経理区分別",BD436+BE436,"")))</f>
        <v/>
      </c>
      <c r="AF436" s="27"/>
      <c r="AG436" s="29" t="str">
        <f aca="false">IF(OR(G436="",G436="なし"),"",IF(AA436="経理区分別",BF436+BG436,""))</f>
        <v/>
      </c>
      <c r="AH436" s="27"/>
      <c r="AI436" s="29" t="str">
        <f aca="false">IF(OR(G436="",G436="なし"),"",IF(AA436="経理区分別",BH436+BI436+N(Z436),""))</f>
        <v/>
      </c>
      <c r="AJ436" s="27"/>
      <c r="AK436" s="26"/>
      <c r="AL436" s="26"/>
      <c r="AM436" s="30"/>
      <c r="AN436" s="31"/>
      <c r="AO436" s="31"/>
      <c r="AP436" s="31" t="n">
        <v>102755</v>
      </c>
      <c r="AQ436" s="31" t="n">
        <v>8422</v>
      </c>
      <c r="AR436" s="31" t="n">
        <v>105</v>
      </c>
      <c r="AS436" s="31"/>
      <c r="AT436" s="31" t="n">
        <v>61888</v>
      </c>
      <c r="AU436" s="31"/>
      <c r="AV436" s="31" t="n">
        <v>8871</v>
      </c>
      <c r="AW436" s="31"/>
      <c r="AX436" s="31" t="n">
        <v>1</v>
      </c>
      <c r="AY436" s="31" t="n">
        <f aca="false">IF($G436="",AN436,O436)</f>
        <v>0</v>
      </c>
      <c r="AZ436" s="31" t="n">
        <f aca="false">IF($G436="",AO436,P436)</f>
        <v>0</v>
      </c>
      <c r="BA436" s="31" t="n">
        <f aca="false">IF($G436="",AP436,T436)</f>
        <v>102755</v>
      </c>
      <c r="BB436" s="31" t="n">
        <f aca="false">IF($G436="",AQ436,U436)</f>
        <v>8422</v>
      </c>
      <c r="BC436" s="31" t="n">
        <f aca="false">IF($G436="",AR436,V436)</f>
        <v>105</v>
      </c>
      <c r="BD436" s="31" t="n">
        <f aca="false">IF($G436="",AS436,Q436)</f>
        <v>0</v>
      </c>
      <c r="BE436" s="31" t="n">
        <f aca="false">IF($G436="",AT436,W436)</f>
        <v>61888</v>
      </c>
      <c r="BF436" s="31" t="n">
        <f aca="false">IF($G436="",AU436,R436)</f>
        <v>0</v>
      </c>
      <c r="BG436" s="31" t="n">
        <f aca="false">IF($G436="",AV436,X436)</f>
        <v>8871</v>
      </c>
      <c r="BH436" s="31" t="n">
        <f aca="false">IF($G436="",AW436,S436)</f>
        <v>0</v>
      </c>
      <c r="BI436" s="31" t="n">
        <f aca="false">IF($G436="",AX436,Y436)</f>
        <v>1</v>
      </c>
      <c r="BJ436" s="31" t="n">
        <f aca="false">IF(CK436="N",BR436,ROUNDDOWN((I436-L436)*設定!$B$10/1000,0)+ROUNDDOWN((I436-L436)*設定!$B$11/1000,0))</f>
        <v>0</v>
      </c>
      <c r="BK436" s="31" t="n">
        <f aca="false">ROUNDDOWN((I436-L436)*設定!$C$10/1000,0)+ROUNDDOWN((I436-L436)*設定!$C$11/1000,0)+ROUNDDOWN(I436*設定!$C$12/1000,0)+IF(CL436="市局型",ROUNDDOWN(I436*設定!$C$16/1000,0),0)</f>
        <v>0</v>
      </c>
      <c r="BL436" s="31" t="n">
        <f aca="false">IF(CK436="N",BT436,ROUNDDOWN((J436-M436)*設定!$B$13/1000,0))</f>
        <v>0</v>
      </c>
      <c r="BM436" s="31" t="n">
        <f aca="false">ROUNDDOWN((J436-M436)*設定!$C$13/1000,0)+IF(CL436="市局型",ROUNDDOWN(J436*設定!$C$17/1000,0),0)</f>
        <v>0</v>
      </c>
      <c r="BN436" s="31" t="n">
        <f aca="false">IF(CK436="N",BV436,ROUNDDOWN((K436-N436)*設定!$B$14/1000,0))</f>
        <v>0</v>
      </c>
      <c r="BO436" s="31" t="n">
        <f aca="false">ROUNDDOWN((K436-N436)*設定!$C$14/1000,0)</f>
        <v>0</v>
      </c>
      <c r="BP436" s="31" t="n">
        <f aca="false">IF(CK436="N",BX436,ROUNDDOWN((J436-M436)*設定!$B$15/1000,0))</f>
        <v>0</v>
      </c>
      <c r="BQ436" s="31" t="n">
        <f aca="false">ROUNDDOWN((J436-M436)*設定!$C$15/1000,0)</f>
        <v>0</v>
      </c>
      <c r="BR436" s="31" t="n">
        <f aca="false">O436+P436</f>
        <v>0</v>
      </c>
      <c r="BS436" s="31" t="n">
        <f aca="false">T436+U436+V436</f>
        <v>0</v>
      </c>
      <c r="BT436" s="31" t="n">
        <f aca="false">Q436</f>
        <v>0</v>
      </c>
      <c r="BU436" s="31" t="n">
        <f aca="false">W436</f>
        <v>0</v>
      </c>
      <c r="BV436" s="31" t="n">
        <f aca="false">R436</f>
        <v>0</v>
      </c>
      <c r="BW436" s="31" t="n">
        <f aca="false">X436</f>
        <v>0</v>
      </c>
      <c r="BX436" s="31" t="n">
        <f aca="false">S436</f>
        <v>0</v>
      </c>
      <c r="BY436" s="31" t="n">
        <f aca="false">Y436</f>
        <v>0</v>
      </c>
      <c r="BZ436" s="32" t="n">
        <f aca="false">IF(BJ436=0,IF(BR436=0,0,1),(BR436-BJ436)/BJ436)</f>
        <v>0</v>
      </c>
      <c r="CA436" s="32" t="n">
        <f aca="false">IF(BK436=0,IF(BS436=0,0,1),(BS436-BK436)/BK436)</f>
        <v>0</v>
      </c>
      <c r="CB436" s="32" t="n">
        <f aca="false">IF(BL436=0,IF(BT436=0,0,1),(BT436-BL436)/BL436)</f>
        <v>0</v>
      </c>
      <c r="CC436" s="32" t="n">
        <f aca="false">IF(BM436=0,IF(BU436=0,0,1),(BU436-BM436)/BM436)</f>
        <v>0</v>
      </c>
      <c r="CD436" s="32" t="n">
        <f aca="false">IF(BN436=0,IF(BV436=0,0,1),(BV436-BN436)/BN436)</f>
        <v>0</v>
      </c>
      <c r="CE436" s="32" t="n">
        <f aca="false">IF(BO436=0,IF(BW436=0,0,1),(BW436-BO436)/BO436)</f>
        <v>0</v>
      </c>
      <c r="CF436" s="32" t="n">
        <f aca="false">IF(BP436=0,IF(BX436=0,0,1),(BX436-BP436)/BP436)</f>
        <v>0</v>
      </c>
      <c r="CG436" s="32" t="n">
        <f aca="false">IF(BQ436=0,IF(BY436=0,0,1),(BY436-BQ436)/BQ436)</f>
        <v>0</v>
      </c>
      <c r="CH436" s="32" t="n">
        <f aca="false">MAX(MAX(BZ436:CG436),-MIN(BZ436:CG436))</f>
        <v>-0</v>
      </c>
      <c r="CI436" s="31" t="str">
        <f aca="false">IF(CO436="","",SUMIFS($CJ$7:$CJ$696,$A$7:$A$696,CO436,$B$7:$B$696,B436))</f>
        <v/>
      </c>
      <c r="CJ436" s="31" t="n">
        <f aca="false">SUM(AY436:BI436)</f>
        <v>182042</v>
      </c>
      <c r="CK436" s="31" t="str">
        <f aca="false">IFERROR(INDEX(設定!$F$61:$F$106,MATCH(B436,設定!$B$61:$B$106,0)),"Y")</f>
        <v>N</v>
      </c>
      <c r="CL436" s="31" t="str">
        <f aca="false">IFERROR(INDEX(設定!$G$61:$G$106,MATCH(B436,設定!$B$61:$B$106,0)),"外郭型")</f>
        <v>外郭型</v>
      </c>
      <c r="CM436" s="33" t="str">
        <f aca="false">A436&amp;"|"&amp;B436</f>
        <v>2026-12 賞与|原爆障害対策協議会</v>
      </c>
      <c r="CN436" s="34" t="str">
        <f aca="false">IFERROR(INDEX(設定!$D$61:$D$106,MATCH(B436,設定!$B$61:$B$106,0)),"Y")</f>
        <v>Y</v>
      </c>
      <c r="CO436" s="34" t="str">
        <f aca="false">IFERROR(INDEX(設定!$D$20:$D$34,MATCH(A436,設定!$A$20:$A$34,0))&amp;"","")</f>
        <v/>
      </c>
    </row>
    <row r="437" customFormat="false" ht="15" hidden="true" customHeight="false" outlineLevel="0" collapsed="false">
      <c r="A437" s="22" t="s">
        <v>225</v>
      </c>
      <c r="B437" s="23" t="s">
        <v>185</v>
      </c>
      <c r="C437" s="10" t="str">
        <f aca="false">IF(G437="","未受領",IF(G437="なし","報告なし",IF(AL437="○","起票済",IF(OR(AK437="○",F437="一致",F437="入金不要"),"入金確認済","受領済"))))</f>
        <v>未受領</v>
      </c>
      <c r="D437" s="10" t="str">
        <f aca="false">IF(OR(G437="",G437="なし"),"―",IF(CN437="N","対象外",IF(AND(I437="",J437="",K437=""),"標報未入力",IF(CH437&gt;=設定!$B$4,"要確認","問題なし"))))</f>
        <v>―</v>
      </c>
      <c r="E437" s="24" t="str">
        <f aca="false">IF(OR(G437="",G437="なし",CI437="",CJ437=0),"―",IF(CJ437=CI437,"前月同額",IF(CI437=0,"―",IF(ABS(CJ437/CI437-1)&gt;=設定!$B$5,"変動大 "&amp;TEXT(CJ437/CI437-1,"+0%;-0%"),"〇"))))</f>
        <v>―</v>
      </c>
      <c r="F437" s="10" t="str">
        <f aca="false">IF(OR(G437="",G437="なし"),"―",IF(CJ437=0,"入金不要",IF(COUNT(AD437,AF437,AH437,AJ437)=0,IF(AK437="○","手動確認","未入金"),IF(AND(N(AD437)=AC437,IF(AE437="",TRUE(),N(AF437)=AE437),IF(AG437="",TRUE(),N(AH437)=AG437),IF(AI437="",TRUE(),N(AJ437)=AI437)),"一致","不一致"))))</f>
        <v>―</v>
      </c>
      <c r="G437" s="25"/>
      <c r="H437" s="26"/>
      <c r="I437" s="27"/>
      <c r="J437" s="27"/>
      <c r="K437" s="27"/>
      <c r="L437" s="27"/>
      <c r="M437" s="27"/>
      <c r="N437" s="27"/>
      <c r="O437" s="27"/>
      <c r="P437" s="27"/>
      <c r="Q437" s="27"/>
      <c r="R437" s="27"/>
      <c r="S437" s="27"/>
      <c r="T437" s="27"/>
      <c r="U437" s="27"/>
      <c r="V437" s="27"/>
      <c r="W437" s="27"/>
      <c r="X437" s="27"/>
      <c r="Y437" s="27"/>
      <c r="Z437" s="27"/>
      <c r="AA437" s="10" t="str">
        <f aca="false">IFERROR(INDEX(設定!$E$61:$E$106,MATCH(B437,設定!$B$61:$B$106,0)),"合算")</f>
        <v>合算</v>
      </c>
      <c r="AB437" s="28"/>
      <c r="AC437" s="29" t="str">
        <f aca="false">IF(OR(G437="",G437="なし"),"",IF(AA437="合算",CJ437+N(Z437),IF(AA437="掛金・負担金別",(AY437+AZ437+BD437+BF437+BH437),SUM(AY437:BC437))))</f>
        <v/>
      </c>
      <c r="AD437" s="27"/>
      <c r="AE437" s="29" t="str">
        <f aca="false">IF(OR(G437="",G437="なし"),"",IF(AA437="掛金・負担金別",(BA437+BB437+BC437+BE437+BG437+BI437+N(Z437)),IF(AA437="経理区分別",BD437+BE437,"")))</f>
        <v/>
      </c>
      <c r="AF437" s="27"/>
      <c r="AG437" s="29" t="str">
        <f aca="false">IF(OR(G437="",G437="なし"),"",IF(AA437="経理区分別",BF437+BG437,""))</f>
        <v/>
      </c>
      <c r="AH437" s="27"/>
      <c r="AI437" s="29" t="str">
        <f aca="false">IF(OR(G437="",G437="なし"),"",IF(AA437="経理区分別",BH437+BI437+N(Z437),""))</f>
        <v/>
      </c>
      <c r="AJ437" s="27"/>
      <c r="AK437" s="26"/>
      <c r="AL437" s="26"/>
      <c r="AM437" s="30"/>
      <c r="AN437" s="31"/>
      <c r="AO437" s="31"/>
      <c r="AP437" s="31" t="n">
        <v>847109</v>
      </c>
      <c r="AQ437" s="31" t="n">
        <v>69435</v>
      </c>
      <c r="AR437" s="31" t="n">
        <v>868</v>
      </c>
      <c r="AS437" s="31"/>
      <c r="AT437" s="31" t="n">
        <v>510207</v>
      </c>
      <c r="AU437" s="31"/>
      <c r="AV437" s="31" t="n">
        <v>68753</v>
      </c>
      <c r="AW437" s="31"/>
      <c r="AX437" s="31" t="n">
        <v>1</v>
      </c>
      <c r="AY437" s="31" t="n">
        <f aca="false">IF($G437="",AN437,O437)</f>
        <v>0</v>
      </c>
      <c r="AZ437" s="31" t="n">
        <f aca="false">IF($G437="",AO437,P437)</f>
        <v>0</v>
      </c>
      <c r="BA437" s="31" t="n">
        <f aca="false">IF($G437="",AP437,T437)</f>
        <v>847109</v>
      </c>
      <c r="BB437" s="31" t="n">
        <f aca="false">IF($G437="",AQ437,U437)</f>
        <v>69435</v>
      </c>
      <c r="BC437" s="31" t="n">
        <f aca="false">IF($G437="",AR437,V437)</f>
        <v>868</v>
      </c>
      <c r="BD437" s="31" t="n">
        <f aca="false">IF($G437="",AS437,Q437)</f>
        <v>0</v>
      </c>
      <c r="BE437" s="31" t="n">
        <f aca="false">IF($G437="",AT437,W437)</f>
        <v>510207</v>
      </c>
      <c r="BF437" s="31" t="n">
        <f aca="false">IF($G437="",AU437,R437)</f>
        <v>0</v>
      </c>
      <c r="BG437" s="31" t="n">
        <f aca="false">IF($G437="",AV437,X437)</f>
        <v>68753</v>
      </c>
      <c r="BH437" s="31" t="n">
        <f aca="false">IF($G437="",AW437,S437)</f>
        <v>0</v>
      </c>
      <c r="BI437" s="31" t="n">
        <f aca="false">IF($G437="",AX437,Y437)</f>
        <v>1</v>
      </c>
      <c r="BJ437" s="31" t="n">
        <f aca="false">IF(CK437="N",BR437,ROUNDDOWN((I437-L437)*設定!$B$10/1000,0)+ROUNDDOWN((I437-L437)*設定!$B$11/1000,0))</f>
        <v>0</v>
      </c>
      <c r="BK437" s="31" t="n">
        <f aca="false">ROUNDDOWN((I437-L437)*設定!$C$10/1000,0)+ROUNDDOWN((I437-L437)*設定!$C$11/1000,0)+ROUNDDOWN(I437*設定!$C$12/1000,0)+IF(CL437="市局型",ROUNDDOWN(I437*設定!$C$16/1000,0),0)</f>
        <v>0</v>
      </c>
      <c r="BL437" s="31" t="n">
        <f aca="false">IF(CK437="N",BT437,ROUNDDOWN((J437-M437)*設定!$B$13/1000,0))</f>
        <v>0</v>
      </c>
      <c r="BM437" s="31" t="n">
        <f aca="false">ROUNDDOWN((J437-M437)*設定!$C$13/1000,0)+IF(CL437="市局型",ROUNDDOWN(J437*設定!$C$17/1000,0),0)</f>
        <v>0</v>
      </c>
      <c r="BN437" s="31" t="n">
        <f aca="false">IF(CK437="N",BV437,ROUNDDOWN((K437-N437)*設定!$B$14/1000,0))</f>
        <v>0</v>
      </c>
      <c r="BO437" s="31" t="n">
        <f aca="false">ROUNDDOWN((K437-N437)*設定!$C$14/1000,0)</f>
        <v>0</v>
      </c>
      <c r="BP437" s="31" t="n">
        <f aca="false">IF(CK437="N",BX437,ROUNDDOWN((J437-M437)*設定!$B$15/1000,0))</f>
        <v>0</v>
      </c>
      <c r="BQ437" s="31" t="n">
        <f aca="false">ROUNDDOWN((J437-M437)*設定!$C$15/1000,0)</f>
        <v>0</v>
      </c>
      <c r="BR437" s="31" t="n">
        <f aca="false">O437+P437</f>
        <v>0</v>
      </c>
      <c r="BS437" s="31" t="n">
        <f aca="false">T437+U437+V437</f>
        <v>0</v>
      </c>
      <c r="BT437" s="31" t="n">
        <f aca="false">Q437</f>
        <v>0</v>
      </c>
      <c r="BU437" s="31" t="n">
        <f aca="false">W437</f>
        <v>0</v>
      </c>
      <c r="BV437" s="31" t="n">
        <f aca="false">R437</f>
        <v>0</v>
      </c>
      <c r="BW437" s="31" t="n">
        <f aca="false">X437</f>
        <v>0</v>
      </c>
      <c r="BX437" s="31" t="n">
        <f aca="false">S437</f>
        <v>0</v>
      </c>
      <c r="BY437" s="31" t="n">
        <f aca="false">Y437</f>
        <v>0</v>
      </c>
      <c r="BZ437" s="32" t="n">
        <f aca="false">IF(BJ437=0,IF(BR437=0,0,1),(BR437-BJ437)/BJ437)</f>
        <v>0</v>
      </c>
      <c r="CA437" s="32" t="n">
        <f aca="false">IF(BK437=0,IF(BS437=0,0,1),(BS437-BK437)/BK437)</f>
        <v>0</v>
      </c>
      <c r="CB437" s="32" t="n">
        <f aca="false">IF(BL437=0,IF(BT437=0,0,1),(BT437-BL437)/BL437)</f>
        <v>0</v>
      </c>
      <c r="CC437" s="32" t="n">
        <f aca="false">IF(BM437=0,IF(BU437=0,0,1),(BU437-BM437)/BM437)</f>
        <v>0</v>
      </c>
      <c r="CD437" s="32" t="n">
        <f aca="false">IF(BN437=0,IF(BV437=0,0,1),(BV437-BN437)/BN437)</f>
        <v>0</v>
      </c>
      <c r="CE437" s="32" t="n">
        <f aca="false">IF(BO437=0,IF(BW437=0,0,1),(BW437-BO437)/BO437)</f>
        <v>0</v>
      </c>
      <c r="CF437" s="32" t="n">
        <f aca="false">IF(BP437=0,IF(BX437=0,0,1),(BX437-BP437)/BP437)</f>
        <v>0</v>
      </c>
      <c r="CG437" s="32" t="n">
        <f aca="false">IF(BQ437=0,IF(BY437=0,0,1),(BY437-BQ437)/BQ437)</f>
        <v>0</v>
      </c>
      <c r="CH437" s="32" t="n">
        <f aca="false">MAX(MAX(BZ437:CG437),-MIN(BZ437:CG437))</f>
        <v>-0</v>
      </c>
      <c r="CI437" s="31" t="str">
        <f aca="false">IF(CO437="","",SUMIFS($CJ$7:$CJ$696,$A$7:$A$696,CO437,$B$7:$B$696,B437))</f>
        <v/>
      </c>
      <c r="CJ437" s="31" t="n">
        <f aca="false">SUM(AY437:BI437)</f>
        <v>1496373</v>
      </c>
      <c r="CK437" s="31" t="str">
        <f aca="false">IFERROR(INDEX(設定!$F$61:$F$106,MATCH(B437,設定!$B$61:$B$106,0)),"Y")</f>
        <v>N</v>
      </c>
      <c r="CL437" s="31" t="str">
        <f aca="false">IFERROR(INDEX(設定!$G$61:$G$106,MATCH(B437,設定!$B$61:$B$106,0)),"外郭型")</f>
        <v>外郭型</v>
      </c>
      <c r="CM437" s="33" t="str">
        <f aca="false">A437&amp;"|"&amp;B437</f>
        <v>2026-12 賞与|産業振興センター</v>
      </c>
      <c r="CN437" s="34" t="str">
        <f aca="false">IFERROR(INDEX(設定!$D$61:$D$106,MATCH(B437,設定!$B$61:$B$106,0)),"Y")</f>
        <v>Y</v>
      </c>
      <c r="CO437" s="34" t="str">
        <f aca="false">IFERROR(INDEX(設定!$D$20:$D$34,MATCH(A437,設定!$A$20:$A$34,0))&amp;"","")</f>
        <v/>
      </c>
    </row>
    <row r="438" customFormat="false" ht="15" hidden="true" customHeight="false" outlineLevel="0" collapsed="false">
      <c r="A438" s="22" t="s">
        <v>225</v>
      </c>
      <c r="B438" s="23" t="s">
        <v>186</v>
      </c>
      <c r="C438" s="10" t="str">
        <f aca="false">IF(G438="","未受領",IF(G438="なし","報告なし",IF(AL438="○","起票済",IF(OR(AK438="○",F438="一致",F438="入金不要"),"入金確認済","受領済"))))</f>
        <v>未受領</v>
      </c>
      <c r="D438" s="10" t="str">
        <f aca="false">IF(OR(G438="",G438="なし"),"―",IF(CN438="N","対象外",IF(AND(I438="",J438="",K438=""),"標報未入力",IF(CH438&gt;=設定!$B$4,"要確認","問題なし"))))</f>
        <v>―</v>
      </c>
      <c r="E438" s="24" t="str">
        <f aca="false">IF(OR(G438="",G438="なし",CI438="",CJ438=0),"―",IF(CJ438=CI438,"前月同額",IF(CI438=0,"―",IF(ABS(CJ438/CI438-1)&gt;=設定!$B$5,"変動大 "&amp;TEXT(CJ438/CI438-1,"+0%;-0%"),"〇"))))</f>
        <v>―</v>
      </c>
      <c r="F438" s="10" t="str">
        <f aca="false">IF(OR(G438="",G438="なし"),"―",IF(CJ438=0,"入金不要",IF(COUNT(AD438,AF438,AH438,AJ438)=0,IF(AK438="○","手動確認","未入金"),IF(AND(N(AD438)=AC438,IF(AE438="",TRUE(),N(AF438)=AE438),IF(AG438="",TRUE(),N(AH438)=AG438),IF(AI438="",TRUE(),N(AJ438)=AI438)),"一致","不一致"))))</f>
        <v>―</v>
      </c>
      <c r="G438" s="25"/>
      <c r="H438" s="26"/>
      <c r="I438" s="27"/>
      <c r="J438" s="27"/>
      <c r="K438" s="27"/>
      <c r="L438" s="27"/>
      <c r="M438" s="27"/>
      <c r="N438" s="27"/>
      <c r="O438" s="27"/>
      <c r="P438" s="27"/>
      <c r="Q438" s="27"/>
      <c r="R438" s="27"/>
      <c r="S438" s="27"/>
      <c r="T438" s="27"/>
      <c r="U438" s="27"/>
      <c r="V438" s="27"/>
      <c r="W438" s="27"/>
      <c r="X438" s="27"/>
      <c r="Y438" s="27"/>
      <c r="Z438" s="27"/>
      <c r="AA438" s="10" t="str">
        <f aca="false">IFERROR(INDEX(設定!$E$61:$E$106,MATCH(B438,設定!$B$61:$B$106,0)),"合算")</f>
        <v>合算</v>
      </c>
      <c r="AB438" s="28"/>
      <c r="AC438" s="29" t="str">
        <f aca="false">IF(OR(G438="",G438="なし"),"",IF(AA438="合算",CJ438+N(Z438),IF(AA438="掛金・負担金別",(AY438+AZ438+BD438+BF438+BH438),SUM(AY438:BC438))))</f>
        <v/>
      </c>
      <c r="AD438" s="27"/>
      <c r="AE438" s="29" t="str">
        <f aca="false">IF(OR(G438="",G438="なし"),"",IF(AA438="掛金・負担金別",(BA438+BB438+BC438+BE438+BG438+BI438+N(Z438)),IF(AA438="経理区分別",BD438+BE438,"")))</f>
        <v/>
      </c>
      <c r="AF438" s="27"/>
      <c r="AG438" s="29" t="str">
        <f aca="false">IF(OR(G438="",G438="なし"),"",IF(AA438="経理区分別",BF438+BG438,""))</f>
        <v/>
      </c>
      <c r="AH438" s="27"/>
      <c r="AI438" s="29" t="str">
        <f aca="false">IF(OR(G438="",G438="なし"),"",IF(AA438="経理区分別",BH438+BI438+N(Z438),""))</f>
        <v/>
      </c>
      <c r="AJ438" s="27"/>
      <c r="AK438" s="26"/>
      <c r="AL438" s="26"/>
      <c r="AM438" s="30"/>
      <c r="AN438" s="31"/>
      <c r="AO438" s="31"/>
      <c r="AP438" s="31" t="n">
        <v>183641</v>
      </c>
      <c r="AQ438" s="31" t="n">
        <v>15052</v>
      </c>
      <c r="AR438" s="31" t="n">
        <v>188</v>
      </c>
      <c r="AS438" s="31"/>
      <c r="AT438" s="31" t="n">
        <v>110605</v>
      </c>
      <c r="AU438" s="31"/>
      <c r="AV438" s="31" t="n">
        <v>15855</v>
      </c>
      <c r="AW438" s="31"/>
      <c r="AX438" s="31" t="n">
        <v>1</v>
      </c>
      <c r="AY438" s="31" t="n">
        <f aca="false">IF($G438="",AN438,O438)</f>
        <v>0</v>
      </c>
      <c r="AZ438" s="31" t="n">
        <f aca="false">IF($G438="",AO438,P438)</f>
        <v>0</v>
      </c>
      <c r="BA438" s="31" t="n">
        <f aca="false">IF($G438="",AP438,T438)</f>
        <v>183641</v>
      </c>
      <c r="BB438" s="31" t="n">
        <f aca="false">IF($G438="",AQ438,U438)</f>
        <v>15052</v>
      </c>
      <c r="BC438" s="31" t="n">
        <f aca="false">IF($G438="",AR438,V438)</f>
        <v>188</v>
      </c>
      <c r="BD438" s="31" t="n">
        <f aca="false">IF($G438="",AS438,Q438)</f>
        <v>0</v>
      </c>
      <c r="BE438" s="31" t="n">
        <f aca="false">IF($G438="",AT438,W438)</f>
        <v>110605</v>
      </c>
      <c r="BF438" s="31" t="n">
        <f aca="false">IF($G438="",AU438,R438)</f>
        <v>0</v>
      </c>
      <c r="BG438" s="31" t="n">
        <f aca="false">IF($G438="",AV438,X438)</f>
        <v>15855</v>
      </c>
      <c r="BH438" s="31" t="n">
        <f aca="false">IF($G438="",AW438,S438)</f>
        <v>0</v>
      </c>
      <c r="BI438" s="31" t="n">
        <f aca="false">IF($G438="",AX438,Y438)</f>
        <v>1</v>
      </c>
      <c r="BJ438" s="31" t="n">
        <f aca="false">IF(CK438="N",BR438,ROUNDDOWN((I438-L438)*設定!$B$10/1000,0)+ROUNDDOWN((I438-L438)*設定!$B$11/1000,0))</f>
        <v>0</v>
      </c>
      <c r="BK438" s="31" t="n">
        <f aca="false">ROUNDDOWN((I438-L438)*設定!$C$10/1000,0)+ROUNDDOWN((I438-L438)*設定!$C$11/1000,0)+ROUNDDOWN(I438*設定!$C$12/1000,0)+IF(CL438="市局型",ROUNDDOWN(I438*設定!$C$16/1000,0),0)</f>
        <v>0</v>
      </c>
      <c r="BL438" s="31" t="n">
        <f aca="false">IF(CK438="N",BT438,ROUNDDOWN((J438-M438)*設定!$B$13/1000,0))</f>
        <v>0</v>
      </c>
      <c r="BM438" s="31" t="n">
        <f aca="false">ROUNDDOWN((J438-M438)*設定!$C$13/1000,0)+IF(CL438="市局型",ROUNDDOWN(J438*設定!$C$17/1000,0),0)</f>
        <v>0</v>
      </c>
      <c r="BN438" s="31" t="n">
        <f aca="false">IF(CK438="N",BV438,ROUNDDOWN((K438-N438)*設定!$B$14/1000,0))</f>
        <v>0</v>
      </c>
      <c r="BO438" s="31" t="n">
        <f aca="false">ROUNDDOWN((K438-N438)*設定!$C$14/1000,0)</f>
        <v>0</v>
      </c>
      <c r="BP438" s="31" t="n">
        <f aca="false">IF(CK438="N",BX438,ROUNDDOWN((J438-M438)*設定!$B$15/1000,0))</f>
        <v>0</v>
      </c>
      <c r="BQ438" s="31" t="n">
        <f aca="false">ROUNDDOWN((J438-M438)*設定!$C$15/1000,0)</f>
        <v>0</v>
      </c>
      <c r="BR438" s="31" t="n">
        <f aca="false">O438+P438</f>
        <v>0</v>
      </c>
      <c r="BS438" s="31" t="n">
        <f aca="false">T438+U438+V438</f>
        <v>0</v>
      </c>
      <c r="BT438" s="31" t="n">
        <f aca="false">Q438</f>
        <v>0</v>
      </c>
      <c r="BU438" s="31" t="n">
        <f aca="false">W438</f>
        <v>0</v>
      </c>
      <c r="BV438" s="31" t="n">
        <f aca="false">R438</f>
        <v>0</v>
      </c>
      <c r="BW438" s="31" t="n">
        <f aca="false">X438</f>
        <v>0</v>
      </c>
      <c r="BX438" s="31" t="n">
        <f aca="false">S438</f>
        <v>0</v>
      </c>
      <c r="BY438" s="31" t="n">
        <f aca="false">Y438</f>
        <v>0</v>
      </c>
      <c r="BZ438" s="32" t="n">
        <f aca="false">IF(BJ438=0,IF(BR438=0,0,1),(BR438-BJ438)/BJ438)</f>
        <v>0</v>
      </c>
      <c r="CA438" s="32" t="n">
        <f aca="false">IF(BK438=0,IF(BS438=0,0,1),(BS438-BK438)/BK438)</f>
        <v>0</v>
      </c>
      <c r="CB438" s="32" t="n">
        <f aca="false">IF(BL438=0,IF(BT438=0,0,1),(BT438-BL438)/BL438)</f>
        <v>0</v>
      </c>
      <c r="CC438" s="32" t="n">
        <f aca="false">IF(BM438=0,IF(BU438=0,0,1),(BU438-BM438)/BM438)</f>
        <v>0</v>
      </c>
      <c r="CD438" s="32" t="n">
        <f aca="false">IF(BN438=0,IF(BV438=0,0,1),(BV438-BN438)/BN438)</f>
        <v>0</v>
      </c>
      <c r="CE438" s="32" t="n">
        <f aca="false">IF(BO438=0,IF(BW438=0,0,1),(BW438-BO438)/BO438)</f>
        <v>0</v>
      </c>
      <c r="CF438" s="32" t="n">
        <f aca="false">IF(BP438=0,IF(BX438=0,0,1),(BX438-BP438)/BP438)</f>
        <v>0</v>
      </c>
      <c r="CG438" s="32" t="n">
        <f aca="false">IF(BQ438=0,IF(BY438=0,0,1),(BY438-BQ438)/BQ438)</f>
        <v>0</v>
      </c>
      <c r="CH438" s="32" t="n">
        <f aca="false">MAX(MAX(BZ438:CG438),-MIN(BZ438:CG438))</f>
        <v>-0</v>
      </c>
      <c r="CI438" s="31" t="str">
        <f aca="false">IF(CO438="","",SUMIFS($CJ$7:$CJ$696,$A$7:$A$696,CO438,$B$7:$B$696,B438))</f>
        <v/>
      </c>
      <c r="CJ438" s="31" t="n">
        <f aca="false">SUM(AY438:BI438)</f>
        <v>325342</v>
      </c>
      <c r="CK438" s="31" t="str">
        <f aca="false">IFERROR(INDEX(設定!$F$61:$F$106,MATCH(B438,設定!$B$61:$B$106,0)),"Y")</f>
        <v>N</v>
      </c>
      <c r="CL438" s="31" t="str">
        <f aca="false">IFERROR(INDEX(設定!$G$61:$G$106,MATCH(B438,設定!$B$61:$B$106,0)),"外郭型")</f>
        <v>外郭型</v>
      </c>
      <c r="CM438" s="33" t="str">
        <f aca="false">A438&amp;"|"&amp;B438</f>
        <v>2026-12 賞与|ひろしま産業振興</v>
      </c>
      <c r="CN438" s="34" t="str">
        <f aca="false">IFERROR(INDEX(設定!$D$61:$D$106,MATCH(B438,設定!$B$61:$B$106,0)),"Y")</f>
        <v>Y</v>
      </c>
      <c r="CO438" s="34" t="str">
        <f aca="false">IFERROR(INDEX(設定!$D$20:$D$34,MATCH(A438,設定!$A$20:$A$34,0))&amp;"","")</f>
        <v/>
      </c>
    </row>
    <row r="439" customFormat="false" ht="15" hidden="true" customHeight="false" outlineLevel="0" collapsed="false">
      <c r="A439" s="22" t="s">
        <v>225</v>
      </c>
      <c r="B439" s="23" t="s">
        <v>187</v>
      </c>
      <c r="C439" s="10" t="str">
        <f aca="false">IF(G439="","未受領",IF(G439="なし","報告なし",IF(AL439="○","起票済",IF(OR(AK439="○",F439="一致",F439="入金不要"),"入金確認済","受領済"))))</f>
        <v>未受領</v>
      </c>
      <c r="D439" s="10" t="str">
        <f aca="false">IF(OR(G439="",G439="なし"),"―",IF(CN439="N","対象外",IF(AND(I439="",J439="",K439=""),"標報未入力",IF(CH439&gt;=設定!$B$4,"要確認","問題なし"))))</f>
        <v>―</v>
      </c>
      <c r="E439" s="24" t="str">
        <f aca="false">IF(OR(G439="",G439="なし",CI439="",CJ439=0),"―",IF(CJ439=CI439,"前月同額",IF(CI439=0,"―",IF(ABS(CJ439/CI439-1)&gt;=設定!$B$5,"変動大 "&amp;TEXT(CJ439/CI439-1,"+0%;-0%"),"〇"))))</f>
        <v>―</v>
      </c>
      <c r="F439" s="10" t="str">
        <f aca="false">IF(OR(G439="",G439="なし"),"―",IF(CJ439=0,"入金不要",IF(COUNT(AD439,AF439,AH439,AJ439)=0,IF(AK439="○","手動確認","未入金"),IF(AND(N(AD439)=AC439,IF(AE439="",TRUE(),N(AF439)=AE439),IF(AG439="",TRUE(),N(AH439)=AG439),IF(AI439="",TRUE(),N(AJ439)=AI439)),"一致","不一致"))))</f>
        <v>―</v>
      </c>
      <c r="G439" s="25"/>
      <c r="H439" s="26"/>
      <c r="I439" s="27"/>
      <c r="J439" s="27"/>
      <c r="K439" s="27"/>
      <c r="L439" s="27"/>
      <c r="M439" s="27"/>
      <c r="N439" s="27"/>
      <c r="O439" s="27"/>
      <c r="P439" s="27"/>
      <c r="Q439" s="27"/>
      <c r="R439" s="27"/>
      <c r="S439" s="27"/>
      <c r="T439" s="27"/>
      <c r="U439" s="27"/>
      <c r="V439" s="27"/>
      <c r="W439" s="27"/>
      <c r="X439" s="27"/>
      <c r="Y439" s="27"/>
      <c r="Z439" s="27"/>
      <c r="AA439" s="10" t="str">
        <f aca="false">IFERROR(INDEX(設定!$E$61:$E$106,MATCH(B439,設定!$B$61:$B$106,0)),"合算")</f>
        <v>合算</v>
      </c>
      <c r="AB439" s="28"/>
      <c r="AC439" s="29" t="str">
        <f aca="false">IF(OR(G439="",G439="なし"),"",IF(AA439="合算",CJ439+N(Z439),IF(AA439="掛金・負担金別",(AY439+AZ439+BD439+BF439+BH439),SUM(AY439:BC439))))</f>
        <v/>
      </c>
      <c r="AD439" s="27"/>
      <c r="AE439" s="29" t="str">
        <f aca="false">IF(OR(G439="",G439="なし"),"",IF(AA439="掛金・負担金別",(BA439+BB439+BC439+BE439+BG439+BI439+N(Z439)),IF(AA439="経理区分別",BD439+BE439,"")))</f>
        <v/>
      </c>
      <c r="AF439" s="27"/>
      <c r="AG439" s="29" t="str">
        <f aca="false">IF(OR(G439="",G439="なし"),"",IF(AA439="経理区分別",BF439+BG439,""))</f>
        <v/>
      </c>
      <c r="AH439" s="27"/>
      <c r="AI439" s="29" t="str">
        <f aca="false">IF(OR(G439="",G439="なし"),"",IF(AA439="経理区分別",BH439+BI439+N(Z439),""))</f>
        <v/>
      </c>
      <c r="AJ439" s="27"/>
      <c r="AK439" s="26"/>
      <c r="AL439" s="26"/>
      <c r="AM439" s="30"/>
      <c r="AN439" s="31"/>
      <c r="AO439" s="31"/>
      <c r="AP439" s="31" t="n">
        <v>103944</v>
      </c>
      <c r="AQ439" s="31" t="n">
        <v>8520</v>
      </c>
      <c r="AR439" s="31" t="n">
        <v>106</v>
      </c>
      <c r="AS439" s="31"/>
      <c r="AT439" s="31" t="n">
        <v>62604</v>
      </c>
      <c r="AU439" s="31"/>
      <c r="AV439" s="31" t="n">
        <v>8974</v>
      </c>
      <c r="AW439" s="31"/>
      <c r="AX439" s="31" t="n">
        <v>1</v>
      </c>
      <c r="AY439" s="31" t="n">
        <f aca="false">IF($G439="",AN439,O439)</f>
        <v>0</v>
      </c>
      <c r="AZ439" s="31" t="n">
        <f aca="false">IF($G439="",AO439,P439)</f>
        <v>0</v>
      </c>
      <c r="BA439" s="31" t="n">
        <f aca="false">IF($G439="",AP439,T439)</f>
        <v>103944</v>
      </c>
      <c r="BB439" s="31" t="n">
        <f aca="false">IF($G439="",AQ439,U439)</f>
        <v>8520</v>
      </c>
      <c r="BC439" s="31" t="n">
        <f aca="false">IF($G439="",AR439,V439)</f>
        <v>106</v>
      </c>
      <c r="BD439" s="31" t="n">
        <f aca="false">IF($G439="",AS439,Q439)</f>
        <v>0</v>
      </c>
      <c r="BE439" s="31" t="n">
        <f aca="false">IF($G439="",AT439,W439)</f>
        <v>62604</v>
      </c>
      <c r="BF439" s="31" t="n">
        <f aca="false">IF($G439="",AU439,R439)</f>
        <v>0</v>
      </c>
      <c r="BG439" s="31" t="n">
        <f aca="false">IF($G439="",AV439,X439)</f>
        <v>8974</v>
      </c>
      <c r="BH439" s="31" t="n">
        <f aca="false">IF($G439="",AW439,S439)</f>
        <v>0</v>
      </c>
      <c r="BI439" s="31" t="n">
        <f aca="false">IF($G439="",AX439,Y439)</f>
        <v>1</v>
      </c>
      <c r="BJ439" s="31" t="n">
        <f aca="false">IF(CK439="N",BR439,ROUNDDOWN((I439-L439)*設定!$B$10/1000,0)+ROUNDDOWN((I439-L439)*設定!$B$11/1000,0))</f>
        <v>0</v>
      </c>
      <c r="BK439" s="31" t="n">
        <f aca="false">ROUNDDOWN((I439-L439)*設定!$C$10/1000,0)+ROUNDDOWN((I439-L439)*設定!$C$11/1000,0)+ROUNDDOWN(I439*設定!$C$12/1000,0)+IF(CL439="市局型",ROUNDDOWN(I439*設定!$C$16/1000,0),0)</f>
        <v>0</v>
      </c>
      <c r="BL439" s="31" t="n">
        <f aca="false">IF(CK439="N",BT439,ROUNDDOWN((J439-M439)*設定!$B$13/1000,0))</f>
        <v>0</v>
      </c>
      <c r="BM439" s="31" t="n">
        <f aca="false">ROUNDDOWN((J439-M439)*設定!$C$13/1000,0)+IF(CL439="市局型",ROUNDDOWN(J439*設定!$C$17/1000,0),0)</f>
        <v>0</v>
      </c>
      <c r="BN439" s="31" t="n">
        <f aca="false">IF(CK439="N",BV439,ROUNDDOWN((K439-N439)*設定!$B$14/1000,0))</f>
        <v>0</v>
      </c>
      <c r="BO439" s="31" t="n">
        <f aca="false">ROUNDDOWN((K439-N439)*設定!$C$14/1000,0)</f>
        <v>0</v>
      </c>
      <c r="BP439" s="31" t="n">
        <f aca="false">IF(CK439="N",BX439,ROUNDDOWN((J439-M439)*設定!$B$15/1000,0))</f>
        <v>0</v>
      </c>
      <c r="BQ439" s="31" t="n">
        <f aca="false">ROUNDDOWN((J439-M439)*設定!$C$15/1000,0)</f>
        <v>0</v>
      </c>
      <c r="BR439" s="31" t="n">
        <f aca="false">O439+P439</f>
        <v>0</v>
      </c>
      <c r="BS439" s="31" t="n">
        <f aca="false">T439+U439+V439</f>
        <v>0</v>
      </c>
      <c r="BT439" s="31" t="n">
        <f aca="false">Q439</f>
        <v>0</v>
      </c>
      <c r="BU439" s="31" t="n">
        <f aca="false">W439</f>
        <v>0</v>
      </c>
      <c r="BV439" s="31" t="n">
        <f aca="false">R439</f>
        <v>0</v>
      </c>
      <c r="BW439" s="31" t="n">
        <f aca="false">X439</f>
        <v>0</v>
      </c>
      <c r="BX439" s="31" t="n">
        <f aca="false">S439</f>
        <v>0</v>
      </c>
      <c r="BY439" s="31" t="n">
        <f aca="false">Y439</f>
        <v>0</v>
      </c>
      <c r="BZ439" s="32" t="n">
        <f aca="false">IF(BJ439=0,IF(BR439=0,0,1),(BR439-BJ439)/BJ439)</f>
        <v>0</v>
      </c>
      <c r="CA439" s="32" t="n">
        <f aca="false">IF(BK439=0,IF(BS439=0,0,1),(BS439-BK439)/BK439)</f>
        <v>0</v>
      </c>
      <c r="CB439" s="32" t="n">
        <f aca="false">IF(BL439=0,IF(BT439=0,0,1),(BT439-BL439)/BL439)</f>
        <v>0</v>
      </c>
      <c r="CC439" s="32" t="n">
        <f aca="false">IF(BM439=0,IF(BU439=0,0,1),(BU439-BM439)/BM439)</f>
        <v>0</v>
      </c>
      <c r="CD439" s="32" t="n">
        <f aca="false">IF(BN439=0,IF(BV439=0,0,1),(BV439-BN439)/BN439)</f>
        <v>0</v>
      </c>
      <c r="CE439" s="32" t="n">
        <f aca="false">IF(BO439=0,IF(BW439=0,0,1),(BW439-BO439)/BO439)</f>
        <v>0</v>
      </c>
      <c r="CF439" s="32" t="n">
        <f aca="false">IF(BP439=0,IF(BX439=0,0,1),(BX439-BP439)/BP439)</f>
        <v>0</v>
      </c>
      <c r="CG439" s="32" t="n">
        <f aca="false">IF(BQ439=0,IF(BY439=0,0,1),(BY439-BQ439)/BQ439)</f>
        <v>0</v>
      </c>
      <c r="CH439" s="32" t="n">
        <f aca="false">MAX(MAX(BZ439:CG439),-MIN(BZ439:CG439))</f>
        <v>-0</v>
      </c>
      <c r="CI439" s="31" t="str">
        <f aca="false">IF(CO439="","",SUMIFS($CJ$7:$CJ$696,$A$7:$A$696,CO439,$B$7:$B$696,B439))</f>
        <v/>
      </c>
      <c r="CJ439" s="31" t="n">
        <f aca="false">SUM(AY439:BI439)</f>
        <v>184149</v>
      </c>
      <c r="CK439" s="31" t="str">
        <f aca="false">IFERROR(INDEX(設定!$F$61:$F$106,MATCH(B439,設定!$B$61:$B$106,0)),"Y")</f>
        <v>N</v>
      </c>
      <c r="CL439" s="31" t="str">
        <f aca="false">IFERROR(INDEX(設定!$G$61:$G$106,MATCH(B439,設定!$B$61:$B$106,0)),"外郭型")</f>
        <v>外郭型</v>
      </c>
      <c r="CM439" s="33" t="str">
        <f aca="false">A439&amp;"|"&amp;B439</f>
        <v>2026-12 賞与|都市整備公社　市</v>
      </c>
      <c r="CN439" s="34" t="str">
        <f aca="false">IFERROR(INDEX(設定!$D$61:$D$106,MATCH(B439,設定!$B$61:$B$106,0)),"Y")</f>
        <v>Y</v>
      </c>
      <c r="CO439" s="34" t="str">
        <f aca="false">IFERROR(INDEX(設定!$D$20:$D$34,MATCH(A439,設定!$A$20:$A$34,0))&amp;"","")</f>
        <v/>
      </c>
    </row>
    <row r="440" customFormat="false" ht="15" hidden="true" customHeight="false" outlineLevel="0" collapsed="false">
      <c r="A440" s="22" t="s">
        <v>225</v>
      </c>
      <c r="B440" s="23" t="s">
        <v>188</v>
      </c>
      <c r="C440" s="10" t="str">
        <f aca="false">IF(G440="","未受領",IF(G440="なし","報告なし",IF(AL440="○","起票済",IF(OR(AK440="○",F440="一致",F440="入金不要"),"入金確認済","受領済"))))</f>
        <v>未受領</v>
      </c>
      <c r="D440" s="10" t="str">
        <f aca="false">IF(OR(G440="",G440="なし"),"―",IF(CN440="N","対象外",IF(AND(I440="",J440="",K440=""),"標報未入力",IF(CH440&gt;=設定!$B$4,"要確認","問題なし"))))</f>
        <v>―</v>
      </c>
      <c r="E440" s="24" t="str">
        <f aca="false">IF(OR(G440="",G440="なし",CI440="",CJ440=0),"―",IF(CJ440=CI440,"前月同額",IF(CI440=0,"―",IF(ABS(CJ440/CI440-1)&gt;=設定!$B$5,"変動大 "&amp;TEXT(CJ440/CI440-1,"+0%;-0%"),"〇"))))</f>
        <v>―</v>
      </c>
      <c r="F440" s="10" t="str">
        <f aca="false">IF(OR(G440="",G440="なし"),"―",IF(CJ440=0,"入金不要",IF(COUNT(AD440,AF440,AH440,AJ440)=0,IF(AK440="○","手動確認","未入金"),IF(AND(N(AD440)=AC440,IF(AE440="",TRUE(),N(AF440)=AE440),IF(AG440="",TRUE(),N(AH440)=AG440),IF(AI440="",TRUE(),N(AJ440)=AI440)),"一致","不一致"))))</f>
        <v>―</v>
      </c>
      <c r="G440" s="25"/>
      <c r="H440" s="26"/>
      <c r="I440" s="27"/>
      <c r="J440" s="27"/>
      <c r="K440" s="27"/>
      <c r="L440" s="27"/>
      <c r="M440" s="27"/>
      <c r="N440" s="27"/>
      <c r="O440" s="27"/>
      <c r="P440" s="27"/>
      <c r="Q440" s="27"/>
      <c r="R440" s="27"/>
      <c r="S440" s="27"/>
      <c r="T440" s="27"/>
      <c r="U440" s="27"/>
      <c r="V440" s="27"/>
      <c r="W440" s="27"/>
      <c r="X440" s="27"/>
      <c r="Y440" s="27"/>
      <c r="Z440" s="27"/>
      <c r="AA440" s="10" t="str">
        <f aca="false">IFERROR(INDEX(設定!$E$61:$E$106,MATCH(B440,設定!$B$61:$B$106,0)),"合算")</f>
        <v>合算</v>
      </c>
      <c r="AB440" s="28"/>
      <c r="AC440" s="29" t="str">
        <f aca="false">IF(OR(G440="",G440="なし"),"",IF(AA440="合算",CJ440+N(Z440),IF(AA440="掛金・負担金別",(AY440+AZ440+BD440+BF440+BH440),SUM(AY440:BC440))))</f>
        <v/>
      </c>
      <c r="AD440" s="27"/>
      <c r="AE440" s="29" t="str">
        <f aca="false">IF(OR(G440="",G440="なし"),"",IF(AA440="掛金・負担金別",(BA440+BB440+BC440+BE440+BG440+BI440+N(Z440)),IF(AA440="経理区分別",BD440+BE440,"")))</f>
        <v/>
      </c>
      <c r="AF440" s="27"/>
      <c r="AG440" s="29" t="str">
        <f aca="false">IF(OR(G440="",G440="なし"),"",IF(AA440="経理区分別",BF440+BG440,""))</f>
        <v/>
      </c>
      <c r="AH440" s="27"/>
      <c r="AI440" s="29" t="str">
        <f aca="false">IF(OR(G440="",G440="なし"),"",IF(AA440="経理区分別",BH440+BI440+N(Z440),""))</f>
        <v/>
      </c>
      <c r="AJ440" s="27"/>
      <c r="AK440" s="26"/>
      <c r="AL440" s="26"/>
      <c r="AM440" s="30"/>
      <c r="AN440" s="31"/>
      <c r="AO440" s="31"/>
      <c r="AP440" s="31" t="n">
        <v>252084</v>
      </c>
      <c r="AQ440" s="31" t="n">
        <v>20662</v>
      </c>
      <c r="AR440" s="31" t="n">
        <v>258</v>
      </c>
      <c r="AS440" s="31"/>
      <c r="AT440" s="31" t="n">
        <v>151828</v>
      </c>
      <c r="AU440" s="31"/>
      <c r="AV440" s="31" t="n">
        <v>14788</v>
      </c>
      <c r="AW440" s="31"/>
      <c r="AX440" s="31" t="n">
        <v>1</v>
      </c>
      <c r="AY440" s="31" t="n">
        <f aca="false">IF($G440="",AN440,O440)</f>
        <v>0</v>
      </c>
      <c r="AZ440" s="31" t="n">
        <f aca="false">IF($G440="",AO440,P440)</f>
        <v>0</v>
      </c>
      <c r="BA440" s="31" t="n">
        <f aca="false">IF($G440="",AP440,T440)</f>
        <v>252084</v>
      </c>
      <c r="BB440" s="31" t="n">
        <f aca="false">IF($G440="",AQ440,U440)</f>
        <v>20662</v>
      </c>
      <c r="BC440" s="31" t="n">
        <f aca="false">IF($G440="",AR440,V440)</f>
        <v>258</v>
      </c>
      <c r="BD440" s="31" t="n">
        <f aca="false">IF($G440="",AS440,Q440)</f>
        <v>0</v>
      </c>
      <c r="BE440" s="31" t="n">
        <f aca="false">IF($G440="",AT440,W440)</f>
        <v>151828</v>
      </c>
      <c r="BF440" s="31" t="n">
        <f aca="false">IF($G440="",AU440,R440)</f>
        <v>0</v>
      </c>
      <c r="BG440" s="31" t="n">
        <f aca="false">IF($G440="",AV440,X440)</f>
        <v>14788</v>
      </c>
      <c r="BH440" s="31" t="n">
        <f aca="false">IF($G440="",AW440,S440)</f>
        <v>0</v>
      </c>
      <c r="BI440" s="31" t="n">
        <f aca="false">IF($G440="",AX440,Y440)</f>
        <v>1</v>
      </c>
      <c r="BJ440" s="31" t="n">
        <f aca="false">IF(CK440="N",BR440,ROUNDDOWN((I440-L440)*設定!$B$10/1000,0)+ROUNDDOWN((I440-L440)*設定!$B$11/1000,0))</f>
        <v>0</v>
      </c>
      <c r="BK440" s="31" t="n">
        <f aca="false">ROUNDDOWN((I440-L440)*設定!$C$10/1000,0)+ROUNDDOWN((I440-L440)*設定!$C$11/1000,0)+ROUNDDOWN(I440*設定!$C$12/1000,0)+IF(CL440="市局型",ROUNDDOWN(I440*設定!$C$16/1000,0),0)</f>
        <v>0</v>
      </c>
      <c r="BL440" s="31" t="n">
        <f aca="false">IF(CK440="N",BT440,ROUNDDOWN((J440-M440)*設定!$B$13/1000,0))</f>
        <v>0</v>
      </c>
      <c r="BM440" s="31" t="n">
        <f aca="false">ROUNDDOWN((J440-M440)*設定!$C$13/1000,0)+IF(CL440="市局型",ROUNDDOWN(J440*設定!$C$17/1000,0),0)</f>
        <v>0</v>
      </c>
      <c r="BN440" s="31" t="n">
        <f aca="false">IF(CK440="N",BV440,ROUNDDOWN((K440-N440)*設定!$B$14/1000,0))</f>
        <v>0</v>
      </c>
      <c r="BO440" s="31" t="n">
        <f aca="false">ROUNDDOWN((K440-N440)*設定!$C$14/1000,0)</f>
        <v>0</v>
      </c>
      <c r="BP440" s="31" t="n">
        <f aca="false">IF(CK440="N",BX440,ROUNDDOWN((J440-M440)*設定!$B$15/1000,0))</f>
        <v>0</v>
      </c>
      <c r="BQ440" s="31" t="n">
        <f aca="false">ROUNDDOWN((J440-M440)*設定!$C$15/1000,0)</f>
        <v>0</v>
      </c>
      <c r="BR440" s="31" t="n">
        <f aca="false">O440+P440</f>
        <v>0</v>
      </c>
      <c r="BS440" s="31" t="n">
        <f aca="false">T440+U440+V440</f>
        <v>0</v>
      </c>
      <c r="BT440" s="31" t="n">
        <f aca="false">Q440</f>
        <v>0</v>
      </c>
      <c r="BU440" s="31" t="n">
        <f aca="false">W440</f>
        <v>0</v>
      </c>
      <c r="BV440" s="31" t="n">
        <f aca="false">R440</f>
        <v>0</v>
      </c>
      <c r="BW440" s="31" t="n">
        <f aca="false">X440</f>
        <v>0</v>
      </c>
      <c r="BX440" s="31" t="n">
        <f aca="false">S440</f>
        <v>0</v>
      </c>
      <c r="BY440" s="31" t="n">
        <f aca="false">Y440</f>
        <v>0</v>
      </c>
      <c r="BZ440" s="32" t="n">
        <f aca="false">IF(BJ440=0,IF(BR440=0,0,1),(BR440-BJ440)/BJ440)</f>
        <v>0</v>
      </c>
      <c r="CA440" s="32" t="n">
        <f aca="false">IF(BK440=0,IF(BS440=0,0,1),(BS440-BK440)/BK440)</f>
        <v>0</v>
      </c>
      <c r="CB440" s="32" t="n">
        <f aca="false">IF(BL440=0,IF(BT440=0,0,1),(BT440-BL440)/BL440)</f>
        <v>0</v>
      </c>
      <c r="CC440" s="32" t="n">
        <f aca="false">IF(BM440=0,IF(BU440=0,0,1),(BU440-BM440)/BM440)</f>
        <v>0</v>
      </c>
      <c r="CD440" s="32" t="n">
        <f aca="false">IF(BN440=0,IF(BV440=0,0,1),(BV440-BN440)/BN440)</f>
        <v>0</v>
      </c>
      <c r="CE440" s="32" t="n">
        <f aca="false">IF(BO440=0,IF(BW440=0,0,1),(BW440-BO440)/BO440)</f>
        <v>0</v>
      </c>
      <c r="CF440" s="32" t="n">
        <f aca="false">IF(BP440=0,IF(BX440=0,0,1),(BX440-BP440)/BP440)</f>
        <v>0</v>
      </c>
      <c r="CG440" s="32" t="n">
        <f aca="false">IF(BQ440=0,IF(BY440=0,0,1),(BY440-BQ440)/BQ440)</f>
        <v>0</v>
      </c>
      <c r="CH440" s="32" t="n">
        <f aca="false">MAX(MAX(BZ440:CG440),-MIN(BZ440:CG440))</f>
        <v>-0</v>
      </c>
      <c r="CI440" s="31" t="str">
        <f aca="false">IF(CO440="","",SUMIFS($CJ$7:$CJ$696,$A$7:$A$696,CO440,$B$7:$B$696,B440))</f>
        <v/>
      </c>
      <c r="CJ440" s="31" t="n">
        <f aca="false">SUM(AY440:BI440)</f>
        <v>439621</v>
      </c>
      <c r="CK440" s="31" t="str">
        <f aca="false">IFERROR(INDEX(設定!$F$61:$F$106,MATCH(B440,設定!$B$61:$B$106,0)),"Y")</f>
        <v>N</v>
      </c>
      <c r="CL440" s="31" t="str">
        <f aca="false">IFERROR(INDEX(設定!$G$61:$G$106,MATCH(B440,設定!$B$61:$B$106,0)),"外郭型")</f>
        <v>外郭型</v>
      </c>
      <c r="CM440" s="33" t="str">
        <f aca="false">A440&amp;"|"&amp;B440</f>
        <v>2026-12 賞与|都市整備公社　消防</v>
      </c>
      <c r="CN440" s="34" t="str">
        <f aca="false">IFERROR(INDEX(設定!$D$61:$D$106,MATCH(B440,設定!$B$61:$B$106,0)),"Y")</f>
        <v>Y</v>
      </c>
      <c r="CO440" s="34" t="str">
        <f aca="false">IFERROR(INDEX(設定!$D$20:$D$34,MATCH(A440,設定!$A$20:$A$34,0))&amp;"","")</f>
        <v/>
      </c>
    </row>
    <row r="441" customFormat="false" ht="15" hidden="true" customHeight="false" outlineLevel="0" collapsed="false">
      <c r="A441" s="22" t="s">
        <v>225</v>
      </c>
      <c r="B441" s="23" t="s">
        <v>189</v>
      </c>
      <c r="C441" s="10" t="str">
        <f aca="false">IF(G441="","未受領",IF(G441="なし","報告なし",IF(AL441="○","起票済",IF(OR(AK441="○",F441="一致",F441="入金不要"),"入金確認済","受領済"))))</f>
        <v>未受領</v>
      </c>
      <c r="D441" s="10" t="str">
        <f aca="false">IF(OR(G441="",G441="なし"),"―",IF(CN441="N","対象外",IF(AND(I441="",J441="",K441=""),"標報未入力",IF(CH441&gt;=設定!$B$4,"要確認","問題なし"))))</f>
        <v>―</v>
      </c>
      <c r="E441" s="24" t="str">
        <f aca="false">IF(OR(G441="",G441="なし",CI441="",CJ441=0),"―",IF(CJ441=CI441,"前月同額",IF(CI441=0,"―",IF(ABS(CJ441/CI441-1)&gt;=設定!$B$5,"変動大 "&amp;TEXT(CJ441/CI441-1,"+0%;-0%"),"〇"))))</f>
        <v>―</v>
      </c>
      <c r="F441" s="10" t="str">
        <f aca="false">IF(OR(G441="",G441="なし"),"―",IF(CJ441=0,"入金不要",IF(COUNT(AD441,AF441,AH441,AJ441)=0,IF(AK441="○","手動確認","未入金"),IF(AND(N(AD441)=AC441,IF(AE441="",TRUE(),N(AF441)=AE441),IF(AG441="",TRUE(),N(AH441)=AG441),IF(AI441="",TRUE(),N(AJ441)=AI441)),"一致","不一致"))))</f>
        <v>―</v>
      </c>
      <c r="G441" s="25"/>
      <c r="H441" s="26"/>
      <c r="I441" s="27"/>
      <c r="J441" s="27"/>
      <c r="K441" s="27"/>
      <c r="L441" s="27"/>
      <c r="M441" s="27"/>
      <c r="N441" s="27"/>
      <c r="O441" s="27"/>
      <c r="P441" s="27"/>
      <c r="Q441" s="27"/>
      <c r="R441" s="27"/>
      <c r="S441" s="27"/>
      <c r="T441" s="27"/>
      <c r="U441" s="27"/>
      <c r="V441" s="27"/>
      <c r="W441" s="27"/>
      <c r="X441" s="27"/>
      <c r="Y441" s="27"/>
      <c r="Z441" s="27"/>
      <c r="AA441" s="10" t="str">
        <f aca="false">IFERROR(INDEX(設定!$E$61:$E$106,MATCH(B441,設定!$B$61:$B$106,0)),"合算")</f>
        <v>合算</v>
      </c>
      <c r="AB441" s="28"/>
      <c r="AC441" s="29" t="str">
        <f aca="false">IF(OR(G441="",G441="なし"),"",IF(AA441="合算",CJ441+N(Z441),IF(AA441="掛金・負担金別",(AY441+AZ441+BD441+BF441+BH441),SUM(AY441:BC441))))</f>
        <v/>
      </c>
      <c r="AD441" s="27"/>
      <c r="AE441" s="29" t="str">
        <f aca="false">IF(OR(G441="",G441="なし"),"",IF(AA441="掛金・負担金別",(BA441+BB441+BC441+BE441+BG441+BI441+N(Z441)),IF(AA441="経理区分別",BD441+BE441,"")))</f>
        <v/>
      </c>
      <c r="AF441" s="27"/>
      <c r="AG441" s="29" t="str">
        <f aca="false">IF(OR(G441="",G441="なし"),"",IF(AA441="経理区分別",BF441+BG441,""))</f>
        <v/>
      </c>
      <c r="AH441" s="27"/>
      <c r="AI441" s="29" t="str">
        <f aca="false">IF(OR(G441="",G441="なし"),"",IF(AA441="経理区分別",BH441+BI441+N(Z441),""))</f>
        <v/>
      </c>
      <c r="AJ441" s="27"/>
      <c r="AK441" s="26"/>
      <c r="AL441" s="26"/>
      <c r="AM441" s="30"/>
      <c r="AN441" s="31" t="n">
        <v>475616</v>
      </c>
      <c r="AO441" s="31" t="n">
        <v>38984</v>
      </c>
      <c r="AP441" s="31" t="n">
        <v>475618</v>
      </c>
      <c r="AQ441" s="31" t="n">
        <v>38985</v>
      </c>
      <c r="AR441" s="31" t="n">
        <v>488</v>
      </c>
      <c r="AS441" s="31" t="n">
        <v>285940</v>
      </c>
      <c r="AT441" s="31" t="n">
        <v>286461</v>
      </c>
      <c r="AU441" s="31" t="n">
        <v>19433</v>
      </c>
      <c r="AV441" s="31" t="n">
        <v>19434</v>
      </c>
      <c r="AW441" s="31" t="n">
        <v>1</v>
      </c>
      <c r="AX441" s="31" t="n">
        <v>1</v>
      </c>
      <c r="AY441" s="31" t="n">
        <f aca="false">IF($G441="",AN441,O441)</f>
        <v>475616</v>
      </c>
      <c r="AZ441" s="31" t="n">
        <f aca="false">IF($G441="",AO441,P441)</f>
        <v>38984</v>
      </c>
      <c r="BA441" s="31" t="n">
        <f aca="false">IF($G441="",AP441,T441)</f>
        <v>475618</v>
      </c>
      <c r="BB441" s="31" t="n">
        <f aca="false">IF($G441="",AQ441,U441)</f>
        <v>38985</v>
      </c>
      <c r="BC441" s="31" t="n">
        <f aca="false">IF($G441="",AR441,V441)</f>
        <v>488</v>
      </c>
      <c r="BD441" s="31" t="n">
        <f aca="false">IF($G441="",AS441,Q441)</f>
        <v>285940</v>
      </c>
      <c r="BE441" s="31" t="n">
        <f aca="false">IF($G441="",AT441,W441)</f>
        <v>286461</v>
      </c>
      <c r="BF441" s="31" t="n">
        <f aca="false">IF($G441="",AU441,R441)</f>
        <v>19433</v>
      </c>
      <c r="BG441" s="31" t="n">
        <f aca="false">IF($G441="",AV441,X441)</f>
        <v>19434</v>
      </c>
      <c r="BH441" s="31" t="n">
        <f aca="false">IF($G441="",AW441,S441)</f>
        <v>1</v>
      </c>
      <c r="BI441" s="31" t="n">
        <f aca="false">IF($G441="",AX441,Y441)</f>
        <v>1</v>
      </c>
      <c r="BJ441" s="31" t="n">
        <f aca="false">IF(CK441="N",BR441,ROUNDDOWN((I441-L441)*設定!$B$10/1000,0)+ROUNDDOWN((I441-L441)*設定!$B$11/1000,0))</f>
        <v>0</v>
      </c>
      <c r="BK441" s="31" t="n">
        <f aca="false">ROUNDDOWN((I441-L441)*設定!$C$10/1000,0)+ROUNDDOWN((I441-L441)*設定!$C$11/1000,0)+ROUNDDOWN(I441*設定!$C$12/1000,0)+IF(CL441="市局型",ROUNDDOWN(I441*設定!$C$16/1000,0),0)</f>
        <v>0</v>
      </c>
      <c r="BL441" s="31" t="n">
        <f aca="false">IF(CK441="N",BT441,ROUNDDOWN((J441-M441)*設定!$B$13/1000,0))</f>
        <v>0</v>
      </c>
      <c r="BM441" s="31" t="n">
        <f aca="false">ROUNDDOWN((J441-M441)*設定!$C$13/1000,0)+IF(CL441="市局型",ROUNDDOWN(J441*設定!$C$17/1000,0),0)</f>
        <v>0</v>
      </c>
      <c r="BN441" s="31" t="n">
        <f aca="false">IF(CK441="N",BV441,ROUNDDOWN((K441-N441)*設定!$B$14/1000,0))</f>
        <v>0</v>
      </c>
      <c r="BO441" s="31" t="n">
        <f aca="false">ROUNDDOWN((K441-N441)*設定!$C$14/1000,0)</f>
        <v>0</v>
      </c>
      <c r="BP441" s="31" t="n">
        <f aca="false">IF(CK441="N",BX441,ROUNDDOWN((J441-M441)*設定!$B$15/1000,0))</f>
        <v>0</v>
      </c>
      <c r="BQ441" s="31" t="n">
        <f aca="false">ROUNDDOWN((J441-M441)*設定!$C$15/1000,0)</f>
        <v>0</v>
      </c>
      <c r="BR441" s="31" t="n">
        <f aca="false">O441+P441</f>
        <v>0</v>
      </c>
      <c r="BS441" s="31" t="n">
        <f aca="false">T441+U441+V441</f>
        <v>0</v>
      </c>
      <c r="BT441" s="31" t="n">
        <f aca="false">Q441</f>
        <v>0</v>
      </c>
      <c r="BU441" s="31" t="n">
        <f aca="false">W441</f>
        <v>0</v>
      </c>
      <c r="BV441" s="31" t="n">
        <f aca="false">R441</f>
        <v>0</v>
      </c>
      <c r="BW441" s="31" t="n">
        <f aca="false">X441</f>
        <v>0</v>
      </c>
      <c r="BX441" s="31" t="n">
        <f aca="false">S441</f>
        <v>0</v>
      </c>
      <c r="BY441" s="31" t="n">
        <f aca="false">Y441</f>
        <v>0</v>
      </c>
      <c r="BZ441" s="32" t="n">
        <f aca="false">IF(BJ441=0,IF(BR441=0,0,1),(BR441-BJ441)/BJ441)</f>
        <v>0</v>
      </c>
      <c r="CA441" s="32" t="n">
        <f aca="false">IF(BK441=0,IF(BS441=0,0,1),(BS441-BK441)/BK441)</f>
        <v>0</v>
      </c>
      <c r="CB441" s="32" t="n">
        <f aca="false">IF(BL441=0,IF(BT441=0,0,1),(BT441-BL441)/BL441)</f>
        <v>0</v>
      </c>
      <c r="CC441" s="32" t="n">
        <f aca="false">IF(BM441=0,IF(BU441=0,0,1),(BU441-BM441)/BM441)</f>
        <v>0</v>
      </c>
      <c r="CD441" s="32" t="n">
        <f aca="false">IF(BN441=0,IF(BV441=0,0,1),(BV441-BN441)/BN441)</f>
        <v>0</v>
      </c>
      <c r="CE441" s="32" t="n">
        <f aca="false">IF(BO441=0,IF(BW441=0,0,1),(BW441-BO441)/BO441)</f>
        <v>0</v>
      </c>
      <c r="CF441" s="32" t="n">
        <f aca="false">IF(BP441=0,IF(BX441=0,0,1),(BX441-BP441)/BP441)</f>
        <v>0</v>
      </c>
      <c r="CG441" s="32" t="n">
        <f aca="false">IF(BQ441=0,IF(BY441=0,0,1),(BY441-BQ441)/BQ441)</f>
        <v>0</v>
      </c>
      <c r="CH441" s="32" t="n">
        <f aca="false">MAX(MAX(BZ441:CG441),-MIN(BZ441:CG441))</f>
        <v>-0</v>
      </c>
      <c r="CI441" s="31" t="str">
        <f aca="false">IF(CO441="","",SUMIFS($CJ$7:$CJ$696,$A$7:$A$696,CO441,$B$7:$B$696,B441))</f>
        <v/>
      </c>
      <c r="CJ441" s="31" t="n">
        <f aca="false">SUM(AY441:BI441)</f>
        <v>1640961</v>
      </c>
      <c r="CK441" s="31" t="str">
        <f aca="false">IFERROR(INDEX(設定!$F$61:$F$106,MATCH(B441,設定!$B$61:$B$106,0)),"Y")</f>
        <v>Y</v>
      </c>
      <c r="CL441" s="31" t="str">
        <f aca="false">IFERROR(INDEX(設定!$G$61:$G$106,MATCH(B441,設定!$B$61:$B$106,0)),"外郭型")</f>
        <v>外郭型</v>
      </c>
      <c r="CM441" s="33" t="str">
        <f aca="false">A441&amp;"|"&amp;B441</f>
        <v>2026-12 賞与|日本下水道事業団</v>
      </c>
      <c r="CN441" s="34" t="str">
        <f aca="false">IFERROR(INDEX(設定!$D$61:$D$106,MATCH(B441,設定!$B$61:$B$106,0)),"Y")</f>
        <v>Y</v>
      </c>
      <c r="CO441" s="34" t="str">
        <f aca="false">IFERROR(INDEX(設定!$D$20:$D$34,MATCH(A441,設定!$A$20:$A$34,0))&amp;"","")</f>
        <v/>
      </c>
    </row>
    <row r="442" customFormat="false" ht="15" hidden="true" customHeight="false" outlineLevel="0" collapsed="false">
      <c r="A442" s="22" t="s">
        <v>225</v>
      </c>
      <c r="B442" s="23" t="s">
        <v>190</v>
      </c>
      <c r="C442" s="10" t="str">
        <f aca="false">IF(G442="","未受領",IF(G442="なし","報告なし",IF(AL442="○","起票済",IF(OR(AK442="○",F442="一致",F442="入金不要"),"入金確認済","受領済"))))</f>
        <v>未受領</v>
      </c>
      <c r="D442" s="10" t="str">
        <f aca="false">IF(OR(G442="",G442="なし"),"―",IF(CN442="N","対象外",IF(AND(I442="",J442="",K442=""),"標報未入力",IF(CH442&gt;=設定!$B$4,"要確認","問題なし"))))</f>
        <v>―</v>
      </c>
      <c r="E442" s="24" t="str">
        <f aca="false">IF(OR(G442="",G442="なし",CI442="",CJ442=0),"―",IF(CJ442=CI442,"前月同額",IF(CI442=0,"―",IF(ABS(CJ442/CI442-1)&gt;=設定!$B$5,"変動大 "&amp;TEXT(CJ442/CI442-1,"+0%;-0%"),"〇"))))</f>
        <v>―</v>
      </c>
      <c r="F442" s="10" t="str">
        <f aca="false">IF(OR(G442="",G442="なし"),"―",IF(CJ442=0,"入金不要",IF(COUNT(AD442,AF442,AH442,AJ442)=0,IF(AK442="○","手動確認","未入金"),IF(AND(N(AD442)=AC442,IF(AE442="",TRUE(),N(AF442)=AE442),IF(AG442="",TRUE(),N(AH442)=AG442),IF(AI442="",TRUE(),N(AJ442)=AI442)),"一致","不一致"))))</f>
        <v>―</v>
      </c>
      <c r="G442" s="25"/>
      <c r="H442" s="26"/>
      <c r="I442" s="27"/>
      <c r="J442" s="27"/>
      <c r="K442" s="27"/>
      <c r="L442" s="27"/>
      <c r="M442" s="27"/>
      <c r="N442" s="27"/>
      <c r="O442" s="27"/>
      <c r="P442" s="27"/>
      <c r="Q442" s="27"/>
      <c r="R442" s="27"/>
      <c r="S442" s="27"/>
      <c r="T442" s="27"/>
      <c r="U442" s="27"/>
      <c r="V442" s="27"/>
      <c r="W442" s="27"/>
      <c r="X442" s="27"/>
      <c r="Y442" s="27"/>
      <c r="Z442" s="27"/>
      <c r="AA442" s="10" t="str">
        <f aca="false">IFERROR(INDEX(設定!$E$61:$E$106,MATCH(B442,設定!$B$61:$B$106,0)),"合算")</f>
        <v>合算</v>
      </c>
      <c r="AB442" s="28"/>
      <c r="AC442" s="29" t="str">
        <f aca="false">IF(OR(G442="",G442="なし"),"",IF(AA442="合算",CJ442+N(Z442),IF(AA442="掛金・負担金別",(AY442+AZ442+BD442+BF442+BH442),SUM(AY442:BC442))))</f>
        <v/>
      </c>
      <c r="AD442" s="27"/>
      <c r="AE442" s="29" t="str">
        <f aca="false">IF(OR(G442="",G442="なし"),"",IF(AA442="掛金・負担金別",(BA442+BB442+BC442+BE442+BG442+BI442+N(Z442)),IF(AA442="経理区分別",BD442+BE442,"")))</f>
        <v/>
      </c>
      <c r="AF442" s="27"/>
      <c r="AG442" s="29" t="str">
        <f aca="false">IF(OR(G442="",G442="なし"),"",IF(AA442="経理区分別",BF442+BG442,""))</f>
        <v/>
      </c>
      <c r="AH442" s="27"/>
      <c r="AI442" s="29" t="str">
        <f aca="false">IF(OR(G442="",G442="なし"),"",IF(AA442="経理区分別",BH442+BI442+N(Z442),""))</f>
        <v/>
      </c>
      <c r="AJ442" s="27"/>
      <c r="AK442" s="26"/>
      <c r="AL442" s="26"/>
      <c r="AM442" s="30"/>
      <c r="AN442" s="31" t="n">
        <v>66246</v>
      </c>
      <c r="AO442" s="31" t="n">
        <v>5430</v>
      </c>
      <c r="AP442" s="31" t="n">
        <v>66246</v>
      </c>
      <c r="AQ442" s="31" t="n">
        <v>5430</v>
      </c>
      <c r="AR442" s="31" t="n">
        <v>67</v>
      </c>
      <c r="AS442" s="31" t="n">
        <v>39827</v>
      </c>
      <c r="AT442" s="31" t="n">
        <v>39899</v>
      </c>
      <c r="AU442" s="31" t="n">
        <v>0</v>
      </c>
      <c r="AV442" s="31" t="n">
        <v>0</v>
      </c>
      <c r="AW442" s="31" t="n">
        <v>1</v>
      </c>
      <c r="AX442" s="31" t="n">
        <v>1</v>
      </c>
      <c r="AY442" s="31" t="n">
        <f aca="false">IF($G442="",AN442,O442)</f>
        <v>66246</v>
      </c>
      <c r="AZ442" s="31" t="n">
        <f aca="false">IF($G442="",AO442,P442)</f>
        <v>5430</v>
      </c>
      <c r="BA442" s="31" t="n">
        <f aca="false">IF($G442="",AP442,T442)</f>
        <v>66246</v>
      </c>
      <c r="BB442" s="31" t="n">
        <f aca="false">IF($G442="",AQ442,U442)</f>
        <v>5430</v>
      </c>
      <c r="BC442" s="31" t="n">
        <f aca="false">IF($G442="",AR442,V442)</f>
        <v>67</v>
      </c>
      <c r="BD442" s="31" t="n">
        <f aca="false">IF($G442="",AS442,Q442)</f>
        <v>39827</v>
      </c>
      <c r="BE442" s="31" t="n">
        <f aca="false">IF($G442="",AT442,W442)</f>
        <v>39899</v>
      </c>
      <c r="BF442" s="31" t="n">
        <f aca="false">IF($G442="",AU442,R442)</f>
        <v>0</v>
      </c>
      <c r="BG442" s="31" t="n">
        <f aca="false">IF($G442="",AV442,X442)</f>
        <v>0</v>
      </c>
      <c r="BH442" s="31" t="n">
        <f aca="false">IF($G442="",AW442,S442)</f>
        <v>1</v>
      </c>
      <c r="BI442" s="31" t="n">
        <f aca="false">IF($G442="",AX442,Y442)</f>
        <v>1</v>
      </c>
      <c r="BJ442" s="31" t="n">
        <f aca="false">IF(CK442="N",BR442,ROUNDDOWN((I442-L442)*設定!$B$10/1000,0)+ROUNDDOWN((I442-L442)*設定!$B$11/1000,0))</f>
        <v>0</v>
      </c>
      <c r="BK442" s="31" t="n">
        <f aca="false">ROUNDDOWN((I442-L442)*設定!$C$10/1000,0)+ROUNDDOWN((I442-L442)*設定!$C$11/1000,0)+ROUNDDOWN(I442*設定!$C$12/1000,0)+IF(CL442="市局型",ROUNDDOWN(I442*設定!$C$16/1000,0),0)</f>
        <v>0</v>
      </c>
      <c r="BL442" s="31" t="n">
        <f aca="false">IF(CK442="N",BT442,ROUNDDOWN((J442-M442)*設定!$B$13/1000,0))</f>
        <v>0</v>
      </c>
      <c r="BM442" s="31" t="n">
        <f aca="false">ROUNDDOWN((J442-M442)*設定!$C$13/1000,0)+IF(CL442="市局型",ROUNDDOWN(J442*設定!$C$17/1000,0),0)</f>
        <v>0</v>
      </c>
      <c r="BN442" s="31" t="n">
        <f aca="false">IF(CK442="N",BV442,ROUNDDOWN((K442-N442)*設定!$B$14/1000,0))</f>
        <v>0</v>
      </c>
      <c r="BO442" s="31" t="n">
        <f aca="false">ROUNDDOWN((K442-N442)*設定!$C$14/1000,0)</f>
        <v>0</v>
      </c>
      <c r="BP442" s="31" t="n">
        <f aca="false">IF(CK442="N",BX442,ROUNDDOWN((J442-M442)*設定!$B$15/1000,0))</f>
        <v>0</v>
      </c>
      <c r="BQ442" s="31" t="n">
        <f aca="false">ROUNDDOWN((J442-M442)*設定!$C$15/1000,0)</f>
        <v>0</v>
      </c>
      <c r="BR442" s="31" t="n">
        <f aca="false">O442+P442</f>
        <v>0</v>
      </c>
      <c r="BS442" s="31" t="n">
        <f aca="false">T442+U442+V442</f>
        <v>0</v>
      </c>
      <c r="BT442" s="31" t="n">
        <f aca="false">Q442</f>
        <v>0</v>
      </c>
      <c r="BU442" s="31" t="n">
        <f aca="false">W442</f>
        <v>0</v>
      </c>
      <c r="BV442" s="31" t="n">
        <f aca="false">R442</f>
        <v>0</v>
      </c>
      <c r="BW442" s="31" t="n">
        <f aca="false">X442</f>
        <v>0</v>
      </c>
      <c r="BX442" s="31" t="n">
        <f aca="false">S442</f>
        <v>0</v>
      </c>
      <c r="BY442" s="31" t="n">
        <f aca="false">Y442</f>
        <v>0</v>
      </c>
      <c r="BZ442" s="32" t="n">
        <f aca="false">IF(BJ442=0,IF(BR442=0,0,1),(BR442-BJ442)/BJ442)</f>
        <v>0</v>
      </c>
      <c r="CA442" s="32" t="n">
        <f aca="false">IF(BK442=0,IF(BS442=0,0,1),(BS442-BK442)/BK442)</f>
        <v>0</v>
      </c>
      <c r="CB442" s="32" t="n">
        <f aca="false">IF(BL442=0,IF(BT442=0,0,1),(BT442-BL442)/BL442)</f>
        <v>0</v>
      </c>
      <c r="CC442" s="32" t="n">
        <f aca="false">IF(BM442=0,IF(BU442=0,0,1),(BU442-BM442)/BM442)</f>
        <v>0</v>
      </c>
      <c r="CD442" s="32" t="n">
        <f aca="false">IF(BN442=0,IF(BV442=0,0,1),(BV442-BN442)/BN442)</f>
        <v>0</v>
      </c>
      <c r="CE442" s="32" t="n">
        <f aca="false">IF(BO442=0,IF(BW442=0,0,1),(BW442-BO442)/BO442)</f>
        <v>0</v>
      </c>
      <c r="CF442" s="32" t="n">
        <f aca="false">IF(BP442=0,IF(BX442=0,0,1),(BX442-BP442)/BP442)</f>
        <v>0</v>
      </c>
      <c r="CG442" s="32" t="n">
        <f aca="false">IF(BQ442=0,IF(BY442=0,0,1),(BY442-BQ442)/BQ442)</f>
        <v>0</v>
      </c>
      <c r="CH442" s="32" t="n">
        <f aca="false">MAX(MAX(BZ442:CG442),-MIN(BZ442:CG442))</f>
        <v>-0</v>
      </c>
      <c r="CI442" s="31" t="str">
        <f aca="false">IF(CO442="","",SUMIFS($CJ$7:$CJ$696,$A$7:$A$696,CO442,$B$7:$B$696,B442))</f>
        <v/>
      </c>
      <c r="CJ442" s="31" t="n">
        <f aca="false">SUM(AY442:BI442)</f>
        <v>223147</v>
      </c>
      <c r="CK442" s="31" t="str">
        <f aca="false">IFERROR(INDEX(設定!$F$61:$F$106,MATCH(B442,設定!$B$61:$B$106,0)),"Y")</f>
        <v>Y</v>
      </c>
      <c r="CL442" s="31" t="str">
        <f aca="false">IFERROR(INDEX(設定!$G$61:$G$106,MATCH(B442,設定!$B$61:$B$106,0)),"外郭型")</f>
        <v>外郭型</v>
      </c>
      <c r="CM442" s="33" t="str">
        <f aca="false">A442&amp;"|"&amp;B442</f>
        <v>2026-12 賞与|地方公務員災害補償基金本部</v>
      </c>
      <c r="CN442" s="34" t="str">
        <f aca="false">IFERROR(INDEX(設定!$D$61:$D$106,MATCH(B442,設定!$B$61:$B$106,0)),"Y")</f>
        <v>Y</v>
      </c>
      <c r="CO442" s="34" t="str">
        <f aca="false">IFERROR(INDEX(設定!$D$20:$D$34,MATCH(A442,設定!$A$20:$A$34,0))&amp;"","")</f>
        <v/>
      </c>
    </row>
    <row r="443" customFormat="false" ht="15" hidden="true" customHeight="false" outlineLevel="0" collapsed="false">
      <c r="A443" s="22" t="s">
        <v>225</v>
      </c>
      <c r="B443" s="23" t="s">
        <v>191</v>
      </c>
      <c r="C443" s="10" t="str">
        <f aca="false">IF(G443="","未受領",IF(G443="なし","報告なし",IF(AL443="○","起票済",IF(OR(AK443="○",F443="一致",F443="入金不要"),"入金確認済","受領済"))))</f>
        <v>未受領</v>
      </c>
      <c r="D443" s="10" t="str">
        <f aca="false">IF(OR(G443="",G443="なし"),"―",IF(CN443="N","対象外",IF(AND(I443="",J443="",K443=""),"標報未入力",IF(CH443&gt;=設定!$B$4,"要確認","問題なし"))))</f>
        <v>―</v>
      </c>
      <c r="E443" s="24" t="str">
        <f aca="false">IF(OR(G443="",G443="なし",CI443="",CJ443=0),"―",IF(CJ443=CI443,"前月同額",IF(CI443=0,"―",IF(ABS(CJ443/CI443-1)&gt;=設定!$B$5,"変動大 "&amp;TEXT(CJ443/CI443-1,"+0%;-0%"),"〇"))))</f>
        <v>―</v>
      </c>
      <c r="F443" s="10" t="str">
        <f aca="false">IF(OR(G443="",G443="なし"),"―",IF(CJ443=0,"入金不要",IF(COUNT(AD443,AF443,AH443,AJ443)=0,IF(AK443="○","手動確認","未入金"),IF(AND(N(AD443)=AC443,IF(AE443="",TRUE(),N(AF443)=AE443),IF(AG443="",TRUE(),N(AH443)=AG443),IF(AI443="",TRUE(),N(AJ443)=AI443)),"一致","不一致"))))</f>
        <v>―</v>
      </c>
      <c r="G443" s="25"/>
      <c r="H443" s="26"/>
      <c r="I443" s="27"/>
      <c r="J443" s="27"/>
      <c r="K443" s="27"/>
      <c r="L443" s="27"/>
      <c r="M443" s="27"/>
      <c r="N443" s="27"/>
      <c r="O443" s="27"/>
      <c r="P443" s="27"/>
      <c r="Q443" s="27"/>
      <c r="R443" s="27"/>
      <c r="S443" s="27"/>
      <c r="T443" s="27"/>
      <c r="U443" s="27"/>
      <c r="V443" s="27"/>
      <c r="W443" s="27"/>
      <c r="X443" s="27"/>
      <c r="Y443" s="27"/>
      <c r="Z443" s="27"/>
      <c r="AA443" s="10" t="str">
        <f aca="false">IFERROR(INDEX(設定!$E$61:$E$106,MATCH(B443,設定!$B$61:$B$106,0)),"合算")</f>
        <v>合算</v>
      </c>
      <c r="AB443" s="28"/>
      <c r="AC443" s="29" t="str">
        <f aca="false">IF(OR(G443="",G443="なし"),"",IF(AA443="合算",CJ443+N(Z443),IF(AA443="掛金・負担金別",(AY443+AZ443+BD443+BF443+BH443),SUM(AY443:BC443))))</f>
        <v/>
      </c>
      <c r="AD443" s="27"/>
      <c r="AE443" s="29" t="str">
        <f aca="false">IF(OR(G443="",G443="なし"),"",IF(AA443="掛金・負担金別",(BA443+BB443+BC443+BE443+BG443+BI443+N(Z443)),IF(AA443="経理区分別",BD443+BE443,"")))</f>
        <v/>
      </c>
      <c r="AF443" s="27"/>
      <c r="AG443" s="29" t="str">
        <f aca="false">IF(OR(G443="",G443="なし"),"",IF(AA443="経理区分別",BF443+BG443,""))</f>
        <v/>
      </c>
      <c r="AH443" s="27"/>
      <c r="AI443" s="29" t="str">
        <f aca="false">IF(OR(G443="",G443="なし"),"",IF(AA443="経理区分別",BH443+BI443+N(Z443),""))</f>
        <v/>
      </c>
      <c r="AJ443" s="27"/>
      <c r="AK443" s="26"/>
      <c r="AL443" s="26"/>
      <c r="AM443" s="30"/>
      <c r="AN443" s="31" t="n">
        <v>171562</v>
      </c>
      <c r="AO443" s="31" t="n">
        <v>14062</v>
      </c>
      <c r="AP443" s="31" t="n">
        <v>171563</v>
      </c>
      <c r="AQ443" s="31" t="n">
        <v>14062</v>
      </c>
      <c r="AR443" s="31" t="n">
        <v>176</v>
      </c>
      <c r="AS443" s="31" t="n">
        <v>103142</v>
      </c>
      <c r="AT443" s="31" t="n">
        <v>103331</v>
      </c>
      <c r="AU443" s="31" t="n">
        <v>7828</v>
      </c>
      <c r="AV443" s="31" t="n">
        <v>7828</v>
      </c>
      <c r="AW443" s="31" t="n">
        <v>1</v>
      </c>
      <c r="AX443" s="31" t="n">
        <v>1</v>
      </c>
      <c r="AY443" s="31" t="n">
        <f aca="false">IF($G443="",AN443,O443)</f>
        <v>171562</v>
      </c>
      <c r="AZ443" s="31" t="n">
        <f aca="false">IF($G443="",AO443,P443)</f>
        <v>14062</v>
      </c>
      <c r="BA443" s="31" t="n">
        <f aca="false">IF($G443="",AP443,T443)</f>
        <v>171563</v>
      </c>
      <c r="BB443" s="31" t="n">
        <f aca="false">IF($G443="",AQ443,U443)</f>
        <v>14062</v>
      </c>
      <c r="BC443" s="31" t="n">
        <f aca="false">IF($G443="",AR443,V443)</f>
        <v>176</v>
      </c>
      <c r="BD443" s="31" t="n">
        <f aca="false">IF($G443="",AS443,Q443)</f>
        <v>103142</v>
      </c>
      <c r="BE443" s="31" t="n">
        <f aca="false">IF($G443="",AT443,W443)</f>
        <v>103331</v>
      </c>
      <c r="BF443" s="31" t="n">
        <f aca="false">IF($G443="",AU443,R443)</f>
        <v>7828</v>
      </c>
      <c r="BG443" s="31" t="n">
        <f aca="false">IF($G443="",AV443,X443)</f>
        <v>7828</v>
      </c>
      <c r="BH443" s="31" t="n">
        <f aca="false">IF($G443="",AW443,S443)</f>
        <v>1</v>
      </c>
      <c r="BI443" s="31" t="n">
        <f aca="false">IF($G443="",AX443,Y443)</f>
        <v>1</v>
      </c>
      <c r="BJ443" s="31" t="n">
        <f aca="false">IF(CK443="N",BR443,ROUNDDOWN((I443-L443)*設定!$B$10/1000,0)+ROUNDDOWN((I443-L443)*設定!$B$11/1000,0))</f>
        <v>0</v>
      </c>
      <c r="BK443" s="31" t="n">
        <f aca="false">ROUNDDOWN((I443-L443)*設定!$C$10/1000,0)+ROUNDDOWN((I443-L443)*設定!$C$11/1000,0)+ROUNDDOWN(I443*設定!$C$12/1000,0)+IF(CL443="市局型",ROUNDDOWN(I443*設定!$C$16/1000,0),0)</f>
        <v>0</v>
      </c>
      <c r="BL443" s="31" t="n">
        <f aca="false">IF(CK443="N",BT443,ROUNDDOWN((J443-M443)*設定!$B$13/1000,0))</f>
        <v>0</v>
      </c>
      <c r="BM443" s="31" t="n">
        <f aca="false">ROUNDDOWN((J443-M443)*設定!$C$13/1000,0)+IF(CL443="市局型",ROUNDDOWN(J443*設定!$C$17/1000,0),0)</f>
        <v>0</v>
      </c>
      <c r="BN443" s="31" t="n">
        <f aca="false">IF(CK443="N",BV443,ROUNDDOWN((K443-N443)*設定!$B$14/1000,0))</f>
        <v>0</v>
      </c>
      <c r="BO443" s="31" t="n">
        <f aca="false">ROUNDDOWN((K443-N443)*設定!$C$14/1000,0)</f>
        <v>0</v>
      </c>
      <c r="BP443" s="31" t="n">
        <f aca="false">IF(CK443="N",BX443,ROUNDDOWN((J443-M443)*設定!$B$15/1000,0))</f>
        <v>0</v>
      </c>
      <c r="BQ443" s="31" t="n">
        <f aca="false">ROUNDDOWN((J443-M443)*設定!$C$15/1000,0)</f>
        <v>0</v>
      </c>
      <c r="BR443" s="31" t="n">
        <f aca="false">O443+P443</f>
        <v>0</v>
      </c>
      <c r="BS443" s="31" t="n">
        <f aca="false">T443+U443+V443</f>
        <v>0</v>
      </c>
      <c r="BT443" s="31" t="n">
        <f aca="false">Q443</f>
        <v>0</v>
      </c>
      <c r="BU443" s="31" t="n">
        <f aca="false">W443</f>
        <v>0</v>
      </c>
      <c r="BV443" s="31" t="n">
        <f aca="false">R443</f>
        <v>0</v>
      </c>
      <c r="BW443" s="31" t="n">
        <f aca="false">X443</f>
        <v>0</v>
      </c>
      <c r="BX443" s="31" t="n">
        <f aca="false">S443</f>
        <v>0</v>
      </c>
      <c r="BY443" s="31" t="n">
        <f aca="false">Y443</f>
        <v>0</v>
      </c>
      <c r="BZ443" s="32" t="n">
        <f aca="false">IF(BJ443=0,IF(BR443=0,0,1),(BR443-BJ443)/BJ443)</f>
        <v>0</v>
      </c>
      <c r="CA443" s="32" t="n">
        <f aca="false">IF(BK443=0,IF(BS443=0,0,1),(BS443-BK443)/BK443)</f>
        <v>0</v>
      </c>
      <c r="CB443" s="32" t="n">
        <f aca="false">IF(BL443=0,IF(BT443=0,0,1),(BT443-BL443)/BL443)</f>
        <v>0</v>
      </c>
      <c r="CC443" s="32" t="n">
        <f aca="false">IF(BM443=0,IF(BU443=0,0,1),(BU443-BM443)/BM443)</f>
        <v>0</v>
      </c>
      <c r="CD443" s="32" t="n">
        <f aca="false">IF(BN443=0,IF(BV443=0,0,1),(BV443-BN443)/BN443)</f>
        <v>0</v>
      </c>
      <c r="CE443" s="32" t="n">
        <f aca="false">IF(BO443=0,IF(BW443=0,0,1),(BW443-BO443)/BO443)</f>
        <v>0</v>
      </c>
      <c r="CF443" s="32" t="n">
        <f aca="false">IF(BP443=0,IF(BX443=0,0,1),(BX443-BP443)/BP443)</f>
        <v>0</v>
      </c>
      <c r="CG443" s="32" t="n">
        <f aca="false">IF(BQ443=0,IF(BY443=0,0,1),(BY443-BQ443)/BQ443)</f>
        <v>0</v>
      </c>
      <c r="CH443" s="32" t="n">
        <f aca="false">MAX(MAX(BZ443:CG443),-MIN(BZ443:CG443))</f>
        <v>-0</v>
      </c>
      <c r="CI443" s="31" t="str">
        <f aca="false">IF(CO443="","",SUMIFS($CJ$7:$CJ$696,$A$7:$A$696,CO443,$B$7:$B$696,B443))</f>
        <v/>
      </c>
      <c r="CJ443" s="31" t="n">
        <f aca="false">SUM(AY443:BI443)</f>
        <v>593556</v>
      </c>
      <c r="CK443" s="31" t="str">
        <f aca="false">IFERROR(INDEX(設定!$F$61:$F$106,MATCH(B443,設定!$B$61:$B$106,0)),"Y")</f>
        <v>Y</v>
      </c>
      <c r="CL443" s="31" t="str">
        <f aca="false">IFERROR(INDEX(設定!$G$61:$G$106,MATCH(B443,設定!$B$61:$B$106,0)),"外郭型")</f>
        <v>外郭型</v>
      </c>
      <c r="CM443" s="33" t="str">
        <f aca="false">A443&amp;"|"&amp;B443</f>
        <v>2026-12 賞与|救急振興財団</v>
      </c>
      <c r="CN443" s="34" t="str">
        <f aca="false">IFERROR(INDEX(設定!$D$61:$D$106,MATCH(B443,設定!$B$61:$B$106,0)),"Y")</f>
        <v>Y</v>
      </c>
      <c r="CO443" s="34" t="str">
        <f aca="false">IFERROR(INDEX(設定!$D$20:$D$34,MATCH(A443,設定!$A$20:$A$34,0))&amp;"","")</f>
        <v/>
      </c>
    </row>
    <row r="444" customFormat="false" ht="15" hidden="true" customHeight="false" outlineLevel="0" collapsed="false">
      <c r="A444" s="22" t="s">
        <v>225</v>
      </c>
      <c r="B444" s="23" t="s">
        <v>192</v>
      </c>
      <c r="C444" s="10" t="str">
        <f aca="false">IF(G444="","未受領",IF(G444="なし","報告なし",IF(AL444="○","起票済",IF(OR(AK444="○",F444="一致",F444="入金不要"),"入金確認済","受領済"))))</f>
        <v>未受領</v>
      </c>
      <c r="D444" s="10" t="str">
        <f aca="false">IF(OR(G444="",G444="なし"),"―",IF(CN444="N","対象外",IF(AND(I444="",J444="",K444=""),"標報未入力",IF(CH444&gt;=設定!$B$4,"要確認","問題なし"))))</f>
        <v>―</v>
      </c>
      <c r="E444" s="24" t="str">
        <f aca="false">IF(OR(G444="",G444="なし",CI444="",CJ444=0),"―",IF(CJ444=CI444,"前月同額",IF(CI444=0,"―",IF(ABS(CJ444/CI444-1)&gt;=設定!$B$5,"変動大 "&amp;TEXT(CJ444/CI444-1,"+0%;-0%"),"〇"))))</f>
        <v>―</v>
      </c>
      <c r="F444" s="10" t="str">
        <f aca="false">IF(OR(G444="",G444="なし"),"―",IF(CJ444=0,"入金不要",IF(COUNT(AD444,AF444,AH444,AJ444)=0,IF(AK444="○","手動確認","未入金"),IF(AND(N(AD444)=AC444,IF(AE444="",TRUE(),N(AF444)=AE444),IF(AG444="",TRUE(),N(AH444)=AG444),IF(AI444="",TRUE(),N(AJ444)=AI444)),"一致","不一致"))))</f>
        <v>―</v>
      </c>
      <c r="G444" s="25"/>
      <c r="H444" s="26"/>
      <c r="I444" s="27"/>
      <c r="J444" s="27"/>
      <c r="K444" s="27"/>
      <c r="L444" s="27"/>
      <c r="M444" s="27"/>
      <c r="N444" s="27"/>
      <c r="O444" s="27"/>
      <c r="P444" s="27"/>
      <c r="Q444" s="27"/>
      <c r="R444" s="27"/>
      <c r="S444" s="27"/>
      <c r="T444" s="27"/>
      <c r="U444" s="27"/>
      <c r="V444" s="27"/>
      <c r="W444" s="27"/>
      <c r="X444" s="27"/>
      <c r="Y444" s="27"/>
      <c r="Z444" s="27"/>
      <c r="AA444" s="10" t="str">
        <f aca="false">IFERROR(INDEX(設定!$E$61:$E$106,MATCH(B444,設定!$B$61:$B$106,0)),"合算")</f>
        <v>合算</v>
      </c>
      <c r="AB444" s="28"/>
      <c r="AC444" s="29" t="str">
        <f aca="false">IF(OR(G444="",G444="なし"),"",IF(AA444="合算",CJ444+N(Z444),IF(AA444="掛金・負担金別",(AY444+AZ444+BD444+BF444+BH444),SUM(AY444:BC444))))</f>
        <v/>
      </c>
      <c r="AD444" s="27"/>
      <c r="AE444" s="29" t="str">
        <f aca="false">IF(OR(G444="",G444="なし"),"",IF(AA444="掛金・負担金別",(BA444+BB444+BC444+BE444+BG444+BI444+N(Z444)),IF(AA444="経理区分別",BD444+BE444,"")))</f>
        <v/>
      </c>
      <c r="AF444" s="27"/>
      <c r="AG444" s="29" t="str">
        <f aca="false">IF(OR(G444="",G444="なし"),"",IF(AA444="経理区分別",BF444+BG444,""))</f>
        <v/>
      </c>
      <c r="AH444" s="27"/>
      <c r="AI444" s="29" t="str">
        <f aca="false">IF(OR(G444="",G444="なし"),"",IF(AA444="経理区分別",BH444+BI444+N(Z444),""))</f>
        <v/>
      </c>
      <c r="AJ444" s="27"/>
      <c r="AK444" s="26"/>
      <c r="AL444" s="26"/>
      <c r="AM444" s="30"/>
      <c r="AN444" s="31" t="n">
        <v>1785344</v>
      </c>
      <c r="AO444" s="31" t="n">
        <v>146336</v>
      </c>
      <c r="AP444" s="31" t="n">
        <v>1785348</v>
      </c>
      <c r="AQ444" s="31" t="n">
        <v>146340</v>
      </c>
      <c r="AR444" s="31" t="n">
        <v>1832</v>
      </c>
      <c r="AS444" s="31" t="n">
        <v>1073346</v>
      </c>
      <c r="AT444" s="31" t="n">
        <v>1075306</v>
      </c>
      <c r="AU444" s="31" t="n">
        <v>104204</v>
      </c>
      <c r="AV444" s="31" t="n">
        <v>104208</v>
      </c>
      <c r="AW444" s="31" t="n">
        <v>1</v>
      </c>
      <c r="AX444" s="31" t="n">
        <v>1</v>
      </c>
      <c r="AY444" s="31" t="n">
        <f aca="false">IF($G444="",AN444,O444)</f>
        <v>1785344</v>
      </c>
      <c r="AZ444" s="31" t="n">
        <f aca="false">IF($G444="",AO444,P444)</f>
        <v>146336</v>
      </c>
      <c r="BA444" s="31" t="n">
        <f aca="false">IF($G444="",AP444,T444)</f>
        <v>1785348</v>
      </c>
      <c r="BB444" s="31" t="n">
        <f aca="false">IF($G444="",AQ444,U444)</f>
        <v>146340</v>
      </c>
      <c r="BC444" s="31" t="n">
        <f aca="false">IF($G444="",AR444,V444)</f>
        <v>1832</v>
      </c>
      <c r="BD444" s="31" t="n">
        <f aca="false">IF($G444="",AS444,Q444)</f>
        <v>1073346</v>
      </c>
      <c r="BE444" s="31" t="n">
        <f aca="false">IF($G444="",AT444,W444)</f>
        <v>1075306</v>
      </c>
      <c r="BF444" s="31" t="n">
        <f aca="false">IF($G444="",AU444,R444)</f>
        <v>104204</v>
      </c>
      <c r="BG444" s="31" t="n">
        <f aca="false">IF($G444="",AV444,X444)</f>
        <v>104208</v>
      </c>
      <c r="BH444" s="31" t="n">
        <f aca="false">IF($G444="",AW444,S444)</f>
        <v>1</v>
      </c>
      <c r="BI444" s="31" t="n">
        <f aca="false">IF($G444="",AX444,Y444)</f>
        <v>1</v>
      </c>
      <c r="BJ444" s="31" t="n">
        <f aca="false">IF(CK444="N",BR444,ROUNDDOWN((I444-L444)*設定!$B$10/1000,0)+ROUNDDOWN((I444-L444)*設定!$B$11/1000,0))</f>
        <v>0</v>
      </c>
      <c r="BK444" s="31" t="n">
        <f aca="false">ROUNDDOWN((I444-L444)*設定!$C$10/1000,0)+ROUNDDOWN((I444-L444)*設定!$C$11/1000,0)+ROUNDDOWN(I444*設定!$C$12/1000,0)+IF(CL444="市局型",ROUNDDOWN(I444*設定!$C$16/1000,0),0)</f>
        <v>0</v>
      </c>
      <c r="BL444" s="31" t="n">
        <f aca="false">IF(CK444="N",BT444,ROUNDDOWN((J444-M444)*設定!$B$13/1000,0))</f>
        <v>0</v>
      </c>
      <c r="BM444" s="31" t="n">
        <f aca="false">ROUNDDOWN((J444-M444)*設定!$C$13/1000,0)+IF(CL444="市局型",ROUNDDOWN(J444*設定!$C$17/1000,0),0)</f>
        <v>0</v>
      </c>
      <c r="BN444" s="31" t="n">
        <f aca="false">IF(CK444="N",BV444,ROUNDDOWN((K444-N444)*設定!$B$14/1000,0))</f>
        <v>0</v>
      </c>
      <c r="BO444" s="31" t="n">
        <f aca="false">ROUNDDOWN((K444-N444)*設定!$C$14/1000,0)</f>
        <v>0</v>
      </c>
      <c r="BP444" s="31" t="n">
        <f aca="false">IF(CK444="N",BX444,ROUNDDOWN((J444-M444)*設定!$B$15/1000,0))</f>
        <v>0</v>
      </c>
      <c r="BQ444" s="31" t="n">
        <f aca="false">ROUNDDOWN((J444-M444)*設定!$C$15/1000,0)</f>
        <v>0</v>
      </c>
      <c r="BR444" s="31" t="n">
        <f aca="false">O444+P444</f>
        <v>0</v>
      </c>
      <c r="BS444" s="31" t="n">
        <f aca="false">T444+U444+V444</f>
        <v>0</v>
      </c>
      <c r="BT444" s="31" t="n">
        <f aca="false">Q444</f>
        <v>0</v>
      </c>
      <c r="BU444" s="31" t="n">
        <f aca="false">W444</f>
        <v>0</v>
      </c>
      <c r="BV444" s="31" t="n">
        <f aca="false">R444</f>
        <v>0</v>
      </c>
      <c r="BW444" s="31" t="n">
        <f aca="false">X444</f>
        <v>0</v>
      </c>
      <c r="BX444" s="31" t="n">
        <f aca="false">S444</f>
        <v>0</v>
      </c>
      <c r="BY444" s="31" t="n">
        <f aca="false">Y444</f>
        <v>0</v>
      </c>
      <c r="BZ444" s="32" t="n">
        <f aca="false">IF(BJ444=0,IF(BR444=0,0,1),(BR444-BJ444)/BJ444)</f>
        <v>0</v>
      </c>
      <c r="CA444" s="32" t="n">
        <f aca="false">IF(BK444=0,IF(BS444=0,0,1),(BS444-BK444)/BK444)</f>
        <v>0</v>
      </c>
      <c r="CB444" s="32" t="n">
        <f aca="false">IF(BL444=0,IF(BT444=0,0,1),(BT444-BL444)/BL444)</f>
        <v>0</v>
      </c>
      <c r="CC444" s="32" t="n">
        <f aca="false">IF(BM444=0,IF(BU444=0,0,1),(BU444-BM444)/BM444)</f>
        <v>0</v>
      </c>
      <c r="CD444" s="32" t="n">
        <f aca="false">IF(BN444=0,IF(BV444=0,0,1),(BV444-BN444)/BN444)</f>
        <v>0</v>
      </c>
      <c r="CE444" s="32" t="n">
        <f aca="false">IF(BO444=0,IF(BW444=0,0,1),(BW444-BO444)/BO444)</f>
        <v>0</v>
      </c>
      <c r="CF444" s="32" t="n">
        <f aca="false">IF(BP444=0,IF(BX444=0,0,1),(BX444-BP444)/BP444)</f>
        <v>0</v>
      </c>
      <c r="CG444" s="32" t="n">
        <f aca="false">IF(BQ444=0,IF(BY444=0,0,1),(BY444-BQ444)/BQ444)</f>
        <v>0</v>
      </c>
      <c r="CH444" s="32" t="n">
        <f aca="false">MAX(MAX(BZ444:CG444),-MIN(BZ444:CG444))</f>
        <v>-0</v>
      </c>
      <c r="CI444" s="31" t="str">
        <f aca="false">IF(CO444="","",SUMIFS($CJ$7:$CJ$696,$A$7:$A$696,CO444,$B$7:$B$696,B444))</f>
        <v/>
      </c>
      <c r="CJ444" s="31" t="n">
        <f aca="false">SUM(AY444:BI444)</f>
        <v>6222266</v>
      </c>
      <c r="CK444" s="31" t="str">
        <f aca="false">IFERROR(INDEX(設定!$F$61:$F$106,MATCH(B444,設定!$B$61:$B$106,0)),"Y")</f>
        <v>Y</v>
      </c>
      <c r="CL444" s="31" t="str">
        <f aca="false">IFERROR(INDEX(設定!$G$61:$G$106,MATCH(B444,設定!$B$61:$B$106,0)),"外郭型")</f>
        <v>外郭型</v>
      </c>
      <c r="CM444" s="33" t="str">
        <f aca="false">A444&amp;"|"&amp;B444</f>
        <v>2026-12 賞与|高速道路公社</v>
      </c>
      <c r="CN444" s="34" t="str">
        <f aca="false">IFERROR(INDEX(設定!$D$61:$D$106,MATCH(B444,設定!$B$61:$B$106,0)),"Y")</f>
        <v>Y</v>
      </c>
      <c r="CO444" s="34" t="str">
        <f aca="false">IFERROR(INDEX(設定!$D$20:$D$34,MATCH(A444,設定!$A$20:$A$34,0))&amp;"","")</f>
        <v/>
      </c>
    </row>
    <row r="445" customFormat="false" ht="15" hidden="true" customHeight="false" outlineLevel="0" collapsed="false">
      <c r="A445" s="22" t="s">
        <v>225</v>
      </c>
      <c r="B445" s="23" t="s">
        <v>193</v>
      </c>
      <c r="C445" s="10" t="str">
        <f aca="false">IF(G445="","未受領",IF(G445="なし","報告なし",IF(AL445="○","起票済",IF(OR(AK445="○",F445="一致",F445="入金不要"),"入金確認済","受領済"))))</f>
        <v>未受領</v>
      </c>
      <c r="D445" s="10" t="str">
        <f aca="false">IF(OR(G445="",G445="なし"),"―",IF(CN445="N","対象外",IF(AND(I445="",J445="",K445=""),"標報未入力",IF(CH445&gt;=設定!$B$4,"要確認","問題なし"))))</f>
        <v>―</v>
      </c>
      <c r="E445" s="24" t="str">
        <f aca="false">IF(OR(G445="",G445="なし",CI445="",CJ445=0),"―",IF(CJ445=CI445,"前月同額",IF(CI445=0,"―",IF(ABS(CJ445/CI445-1)&gt;=設定!$B$5,"変動大 "&amp;TEXT(CJ445/CI445-1,"+0%;-0%"),"〇"))))</f>
        <v>―</v>
      </c>
      <c r="F445" s="10" t="str">
        <f aca="false">IF(OR(G445="",G445="なし"),"―",IF(CJ445=0,"入金不要",IF(COUNT(AD445,AF445,AH445,AJ445)=0,IF(AK445="○","手動確認","未入金"),IF(AND(N(AD445)=AC445,IF(AE445="",TRUE(),N(AF445)=AE445),IF(AG445="",TRUE(),N(AH445)=AG445),IF(AI445="",TRUE(),N(AJ445)=AI445)),"一致","不一致"))))</f>
        <v>―</v>
      </c>
      <c r="G445" s="25"/>
      <c r="H445" s="26"/>
      <c r="I445" s="27"/>
      <c r="J445" s="27"/>
      <c r="K445" s="27"/>
      <c r="L445" s="27"/>
      <c r="M445" s="27"/>
      <c r="N445" s="27"/>
      <c r="O445" s="27"/>
      <c r="P445" s="27"/>
      <c r="Q445" s="27"/>
      <c r="R445" s="27"/>
      <c r="S445" s="27"/>
      <c r="T445" s="27"/>
      <c r="U445" s="27"/>
      <c r="V445" s="27"/>
      <c r="W445" s="27"/>
      <c r="X445" s="27"/>
      <c r="Y445" s="27"/>
      <c r="Z445" s="27"/>
      <c r="AA445" s="10" t="str">
        <f aca="false">IFERROR(INDEX(設定!$E$61:$E$106,MATCH(B445,設定!$B$61:$B$106,0)),"合算")</f>
        <v>合算</v>
      </c>
      <c r="AB445" s="28"/>
      <c r="AC445" s="29" t="str">
        <f aca="false">IF(OR(G445="",G445="なし"),"",IF(AA445="合算",CJ445+N(Z445),IF(AA445="掛金・負担金別",(AY445+AZ445+BD445+BF445+BH445),SUM(AY445:BC445))))</f>
        <v/>
      </c>
      <c r="AD445" s="27"/>
      <c r="AE445" s="29" t="str">
        <f aca="false">IF(OR(G445="",G445="なし"),"",IF(AA445="掛金・負担金別",(BA445+BB445+BC445+BE445+BG445+BI445+N(Z445)),IF(AA445="経理区分別",BD445+BE445,"")))</f>
        <v/>
      </c>
      <c r="AF445" s="27"/>
      <c r="AG445" s="29" t="str">
        <f aca="false">IF(OR(G445="",G445="なし"),"",IF(AA445="経理区分別",BF445+BG445,""))</f>
        <v/>
      </c>
      <c r="AH445" s="27"/>
      <c r="AI445" s="29" t="str">
        <f aca="false">IF(OR(G445="",G445="なし"),"",IF(AA445="経理区分別",BH445+BI445+N(Z445),""))</f>
        <v/>
      </c>
      <c r="AJ445" s="27"/>
      <c r="AK445" s="26"/>
      <c r="AL445" s="26"/>
      <c r="AM445" s="30"/>
      <c r="AN445" s="31"/>
      <c r="AO445" s="31"/>
      <c r="AP445" s="31" t="n">
        <v>1116024</v>
      </c>
      <c r="AQ445" s="31" t="n">
        <v>91476</v>
      </c>
      <c r="AR445" s="31" t="n">
        <v>1202</v>
      </c>
      <c r="AS445" s="31"/>
      <c r="AT445" s="31" t="n">
        <v>672237</v>
      </c>
      <c r="AU445" s="31"/>
      <c r="AV445" s="31" t="n">
        <v>56215</v>
      </c>
      <c r="AW445" s="31"/>
      <c r="AX445" s="31" t="n">
        <v>1</v>
      </c>
      <c r="AY445" s="31" t="n">
        <f aca="false">IF($G445="",AN445,O445)</f>
        <v>0</v>
      </c>
      <c r="AZ445" s="31" t="n">
        <f aca="false">IF($G445="",AO445,P445)</f>
        <v>0</v>
      </c>
      <c r="BA445" s="31" t="n">
        <f aca="false">IF($G445="",AP445,T445)</f>
        <v>1116024</v>
      </c>
      <c r="BB445" s="31" t="n">
        <f aca="false">IF($G445="",AQ445,U445)</f>
        <v>91476</v>
      </c>
      <c r="BC445" s="31" t="n">
        <f aca="false">IF($G445="",AR445,V445)</f>
        <v>1202</v>
      </c>
      <c r="BD445" s="31" t="n">
        <f aca="false">IF($G445="",AS445,Q445)</f>
        <v>0</v>
      </c>
      <c r="BE445" s="31" t="n">
        <f aca="false">IF($G445="",AT445,W445)</f>
        <v>672237</v>
      </c>
      <c r="BF445" s="31" t="n">
        <f aca="false">IF($G445="",AU445,R445)</f>
        <v>0</v>
      </c>
      <c r="BG445" s="31" t="n">
        <f aca="false">IF($G445="",AV445,X445)</f>
        <v>56215</v>
      </c>
      <c r="BH445" s="31" t="n">
        <f aca="false">IF($G445="",AW445,S445)</f>
        <v>0</v>
      </c>
      <c r="BI445" s="31" t="n">
        <f aca="false">IF($G445="",AX445,Y445)</f>
        <v>1</v>
      </c>
      <c r="BJ445" s="31" t="n">
        <f aca="false">IF(CK445="N",BR445,ROUNDDOWN((I445-L445)*設定!$B$10/1000,0)+ROUNDDOWN((I445-L445)*設定!$B$11/1000,0))</f>
        <v>0</v>
      </c>
      <c r="BK445" s="31" t="n">
        <f aca="false">ROUNDDOWN((I445-L445)*設定!$C$10/1000,0)+ROUNDDOWN((I445-L445)*設定!$C$11/1000,0)+ROUNDDOWN(I445*設定!$C$12/1000,0)+IF(CL445="市局型",ROUNDDOWN(I445*設定!$C$16/1000,0),0)</f>
        <v>0</v>
      </c>
      <c r="BL445" s="31" t="n">
        <f aca="false">IF(CK445="N",BT445,ROUNDDOWN((J445-M445)*設定!$B$13/1000,0))</f>
        <v>0</v>
      </c>
      <c r="BM445" s="31" t="n">
        <f aca="false">ROUNDDOWN((J445-M445)*設定!$C$13/1000,0)+IF(CL445="市局型",ROUNDDOWN(J445*設定!$C$17/1000,0),0)</f>
        <v>0</v>
      </c>
      <c r="BN445" s="31" t="n">
        <f aca="false">IF(CK445="N",BV445,ROUNDDOWN((K445-N445)*設定!$B$14/1000,0))</f>
        <v>0</v>
      </c>
      <c r="BO445" s="31" t="n">
        <f aca="false">ROUNDDOWN((K445-N445)*設定!$C$14/1000,0)</f>
        <v>0</v>
      </c>
      <c r="BP445" s="31" t="n">
        <f aca="false">IF(CK445="N",BX445,ROUNDDOWN((J445-M445)*設定!$B$15/1000,0))</f>
        <v>0</v>
      </c>
      <c r="BQ445" s="31" t="n">
        <f aca="false">ROUNDDOWN((J445-M445)*設定!$C$15/1000,0)</f>
        <v>0</v>
      </c>
      <c r="BR445" s="31" t="n">
        <f aca="false">O445+P445</f>
        <v>0</v>
      </c>
      <c r="BS445" s="31" t="n">
        <f aca="false">T445+U445+V445</f>
        <v>0</v>
      </c>
      <c r="BT445" s="31" t="n">
        <f aca="false">Q445</f>
        <v>0</v>
      </c>
      <c r="BU445" s="31" t="n">
        <f aca="false">W445</f>
        <v>0</v>
      </c>
      <c r="BV445" s="31" t="n">
        <f aca="false">R445</f>
        <v>0</v>
      </c>
      <c r="BW445" s="31" t="n">
        <f aca="false">X445</f>
        <v>0</v>
      </c>
      <c r="BX445" s="31" t="n">
        <f aca="false">S445</f>
        <v>0</v>
      </c>
      <c r="BY445" s="31" t="n">
        <f aca="false">Y445</f>
        <v>0</v>
      </c>
      <c r="BZ445" s="32" t="n">
        <f aca="false">IF(BJ445=0,IF(BR445=0,0,1),(BR445-BJ445)/BJ445)</f>
        <v>0</v>
      </c>
      <c r="CA445" s="32" t="n">
        <f aca="false">IF(BK445=0,IF(BS445=0,0,1),(BS445-BK445)/BK445)</f>
        <v>0</v>
      </c>
      <c r="CB445" s="32" t="n">
        <f aca="false">IF(BL445=0,IF(BT445=0,0,1),(BT445-BL445)/BL445)</f>
        <v>0</v>
      </c>
      <c r="CC445" s="32" t="n">
        <f aca="false">IF(BM445=0,IF(BU445=0,0,1),(BU445-BM445)/BM445)</f>
        <v>0</v>
      </c>
      <c r="CD445" s="32" t="n">
        <f aca="false">IF(BN445=0,IF(BV445=0,0,1),(BV445-BN445)/BN445)</f>
        <v>0</v>
      </c>
      <c r="CE445" s="32" t="n">
        <f aca="false">IF(BO445=0,IF(BW445=0,0,1),(BW445-BO445)/BO445)</f>
        <v>0</v>
      </c>
      <c r="CF445" s="32" t="n">
        <f aca="false">IF(BP445=0,IF(BX445=0,0,1),(BX445-BP445)/BP445)</f>
        <v>0</v>
      </c>
      <c r="CG445" s="32" t="n">
        <f aca="false">IF(BQ445=0,IF(BY445=0,0,1),(BY445-BQ445)/BQ445)</f>
        <v>0</v>
      </c>
      <c r="CH445" s="32" t="n">
        <f aca="false">MAX(MAX(BZ445:CG445),-MIN(BZ445:CG445))</f>
        <v>-0</v>
      </c>
      <c r="CI445" s="31" t="str">
        <f aca="false">IF(CO445="","",SUMIFS($CJ$7:$CJ$696,$A$7:$A$696,CO445,$B$7:$B$696,B445))</f>
        <v/>
      </c>
      <c r="CJ445" s="31" t="n">
        <f aca="false">SUM(AY445:BI445)</f>
        <v>1937155</v>
      </c>
      <c r="CK445" s="31" t="str">
        <f aca="false">IFERROR(INDEX(設定!$F$61:$F$106,MATCH(B445,設定!$B$61:$B$106,0)),"Y")</f>
        <v>N</v>
      </c>
      <c r="CL445" s="31" t="str">
        <f aca="false">IFERROR(INDEX(設定!$G$61:$G$106,MATCH(B445,設定!$B$61:$B$106,0)),"外郭型")</f>
        <v>外郭型</v>
      </c>
      <c r="CM445" s="33" t="str">
        <f aca="false">A445&amp;"|"&amp;B445</f>
        <v>2026-12 賞与|農林水産振興センタ</v>
      </c>
      <c r="CN445" s="34" t="str">
        <f aca="false">IFERROR(INDEX(設定!$D$61:$D$106,MATCH(B445,設定!$B$61:$B$106,0)),"Y")</f>
        <v>Y</v>
      </c>
      <c r="CO445" s="34" t="str">
        <f aca="false">IFERROR(INDEX(設定!$D$20:$D$34,MATCH(A445,設定!$A$20:$A$34,0))&amp;"","")</f>
        <v/>
      </c>
    </row>
    <row r="446" customFormat="false" ht="15" hidden="true" customHeight="false" outlineLevel="0" collapsed="false">
      <c r="A446" s="22" t="s">
        <v>225</v>
      </c>
      <c r="B446" s="23" t="s">
        <v>194</v>
      </c>
      <c r="C446" s="10" t="str">
        <f aca="false">IF(G446="","未受領",IF(G446="なし","報告なし",IF(AL446="○","起票済",IF(OR(AK446="○",F446="一致",F446="入金不要"),"入金確認済","受領済"))))</f>
        <v>未受領</v>
      </c>
      <c r="D446" s="10" t="str">
        <f aca="false">IF(OR(G446="",G446="なし"),"―",IF(CN446="N","対象外",IF(AND(I446="",J446="",K446=""),"標報未入力",IF(CH446&gt;=設定!$B$4,"要確認","問題なし"))))</f>
        <v>―</v>
      </c>
      <c r="E446" s="24" t="str">
        <f aca="false">IF(OR(G446="",G446="なし",CI446="",CJ446=0),"―",IF(CJ446=CI446,"前月同額",IF(CI446=0,"―",IF(ABS(CJ446/CI446-1)&gt;=設定!$B$5,"変動大 "&amp;TEXT(CJ446/CI446-1,"+0%;-0%"),"〇"))))</f>
        <v>―</v>
      </c>
      <c r="F446" s="10" t="str">
        <f aca="false">IF(OR(G446="",G446="なし"),"―",IF(CJ446=0,"入金不要",IF(COUNT(AD446,AF446,AH446,AJ446)=0,IF(AK446="○","手動確認","未入金"),IF(AND(N(AD446)=AC446,IF(AE446="",TRUE(),N(AF446)=AE446),IF(AG446="",TRUE(),N(AH446)=AG446),IF(AI446="",TRUE(),N(AJ446)=AI446)),"一致","不一致"))))</f>
        <v>―</v>
      </c>
      <c r="G446" s="25"/>
      <c r="H446" s="26"/>
      <c r="I446" s="27"/>
      <c r="J446" s="27"/>
      <c r="K446" s="27"/>
      <c r="L446" s="27"/>
      <c r="M446" s="27"/>
      <c r="N446" s="27"/>
      <c r="O446" s="27"/>
      <c r="P446" s="27"/>
      <c r="Q446" s="27"/>
      <c r="R446" s="27"/>
      <c r="S446" s="27"/>
      <c r="T446" s="27"/>
      <c r="U446" s="27"/>
      <c r="V446" s="27"/>
      <c r="W446" s="27"/>
      <c r="X446" s="27"/>
      <c r="Y446" s="27"/>
      <c r="Z446" s="27"/>
      <c r="AA446" s="10" t="str">
        <f aca="false">IFERROR(INDEX(設定!$E$61:$E$106,MATCH(B446,設定!$B$61:$B$106,0)),"合算")</f>
        <v>合算</v>
      </c>
      <c r="AB446" s="28"/>
      <c r="AC446" s="29" t="str">
        <f aca="false">IF(OR(G446="",G446="なし"),"",IF(AA446="合算",CJ446+N(Z446),IF(AA446="掛金・負担金別",(AY446+AZ446+BD446+BF446+BH446),SUM(AY446:BC446))))</f>
        <v/>
      </c>
      <c r="AD446" s="27"/>
      <c r="AE446" s="29" t="str">
        <f aca="false">IF(OR(G446="",G446="なし"),"",IF(AA446="掛金・負担金別",(BA446+BB446+BC446+BE446+BG446+BI446+N(Z446)),IF(AA446="経理区分別",BD446+BE446,"")))</f>
        <v/>
      </c>
      <c r="AF446" s="27"/>
      <c r="AG446" s="29" t="str">
        <f aca="false">IF(OR(G446="",G446="なし"),"",IF(AA446="経理区分別",BF446+BG446,""))</f>
        <v/>
      </c>
      <c r="AH446" s="27"/>
      <c r="AI446" s="29" t="str">
        <f aca="false">IF(OR(G446="",G446="なし"),"",IF(AA446="経理区分別",BH446+BI446+N(Z446),""))</f>
        <v/>
      </c>
      <c r="AJ446" s="27"/>
      <c r="AK446" s="26"/>
      <c r="AL446" s="26"/>
      <c r="AM446" s="30"/>
      <c r="AN446" s="31"/>
      <c r="AO446" s="31"/>
      <c r="AP446" s="31" t="n">
        <v>2437384</v>
      </c>
      <c r="AQ446" s="31" t="n">
        <v>199783</v>
      </c>
      <c r="AR446" s="31" t="n">
        <v>2496</v>
      </c>
      <c r="AS446" s="31"/>
      <c r="AT446" s="31" t="n">
        <v>1468017</v>
      </c>
      <c r="AU446" s="31"/>
      <c r="AV446" s="31" t="n">
        <v>199629</v>
      </c>
      <c r="AW446" s="31"/>
      <c r="AX446" s="31" t="n">
        <v>1</v>
      </c>
      <c r="AY446" s="31" t="n">
        <f aca="false">IF($G446="",AN446,O446)</f>
        <v>0</v>
      </c>
      <c r="AZ446" s="31" t="n">
        <f aca="false">IF($G446="",AO446,P446)</f>
        <v>0</v>
      </c>
      <c r="BA446" s="31" t="n">
        <f aca="false">IF($G446="",AP446,T446)</f>
        <v>2437384</v>
      </c>
      <c r="BB446" s="31" t="n">
        <f aca="false">IF($G446="",AQ446,U446)</f>
        <v>199783</v>
      </c>
      <c r="BC446" s="31" t="n">
        <f aca="false">IF($G446="",AR446,V446)</f>
        <v>2496</v>
      </c>
      <c r="BD446" s="31" t="n">
        <f aca="false">IF($G446="",AS446,Q446)</f>
        <v>0</v>
      </c>
      <c r="BE446" s="31" t="n">
        <f aca="false">IF($G446="",AT446,W446)</f>
        <v>1468017</v>
      </c>
      <c r="BF446" s="31" t="n">
        <f aca="false">IF($G446="",AU446,R446)</f>
        <v>0</v>
      </c>
      <c r="BG446" s="31" t="n">
        <f aca="false">IF($G446="",AV446,X446)</f>
        <v>199629</v>
      </c>
      <c r="BH446" s="31" t="n">
        <f aca="false">IF($G446="",AW446,S446)</f>
        <v>0</v>
      </c>
      <c r="BI446" s="31" t="n">
        <f aca="false">IF($G446="",AX446,Y446)</f>
        <v>1</v>
      </c>
      <c r="BJ446" s="31" t="n">
        <f aca="false">IF(CK446="N",BR446,ROUNDDOWN((I446-L446)*設定!$B$10/1000,0)+ROUNDDOWN((I446-L446)*設定!$B$11/1000,0))</f>
        <v>0</v>
      </c>
      <c r="BK446" s="31" t="n">
        <f aca="false">ROUNDDOWN((I446-L446)*設定!$C$10/1000,0)+ROUNDDOWN((I446-L446)*設定!$C$11/1000,0)+ROUNDDOWN(I446*設定!$C$12/1000,0)+IF(CL446="市局型",ROUNDDOWN(I446*設定!$C$16/1000,0),0)</f>
        <v>0</v>
      </c>
      <c r="BL446" s="31" t="n">
        <f aca="false">IF(CK446="N",BT446,ROUNDDOWN((J446-M446)*設定!$B$13/1000,0))</f>
        <v>0</v>
      </c>
      <c r="BM446" s="31" t="n">
        <f aca="false">ROUNDDOWN((J446-M446)*設定!$C$13/1000,0)+IF(CL446="市局型",ROUNDDOWN(J446*設定!$C$17/1000,0),0)</f>
        <v>0</v>
      </c>
      <c r="BN446" s="31" t="n">
        <f aca="false">IF(CK446="N",BV446,ROUNDDOWN((K446-N446)*設定!$B$14/1000,0))</f>
        <v>0</v>
      </c>
      <c r="BO446" s="31" t="n">
        <f aca="false">ROUNDDOWN((K446-N446)*設定!$C$14/1000,0)</f>
        <v>0</v>
      </c>
      <c r="BP446" s="31" t="n">
        <f aca="false">IF(CK446="N",BX446,ROUNDDOWN((J446-M446)*設定!$B$15/1000,0))</f>
        <v>0</v>
      </c>
      <c r="BQ446" s="31" t="n">
        <f aca="false">ROUNDDOWN((J446-M446)*設定!$C$15/1000,0)</f>
        <v>0</v>
      </c>
      <c r="BR446" s="31" t="n">
        <f aca="false">O446+P446</f>
        <v>0</v>
      </c>
      <c r="BS446" s="31" t="n">
        <f aca="false">T446+U446+V446</f>
        <v>0</v>
      </c>
      <c r="BT446" s="31" t="n">
        <f aca="false">Q446</f>
        <v>0</v>
      </c>
      <c r="BU446" s="31" t="n">
        <f aca="false">W446</f>
        <v>0</v>
      </c>
      <c r="BV446" s="31" t="n">
        <f aca="false">R446</f>
        <v>0</v>
      </c>
      <c r="BW446" s="31" t="n">
        <f aca="false">X446</f>
        <v>0</v>
      </c>
      <c r="BX446" s="31" t="n">
        <f aca="false">S446</f>
        <v>0</v>
      </c>
      <c r="BY446" s="31" t="n">
        <f aca="false">Y446</f>
        <v>0</v>
      </c>
      <c r="BZ446" s="32" t="n">
        <f aca="false">IF(BJ446=0,IF(BR446=0,0,1),(BR446-BJ446)/BJ446)</f>
        <v>0</v>
      </c>
      <c r="CA446" s="32" t="n">
        <f aca="false">IF(BK446=0,IF(BS446=0,0,1),(BS446-BK446)/BK446)</f>
        <v>0</v>
      </c>
      <c r="CB446" s="32" t="n">
        <f aca="false">IF(BL446=0,IF(BT446=0,0,1),(BT446-BL446)/BL446)</f>
        <v>0</v>
      </c>
      <c r="CC446" s="32" t="n">
        <f aca="false">IF(BM446=0,IF(BU446=0,0,1),(BU446-BM446)/BM446)</f>
        <v>0</v>
      </c>
      <c r="CD446" s="32" t="n">
        <f aca="false">IF(BN446=0,IF(BV446=0,0,1),(BV446-BN446)/BN446)</f>
        <v>0</v>
      </c>
      <c r="CE446" s="32" t="n">
        <f aca="false">IF(BO446=0,IF(BW446=0,0,1),(BW446-BO446)/BO446)</f>
        <v>0</v>
      </c>
      <c r="CF446" s="32" t="n">
        <f aca="false">IF(BP446=0,IF(BX446=0,0,1),(BX446-BP446)/BP446)</f>
        <v>0</v>
      </c>
      <c r="CG446" s="32" t="n">
        <f aca="false">IF(BQ446=0,IF(BY446=0,0,1),(BY446-BQ446)/BQ446)</f>
        <v>0</v>
      </c>
      <c r="CH446" s="32" t="n">
        <f aca="false">MAX(MAX(BZ446:CG446),-MIN(BZ446:CG446))</f>
        <v>-0</v>
      </c>
      <c r="CI446" s="31" t="str">
        <f aca="false">IF(CO446="","",SUMIFS($CJ$7:$CJ$696,$A$7:$A$696,CO446,$B$7:$B$696,B446))</f>
        <v/>
      </c>
      <c r="CJ446" s="31" t="n">
        <f aca="false">SUM(AY446:BI446)</f>
        <v>4307310</v>
      </c>
      <c r="CK446" s="31" t="str">
        <f aca="false">IFERROR(INDEX(設定!$F$61:$F$106,MATCH(B446,設定!$B$61:$B$106,0)),"Y")</f>
        <v>N</v>
      </c>
      <c r="CL446" s="31" t="str">
        <f aca="false">IFERROR(INDEX(設定!$G$61:$G$106,MATCH(B446,設定!$B$61:$B$106,0)),"外郭型")</f>
        <v>外郭型</v>
      </c>
      <c r="CM446" s="33" t="str">
        <f aca="false">A446&amp;"|"&amp;B446</f>
        <v>2026-12 賞与|文化財団　市長部局</v>
      </c>
      <c r="CN446" s="34" t="str">
        <f aca="false">IFERROR(INDEX(設定!$D$61:$D$106,MATCH(B446,設定!$B$61:$B$106,0)),"Y")</f>
        <v>Y</v>
      </c>
      <c r="CO446" s="34" t="str">
        <f aca="false">IFERROR(INDEX(設定!$D$20:$D$34,MATCH(A446,設定!$A$20:$A$34,0))&amp;"","")</f>
        <v/>
      </c>
    </row>
    <row r="447" customFormat="false" ht="15" hidden="true" customHeight="false" outlineLevel="0" collapsed="false">
      <c r="A447" s="22" t="s">
        <v>225</v>
      </c>
      <c r="B447" s="23" t="s">
        <v>195</v>
      </c>
      <c r="C447" s="10" t="str">
        <f aca="false">IF(G447="","未受領",IF(G447="なし","報告なし",IF(AL447="○","起票済",IF(OR(AK447="○",F447="一致",F447="入金不要"),"入金確認済","受領済"))))</f>
        <v>未受領</v>
      </c>
      <c r="D447" s="10" t="str">
        <f aca="false">IF(OR(G447="",G447="なし"),"―",IF(CN447="N","対象外",IF(AND(I447="",J447="",K447=""),"標報未入力",IF(CH447&gt;=設定!$B$4,"要確認","問題なし"))))</f>
        <v>―</v>
      </c>
      <c r="E447" s="24" t="str">
        <f aca="false">IF(OR(G447="",G447="なし",CI447="",CJ447=0),"―",IF(CJ447=CI447,"前月同額",IF(CI447=0,"―",IF(ABS(CJ447/CI447-1)&gt;=設定!$B$5,"変動大 "&amp;TEXT(CJ447/CI447-1,"+0%;-0%"),"〇"))))</f>
        <v>―</v>
      </c>
      <c r="F447" s="10" t="str">
        <f aca="false">IF(OR(G447="",G447="なし"),"―",IF(CJ447=0,"入金不要",IF(COUNT(AD447,AF447,AH447,AJ447)=0,IF(AK447="○","手動確認","未入金"),IF(AND(N(AD447)=AC447,IF(AE447="",TRUE(),N(AF447)=AE447),IF(AG447="",TRUE(),N(AH447)=AG447),IF(AI447="",TRUE(),N(AJ447)=AI447)),"一致","不一致"))))</f>
        <v>―</v>
      </c>
      <c r="G447" s="25"/>
      <c r="H447" s="26"/>
      <c r="I447" s="27"/>
      <c r="J447" s="27"/>
      <c r="K447" s="27"/>
      <c r="L447" s="27"/>
      <c r="M447" s="27"/>
      <c r="N447" s="27"/>
      <c r="O447" s="27"/>
      <c r="P447" s="27"/>
      <c r="Q447" s="27"/>
      <c r="R447" s="27"/>
      <c r="S447" s="27"/>
      <c r="T447" s="27"/>
      <c r="U447" s="27"/>
      <c r="V447" s="27"/>
      <c r="W447" s="27"/>
      <c r="X447" s="27"/>
      <c r="Y447" s="27"/>
      <c r="Z447" s="27"/>
      <c r="AA447" s="10" t="str">
        <f aca="false">IFERROR(INDEX(設定!$E$61:$E$106,MATCH(B447,設定!$B$61:$B$106,0)),"合算")</f>
        <v>合算</v>
      </c>
      <c r="AB447" s="28"/>
      <c r="AC447" s="29" t="str">
        <f aca="false">IF(OR(G447="",G447="なし"),"",IF(AA447="合算",CJ447+N(Z447),IF(AA447="掛金・負担金別",(AY447+AZ447+BD447+BF447+BH447),SUM(AY447:BC447))))</f>
        <v/>
      </c>
      <c r="AD447" s="27"/>
      <c r="AE447" s="29" t="str">
        <f aca="false">IF(OR(G447="",G447="なし"),"",IF(AA447="掛金・負担金別",(BA447+BB447+BC447+BE447+BG447+BI447+N(Z447)),IF(AA447="経理区分別",BD447+BE447,"")))</f>
        <v/>
      </c>
      <c r="AF447" s="27"/>
      <c r="AG447" s="29" t="str">
        <f aca="false">IF(OR(G447="",G447="なし"),"",IF(AA447="経理区分別",BF447+BG447,""))</f>
        <v/>
      </c>
      <c r="AH447" s="27"/>
      <c r="AI447" s="29" t="str">
        <f aca="false">IF(OR(G447="",G447="なし"),"",IF(AA447="経理区分別",BH447+BI447+N(Z447),""))</f>
        <v/>
      </c>
      <c r="AJ447" s="27"/>
      <c r="AK447" s="26"/>
      <c r="AL447" s="26"/>
      <c r="AM447" s="30"/>
      <c r="AN447" s="31"/>
      <c r="AO447" s="31"/>
      <c r="AP447" s="31" t="n">
        <v>0</v>
      </c>
      <c r="AQ447" s="31" t="n">
        <v>0</v>
      </c>
      <c r="AR447" s="31" t="n">
        <v>0</v>
      </c>
      <c r="AS447" s="31"/>
      <c r="AT447" s="31" t="n">
        <v>0</v>
      </c>
      <c r="AU447" s="31"/>
      <c r="AV447" s="31" t="n">
        <v>0</v>
      </c>
      <c r="AW447" s="31"/>
      <c r="AX447" s="31" t="n">
        <v>0</v>
      </c>
      <c r="AY447" s="31" t="n">
        <f aca="false">IF($G447="",AN447,O447)</f>
        <v>0</v>
      </c>
      <c r="AZ447" s="31" t="n">
        <f aca="false">IF($G447="",AO447,P447)</f>
        <v>0</v>
      </c>
      <c r="BA447" s="31" t="n">
        <f aca="false">IF($G447="",AP447,T447)</f>
        <v>0</v>
      </c>
      <c r="BB447" s="31" t="n">
        <f aca="false">IF($G447="",AQ447,U447)</f>
        <v>0</v>
      </c>
      <c r="BC447" s="31" t="n">
        <f aca="false">IF($G447="",AR447,V447)</f>
        <v>0</v>
      </c>
      <c r="BD447" s="31" t="n">
        <f aca="false">IF($G447="",AS447,Q447)</f>
        <v>0</v>
      </c>
      <c r="BE447" s="31" t="n">
        <f aca="false">IF($G447="",AT447,W447)</f>
        <v>0</v>
      </c>
      <c r="BF447" s="31" t="n">
        <f aca="false">IF($G447="",AU447,R447)</f>
        <v>0</v>
      </c>
      <c r="BG447" s="31" t="n">
        <f aca="false">IF($G447="",AV447,X447)</f>
        <v>0</v>
      </c>
      <c r="BH447" s="31" t="n">
        <f aca="false">IF($G447="",AW447,S447)</f>
        <v>0</v>
      </c>
      <c r="BI447" s="31" t="n">
        <f aca="false">IF($G447="",AX447,Y447)</f>
        <v>0</v>
      </c>
      <c r="BJ447" s="31" t="n">
        <f aca="false">IF(CK447="N",BR447,ROUNDDOWN((I447-L447)*設定!$B$10/1000,0)+ROUNDDOWN((I447-L447)*設定!$B$11/1000,0))</f>
        <v>0</v>
      </c>
      <c r="BK447" s="31" t="n">
        <f aca="false">ROUNDDOWN((I447-L447)*設定!$C$10/1000,0)+ROUNDDOWN((I447-L447)*設定!$C$11/1000,0)+ROUNDDOWN(I447*設定!$C$12/1000,0)+IF(CL447="市局型",ROUNDDOWN(I447*設定!$C$16/1000,0),0)</f>
        <v>0</v>
      </c>
      <c r="BL447" s="31" t="n">
        <f aca="false">IF(CK447="N",BT447,ROUNDDOWN((J447-M447)*設定!$B$13/1000,0))</f>
        <v>0</v>
      </c>
      <c r="BM447" s="31" t="n">
        <f aca="false">ROUNDDOWN((J447-M447)*設定!$C$13/1000,0)+IF(CL447="市局型",ROUNDDOWN(J447*設定!$C$17/1000,0),0)</f>
        <v>0</v>
      </c>
      <c r="BN447" s="31" t="n">
        <f aca="false">IF(CK447="N",BV447,ROUNDDOWN((K447-N447)*設定!$B$14/1000,0))</f>
        <v>0</v>
      </c>
      <c r="BO447" s="31" t="n">
        <f aca="false">ROUNDDOWN((K447-N447)*設定!$C$14/1000,0)</f>
        <v>0</v>
      </c>
      <c r="BP447" s="31" t="n">
        <f aca="false">IF(CK447="N",BX447,ROUNDDOWN((J447-M447)*設定!$B$15/1000,0))</f>
        <v>0</v>
      </c>
      <c r="BQ447" s="31" t="n">
        <f aca="false">ROUNDDOWN((J447-M447)*設定!$C$15/1000,0)</f>
        <v>0</v>
      </c>
      <c r="BR447" s="31" t="n">
        <f aca="false">O447+P447</f>
        <v>0</v>
      </c>
      <c r="BS447" s="31" t="n">
        <f aca="false">T447+U447+V447</f>
        <v>0</v>
      </c>
      <c r="BT447" s="31" t="n">
        <f aca="false">Q447</f>
        <v>0</v>
      </c>
      <c r="BU447" s="31" t="n">
        <f aca="false">W447</f>
        <v>0</v>
      </c>
      <c r="BV447" s="31" t="n">
        <f aca="false">R447</f>
        <v>0</v>
      </c>
      <c r="BW447" s="31" t="n">
        <f aca="false">X447</f>
        <v>0</v>
      </c>
      <c r="BX447" s="31" t="n">
        <f aca="false">S447</f>
        <v>0</v>
      </c>
      <c r="BY447" s="31" t="n">
        <f aca="false">Y447</f>
        <v>0</v>
      </c>
      <c r="BZ447" s="32" t="n">
        <f aca="false">IF(BJ447=0,IF(BR447=0,0,1),(BR447-BJ447)/BJ447)</f>
        <v>0</v>
      </c>
      <c r="CA447" s="32" t="n">
        <f aca="false">IF(BK447=0,IF(BS447=0,0,1),(BS447-BK447)/BK447)</f>
        <v>0</v>
      </c>
      <c r="CB447" s="32" t="n">
        <f aca="false">IF(BL447=0,IF(BT447=0,0,1),(BT447-BL447)/BL447)</f>
        <v>0</v>
      </c>
      <c r="CC447" s="32" t="n">
        <f aca="false">IF(BM447=0,IF(BU447=0,0,1),(BU447-BM447)/BM447)</f>
        <v>0</v>
      </c>
      <c r="CD447" s="32" t="n">
        <f aca="false">IF(BN447=0,IF(BV447=0,0,1),(BV447-BN447)/BN447)</f>
        <v>0</v>
      </c>
      <c r="CE447" s="32" t="n">
        <f aca="false">IF(BO447=0,IF(BW447=0,0,1),(BW447-BO447)/BO447)</f>
        <v>0</v>
      </c>
      <c r="CF447" s="32" t="n">
        <f aca="false">IF(BP447=0,IF(BX447=0,0,1),(BX447-BP447)/BP447)</f>
        <v>0</v>
      </c>
      <c r="CG447" s="32" t="n">
        <f aca="false">IF(BQ447=0,IF(BY447=0,0,1),(BY447-BQ447)/BQ447)</f>
        <v>0</v>
      </c>
      <c r="CH447" s="32" t="n">
        <f aca="false">MAX(MAX(BZ447:CG447),-MIN(BZ447:CG447))</f>
        <v>-0</v>
      </c>
      <c r="CI447" s="31" t="str">
        <f aca="false">IF(CO447="","",SUMIFS($CJ$7:$CJ$696,$A$7:$A$696,CO447,$B$7:$B$696,B447))</f>
        <v/>
      </c>
      <c r="CJ447" s="31" t="n">
        <f aca="false">SUM(AY447:BI447)</f>
        <v>0</v>
      </c>
      <c r="CK447" s="31" t="str">
        <f aca="false">IFERROR(INDEX(設定!$F$61:$F$106,MATCH(B447,設定!$B$61:$B$106,0)),"Y")</f>
        <v>N</v>
      </c>
      <c r="CL447" s="31" t="str">
        <f aca="false">IFERROR(INDEX(設定!$G$61:$G$106,MATCH(B447,設定!$B$61:$B$106,0)),"外郭型")</f>
        <v>外郭型</v>
      </c>
      <c r="CM447" s="33" t="str">
        <f aca="false">A447&amp;"|"&amp;B447</f>
        <v>2026-12 賞与|文化財団　教育委員会</v>
      </c>
      <c r="CN447" s="34" t="str">
        <f aca="false">IFERROR(INDEX(設定!$D$61:$D$106,MATCH(B447,設定!$B$61:$B$106,0)),"Y")</f>
        <v>Y</v>
      </c>
      <c r="CO447" s="34" t="str">
        <f aca="false">IFERROR(INDEX(設定!$D$20:$D$34,MATCH(A447,設定!$A$20:$A$34,0))&amp;"","")</f>
        <v/>
      </c>
    </row>
    <row r="448" customFormat="false" ht="15" hidden="true" customHeight="false" outlineLevel="0" collapsed="false">
      <c r="A448" s="22" t="s">
        <v>225</v>
      </c>
      <c r="B448" s="23" t="s">
        <v>196</v>
      </c>
      <c r="C448" s="10" t="str">
        <f aca="false">IF(G448="","未受領",IF(G448="なし","報告なし",IF(AL448="○","起票済",IF(OR(AK448="○",F448="一致",F448="入金不要"),"入金確認済","受領済"))))</f>
        <v>未受領</v>
      </c>
      <c r="D448" s="10" t="str">
        <f aca="false">IF(OR(G448="",G448="なし"),"―",IF(CN448="N","対象外",IF(AND(I448="",J448="",K448=""),"標報未入力",IF(CH448&gt;=設定!$B$4,"要確認","問題なし"))))</f>
        <v>―</v>
      </c>
      <c r="E448" s="24" t="str">
        <f aca="false">IF(OR(G448="",G448="なし",CI448="",CJ448=0),"―",IF(CJ448=CI448,"前月同額",IF(CI448=0,"―",IF(ABS(CJ448/CI448-1)&gt;=設定!$B$5,"変動大 "&amp;TEXT(CJ448/CI448-1,"+0%;-0%"),"〇"))))</f>
        <v>―</v>
      </c>
      <c r="F448" s="10" t="str">
        <f aca="false">IF(OR(G448="",G448="なし"),"―",IF(CJ448=0,"入金不要",IF(COUNT(AD448,AF448,AH448,AJ448)=0,IF(AK448="○","手動確認","未入金"),IF(AND(N(AD448)=AC448,IF(AE448="",TRUE(),N(AF448)=AE448),IF(AG448="",TRUE(),N(AH448)=AG448),IF(AI448="",TRUE(),N(AJ448)=AI448)),"一致","不一致"))))</f>
        <v>―</v>
      </c>
      <c r="G448" s="25"/>
      <c r="H448" s="26"/>
      <c r="I448" s="27"/>
      <c r="J448" s="27"/>
      <c r="K448" s="27"/>
      <c r="L448" s="27"/>
      <c r="M448" s="27"/>
      <c r="N448" s="27"/>
      <c r="O448" s="27"/>
      <c r="P448" s="27"/>
      <c r="Q448" s="27"/>
      <c r="R448" s="27"/>
      <c r="S448" s="27"/>
      <c r="T448" s="27"/>
      <c r="U448" s="27"/>
      <c r="V448" s="27"/>
      <c r="W448" s="27"/>
      <c r="X448" s="27"/>
      <c r="Y448" s="27"/>
      <c r="Z448" s="27"/>
      <c r="AA448" s="10" t="str">
        <f aca="false">IFERROR(INDEX(設定!$E$61:$E$106,MATCH(B448,設定!$B$61:$B$106,0)),"合算")</f>
        <v>合算</v>
      </c>
      <c r="AB448" s="28"/>
      <c r="AC448" s="29" t="str">
        <f aca="false">IF(OR(G448="",G448="なし"),"",IF(AA448="合算",CJ448+N(Z448),IF(AA448="掛金・負担金別",(AY448+AZ448+BD448+BF448+BH448),SUM(AY448:BC448))))</f>
        <v/>
      </c>
      <c r="AD448" s="27"/>
      <c r="AE448" s="29" t="str">
        <f aca="false">IF(OR(G448="",G448="なし"),"",IF(AA448="掛金・負担金別",(BA448+BB448+BC448+BE448+BG448+BI448+N(Z448)),IF(AA448="経理区分別",BD448+BE448,"")))</f>
        <v/>
      </c>
      <c r="AF448" s="27"/>
      <c r="AG448" s="29" t="str">
        <f aca="false">IF(OR(G448="",G448="なし"),"",IF(AA448="経理区分別",BF448+BG448,""))</f>
        <v/>
      </c>
      <c r="AH448" s="27"/>
      <c r="AI448" s="29" t="str">
        <f aca="false">IF(OR(G448="",G448="なし"),"",IF(AA448="経理区分別",BH448+BI448+N(Z448),""))</f>
        <v/>
      </c>
      <c r="AJ448" s="27"/>
      <c r="AK448" s="26"/>
      <c r="AL448" s="26"/>
      <c r="AM448" s="30"/>
      <c r="AN448" s="31"/>
      <c r="AO448" s="31"/>
      <c r="AP448" s="31" t="n">
        <v>847292</v>
      </c>
      <c r="AQ448" s="31" t="n">
        <v>69448</v>
      </c>
      <c r="AR448" s="31" t="n">
        <v>867</v>
      </c>
      <c r="AS448" s="31"/>
      <c r="AT448" s="31" t="n">
        <v>510316</v>
      </c>
      <c r="AU448" s="31"/>
      <c r="AV448" s="31" t="n">
        <v>73152</v>
      </c>
      <c r="AW448" s="31"/>
      <c r="AX448" s="31" t="n">
        <v>1</v>
      </c>
      <c r="AY448" s="31" t="n">
        <f aca="false">IF($G448="",AN448,O448)</f>
        <v>0</v>
      </c>
      <c r="AZ448" s="31" t="n">
        <f aca="false">IF($G448="",AO448,P448)</f>
        <v>0</v>
      </c>
      <c r="BA448" s="31" t="n">
        <f aca="false">IF($G448="",AP448,T448)</f>
        <v>847292</v>
      </c>
      <c r="BB448" s="31" t="n">
        <f aca="false">IF($G448="",AQ448,U448)</f>
        <v>69448</v>
      </c>
      <c r="BC448" s="31" t="n">
        <f aca="false">IF($G448="",AR448,V448)</f>
        <v>867</v>
      </c>
      <c r="BD448" s="31" t="n">
        <f aca="false">IF($G448="",AS448,Q448)</f>
        <v>0</v>
      </c>
      <c r="BE448" s="31" t="n">
        <f aca="false">IF($G448="",AT448,W448)</f>
        <v>510316</v>
      </c>
      <c r="BF448" s="31" t="n">
        <f aca="false">IF($G448="",AU448,R448)</f>
        <v>0</v>
      </c>
      <c r="BG448" s="31" t="n">
        <f aca="false">IF($G448="",AV448,X448)</f>
        <v>73152</v>
      </c>
      <c r="BH448" s="31" t="n">
        <f aca="false">IF($G448="",AW448,S448)</f>
        <v>0</v>
      </c>
      <c r="BI448" s="31" t="n">
        <f aca="false">IF($G448="",AX448,Y448)</f>
        <v>1</v>
      </c>
      <c r="BJ448" s="31" t="n">
        <f aca="false">IF(CK448="N",BR448,ROUNDDOWN((I448-L448)*設定!$B$10/1000,0)+ROUNDDOWN((I448-L448)*設定!$B$11/1000,0))</f>
        <v>0</v>
      </c>
      <c r="BK448" s="31" t="n">
        <f aca="false">ROUNDDOWN((I448-L448)*設定!$C$10/1000,0)+ROUNDDOWN((I448-L448)*設定!$C$11/1000,0)+ROUNDDOWN(I448*設定!$C$12/1000,0)+IF(CL448="市局型",ROUNDDOWN(I448*設定!$C$16/1000,0),0)</f>
        <v>0</v>
      </c>
      <c r="BL448" s="31" t="n">
        <f aca="false">IF(CK448="N",BT448,ROUNDDOWN((J448-M448)*設定!$B$13/1000,0))</f>
        <v>0</v>
      </c>
      <c r="BM448" s="31" t="n">
        <f aca="false">ROUNDDOWN((J448-M448)*設定!$C$13/1000,0)+IF(CL448="市局型",ROUNDDOWN(J448*設定!$C$17/1000,0),0)</f>
        <v>0</v>
      </c>
      <c r="BN448" s="31" t="n">
        <f aca="false">IF(CK448="N",BV448,ROUNDDOWN((K448-N448)*設定!$B$14/1000,0))</f>
        <v>0</v>
      </c>
      <c r="BO448" s="31" t="n">
        <f aca="false">ROUNDDOWN((K448-N448)*設定!$C$14/1000,0)</f>
        <v>0</v>
      </c>
      <c r="BP448" s="31" t="n">
        <f aca="false">IF(CK448="N",BX448,ROUNDDOWN((J448-M448)*設定!$B$15/1000,0))</f>
        <v>0</v>
      </c>
      <c r="BQ448" s="31" t="n">
        <f aca="false">ROUNDDOWN((J448-M448)*設定!$C$15/1000,0)</f>
        <v>0</v>
      </c>
      <c r="BR448" s="31" t="n">
        <f aca="false">O448+P448</f>
        <v>0</v>
      </c>
      <c r="BS448" s="31" t="n">
        <f aca="false">T448+U448+V448</f>
        <v>0</v>
      </c>
      <c r="BT448" s="31" t="n">
        <f aca="false">Q448</f>
        <v>0</v>
      </c>
      <c r="BU448" s="31" t="n">
        <f aca="false">W448</f>
        <v>0</v>
      </c>
      <c r="BV448" s="31" t="n">
        <f aca="false">R448</f>
        <v>0</v>
      </c>
      <c r="BW448" s="31" t="n">
        <f aca="false">X448</f>
        <v>0</v>
      </c>
      <c r="BX448" s="31" t="n">
        <f aca="false">S448</f>
        <v>0</v>
      </c>
      <c r="BY448" s="31" t="n">
        <f aca="false">Y448</f>
        <v>0</v>
      </c>
      <c r="BZ448" s="32" t="n">
        <f aca="false">IF(BJ448=0,IF(BR448=0,0,1),(BR448-BJ448)/BJ448)</f>
        <v>0</v>
      </c>
      <c r="CA448" s="32" t="n">
        <f aca="false">IF(BK448=0,IF(BS448=0,0,1),(BS448-BK448)/BK448)</f>
        <v>0</v>
      </c>
      <c r="CB448" s="32" t="n">
        <f aca="false">IF(BL448=0,IF(BT448=0,0,1),(BT448-BL448)/BL448)</f>
        <v>0</v>
      </c>
      <c r="CC448" s="32" t="n">
        <f aca="false">IF(BM448=0,IF(BU448=0,0,1),(BU448-BM448)/BM448)</f>
        <v>0</v>
      </c>
      <c r="CD448" s="32" t="n">
        <f aca="false">IF(BN448=0,IF(BV448=0,0,1),(BV448-BN448)/BN448)</f>
        <v>0</v>
      </c>
      <c r="CE448" s="32" t="n">
        <f aca="false">IF(BO448=0,IF(BW448=0,0,1),(BW448-BO448)/BO448)</f>
        <v>0</v>
      </c>
      <c r="CF448" s="32" t="n">
        <f aca="false">IF(BP448=0,IF(BX448=0,0,1),(BX448-BP448)/BP448)</f>
        <v>0</v>
      </c>
      <c r="CG448" s="32" t="n">
        <f aca="false">IF(BQ448=0,IF(BY448=0,0,1),(BY448-BQ448)/BQ448)</f>
        <v>0</v>
      </c>
      <c r="CH448" s="32" t="n">
        <f aca="false">MAX(MAX(BZ448:CG448),-MIN(BZ448:CG448))</f>
        <v>-0</v>
      </c>
      <c r="CI448" s="31" t="str">
        <f aca="false">IF(CO448="","",SUMIFS($CJ$7:$CJ$696,$A$7:$A$696,CO448,$B$7:$B$696,B448))</f>
        <v/>
      </c>
      <c r="CJ448" s="31" t="n">
        <f aca="false">SUM(AY448:BI448)</f>
        <v>1501076</v>
      </c>
      <c r="CK448" s="31" t="str">
        <f aca="false">IFERROR(INDEX(設定!$F$61:$F$106,MATCH(B448,設定!$B$61:$B$106,0)),"Y")</f>
        <v>N</v>
      </c>
      <c r="CL448" s="31" t="str">
        <f aca="false">IFERROR(INDEX(設定!$G$61:$G$106,MATCH(B448,設定!$B$61:$B$106,0)),"外郭型")</f>
        <v>外郭型</v>
      </c>
      <c r="CM448" s="33" t="str">
        <f aca="false">A448&amp;"|"&amp;B448</f>
        <v>2026-12 賞与|みどり生きもの協会</v>
      </c>
      <c r="CN448" s="34" t="str">
        <f aca="false">IFERROR(INDEX(設定!$D$61:$D$106,MATCH(B448,設定!$B$61:$B$106,0)),"Y")</f>
        <v>Y</v>
      </c>
      <c r="CO448" s="34" t="str">
        <f aca="false">IFERROR(INDEX(設定!$D$20:$D$34,MATCH(A448,設定!$A$20:$A$34,0))&amp;"","")</f>
        <v/>
      </c>
    </row>
    <row r="449" customFormat="false" ht="15" hidden="true" customHeight="false" outlineLevel="0" collapsed="false">
      <c r="A449" s="22" t="s">
        <v>225</v>
      </c>
      <c r="B449" s="23" t="s">
        <v>197</v>
      </c>
      <c r="C449" s="10" t="str">
        <f aca="false">IF(G449="","未受領",IF(G449="なし","報告なし",IF(AL449="○","起票済",IF(OR(AK449="○",F449="一致",F449="入金不要"),"入金確認済","受領済"))))</f>
        <v>未受領</v>
      </c>
      <c r="D449" s="10" t="str">
        <f aca="false">IF(OR(G449="",G449="なし"),"―",IF(CN449="N","対象外",IF(AND(I449="",J449="",K449=""),"標報未入力",IF(CH449&gt;=設定!$B$4,"要確認","問題なし"))))</f>
        <v>―</v>
      </c>
      <c r="E449" s="24" t="str">
        <f aca="false">IF(OR(G449="",G449="なし",CI449="",CJ449=0),"―",IF(CJ449=CI449,"前月同額",IF(CI449=0,"―",IF(ABS(CJ449/CI449-1)&gt;=設定!$B$5,"変動大 "&amp;TEXT(CJ449/CI449-1,"+0%;-0%"),"〇"))))</f>
        <v>―</v>
      </c>
      <c r="F449" s="10" t="str">
        <f aca="false">IF(OR(G449="",G449="なし"),"―",IF(CJ449=0,"入金不要",IF(COUNT(AD449,AF449,AH449,AJ449)=0,IF(AK449="○","手動確認","未入金"),IF(AND(N(AD449)=AC449,IF(AE449="",TRUE(),N(AF449)=AE449),IF(AG449="",TRUE(),N(AH449)=AG449),IF(AI449="",TRUE(),N(AJ449)=AI449)),"一致","不一致"))))</f>
        <v>―</v>
      </c>
      <c r="G449" s="25"/>
      <c r="H449" s="26"/>
      <c r="I449" s="27"/>
      <c r="J449" s="27"/>
      <c r="K449" s="27"/>
      <c r="L449" s="27"/>
      <c r="M449" s="27"/>
      <c r="N449" s="27"/>
      <c r="O449" s="27"/>
      <c r="P449" s="27"/>
      <c r="Q449" s="27"/>
      <c r="R449" s="27"/>
      <c r="S449" s="27"/>
      <c r="T449" s="27"/>
      <c r="U449" s="27"/>
      <c r="V449" s="27"/>
      <c r="W449" s="27"/>
      <c r="X449" s="27"/>
      <c r="Y449" s="27"/>
      <c r="Z449" s="27"/>
      <c r="AA449" s="10" t="str">
        <f aca="false">IFERROR(INDEX(設定!$E$61:$E$106,MATCH(B449,設定!$B$61:$B$106,0)),"合算")</f>
        <v>合算</v>
      </c>
      <c r="AB449" s="28"/>
      <c r="AC449" s="29" t="str">
        <f aca="false">IF(OR(G449="",G449="なし"),"",IF(AA449="合算",CJ449+N(Z449),IF(AA449="掛金・負担金別",(AY449+AZ449+BD449+BF449+BH449),SUM(AY449:BC449))))</f>
        <v/>
      </c>
      <c r="AD449" s="27"/>
      <c r="AE449" s="29" t="str">
        <f aca="false">IF(OR(G449="",G449="なし"),"",IF(AA449="掛金・負担金別",(BA449+BB449+BC449+BE449+BG449+BI449+N(Z449)),IF(AA449="経理区分別",BD449+BE449,"")))</f>
        <v/>
      </c>
      <c r="AF449" s="27"/>
      <c r="AG449" s="29" t="str">
        <f aca="false">IF(OR(G449="",G449="なし"),"",IF(AA449="経理区分別",BF449+BG449,""))</f>
        <v/>
      </c>
      <c r="AH449" s="27"/>
      <c r="AI449" s="29" t="str">
        <f aca="false">IF(OR(G449="",G449="なし"),"",IF(AA449="経理区分別",BH449+BI449+N(Z449),""))</f>
        <v/>
      </c>
      <c r="AJ449" s="27"/>
      <c r="AK449" s="26"/>
      <c r="AL449" s="26"/>
      <c r="AM449" s="30"/>
      <c r="AN449" s="31" t="n">
        <v>281910</v>
      </c>
      <c r="AO449" s="31" t="n">
        <v>23106</v>
      </c>
      <c r="AP449" s="31" t="n">
        <v>281913</v>
      </c>
      <c r="AQ449" s="31" t="n">
        <v>23107</v>
      </c>
      <c r="AR449" s="31" t="n">
        <v>289</v>
      </c>
      <c r="AS449" s="31" t="n">
        <v>169484</v>
      </c>
      <c r="AT449" s="31" t="n">
        <v>169793</v>
      </c>
      <c r="AU449" s="31" t="n">
        <v>18233</v>
      </c>
      <c r="AV449" s="31" t="n">
        <v>18233</v>
      </c>
      <c r="AW449" s="31" t="n">
        <v>1</v>
      </c>
      <c r="AX449" s="31" t="n">
        <v>1</v>
      </c>
      <c r="AY449" s="31" t="n">
        <f aca="false">IF($G449="",AN449,O449)</f>
        <v>281910</v>
      </c>
      <c r="AZ449" s="31" t="n">
        <f aca="false">IF($G449="",AO449,P449)</f>
        <v>23106</v>
      </c>
      <c r="BA449" s="31" t="n">
        <f aca="false">IF($G449="",AP449,T449)</f>
        <v>281913</v>
      </c>
      <c r="BB449" s="31" t="n">
        <f aca="false">IF($G449="",AQ449,U449)</f>
        <v>23107</v>
      </c>
      <c r="BC449" s="31" t="n">
        <f aca="false">IF($G449="",AR449,V449)</f>
        <v>289</v>
      </c>
      <c r="BD449" s="31" t="n">
        <f aca="false">IF($G449="",AS449,Q449)</f>
        <v>169484</v>
      </c>
      <c r="BE449" s="31" t="n">
        <f aca="false">IF($G449="",AT449,W449)</f>
        <v>169793</v>
      </c>
      <c r="BF449" s="31" t="n">
        <f aca="false">IF($G449="",AU449,R449)</f>
        <v>18233</v>
      </c>
      <c r="BG449" s="31" t="n">
        <f aca="false">IF($G449="",AV449,X449)</f>
        <v>18233</v>
      </c>
      <c r="BH449" s="31" t="n">
        <f aca="false">IF($G449="",AW449,S449)</f>
        <v>1</v>
      </c>
      <c r="BI449" s="31" t="n">
        <f aca="false">IF($G449="",AX449,Y449)</f>
        <v>1</v>
      </c>
      <c r="BJ449" s="31" t="n">
        <f aca="false">IF(CK449="N",BR449,ROUNDDOWN((I449-L449)*設定!$B$10/1000,0)+ROUNDDOWN((I449-L449)*設定!$B$11/1000,0))</f>
        <v>0</v>
      </c>
      <c r="BK449" s="31" t="n">
        <f aca="false">ROUNDDOWN((I449-L449)*設定!$C$10/1000,0)+ROUNDDOWN((I449-L449)*設定!$C$11/1000,0)+ROUNDDOWN(I449*設定!$C$12/1000,0)+IF(CL449="市局型",ROUNDDOWN(I449*設定!$C$16/1000,0),0)</f>
        <v>0</v>
      </c>
      <c r="BL449" s="31" t="n">
        <f aca="false">IF(CK449="N",BT449,ROUNDDOWN((J449-M449)*設定!$B$13/1000,0))</f>
        <v>0</v>
      </c>
      <c r="BM449" s="31" t="n">
        <f aca="false">ROUNDDOWN((J449-M449)*設定!$C$13/1000,0)+IF(CL449="市局型",ROUNDDOWN(J449*設定!$C$17/1000,0),0)</f>
        <v>0</v>
      </c>
      <c r="BN449" s="31" t="n">
        <f aca="false">IF(CK449="N",BV449,ROUNDDOWN((K449-N449)*設定!$B$14/1000,0))</f>
        <v>0</v>
      </c>
      <c r="BO449" s="31" t="n">
        <f aca="false">ROUNDDOWN((K449-N449)*設定!$C$14/1000,0)</f>
        <v>0</v>
      </c>
      <c r="BP449" s="31" t="n">
        <f aca="false">IF(CK449="N",BX449,ROUNDDOWN((J449-M449)*設定!$B$15/1000,0))</f>
        <v>0</v>
      </c>
      <c r="BQ449" s="31" t="n">
        <f aca="false">ROUNDDOWN((J449-M449)*設定!$C$15/1000,0)</f>
        <v>0</v>
      </c>
      <c r="BR449" s="31" t="n">
        <f aca="false">O449+P449</f>
        <v>0</v>
      </c>
      <c r="BS449" s="31" t="n">
        <f aca="false">T449+U449+V449</f>
        <v>0</v>
      </c>
      <c r="BT449" s="31" t="n">
        <f aca="false">Q449</f>
        <v>0</v>
      </c>
      <c r="BU449" s="31" t="n">
        <f aca="false">W449</f>
        <v>0</v>
      </c>
      <c r="BV449" s="31" t="n">
        <f aca="false">R449</f>
        <v>0</v>
      </c>
      <c r="BW449" s="31" t="n">
        <f aca="false">X449</f>
        <v>0</v>
      </c>
      <c r="BX449" s="31" t="n">
        <f aca="false">S449</f>
        <v>0</v>
      </c>
      <c r="BY449" s="31" t="n">
        <f aca="false">Y449</f>
        <v>0</v>
      </c>
      <c r="BZ449" s="32" t="n">
        <f aca="false">IF(BJ449=0,IF(BR449=0,0,1),(BR449-BJ449)/BJ449)</f>
        <v>0</v>
      </c>
      <c r="CA449" s="32" t="n">
        <f aca="false">IF(BK449=0,IF(BS449=0,0,1),(BS449-BK449)/BK449)</f>
        <v>0</v>
      </c>
      <c r="CB449" s="32" t="n">
        <f aca="false">IF(BL449=0,IF(BT449=0,0,1),(BT449-BL449)/BL449)</f>
        <v>0</v>
      </c>
      <c r="CC449" s="32" t="n">
        <f aca="false">IF(BM449=0,IF(BU449=0,0,1),(BU449-BM449)/BM449)</f>
        <v>0</v>
      </c>
      <c r="CD449" s="32" t="n">
        <f aca="false">IF(BN449=0,IF(BV449=0,0,1),(BV449-BN449)/BN449)</f>
        <v>0</v>
      </c>
      <c r="CE449" s="32" t="n">
        <f aca="false">IF(BO449=0,IF(BW449=0,0,1),(BW449-BO449)/BO449)</f>
        <v>0</v>
      </c>
      <c r="CF449" s="32" t="n">
        <f aca="false">IF(BP449=0,IF(BX449=0,0,1),(BX449-BP449)/BP449)</f>
        <v>0</v>
      </c>
      <c r="CG449" s="32" t="n">
        <f aca="false">IF(BQ449=0,IF(BY449=0,0,1),(BY449-BQ449)/BQ449)</f>
        <v>0</v>
      </c>
      <c r="CH449" s="32" t="n">
        <f aca="false">MAX(MAX(BZ449:CG449),-MIN(BZ449:CG449))</f>
        <v>-0</v>
      </c>
      <c r="CI449" s="31" t="str">
        <f aca="false">IF(CO449="","",SUMIFS($CJ$7:$CJ$696,$A$7:$A$696,CO449,$B$7:$B$696,B449))</f>
        <v/>
      </c>
      <c r="CJ449" s="31" t="n">
        <f aca="false">SUM(AY449:BI449)</f>
        <v>986070</v>
      </c>
      <c r="CK449" s="31" t="str">
        <f aca="false">IFERROR(INDEX(設定!$F$61:$F$106,MATCH(B449,設定!$B$61:$B$106,0)),"Y")</f>
        <v>Y</v>
      </c>
      <c r="CL449" s="31" t="str">
        <f aca="false">IFERROR(INDEX(設定!$G$61:$G$106,MATCH(B449,設定!$B$61:$B$106,0)),"外郭型")</f>
        <v>外郭型</v>
      </c>
      <c r="CM449" s="33" t="str">
        <f aca="false">A449&amp;"|"&amp;B449</f>
        <v>2026-12 賞与|県下水道公社</v>
      </c>
      <c r="CN449" s="34" t="str">
        <f aca="false">IFERROR(INDEX(設定!$D$61:$D$106,MATCH(B449,設定!$B$61:$B$106,0)),"Y")</f>
        <v>Y</v>
      </c>
      <c r="CO449" s="34" t="str">
        <f aca="false">IFERROR(INDEX(設定!$D$20:$D$34,MATCH(A449,設定!$A$20:$A$34,0))&amp;"","")</f>
        <v/>
      </c>
    </row>
    <row r="450" customFormat="false" ht="26.85" hidden="true" customHeight="false" outlineLevel="0" collapsed="false">
      <c r="A450" s="22" t="s">
        <v>225</v>
      </c>
      <c r="B450" s="35" t="s">
        <v>219</v>
      </c>
      <c r="C450" s="10" t="str">
        <f aca="false">IF(G450="","未受領",IF(G450="なし","報告なし",IF(AL450="○","起票済",IF(OR(AK450="○",F450="一致",F450="入金不要"),"入金確認済","受領済"))))</f>
        <v>未受領</v>
      </c>
      <c r="D450" s="10" t="str">
        <f aca="false">IF(OR(G450="",G450="なし"),"―",IF(CN450="N","対象外",IF(AND(I450="",J450="",K450=""),"標報未入力",IF(CH450&gt;=設定!$B$4,"要確認","問題なし"))))</f>
        <v>―</v>
      </c>
      <c r="E450" s="24" t="str">
        <f aca="false">IF(OR(G450="",G450="なし",CI450="",CJ450=0),"―",IF(CJ450=CI450,"前月同額",IF(CI450=0,"―",IF(ABS(CJ450/CI450-1)&gt;=設定!$B$5,"変動大 "&amp;TEXT(CJ450/CI450-1,"+0%;-0%"),"〇"))))</f>
        <v>―</v>
      </c>
      <c r="F450" s="10" t="str">
        <f aca="false">IF(OR(G450="",G450="なし"),"―",IF(CJ450=0,"入金不要",IF(COUNT(AD450,AF450,AH450,AJ450)=0,IF(AK450="○","手動確認","未入金"),IF(AND(N(AD450)=AC450,IF(AE450="",TRUE(),N(AF450)=AE450),IF(AG450="",TRUE(),N(AH450)=AG450),IF(AI450="",TRUE(),N(AJ450)=AI450)),"一致","不一致"))))</f>
        <v>―</v>
      </c>
      <c r="G450" s="25"/>
      <c r="H450" s="26"/>
      <c r="I450" s="27"/>
      <c r="J450" s="27"/>
      <c r="K450" s="27"/>
      <c r="L450" s="27"/>
      <c r="M450" s="27"/>
      <c r="N450" s="27"/>
      <c r="O450" s="27"/>
      <c r="P450" s="27"/>
      <c r="Q450" s="27"/>
      <c r="R450" s="27"/>
      <c r="S450" s="27"/>
      <c r="T450" s="27"/>
      <c r="U450" s="27"/>
      <c r="V450" s="27"/>
      <c r="W450" s="27"/>
      <c r="X450" s="27"/>
      <c r="Y450" s="27"/>
      <c r="Z450" s="27"/>
      <c r="AA450" s="10" t="str">
        <f aca="false">IFERROR(INDEX(設定!$E$61:$E$106,MATCH(B450,設定!$B$61:$B$106,0)),"合算")</f>
        <v>合算</v>
      </c>
      <c r="AB450" s="28"/>
      <c r="AC450" s="29" t="str">
        <f aca="false">IF(OR(G450="",G450="なし"),"",IF(AA450="合算",CJ450+N(Z450),IF(AA450="掛金・負担金別",(AY450+AZ450+BD450+BF450+BH450),SUM(AY450:BC450))))</f>
        <v/>
      </c>
      <c r="AD450" s="27"/>
      <c r="AE450" s="29" t="str">
        <f aca="false">IF(OR(G450="",G450="なし"),"",IF(AA450="掛金・負担金別",(BA450+BB450+BC450+BE450+BG450+BI450+N(Z450)),IF(AA450="経理区分別",BD450+BE450,"")))</f>
        <v/>
      </c>
      <c r="AF450" s="27"/>
      <c r="AG450" s="29" t="str">
        <f aca="false">IF(OR(G450="",G450="なし"),"",IF(AA450="経理区分別",BF450+BG450,""))</f>
        <v/>
      </c>
      <c r="AH450" s="27"/>
      <c r="AI450" s="29" t="str">
        <f aca="false">IF(OR(G450="",G450="なし"),"",IF(AA450="経理区分別",BH450+BI450+N(Z450),""))</f>
        <v/>
      </c>
      <c r="AJ450" s="27"/>
      <c r="AK450" s="26"/>
      <c r="AL450" s="26"/>
      <c r="AM450" s="30"/>
      <c r="AN450" s="31"/>
      <c r="AO450" s="31"/>
      <c r="AP450" s="31" t="n">
        <v>856624</v>
      </c>
      <c r="AQ450" s="31" t="n">
        <v>70215</v>
      </c>
      <c r="AR450" s="31" t="n">
        <v>879</v>
      </c>
      <c r="AS450" s="31"/>
      <c r="AT450" s="31" t="n">
        <v>515939</v>
      </c>
      <c r="AU450" s="31"/>
      <c r="AV450" s="31" t="n">
        <v>49343</v>
      </c>
      <c r="AW450" s="31"/>
      <c r="AX450" s="31" t="n">
        <v>1</v>
      </c>
      <c r="AY450" s="31" t="n">
        <f aca="false">IF($G450="",AN450,O450)</f>
        <v>0</v>
      </c>
      <c r="AZ450" s="31" t="n">
        <f aca="false">IF($G450="",AO450,P450)</f>
        <v>0</v>
      </c>
      <c r="BA450" s="31" t="n">
        <f aca="false">IF($G450="",AP450,T450)</f>
        <v>856624</v>
      </c>
      <c r="BB450" s="31" t="n">
        <f aca="false">IF($G450="",AQ450,U450)</f>
        <v>70215</v>
      </c>
      <c r="BC450" s="31" t="n">
        <f aca="false">IF($G450="",AR450,V450)</f>
        <v>879</v>
      </c>
      <c r="BD450" s="31" t="n">
        <f aca="false">IF($G450="",AS450,Q450)</f>
        <v>0</v>
      </c>
      <c r="BE450" s="31" t="n">
        <f aca="false">IF($G450="",AT450,W450)</f>
        <v>515939</v>
      </c>
      <c r="BF450" s="31" t="n">
        <f aca="false">IF($G450="",AU450,R450)</f>
        <v>0</v>
      </c>
      <c r="BG450" s="31" t="n">
        <f aca="false">IF($G450="",AV450,X450)</f>
        <v>49343</v>
      </c>
      <c r="BH450" s="31" t="n">
        <f aca="false">IF($G450="",AW450,S450)</f>
        <v>0</v>
      </c>
      <c r="BI450" s="31" t="n">
        <f aca="false">IF($G450="",AX450,Y450)</f>
        <v>1</v>
      </c>
      <c r="BJ450" s="31" t="n">
        <f aca="false">IF(CK450="N",BR450,ROUNDDOWN((I450-L450)*設定!$B$10/1000,0)+ROUNDDOWN((I450-L450)*設定!$B$11/1000,0))</f>
        <v>0</v>
      </c>
      <c r="BK450" s="31" t="n">
        <f aca="false">ROUNDDOWN((I450-L450)*設定!$C$10/1000,0)+ROUNDDOWN((I450-L450)*設定!$C$11/1000,0)+ROUNDDOWN(I450*設定!$C$12/1000,0)+IF(CL450="市局型",ROUNDDOWN(I450*設定!$C$16/1000,0),0)</f>
        <v>0</v>
      </c>
      <c r="BL450" s="31" t="n">
        <f aca="false">IF(CK450="N",BT450,ROUNDDOWN((J450-M450)*設定!$B$13/1000,0))</f>
        <v>0</v>
      </c>
      <c r="BM450" s="31" t="n">
        <f aca="false">ROUNDDOWN((J450-M450)*設定!$C$13/1000,0)+IF(CL450="市局型",ROUNDDOWN(J450*設定!$C$17/1000,0),0)</f>
        <v>0</v>
      </c>
      <c r="BN450" s="31" t="n">
        <f aca="false">IF(CK450="N",BV450,ROUNDDOWN((K450-N450)*設定!$B$14/1000,0))</f>
        <v>0</v>
      </c>
      <c r="BO450" s="31" t="n">
        <f aca="false">ROUNDDOWN((K450-N450)*設定!$C$14/1000,0)</f>
        <v>0</v>
      </c>
      <c r="BP450" s="31" t="n">
        <f aca="false">IF(CK450="N",BX450,ROUNDDOWN((J450-M450)*設定!$B$15/1000,0))</f>
        <v>0</v>
      </c>
      <c r="BQ450" s="31" t="n">
        <f aca="false">ROUNDDOWN((J450-M450)*設定!$C$15/1000,0)</f>
        <v>0</v>
      </c>
      <c r="BR450" s="31" t="n">
        <f aca="false">O450+P450</f>
        <v>0</v>
      </c>
      <c r="BS450" s="31" t="n">
        <f aca="false">T450+U450+V450</f>
        <v>0</v>
      </c>
      <c r="BT450" s="31" t="n">
        <f aca="false">Q450</f>
        <v>0</v>
      </c>
      <c r="BU450" s="31" t="n">
        <f aca="false">W450</f>
        <v>0</v>
      </c>
      <c r="BV450" s="31" t="n">
        <f aca="false">R450</f>
        <v>0</v>
      </c>
      <c r="BW450" s="31" t="n">
        <f aca="false">X450</f>
        <v>0</v>
      </c>
      <c r="BX450" s="31" t="n">
        <f aca="false">S450</f>
        <v>0</v>
      </c>
      <c r="BY450" s="31" t="n">
        <f aca="false">Y450</f>
        <v>0</v>
      </c>
      <c r="BZ450" s="32" t="n">
        <f aca="false">IF(BJ450=0,IF(BR450=0,0,1),(BR450-BJ450)/BJ450)</f>
        <v>0</v>
      </c>
      <c r="CA450" s="32" t="n">
        <f aca="false">IF(BK450=0,IF(BS450=0,0,1),(BS450-BK450)/BK450)</f>
        <v>0</v>
      </c>
      <c r="CB450" s="32" t="n">
        <f aca="false">IF(BL450=0,IF(BT450=0,0,1),(BT450-BL450)/BL450)</f>
        <v>0</v>
      </c>
      <c r="CC450" s="32" t="n">
        <f aca="false">IF(BM450=0,IF(BU450=0,0,1),(BU450-BM450)/BM450)</f>
        <v>0</v>
      </c>
      <c r="CD450" s="32" t="n">
        <f aca="false">IF(BN450=0,IF(BV450=0,0,1),(BV450-BN450)/BN450)</f>
        <v>0</v>
      </c>
      <c r="CE450" s="32" t="n">
        <f aca="false">IF(BO450=0,IF(BW450=0,0,1),(BW450-BO450)/BO450)</f>
        <v>0</v>
      </c>
      <c r="CF450" s="32" t="n">
        <f aca="false">IF(BP450=0,IF(BX450=0,0,1),(BX450-BP450)/BP450)</f>
        <v>0</v>
      </c>
      <c r="CG450" s="32" t="n">
        <f aca="false">IF(BQ450=0,IF(BY450=0,0,1),(BY450-BQ450)/BQ450)</f>
        <v>0</v>
      </c>
      <c r="CH450" s="32" t="n">
        <f aca="false">MAX(MAX(BZ450:CG450),-MIN(BZ450:CG450))</f>
        <v>-0</v>
      </c>
      <c r="CI450" s="31" t="str">
        <f aca="false">IF(CO450="","",SUMIFS($CJ$7:$CJ$696,$A$7:$A$696,CO450,$B$7:$B$696,B450))</f>
        <v/>
      </c>
      <c r="CJ450" s="31" t="n">
        <f aca="false">SUM(AY450:BI450)</f>
        <v>1493001</v>
      </c>
      <c r="CK450" s="31" t="str">
        <f aca="false">IFERROR(INDEX(設定!$F$61:$F$106,MATCH(B450,設定!$B$61:$B$106,0)),"Y")</f>
        <v>N</v>
      </c>
      <c r="CL450" s="31" t="str">
        <f aca="false">IFERROR(INDEX(設定!$G$61:$G$106,MATCH(B450,設定!$B$61:$B$106,0)),"外郭型")</f>
        <v>外郭型</v>
      </c>
      <c r="CM450" s="36" t="str">
        <f aca="false">A450&amp;"|"&amp;B450</f>
        <v>2026-12 賞与|バス協調・共創
プラットフォーム</v>
      </c>
      <c r="CN450" s="34" t="str">
        <f aca="false">IFERROR(INDEX(設定!$D$61:$D$106,MATCH(B450,設定!$B$61:$B$106,0)),"Y")</f>
        <v>Y</v>
      </c>
      <c r="CO450" s="34" t="str">
        <f aca="false">IFERROR(INDEX(設定!$D$20:$D$34,MATCH(A450,設定!$A$20:$A$34,0))&amp;"","")</f>
        <v/>
      </c>
    </row>
    <row r="451" customFormat="false" ht="15" hidden="true" customHeight="false" outlineLevel="0" collapsed="false">
      <c r="A451" s="22" t="s">
        <v>225</v>
      </c>
      <c r="B451" s="23" t="s">
        <v>199</v>
      </c>
      <c r="C451" s="10" t="str">
        <f aca="false">IF(G451="","未受領",IF(G451="なし","報告なし",IF(AL451="○","起票済",IF(OR(AK451="○",F451="一致",F451="入金不要"),"入金確認済","受領済"))))</f>
        <v>未受領</v>
      </c>
      <c r="D451" s="10" t="str">
        <f aca="false">IF(OR(G451="",G451="なし"),"―",IF(CN451="N","対象外",IF(AND(I451="",J451="",K451=""),"標報未入力",IF(CH451&gt;=設定!$B$4,"要確認","問題なし"))))</f>
        <v>―</v>
      </c>
      <c r="E451" s="24" t="str">
        <f aca="false">IF(OR(G451="",G451="なし",CI451="",CJ451=0),"―",IF(CJ451=CI451,"前月同額",IF(CI451=0,"―",IF(ABS(CJ451/CI451-1)&gt;=設定!$B$5,"変動大 "&amp;TEXT(CJ451/CI451-1,"+0%;-0%"),"〇"))))</f>
        <v>―</v>
      </c>
      <c r="F451" s="10" t="str">
        <f aca="false">IF(OR(G451="",G451="なし"),"―",IF(CJ451=0,"入金不要",IF(COUNT(AD451,AF451,AH451,AJ451)=0,IF(AK451="○","手動確認","未入金"),IF(AND(N(AD451)=AC451,IF(AE451="",TRUE(),N(AF451)=AE451),IF(AG451="",TRUE(),N(AH451)=AG451),IF(AI451="",TRUE(),N(AJ451)=AI451)),"一致","不一致"))))</f>
        <v>―</v>
      </c>
      <c r="G451" s="25"/>
      <c r="H451" s="26"/>
      <c r="I451" s="27"/>
      <c r="J451" s="27"/>
      <c r="K451" s="27"/>
      <c r="L451" s="27"/>
      <c r="M451" s="27"/>
      <c r="N451" s="27"/>
      <c r="O451" s="27"/>
      <c r="P451" s="27"/>
      <c r="Q451" s="27"/>
      <c r="R451" s="27"/>
      <c r="S451" s="27"/>
      <c r="T451" s="27"/>
      <c r="U451" s="27"/>
      <c r="V451" s="27"/>
      <c r="W451" s="27"/>
      <c r="X451" s="27"/>
      <c r="Y451" s="27"/>
      <c r="Z451" s="27"/>
      <c r="AA451" s="10" t="str">
        <f aca="false">IFERROR(INDEX(設定!$E$61:$E$106,MATCH(B451,設定!$B$61:$B$106,0)),"合算")</f>
        <v>合算</v>
      </c>
      <c r="AB451" s="28"/>
      <c r="AC451" s="29" t="str">
        <f aca="false">IF(OR(G451="",G451="なし"),"",IF(AA451="合算",CJ451+N(Z451),IF(AA451="掛金・負担金別",(AY451+AZ451+BD451+BF451+BH451),SUM(AY451:BC451))))</f>
        <v/>
      </c>
      <c r="AD451" s="27"/>
      <c r="AE451" s="29" t="str">
        <f aca="false">IF(OR(G451="",G451="なし"),"",IF(AA451="掛金・負担金別",(BA451+BB451+BC451+BE451+BG451+BI451+N(Z451)),IF(AA451="経理区分別",BD451+BE451,"")))</f>
        <v/>
      </c>
      <c r="AF451" s="27"/>
      <c r="AG451" s="29" t="str">
        <f aca="false">IF(OR(G451="",G451="なし"),"",IF(AA451="経理区分別",BF451+BG451,""))</f>
        <v/>
      </c>
      <c r="AH451" s="27"/>
      <c r="AI451" s="29" t="str">
        <f aca="false">IF(OR(G451="",G451="なし"),"",IF(AA451="経理区分別",BH451+BI451+N(Z451),""))</f>
        <v/>
      </c>
      <c r="AJ451" s="27"/>
      <c r="AK451" s="26"/>
      <c r="AL451" s="26"/>
      <c r="AM451" s="30"/>
      <c r="AN451" s="31" t="n">
        <v>117028</v>
      </c>
      <c r="AO451" s="31" t="n">
        <v>9592</v>
      </c>
      <c r="AP451" s="31" t="n">
        <v>117029</v>
      </c>
      <c r="AQ451" s="31" t="n">
        <v>9592</v>
      </c>
      <c r="AR451" s="31" t="n">
        <v>120</v>
      </c>
      <c r="AS451" s="31" t="n">
        <v>70357</v>
      </c>
      <c r="AT451" s="31" t="n">
        <v>70485</v>
      </c>
      <c r="AU451" s="31" t="n">
        <v>10104</v>
      </c>
      <c r="AV451" s="31" t="n">
        <v>10104</v>
      </c>
      <c r="AW451" s="31" t="n">
        <v>1</v>
      </c>
      <c r="AX451" s="31" t="n">
        <v>1</v>
      </c>
      <c r="AY451" s="31" t="n">
        <f aca="false">IF($G451="",AN451,O451)</f>
        <v>117028</v>
      </c>
      <c r="AZ451" s="31" t="n">
        <f aca="false">IF($G451="",AO451,P451)</f>
        <v>9592</v>
      </c>
      <c r="BA451" s="31" t="n">
        <f aca="false">IF($G451="",AP451,T451)</f>
        <v>117029</v>
      </c>
      <c r="BB451" s="31" t="n">
        <f aca="false">IF($G451="",AQ451,U451)</f>
        <v>9592</v>
      </c>
      <c r="BC451" s="31" t="n">
        <f aca="false">IF($G451="",AR451,V451)</f>
        <v>120</v>
      </c>
      <c r="BD451" s="31" t="n">
        <f aca="false">IF($G451="",AS451,Q451)</f>
        <v>70357</v>
      </c>
      <c r="BE451" s="31" t="n">
        <f aca="false">IF($G451="",AT451,W451)</f>
        <v>70485</v>
      </c>
      <c r="BF451" s="31" t="n">
        <f aca="false">IF($G451="",AU451,R451)</f>
        <v>10104</v>
      </c>
      <c r="BG451" s="31" t="n">
        <f aca="false">IF($G451="",AV451,X451)</f>
        <v>10104</v>
      </c>
      <c r="BH451" s="31" t="n">
        <f aca="false">IF($G451="",AW451,S451)</f>
        <v>1</v>
      </c>
      <c r="BI451" s="31" t="n">
        <f aca="false">IF($G451="",AX451,Y451)</f>
        <v>1</v>
      </c>
      <c r="BJ451" s="31" t="n">
        <f aca="false">IF(CK451="N",BR451,ROUNDDOWN((I451-L451)*設定!$B$10/1000,0)+ROUNDDOWN((I451-L451)*設定!$B$11/1000,0))</f>
        <v>0</v>
      </c>
      <c r="BK451" s="31" t="n">
        <f aca="false">ROUNDDOWN((I451-L451)*設定!$C$10/1000,0)+ROUNDDOWN((I451-L451)*設定!$C$11/1000,0)+ROUNDDOWN(I451*設定!$C$12/1000,0)+IF(CL451="市局型",ROUNDDOWN(I451*設定!$C$16/1000,0),0)</f>
        <v>0</v>
      </c>
      <c r="BL451" s="31" t="n">
        <f aca="false">IF(CK451="N",BT451,ROUNDDOWN((J451-M451)*設定!$B$13/1000,0))</f>
        <v>0</v>
      </c>
      <c r="BM451" s="31" t="n">
        <f aca="false">ROUNDDOWN((J451-M451)*設定!$C$13/1000,0)+IF(CL451="市局型",ROUNDDOWN(J451*設定!$C$17/1000,0),0)</f>
        <v>0</v>
      </c>
      <c r="BN451" s="31" t="n">
        <f aca="false">IF(CK451="N",BV451,ROUNDDOWN((K451-N451)*設定!$B$14/1000,0))</f>
        <v>0</v>
      </c>
      <c r="BO451" s="31" t="n">
        <f aca="false">ROUNDDOWN((K451-N451)*設定!$C$14/1000,0)</f>
        <v>0</v>
      </c>
      <c r="BP451" s="31" t="n">
        <f aca="false">IF(CK451="N",BX451,ROUNDDOWN((J451-M451)*設定!$B$15/1000,0))</f>
        <v>0</v>
      </c>
      <c r="BQ451" s="31" t="n">
        <f aca="false">ROUNDDOWN((J451-M451)*設定!$C$15/1000,0)</f>
        <v>0</v>
      </c>
      <c r="BR451" s="31" t="n">
        <f aca="false">O451+P451</f>
        <v>0</v>
      </c>
      <c r="BS451" s="31" t="n">
        <f aca="false">T451+U451+V451</f>
        <v>0</v>
      </c>
      <c r="BT451" s="31" t="n">
        <f aca="false">Q451</f>
        <v>0</v>
      </c>
      <c r="BU451" s="31" t="n">
        <f aca="false">W451</f>
        <v>0</v>
      </c>
      <c r="BV451" s="31" t="n">
        <f aca="false">R451</f>
        <v>0</v>
      </c>
      <c r="BW451" s="31" t="n">
        <f aca="false">X451</f>
        <v>0</v>
      </c>
      <c r="BX451" s="31" t="n">
        <f aca="false">S451</f>
        <v>0</v>
      </c>
      <c r="BY451" s="31" t="n">
        <f aca="false">Y451</f>
        <v>0</v>
      </c>
      <c r="BZ451" s="32" t="n">
        <f aca="false">IF(BJ451=0,IF(BR451=0,0,1),(BR451-BJ451)/BJ451)</f>
        <v>0</v>
      </c>
      <c r="CA451" s="32" t="n">
        <f aca="false">IF(BK451=0,IF(BS451=0,0,1),(BS451-BK451)/BK451)</f>
        <v>0</v>
      </c>
      <c r="CB451" s="32" t="n">
        <f aca="false">IF(BL451=0,IF(BT451=0,0,1),(BT451-BL451)/BL451)</f>
        <v>0</v>
      </c>
      <c r="CC451" s="32" t="n">
        <f aca="false">IF(BM451=0,IF(BU451=0,0,1),(BU451-BM451)/BM451)</f>
        <v>0</v>
      </c>
      <c r="CD451" s="32" t="n">
        <f aca="false">IF(BN451=0,IF(BV451=0,0,1),(BV451-BN451)/BN451)</f>
        <v>0</v>
      </c>
      <c r="CE451" s="32" t="n">
        <f aca="false">IF(BO451=0,IF(BW451=0,0,1),(BW451-BO451)/BO451)</f>
        <v>0</v>
      </c>
      <c r="CF451" s="32" t="n">
        <f aca="false">IF(BP451=0,IF(BX451=0,0,1),(BX451-BP451)/BP451)</f>
        <v>0</v>
      </c>
      <c r="CG451" s="32" t="n">
        <f aca="false">IF(BQ451=0,IF(BY451=0,0,1),(BY451-BQ451)/BQ451)</f>
        <v>0</v>
      </c>
      <c r="CH451" s="32" t="n">
        <f aca="false">MAX(MAX(BZ451:CG451),-MIN(BZ451:CG451))</f>
        <v>-0</v>
      </c>
      <c r="CI451" s="31" t="str">
        <f aca="false">IF(CO451="","",SUMIFS($CJ$7:$CJ$696,$A$7:$A$696,CO451,$B$7:$B$696,B451))</f>
        <v/>
      </c>
      <c r="CJ451" s="31" t="n">
        <f aca="false">SUM(AY451:BI451)</f>
        <v>414413</v>
      </c>
      <c r="CK451" s="31" t="str">
        <f aca="false">IFERROR(INDEX(設定!$F$61:$F$106,MATCH(B451,設定!$B$61:$B$106,0)),"Y")</f>
        <v>Y</v>
      </c>
      <c r="CL451" s="31" t="str">
        <f aca="false">IFERROR(INDEX(設定!$G$61:$G$106,MATCH(B451,設定!$B$61:$B$106,0)),"外郭型")</f>
        <v>外郭型</v>
      </c>
      <c r="CM451" s="33" t="str">
        <f aca="false">A451&amp;"|"&amp;B451</f>
        <v>2026-12 賞与|広島県市長会</v>
      </c>
      <c r="CN451" s="34" t="str">
        <f aca="false">IFERROR(INDEX(設定!$D$61:$D$106,MATCH(B451,設定!$B$61:$B$106,0)),"Y")</f>
        <v>Y</v>
      </c>
      <c r="CO451" s="34" t="str">
        <f aca="false">IFERROR(INDEX(設定!$D$20:$D$34,MATCH(A451,設定!$A$20:$A$34,0))&amp;"","")</f>
        <v/>
      </c>
    </row>
    <row r="452" customFormat="false" ht="15" hidden="true" customHeight="false" outlineLevel="0" collapsed="false">
      <c r="A452" s="22" t="s">
        <v>225</v>
      </c>
      <c r="B452" s="23" t="s">
        <v>200</v>
      </c>
      <c r="C452" s="10" t="str">
        <f aca="false">IF(G452="","未受領",IF(G452="なし","報告なし",IF(AL452="○","起票済",IF(OR(AK452="○",F452="一致",F452="入金不要"),"入金確認済","受領済"))))</f>
        <v>未受領</v>
      </c>
      <c r="D452" s="10" t="str">
        <f aca="false">IF(OR(G452="",G452="なし"),"―",IF(CN452="N","対象外",IF(AND(I452="",J452="",K452=""),"標報未入力",IF(CH452&gt;=設定!$B$4,"要確認","問題なし"))))</f>
        <v>―</v>
      </c>
      <c r="E452" s="24" t="str">
        <f aca="false">IF(OR(G452="",G452="なし",CI452="",CJ452=0),"―",IF(CJ452=CI452,"前月同額",IF(CI452=0,"―",IF(ABS(CJ452/CI452-1)&gt;=設定!$B$5,"変動大 "&amp;TEXT(CJ452/CI452-1,"+0%;-0%"),"〇"))))</f>
        <v>―</v>
      </c>
      <c r="F452" s="10" t="str">
        <f aca="false">IF(OR(G452="",G452="なし"),"―",IF(CJ452=0,"入金不要",IF(COUNT(AD452,AF452,AH452,AJ452)=0,IF(AK452="○","手動確認","未入金"),IF(AND(N(AD452)=AC452,IF(AE452="",TRUE(),N(AF452)=AE452),IF(AG452="",TRUE(),N(AH452)=AG452),IF(AI452="",TRUE(),N(AJ452)=AI452)),"一致","不一致"))))</f>
        <v>―</v>
      </c>
      <c r="G452" s="25"/>
      <c r="H452" s="26"/>
      <c r="I452" s="27"/>
      <c r="J452" s="27"/>
      <c r="K452" s="27"/>
      <c r="L452" s="27"/>
      <c r="M452" s="27"/>
      <c r="N452" s="27"/>
      <c r="O452" s="27"/>
      <c r="P452" s="27"/>
      <c r="Q452" s="27"/>
      <c r="R452" s="27"/>
      <c r="S452" s="27"/>
      <c r="T452" s="27"/>
      <c r="U452" s="27"/>
      <c r="V452" s="27"/>
      <c r="W452" s="27"/>
      <c r="X452" s="27"/>
      <c r="Y452" s="27"/>
      <c r="Z452" s="27"/>
      <c r="AA452" s="10" t="str">
        <f aca="false">IFERROR(INDEX(設定!$E$61:$E$106,MATCH(B452,設定!$B$61:$B$106,0)),"合算")</f>
        <v>合算</v>
      </c>
      <c r="AB452" s="28"/>
      <c r="AC452" s="29" t="str">
        <f aca="false">IF(OR(G452="",G452="なし"),"",IF(AA452="合算",CJ452+N(Z452),IF(AA452="掛金・負担金別",(AY452+AZ452+BD452+BF452+BH452),SUM(AY452:BC452))))</f>
        <v/>
      </c>
      <c r="AD452" s="27"/>
      <c r="AE452" s="29" t="str">
        <f aca="false">IF(OR(G452="",G452="なし"),"",IF(AA452="掛金・負担金別",(BA452+BB452+BC452+BE452+BG452+BI452+N(Z452)),IF(AA452="経理区分別",BD452+BE452,"")))</f>
        <v/>
      </c>
      <c r="AF452" s="27"/>
      <c r="AG452" s="29" t="str">
        <f aca="false">IF(OR(G452="",G452="なし"),"",IF(AA452="経理区分別",BF452+BG452,""))</f>
        <v/>
      </c>
      <c r="AH452" s="27"/>
      <c r="AI452" s="29" t="str">
        <f aca="false">IF(OR(G452="",G452="なし"),"",IF(AA452="経理区分別",BH452+BI452+N(Z452),""))</f>
        <v/>
      </c>
      <c r="AJ452" s="27"/>
      <c r="AK452" s="26"/>
      <c r="AL452" s="26"/>
      <c r="AM452" s="30"/>
      <c r="AN452" s="31" t="n">
        <v>137250</v>
      </c>
      <c r="AO452" s="31" t="n">
        <v>11250</v>
      </c>
      <c r="AP452" s="31" t="n">
        <v>137250</v>
      </c>
      <c r="AQ452" s="31" t="n">
        <v>11250</v>
      </c>
      <c r="AR452" s="31" t="n">
        <v>140</v>
      </c>
      <c r="AS452" s="31" t="n">
        <v>85375</v>
      </c>
      <c r="AT452" s="31" t="n">
        <v>85530</v>
      </c>
      <c r="AU452" s="31" t="n">
        <v>12260</v>
      </c>
      <c r="AV452" s="31" t="n">
        <v>12260</v>
      </c>
      <c r="AW452" s="31" t="n">
        <v>1</v>
      </c>
      <c r="AX452" s="31" t="n">
        <v>1</v>
      </c>
      <c r="AY452" s="31" t="n">
        <f aca="false">IF($G452="",AN452,O452)</f>
        <v>137250</v>
      </c>
      <c r="AZ452" s="31" t="n">
        <f aca="false">IF($G452="",AO452,P452)</f>
        <v>11250</v>
      </c>
      <c r="BA452" s="31" t="n">
        <f aca="false">IF($G452="",AP452,T452)</f>
        <v>137250</v>
      </c>
      <c r="BB452" s="31" t="n">
        <f aca="false">IF($G452="",AQ452,U452)</f>
        <v>11250</v>
      </c>
      <c r="BC452" s="31" t="n">
        <f aca="false">IF($G452="",AR452,V452)</f>
        <v>140</v>
      </c>
      <c r="BD452" s="31" t="n">
        <f aca="false">IF($G452="",AS452,Q452)</f>
        <v>85375</v>
      </c>
      <c r="BE452" s="31" t="n">
        <f aca="false">IF($G452="",AT452,W452)</f>
        <v>85530</v>
      </c>
      <c r="BF452" s="31" t="n">
        <f aca="false">IF($G452="",AU452,R452)</f>
        <v>12260</v>
      </c>
      <c r="BG452" s="31" t="n">
        <f aca="false">IF($G452="",AV452,X452)</f>
        <v>12260</v>
      </c>
      <c r="BH452" s="31" t="n">
        <f aca="false">IF($G452="",AW452,S452)</f>
        <v>1</v>
      </c>
      <c r="BI452" s="31" t="n">
        <f aca="false">IF($G452="",AX452,Y452)</f>
        <v>1</v>
      </c>
      <c r="BJ452" s="31" t="n">
        <f aca="false">IF(CK452="N",BR452,ROUNDDOWN((I452-L452)*設定!$B$10/1000,0)+ROUNDDOWN((I452-L452)*設定!$B$11/1000,0))</f>
        <v>0</v>
      </c>
      <c r="BK452" s="31" t="n">
        <f aca="false">ROUNDDOWN((I452-L452)*設定!$C$10/1000,0)+ROUNDDOWN((I452-L452)*設定!$C$11/1000,0)+ROUNDDOWN(I452*設定!$C$12/1000,0)+IF(CL452="市局型",ROUNDDOWN(I452*設定!$C$16/1000,0),0)</f>
        <v>0</v>
      </c>
      <c r="BL452" s="31" t="n">
        <f aca="false">IF(CK452="N",BT452,ROUNDDOWN((J452-M452)*設定!$B$13/1000,0))</f>
        <v>0</v>
      </c>
      <c r="BM452" s="31" t="n">
        <f aca="false">ROUNDDOWN((J452-M452)*設定!$C$13/1000,0)+IF(CL452="市局型",ROUNDDOWN(J452*設定!$C$17/1000,0),0)</f>
        <v>0</v>
      </c>
      <c r="BN452" s="31" t="n">
        <f aca="false">IF(CK452="N",BV452,ROUNDDOWN((K452-N452)*設定!$B$14/1000,0))</f>
        <v>0</v>
      </c>
      <c r="BO452" s="31" t="n">
        <f aca="false">ROUNDDOWN((K452-N452)*設定!$C$14/1000,0)</f>
        <v>0</v>
      </c>
      <c r="BP452" s="31" t="n">
        <f aca="false">IF(CK452="N",BX452,ROUNDDOWN((J452-M452)*設定!$B$15/1000,0))</f>
        <v>0</v>
      </c>
      <c r="BQ452" s="31" t="n">
        <f aca="false">ROUNDDOWN((J452-M452)*設定!$C$15/1000,0)</f>
        <v>0</v>
      </c>
      <c r="BR452" s="31" t="n">
        <f aca="false">O452+P452</f>
        <v>0</v>
      </c>
      <c r="BS452" s="31" t="n">
        <f aca="false">T452+U452+V452</f>
        <v>0</v>
      </c>
      <c r="BT452" s="31" t="n">
        <f aca="false">Q452</f>
        <v>0</v>
      </c>
      <c r="BU452" s="31" t="n">
        <f aca="false">W452</f>
        <v>0</v>
      </c>
      <c r="BV452" s="31" t="n">
        <f aca="false">R452</f>
        <v>0</v>
      </c>
      <c r="BW452" s="31" t="n">
        <f aca="false">X452</f>
        <v>0</v>
      </c>
      <c r="BX452" s="31" t="n">
        <f aca="false">S452</f>
        <v>0</v>
      </c>
      <c r="BY452" s="31" t="n">
        <f aca="false">Y452</f>
        <v>0</v>
      </c>
      <c r="BZ452" s="32" t="n">
        <f aca="false">IF(BJ452=0,IF(BR452=0,0,1),(BR452-BJ452)/BJ452)</f>
        <v>0</v>
      </c>
      <c r="CA452" s="32" t="n">
        <f aca="false">IF(BK452=0,IF(BS452=0,0,1),(BS452-BK452)/BK452)</f>
        <v>0</v>
      </c>
      <c r="CB452" s="32" t="n">
        <f aca="false">IF(BL452=0,IF(BT452=0,0,1),(BT452-BL452)/BL452)</f>
        <v>0</v>
      </c>
      <c r="CC452" s="32" t="n">
        <f aca="false">IF(BM452=0,IF(BU452=0,0,1),(BU452-BM452)/BM452)</f>
        <v>0</v>
      </c>
      <c r="CD452" s="32" t="n">
        <f aca="false">IF(BN452=0,IF(BV452=0,0,1),(BV452-BN452)/BN452)</f>
        <v>0</v>
      </c>
      <c r="CE452" s="32" t="n">
        <f aca="false">IF(BO452=0,IF(BW452=0,0,1),(BW452-BO452)/BO452)</f>
        <v>0</v>
      </c>
      <c r="CF452" s="32" t="n">
        <f aca="false">IF(BP452=0,IF(BX452=0,0,1),(BX452-BP452)/BP452)</f>
        <v>0</v>
      </c>
      <c r="CG452" s="32" t="n">
        <f aca="false">IF(BQ452=0,IF(BY452=0,0,1),(BY452-BQ452)/BQ452)</f>
        <v>0</v>
      </c>
      <c r="CH452" s="32" t="n">
        <f aca="false">MAX(MAX(BZ452:CG452),-MIN(BZ452:CG452))</f>
        <v>-0</v>
      </c>
      <c r="CI452" s="31" t="str">
        <f aca="false">IF(CO452="","",SUMIFS($CJ$7:$CJ$696,$A$7:$A$696,CO452,$B$7:$B$696,B452))</f>
        <v/>
      </c>
      <c r="CJ452" s="31" t="n">
        <f aca="false">SUM(AY452:BI452)</f>
        <v>492567</v>
      </c>
      <c r="CK452" s="31" t="str">
        <f aca="false">IFERROR(INDEX(設定!$F$61:$F$106,MATCH(B452,設定!$B$61:$B$106,0)),"Y")</f>
        <v>Y</v>
      </c>
      <c r="CL452" s="31" t="str">
        <f aca="false">IFERROR(INDEX(設定!$G$61:$G$106,MATCH(B452,設定!$B$61:$B$106,0)),"外郭型")</f>
        <v>外郭型</v>
      </c>
      <c r="CM452" s="33" t="str">
        <f aca="false">A452&amp;"|"&amp;B452</f>
        <v>2026-12 賞与|全国市町村研修財団</v>
      </c>
      <c r="CN452" s="34" t="str">
        <f aca="false">IFERROR(INDEX(設定!$D$61:$D$106,MATCH(B452,設定!$B$61:$B$106,0)),"Y")</f>
        <v>Y</v>
      </c>
      <c r="CO452" s="34" t="str">
        <f aca="false">IFERROR(INDEX(設定!$D$20:$D$34,MATCH(A452,設定!$A$20:$A$34,0))&amp;"","")</f>
        <v/>
      </c>
    </row>
    <row r="453" customFormat="false" ht="15" hidden="true" customHeight="false" outlineLevel="0" collapsed="false">
      <c r="A453" s="22" t="s">
        <v>225</v>
      </c>
      <c r="B453" s="23" t="s">
        <v>201</v>
      </c>
      <c r="C453" s="10" t="str">
        <f aca="false">IF(G453="","未受領",IF(G453="なし","報告なし",IF(AL453="○","起票済",IF(OR(AK453="○",F453="一致",F453="入金不要"),"入金確認済","受領済"))))</f>
        <v>未受領</v>
      </c>
      <c r="D453" s="10" t="str">
        <f aca="false">IF(OR(G453="",G453="なし"),"―",IF(CN453="N","対象外",IF(AND(I453="",J453="",K453=""),"標報未入力",IF(CH453&gt;=設定!$B$4,"要確認","問題なし"))))</f>
        <v>―</v>
      </c>
      <c r="E453" s="24" t="str">
        <f aca="false">IF(OR(G453="",G453="なし",CI453="",CJ453=0),"―",IF(CJ453=CI453,"前月同額",IF(CI453=0,"―",IF(ABS(CJ453/CI453-1)&gt;=設定!$B$5,"変動大 "&amp;TEXT(CJ453/CI453-1,"+0%;-0%"),"〇"))))</f>
        <v>―</v>
      </c>
      <c r="F453" s="10" t="str">
        <f aca="false">IF(OR(G453="",G453="なし"),"―",IF(CJ453=0,"入金不要",IF(COUNT(AD453,AF453,AH453,AJ453)=0,IF(AK453="○","手動確認","未入金"),IF(AND(N(AD453)=AC453,IF(AE453="",TRUE(),N(AF453)=AE453),IF(AG453="",TRUE(),N(AH453)=AG453),IF(AI453="",TRUE(),N(AJ453)=AI453)),"一致","不一致"))))</f>
        <v>―</v>
      </c>
      <c r="G453" s="25"/>
      <c r="H453" s="26"/>
      <c r="I453" s="27"/>
      <c r="J453" s="27"/>
      <c r="K453" s="27"/>
      <c r="L453" s="27"/>
      <c r="M453" s="27"/>
      <c r="N453" s="27"/>
      <c r="O453" s="27"/>
      <c r="P453" s="27"/>
      <c r="Q453" s="27"/>
      <c r="R453" s="27"/>
      <c r="S453" s="27"/>
      <c r="T453" s="27"/>
      <c r="U453" s="27"/>
      <c r="V453" s="27"/>
      <c r="W453" s="27"/>
      <c r="X453" s="27"/>
      <c r="Y453" s="27"/>
      <c r="Z453" s="27"/>
      <c r="AA453" s="10" t="str">
        <f aca="false">IFERROR(INDEX(設定!$E$61:$E$106,MATCH(B453,設定!$B$61:$B$106,0)),"合算")</f>
        <v>合算</v>
      </c>
      <c r="AB453" s="28"/>
      <c r="AC453" s="29" t="str">
        <f aca="false">IF(OR(G453="",G453="なし"),"",IF(AA453="合算",CJ453+N(Z453),IF(AA453="掛金・負担金別",(AY453+AZ453+BD453+BF453+BH453),SUM(AY453:BC453))))</f>
        <v/>
      </c>
      <c r="AD453" s="27"/>
      <c r="AE453" s="29" t="str">
        <f aca="false">IF(OR(G453="",G453="なし"),"",IF(AA453="掛金・負担金別",(BA453+BB453+BC453+BE453+BG453+BI453+N(Z453)),IF(AA453="経理区分別",BD453+BE453,"")))</f>
        <v/>
      </c>
      <c r="AF453" s="27"/>
      <c r="AG453" s="29" t="str">
        <f aca="false">IF(OR(G453="",G453="なし"),"",IF(AA453="経理区分別",BF453+BG453,""))</f>
        <v/>
      </c>
      <c r="AH453" s="27"/>
      <c r="AI453" s="29" t="str">
        <f aca="false">IF(OR(G453="",G453="なし"),"",IF(AA453="経理区分別",BH453+BI453+N(Z453),""))</f>
        <v/>
      </c>
      <c r="AJ453" s="27"/>
      <c r="AK453" s="26"/>
      <c r="AL453" s="26"/>
      <c r="AM453" s="30"/>
      <c r="AN453" s="31" t="n">
        <v>110989</v>
      </c>
      <c r="AO453" s="31" t="n">
        <v>9097</v>
      </c>
      <c r="AP453" s="31" t="n">
        <v>110990</v>
      </c>
      <c r="AQ453" s="31" t="n">
        <v>9097</v>
      </c>
      <c r="AR453" s="31" t="n">
        <v>113</v>
      </c>
      <c r="AS453" s="31" t="n">
        <v>66727</v>
      </c>
      <c r="AT453" s="31" t="n">
        <v>66848</v>
      </c>
      <c r="AU453" s="31" t="n">
        <v>0</v>
      </c>
      <c r="AV453" s="31" t="n">
        <v>0</v>
      </c>
      <c r="AW453" s="31" t="n">
        <v>1</v>
      </c>
      <c r="AX453" s="31" t="n">
        <v>1</v>
      </c>
      <c r="AY453" s="31" t="n">
        <f aca="false">IF($G453="",AN453,O453)</f>
        <v>110989</v>
      </c>
      <c r="AZ453" s="31" t="n">
        <f aca="false">IF($G453="",AO453,P453)</f>
        <v>9097</v>
      </c>
      <c r="BA453" s="31" t="n">
        <f aca="false">IF($G453="",AP453,T453)</f>
        <v>110990</v>
      </c>
      <c r="BB453" s="31" t="n">
        <f aca="false">IF($G453="",AQ453,U453)</f>
        <v>9097</v>
      </c>
      <c r="BC453" s="31" t="n">
        <f aca="false">IF($G453="",AR453,V453)</f>
        <v>113</v>
      </c>
      <c r="BD453" s="31" t="n">
        <f aca="false">IF($G453="",AS453,Q453)</f>
        <v>66727</v>
      </c>
      <c r="BE453" s="31" t="n">
        <f aca="false">IF($G453="",AT453,W453)</f>
        <v>66848</v>
      </c>
      <c r="BF453" s="31" t="n">
        <f aca="false">IF($G453="",AU453,R453)</f>
        <v>0</v>
      </c>
      <c r="BG453" s="31" t="n">
        <f aca="false">IF($G453="",AV453,X453)</f>
        <v>0</v>
      </c>
      <c r="BH453" s="31" t="n">
        <f aca="false">IF($G453="",AW453,S453)</f>
        <v>1</v>
      </c>
      <c r="BI453" s="31" t="n">
        <f aca="false">IF($G453="",AX453,Y453)</f>
        <v>1</v>
      </c>
      <c r="BJ453" s="31" t="n">
        <f aca="false">IF(CK453="N",BR453,ROUNDDOWN((I453-L453)*設定!$B$10/1000,0)+ROUNDDOWN((I453-L453)*設定!$B$11/1000,0))</f>
        <v>0</v>
      </c>
      <c r="BK453" s="31" t="n">
        <f aca="false">ROUNDDOWN((I453-L453)*設定!$C$10/1000,0)+ROUNDDOWN((I453-L453)*設定!$C$11/1000,0)+ROUNDDOWN(I453*設定!$C$12/1000,0)+IF(CL453="市局型",ROUNDDOWN(I453*設定!$C$16/1000,0),0)</f>
        <v>0</v>
      </c>
      <c r="BL453" s="31" t="n">
        <f aca="false">IF(CK453="N",BT453,ROUNDDOWN((J453-M453)*設定!$B$13/1000,0))</f>
        <v>0</v>
      </c>
      <c r="BM453" s="31" t="n">
        <f aca="false">ROUNDDOWN((J453-M453)*設定!$C$13/1000,0)+IF(CL453="市局型",ROUNDDOWN(J453*設定!$C$17/1000,0),0)</f>
        <v>0</v>
      </c>
      <c r="BN453" s="31" t="n">
        <f aca="false">IF(CK453="N",BV453,ROUNDDOWN((K453-N453)*設定!$B$14/1000,0))</f>
        <v>0</v>
      </c>
      <c r="BO453" s="31" t="n">
        <f aca="false">ROUNDDOWN((K453-N453)*設定!$C$14/1000,0)</f>
        <v>0</v>
      </c>
      <c r="BP453" s="31" t="n">
        <f aca="false">IF(CK453="N",BX453,ROUNDDOWN((J453-M453)*設定!$B$15/1000,0))</f>
        <v>0</v>
      </c>
      <c r="BQ453" s="31" t="n">
        <f aca="false">ROUNDDOWN((J453-M453)*設定!$C$15/1000,0)</f>
        <v>0</v>
      </c>
      <c r="BR453" s="31" t="n">
        <f aca="false">O453+P453</f>
        <v>0</v>
      </c>
      <c r="BS453" s="31" t="n">
        <f aca="false">T453+U453+V453</f>
        <v>0</v>
      </c>
      <c r="BT453" s="31" t="n">
        <f aca="false">Q453</f>
        <v>0</v>
      </c>
      <c r="BU453" s="31" t="n">
        <f aca="false">W453</f>
        <v>0</v>
      </c>
      <c r="BV453" s="31" t="n">
        <f aca="false">R453</f>
        <v>0</v>
      </c>
      <c r="BW453" s="31" t="n">
        <f aca="false">X453</f>
        <v>0</v>
      </c>
      <c r="BX453" s="31" t="n">
        <f aca="false">S453</f>
        <v>0</v>
      </c>
      <c r="BY453" s="31" t="n">
        <f aca="false">Y453</f>
        <v>0</v>
      </c>
      <c r="BZ453" s="32" t="n">
        <f aca="false">IF(BJ453=0,IF(BR453=0,0,1),(BR453-BJ453)/BJ453)</f>
        <v>0</v>
      </c>
      <c r="CA453" s="32" t="n">
        <f aca="false">IF(BK453=0,IF(BS453=0,0,1),(BS453-BK453)/BK453)</f>
        <v>0</v>
      </c>
      <c r="CB453" s="32" t="n">
        <f aca="false">IF(BL453=0,IF(BT453=0,0,1),(BT453-BL453)/BL453)</f>
        <v>0</v>
      </c>
      <c r="CC453" s="32" t="n">
        <f aca="false">IF(BM453=0,IF(BU453=0,0,1),(BU453-BM453)/BM453)</f>
        <v>0</v>
      </c>
      <c r="CD453" s="32" t="n">
        <f aca="false">IF(BN453=0,IF(BV453=0,0,1),(BV453-BN453)/BN453)</f>
        <v>0</v>
      </c>
      <c r="CE453" s="32" t="n">
        <f aca="false">IF(BO453=0,IF(BW453=0,0,1),(BW453-BO453)/BO453)</f>
        <v>0</v>
      </c>
      <c r="CF453" s="32" t="n">
        <f aca="false">IF(BP453=0,IF(BX453=0,0,1),(BX453-BP453)/BP453)</f>
        <v>0</v>
      </c>
      <c r="CG453" s="32" t="n">
        <f aca="false">IF(BQ453=0,IF(BY453=0,0,1),(BY453-BQ453)/BQ453)</f>
        <v>0</v>
      </c>
      <c r="CH453" s="32" t="n">
        <f aca="false">MAX(MAX(BZ453:CG453),-MIN(BZ453:CG453))</f>
        <v>-0</v>
      </c>
      <c r="CI453" s="31" t="str">
        <f aca="false">IF(CO453="","",SUMIFS($CJ$7:$CJ$696,$A$7:$A$696,CO453,$B$7:$B$696,B453))</f>
        <v/>
      </c>
      <c r="CJ453" s="31" t="n">
        <f aca="false">SUM(AY453:BI453)</f>
        <v>373863</v>
      </c>
      <c r="CK453" s="31" t="str">
        <f aca="false">IFERROR(INDEX(設定!$F$61:$F$106,MATCH(B453,設定!$B$61:$B$106,0)),"Y")</f>
        <v>Y</v>
      </c>
      <c r="CL453" s="31" t="str">
        <f aca="false">IFERROR(INDEX(設定!$G$61:$G$106,MATCH(B453,設定!$B$61:$B$106,0)),"外郭型")</f>
        <v>外郭型</v>
      </c>
      <c r="CM453" s="33" t="str">
        <f aca="false">A453&amp;"|"&amp;B453</f>
        <v>2026-12 賞与|都市再生機構</v>
      </c>
      <c r="CN453" s="34" t="str">
        <f aca="false">IFERROR(INDEX(設定!$D$61:$D$106,MATCH(B453,設定!$B$61:$B$106,0)),"Y")</f>
        <v>Y</v>
      </c>
      <c r="CO453" s="34" t="str">
        <f aca="false">IFERROR(INDEX(設定!$D$20:$D$34,MATCH(A453,設定!$A$20:$A$34,0))&amp;"","")</f>
        <v/>
      </c>
    </row>
    <row r="454" customFormat="false" ht="15" hidden="true" customHeight="false" outlineLevel="0" collapsed="false">
      <c r="A454" s="22" t="s">
        <v>225</v>
      </c>
      <c r="B454" s="23" t="s">
        <v>202</v>
      </c>
      <c r="C454" s="10" t="str">
        <f aca="false">IF(G454="","未受領",IF(G454="なし","報告なし",IF(AL454="○","起票済",IF(OR(AK454="○",F454="一致",F454="入金不要"),"入金確認済","受領済"))))</f>
        <v>未受領</v>
      </c>
      <c r="D454" s="10" t="str">
        <f aca="false">IF(OR(G454="",G454="なし"),"―",IF(CN454="N","対象外",IF(AND(I454="",J454="",K454=""),"標報未入力",IF(CH454&gt;=設定!$B$4,"要確認","問題なし"))))</f>
        <v>―</v>
      </c>
      <c r="E454" s="24" t="str">
        <f aca="false">IF(OR(G454="",G454="なし",CI454="",CJ454=0),"―",IF(CJ454=CI454,"前月同額",IF(CI454=0,"―",IF(ABS(CJ454/CI454-1)&gt;=設定!$B$5,"変動大 "&amp;TEXT(CJ454/CI454-1,"+0%;-0%"),"〇"))))</f>
        <v>―</v>
      </c>
      <c r="F454" s="10" t="str">
        <f aca="false">IF(OR(G454="",G454="なし"),"―",IF(CJ454=0,"入金不要",IF(COUNT(AD454,AF454,AH454,AJ454)=0,IF(AK454="○","手動確認","未入金"),IF(AND(N(AD454)=AC454,IF(AE454="",TRUE(),N(AF454)=AE454),IF(AG454="",TRUE(),N(AH454)=AG454),IF(AI454="",TRUE(),N(AJ454)=AI454)),"一致","不一致"))))</f>
        <v>―</v>
      </c>
      <c r="G454" s="25"/>
      <c r="H454" s="26"/>
      <c r="I454" s="27"/>
      <c r="J454" s="27"/>
      <c r="K454" s="27"/>
      <c r="L454" s="27"/>
      <c r="M454" s="27"/>
      <c r="N454" s="27"/>
      <c r="O454" s="27"/>
      <c r="P454" s="27"/>
      <c r="Q454" s="27"/>
      <c r="R454" s="27"/>
      <c r="S454" s="27"/>
      <c r="T454" s="27"/>
      <c r="U454" s="27"/>
      <c r="V454" s="27"/>
      <c r="W454" s="27"/>
      <c r="X454" s="27"/>
      <c r="Y454" s="27"/>
      <c r="Z454" s="27"/>
      <c r="AA454" s="10" t="str">
        <f aca="false">IFERROR(INDEX(設定!$E$61:$E$106,MATCH(B454,設定!$B$61:$B$106,0)),"合算")</f>
        <v>合算</v>
      </c>
      <c r="AB454" s="28"/>
      <c r="AC454" s="29" t="str">
        <f aca="false">IF(OR(G454="",G454="なし"),"",IF(AA454="合算",CJ454+N(Z454),IF(AA454="掛金・負担金別",(AY454+AZ454+BD454+BF454+BH454),SUM(AY454:BC454))))</f>
        <v/>
      </c>
      <c r="AD454" s="27"/>
      <c r="AE454" s="29" t="str">
        <f aca="false">IF(OR(G454="",G454="なし"),"",IF(AA454="掛金・負担金別",(BA454+BB454+BC454+BE454+BG454+BI454+N(Z454)),IF(AA454="経理区分別",BD454+BE454,"")))</f>
        <v/>
      </c>
      <c r="AF454" s="27"/>
      <c r="AG454" s="29" t="str">
        <f aca="false">IF(OR(G454="",G454="なし"),"",IF(AA454="経理区分別",BF454+BG454,""))</f>
        <v/>
      </c>
      <c r="AH454" s="27"/>
      <c r="AI454" s="29" t="str">
        <f aca="false">IF(OR(G454="",G454="なし"),"",IF(AA454="経理区分別",BH454+BI454+N(Z454),""))</f>
        <v/>
      </c>
      <c r="AJ454" s="27"/>
      <c r="AK454" s="26"/>
      <c r="AL454" s="26"/>
      <c r="AM454" s="30"/>
      <c r="AN454" s="31" t="n">
        <v>2224906</v>
      </c>
      <c r="AO454" s="31" t="n">
        <v>182362</v>
      </c>
      <c r="AP454" s="31" t="n">
        <v>2224922</v>
      </c>
      <c r="AQ454" s="31" t="n">
        <v>182370</v>
      </c>
      <c r="AR454" s="31" t="n">
        <v>2370</v>
      </c>
      <c r="AS454" s="31" t="n">
        <v>1337610</v>
      </c>
      <c r="AT454" s="31" t="n">
        <v>1340149</v>
      </c>
      <c r="AU454" s="31" t="n">
        <v>125563</v>
      </c>
      <c r="AV454" s="31" t="n">
        <v>125570</v>
      </c>
      <c r="AW454" s="31" t="n">
        <v>1</v>
      </c>
      <c r="AX454" s="31" t="n">
        <v>1</v>
      </c>
      <c r="AY454" s="31" t="n">
        <f aca="false">IF($G454="",AN454,O454)</f>
        <v>2224906</v>
      </c>
      <c r="AZ454" s="31" t="n">
        <f aca="false">IF($G454="",AO454,P454)</f>
        <v>182362</v>
      </c>
      <c r="BA454" s="31" t="n">
        <f aca="false">IF($G454="",AP454,T454)</f>
        <v>2224922</v>
      </c>
      <c r="BB454" s="31" t="n">
        <f aca="false">IF($G454="",AQ454,U454)</f>
        <v>182370</v>
      </c>
      <c r="BC454" s="31" t="n">
        <f aca="false">IF($G454="",AR454,V454)</f>
        <v>2370</v>
      </c>
      <c r="BD454" s="31" t="n">
        <f aca="false">IF($G454="",AS454,Q454)</f>
        <v>1337610</v>
      </c>
      <c r="BE454" s="31" t="n">
        <f aca="false">IF($G454="",AT454,W454)</f>
        <v>1340149</v>
      </c>
      <c r="BF454" s="31" t="n">
        <f aca="false">IF($G454="",AU454,R454)</f>
        <v>125563</v>
      </c>
      <c r="BG454" s="31" t="n">
        <f aca="false">IF($G454="",AV454,X454)</f>
        <v>125570</v>
      </c>
      <c r="BH454" s="31" t="n">
        <f aca="false">IF($G454="",AW454,S454)</f>
        <v>1</v>
      </c>
      <c r="BI454" s="31" t="n">
        <f aca="false">IF($G454="",AX454,Y454)</f>
        <v>1</v>
      </c>
      <c r="BJ454" s="31" t="n">
        <f aca="false">IF(CK454="N",BR454,ROUNDDOWN((I454-L454)*設定!$B$10/1000,0)+ROUNDDOWN((I454-L454)*設定!$B$11/1000,0))</f>
        <v>0</v>
      </c>
      <c r="BK454" s="31" t="n">
        <f aca="false">ROUNDDOWN((I454-L454)*設定!$C$10/1000,0)+ROUNDDOWN((I454-L454)*設定!$C$11/1000,0)+ROUNDDOWN(I454*設定!$C$12/1000,0)+IF(CL454="市局型",ROUNDDOWN(I454*設定!$C$16/1000,0),0)</f>
        <v>0</v>
      </c>
      <c r="BL454" s="31" t="n">
        <f aca="false">IF(CK454="N",BT454,ROUNDDOWN((J454-M454)*設定!$B$13/1000,0))</f>
        <v>0</v>
      </c>
      <c r="BM454" s="31" t="n">
        <f aca="false">ROUNDDOWN((J454-M454)*設定!$C$13/1000,0)+IF(CL454="市局型",ROUNDDOWN(J454*設定!$C$17/1000,0),0)</f>
        <v>0</v>
      </c>
      <c r="BN454" s="31" t="n">
        <f aca="false">IF(CK454="N",BV454,ROUNDDOWN((K454-N454)*設定!$B$14/1000,0))</f>
        <v>0</v>
      </c>
      <c r="BO454" s="31" t="n">
        <f aca="false">ROUNDDOWN((K454-N454)*設定!$C$14/1000,0)</f>
        <v>0</v>
      </c>
      <c r="BP454" s="31" t="n">
        <f aca="false">IF(CK454="N",BX454,ROUNDDOWN((J454-M454)*設定!$B$15/1000,0))</f>
        <v>0</v>
      </c>
      <c r="BQ454" s="31" t="n">
        <f aca="false">ROUNDDOWN((J454-M454)*設定!$C$15/1000,0)</f>
        <v>0</v>
      </c>
      <c r="BR454" s="31" t="n">
        <f aca="false">O454+P454</f>
        <v>0</v>
      </c>
      <c r="BS454" s="31" t="n">
        <f aca="false">T454+U454+V454</f>
        <v>0</v>
      </c>
      <c r="BT454" s="31" t="n">
        <f aca="false">Q454</f>
        <v>0</v>
      </c>
      <c r="BU454" s="31" t="n">
        <f aca="false">W454</f>
        <v>0</v>
      </c>
      <c r="BV454" s="31" t="n">
        <f aca="false">R454</f>
        <v>0</v>
      </c>
      <c r="BW454" s="31" t="n">
        <f aca="false">X454</f>
        <v>0</v>
      </c>
      <c r="BX454" s="31" t="n">
        <f aca="false">S454</f>
        <v>0</v>
      </c>
      <c r="BY454" s="31" t="n">
        <f aca="false">Y454</f>
        <v>0</v>
      </c>
      <c r="BZ454" s="32" t="n">
        <f aca="false">IF(BJ454=0,IF(BR454=0,0,1),(BR454-BJ454)/BJ454)</f>
        <v>0</v>
      </c>
      <c r="CA454" s="32" t="n">
        <f aca="false">IF(BK454=0,IF(BS454=0,0,1),(BS454-BK454)/BK454)</f>
        <v>0</v>
      </c>
      <c r="CB454" s="32" t="n">
        <f aca="false">IF(BL454=0,IF(BT454=0,0,1),(BT454-BL454)/BL454)</f>
        <v>0</v>
      </c>
      <c r="CC454" s="32" t="n">
        <f aca="false">IF(BM454=0,IF(BU454=0,0,1),(BU454-BM454)/BM454)</f>
        <v>0</v>
      </c>
      <c r="CD454" s="32" t="n">
        <f aca="false">IF(BN454=0,IF(BV454=0,0,1),(BV454-BN454)/BN454)</f>
        <v>0</v>
      </c>
      <c r="CE454" s="32" t="n">
        <f aca="false">IF(BO454=0,IF(BW454=0,0,1),(BW454-BO454)/BO454)</f>
        <v>0</v>
      </c>
      <c r="CF454" s="32" t="n">
        <f aca="false">IF(BP454=0,IF(BX454=0,0,1),(BX454-BP454)/BP454)</f>
        <v>0</v>
      </c>
      <c r="CG454" s="32" t="n">
        <f aca="false">IF(BQ454=0,IF(BY454=0,0,1),(BY454-BQ454)/BQ454)</f>
        <v>0</v>
      </c>
      <c r="CH454" s="32" t="n">
        <f aca="false">MAX(MAX(BZ454:CG454),-MIN(BZ454:CG454))</f>
        <v>-0</v>
      </c>
      <c r="CI454" s="31" t="str">
        <f aca="false">IF(CO454="","",SUMIFS($CJ$7:$CJ$696,$A$7:$A$696,CO454,$B$7:$B$696,B454))</f>
        <v/>
      </c>
      <c r="CJ454" s="31" t="n">
        <f aca="false">SUM(AY454:BI454)</f>
        <v>7745824</v>
      </c>
      <c r="CK454" s="31" t="str">
        <f aca="false">IFERROR(INDEX(設定!$F$61:$F$106,MATCH(B454,設定!$B$61:$B$106,0)),"Y")</f>
        <v>Y</v>
      </c>
      <c r="CL454" s="31" t="str">
        <f aca="false">IFERROR(INDEX(設定!$G$61:$G$106,MATCH(B454,設定!$B$61:$B$106,0)),"外郭型")</f>
        <v>外郭型</v>
      </c>
      <c r="CM454" s="33" t="str">
        <f aca="false">A454&amp;"|"&amp;B454</f>
        <v>2026-12 賞与|広島市立大学</v>
      </c>
      <c r="CN454" s="34" t="str">
        <f aca="false">IFERROR(INDEX(設定!$D$61:$D$106,MATCH(B454,設定!$B$61:$B$106,0)),"Y")</f>
        <v>Y</v>
      </c>
      <c r="CO454" s="34" t="str">
        <f aca="false">IFERROR(INDEX(設定!$D$20:$D$34,MATCH(A454,設定!$A$20:$A$34,0))&amp;"","")</f>
        <v/>
      </c>
    </row>
    <row r="455" customFormat="false" ht="15" hidden="true" customHeight="false" outlineLevel="0" collapsed="false">
      <c r="A455" s="22" t="s">
        <v>225</v>
      </c>
      <c r="B455" s="23" t="s">
        <v>203</v>
      </c>
      <c r="C455" s="10" t="str">
        <f aca="false">IF(G455="","未受領",IF(G455="なし","報告なし",IF(AL455="○","起票済",IF(OR(AK455="○",F455="一致",F455="入金不要"),"入金確認済","受領済"))))</f>
        <v>未受領</v>
      </c>
      <c r="D455" s="10" t="str">
        <f aca="false">IF(OR(G455="",G455="なし"),"―",IF(CN455="N","対象外",IF(AND(I455="",J455="",K455=""),"標報未入力",IF(CH455&gt;=設定!$B$4,"要確認","問題なし"))))</f>
        <v>―</v>
      </c>
      <c r="E455" s="24" t="str">
        <f aca="false">IF(OR(G455="",G455="なし",CI455="",CJ455=0),"―",IF(CJ455=CI455,"前月同額",IF(CI455=0,"―",IF(ABS(CJ455/CI455-1)&gt;=設定!$B$5,"変動大 "&amp;TEXT(CJ455/CI455-1,"+0%;-0%"),"〇"))))</f>
        <v>―</v>
      </c>
      <c r="F455" s="10" t="str">
        <f aca="false">IF(OR(G455="",G455="なし"),"―",IF(CJ455=0,"入金不要",IF(COUNT(AD455,AF455,AH455,AJ455)=0,IF(AK455="○","手動確認","未入金"),IF(AND(N(AD455)=AC455,IF(AE455="",TRUE(),N(AF455)=AE455),IF(AG455="",TRUE(),N(AH455)=AG455),IF(AI455="",TRUE(),N(AJ455)=AI455)),"一致","不一致"))))</f>
        <v>―</v>
      </c>
      <c r="G455" s="25"/>
      <c r="H455" s="26"/>
      <c r="I455" s="27"/>
      <c r="J455" s="27"/>
      <c r="K455" s="27"/>
      <c r="L455" s="27"/>
      <c r="M455" s="27"/>
      <c r="N455" s="27"/>
      <c r="O455" s="27"/>
      <c r="P455" s="27"/>
      <c r="Q455" s="27"/>
      <c r="R455" s="27"/>
      <c r="S455" s="27"/>
      <c r="T455" s="27"/>
      <c r="U455" s="27"/>
      <c r="V455" s="27"/>
      <c r="W455" s="27"/>
      <c r="X455" s="27"/>
      <c r="Y455" s="27"/>
      <c r="Z455" s="27"/>
      <c r="AA455" s="10" t="str">
        <f aca="false">IFERROR(INDEX(設定!$E$61:$E$106,MATCH(B455,設定!$B$61:$B$106,0)),"合算")</f>
        <v>合算</v>
      </c>
      <c r="AB455" s="28"/>
      <c r="AC455" s="29" t="str">
        <f aca="false">IF(OR(G455="",G455="なし"),"",IF(AA455="合算",CJ455+N(Z455),IF(AA455="掛金・負担金別",(AY455+AZ455+BD455+BF455+BH455),SUM(AY455:BC455))))</f>
        <v/>
      </c>
      <c r="AD455" s="27"/>
      <c r="AE455" s="29" t="str">
        <f aca="false">IF(OR(G455="",G455="なし"),"",IF(AA455="掛金・負担金別",(BA455+BB455+BC455+BE455+BG455+BI455+N(Z455)),IF(AA455="経理区分別",BD455+BE455,"")))</f>
        <v/>
      </c>
      <c r="AF455" s="27"/>
      <c r="AG455" s="29" t="str">
        <f aca="false">IF(OR(G455="",G455="なし"),"",IF(AA455="経理区分別",BF455+BG455,""))</f>
        <v/>
      </c>
      <c r="AH455" s="27"/>
      <c r="AI455" s="29" t="str">
        <f aca="false">IF(OR(G455="",G455="なし"),"",IF(AA455="経理区分別",BH455+BI455+N(Z455),""))</f>
        <v/>
      </c>
      <c r="AJ455" s="27"/>
      <c r="AK455" s="26"/>
      <c r="AL455" s="26"/>
      <c r="AM455" s="30"/>
      <c r="AN455" s="31"/>
      <c r="AO455" s="31"/>
      <c r="AP455" s="31" t="n">
        <v>438378</v>
      </c>
      <c r="AQ455" s="31" t="n">
        <v>35932</v>
      </c>
      <c r="AR455" s="31" t="n">
        <v>449</v>
      </c>
      <c r="AS455" s="31"/>
      <c r="AT455" s="31" t="n">
        <v>276211</v>
      </c>
      <c r="AU455" s="31"/>
      <c r="AV455" s="31" t="n">
        <v>21622</v>
      </c>
      <c r="AW455" s="31"/>
      <c r="AX455" s="31" t="n">
        <v>1</v>
      </c>
      <c r="AY455" s="31" t="n">
        <f aca="false">IF($G455="",AN455,O455)</f>
        <v>0</v>
      </c>
      <c r="AZ455" s="31" t="n">
        <f aca="false">IF($G455="",AO455,P455)</f>
        <v>0</v>
      </c>
      <c r="BA455" s="31" t="n">
        <f aca="false">IF($G455="",AP455,T455)</f>
        <v>438378</v>
      </c>
      <c r="BB455" s="31" t="n">
        <f aca="false">IF($G455="",AQ455,U455)</f>
        <v>35932</v>
      </c>
      <c r="BC455" s="31" t="n">
        <f aca="false">IF($G455="",AR455,V455)</f>
        <v>449</v>
      </c>
      <c r="BD455" s="31" t="n">
        <f aca="false">IF($G455="",AS455,Q455)</f>
        <v>0</v>
      </c>
      <c r="BE455" s="31" t="n">
        <f aca="false">IF($G455="",AT455,W455)</f>
        <v>276211</v>
      </c>
      <c r="BF455" s="31" t="n">
        <f aca="false">IF($G455="",AU455,R455)</f>
        <v>0</v>
      </c>
      <c r="BG455" s="31" t="n">
        <f aca="false">IF($G455="",AV455,X455)</f>
        <v>21622</v>
      </c>
      <c r="BH455" s="31" t="n">
        <f aca="false">IF($G455="",AW455,S455)</f>
        <v>0</v>
      </c>
      <c r="BI455" s="31" t="n">
        <f aca="false">IF($G455="",AX455,Y455)</f>
        <v>1</v>
      </c>
      <c r="BJ455" s="31" t="n">
        <f aca="false">IF(CK455="N",BR455,ROUNDDOWN((I455-L455)*設定!$B$10/1000,0)+ROUNDDOWN((I455-L455)*設定!$B$11/1000,0))</f>
        <v>0</v>
      </c>
      <c r="BK455" s="31" t="n">
        <f aca="false">ROUNDDOWN((I455-L455)*設定!$C$10/1000,0)+ROUNDDOWN((I455-L455)*設定!$C$11/1000,0)+ROUNDDOWN(I455*設定!$C$12/1000,0)+IF(CL455="市局型",ROUNDDOWN(I455*設定!$C$16/1000,0),0)</f>
        <v>0</v>
      </c>
      <c r="BL455" s="31" t="n">
        <f aca="false">IF(CK455="N",BT455,ROUNDDOWN((J455-M455)*設定!$B$13/1000,0))</f>
        <v>0</v>
      </c>
      <c r="BM455" s="31" t="n">
        <f aca="false">ROUNDDOWN((J455-M455)*設定!$C$13/1000,0)+IF(CL455="市局型",ROUNDDOWN(J455*設定!$C$17/1000,0),0)</f>
        <v>0</v>
      </c>
      <c r="BN455" s="31" t="n">
        <f aca="false">IF(CK455="N",BV455,ROUNDDOWN((K455-N455)*設定!$B$14/1000,0))</f>
        <v>0</v>
      </c>
      <c r="BO455" s="31" t="n">
        <f aca="false">ROUNDDOWN((K455-N455)*設定!$C$14/1000,0)</f>
        <v>0</v>
      </c>
      <c r="BP455" s="31" t="n">
        <f aca="false">IF(CK455="N",BX455,ROUNDDOWN((J455-M455)*設定!$B$15/1000,0))</f>
        <v>0</v>
      </c>
      <c r="BQ455" s="31" t="n">
        <f aca="false">ROUNDDOWN((J455-M455)*設定!$C$15/1000,0)</f>
        <v>0</v>
      </c>
      <c r="BR455" s="31" t="n">
        <f aca="false">O455+P455</f>
        <v>0</v>
      </c>
      <c r="BS455" s="31" t="n">
        <f aca="false">T455+U455+V455</f>
        <v>0</v>
      </c>
      <c r="BT455" s="31" t="n">
        <f aca="false">Q455</f>
        <v>0</v>
      </c>
      <c r="BU455" s="31" t="n">
        <f aca="false">W455</f>
        <v>0</v>
      </c>
      <c r="BV455" s="31" t="n">
        <f aca="false">R455</f>
        <v>0</v>
      </c>
      <c r="BW455" s="31" t="n">
        <f aca="false">X455</f>
        <v>0</v>
      </c>
      <c r="BX455" s="31" t="n">
        <f aca="false">S455</f>
        <v>0</v>
      </c>
      <c r="BY455" s="31" t="n">
        <f aca="false">Y455</f>
        <v>0</v>
      </c>
      <c r="BZ455" s="32" t="n">
        <f aca="false">IF(BJ455=0,IF(BR455=0,0,1),(BR455-BJ455)/BJ455)</f>
        <v>0</v>
      </c>
      <c r="CA455" s="32" t="n">
        <f aca="false">IF(BK455=0,IF(BS455=0,0,1),(BS455-BK455)/BK455)</f>
        <v>0</v>
      </c>
      <c r="CB455" s="32" t="n">
        <f aca="false">IF(BL455=0,IF(BT455=0,0,1),(BT455-BL455)/BL455)</f>
        <v>0</v>
      </c>
      <c r="CC455" s="32" t="n">
        <f aca="false">IF(BM455=0,IF(BU455=0,0,1),(BU455-BM455)/BM455)</f>
        <v>0</v>
      </c>
      <c r="CD455" s="32" t="n">
        <f aca="false">IF(BN455=0,IF(BV455=0,0,1),(BV455-BN455)/BN455)</f>
        <v>0</v>
      </c>
      <c r="CE455" s="32" t="n">
        <f aca="false">IF(BO455=0,IF(BW455=0,0,1),(BW455-BO455)/BO455)</f>
        <v>0</v>
      </c>
      <c r="CF455" s="32" t="n">
        <f aca="false">IF(BP455=0,IF(BX455=0,0,1),(BX455-BP455)/BP455)</f>
        <v>0</v>
      </c>
      <c r="CG455" s="32" t="n">
        <f aca="false">IF(BQ455=0,IF(BY455=0,0,1),(BY455-BQ455)/BQ455)</f>
        <v>0</v>
      </c>
      <c r="CH455" s="32" t="n">
        <f aca="false">MAX(MAX(BZ455:CG455),-MIN(BZ455:CG455))</f>
        <v>-0</v>
      </c>
      <c r="CI455" s="31" t="str">
        <f aca="false">IF(CO455="","",SUMIFS($CJ$7:$CJ$696,$A$7:$A$696,CO455,$B$7:$B$696,B455))</f>
        <v/>
      </c>
      <c r="CJ455" s="31" t="n">
        <f aca="false">SUM(AY455:BI455)</f>
        <v>772593</v>
      </c>
      <c r="CK455" s="31" t="str">
        <f aca="false">IFERROR(INDEX(設定!$F$61:$F$106,MATCH(B455,設定!$B$61:$B$106,0)),"Y")</f>
        <v>N</v>
      </c>
      <c r="CL455" s="31" t="str">
        <f aca="false">IFERROR(INDEX(設定!$G$61:$G$106,MATCH(B455,設定!$B$61:$B$106,0)),"外郭型")</f>
        <v>外郭型</v>
      </c>
      <c r="CM455" s="33" t="str">
        <f aca="false">A455&amp;"|"&amp;B455</f>
        <v>2026-12 賞与|社会福祉協議会</v>
      </c>
      <c r="CN455" s="34" t="str">
        <f aca="false">IFERROR(INDEX(設定!$D$61:$D$106,MATCH(B455,設定!$B$61:$B$106,0)),"Y")</f>
        <v>Y</v>
      </c>
      <c r="CO455" s="34" t="str">
        <f aca="false">IFERROR(INDEX(設定!$D$20:$D$34,MATCH(A455,設定!$A$20:$A$34,0))&amp;"","")</f>
        <v/>
      </c>
    </row>
    <row r="456" customFormat="false" ht="15" hidden="true" customHeight="false" outlineLevel="0" collapsed="false">
      <c r="A456" s="22" t="s">
        <v>225</v>
      </c>
      <c r="B456" s="23" t="s">
        <v>204</v>
      </c>
      <c r="C456" s="10" t="str">
        <f aca="false">IF(G456="","未受領",IF(G456="なし","報告なし",IF(AL456="○","起票済",IF(OR(AK456="○",F456="一致",F456="入金不要"),"入金確認済","受領済"))))</f>
        <v>未受領</v>
      </c>
      <c r="D456" s="10" t="str">
        <f aca="false">IF(OR(G456="",G456="なし"),"―",IF(CN456="N","対象外",IF(AND(I456="",J456="",K456=""),"標報未入力",IF(CH456&gt;=設定!$B$4,"要確認","問題なし"))))</f>
        <v>―</v>
      </c>
      <c r="E456" s="24" t="str">
        <f aca="false">IF(OR(G456="",G456="なし",CI456="",CJ456=0),"―",IF(CJ456=CI456,"前月同額",IF(CI456=0,"―",IF(ABS(CJ456/CI456-1)&gt;=設定!$B$5,"変動大 "&amp;TEXT(CJ456/CI456-1,"+0%;-0%"),"〇"))))</f>
        <v>―</v>
      </c>
      <c r="F456" s="10" t="str">
        <f aca="false">IF(OR(G456="",G456="なし"),"―",IF(CJ456=0,"入金不要",IF(COUNT(AD456,AF456,AH456,AJ456)=0,IF(AK456="○","手動確認","未入金"),IF(AND(N(AD456)=AC456,IF(AE456="",TRUE(),N(AF456)=AE456),IF(AG456="",TRUE(),N(AH456)=AG456),IF(AI456="",TRUE(),N(AJ456)=AI456)),"一致","不一致"))))</f>
        <v>―</v>
      </c>
      <c r="G456" s="25"/>
      <c r="H456" s="26"/>
      <c r="I456" s="27"/>
      <c r="J456" s="27"/>
      <c r="K456" s="27"/>
      <c r="L456" s="27"/>
      <c r="M456" s="27"/>
      <c r="N456" s="27"/>
      <c r="O456" s="27"/>
      <c r="P456" s="27"/>
      <c r="Q456" s="27"/>
      <c r="R456" s="27"/>
      <c r="S456" s="27"/>
      <c r="T456" s="27"/>
      <c r="U456" s="27"/>
      <c r="V456" s="27"/>
      <c r="W456" s="27"/>
      <c r="X456" s="27"/>
      <c r="Y456" s="27"/>
      <c r="Z456" s="27"/>
      <c r="AA456" s="10" t="str">
        <f aca="false">IFERROR(INDEX(設定!$E$61:$E$106,MATCH(B456,設定!$B$61:$B$106,0)),"合算")</f>
        <v>合算</v>
      </c>
      <c r="AB456" s="28"/>
      <c r="AC456" s="29" t="str">
        <f aca="false">IF(OR(G456="",G456="なし"),"",IF(AA456="合算",CJ456+N(Z456),IF(AA456="掛金・負担金別",(AY456+AZ456+BD456+BF456+BH456),SUM(AY456:BC456))))</f>
        <v/>
      </c>
      <c r="AD456" s="27"/>
      <c r="AE456" s="29" t="str">
        <f aca="false">IF(OR(G456="",G456="なし"),"",IF(AA456="掛金・負担金別",(BA456+BB456+BC456+BE456+BG456+BI456+N(Z456)),IF(AA456="経理区分別",BD456+BE456,"")))</f>
        <v/>
      </c>
      <c r="AF456" s="27"/>
      <c r="AG456" s="29" t="str">
        <f aca="false">IF(OR(G456="",G456="なし"),"",IF(AA456="経理区分別",BF456+BG456,""))</f>
        <v/>
      </c>
      <c r="AH456" s="27"/>
      <c r="AI456" s="29" t="str">
        <f aca="false">IF(OR(G456="",G456="なし"),"",IF(AA456="経理区分別",BH456+BI456+N(Z456),""))</f>
        <v/>
      </c>
      <c r="AJ456" s="27"/>
      <c r="AK456" s="26"/>
      <c r="AL456" s="26"/>
      <c r="AM456" s="30"/>
      <c r="AN456" s="31" t="n">
        <v>206247320</v>
      </c>
      <c r="AO456" s="31" t="n">
        <v>16904936</v>
      </c>
      <c r="AP456" s="31" t="n">
        <v>301635254</v>
      </c>
      <c r="AQ456" s="31" t="n">
        <v>16904936</v>
      </c>
      <c r="AR456" s="31" t="n">
        <v>215827</v>
      </c>
      <c r="AS456" s="31" t="n">
        <v>131697105</v>
      </c>
      <c r="AT456" s="31" t="n">
        <v>131936571</v>
      </c>
      <c r="AU456" s="31" t="n">
        <v>11352393</v>
      </c>
      <c r="AV456" s="31" t="n">
        <v>11352393</v>
      </c>
      <c r="AW456" s="31" t="n">
        <v>1</v>
      </c>
      <c r="AX456" s="31" t="n">
        <v>1</v>
      </c>
      <c r="AY456" s="31" t="n">
        <f aca="false">IF($G456="",AN456,O456)</f>
        <v>206247320</v>
      </c>
      <c r="AZ456" s="31" t="n">
        <f aca="false">IF($G456="",AO456,P456)</f>
        <v>16904936</v>
      </c>
      <c r="BA456" s="31" t="n">
        <f aca="false">IF($G456="",AP456,T456)</f>
        <v>301635254</v>
      </c>
      <c r="BB456" s="31" t="n">
        <f aca="false">IF($G456="",AQ456,U456)</f>
        <v>16904936</v>
      </c>
      <c r="BC456" s="31" t="n">
        <f aca="false">IF($G456="",AR456,V456)</f>
        <v>215827</v>
      </c>
      <c r="BD456" s="31" t="n">
        <f aca="false">IF($G456="",AS456,Q456)</f>
        <v>131697105</v>
      </c>
      <c r="BE456" s="31" t="n">
        <f aca="false">IF($G456="",AT456,W456)</f>
        <v>131936571</v>
      </c>
      <c r="BF456" s="31" t="n">
        <f aca="false">IF($G456="",AU456,R456)</f>
        <v>11352393</v>
      </c>
      <c r="BG456" s="31" t="n">
        <f aca="false">IF($G456="",AV456,X456)</f>
        <v>11352393</v>
      </c>
      <c r="BH456" s="31" t="n">
        <f aca="false">IF($G456="",AW456,S456)</f>
        <v>1</v>
      </c>
      <c r="BI456" s="31" t="n">
        <f aca="false">IF($G456="",AX456,Y456)</f>
        <v>1</v>
      </c>
      <c r="BJ456" s="31" t="n">
        <f aca="false">IF(CK456="N",BR456,ROUNDDOWN((I456-L456)*設定!$B$10/1000,0)+ROUNDDOWN((I456-L456)*設定!$B$11/1000,0))</f>
        <v>0</v>
      </c>
      <c r="BK456" s="31" t="n">
        <f aca="false">ROUNDDOWN((I456-L456)*設定!$C$10/1000,0)+ROUNDDOWN((I456-L456)*設定!$C$11/1000,0)+ROUNDDOWN(I456*設定!$C$12/1000,0)+IF(CL456="市局型",ROUNDDOWN(I456*設定!$C$16/1000,0),0)</f>
        <v>0</v>
      </c>
      <c r="BL456" s="31" t="n">
        <f aca="false">IF(CK456="N",BT456,ROUNDDOWN((J456-M456)*設定!$B$13/1000,0))</f>
        <v>0</v>
      </c>
      <c r="BM456" s="31" t="n">
        <f aca="false">ROUNDDOWN((J456-M456)*設定!$C$13/1000,0)+IF(CL456="市局型",ROUNDDOWN(J456*設定!$C$17/1000,0),0)</f>
        <v>0</v>
      </c>
      <c r="BN456" s="31" t="n">
        <f aca="false">IF(CK456="N",BV456,ROUNDDOWN((K456-N456)*設定!$B$14/1000,0))</f>
        <v>0</v>
      </c>
      <c r="BO456" s="31" t="n">
        <f aca="false">ROUNDDOWN((K456-N456)*設定!$C$14/1000,0)</f>
        <v>0</v>
      </c>
      <c r="BP456" s="31" t="n">
        <f aca="false">IF(CK456="N",BX456,ROUNDDOWN((J456-M456)*設定!$B$15/1000,0))</f>
        <v>0</v>
      </c>
      <c r="BQ456" s="31" t="n">
        <f aca="false">ROUNDDOWN((J456-M456)*設定!$C$15/1000,0)</f>
        <v>0</v>
      </c>
      <c r="BR456" s="31" t="n">
        <f aca="false">O456+P456</f>
        <v>0</v>
      </c>
      <c r="BS456" s="31" t="n">
        <f aca="false">T456+U456+V456</f>
        <v>0</v>
      </c>
      <c r="BT456" s="31" t="n">
        <f aca="false">Q456</f>
        <v>0</v>
      </c>
      <c r="BU456" s="31" t="n">
        <f aca="false">W456</f>
        <v>0</v>
      </c>
      <c r="BV456" s="31" t="n">
        <f aca="false">R456</f>
        <v>0</v>
      </c>
      <c r="BW456" s="31" t="n">
        <f aca="false">X456</f>
        <v>0</v>
      </c>
      <c r="BX456" s="31" t="n">
        <f aca="false">S456</f>
        <v>0</v>
      </c>
      <c r="BY456" s="31" t="n">
        <f aca="false">Y456</f>
        <v>0</v>
      </c>
      <c r="BZ456" s="32" t="n">
        <f aca="false">IF(BJ456=0,IF(BR456=0,0,1),(BR456-BJ456)/BJ456)</f>
        <v>0</v>
      </c>
      <c r="CA456" s="32" t="n">
        <f aca="false">IF(BK456=0,IF(BS456=0,0,1),(BS456-BK456)/BK456)</f>
        <v>0</v>
      </c>
      <c r="CB456" s="32" t="n">
        <f aca="false">IF(BL456=0,IF(BT456=0,0,1),(BT456-BL456)/BL456)</f>
        <v>0</v>
      </c>
      <c r="CC456" s="32" t="n">
        <f aca="false">IF(BM456=0,IF(BU456=0,0,1),(BU456-BM456)/BM456)</f>
        <v>0</v>
      </c>
      <c r="CD456" s="32" t="n">
        <f aca="false">IF(BN456=0,IF(BV456=0,0,1),(BV456-BN456)/BN456)</f>
        <v>0</v>
      </c>
      <c r="CE456" s="32" t="n">
        <f aca="false">IF(BO456=0,IF(BW456=0,0,1),(BW456-BO456)/BO456)</f>
        <v>0</v>
      </c>
      <c r="CF456" s="32" t="n">
        <f aca="false">IF(BP456=0,IF(BX456=0,0,1),(BX456-BP456)/BP456)</f>
        <v>0</v>
      </c>
      <c r="CG456" s="32" t="n">
        <f aca="false">IF(BQ456=0,IF(BY456=0,0,1),(BY456-BQ456)/BQ456)</f>
        <v>0</v>
      </c>
      <c r="CH456" s="32" t="n">
        <f aca="false">MAX(MAX(BZ456:CG456),-MIN(BZ456:CG456))</f>
        <v>-0</v>
      </c>
      <c r="CI456" s="31" t="str">
        <f aca="false">IF(CO456="","",SUMIFS($CJ$7:$CJ$696,$A$7:$A$696,CO456,$B$7:$B$696,B456))</f>
        <v/>
      </c>
      <c r="CJ456" s="31" t="n">
        <f aca="false">SUM(AY456:BI456)</f>
        <v>828246737</v>
      </c>
      <c r="CK456" s="31" t="str">
        <f aca="false">IFERROR(INDEX(設定!$F$61:$F$106,MATCH(B456,設定!$B$61:$B$106,0)),"Y")</f>
        <v>Y</v>
      </c>
      <c r="CL456" s="31" t="str">
        <f aca="false">IFERROR(INDEX(設定!$G$61:$G$106,MATCH(B456,設定!$B$61:$B$106,0)),"外郭型")</f>
        <v>外郭型</v>
      </c>
      <c r="CM456" s="33" t="str">
        <f aca="false">A456&amp;"|"&amp;B456</f>
        <v>2026-12 賞与|市立病院機構</v>
      </c>
      <c r="CN456" s="34" t="str">
        <f aca="false">IFERROR(INDEX(設定!$D$61:$D$106,MATCH(B456,設定!$B$61:$B$106,0)),"Y")</f>
        <v>N</v>
      </c>
      <c r="CO456" s="34" t="str">
        <f aca="false">IFERROR(INDEX(設定!$D$20:$D$34,MATCH(A456,設定!$A$20:$A$34,0))&amp;"","")</f>
        <v/>
      </c>
    </row>
    <row r="457" customFormat="false" ht="15" hidden="true" customHeight="false" outlineLevel="0" collapsed="false">
      <c r="A457" s="22" t="s">
        <v>225</v>
      </c>
      <c r="B457" s="23" t="s">
        <v>205</v>
      </c>
      <c r="C457" s="10" t="str">
        <f aca="false">IF(G457="","未受領",IF(G457="なし","報告なし",IF(AL457="○","起票済",IF(OR(AK457="○",F457="一致",F457="入金不要"),"入金確認済","受領済"))))</f>
        <v>未受領</v>
      </c>
      <c r="D457" s="10" t="str">
        <f aca="false">IF(OR(G457="",G457="なし"),"―",IF(CN457="N","対象外",IF(AND(I457="",J457="",K457=""),"標報未入力",IF(CH457&gt;=設定!$B$4,"要確認","問題なし"))))</f>
        <v>―</v>
      </c>
      <c r="E457" s="24" t="str">
        <f aca="false">IF(OR(G457="",G457="なし",CI457="",CJ457=0),"―",IF(CJ457=CI457,"前月同額",IF(CI457=0,"―",IF(ABS(CJ457/CI457-1)&gt;=設定!$B$5,"変動大 "&amp;TEXT(CJ457/CI457-1,"+0%;-0%"),"〇"))))</f>
        <v>―</v>
      </c>
      <c r="F457" s="10" t="str">
        <f aca="false">IF(OR(G457="",G457="なし"),"―",IF(CJ457=0,"入金不要",IF(COUNT(AD457,AF457,AH457,AJ457)=0,IF(AK457="○","手動確認","未入金"),IF(AND(N(AD457)=AC457,IF(AE457="",TRUE(),N(AF457)=AE457),IF(AG457="",TRUE(),N(AH457)=AG457),IF(AI457="",TRUE(),N(AJ457)=AI457)),"一致","不一致"))))</f>
        <v>―</v>
      </c>
      <c r="G457" s="25"/>
      <c r="H457" s="26"/>
      <c r="I457" s="27"/>
      <c r="J457" s="27"/>
      <c r="K457" s="27"/>
      <c r="L457" s="27"/>
      <c r="M457" s="27"/>
      <c r="N457" s="27"/>
      <c r="O457" s="27"/>
      <c r="P457" s="27"/>
      <c r="Q457" s="27"/>
      <c r="R457" s="27"/>
      <c r="S457" s="27"/>
      <c r="T457" s="27"/>
      <c r="U457" s="27"/>
      <c r="V457" s="27"/>
      <c r="W457" s="27"/>
      <c r="X457" s="27"/>
      <c r="Y457" s="27"/>
      <c r="Z457" s="27"/>
      <c r="AA457" s="10" t="str">
        <f aca="false">IFERROR(INDEX(設定!$E$61:$E$106,MATCH(B457,設定!$B$61:$B$106,0)),"合算")</f>
        <v>合算</v>
      </c>
      <c r="AB457" s="28"/>
      <c r="AC457" s="29" t="str">
        <f aca="false">IF(OR(G457="",G457="なし"),"",IF(AA457="合算",CJ457+N(Z457),IF(AA457="掛金・負担金別",(AY457+AZ457+BD457+BF457+BH457),SUM(AY457:BC457))))</f>
        <v/>
      </c>
      <c r="AD457" s="27"/>
      <c r="AE457" s="29" t="str">
        <f aca="false">IF(OR(G457="",G457="なし"),"",IF(AA457="掛金・負担金別",(BA457+BB457+BC457+BE457+BG457+BI457+N(Z457)),IF(AA457="経理区分別",BD457+BE457,"")))</f>
        <v/>
      </c>
      <c r="AF457" s="27"/>
      <c r="AG457" s="29" t="str">
        <f aca="false">IF(OR(G457="",G457="なし"),"",IF(AA457="経理区分別",BF457+BG457,""))</f>
        <v/>
      </c>
      <c r="AH457" s="27"/>
      <c r="AI457" s="29" t="str">
        <f aca="false">IF(OR(G457="",G457="なし"),"",IF(AA457="経理区分別",BH457+BI457+N(Z457),""))</f>
        <v/>
      </c>
      <c r="AJ457" s="27"/>
      <c r="AK457" s="26"/>
      <c r="AL457" s="26"/>
      <c r="AM457" s="30"/>
      <c r="AN457" s="31"/>
      <c r="AO457" s="31"/>
      <c r="AP457" s="31"/>
      <c r="AQ457" s="31"/>
      <c r="AR457" s="31"/>
      <c r="AS457" s="31" t="n">
        <v>129546</v>
      </c>
      <c r="AT457" s="31" t="n">
        <v>129782</v>
      </c>
      <c r="AU457" s="31" t="n">
        <v>13041</v>
      </c>
      <c r="AV457" s="31" t="n">
        <v>13042</v>
      </c>
      <c r="AW457" s="31" t="n">
        <v>1</v>
      </c>
      <c r="AX457" s="31" t="n">
        <v>1</v>
      </c>
      <c r="AY457" s="31" t="n">
        <f aca="false">IF($G457="",AN457,O457)</f>
        <v>0</v>
      </c>
      <c r="AZ457" s="31" t="n">
        <f aca="false">IF($G457="",AO457,P457)</f>
        <v>0</v>
      </c>
      <c r="BA457" s="31" t="n">
        <f aca="false">IF($G457="",AP457,T457)</f>
        <v>0</v>
      </c>
      <c r="BB457" s="31" t="n">
        <f aca="false">IF($G457="",AQ457,U457)</f>
        <v>0</v>
      </c>
      <c r="BC457" s="31" t="n">
        <f aca="false">IF($G457="",AR457,V457)</f>
        <v>0</v>
      </c>
      <c r="BD457" s="31" t="n">
        <f aca="false">IF($G457="",AS457,Q457)</f>
        <v>129546</v>
      </c>
      <c r="BE457" s="31" t="n">
        <f aca="false">IF($G457="",AT457,W457)</f>
        <v>129782</v>
      </c>
      <c r="BF457" s="31" t="n">
        <f aca="false">IF($G457="",AU457,R457)</f>
        <v>13041</v>
      </c>
      <c r="BG457" s="31" t="n">
        <f aca="false">IF($G457="",AV457,X457)</f>
        <v>13042</v>
      </c>
      <c r="BH457" s="31" t="n">
        <f aca="false">IF($G457="",AW457,S457)</f>
        <v>1</v>
      </c>
      <c r="BI457" s="31" t="n">
        <f aca="false">IF($G457="",AX457,Y457)</f>
        <v>1</v>
      </c>
      <c r="BJ457" s="31" t="n">
        <f aca="false">IF(CK457="N",BR457,ROUNDDOWN((I457-L457)*設定!$B$10/1000,0)+ROUNDDOWN((I457-L457)*設定!$B$11/1000,0))</f>
        <v>0</v>
      </c>
      <c r="BK457" s="31" t="n">
        <f aca="false">ROUNDDOWN((I457-L457)*設定!$C$10/1000,0)+ROUNDDOWN((I457-L457)*設定!$C$11/1000,0)+ROUNDDOWN(I457*設定!$C$12/1000,0)+IF(CL457="市局型",ROUNDDOWN(I457*設定!$C$16/1000,0),0)</f>
        <v>0</v>
      </c>
      <c r="BL457" s="31" t="n">
        <f aca="false">IF(CK457="N",BT457,ROUNDDOWN((J457-M457)*設定!$B$13/1000,0))</f>
        <v>0</v>
      </c>
      <c r="BM457" s="31" t="n">
        <f aca="false">ROUNDDOWN((J457-M457)*設定!$C$13/1000,0)+IF(CL457="市局型",ROUNDDOWN(J457*設定!$C$17/1000,0),0)</f>
        <v>0</v>
      </c>
      <c r="BN457" s="31" t="n">
        <f aca="false">IF(CK457="N",BV457,ROUNDDOWN((K457-N457)*設定!$B$14/1000,0))</f>
        <v>0</v>
      </c>
      <c r="BO457" s="31" t="n">
        <f aca="false">ROUNDDOWN((K457-N457)*設定!$C$14/1000,0)</f>
        <v>0</v>
      </c>
      <c r="BP457" s="31" t="n">
        <f aca="false">IF(CK457="N",BX457,ROUNDDOWN((J457-M457)*設定!$B$15/1000,0))</f>
        <v>0</v>
      </c>
      <c r="BQ457" s="31" t="n">
        <f aca="false">ROUNDDOWN((J457-M457)*設定!$C$15/1000,0)</f>
        <v>0</v>
      </c>
      <c r="BR457" s="31" t="n">
        <f aca="false">O457+P457</f>
        <v>0</v>
      </c>
      <c r="BS457" s="31" t="n">
        <f aca="false">T457+U457+V457</f>
        <v>0</v>
      </c>
      <c r="BT457" s="31" t="n">
        <f aca="false">Q457</f>
        <v>0</v>
      </c>
      <c r="BU457" s="31" t="n">
        <f aca="false">W457</f>
        <v>0</v>
      </c>
      <c r="BV457" s="31" t="n">
        <f aca="false">R457</f>
        <v>0</v>
      </c>
      <c r="BW457" s="31" t="n">
        <f aca="false">X457</f>
        <v>0</v>
      </c>
      <c r="BX457" s="31" t="n">
        <f aca="false">S457</f>
        <v>0</v>
      </c>
      <c r="BY457" s="31" t="n">
        <f aca="false">Y457</f>
        <v>0</v>
      </c>
      <c r="BZ457" s="32" t="n">
        <f aca="false">IF(BJ457=0,IF(BR457=0,0,1),(BR457-BJ457)/BJ457)</f>
        <v>0</v>
      </c>
      <c r="CA457" s="32" t="n">
        <f aca="false">IF(BK457=0,IF(BS457=0,0,1),(BS457-BK457)/BK457)</f>
        <v>0</v>
      </c>
      <c r="CB457" s="32" t="n">
        <f aca="false">IF(BL457=0,IF(BT457=0,0,1),(BT457-BL457)/BL457)</f>
        <v>0</v>
      </c>
      <c r="CC457" s="32" t="n">
        <f aca="false">IF(BM457=0,IF(BU457=0,0,1),(BU457-BM457)/BM457)</f>
        <v>0</v>
      </c>
      <c r="CD457" s="32" t="n">
        <f aca="false">IF(BN457=0,IF(BV457=0,0,1),(BV457-BN457)/BN457)</f>
        <v>0</v>
      </c>
      <c r="CE457" s="32" t="n">
        <f aca="false">IF(BO457=0,IF(BW457=0,0,1),(BW457-BO457)/BO457)</f>
        <v>0</v>
      </c>
      <c r="CF457" s="32" t="n">
        <f aca="false">IF(BP457=0,IF(BX457=0,0,1),(BX457-BP457)/BP457)</f>
        <v>0</v>
      </c>
      <c r="CG457" s="32" t="n">
        <f aca="false">IF(BQ457=0,IF(BY457=0,0,1),(BY457-BQ457)/BQ457)</f>
        <v>0</v>
      </c>
      <c r="CH457" s="32" t="n">
        <f aca="false">MAX(MAX(BZ457:CG457),-MIN(BZ457:CG457))</f>
        <v>-0</v>
      </c>
      <c r="CI457" s="31" t="str">
        <f aca="false">IF(CO457="","",SUMIFS($CJ$7:$CJ$696,$A$7:$A$696,CO457,$B$7:$B$696,B457))</f>
        <v/>
      </c>
      <c r="CJ457" s="31" t="n">
        <f aca="false">SUM(AY457:BI457)</f>
        <v>285413</v>
      </c>
      <c r="CK457" s="31" t="str">
        <f aca="false">IFERROR(INDEX(設定!$F$61:$F$106,MATCH(B457,設定!$B$61:$B$106,0)),"Y")</f>
        <v>Y</v>
      </c>
      <c r="CL457" s="31" t="str">
        <f aca="false">IFERROR(INDEX(設定!$G$61:$G$106,MATCH(B457,設定!$B$61:$B$106,0)),"外郭型")</f>
        <v>外郭型</v>
      </c>
      <c r="CM457" s="33" t="str">
        <f aca="false">A457&amp;"|"&amp;B457</f>
        <v>2026-12 賞与|職員共済組合</v>
      </c>
      <c r="CN457" s="34" t="str">
        <f aca="false">IFERROR(INDEX(設定!$D$61:$D$106,MATCH(B457,設定!$B$61:$B$106,0)),"Y")</f>
        <v>N</v>
      </c>
      <c r="CO457" s="34" t="str">
        <f aca="false">IFERROR(INDEX(設定!$D$20:$D$34,MATCH(A457,設定!$A$20:$A$34,0))&amp;"","")</f>
        <v/>
      </c>
    </row>
    <row r="458" customFormat="false" ht="26.85" hidden="true" customHeight="false" outlineLevel="0" collapsed="false">
      <c r="A458" s="22" t="s">
        <v>225</v>
      </c>
      <c r="B458" s="35" t="s">
        <v>216</v>
      </c>
      <c r="C458" s="10" t="str">
        <f aca="false">IF(G458="","未受領",IF(G458="なし","報告なし",IF(AL458="○","起票済",IF(OR(AK458="○",F458="一致",F458="入金不要"),"入金確認済","受領済"))))</f>
        <v>報告なし</v>
      </c>
      <c r="D458" s="10" t="str">
        <f aca="false">IF(OR(G458="",G458="なし"),"―",IF(CN458="N","対象外",IF(AND(I458="",J458="",K458=""),"標報未入力",IF(CH458&gt;=設定!$B$4,"要確認","問題なし"))))</f>
        <v>―</v>
      </c>
      <c r="E458" s="24" t="str">
        <f aca="false">IF(OR(G458="",G458="なし",CI458="",CJ458=0),"―",IF(CJ458=CI458,"前月同額",IF(CI458=0,"―",IF(ABS(CJ458/CI458-1)&gt;=設定!$B$5,"変動大 "&amp;TEXT(CJ458/CI458-1,"+0%;-0%"),"〇"))))</f>
        <v>―</v>
      </c>
      <c r="F458" s="10" t="str">
        <f aca="false">IF(OR(G458="",G458="なし"),"―",IF(CJ458=0,"入金不要",IF(COUNT(AD458,AF458,AH458,AJ458)=0,IF(AK458="○","手動確認","未入金"),IF(AND(N(AD458)=AC458,IF(AE458="",TRUE(),N(AF458)=AE458),IF(AG458="",TRUE(),N(AH458)=AG458),IF(AI458="",TRUE(),N(AJ458)=AI458)),"一致","不一致"))))</f>
        <v>―</v>
      </c>
      <c r="G458" s="25" t="s">
        <v>181</v>
      </c>
      <c r="H458" s="26"/>
      <c r="I458" s="27"/>
      <c r="J458" s="27"/>
      <c r="K458" s="27"/>
      <c r="L458" s="27"/>
      <c r="M458" s="27"/>
      <c r="N458" s="27"/>
      <c r="O458" s="27"/>
      <c r="P458" s="27"/>
      <c r="Q458" s="27"/>
      <c r="R458" s="27"/>
      <c r="S458" s="27"/>
      <c r="T458" s="27"/>
      <c r="U458" s="27"/>
      <c r="V458" s="27"/>
      <c r="W458" s="27"/>
      <c r="X458" s="27"/>
      <c r="Y458" s="27"/>
      <c r="Z458" s="27"/>
      <c r="AA458" s="10" t="str">
        <f aca="false">IFERROR(INDEX(設定!$E$61:$E$106,MATCH(B458,設定!$B$61:$B$106,0)),"合算")</f>
        <v>合算</v>
      </c>
      <c r="AB458" s="28"/>
      <c r="AC458" s="29" t="str">
        <f aca="false">IF(OR(G458="",G458="なし"),"",IF(AA458="合算",CJ458+N(Z458),IF(AA458="掛金・負担金別",(AY458+AZ458+BD458+BF458+BH458),SUM(AY458:BC458))))</f>
        <v/>
      </c>
      <c r="AD458" s="27"/>
      <c r="AE458" s="29" t="str">
        <f aca="false">IF(OR(G458="",G458="なし"),"",IF(AA458="掛金・負担金別",(BA458+BB458+BC458+BE458+BG458+BI458+N(Z458)),IF(AA458="経理区分別",BD458+BE458,"")))</f>
        <v/>
      </c>
      <c r="AF458" s="27"/>
      <c r="AG458" s="29" t="str">
        <f aca="false">IF(OR(G458="",G458="なし"),"",IF(AA458="経理区分別",BF458+BG458,""))</f>
        <v/>
      </c>
      <c r="AH458" s="27"/>
      <c r="AI458" s="29" t="str">
        <f aca="false">IF(OR(G458="",G458="なし"),"",IF(AA458="経理区分別",BH458+BI458+N(Z458),""))</f>
        <v/>
      </c>
      <c r="AJ458" s="27"/>
      <c r="AK458" s="26"/>
      <c r="AL458" s="26"/>
      <c r="AM458" s="30"/>
      <c r="AN458" s="31"/>
      <c r="AO458" s="31"/>
      <c r="AP458" s="31"/>
      <c r="AQ458" s="31"/>
      <c r="AR458" s="31"/>
      <c r="AS458" s="31"/>
      <c r="AT458" s="31"/>
      <c r="AU458" s="31"/>
      <c r="AV458" s="31"/>
      <c r="AW458" s="31"/>
      <c r="AX458" s="31"/>
      <c r="AY458" s="31" t="n">
        <f aca="false">IF($G458="",AN458,O458)</f>
        <v>0</v>
      </c>
      <c r="AZ458" s="31" t="n">
        <f aca="false">IF($G458="",AO458,P458)</f>
        <v>0</v>
      </c>
      <c r="BA458" s="31" t="n">
        <f aca="false">IF($G458="",AP458,T458)</f>
        <v>0</v>
      </c>
      <c r="BB458" s="31" t="n">
        <f aca="false">IF($G458="",AQ458,U458)</f>
        <v>0</v>
      </c>
      <c r="BC458" s="31" t="n">
        <f aca="false">IF($G458="",AR458,V458)</f>
        <v>0</v>
      </c>
      <c r="BD458" s="31" t="n">
        <f aca="false">IF($G458="",AS458,Q458)</f>
        <v>0</v>
      </c>
      <c r="BE458" s="31" t="n">
        <f aca="false">IF($G458="",AT458,W458)</f>
        <v>0</v>
      </c>
      <c r="BF458" s="31" t="n">
        <f aca="false">IF($G458="",AU458,R458)</f>
        <v>0</v>
      </c>
      <c r="BG458" s="31" t="n">
        <f aca="false">IF($G458="",AV458,X458)</f>
        <v>0</v>
      </c>
      <c r="BH458" s="31" t="n">
        <f aca="false">IF($G458="",AW458,S458)</f>
        <v>0</v>
      </c>
      <c r="BI458" s="31" t="n">
        <f aca="false">IF($G458="",AX458,Y458)</f>
        <v>0</v>
      </c>
      <c r="BJ458" s="31" t="n">
        <f aca="false">IF(CK458="N",BR458,ROUNDDOWN((I458-L458)*設定!$B$10/1000,0)+ROUNDDOWN((I458-L458)*設定!$B$11/1000,0))</f>
        <v>0</v>
      </c>
      <c r="BK458" s="31" t="n">
        <f aca="false">ROUNDDOWN((I458-L458)*設定!$C$10/1000,0)+ROUNDDOWN((I458-L458)*設定!$C$11/1000,0)+ROUNDDOWN(I458*設定!$C$12/1000,0)+IF(CL458="市局型",ROUNDDOWN(I458*設定!$C$16/1000,0),0)</f>
        <v>0</v>
      </c>
      <c r="BL458" s="31" t="n">
        <f aca="false">IF(CK458="N",BT458,ROUNDDOWN((J458-M458)*設定!$B$13/1000,0))</f>
        <v>0</v>
      </c>
      <c r="BM458" s="31" t="n">
        <f aca="false">ROUNDDOWN((J458-M458)*設定!$C$13/1000,0)+IF(CL458="市局型",ROUNDDOWN(J458*設定!$C$17/1000,0),0)</f>
        <v>0</v>
      </c>
      <c r="BN458" s="31" t="n">
        <f aca="false">IF(CK458="N",BV458,ROUNDDOWN((K458-N458)*設定!$B$14/1000,0))</f>
        <v>0</v>
      </c>
      <c r="BO458" s="31" t="n">
        <f aca="false">ROUNDDOWN((K458-N458)*設定!$C$14/1000,0)</f>
        <v>0</v>
      </c>
      <c r="BP458" s="31" t="n">
        <f aca="false">IF(CK458="N",BX458,ROUNDDOWN((J458-M458)*設定!$B$15/1000,0))</f>
        <v>0</v>
      </c>
      <c r="BQ458" s="31" t="n">
        <f aca="false">ROUNDDOWN((J458-M458)*設定!$C$15/1000,0)</f>
        <v>0</v>
      </c>
      <c r="BR458" s="31" t="n">
        <f aca="false">O458+P458</f>
        <v>0</v>
      </c>
      <c r="BS458" s="31" t="n">
        <f aca="false">T458+U458+V458</f>
        <v>0</v>
      </c>
      <c r="BT458" s="31" t="n">
        <f aca="false">Q458</f>
        <v>0</v>
      </c>
      <c r="BU458" s="31" t="n">
        <f aca="false">W458</f>
        <v>0</v>
      </c>
      <c r="BV458" s="31" t="n">
        <f aca="false">R458</f>
        <v>0</v>
      </c>
      <c r="BW458" s="31" t="n">
        <f aca="false">X458</f>
        <v>0</v>
      </c>
      <c r="BX458" s="31" t="n">
        <f aca="false">S458</f>
        <v>0</v>
      </c>
      <c r="BY458" s="31" t="n">
        <f aca="false">Y458</f>
        <v>0</v>
      </c>
      <c r="BZ458" s="32" t="n">
        <f aca="false">IF(BJ458=0,IF(BR458=0,0,1),(BR458-BJ458)/BJ458)</f>
        <v>0</v>
      </c>
      <c r="CA458" s="32" t="n">
        <f aca="false">IF(BK458=0,IF(BS458=0,0,1),(BS458-BK458)/BK458)</f>
        <v>0</v>
      </c>
      <c r="CB458" s="32" t="n">
        <f aca="false">IF(BL458=0,IF(BT458=0,0,1),(BT458-BL458)/BL458)</f>
        <v>0</v>
      </c>
      <c r="CC458" s="32" t="n">
        <f aca="false">IF(BM458=0,IF(BU458=0,0,1),(BU458-BM458)/BM458)</f>
        <v>0</v>
      </c>
      <c r="CD458" s="32" t="n">
        <f aca="false">IF(BN458=0,IF(BV458=0,0,1),(BV458-BN458)/BN458)</f>
        <v>0</v>
      </c>
      <c r="CE458" s="32" t="n">
        <f aca="false">IF(BO458=0,IF(BW458=0,0,1),(BW458-BO458)/BO458)</f>
        <v>0</v>
      </c>
      <c r="CF458" s="32" t="n">
        <f aca="false">IF(BP458=0,IF(BX458=0,0,1),(BX458-BP458)/BP458)</f>
        <v>0</v>
      </c>
      <c r="CG458" s="32" t="n">
        <f aca="false">IF(BQ458=0,IF(BY458=0,0,1),(BY458-BQ458)/BQ458)</f>
        <v>0</v>
      </c>
      <c r="CH458" s="32" t="n">
        <f aca="false">MAX(MAX(BZ458:CG458),-MIN(BZ458:CG458))</f>
        <v>-0</v>
      </c>
      <c r="CI458" s="31" t="str">
        <f aca="false">IF(CO458="","",SUMIFS($CJ$7:$CJ$696,$A$7:$A$696,CO458,$B$7:$B$696,B458))</f>
        <v/>
      </c>
      <c r="CJ458" s="31" t="n">
        <f aca="false">SUM(AY458:BI458)</f>
        <v>0</v>
      </c>
      <c r="CK458" s="31" t="str">
        <f aca="false">IFERROR(INDEX(設定!$F$61:$F$106,MATCH(B458,設定!$B$61:$B$106,0)),"Y")</f>
        <v>N</v>
      </c>
      <c r="CL458" s="31" t="str">
        <f aca="false">IFERROR(INDEX(設定!$G$61:$G$106,MATCH(B458,設定!$B$61:$B$106,0)),"外郭型")</f>
        <v>外郭型</v>
      </c>
      <c r="CM458" s="36" t="str">
        <f aca="false">A458&amp;"|"&amp;B458</f>
        <v>2026-12 賞与|地方公共団体
情報システム機構</v>
      </c>
      <c r="CN458" s="34" t="str">
        <f aca="false">IFERROR(INDEX(設定!$D$61:$D$106,MATCH(B458,設定!$B$61:$B$106,0)),"Y")</f>
        <v>Y</v>
      </c>
      <c r="CO458" s="34" t="str">
        <f aca="false">IFERROR(INDEX(設定!$D$20:$D$34,MATCH(A458,設定!$A$20:$A$34,0))&amp;"","")</f>
        <v/>
      </c>
    </row>
    <row r="459" customFormat="false" ht="15" hidden="true" customHeight="false" outlineLevel="0" collapsed="false">
      <c r="A459" s="22" t="s">
        <v>225</v>
      </c>
      <c r="B459" s="23" t="s">
        <v>207</v>
      </c>
      <c r="C459" s="10" t="str">
        <f aca="false">IF(G459="","未受領",IF(G459="なし","報告なし",IF(AL459="○","起票済",IF(OR(AK459="○",F459="一致",F459="入金不要"),"入金確認済","受領済"))))</f>
        <v>未受領</v>
      </c>
      <c r="D459" s="10" t="str">
        <f aca="false">IF(OR(G459="",G459="なし"),"―",IF(CN459="N","対象外",IF(AND(I459="",J459="",K459=""),"標報未入力",IF(CH459&gt;=設定!$B$4,"要確認","問題なし"))))</f>
        <v>―</v>
      </c>
      <c r="E459" s="24" t="str">
        <f aca="false">IF(OR(G459="",G459="なし",CI459="",CJ459=0),"―",IF(CJ459=CI459,"前月同額",IF(CI459=0,"―",IF(ABS(CJ459/CI459-1)&gt;=設定!$B$5,"変動大 "&amp;TEXT(CJ459/CI459-1,"+0%;-0%"),"〇"))))</f>
        <v>―</v>
      </c>
      <c r="F459" s="10" t="str">
        <f aca="false">IF(OR(G459="",G459="なし"),"―",IF(CJ459=0,"入金不要",IF(COUNT(AD459,AF459,AH459,AJ459)=0,IF(AK459="○","手動確認","未入金"),IF(AND(N(AD459)=AC459,IF(AE459="",TRUE(),N(AF459)=AE459),IF(AG459="",TRUE(),N(AH459)=AG459),IF(AI459="",TRUE(),N(AJ459)=AI459)),"一致","不一致"))))</f>
        <v>―</v>
      </c>
      <c r="G459" s="25"/>
      <c r="H459" s="26"/>
      <c r="I459" s="27"/>
      <c r="J459" s="27"/>
      <c r="K459" s="27"/>
      <c r="L459" s="27"/>
      <c r="M459" s="27"/>
      <c r="N459" s="27"/>
      <c r="O459" s="27"/>
      <c r="P459" s="27"/>
      <c r="Q459" s="27"/>
      <c r="R459" s="27"/>
      <c r="S459" s="27"/>
      <c r="T459" s="27"/>
      <c r="U459" s="27"/>
      <c r="V459" s="27"/>
      <c r="W459" s="27"/>
      <c r="X459" s="27"/>
      <c r="Y459" s="27"/>
      <c r="Z459" s="27"/>
      <c r="AA459" s="10" t="str">
        <f aca="false">IFERROR(INDEX(設定!$E$61:$E$106,MATCH(B459,設定!$B$61:$B$106,0)),"合算")</f>
        <v>合算</v>
      </c>
      <c r="AB459" s="28"/>
      <c r="AC459" s="29" t="str">
        <f aca="false">IF(OR(G459="",G459="なし"),"",IF(AA459="合算",CJ459+N(Z459),IF(AA459="掛金・負担金別",(AY459+AZ459+BD459+BF459+BH459),SUM(AY459:BC459))))</f>
        <v/>
      </c>
      <c r="AD459" s="27"/>
      <c r="AE459" s="29" t="str">
        <f aca="false">IF(OR(G459="",G459="なし"),"",IF(AA459="掛金・負担金別",(BA459+BB459+BC459+BE459+BG459+BI459+N(Z459)),IF(AA459="経理区分別",BD459+BE459,"")))</f>
        <v/>
      </c>
      <c r="AF459" s="27"/>
      <c r="AG459" s="29" t="str">
        <f aca="false">IF(OR(G459="",G459="なし"),"",IF(AA459="経理区分別",BF459+BG459,""))</f>
        <v/>
      </c>
      <c r="AH459" s="27"/>
      <c r="AI459" s="29" t="str">
        <f aca="false">IF(OR(G459="",G459="なし"),"",IF(AA459="経理区分別",BH459+BI459+N(Z459),""))</f>
        <v/>
      </c>
      <c r="AJ459" s="27"/>
      <c r="AK459" s="26"/>
      <c r="AL459" s="26"/>
      <c r="AM459" s="30"/>
      <c r="AN459" s="31" t="n">
        <v>137250</v>
      </c>
      <c r="AO459" s="31" t="n">
        <v>11250</v>
      </c>
      <c r="AP459" s="31" t="n">
        <v>137250</v>
      </c>
      <c r="AQ459" s="31" t="n">
        <v>11250</v>
      </c>
      <c r="AR459" s="31" t="n">
        <v>140</v>
      </c>
      <c r="AS459" s="31" t="n">
        <v>103253</v>
      </c>
      <c r="AT459" s="31" t="n">
        <v>103441</v>
      </c>
      <c r="AU459" s="31" t="n">
        <v>14828</v>
      </c>
      <c r="AV459" s="31" t="n">
        <v>14828</v>
      </c>
      <c r="AW459" s="31" t="n">
        <v>1</v>
      </c>
      <c r="AX459" s="31" t="n">
        <v>1</v>
      </c>
      <c r="AY459" s="31" t="n">
        <f aca="false">IF($G459="",AN459,O459)</f>
        <v>137250</v>
      </c>
      <c r="AZ459" s="31" t="n">
        <f aca="false">IF($G459="",AO459,P459)</f>
        <v>11250</v>
      </c>
      <c r="BA459" s="31" t="n">
        <f aca="false">IF($G459="",AP459,T459)</f>
        <v>137250</v>
      </c>
      <c r="BB459" s="31" t="n">
        <f aca="false">IF($G459="",AQ459,U459)</f>
        <v>11250</v>
      </c>
      <c r="BC459" s="31" t="n">
        <f aca="false">IF($G459="",AR459,V459)</f>
        <v>140</v>
      </c>
      <c r="BD459" s="31" t="n">
        <f aca="false">IF($G459="",AS459,Q459)</f>
        <v>103253</v>
      </c>
      <c r="BE459" s="31" t="n">
        <f aca="false">IF($G459="",AT459,W459)</f>
        <v>103441</v>
      </c>
      <c r="BF459" s="31" t="n">
        <f aca="false">IF($G459="",AU459,R459)</f>
        <v>14828</v>
      </c>
      <c r="BG459" s="31" t="n">
        <f aca="false">IF($G459="",AV459,X459)</f>
        <v>14828</v>
      </c>
      <c r="BH459" s="31" t="n">
        <f aca="false">IF($G459="",AW459,S459)</f>
        <v>1</v>
      </c>
      <c r="BI459" s="31" t="n">
        <f aca="false">IF($G459="",AX459,Y459)</f>
        <v>1</v>
      </c>
      <c r="BJ459" s="31" t="n">
        <f aca="false">IF(CK459="N",BR459,ROUNDDOWN((I459-L459)*設定!$B$10/1000,0)+ROUNDDOWN((I459-L459)*設定!$B$11/1000,0))</f>
        <v>0</v>
      </c>
      <c r="BK459" s="31" t="n">
        <f aca="false">ROUNDDOWN((I459-L459)*設定!$C$10/1000,0)+ROUNDDOWN((I459-L459)*設定!$C$11/1000,0)+ROUNDDOWN(I459*設定!$C$12/1000,0)+IF(CL459="市局型",ROUNDDOWN(I459*設定!$C$16/1000,0),0)</f>
        <v>0</v>
      </c>
      <c r="BL459" s="31" t="n">
        <f aca="false">IF(CK459="N",BT459,ROUNDDOWN((J459-M459)*設定!$B$13/1000,0))</f>
        <v>0</v>
      </c>
      <c r="BM459" s="31" t="n">
        <f aca="false">ROUNDDOWN((J459-M459)*設定!$C$13/1000,0)+IF(CL459="市局型",ROUNDDOWN(J459*設定!$C$17/1000,0),0)</f>
        <v>0</v>
      </c>
      <c r="BN459" s="31" t="n">
        <f aca="false">IF(CK459="N",BV459,ROUNDDOWN((K459-N459)*設定!$B$14/1000,0))</f>
        <v>0</v>
      </c>
      <c r="BO459" s="31" t="n">
        <f aca="false">ROUNDDOWN((K459-N459)*設定!$C$14/1000,0)</f>
        <v>0</v>
      </c>
      <c r="BP459" s="31" t="n">
        <f aca="false">IF(CK459="N",BX459,ROUNDDOWN((J459-M459)*設定!$B$15/1000,0))</f>
        <v>0</v>
      </c>
      <c r="BQ459" s="31" t="n">
        <f aca="false">ROUNDDOWN((J459-M459)*設定!$C$15/1000,0)</f>
        <v>0</v>
      </c>
      <c r="BR459" s="31" t="n">
        <f aca="false">O459+P459</f>
        <v>0</v>
      </c>
      <c r="BS459" s="31" t="n">
        <f aca="false">T459+U459+V459</f>
        <v>0</v>
      </c>
      <c r="BT459" s="31" t="n">
        <f aca="false">Q459</f>
        <v>0</v>
      </c>
      <c r="BU459" s="31" t="n">
        <f aca="false">W459</f>
        <v>0</v>
      </c>
      <c r="BV459" s="31" t="n">
        <f aca="false">R459</f>
        <v>0</v>
      </c>
      <c r="BW459" s="31" t="n">
        <f aca="false">X459</f>
        <v>0</v>
      </c>
      <c r="BX459" s="31" t="n">
        <f aca="false">S459</f>
        <v>0</v>
      </c>
      <c r="BY459" s="31" t="n">
        <f aca="false">Y459</f>
        <v>0</v>
      </c>
      <c r="BZ459" s="32" t="n">
        <f aca="false">IF(BJ459=0,IF(BR459=0,0,1),(BR459-BJ459)/BJ459)</f>
        <v>0</v>
      </c>
      <c r="CA459" s="32" t="n">
        <f aca="false">IF(BK459=0,IF(BS459=0,0,1),(BS459-BK459)/BK459)</f>
        <v>0</v>
      </c>
      <c r="CB459" s="32" t="n">
        <f aca="false">IF(BL459=0,IF(BT459=0,0,1),(BT459-BL459)/BL459)</f>
        <v>0</v>
      </c>
      <c r="CC459" s="32" t="n">
        <f aca="false">IF(BM459=0,IF(BU459=0,0,1),(BU459-BM459)/BM459)</f>
        <v>0</v>
      </c>
      <c r="CD459" s="32" t="n">
        <f aca="false">IF(BN459=0,IF(BV459=0,0,1),(BV459-BN459)/BN459)</f>
        <v>0</v>
      </c>
      <c r="CE459" s="32" t="n">
        <f aca="false">IF(BO459=0,IF(BW459=0,0,1),(BW459-BO459)/BO459)</f>
        <v>0</v>
      </c>
      <c r="CF459" s="32" t="n">
        <f aca="false">IF(BP459=0,IF(BX459=0,0,1),(BX459-BP459)/BP459)</f>
        <v>0</v>
      </c>
      <c r="CG459" s="32" t="n">
        <f aca="false">IF(BQ459=0,IF(BY459=0,0,1),(BY459-BQ459)/BQ459)</f>
        <v>0</v>
      </c>
      <c r="CH459" s="32" t="n">
        <f aca="false">MAX(MAX(BZ459:CG459),-MIN(BZ459:CG459))</f>
        <v>-0</v>
      </c>
      <c r="CI459" s="31" t="str">
        <f aca="false">IF(CO459="","",SUMIFS($CJ$7:$CJ$696,$A$7:$A$696,CO459,$B$7:$B$696,B459))</f>
        <v/>
      </c>
      <c r="CJ459" s="31" t="n">
        <f aca="false">SUM(AY459:BI459)</f>
        <v>533492</v>
      </c>
      <c r="CK459" s="31" t="str">
        <f aca="false">IFERROR(INDEX(設定!$F$61:$F$106,MATCH(B459,設定!$B$61:$B$106,0)),"Y")</f>
        <v>Y</v>
      </c>
      <c r="CL459" s="31" t="str">
        <f aca="false">IFERROR(INDEX(設定!$G$61:$G$106,MATCH(B459,設定!$B$61:$B$106,0)),"外郭型")</f>
        <v>外郭型</v>
      </c>
      <c r="CM459" s="33" t="str">
        <f aca="false">A459&amp;"|"&amp;B459</f>
        <v>2026-12 賞与|全国市長会</v>
      </c>
      <c r="CN459" s="34" t="str">
        <f aca="false">IFERROR(INDEX(設定!$D$61:$D$106,MATCH(B459,設定!$B$61:$B$106,0)),"Y")</f>
        <v>Y</v>
      </c>
      <c r="CO459" s="34" t="str">
        <f aca="false">IFERROR(INDEX(設定!$D$20:$D$34,MATCH(A459,設定!$A$20:$A$34,0))&amp;"","")</f>
        <v/>
      </c>
    </row>
    <row r="460" customFormat="false" ht="15" hidden="true" customHeight="false" outlineLevel="0" collapsed="false">
      <c r="A460" s="22" t="s">
        <v>225</v>
      </c>
      <c r="B460" s="23" t="s">
        <v>208</v>
      </c>
      <c r="C460" s="10" t="str">
        <f aca="false">IF(G460="","未受領",IF(G460="なし","報告なし",IF(AL460="○","起票済",IF(OR(AK460="○",F460="一致",F460="入金不要"),"入金確認済","受領済"))))</f>
        <v>未受領</v>
      </c>
      <c r="D460" s="10" t="str">
        <f aca="false">IF(OR(G460="",G460="なし"),"―",IF(CN460="N","対象外",IF(AND(I460="",J460="",K460=""),"標報未入力",IF(CH460&gt;=設定!$B$4,"要確認","問題なし"))))</f>
        <v>―</v>
      </c>
      <c r="E460" s="24" t="str">
        <f aca="false">IF(OR(G460="",G460="なし",CI460="",CJ460=0),"―",IF(CJ460=CI460,"前月同額",IF(CI460=0,"―",IF(ABS(CJ460/CI460-1)&gt;=設定!$B$5,"変動大 "&amp;TEXT(CJ460/CI460-1,"+0%;-0%"),"〇"))))</f>
        <v>―</v>
      </c>
      <c r="F460" s="10" t="str">
        <f aca="false">IF(OR(G460="",G460="なし"),"―",IF(CJ460=0,"入金不要",IF(COUNT(AD460,AF460,AH460,AJ460)=0,IF(AK460="○","手動確認","未入金"),IF(AND(N(AD460)=AC460,IF(AE460="",TRUE(),N(AF460)=AE460),IF(AG460="",TRUE(),N(AH460)=AG460),IF(AI460="",TRUE(),N(AJ460)=AI460)),"一致","不一致"))))</f>
        <v>―</v>
      </c>
      <c r="G460" s="25"/>
      <c r="H460" s="26"/>
      <c r="I460" s="27"/>
      <c r="J460" s="27"/>
      <c r="K460" s="27"/>
      <c r="L460" s="27"/>
      <c r="M460" s="27"/>
      <c r="N460" s="27"/>
      <c r="O460" s="27"/>
      <c r="P460" s="27"/>
      <c r="Q460" s="27"/>
      <c r="R460" s="27"/>
      <c r="S460" s="27"/>
      <c r="T460" s="27"/>
      <c r="U460" s="27"/>
      <c r="V460" s="27"/>
      <c r="W460" s="27"/>
      <c r="X460" s="27"/>
      <c r="Y460" s="27"/>
      <c r="Z460" s="27"/>
      <c r="AA460" s="10" t="str">
        <f aca="false">IFERROR(INDEX(設定!$E$61:$E$106,MATCH(B460,設定!$B$61:$B$106,0)),"合算")</f>
        <v>合算</v>
      </c>
      <c r="AB460" s="28"/>
      <c r="AC460" s="29" t="str">
        <f aca="false">IF(OR(G460="",G460="なし"),"",IF(AA460="合算",CJ460+N(Z460),IF(AA460="掛金・負担金別",(AY460+AZ460+BD460+BF460+BH460),SUM(AY460:BC460))))</f>
        <v/>
      </c>
      <c r="AD460" s="27"/>
      <c r="AE460" s="29" t="str">
        <f aca="false">IF(OR(G460="",G460="なし"),"",IF(AA460="掛金・負担金別",(BA460+BB460+BC460+BE460+BG460+BI460+N(Z460)),IF(AA460="経理区分別",BD460+BE460,"")))</f>
        <v/>
      </c>
      <c r="AF460" s="27"/>
      <c r="AG460" s="29" t="str">
        <f aca="false">IF(OR(G460="",G460="なし"),"",IF(AA460="経理区分別",BF460+BG460,""))</f>
        <v/>
      </c>
      <c r="AH460" s="27"/>
      <c r="AI460" s="29" t="str">
        <f aca="false">IF(OR(G460="",G460="なし"),"",IF(AA460="経理区分別",BH460+BI460+N(Z460),""))</f>
        <v/>
      </c>
      <c r="AJ460" s="27"/>
      <c r="AK460" s="26"/>
      <c r="AL460" s="26"/>
      <c r="AM460" s="30"/>
      <c r="AN460" s="31" t="n">
        <v>293806</v>
      </c>
      <c r="AO460" s="31" t="n">
        <v>24082</v>
      </c>
      <c r="AP460" s="31" t="n">
        <v>293807</v>
      </c>
      <c r="AQ460" s="31" t="n">
        <v>24082</v>
      </c>
      <c r="AR460" s="31" t="n">
        <v>301</v>
      </c>
      <c r="AS460" s="31"/>
      <c r="AT460" s="31"/>
      <c r="AU460" s="31"/>
      <c r="AV460" s="31"/>
      <c r="AW460" s="31"/>
      <c r="AX460" s="31"/>
      <c r="AY460" s="31" t="n">
        <f aca="false">IF($G460="",AN460,O460)</f>
        <v>293806</v>
      </c>
      <c r="AZ460" s="31" t="n">
        <f aca="false">IF($G460="",AO460,P460)</f>
        <v>24082</v>
      </c>
      <c r="BA460" s="31" t="n">
        <f aca="false">IF($G460="",AP460,T460)</f>
        <v>293807</v>
      </c>
      <c r="BB460" s="31" t="n">
        <f aca="false">IF($G460="",AQ460,U460)</f>
        <v>24082</v>
      </c>
      <c r="BC460" s="31" t="n">
        <f aca="false">IF($G460="",AR460,V460)</f>
        <v>301</v>
      </c>
      <c r="BD460" s="31" t="n">
        <f aca="false">IF($G460="",AS460,Q460)</f>
        <v>0</v>
      </c>
      <c r="BE460" s="31" t="n">
        <f aca="false">IF($G460="",AT460,W460)</f>
        <v>0</v>
      </c>
      <c r="BF460" s="31" t="n">
        <f aca="false">IF($G460="",AU460,R460)</f>
        <v>0</v>
      </c>
      <c r="BG460" s="31" t="n">
        <f aca="false">IF($G460="",AV460,X460)</f>
        <v>0</v>
      </c>
      <c r="BH460" s="31" t="n">
        <f aca="false">IF($G460="",AW460,S460)</f>
        <v>0</v>
      </c>
      <c r="BI460" s="31" t="n">
        <f aca="false">IF($G460="",AX460,Y460)</f>
        <v>0</v>
      </c>
      <c r="BJ460" s="31" t="n">
        <f aca="false">IF(CK460="N",BR460,ROUNDDOWN((I460-L460)*設定!$B$10/1000,0)+ROUNDDOWN((I460-L460)*設定!$B$11/1000,0))</f>
        <v>0</v>
      </c>
      <c r="BK460" s="31" t="n">
        <f aca="false">ROUNDDOWN((I460-L460)*設定!$C$10/1000,0)+ROUNDDOWN((I460-L460)*設定!$C$11/1000,0)+ROUNDDOWN(I460*設定!$C$12/1000,0)+IF(CL460="市局型",ROUNDDOWN(I460*設定!$C$16/1000,0),0)</f>
        <v>0</v>
      </c>
      <c r="BL460" s="31" t="n">
        <f aca="false">IF(CK460="N",BT460,ROUNDDOWN((J460-M460)*設定!$B$13/1000,0))</f>
        <v>0</v>
      </c>
      <c r="BM460" s="31" t="n">
        <f aca="false">ROUNDDOWN((J460-M460)*設定!$C$13/1000,0)+IF(CL460="市局型",ROUNDDOWN(J460*設定!$C$17/1000,0),0)</f>
        <v>0</v>
      </c>
      <c r="BN460" s="31" t="n">
        <f aca="false">IF(CK460="N",BV460,ROUNDDOWN((K460-N460)*設定!$B$14/1000,0))</f>
        <v>0</v>
      </c>
      <c r="BO460" s="31" t="n">
        <f aca="false">ROUNDDOWN((K460-N460)*設定!$C$14/1000,0)</f>
        <v>0</v>
      </c>
      <c r="BP460" s="31" t="n">
        <f aca="false">IF(CK460="N",BX460,ROUNDDOWN((J460-M460)*設定!$B$15/1000,0))</f>
        <v>0</v>
      </c>
      <c r="BQ460" s="31" t="n">
        <f aca="false">ROUNDDOWN((J460-M460)*設定!$C$15/1000,0)</f>
        <v>0</v>
      </c>
      <c r="BR460" s="31" t="n">
        <f aca="false">O460+P460</f>
        <v>0</v>
      </c>
      <c r="BS460" s="31" t="n">
        <f aca="false">T460+U460+V460</f>
        <v>0</v>
      </c>
      <c r="BT460" s="31" t="n">
        <f aca="false">Q460</f>
        <v>0</v>
      </c>
      <c r="BU460" s="31" t="n">
        <f aca="false">W460</f>
        <v>0</v>
      </c>
      <c r="BV460" s="31" t="n">
        <f aca="false">R460</f>
        <v>0</v>
      </c>
      <c r="BW460" s="31" t="n">
        <f aca="false">X460</f>
        <v>0</v>
      </c>
      <c r="BX460" s="31" t="n">
        <f aca="false">S460</f>
        <v>0</v>
      </c>
      <c r="BY460" s="31" t="n">
        <f aca="false">Y460</f>
        <v>0</v>
      </c>
      <c r="BZ460" s="32" t="n">
        <f aca="false">IF(BJ460=0,IF(BR460=0,0,1),(BR460-BJ460)/BJ460)</f>
        <v>0</v>
      </c>
      <c r="CA460" s="32" t="n">
        <f aca="false">IF(BK460=0,IF(BS460=0,0,1),(BS460-BK460)/BK460)</f>
        <v>0</v>
      </c>
      <c r="CB460" s="32" t="n">
        <f aca="false">IF(BL460=0,IF(BT460=0,0,1),(BT460-BL460)/BL460)</f>
        <v>0</v>
      </c>
      <c r="CC460" s="32" t="n">
        <f aca="false">IF(BM460=0,IF(BU460=0,0,1),(BU460-BM460)/BM460)</f>
        <v>0</v>
      </c>
      <c r="CD460" s="32" t="n">
        <f aca="false">IF(BN460=0,IF(BV460=0,0,1),(BV460-BN460)/BN460)</f>
        <v>0</v>
      </c>
      <c r="CE460" s="32" t="n">
        <f aca="false">IF(BO460=0,IF(BW460=0,0,1),(BW460-BO460)/BO460)</f>
        <v>0</v>
      </c>
      <c r="CF460" s="32" t="n">
        <f aca="false">IF(BP460=0,IF(BX460=0,0,1),(BX460-BP460)/BP460)</f>
        <v>0</v>
      </c>
      <c r="CG460" s="32" t="n">
        <f aca="false">IF(BQ460=0,IF(BY460=0,0,1),(BY460-BQ460)/BQ460)</f>
        <v>0</v>
      </c>
      <c r="CH460" s="32" t="n">
        <f aca="false">MAX(MAX(BZ460:CG460),-MIN(BZ460:CG460))</f>
        <v>-0</v>
      </c>
      <c r="CI460" s="31" t="str">
        <f aca="false">IF(CO460="","",SUMIFS($CJ$7:$CJ$696,$A$7:$A$696,CO460,$B$7:$B$696,B460))</f>
        <v/>
      </c>
      <c r="CJ460" s="31" t="n">
        <f aca="false">SUM(AY460:BI460)</f>
        <v>636078</v>
      </c>
      <c r="CK460" s="31" t="str">
        <f aca="false">IFERROR(INDEX(設定!$F$61:$F$106,MATCH(B460,設定!$B$61:$B$106,0)),"Y")</f>
        <v>Y</v>
      </c>
      <c r="CL460" s="31" t="str">
        <f aca="false">IFERROR(INDEX(設定!$G$61:$G$106,MATCH(B460,設定!$B$61:$B$106,0)),"外郭型")</f>
        <v>外郭型</v>
      </c>
      <c r="CM460" s="33" t="str">
        <f aca="false">A460&amp;"|"&amp;B460</f>
        <v>2026-12 賞与|高速交通（株）</v>
      </c>
      <c r="CN460" s="34" t="str">
        <f aca="false">IFERROR(INDEX(設定!$D$61:$D$106,MATCH(B460,設定!$B$61:$B$106,0)),"Y")</f>
        <v>Y</v>
      </c>
      <c r="CO460" s="34" t="str">
        <f aca="false">IFERROR(INDEX(設定!$D$20:$D$34,MATCH(A460,設定!$A$20:$A$34,0))&amp;"","")</f>
        <v/>
      </c>
    </row>
    <row r="461" customFormat="false" ht="15" hidden="true" customHeight="false" outlineLevel="0" collapsed="false">
      <c r="A461" s="22" t="s">
        <v>225</v>
      </c>
      <c r="B461" s="23" t="s">
        <v>209</v>
      </c>
      <c r="C461" s="10" t="str">
        <f aca="false">IF(G461="","未受領",IF(G461="なし","報告なし",IF(AL461="○","起票済",IF(OR(AK461="○",F461="一致",F461="入金不要"),"入金確認済","受領済"))))</f>
        <v>未受領</v>
      </c>
      <c r="D461" s="10" t="str">
        <f aca="false">IF(OR(G461="",G461="なし"),"―",IF(CN461="N","対象外",IF(AND(I461="",J461="",K461=""),"標報未入力",IF(CH461&gt;=設定!$B$4,"要確認","問題なし"))))</f>
        <v>―</v>
      </c>
      <c r="E461" s="24" t="str">
        <f aca="false">IF(OR(G461="",G461="なし",CI461="",CJ461=0),"―",IF(CJ461=CI461,"前月同額",IF(CI461=0,"―",IF(ABS(CJ461/CI461-1)&gt;=設定!$B$5,"変動大 "&amp;TEXT(CJ461/CI461-1,"+0%;-0%"),"〇"))))</f>
        <v>―</v>
      </c>
      <c r="F461" s="10" t="str">
        <f aca="false">IF(OR(G461="",G461="なし"),"―",IF(CJ461=0,"入金不要",IF(COUNT(AD461,AF461,AH461,AJ461)=0,IF(AK461="○","手動確認","未入金"),IF(AND(N(AD461)=AC461,IF(AE461="",TRUE(),N(AF461)=AE461),IF(AG461="",TRUE(),N(AH461)=AG461),IF(AI461="",TRUE(),N(AJ461)=AI461)),"一致","不一致"))))</f>
        <v>―</v>
      </c>
      <c r="G461" s="25"/>
      <c r="H461" s="26"/>
      <c r="I461" s="27"/>
      <c r="J461" s="27"/>
      <c r="K461" s="27"/>
      <c r="L461" s="27"/>
      <c r="M461" s="27"/>
      <c r="N461" s="27"/>
      <c r="O461" s="27"/>
      <c r="P461" s="27"/>
      <c r="Q461" s="27"/>
      <c r="R461" s="27"/>
      <c r="S461" s="27"/>
      <c r="T461" s="27"/>
      <c r="U461" s="27"/>
      <c r="V461" s="27"/>
      <c r="W461" s="27"/>
      <c r="X461" s="27"/>
      <c r="Y461" s="27"/>
      <c r="Z461" s="27"/>
      <c r="AA461" s="10" t="str">
        <f aca="false">IFERROR(INDEX(設定!$E$61:$E$106,MATCH(B461,設定!$B$61:$B$106,0)),"合算")</f>
        <v>合算</v>
      </c>
      <c r="AB461" s="28"/>
      <c r="AC461" s="29" t="str">
        <f aca="false">IF(OR(G461="",G461="なし"),"",IF(AA461="合算",CJ461+N(Z461),IF(AA461="掛金・負担金別",(AY461+AZ461+BD461+BF461+BH461),SUM(AY461:BC461))))</f>
        <v/>
      </c>
      <c r="AD461" s="27"/>
      <c r="AE461" s="29" t="str">
        <f aca="false">IF(OR(G461="",G461="なし"),"",IF(AA461="掛金・負担金別",(BA461+BB461+BC461+BE461+BG461+BI461+N(Z461)),IF(AA461="経理区分別",BD461+BE461,"")))</f>
        <v/>
      </c>
      <c r="AF461" s="27"/>
      <c r="AG461" s="29" t="str">
        <f aca="false">IF(OR(G461="",G461="なし"),"",IF(AA461="経理区分別",BF461+BG461,""))</f>
        <v/>
      </c>
      <c r="AH461" s="27"/>
      <c r="AI461" s="29" t="str">
        <f aca="false">IF(OR(G461="",G461="なし"),"",IF(AA461="経理区分別",BH461+BI461+N(Z461),""))</f>
        <v/>
      </c>
      <c r="AJ461" s="27"/>
      <c r="AK461" s="26"/>
      <c r="AL461" s="26"/>
      <c r="AM461" s="30"/>
      <c r="AN461" s="31" t="n">
        <v>119773</v>
      </c>
      <c r="AO461" s="31" t="n">
        <v>9817</v>
      </c>
      <c r="AP461" s="31" t="n">
        <v>119774</v>
      </c>
      <c r="AQ461" s="31" t="n">
        <v>9817</v>
      </c>
      <c r="AR461" s="31" t="n">
        <v>122</v>
      </c>
      <c r="AS461" s="31"/>
      <c r="AT461" s="31"/>
      <c r="AU461" s="31"/>
      <c r="AV461" s="31"/>
      <c r="AW461" s="31"/>
      <c r="AX461" s="31"/>
      <c r="AY461" s="31" t="n">
        <f aca="false">IF($G461="",AN461,O461)</f>
        <v>119773</v>
      </c>
      <c r="AZ461" s="31" t="n">
        <f aca="false">IF($G461="",AO461,P461)</f>
        <v>9817</v>
      </c>
      <c r="BA461" s="31" t="n">
        <f aca="false">IF($G461="",AP461,T461)</f>
        <v>119774</v>
      </c>
      <c r="BB461" s="31" t="n">
        <f aca="false">IF($G461="",AQ461,U461)</f>
        <v>9817</v>
      </c>
      <c r="BC461" s="31" t="n">
        <f aca="false">IF($G461="",AR461,V461)</f>
        <v>122</v>
      </c>
      <c r="BD461" s="31" t="n">
        <f aca="false">IF($G461="",AS461,Q461)</f>
        <v>0</v>
      </c>
      <c r="BE461" s="31" t="n">
        <f aca="false">IF($G461="",AT461,W461)</f>
        <v>0</v>
      </c>
      <c r="BF461" s="31" t="n">
        <f aca="false">IF($G461="",AU461,R461)</f>
        <v>0</v>
      </c>
      <c r="BG461" s="31" t="n">
        <f aca="false">IF($G461="",AV461,X461)</f>
        <v>0</v>
      </c>
      <c r="BH461" s="31" t="n">
        <f aca="false">IF($G461="",AW461,S461)</f>
        <v>0</v>
      </c>
      <c r="BI461" s="31" t="n">
        <f aca="false">IF($G461="",AX461,Y461)</f>
        <v>0</v>
      </c>
      <c r="BJ461" s="31" t="n">
        <f aca="false">IF(CK461="N",BR461,ROUNDDOWN((I461-L461)*設定!$B$10/1000,0)+ROUNDDOWN((I461-L461)*設定!$B$11/1000,0))</f>
        <v>0</v>
      </c>
      <c r="BK461" s="31" t="n">
        <f aca="false">ROUNDDOWN((I461-L461)*設定!$C$10/1000,0)+ROUNDDOWN((I461-L461)*設定!$C$11/1000,0)+ROUNDDOWN(I461*設定!$C$12/1000,0)+IF(CL461="市局型",ROUNDDOWN(I461*設定!$C$16/1000,0),0)</f>
        <v>0</v>
      </c>
      <c r="BL461" s="31" t="n">
        <f aca="false">IF(CK461="N",BT461,ROUNDDOWN((J461-M461)*設定!$B$13/1000,0))</f>
        <v>0</v>
      </c>
      <c r="BM461" s="31" t="n">
        <f aca="false">ROUNDDOWN((J461-M461)*設定!$C$13/1000,0)+IF(CL461="市局型",ROUNDDOWN(J461*設定!$C$17/1000,0),0)</f>
        <v>0</v>
      </c>
      <c r="BN461" s="31" t="n">
        <f aca="false">IF(CK461="N",BV461,ROUNDDOWN((K461-N461)*設定!$B$14/1000,0))</f>
        <v>0</v>
      </c>
      <c r="BO461" s="31" t="n">
        <f aca="false">ROUNDDOWN((K461-N461)*設定!$C$14/1000,0)</f>
        <v>0</v>
      </c>
      <c r="BP461" s="31" t="n">
        <f aca="false">IF(CK461="N",BX461,ROUNDDOWN((J461-M461)*設定!$B$15/1000,0))</f>
        <v>0</v>
      </c>
      <c r="BQ461" s="31" t="n">
        <f aca="false">ROUNDDOWN((J461-M461)*設定!$C$15/1000,0)</f>
        <v>0</v>
      </c>
      <c r="BR461" s="31" t="n">
        <f aca="false">O461+P461</f>
        <v>0</v>
      </c>
      <c r="BS461" s="31" t="n">
        <f aca="false">T461+U461+V461</f>
        <v>0</v>
      </c>
      <c r="BT461" s="31" t="n">
        <f aca="false">Q461</f>
        <v>0</v>
      </c>
      <c r="BU461" s="31" t="n">
        <f aca="false">W461</f>
        <v>0</v>
      </c>
      <c r="BV461" s="31" t="n">
        <f aca="false">R461</f>
        <v>0</v>
      </c>
      <c r="BW461" s="31" t="n">
        <f aca="false">X461</f>
        <v>0</v>
      </c>
      <c r="BX461" s="31" t="n">
        <f aca="false">S461</f>
        <v>0</v>
      </c>
      <c r="BY461" s="31" t="n">
        <f aca="false">Y461</f>
        <v>0</v>
      </c>
      <c r="BZ461" s="32" t="n">
        <f aca="false">IF(BJ461=0,IF(BR461=0,0,1),(BR461-BJ461)/BJ461)</f>
        <v>0</v>
      </c>
      <c r="CA461" s="32" t="n">
        <f aca="false">IF(BK461=0,IF(BS461=0,0,1),(BS461-BK461)/BK461)</f>
        <v>0</v>
      </c>
      <c r="CB461" s="32" t="n">
        <f aca="false">IF(BL461=0,IF(BT461=0,0,1),(BT461-BL461)/BL461)</f>
        <v>0</v>
      </c>
      <c r="CC461" s="32" t="n">
        <f aca="false">IF(BM461=0,IF(BU461=0,0,1),(BU461-BM461)/BM461)</f>
        <v>0</v>
      </c>
      <c r="CD461" s="32" t="n">
        <f aca="false">IF(BN461=0,IF(BV461=0,0,1),(BV461-BN461)/BN461)</f>
        <v>0</v>
      </c>
      <c r="CE461" s="32" t="n">
        <f aca="false">IF(BO461=0,IF(BW461=0,0,1),(BW461-BO461)/BO461)</f>
        <v>0</v>
      </c>
      <c r="CF461" s="32" t="n">
        <f aca="false">IF(BP461=0,IF(BX461=0,0,1),(BX461-BP461)/BP461)</f>
        <v>0</v>
      </c>
      <c r="CG461" s="32" t="n">
        <f aca="false">IF(BQ461=0,IF(BY461=0,0,1),(BY461-BQ461)/BQ461)</f>
        <v>0</v>
      </c>
      <c r="CH461" s="32" t="n">
        <f aca="false">MAX(MAX(BZ461:CG461),-MIN(BZ461:CG461))</f>
        <v>-0</v>
      </c>
      <c r="CI461" s="31" t="str">
        <f aca="false">IF(CO461="","",SUMIFS($CJ$7:$CJ$696,$A$7:$A$696,CO461,$B$7:$B$696,B461))</f>
        <v/>
      </c>
      <c r="CJ461" s="31" t="n">
        <f aca="false">SUM(AY461:BI461)</f>
        <v>259303</v>
      </c>
      <c r="CK461" s="31" t="str">
        <f aca="false">IFERROR(INDEX(設定!$F$61:$F$106,MATCH(B461,設定!$B$61:$B$106,0)),"Y")</f>
        <v>Y</v>
      </c>
      <c r="CL461" s="31" t="str">
        <f aca="false">IFERROR(INDEX(設定!$G$61:$G$106,MATCH(B461,設定!$B$61:$B$106,0)),"外郭型")</f>
        <v>外郭型</v>
      </c>
      <c r="CM461" s="33" t="str">
        <f aca="false">A461&amp;"|"&amp;B461</f>
        <v>2026-12 賞与|広島駅南口開発（株）</v>
      </c>
      <c r="CN461" s="34" t="str">
        <f aca="false">IFERROR(INDEX(設定!$D$61:$D$106,MATCH(B461,設定!$B$61:$B$106,0)),"Y")</f>
        <v>Y</v>
      </c>
      <c r="CO461" s="34" t="str">
        <f aca="false">IFERROR(INDEX(設定!$D$20:$D$34,MATCH(A461,設定!$A$20:$A$34,0))&amp;"","")</f>
        <v/>
      </c>
    </row>
    <row r="462" customFormat="false" ht="15" hidden="true" customHeight="false" outlineLevel="0" collapsed="false">
      <c r="A462" s="22" t="s">
        <v>225</v>
      </c>
      <c r="B462" s="23" t="s">
        <v>210</v>
      </c>
      <c r="C462" s="10" t="str">
        <f aca="false">IF(G462="","未受領",IF(G462="なし","報告なし",IF(AL462="○","起票済",IF(OR(AK462="○",F462="一致",F462="入金不要"),"入金確認済","受領済"))))</f>
        <v>未受領</v>
      </c>
      <c r="D462" s="10" t="str">
        <f aca="false">IF(OR(G462="",G462="なし"),"―",IF(CN462="N","対象外",IF(AND(I462="",J462="",K462=""),"標報未入力",IF(CH462&gt;=設定!$B$4,"要確認","問題なし"))))</f>
        <v>―</v>
      </c>
      <c r="E462" s="24" t="str">
        <f aca="false">IF(OR(G462="",G462="なし",CI462="",CJ462=0),"―",IF(CJ462=CI462,"前月同額",IF(CI462=0,"―",IF(ABS(CJ462/CI462-1)&gt;=設定!$B$5,"変動大 "&amp;TEXT(CJ462/CI462-1,"+0%;-0%"),"〇"))))</f>
        <v>―</v>
      </c>
      <c r="F462" s="10" t="str">
        <f aca="false">IF(OR(G462="",G462="なし"),"―",IF(CJ462=0,"入金不要",IF(COUNT(AD462,AF462,AH462,AJ462)=0,IF(AK462="○","手動確認","未入金"),IF(AND(N(AD462)=AC462,IF(AE462="",TRUE(),N(AF462)=AE462),IF(AG462="",TRUE(),N(AH462)=AG462),IF(AI462="",TRUE(),N(AJ462)=AI462)),"一致","不一致"))))</f>
        <v>―</v>
      </c>
      <c r="G462" s="25"/>
      <c r="H462" s="26"/>
      <c r="I462" s="27"/>
      <c r="J462" s="27"/>
      <c r="K462" s="27"/>
      <c r="L462" s="27"/>
      <c r="M462" s="27"/>
      <c r="N462" s="27"/>
      <c r="O462" s="27"/>
      <c r="P462" s="27"/>
      <c r="Q462" s="27"/>
      <c r="R462" s="27"/>
      <c r="S462" s="27"/>
      <c r="T462" s="27"/>
      <c r="U462" s="27"/>
      <c r="V462" s="27"/>
      <c r="W462" s="27"/>
      <c r="X462" s="27"/>
      <c r="Y462" s="27"/>
      <c r="Z462" s="27"/>
      <c r="AA462" s="10" t="str">
        <f aca="false">IFERROR(INDEX(設定!$E$61:$E$106,MATCH(B462,設定!$B$61:$B$106,0)),"合算")</f>
        <v>合算</v>
      </c>
      <c r="AB462" s="28"/>
      <c r="AC462" s="29" t="str">
        <f aca="false">IF(OR(G462="",G462="なし"),"",IF(AA462="合算",CJ462+N(Z462),IF(AA462="掛金・負担金別",(AY462+AZ462+BD462+BF462+BH462),SUM(AY462:BC462))))</f>
        <v/>
      </c>
      <c r="AD462" s="27"/>
      <c r="AE462" s="29" t="str">
        <f aca="false">IF(OR(G462="",G462="なし"),"",IF(AA462="掛金・負担金別",(BA462+BB462+BC462+BE462+BG462+BI462+N(Z462)),IF(AA462="経理区分別",BD462+BE462,"")))</f>
        <v/>
      </c>
      <c r="AF462" s="27"/>
      <c r="AG462" s="29" t="str">
        <f aca="false">IF(OR(G462="",G462="なし"),"",IF(AA462="経理区分別",BF462+BG462,""))</f>
        <v/>
      </c>
      <c r="AH462" s="27"/>
      <c r="AI462" s="29" t="str">
        <f aca="false">IF(OR(G462="",G462="なし"),"",IF(AA462="経理区分別",BH462+BI462+N(Z462),""))</f>
        <v/>
      </c>
      <c r="AJ462" s="27"/>
      <c r="AK462" s="26"/>
      <c r="AL462" s="26"/>
      <c r="AM462" s="30"/>
      <c r="AN462" s="31" t="n">
        <v>27907</v>
      </c>
      <c r="AO462" s="31" t="n">
        <v>2287</v>
      </c>
      <c r="AP462" s="31" t="n">
        <v>27908</v>
      </c>
      <c r="AQ462" s="31" t="n">
        <v>2287</v>
      </c>
      <c r="AR462" s="31"/>
      <c r="AS462" s="31" t="n">
        <v>16778</v>
      </c>
      <c r="AT462" s="31" t="n">
        <v>16808</v>
      </c>
      <c r="AU462" s="31" t="n">
        <v>2409</v>
      </c>
      <c r="AV462" s="31" t="n">
        <v>2409</v>
      </c>
      <c r="AW462" s="31" t="n">
        <v>1</v>
      </c>
      <c r="AX462" s="31" t="n">
        <v>1</v>
      </c>
      <c r="AY462" s="31" t="n">
        <f aca="false">IF($G462="",AN462,O462)</f>
        <v>27907</v>
      </c>
      <c r="AZ462" s="31" t="n">
        <f aca="false">IF($G462="",AO462,P462)</f>
        <v>2287</v>
      </c>
      <c r="BA462" s="31" t="n">
        <f aca="false">IF($G462="",AP462,T462)</f>
        <v>27908</v>
      </c>
      <c r="BB462" s="31" t="n">
        <f aca="false">IF($G462="",AQ462,U462)</f>
        <v>2287</v>
      </c>
      <c r="BC462" s="31" t="n">
        <f aca="false">IF($G462="",AR462,V462)</f>
        <v>0</v>
      </c>
      <c r="BD462" s="31" t="n">
        <f aca="false">IF($G462="",AS462,Q462)</f>
        <v>16778</v>
      </c>
      <c r="BE462" s="31" t="n">
        <f aca="false">IF($G462="",AT462,W462)</f>
        <v>16808</v>
      </c>
      <c r="BF462" s="31" t="n">
        <f aca="false">IF($G462="",AU462,R462)</f>
        <v>2409</v>
      </c>
      <c r="BG462" s="31" t="n">
        <f aca="false">IF($G462="",AV462,X462)</f>
        <v>2409</v>
      </c>
      <c r="BH462" s="31" t="n">
        <f aca="false">IF($G462="",AW462,S462)</f>
        <v>1</v>
      </c>
      <c r="BI462" s="31" t="n">
        <f aca="false">IF($G462="",AX462,Y462)</f>
        <v>1</v>
      </c>
      <c r="BJ462" s="31" t="n">
        <f aca="false">IF(CK462="N",BR462,ROUNDDOWN((I462-L462)*設定!$B$10/1000,0)+ROUNDDOWN((I462-L462)*設定!$B$11/1000,0))</f>
        <v>0</v>
      </c>
      <c r="BK462" s="31" t="n">
        <f aca="false">ROUNDDOWN((I462-L462)*設定!$C$10/1000,0)+ROUNDDOWN((I462-L462)*設定!$C$11/1000,0)+ROUNDDOWN(I462*設定!$C$12/1000,0)+IF(CL462="市局型",ROUNDDOWN(I462*設定!$C$16/1000,0),0)</f>
        <v>0</v>
      </c>
      <c r="BL462" s="31" t="n">
        <f aca="false">IF(CK462="N",BT462,ROUNDDOWN((J462-M462)*設定!$B$13/1000,0))</f>
        <v>0</v>
      </c>
      <c r="BM462" s="31" t="n">
        <f aca="false">ROUNDDOWN((J462-M462)*設定!$C$13/1000,0)+IF(CL462="市局型",ROUNDDOWN(J462*設定!$C$17/1000,0),0)</f>
        <v>0</v>
      </c>
      <c r="BN462" s="31" t="n">
        <f aca="false">IF(CK462="N",BV462,ROUNDDOWN((K462-N462)*設定!$B$14/1000,0))</f>
        <v>0</v>
      </c>
      <c r="BO462" s="31" t="n">
        <f aca="false">ROUNDDOWN((K462-N462)*設定!$C$14/1000,0)</f>
        <v>0</v>
      </c>
      <c r="BP462" s="31" t="n">
        <f aca="false">IF(CK462="N",BX462,ROUNDDOWN((J462-M462)*設定!$B$15/1000,0))</f>
        <v>0</v>
      </c>
      <c r="BQ462" s="31" t="n">
        <f aca="false">ROUNDDOWN((J462-M462)*設定!$C$15/1000,0)</f>
        <v>0</v>
      </c>
      <c r="BR462" s="31" t="n">
        <f aca="false">O462+P462</f>
        <v>0</v>
      </c>
      <c r="BS462" s="31" t="n">
        <f aca="false">T462+U462+V462</f>
        <v>0</v>
      </c>
      <c r="BT462" s="31" t="n">
        <f aca="false">Q462</f>
        <v>0</v>
      </c>
      <c r="BU462" s="31" t="n">
        <f aca="false">W462</f>
        <v>0</v>
      </c>
      <c r="BV462" s="31" t="n">
        <f aca="false">R462</f>
        <v>0</v>
      </c>
      <c r="BW462" s="31" t="n">
        <f aca="false">X462</f>
        <v>0</v>
      </c>
      <c r="BX462" s="31" t="n">
        <f aca="false">S462</f>
        <v>0</v>
      </c>
      <c r="BY462" s="31" t="n">
        <f aca="false">Y462</f>
        <v>0</v>
      </c>
      <c r="BZ462" s="32" t="n">
        <f aca="false">IF(BJ462=0,IF(BR462=0,0,1),(BR462-BJ462)/BJ462)</f>
        <v>0</v>
      </c>
      <c r="CA462" s="32" t="n">
        <f aca="false">IF(BK462=0,IF(BS462=0,0,1),(BS462-BK462)/BK462)</f>
        <v>0</v>
      </c>
      <c r="CB462" s="32" t="n">
        <f aca="false">IF(BL462=0,IF(BT462=0,0,1),(BT462-BL462)/BL462)</f>
        <v>0</v>
      </c>
      <c r="CC462" s="32" t="n">
        <f aca="false">IF(BM462=0,IF(BU462=0,0,1),(BU462-BM462)/BM462)</f>
        <v>0</v>
      </c>
      <c r="CD462" s="32" t="n">
        <f aca="false">IF(BN462=0,IF(BV462=0,0,1),(BV462-BN462)/BN462)</f>
        <v>0</v>
      </c>
      <c r="CE462" s="32" t="n">
        <f aca="false">IF(BO462=0,IF(BW462=0,0,1),(BW462-BO462)/BO462)</f>
        <v>0</v>
      </c>
      <c r="CF462" s="32" t="n">
        <f aca="false">IF(BP462=0,IF(BX462=0,0,1),(BX462-BP462)/BP462)</f>
        <v>0</v>
      </c>
      <c r="CG462" s="32" t="n">
        <f aca="false">IF(BQ462=0,IF(BY462=0,0,1),(BY462-BQ462)/BQ462)</f>
        <v>0</v>
      </c>
      <c r="CH462" s="32" t="n">
        <f aca="false">MAX(MAX(BZ462:CG462),-MIN(BZ462:CG462))</f>
        <v>-0</v>
      </c>
      <c r="CI462" s="31" t="str">
        <f aca="false">IF(CO462="","",SUMIFS($CJ$7:$CJ$696,$A$7:$A$696,CO462,$B$7:$B$696,B462))</f>
        <v/>
      </c>
      <c r="CJ462" s="31" t="n">
        <f aca="false">SUM(AY462:BI462)</f>
        <v>98795</v>
      </c>
      <c r="CK462" s="31" t="str">
        <f aca="false">IFERROR(INDEX(設定!$F$61:$F$106,MATCH(B462,設定!$B$61:$B$106,0)),"Y")</f>
        <v>Y</v>
      </c>
      <c r="CL462" s="31" t="str">
        <f aca="false">IFERROR(INDEX(設定!$G$61:$G$106,MATCH(B462,設定!$B$61:$B$106,0)),"外郭型")</f>
        <v>外郭型</v>
      </c>
      <c r="CM462" s="33" t="str">
        <f aca="false">A462&amp;"|"&amp;B462</f>
        <v>2026-12 賞与|市職員労働組合</v>
      </c>
      <c r="CN462" s="34" t="str">
        <f aca="false">IFERROR(INDEX(設定!$D$61:$D$106,MATCH(B462,設定!$B$61:$B$106,0)),"Y")</f>
        <v>Y</v>
      </c>
      <c r="CO462" s="34" t="str">
        <f aca="false">IFERROR(INDEX(設定!$D$20:$D$34,MATCH(A462,設定!$A$20:$A$34,0))&amp;"","")</f>
        <v/>
      </c>
    </row>
    <row r="463" customFormat="false" ht="15" hidden="true" customHeight="false" outlineLevel="0" collapsed="false">
      <c r="A463" s="22" t="s">
        <v>225</v>
      </c>
      <c r="B463" s="23" t="s">
        <v>211</v>
      </c>
      <c r="C463" s="10" t="str">
        <f aca="false">IF(G463="","未受領",IF(G463="なし","報告なし",IF(AL463="○","起票済",IF(OR(AK463="○",F463="一致",F463="入金不要"),"入金確認済","受領済"))))</f>
        <v>報告なし</v>
      </c>
      <c r="D463" s="10" t="str">
        <f aca="false">IF(OR(G463="",G463="なし"),"―",IF(CN463="N","対象外",IF(AND(I463="",J463="",K463=""),"標報未入力",IF(CH463&gt;=設定!$B$4,"要確認","問題なし"))))</f>
        <v>―</v>
      </c>
      <c r="E463" s="24" t="str">
        <f aca="false">IF(OR(G463="",G463="なし",CI463="",CJ463=0),"―",IF(CJ463=CI463,"前月同額",IF(CI463=0,"―",IF(ABS(CJ463/CI463-1)&gt;=設定!$B$5,"変動大 "&amp;TEXT(CJ463/CI463-1,"+0%;-0%"),"〇"))))</f>
        <v>―</v>
      </c>
      <c r="F463" s="10" t="str">
        <f aca="false">IF(OR(G463="",G463="なし"),"―",IF(CJ463=0,"入金不要",IF(COUNT(AD463,AF463,AH463,AJ463)=0,IF(AK463="○","手動確認","未入金"),IF(AND(N(AD463)=AC463,IF(AE463="",TRUE(),N(AF463)=AE463),IF(AG463="",TRUE(),N(AH463)=AG463),IF(AI463="",TRUE(),N(AJ463)=AI463)),"一致","不一致"))))</f>
        <v>―</v>
      </c>
      <c r="G463" s="25" t="s">
        <v>181</v>
      </c>
      <c r="H463" s="26"/>
      <c r="I463" s="27"/>
      <c r="J463" s="27"/>
      <c r="K463" s="27"/>
      <c r="L463" s="27"/>
      <c r="M463" s="27"/>
      <c r="N463" s="27"/>
      <c r="O463" s="27"/>
      <c r="P463" s="27"/>
      <c r="Q463" s="27"/>
      <c r="R463" s="27"/>
      <c r="S463" s="27"/>
      <c r="T463" s="27"/>
      <c r="U463" s="27"/>
      <c r="V463" s="27"/>
      <c r="W463" s="27"/>
      <c r="X463" s="27"/>
      <c r="Y463" s="27"/>
      <c r="Z463" s="27"/>
      <c r="AA463" s="10" t="str">
        <f aca="false">IFERROR(INDEX(設定!$E$61:$E$106,MATCH(B463,設定!$B$61:$B$106,0)),"合算")</f>
        <v>合算</v>
      </c>
      <c r="AB463" s="28"/>
      <c r="AC463" s="29" t="str">
        <f aca="false">IF(OR(G463="",G463="なし"),"",IF(AA463="合算",CJ463+N(Z463),IF(AA463="掛金・負担金別",(AY463+AZ463+BD463+BF463+BH463),SUM(AY463:BC463))))</f>
        <v/>
      </c>
      <c r="AD463" s="27"/>
      <c r="AE463" s="29" t="str">
        <f aca="false">IF(OR(G463="",G463="なし"),"",IF(AA463="掛金・負担金別",(BA463+BB463+BC463+BE463+BG463+BI463+N(Z463)),IF(AA463="経理区分別",BD463+BE463,"")))</f>
        <v/>
      </c>
      <c r="AF463" s="27"/>
      <c r="AG463" s="29" t="str">
        <f aca="false">IF(OR(G463="",G463="なし"),"",IF(AA463="経理区分別",BF463+BG463,""))</f>
        <v/>
      </c>
      <c r="AH463" s="27"/>
      <c r="AI463" s="29" t="str">
        <f aca="false">IF(OR(G463="",G463="なし"),"",IF(AA463="経理区分別",BH463+BI463+N(Z463),""))</f>
        <v/>
      </c>
      <c r="AJ463" s="27"/>
      <c r="AK463" s="26"/>
      <c r="AL463" s="26"/>
      <c r="AM463" s="30"/>
      <c r="AN463" s="31"/>
      <c r="AO463" s="31"/>
      <c r="AP463" s="31"/>
      <c r="AQ463" s="31"/>
      <c r="AR463" s="31"/>
      <c r="AS463" s="31"/>
      <c r="AT463" s="31"/>
      <c r="AU463" s="31"/>
      <c r="AV463" s="31"/>
      <c r="AW463" s="31"/>
      <c r="AX463" s="31"/>
      <c r="AY463" s="31" t="n">
        <f aca="false">IF($G463="",AN463,O463)</f>
        <v>0</v>
      </c>
      <c r="AZ463" s="31" t="n">
        <f aca="false">IF($G463="",AO463,P463)</f>
        <v>0</v>
      </c>
      <c r="BA463" s="31" t="n">
        <f aca="false">IF($G463="",AP463,T463)</f>
        <v>0</v>
      </c>
      <c r="BB463" s="31" t="n">
        <f aca="false">IF($G463="",AQ463,U463)</f>
        <v>0</v>
      </c>
      <c r="BC463" s="31" t="n">
        <f aca="false">IF($G463="",AR463,V463)</f>
        <v>0</v>
      </c>
      <c r="BD463" s="31" t="n">
        <f aca="false">IF($G463="",AS463,Q463)</f>
        <v>0</v>
      </c>
      <c r="BE463" s="31" t="n">
        <f aca="false">IF($G463="",AT463,W463)</f>
        <v>0</v>
      </c>
      <c r="BF463" s="31" t="n">
        <f aca="false">IF($G463="",AU463,R463)</f>
        <v>0</v>
      </c>
      <c r="BG463" s="31" t="n">
        <f aca="false">IF($G463="",AV463,X463)</f>
        <v>0</v>
      </c>
      <c r="BH463" s="31" t="n">
        <f aca="false">IF($G463="",AW463,S463)</f>
        <v>0</v>
      </c>
      <c r="BI463" s="31" t="n">
        <f aca="false">IF($G463="",AX463,Y463)</f>
        <v>0</v>
      </c>
      <c r="BJ463" s="31" t="n">
        <f aca="false">IF(CK463="N",BR463,ROUNDDOWN((I463-L463)*設定!$B$10/1000,0)+ROUNDDOWN((I463-L463)*設定!$B$11/1000,0))</f>
        <v>0</v>
      </c>
      <c r="BK463" s="31" t="n">
        <f aca="false">ROUNDDOWN((I463-L463)*設定!$C$10/1000,0)+ROUNDDOWN((I463-L463)*設定!$C$11/1000,0)+ROUNDDOWN(I463*設定!$C$12/1000,0)+IF(CL463="市局型",ROUNDDOWN(I463*設定!$C$16/1000,0),0)</f>
        <v>0</v>
      </c>
      <c r="BL463" s="31" t="n">
        <f aca="false">IF(CK463="N",BT463,ROUNDDOWN((J463-M463)*設定!$B$13/1000,0))</f>
        <v>0</v>
      </c>
      <c r="BM463" s="31" t="n">
        <f aca="false">ROUNDDOWN((J463-M463)*設定!$C$13/1000,0)+IF(CL463="市局型",ROUNDDOWN(J463*設定!$C$17/1000,0),0)</f>
        <v>0</v>
      </c>
      <c r="BN463" s="31" t="n">
        <f aca="false">IF(CK463="N",BV463,ROUNDDOWN((K463-N463)*設定!$B$14/1000,0))</f>
        <v>0</v>
      </c>
      <c r="BO463" s="31" t="n">
        <f aca="false">ROUNDDOWN((K463-N463)*設定!$C$14/1000,0)</f>
        <v>0</v>
      </c>
      <c r="BP463" s="31" t="n">
        <f aca="false">IF(CK463="N",BX463,ROUNDDOWN((J463-M463)*設定!$B$15/1000,0))</f>
        <v>0</v>
      </c>
      <c r="BQ463" s="31" t="n">
        <f aca="false">ROUNDDOWN((J463-M463)*設定!$C$15/1000,0)</f>
        <v>0</v>
      </c>
      <c r="BR463" s="31" t="n">
        <f aca="false">O463+P463</f>
        <v>0</v>
      </c>
      <c r="BS463" s="31" t="n">
        <f aca="false">T463+U463+V463</f>
        <v>0</v>
      </c>
      <c r="BT463" s="31" t="n">
        <f aca="false">Q463</f>
        <v>0</v>
      </c>
      <c r="BU463" s="31" t="n">
        <f aca="false">W463</f>
        <v>0</v>
      </c>
      <c r="BV463" s="31" t="n">
        <f aca="false">R463</f>
        <v>0</v>
      </c>
      <c r="BW463" s="31" t="n">
        <f aca="false">X463</f>
        <v>0</v>
      </c>
      <c r="BX463" s="31" t="n">
        <f aca="false">S463</f>
        <v>0</v>
      </c>
      <c r="BY463" s="31" t="n">
        <f aca="false">Y463</f>
        <v>0</v>
      </c>
      <c r="BZ463" s="32" t="n">
        <f aca="false">IF(BJ463=0,IF(BR463=0,0,1),(BR463-BJ463)/BJ463)</f>
        <v>0</v>
      </c>
      <c r="CA463" s="32" t="n">
        <f aca="false">IF(BK463=0,IF(BS463=0,0,1),(BS463-BK463)/BK463)</f>
        <v>0</v>
      </c>
      <c r="CB463" s="32" t="n">
        <f aca="false">IF(BL463=0,IF(BT463=0,0,1),(BT463-BL463)/BL463)</f>
        <v>0</v>
      </c>
      <c r="CC463" s="32" t="n">
        <f aca="false">IF(BM463=0,IF(BU463=0,0,1),(BU463-BM463)/BM463)</f>
        <v>0</v>
      </c>
      <c r="CD463" s="32" t="n">
        <f aca="false">IF(BN463=0,IF(BV463=0,0,1),(BV463-BN463)/BN463)</f>
        <v>0</v>
      </c>
      <c r="CE463" s="32" t="n">
        <f aca="false">IF(BO463=0,IF(BW463=0,0,1),(BW463-BO463)/BO463)</f>
        <v>0</v>
      </c>
      <c r="CF463" s="32" t="n">
        <f aca="false">IF(BP463=0,IF(BX463=0,0,1),(BX463-BP463)/BP463)</f>
        <v>0</v>
      </c>
      <c r="CG463" s="32" t="n">
        <f aca="false">IF(BQ463=0,IF(BY463=0,0,1),(BY463-BQ463)/BQ463)</f>
        <v>0</v>
      </c>
      <c r="CH463" s="32" t="n">
        <f aca="false">MAX(MAX(BZ463:CG463),-MIN(BZ463:CG463))</f>
        <v>-0</v>
      </c>
      <c r="CI463" s="31" t="str">
        <f aca="false">IF(CO463="","",SUMIFS($CJ$7:$CJ$696,$A$7:$A$696,CO463,$B$7:$B$696,B463))</f>
        <v/>
      </c>
      <c r="CJ463" s="31" t="n">
        <f aca="false">SUM(AY463:BI463)</f>
        <v>0</v>
      </c>
      <c r="CK463" s="31" t="str">
        <f aca="false">IFERROR(INDEX(設定!$F$61:$F$106,MATCH(B463,設定!$B$61:$B$106,0)),"Y")</f>
        <v>N</v>
      </c>
      <c r="CL463" s="31" t="str">
        <f aca="false">IFERROR(INDEX(設定!$G$61:$G$106,MATCH(B463,設定!$B$61:$B$106,0)),"外郭型")</f>
        <v>外郭型</v>
      </c>
      <c r="CM463" s="33" t="str">
        <f aca="false">A463&amp;"|"&amp;B463</f>
        <v>2026-12 賞与|自治労労働組合</v>
      </c>
      <c r="CN463" s="34" t="str">
        <f aca="false">IFERROR(INDEX(設定!$D$61:$D$106,MATCH(B463,設定!$B$61:$B$106,0)),"Y")</f>
        <v>Y</v>
      </c>
      <c r="CO463" s="34" t="str">
        <f aca="false">IFERROR(INDEX(設定!$D$20:$D$34,MATCH(A463,設定!$A$20:$A$34,0))&amp;"","")</f>
        <v/>
      </c>
    </row>
    <row r="464" customFormat="false" ht="15" hidden="true" customHeight="false" outlineLevel="0" collapsed="false">
      <c r="A464" s="22" t="s">
        <v>225</v>
      </c>
      <c r="B464" s="23" t="s">
        <v>212</v>
      </c>
      <c r="C464" s="10" t="str">
        <f aca="false">IF(G464="","未受領",IF(G464="なし","報告なし",IF(AL464="○","起票済",IF(OR(AK464="○",F464="一致",F464="入金不要"),"入金確認済","受領済"))))</f>
        <v>未受領</v>
      </c>
      <c r="D464" s="10" t="str">
        <f aca="false">IF(OR(G464="",G464="なし"),"―",IF(CN464="N","対象外",IF(AND(I464="",J464="",K464=""),"標報未入力",IF(CH464&gt;=設定!$B$4,"要確認","問題なし"))))</f>
        <v>―</v>
      </c>
      <c r="E464" s="24" t="str">
        <f aca="false">IF(OR(G464="",G464="なし",CI464="",CJ464=0),"―",IF(CJ464=CI464,"前月同額",IF(CI464=0,"―",IF(ABS(CJ464/CI464-1)&gt;=設定!$B$5,"変動大 "&amp;TEXT(CJ464/CI464-1,"+0%;-0%"),"〇"))))</f>
        <v>―</v>
      </c>
      <c r="F464" s="10" t="str">
        <f aca="false">IF(OR(G464="",G464="なし"),"―",IF(CJ464=0,"入金不要",IF(COUNT(AD464,AF464,AH464,AJ464)=0,IF(AK464="○","手動確認","未入金"),IF(AND(N(AD464)=AC464,IF(AE464="",TRUE(),N(AF464)=AE464),IF(AG464="",TRUE(),N(AH464)=AG464),IF(AI464="",TRUE(),N(AJ464)=AI464)),"一致","不一致"))))</f>
        <v>―</v>
      </c>
      <c r="G464" s="25"/>
      <c r="H464" s="26"/>
      <c r="I464" s="27"/>
      <c r="J464" s="27"/>
      <c r="K464" s="27"/>
      <c r="L464" s="27"/>
      <c r="M464" s="27"/>
      <c r="N464" s="27"/>
      <c r="O464" s="27"/>
      <c r="P464" s="27"/>
      <c r="Q464" s="27"/>
      <c r="R464" s="27"/>
      <c r="S464" s="27"/>
      <c r="T464" s="27"/>
      <c r="U464" s="27"/>
      <c r="V464" s="27"/>
      <c r="W464" s="27"/>
      <c r="X464" s="27"/>
      <c r="Y464" s="27"/>
      <c r="Z464" s="27"/>
      <c r="AA464" s="10" t="str">
        <f aca="false">IFERROR(INDEX(設定!$E$61:$E$106,MATCH(B464,設定!$B$61:$B$106,0)),"合算")</f>
        <v>合算</v>
      </c>
      <c r="AB464" s="28"/>
      <c r="AC464" s="29" t="str">
        <f aca="false">IF(OR(G464="",G464="なし"),"",IF(AA464="合算",CJ464+N(Z464),IF(AA464="掛金・負担金別",(AY464+AZ464+BD464+BF464+BH464),SUM(AY464:BC464))))</f>
        <v/>
      </c>
      <c r="AD464" s="27"/>
      <c r="AE464" s="29" t="str">
        <f aca="false">IF(OR(G464="",G464="なし"),"",IF(AA464="掛金・負担金別",(BA464+BB464+BC464+BE464+BG464+BI464+N(Z464)),IF(AA464="経理区分別",BD464+BE464,"")))</f>
        <v/>
      </c>
      <c r="AF464" s="27"/>
      <c r="AG464" s="29" t="str">
        <f aca="false">IF(OR(G464="",G464="なし"),"",IF(AA464="経理区分別",BF464+BG464,""))</f>
        <v/>
      </c>
      <c r="AH464" s="27"/>
      <c r="AI464" s="29" t="str">
        <f aca="false">IF(OR(G464="",G464="なし"),"",IF(AA464="経理区分別",BH464+BI464+N(Z464),""))</f>
        <v/>
      </c>
      <c r="AJ464" s="27"/>
      <c r="AK464" s="26"/>
      <c r="AL464" s="26"/>
      <c r="AM464" s="30"/>
      <c r="AN464" s="31" t="n">
        <v>43005</v>
      </c>
      <c r="AO464" s="31" t="n">
        <v>3525</v>
      </c>
      <c r="AP464" s="31" t="n">
        <v>43005</v>
      </c>
      <c r="AQ464" s="31" t="n">
        <v>3525</v>
      </c>
      <c r="AR464" s="31"/>
      <c r="AS464" s="31" t="n">
        <v>39936</v>
      </c>
      <c r="AT464" s="31" t="n">
        <v>40009</v>
      </c>
      <c r="AU464" s="31" t="n">
        <v>2022</v>
      </c>
      <c r="AV464" s="31" t="n">
        <v>2022</v>
      </c>
      <c r="AW464" s="31" t="n">
        <v>1</v>
      </c>
      <c r="AX464" s="31" t="n">
        <v>1</v>
      </c>
      <c r="AY464" s="31" t="n">
        <f aca="false">IF($G464="",AN464,O464)</f>
        <v>43005</v>
      </c>
      <c r="AZ464" s="31" t="n">
        <f aca="false">IF($G464="",AO464,P464)</f>
        <v>3525</v>
      </c>
      <c r="BA464" s="31" t="n">
        <f aca="false">IF($G464="",AP464,T464)</f>
        <v>43005</v>
      </c>
      <c r="BB464" s="31" t="n">
        <f aca="false">IF($G464="",AQ464,U464)</f>
        <v>3525</v>
      </c>
      <c r="BC464" s="31" t="n">
        <f aca="false">IF($G464="",AR464,V464)</f>
        <v>0</v>
      </c>
      <c r="BD464" s="31" t="n">
        <f aca="false">IF($G464="",AS464,Q464)</f>
        <v>39936</v>
      </c>
      <c r="BE464" s="31" t="n">
        <f aca="false">IF($G464="",AT464,W464)</f>
        <v>40009</v>
      </c>
      <c r="BF464" s="31" t="n">
        <f aca="false">IF($G464="",AU464,R464)</f>
        <v>2022</v>
      </c>
      <c r="BG464" s="31" t="n">
        <f aca="false">IF($G464="",AV464,X464)</f>
        <v>2022</v>
      </c>
      <c r="BH464" s="31" t="n">
        <f aca="false">IF($G464="",AW464,S464)</f>
        <v>1</v>
      </c>
      <c r="BI464" s="31" t="n">
        <f aca="false">IF($G464="",AX464,Y464)</f>
        <v>1</v>
      </c>
      <c r="BJ464" s="31" t="n">
        <f aca="false">IF(CK464="N",BR464,ROUNDDOWN((I464-L464)*設定!$B$10/1000,0)+ROUNDDOWN((I464-L464)*設定!$B$11/1000,0))</f>
        <v>0</v>
      </c>
      <c r="BK464" s="31" t="n">
        <f aca="false">ROUNDDOWN((I464-L464)*設定!$C$10/1000,0)+ROUNDDOWN((I464-L464)*設定!$C$11/1000,0)+ROUNDDOWN(I464*設定!$C$12/1000,0)+IF(CL464="市局型",ROUNDDOWN(I464*設定!$C$16/1000,0),0)</f>
        <v>0</v>
      </c>
      <c r="BL464" s="31" t="n">
        <f aca="false">IF(CK464="N",BT464,ROUNDDOWN((J464-M464)*設定!$B$13/1000,0))</f>
        <v>0</v>
      </c>
      <c r="BM464" s="31" t="n">
        <f aca="false">ROUNDDOWN((J464-M464)*設定!$C$13/1000,0)+IF(CL464="市局型",ROUNDDOWN(J464*設定!$C$17/1000,0),0)</f>
        <v>0</v>
      </c>
      <c r="BN464" s="31" t="n">
        <f aca="false">IF(CK464="N",BV464,ROUNDDOWN((K464-N464)*設定!$B$14/1000,0))</f>
        <v>0</v>
      </c>
      <c r="BO464" s="31" t="n">
        <f aca="false">ROUNDDOWN((K464-N464)*設定!$C$14/1000,0)</f>
        <v>0</v>
      </c>
      <c r="BP464" s="31" t="n">
        <f aca="false">IF(CK464="N",BX464,ROUNDDOWN((J464-M464)*設定!$B$15/1000,0))</f>
        <v>0</v>
      </c>
      <c r="BQ464" s="31" t="n">
        <f aca="false">ROUNDDOWN((J464-M464)*設定!$C$15/1000,0)</f>
        <v>0</v>
      </c>
      <c r="BR464" s="31" t="n">
        <f aca="false">O464+P464</f>
        <v>0</v>
      </c>
      <c r="BS464" s="31" t="n">
        <f aca="false">T464+U464+V464</f>
        <v>0</v>
      </c>
      <c r="BT464" s="31" t="n">
        <f aca="false">Q464</f>
        <v>0</v>
      </c>
      <c r="BU464" s="31" t="n">
        <f aca="false">W464</f>
        <v>0</v>
      </c>
      <c r="BV464" s="31" t="n">
        <f aca="false">R464</f>
        <v>0</v>
      </c>
      <c r="BW464" s="31" t="n">
        <f aca="false">X464</f>
        <v>0</v>
      </c>
      <c r="BX464" s="31" t="n">
        <f aca="false">S464</f>
        <v>0</v>
      </c>
      <c r="BY464" s="31" t="n">
        <f aca="false">Y464</f>
        <v>0</v>
      </c>
      <c r="BZ464" s="32" t="n">
        <f aca="false">IF(BJ464=0,IF(BR464=0,0,1),(BR464-BJ464)/BJ464)</f>
        <v>0</v>
      </c>
      <c r="CA464" s="32" t="n">
        <f aca="false">IF(BK464=0,IF(BS464=0,0,1),(BS464-BK464)/BK464)</f>
        <v>0</v>
      </c>
      <c r="CB464" s="32" t="n">
        <f aca="false">IF(BL464=0,IF(BT464=0,0,1),(BT464-BL464)/BL464)</f>
        <v>0</v>
      </c>
      <c r="CC464" s="32" t="n">
        <f aca="false">IF(BM464=0,IF(BU464=0,0,1),(BU464-BM464)/BM464)</f>
        <v>0</v>
      </c>
      <c r="CD464" s="32" t="n">
        <f aca="false">IF(BN464=0,IF(BV464=0,0,1),(BV464-BN464)/BN464)</f>
        <v>0</v>
      </c>
      <c r="CE464" s="32" t="n">
        <f aca="false">IF(BO464=0,IF(BW464=0,0,1),(BW464-BO464)/BO464)</f>
        <v>0</v>
      </c>
      <c r="CF464" s="32" t="n">
        <f aca="false">IF(BP464=0,IF(BX464=0,0,1),(BX464-BP464)/BP464)</f>
        <v>0</v>
      </c>
      <c r="CG464" s="32" t="n">
        <f aca="false">IF(BQ464=0,IF(BY464=0,0,1),(BY464-BQ464)/BQ464)</f>
        <v>0</v>
      </c>
      <c r="CH464" s="32" t="n">
        <f aca="false">MAX(MAX(BZ464:CG464),-MIN(BZ464:CG464))</f>
        <v>-0</v>
      </c>
      <c r="CI464" s="31" t="str">
        <f aca="false">IF(CO464="","",SUMIFS($CJ$7:$CJ$696,$A$7:$A$696,CO464,$B$7:$B$696,B464))</f>
        <v/>
      </c>
      <c r="CJ464" s="31" t="n">
        <f aca="false">SUM(AY464:BI464)</f>
        <v>177051</v>
      </c>
      <c r="CK464" s="31" t="str">
        <f aca="false">IFERROR(INDEX(設定!$F$61:$F$106,MATCH(B464,設定!$B$61:$B$106,0)),"Y")</f>
        <v>Y</v>
      </c>
      <c r="CL464" s="31" t="str">
        <f aca="false">IFERROR(INDEX(設定!$G$61:$G$106,MATCH(B464,設定!$B$61:$B$106,0)),"外郭型")</f>
        <v>外郭型</v>
      </c>
      <c r="CM464" s="33" t="str">
        <f aca="false">A464&amp;"|"&amp;B464</f>
        <v>2026-12 賞与|病院労働組合</v>
      </c>
      <c r="CN464" s="34" t="str">
        <f aca="false">IFERROR(INDEX(設定!$D$61:$D$106,MATCH(B464,設定!$B$61:$B$106,0)),"Y")</f>
        <v>Y</v>
      </c>
      <c r="CO464" s="34" t="str">
        <f aca="false">IFERROR(INDEX(設定!$D$20:$D$34,MATCH(A464,設定!$A$20:$A$34,0))&amp;"","")</f>
        <v/>
      </c>
    </row>
    <row r="465" customFormat="false" ht="15" hidden="true" customHeight="false" outlineLevel="0" collapsed="false">
      <c r="A465" s="22" t="s">
        <v>225</v>
      </c>
      <c r="B465" s="23" t="s">
        <v>213</v>
      </c>
      <c r="C465" s="10" t="str">
        <f aca="false">IF(G465="","未受領",IF(G465="なし","報告なし",IF(AL465="○","起票済",IF(OR(AK465="○",F465="一致",F465="入金不要"),"入金確認済","受領済"))))</f>
        <v>報告なし</v>
      </c>
      <c r="D465" s="10" t="str">
        <f aca="false">IF(OR(G465="",G465="なし"),"―",IF(CN465="N","対象外",IF(AND(I465="",J465="",K465=""),"標報未入力",IF(CH465&gt;=設定!$B$4,"要確認","問題なし"))))</f>
        <v>―</v>
      </c>
      <c r="E465" s="24" t="str">
        <f aca="false">IF(OR(G465="",G465="なし",CI465="",CJ465=0),"―",IF(CJ465=CI465,"前月同額",IF(CI465=0,"―",IF(ABS(CJ465/CI465-1)&gt;=設定!$B$5,"変動大 "&amp;TEXT(CJ465/CI465-1,"+0%;-0%"),"〇"))))</f>
        <v>―</v>
      </c>
      <c r="F465" s="10" t="str">
        <f aca="false">IF(OR(G465="",G465="なし"),"―",IF(CJ465=0,"入金不要",IF(COUNT(AD465,AF465,AH465,AJ465)=0,IF(AK465="○","手動確認","未入金"),IF(AND(N(AD465)=AC465,IF(AE465="",TRUE(),N(AF465)=AE465),IF(AG465="",TRUE(),N(AH465)=AG465),IF(AI465="",TRUE(),N(AJ465)=AI465)),"一致","不一致"))))</f>
        <v>―</v>
      </c>
      <c r="G465" s="25" t="s">
        <v>181</v>
      </c>
      <c r="H465" s="26"/>
      <c r="I465" s="27"/>
      <c r="J465" s="27"/>
      <c r="K465" s="27"/>
      <c r="L465" s="27"/>
      <c r="M465" s="27"/>
      <c r="N465" s="27"/>
      <c r="O465" s="27"/>
      <c r="P465" s="27"/>
      <c r="Q465" s="27"/>
      <c r="R465" s="27"/>
      <c r="S465" s="27"/>
      <c r="T465" s="27"/>
      <c r="U465" s="27"/>
      <c r="V465" s="27"/>
      <c r="W465" s="27"/>
      <c r="X465" s="27"/>
      <c r="Y465" s="27"/>
      <c r="Z465" s="27"/>
      <c r="AA465" s="10" t="str">
        <f aca="false">IFERROR(INDEX(設定!$E$61:$E$106,MATCH(B465,設定!$B$61:$B$106,0)),"合算")</f>
        <v>合算</v>
      </c>
      <c r="AB465" s="28"/>
      <c r="AC465" s="29" t="str">
        <f aca="false">IF(OR(G465="",G465="なし"),"",IF(AA465="合算",CJ465+N(Z465),IF(AA465="掛金・負担金別",(AY465+AZ465+BD465+BF465+BH465),SUM(AY465:BC465))))</f>
        <v/>
      </c>
      <c r="AD465" s="27"/>
      <c r="AE465" s="29" t="str">
        <f aca="false">IF(OR(G465="",G465="なし"),"",IF(AA465="掛金・負担金別",(BA465+BB465+BC465+BE465+BG465+BI465+N(Z465)),IF(AA465="経理区分別",BD465+BE465,"")))</f>
        <v/>
      </c>
      <c r="AF465" s="27"/>
      <c r="AG465" s="29" t="str">
        <f aca="false">IF(OR(G465="",G465="なし"),"",IF(AA465="経理区分別",BF465+BG465,""))</f>
        <v/>
      </c>
      <c r="AH465" s="27"/>
      <c r="AI465" s="29" t="str">
        <f aca="false">IF(OR(G465="",G465="なし"),"",IF(AA465="経理区分別",BH465+BI465+N(Z465),""))</f>
        <v/>
      </c>
      <c r="AJ465" s="27"/>
      <c r="AK465" s="26"/>
      <c r="AL465" s="26"/>
      <c r="AM465" s="30"/>
      <c r="AN465" s="31"/>
      <c r="AO465" s="31"/>
      <c r="AP465" s="31"/>
      <c r="AQ465" s="31"/>
      <c r="AR465" s="31"/>
      <c r="AS465" s="31"/>
      <c r="AT465" s="31"/>
      <c r="AU465" s="31"/>
      <c r="AV465" s="31"/>
      <c r="AW465" s="31"/>
      <c r="AX465" s="31"/>
      <c r="AY465" s="31" t="n">
        <f aca="false">IF($G465="",AN465,O465)</f>
        <v>0</v>
      </c>
      <c r="AZ465" s="31" t="n">
        <f aca="false">IF($G465="",AO465,P465)</f>
        <v>0</v>
      </c>
      <c r="BA465" s="31" t="n">
        <f aca="false">IF($G465="",AP465,T465)</f>
        <v>0</v>
      </c>
      <c r="BB465" s="31" t="n">
        <f aca="false">IF($G465="",AQ465,U465)</f>
        <v>0</v>
      </c>
      <c r="BC465" s="31" t="n">
        <f aca="false">IF($G465="",AR465,V465)</f>
        <v>0</v>
      </c>
      <c r="BD465" s="31" t="n">
        <f aca="false">IF($G465="",AS465,Q465)</f>
        <v>0</v>
      </c>
      <c r="BE465" s="31" t="n">
        <f aca="false">IF($G465="",AT465,W465)</f>
        <v>0</v>
      </c>
      <c r="BF465" s="31" t="n">
        <f aca="false">IF($G465="",AU465,R465)</f>
        <v>0</v>
      </c>
      <c r="BG465" s="31" t="n">
        <f aca="false">IF($G465="",AV465,X465)</f>
        <v>0</v>
      </c>
      <c r="BH465" s="31" t="n">
        <f aca="false">IF($G465="",AW465,S465)</f>
        <v>0</v>
      </c>
      <c r="BI465" s="31" t="n">
        <f aca="false">IF($G465="",AX465,Y465)</f>
        <v>0</v>
      </c>
      <c r="BJ465" s="31" t="n">
        <f aca="false">IF(CK465="N",BR465,ROUNDDOWN((I465-L465)*設定!$B$10/1000,0)+ROUNDDOWN((I465-L465)*設定!$B$11/1000,0))</f>
        <v>0</v>
      </c>
      <c r="BK465" s="31" t="n">
        <f aca="false">ROUNDDOWN((I465-L465)*設定!$C$10/1000,0)+ROUNDDOWN((I465-L465)*設定!$C$11/1000,0)+ROUNDDOWN(I465*設定!$C$12/1000,0)+IF(CL465="市局型",ROUNDDOWN(I465*設定!$C$16/1000,0),0)</f>
        <v>0</v>
      </c>
      <c r="BL465" s="31" t="n">
        <f aca="false">IF(CK465="N",BT465,ROUNDDOWN((J465-M465)*設定!$B$13/1000,0))</f>
        <v>0</v>
      </c>
      <c r="BM465" s="31" t="n">
        <f aca="false">ROUNDDOWN((J465-M465)*設定!$C$13/1000,0)+IF(CL465="市局型",ROUNDDOWN(J465*設定!$C$17/1000,0),0)</f>
        <v>0</v>
      </c>
      <c r="BN465" s="31" t="n">
        <f aca="false">IF(CK465="N",BV465,ROUNDDOWN((K465-N465)*設定!$B$14/1000,0))</f>
        <v>0</v>
      </c>
      <c r="BO465" s="31" t="n">
        <f aca="false">ROUNDDOWN((K465-N465)*設定!$C$14/1000,0)</f>
        <v>0</v>
      </c>
      <c r="BP465" s="31" t="n">
        <f aca="false">IF(CK465="N",BX465,ROUNDDOWN((J465-M465)*設定!$B$15/1000,0))</f>
        <v>0</v>
      </c>
      <c r="BQ465" s="31" t="n">
        <f aca="false">ROUNDDOWN((J465-M465)*設定!$C$15/1000,0)</f>
        <v>0</v>
      </c>
      <c r="BR465" s="31" t="n">
        <f aca="false">O465+P465</f>
        <v>0</v>
      </c>
      <c r="BS465" s="31" t="n">
        <f aca="false">T465+U465+V465</f>
        <v>0</v>
      </c>
      <c r="BT465" s="31" t="n">
        <f aca="false">Q465</f>
        <v>0</v>
      </c>
      <c r="BU465" s="31" t="n">
        <f aca="false">W465</f>
        <v>0</v>
      </c>
      <c r="BV465" s="31" t="n">
        <f aca="false">R465</f>
        <v>0</v>
      </c>
      <c r="BW465" s="31" t="n">
        <f aca="false">X465</f>
        <v>0</v>
      </c>
      <c r="BX465" s="31" t="n">
        <f aca="false">S465</f>
        <v>0</v>
      </c>
      <c r="BY465" s="31" t="n">
        <f aca="false">Y465</f>
        <v>0</v>
      </c>
      <c r="BZ465" s="32" t="n">
        <f aca="false">IF(BJ465=0,IF(BR465=0,0,1),(BR465-BJ465)/BJ465)</f>
        <v>0</v>
      </c>
      <c r="CA465" s="32" t="n">
        <f aca="false">IF(BK465=0,IF(BS465=0,0,1),(BS465-BK465)/BK465)</f>
        <v>0</v>
      </c>
      <c r="CB465" s="32" t="n">
        <f aca="false">IF(BL465=0,IF(BT465=0,0,1),(BT465-BL465)/BL465)</f>
        <v>0</v>
      </c>
      <c r="CC465" s="32" t="n">
        <f aca="false">IF(BM465=0,IF(BU465=0,0,1),(BU465-BM465)/BM465)</f>
        <v>0</v>
      </c>
      <c r="CD465" s="32" t="n">
        <f aca="false">IF(BN465=0,IF(BV465=0,0,1),(BV465-BN465)/BN465)</f>
        <v>0</v>
      </c>
      <c r="CE465" s="32" t="n">
        <f aca="false">IF(BO465=0,IF(BW465=0,0,1),(BW465-BO465)/BO465)</f>
        <v>0</v>
      </c>
      <c r="CF465" s="32" t="n">
        <f aca="false">IF(BP465=0,IF(BX465=0,0,1),(BX465-BP465)/BP465)</f>
        <v>0</v>
      </c>
      <c r="CG465" s="32" t="n">
        <f aca="false">IF(BQ465=0,IF(BY465=0,0,1),(BY465-BQ465)/BQ465)</f>
        <v>0</v>
      </c>
      <c r="CH465" s="32" t="n">
        <f aca="false">MAX(MAX(BZ465:CG465),-MIN(BZ465:CG465))</f>
        <v>-0</v>
      </c>
      <c r="CI465" s="31" t="str">
        <f aca="false">IF(CO465="","",SUMIFS($CJ$7:$CJ$696,$A$7:$A$696,CO465,$B$7:$B$696,B465))</f>
        <v/>
      </c>
      <c r="CJ465" s="31" t="n">
        <f aca="false">SUM(AY465:BI465)</f>
        <v>0</v>
      </c>
      <c r="CK465" s="31" t="str">
        <f aca="false">IFERROR(INDEX(設定!$F$61:$F$106,MATCH(B465,設定!$B$61:$B$106,0)),"Y")</f>
        <v>N</v>
      </c>
      <c r="CL465" s="31" t="str">
        <f aca="false">IFERROR(INDEX(設定!$G$61:$G$106,MATCH(B465,設定!$B$61:$B$106,0)),"外郭型")</f>
        <v>外郭型</v>
      </c>
      <c r="CM465" s="33" t="str">
        <f aca="false">A465&amp;"|"&amp;B465</f>
        <v>2026-12 賞与|水道労働組合</v>
      </c>
      <c r="CN465" s="34" t="str">
        <f aca="false">IFERROR(INDEX(設定!$D$61:$D$106,MATCH(B465,設定!$B$61:$B$106,0)),"Y")</f>
        <v>Y</v>
      </c>
      <c r="CO465" s="34" t="str">
        <f aca="false">IFERROR(INDEX(設定!$D$20:$D$34,MATCH(A465,設定!$A$20:$A$34,0))&amp;"","")</f>
        <v/>
      </c>
    </row>
    <row r="466" customFormat="false" ht="15" hidden="true" customHeight="false" outlineLevel="0" collapsed="false">
      <c r="A466" s="22" t="s">
        <v>225</v>
      </c>
      <c r="B466" s="23" t="s">
        <v>214</v>
      </c>
      <c r="C466" s="10" t="str">
        <f aca="false">IF(G466="","未受領",IF(G466="なし","報告なし",IF(AL466="○","起票済",IF(OR(AK466="○",F466="一致",F466="入金不要"),"入金確認済","受領済"))))</f>
        <v>報告なし</v>
      </c>
      <c r="D466" s="10" t="str">
        <f aca="false">IF(OR(G466="",G466="なし"),"―",IF(CN466="N","対象外",IF(AND(I466="",J466="",K466=""),"標報未入力",IF(CH466&gt;=設定!$B$4,"要確認","問題なし"))))</f>
        <v>―</v>
      </c>
      <c r="E466" s="24" t="str">
        <f aca="false">IF(OR(G466="",G466="なし",CI466="",CJ466=0),"―",IF(CJ466=CI466,"前月同額",IF(CI466=0,"―",IF(ABS(CJ466/CI466-1)&gt;=設定!$B$5,"変動大 "&amp;TEXT(CJ466/CI466-1,"+0%;-0%"),"〇"))))</f>
        <v>―</v>
      </c>
      <c r="F466" s="10" t="str">
        <f aca="false">IF(OR(G466="",G466="なし"),"―",IF(CJ466=0,"入金不要",IF(COUNT(AD466,AF466,AH466,AJ466)=0,IF(AK466="○","手動確認","未入金"),IF(AND(N(AD466)=AC466,IF(AE466="",TRUE(),N(AF466)=AE466),IF(AG466="",TRUE(),N(AH466)=AG466),IF(AI466="",TRUE(),N(AJ466)=AI466)),"一致","不一致"))))</f>
        <v>―</v>
      </c>
      <c r="G466" s="25" t="s">
        <v>181</v>
      </c>
      <c r="H466" s="26"/>
      <c r="I466" s="27"/>
      <c r="J466" s="27"/>
      <c r="K466" s="27"/>
      <c r="L466" s="27"/>
      <c r="M466" s="27"/>
      <c r="N466" s="27"/>
      <c r="O466" s="27"/>
      <c r="P466" s="27"/>
      <c r="Q466" s="27"/>
      <c r="R466" s="27"/>
      <c r="S466" s="27"/>
      <c r="T466" s="27"/>
      <c r="U466" s="27"/>
      <c r="V466" s="27"/>
      <c r="W466" s="27"/>
      <c r="X466" s="27"/>
      <c r="Y466" s="27"/>
      <c r="Z466" s="27"/>
      <c r="AA466" s="10" t="str">
        <f aca="false">IFERROR(INDEX(設定!$E$61:$E$106,MATCH(B466,設定!$B$61:$B$106,0)),"合算")</f>
        <v>合算</v>
      </c>
      <c r="AB466" s="28"/>
      <c r="AC466" s="29" t="str">
        <f aca="false">IF(OR(G466="",G466="なし"),"",IF(AA466="合算",CJ466+N(Z466),IF(AA466="掛金・負担金別",(AY466+AZ466+BD466+BF466+BH466),SUM(AY466:BC466))))</f>
        <v/>
      </c>
      <c r="AD466" s="27"/>
      <c r="AE466" s="29" t="str">
        <f aca="false">IF(OR(G466="",G466="なし"),"",IF(AA466="掛金・負担金別",(BA466+BB466+BC466+BE466+BG466+BI466+N(Z466)),IF(AA466="経理区分別",BD466+BE466,"")))</f>
        <v/>
      </c>
      <c r="AF466" s="27"/>
      <c r="AG466" s="29" t="str">
        <f aca="false">IF(OR(G466="",G466="なし"),"",IF(AA466="経理区分別",BF466+BG466,""))</f>
        <v/>
      </c>
      <c r="AH466" s="27"/>
      <c r="AI466" s="29" t="str">
        <f aca="false">IF(OR(G466="",G466="なし"),"",IF(AA466="経理区分別",BH466+BI466+N(Z466),""))</f>
        <v/>
      </c>
      <c r="AJ466" s="27"/>
      <c r="AK466" s="26"/>
      <c r="AL466" s="26"/>
      <c r="AM466" s="30"/>
      <c r="AN466" s="31"/>
      <c r="AO466" s="31"/>
      <c r="AP466" s="31"/>
      <c r="AQ466" s="31"/>
      <c r="AR466" s="31"/>
      <c r="AS466" s="31"/>
      <c r="AT466" s="31"/>
      <c r="AU466" s="31"/>
      <c r="AV466" s="31"/>
      <c r="AW466" s="31"/>
      <c r="AX466" s="31"/>
      <c r="AY466" s="31" t="n">
        <f aca="false">IF($G466="",AN466,O466)</f>
        <v>0</v>
      </c>
      <c r="AZ466" s="31" t="n">
        <f aca="false">IF($G466="",AO466,P466)</f>
        <v>0</v>
      </c>
      <c r="BA466" s="31" t="n">
        <f aca="false">IF($G466="",AP466,T466)</f>
        <v>0</v>
      </c>
      <c r="BB466" s="31" t="n">
        <f aca="false">IF($G466="",AQ466,U466)</f>
        <v>0</v>
      </c>
      <c r="BC466" s="31" t="n">
        <f aca="false">IF($G466="",AR466,V466)</f>
        <v>0</v>
      </c>
      <c r="BD466" s="31" t="n">
        <f aca="false">IF($G466="",AS466,Q466)</f>
        <v>0</v>
      </c>
      <c r="BE466" s="31" t="n">
        <f aca="false">IF($G466="",AT466,W466)</f>
        <v>0</v>
      </c>
      <c r="BF466" s="31" t="n">
        <f aca="false">IF($G466="",AU466,R466)</f>
        <v>0</v>
      </c>
      <c r="BG466" s="31" t="n">
        <f aca="false">IF($G466="",AV466,X466)</f>
        <v>0</v>
      </c>
      <c r="BH466" s="31" t="n">
        <f aca="false">IF($G466="",AW466,S466)</f>
        <v>0</v>
      </c>
      <c r="BI466" s="31" t="n">
        <f aca="false">IF($G466="",AX466,Y466)</f>
        <v>0</v>
      </c>
      <c r="BJ466" s="31" t="n">
        <f aca="false">IF(CK466="N",BR466,ROUNDDOWN((I466-L466)*設定!$B$10/1000,0)+ROUNDDOWN((I466-L466)*設定!$B$11/1000,0))</f>
        <v>0</v>
      </c>
      <c r="BK466" s="31" t="n">
        <f aca="false">ROUNDDOWN((I466-L466)*設定!$C$10/1000,0)+ROUNDDOWN((I466-L466)*設定!$C$11/1000,0)+ROUNDDOWN(I466*設定!$C$12/1000,0)+IF(CL466="市局型",ROUNDDOWN(I466*設定!$C$16/1000,0),0)</f>
        <v>0</v>
      </c>
      <c r="BL466" s="31" t="n">
        <f aca="false">IF(CK466="N",BT466,ROUNDDOWN((J466-M466)*設定!$B$13/1000,0))</f>
        <v>0</v>
      </c>
      <c r="BM466" s="31" t="n">
        <f aca="false">ROUNDDOWN((J466-M466)*設定!$C$13/1000,0)+IF(CL466="市局型",ROUNDDOWN(J466*設定!$C$17/1000,0),0)</f>
        <v>0</v>
      </c>
      <c r="BN466" s="31" t="n">
        <f aca="false">IF(CK466="N",BV466,ROUNDDOWN((K466-N466)*設定!$B$14/1000,0))</f>
        <v>0</v>
      </c>
      <c r="BO466" s="31" t="n">
        <f aca="false">ROUNDDOWN((K466-N466)*設定!$C$14/1000,0)</f>
        <v>0</v>
      </c>
      <c r="BP466" s="31" t="n">
        <f aca="false">IF(CK466="N",BX466,ROUNDDOWN((J466-M466)*設定!$B$15/1000,0))</f>
        <v>0</v>
      </c>
      <c r="BQ466" s="31" t="n">
        <f aca="false">ROUNDDOWN((J466-M466)*設定!$C$15/1000,0)</f>
        <v>0</v>
      </c>
      <c r="BR466" s="31" t="n">
        <f aca="false">O466+P466</f>
        <v>0</v>
      </c>
      <c r="BS466" s="31" t="n">
        <f aca="false">T466+U466+V466</f>
        <v>0</v>
      </c>
      <c r="BT466" s="31" t="n">
        <f aca="false">Q466</f>
        <v>0</v>
      </c>
      <c r="BU466" s="31" t="n">
        <f aca="false">W466</f>
        <v>0</v>
      </c>
      <c r="BV466" s="31" t="n">
        <f aca="false">R466</f>
        <v>0</v>
      </c>
      <c r="BW466" s="31" t="n">
        <f aca="false">X466</f>
        <v>0</v>
      </c>
      <c r="BX466" s="31" t="n">
        <f aca="false">S466</f>
        <v>0</v>
      </c>
      <c r="BY466" s="31" t="n">
        <f aca="false">Y466</f>
        <v>0</v>
      </c>
      <c r="BZ466" s="32" t="n">
        <f aca="false">IF(BJ466=0,IF(BR466=0,0,1),(BR466-BJ466)/BJ466)</f>
        <v>0</v>
      </c>
      <c r="CA466" s="32" t="n">
        <f aca="false">IF(BK466=0,IF(BS466=0,0,1),(BS466-BK466)/BK466)</f>
        <v>0</v>
      </c>
      <c r="CB466" s="32" t="n">
        <f aca="false">IF(BL466=0,IF(BT466=0,0,1),(BT466-BL466)/BL466)</f>
        <v>0</v>
      </c>
      <c r="CC466" s="32" t="n">
        <f aca="false">IF(BM466=0,IF(BU466=0,0,1),(BU466-BM466)/BM466)</f>
        <v>0</v>
      </c>
      <c r="CD466" s="32" t="n">
        <f aca="false">IF(BN466=0,IF(BV466=0,0,1),(BV466-BN466)/BN466)</f>
        <v>0</v>
      </c>
      <c r="CE466" s="32" t="n">
        <f aca="false">IF(BO466=0,IF(BW466=0,0,1),(BW466-BO466)/BO466)</f>
        <v>0</v>
      </c>
      <c r="CF466" s="32" t="n">
        <f aca="false">IF(BP466=0,IF(BX466=0,0,1),(BX466-BP466)/BP466)</f>
        <v>0</v>
      </c>
      <c r="CG466" s="32" t="n">
        <f aca="false">IF(BQ466=0,IF(BY466=0,0,1),(BY466-BQ466)/BQ466)</f>
        <v>0</v>
      </c>
      <c r="CH466" s="32" t="n">
        <f aca="false">MAX(MAX(BZ466:CG466),-MIN(BZ466:CG466))</f>
        <v>-0</v>
      </c>
      <c r="CI466" s="31" t="str">
        <f aca="false">IF(CO466="","",SUMIFS($CJ$7:$CJ$696,$A$7:$A$696,CO466,$B$7:$B$696,B466))</f>
        <v/>
      </c>
      <c r="CJ466" s="31" t="n">
        <f aca="false">SUM(AY466:BI466)</f>
        <v>0</v>
      </c>
      <c r="CK466" s="31" t="str">
        <f aca="false">IFERROR(INDEX(設定!$F$61:$F$106,MATCH(B466,設定!$B$61:$B$106,0)),"Y")</f>
        <v>Y</v>
      </c>
      <c r="CL466" s="31" t="str">
        <f aca="false">IFERROR(INDEX(設定!$G$61:$G$106,MATCH(B466,設定!$B$61:$B$106,0)),"外郭型")</f>
        <v>外郭型</v>
      </c>
      <c r="CM466" s="33" t="str">
        <f aca="false">A466&amp;"|"&amp;B466</f>
        <v>2026-12 賞与|任意継続組合員</v>
      </c>
      <c r="CN466" s="34" t="str">
        <f aca="false">IFERROR(INDEX(設定!$D$61:$D$106,MATCH(B466,設定!$B$61:$B$106,0)),"Y")</f>
        <v>N</v>
      </c>
      <c r="CO466" s="34" t="str">
        <f aca="false">IFERROR(INDEX(設定!$D$20:$D$34,MATCH(A466,設定!$A$20:$A$34,0))&amp;"","")</f>
        <v/>
      </c>
    </row>
    <row r="467" customFormat="false" ht="15" hidden="true" customHeight="false" outlineLevel="0" collapsed="false">
      <c r="A467" s="22" t="s">
        <v>226</v>
      </c>
      <c r="B467" s="23" t="s">
        <v>166</v>
      </c>
      <c r="C467" s="10" t="str">
        <f aca="false">IF(G467="","未受領",IF(G467="なし","報告なし",IF(AL467="○","起票済",IF(OR(AK467="○",F467="一致",F467="入金不要"),"入金確認済","受領済"))))</f>
        <v>未受領</v>
      </c>
      <c r="D467" s="10" t="str">
        <f aca="false">IF(OR(G467="",G467="なし"),"―",IF(CN467="N","対象外",IF(AND(I467="",J467="",K467=""),"標報未入力",IF(CH467&gt;=設定!$B$4,"要確認","問題なし"))))</f>
        <v>―</v>
      </c>
      <c r="E467" s="24" t="str">
        <f aca="false">IF(OR(G467="",G467="なし",CI467="",CJ467=0),"―",IF(CJ467=CI467,"前月同額",IF(CI467=0,"―",IF(ABS(CJ467/CI467-1)&gt;=設定!$B$5,"変動大 "&amp;TEXT(CJ467/CI467-1,"+0%;-0%"),"〇"))))</f>
        <v>―</v>
      </c>
      <c r="F467" s="10" t="str">
        <f aca="false">IF(OR(G467="",G467="なし"),"―",IF(CJ467=0,"入金不要",IF(COUNT(AD467,AF467,AH467,AJ467)=0,IF(AK467="○","手動確認","未入金"),IF(AND(N(AD467)=AC467,IF(AE467="",TRUE(),N(AF467)=AE467),IF(AG467="",TRUE(),N(AH467)=AG467),IF(AI467="",TRUE(),N(AJ467)=AI467)),"一致","不一致"))))</f>
        <v>―</v>
      </c>
      <c r="G467" s="25"/>
      <c r="H467" s="26"/>
      <c r="I467" s="27"/>
      <c r="J467" s="27"/>
      <c r="K467" s="27"/>
      <c r="L467" s="27"/>
      <c r="M467" s="27"/>
      <c r="N467" s="27"/>
      <c r="O467" s="27"/>
      <c r="P467" s="27"/>
      <c r="Q467" s="27"/>
      <c r="R467" s="27"/>
      <c r="S467" s="27"/>
      <c r="T467" s="27"/>
      <c r="U467" s="27"/>
      <c r="V467" s="27"/>
      <c r="W467" s="27"/>
      <c r="X467" s="27"/>
      <c r="Y467" s="27"/>
      <c r="Z467" s="27"/>
      <c r="AA467" s="10" t="str">
        <f aca="false">IFERROR(INDEX(設定!$E$61:$E$106,MATCH(B467,設定!$B$61:$B$106,0)),"合算")</f>
        <v>合算</v>
      </c>
      <c r="AB467" s="28"/>
      <c r="AC467" s="29" t="str">
        <f aca="false">IF(OR(G467="",G467="なし"),"",IF(AA467="合算",CJ467+N(Z467),IF(AA467="掛金・負担金別",(AY467+AZ467+BD467+BF467+BH467),SUM(AY467:BC467))))</f>
        <v/>
      </c>
      <c r="AD467" s="27"/>
      <c r="AE467" s="29" t="str">
        <f aca="false">IF(OR(G467="",G467="なし"),"",IF(AA467="掛金・負担金別",(BA467+BB467+BC467+BE467+BG467+BI467+N(Z467)),IF(AA467="経理区分別",BD467+BE467,"")))</f>
        <v/>
      </c>
      <c r="AF467" s="27"/>
      <c r="AG467" s="29" t="str">
        <f aca="false">IF(OR(G467="",G467="なし"),"",IF(AA467="経理区分別",BF467+BG467,""))</f>
        <v/>
      </c>
      <c r="AH467" s="27"/>
      <c r="AI467" s="29" t="str">
        <f aca="false">IF(OR(G467="",G467="なし"),"",IF(AA467="経理区分別",BH467+BI467+N(Z467),""))</f>
        <v/>
      </c>
      <c r="AJ467" s="27"/>
      <c r="AK467" s="26"/>
      <c r="AL467" s="26"/>
      <c r="AM467" s="30"/>
      <c r="AN467" s="31" t="n">
        <v>233126170</v>
      </c>
      <c r="AO467" s="31" t="n">
        <v>19113577</v>
      </c>
      <c r="AP467" s="31" t="n">
        <v>339305043</v>
      </c>
      <c r="AQ467" s="31" t="n">
        <v>18598079</v>
      </c>
      <c r="AR467" s="31" t="n">
        <v>244998</v>
      </c>
      <c r="AS467" s="31" t="n">
        <v>180684280</v>
      </c>
      <c r="AT467" s="31" t="n">
        <v>179903134</v>
      </c>
      <c r="AU467" s="31" t="n">
        <v>15817033</v>
      </c>
      <c r="AV467" s="31" t="n">
        <v>15370794</v>
      </c>
      <c r="AW467" s="31" t="n">
        <v>1</v>
      </c>
      <c r="AX467" s="31" t="n">
        <v>1</v>
      </c>
      <c r="AY467" s="31" t="n">
        <f aca="false">IF($G467="",AN467,O467)</f>
        <v>233126170</v>
      </c>
      <c r="AZ467" s="31" t="n">
        <f aca="false">IF($G467="",AO467,P467)</f>
        <v>19113577</v>
      </c>
      <c r="BA467" s="31" t="n">
        <f aca="false">IF($G467="",AP467,T467)</f>
        <v>339305043</v>
      </c>
      <c r="BB467" s="31" t="n">
        <f aca="false">IF($G467="",AQ467,U467)</f>
        <v>18598079</v>
      </c>
      <c r="BC467" s="31" t="n">
        <f aca="false">IF($G467="",AR467,V467)</f>
        <v>244998</v>
      </c>
      <c r="BD467" s="31" t="n">
        <f aca="false">IF($G467="",AS467,Q467)</f>
        <v>180684280</v>
      </c>
      <c r="BE467" s="31" t="n">
        <f aca="false">IF($G467="",AT467,W467)</f>
        <v>179903134</v>
      </c>
      <c r="BF467" s="31" t="n">
        <f aca="false">IF($G467="",AU467,R467)</f>
        <v>15817033</v>
      </c>
      <c r="BG467" s="31" t="n">
        <f aca="false">IF($G467="",AV467,X467)</f>
        <v>15370794</v>
      </c>
      <c r="BH467" s="31" t="n">
        <f aca="false">IF($G467="",AW467,S467)</f>
        <v>1</v>
      </c>
      <c r="BI467" s="31" t="n">
        <f aca="false">IF($G467="",AX467,Y467)</f>
        <v>1</v>
      </c>
      <c r="BJ467" s="31" t="n">
        <f aca="false">IF(CK467="N",BR467,ROUNDDOWN((I467-L467)*設定!$B$10/1000,0)+ROUNDDOWN((I467-L467)*設定!$B$11/1000,0))</f>
        <v>0</v>
      </c>
      <c r="BK467" s="31" t="n">
        <f aca="false">ROUNDDOWN((I467-L467)*設定!$C$10/1000,0)+ROUNDDOWN((I467-L467)*設定!$C$11/1000,0)+ROUNDDOWN(I467*設定!$C$12/1000,0)+IF(CL467="市局型",ROUNDDOWN(I467*設定!$C$16/1000,0),0)</f>
        <v>0</v>
      </c>
      <c r="BL467" s="31" t="n">
        <f aca="false">IF(CK467="N",BT467,ROUNDDOWN((J467-M467)*設定!$B$13/1000,0))</f>
        <v>0</v>
      </c>
      <c r="BM467" s="31" t="n">
        <f aca="false">ROUNDDOWN((J467-M467)*設定!$C$13/1000,0)+IF(CL467="市局型",ROUNDDOWN(J467*設定!$C$17/1000,0),0)</f>
        <v>0</v>
      </c>
      <c r="BN467" s="31" t="n">
        <f aca="false">IF(CK467="N",BV467,ROUNDDOWN((K467-N467)*設定!$B$14/1000,0))</f>
        <v>0</v>
      </c>
      <c r="BO467" s="31" t="n">
        <f aca="false">ROUNDDOWN((K467-N467)*設定!$C$14/1000,0)</f>
        <v>0</v>
      </c>
      <c r="BP467" s="31" t="n">
        <f aca="false">IF(CK467="N",BX467,ROUNDDOWN((J467-M467)*設定!$B$15/1000,0))</f>
        <v>0</v>
      </c>
      <c r="BQ467" s="31" t="n">
        <f aca="false">ROUNDDOWN((J467-M467)*設定!$C$15/1000,0)</f>
        <v>0</v>
      </c>
      <c r="BR467" s="31" t="n">
        <f aca="false">O467+P467</f>
        <v>0</v>
      </c>
      <c r="BS467" s="31" t="n">
        <f aca="false">T467+U467+V467</f>
        <v>0</v>
      </c>
      <c r="BT467" s="31" t="n">
        <f aca="false">Q467</f>
        <v>0</v>
      </c>
      <c r="BU467" s="31" t="n">
        <f aca="false">W467</f>
        <v>0</v>
      </c>
      <c r="BV467" s="31" t="n">
        <f aca="false">R467</f>
        <v>0</v>
      </c>
      <c r="BW467" s="31" t="n">
        <f aca="false">X467</f>
        <v>0</v>
      </c>
      <c r="BX467" s="31" t="n">
        <f aca="false">S467</f>
        <v>0</v>
      </c>
      <c r="BY467" s="31" t="n">
        <f aca="false">Y467</f>
        <v>0</v>
      </c>
      <c r="BZ467" s="32" t="n">
        <f aca="false">IF(BJ467=0,IF(BR467=0,0,1),(BR467-BJ467)/BJ467)</f>
        <v>0</v>
      </c>
      <c r="CA467" s="32" t="n">
        <f aca="false">IF(BK467=0,IF(BS467=0,0,1),(BS467-BK467)/BK467)</f>
        <v>0</v>
      </c>
      <c r="CB467" s="32" t="n">
        <f aca="false">IF(BL467=0,IF(BT467=0,0,1),(BT467-BL467)/BL467)</f>
        <v>0</v>
      </c>
      <c r="CC467" s="32" t="n">
        <f aca="false">IF(BM467=0,IF(BU467=0,0,1),(BU467-BM467)/BM467)</f>
        <v>0</v>
      </c>
      <c r="CD467" s="32" t="n">
        <f aca="false">IF(BN467=0,IF(BV467=0,0,1),(BV467-BN467)/BN467)</f>
        <v>0</v>
      </c>
      <c r="CE467" s="32" t="n">
        <f aca="false">IF(BO467=0,IF(BW467=0,0,1),(BW467-BO467)/BO467)</f>
        <v>0</v>
      </c>
      <c r="CF467" s="32" t="n">
        <f aca="false">IF(BP467=0,IF(BX467=0,0,1),(BX467-BP467)/BP467)</f>
        <v>0</v>
      </c>
      <c r="CG467" s="32" t="n">
        <f aca="false">IF(BQ467=0,IF(BY467=0,0,1),(BY467-BQ467)/BQ467)</f>
        <v>0</v>
      </c>
      <c r="CH467" s="32" t="n">
        <f aca="false">MAX(MAX(BZ467:CG467),-MIN(BZ467:CG467))</f>
        <v>-0</v>
      </c>
      <c r="CI467" s="31" t="n">
        <f aca="false">IF(CO467="","",SUMIFS($CJ$7:$CJ$696,$A$7:$A$696,CO467,$B$7:$B$696,B467))</f>
        <v>1001127409</v>
      </c>
      <c r="CJ467" s="31" t="n">
        <f aca="false">SUM(AY467:BI467)</f>
        <v>1002163110</v>
      </c>
      <c r="CK467" s="31" t="str">
        <f aca="false">IFERROR(INDEX(設定!$F$61:$F$106,MATCH(B467,設定!$B$61:$B$106,0)),"Y")</f>
        <v>Y</v>
      </c>
      <c r="CL467" s="31" t="str">
        <f aca="false">IFERROR(INDEX(設定!$G$61:$G$106,MATCH(B467,設定!$B$61:$B$106,0)),"外郭型")</f>
        <v>市局型</v>
      </c>
      <c r="CM467" s="33" t="str">
        <f aca="false">A467&amp;"|"&amp;B467</f>
        <v>2026-12 月例|市長部局</v>
      </c>
      <c r="CN467" s="34" t="str">
        <f aca="false">IFERROR(INDEX(設定!$D$61:$D$106,MATCH(B467,設定!$B$61:$B$106,0)),"Y")</f>
        <v>N</v>
      </c>
      <c r="CO467" s="34" t="str">
        <f aca="false">IFERROR(INDEX(設定!$D$20:$D$34,MATCH(A467,設定!$A$20:$A$34,0))&amp;"","")</f>
        <v>2026-11 月例</v>
      </c>
    </row>
    <row r="468" customFormat="false" ht="15" hidden="true" customHeight="false" outlineLevel="0" collapsed="false">
      <c r="A468" s="22" t="s">
        <v>226</v>
      </c>
      <c r="B468" s="23" t="s">
        <v>169</v>
      </c>
      <c r="C468" s="10" t="str">
        <f aca="false">IF(G468="","未受領",IF(G468="なし","報告なし",IF(AL468="○","起票済",IF(OR(AK468="○",F468="一致",F468="入金不要"),"入金確認済","受領済"))))</f>
        <v>未受領</v>
      </c>
      <c r="D468" s="10" t="str">
        <f aca="false">IF(OR(G468="",G468="なし"),"―",IF(CN468="N","対象外",IF(AND(I468="",J468="",K468=""),"標報未入力",IF(CH468&gt;=設定!$B$4,"要確認","問題なし"))))</f>
        <v>―</v>
      </c>
      <c r="E468" s="24" t="str">
        <f aca="false">IF(OR(G468="",G468="なし",CI468="",CJ468=0),"―",IF(CJ468=CI468,"前月同額",IF(CI468=0,"―",IF(ABS(CJ468/CI468-1)&gt;=設定!$B$5,"変動大 "&amp;TEXT(CJ468/CI468-1,"+0%;-0%"),"〇"))))</f>
        <v>―</v>
      </c>
      <c r="F468" s="10" t="str">
        <f aca="false">IF(OR(G468="",G468="なし"),"―",IF(CJ468=0,"入金不要",IF(COUNT(AD468,AF468,AH468,AJ468)=0,IF(AK468="○","手動確認","未入金"),IF(AND(N(AD468)=AC468,IF(AE468="",TRUE(),N(AF468)=AE468),IF(AG468="",TRUE(),N(AH468)=AG468),IF(AI468="",TRUE(),N(AJ468)=AI468)),"一致","不一致"))))</f>
        <v>―</v>
      </c>
      <c r="G468" s="25"/>
      <c r="H468" s="26"/>
      <c r="I468" s="27"/>
      <c r="J468" s="27"/>
      <c r="K468" s="27"/>
      <c r="L468" s="27"/>
      <c r="M468" s="27"/>
      <c r="N468" s="27"/>
      <c r="O468" s="27"/>
      <c r="P468" s="27"/>
      <c r="Q468" s="27"/>
      <c r="R468" s="27"/>
      <c r="S468" s="27"/>
      <c r="T468" s="27"/>
      <c r="U468" s="27"/>
      <c r="V468" s="27"/>
      <c r="W468" s="27"/>
      <c r="X468" s="27"/>
      <c r="Y468" s="27"/>
      <c r="Z468" s="27"/>
      <c r="AA468" s="10" t="str">
        <f aca="false">IFERROR(INDEX(設定!$E$61:$E$106,MATCH(B468,設定!$B$61:$B$106,0)),"合算")</f>
        <v>合算</v>
      </c>
      <c r="AB468" s="28"/>
      <c r="AC468" s="29" t="str">
        <f aca="false">IF(OR(G468="",G468="なし"),"",IF(AA468="合算",CJ468+N(Z468),IF(AA468="掛金・負担金別",(AY468+AZ468+BD468+BF468+BH468),SUM(AY468:BC468))))</f>
        <v/>
      </c>
      <c r="AD468" s="27"/>
      <c r="AE468" s="29" t="str">
        <f aca="false">IF(OR(G468="",G468="なし"),"",IF(AA468="掛金・負担金別",(BA468+BB468+BC468+BE468+BG468+BI468+N(Z468)),IF(AA468="経理区分別",BD468+BE468,"")))</f>
        <v/>
      </c>
      <c r="AF468" s="27"/>
      <c r="AG468" s="29" t="str">
        <f aca="false">IF(OR(G468="",G468="なし"),"",IF(AA468="経理区分別",BF468+BG468,""))</f>
        <v/>
      </c>
      <c r="AH468" s="27"/>
      <c r="AI468" s="29" t="str">
        <f aca="false">IF(OR(G468="",G468="なし"),"",IF(AA468="経理区分別",BH468+BI468+N(Z468),""))</f>
        <v/>
      </c>
      <c r="AJ468" s="27"/>
      <c r="AK468" s="26"/>
      <c r="AL468" s="26"/>
      <c r="AM468" s="30"/>
      <c r="AN468" s="31" t="n">
        <v>16545945</v>
      </c>
      <c r="AO468" s="31" t="n">
        <v>1356225</v>
      </c>
      <c r="AP468" s="31" t="n">
        <v>24116790</v>
      </c>
      <c r="AQ468" s="31" t="n">
        <v>1356225</v>
      </c>
      <c r="AR468" s="31" t="n">
        <v>17124</v>
      </c>
      <c r="AS468" s="31" t="n">
        <v>10364462</v>
      </c>
      <c r="AT468" s="31" t="n">
        <v>10548958</v>
      </c>
      <c r="AU468" s="31" t="n">
        <v>1033666</v>
      </c>
      <c r="AV468" s="31" t="n">
        <v>1033666</v>
      </c>
      <c r="AW468" s="31" t="n">
        <v>1</v>
      </c>
      <c r="AX468" s="31" t="n">
        <v>1</v>
      </c>
      <c r="AY468" s="31" t="n">
        <f aca="false">IF($G468="",AN468,O468)</f>
        <v>16545945</v>
      </c>
      <c r="AZ468" s="31" t="n">
        <f aca="false">IF($G468="",AO468,P468)</f>
        <v>1356225</v>
      </c>
      <c r="BA468" s="31" t="n">
        <f aca="false">IF($G468="",AP468,T468)</f>
        <v>24116790</v>
      </c>
      <c r="BB468" s="31" t="n">
        <f aca="false">IF($G468="",AQ468,U468)</f>
        <v>1356225</v>
      </c>
      <c r="BC468" s="31" t="n">
        <f aca="false">IF($G468="",AR468,V468)</f>
        <v>17124</v>
      </c>
      <c r="BD468" s="31" t="n">
        <f aca="false">IF($G468="",AS468,Q468)</f>
        <v>10364462</v>
      </c>
      <c r="BE468" s="31" t="n">
        <f aca="false">IF($G468="",AT468,W468)</f>
        <v>10548958</v>
      </c>
      <c r="BF468" s="31" t="n">
        <f aca="false">IF($G468="",AU468,R468)</f>
        <v>1033666</v>
      </c>
      <c r="BG468" s="31" t="n">
        <f aca="false">IF($G468="",AV468,X468)</f>
        <v>1033666</v>
      </c>
      <c r="BH468" s="31" t="n">
        <f aca="false">IF($G468="",AW468,S468)</f>
        <v>1</v>
      </c>
      <c r="BI468" s="31" t="n">
        <f aca="false">IF($G468="",AX468,Y468)</f>
        <v>1</v>
      </c>
      <c r="BJ468" s="31" t="n">
        <f aca="false">IF(CK468="N",BR468,ROUNDDOWN((I468-L468)*設定!$B$10/1000,0)+ROUNDDOWN((I468-L468)*設定!$B$11/1000,0))</f>
        <v>0</v>
      </c>
      <c r="BK468" s="31" t="n">
        <f aca="false">ROUNDDOWN((I468-L468)*設定!$C$10/1000,0)+ROUNDDOWN((I468-L468)*設定!$C$11/1000,0)+ROUNDDOWN(I468*設定!$C$12/1000,0)+IF(CL468="市局型",ROUNDDOWN(I468*設定!$C$16/1000,0),0)</f>
        <v>0</v>
      </c>
      <c r="BL468" s="31" t="n">
        <f aca="false">IF(CK468="N",BT468,ROUNDDOWN((J468-M468)*設定!$B$13/1000,0))</f>
        <v>0</v>
      </c>
      <c r="BM468" s="31" t="n">
        <f aca="false">ROUNDDOWN((J468-M468)*設定!$C$13/1000,0)+IF(CL468="市局型",ROUNDDOWN(J468*設定!$C$17/1000,0),0)</f>
        <v>0</v>
      </c>
      <c r="BN468" s="31" t="n">
        <f aca="false">IF(CK468="N",BV468,ROUNDDOWN((K468-N468)*設定!$B$14/1000,0))</f>
        <v>0</v>
      </c>
      <c r="BO468" s="31" t="n">
        <f aca="false">ROUNDDOWN((K468-N468)*設定!$C$14/1000,0)</f>
        <v>0</v>
      </c>
      <c r="BP468" s="31" t="n">
        <f aca="false">IF(CK468="N",BX468,ROUNDDOWN((J468-M468)*設定!$B$15/1000,0))</f>
        <v>0</v>
      </c>
      <c r="BQ468" s="31" t="n">
        <f aca="false">ROUNDDOWN((J468-M468)*設定!$C$15/1000,0)</f>
        <v>0</v>
      </c>
      <c r="BR468" s="31" t="n">
        <f aca="false">O468+P468</f>
        <v>0</v>
      </c>
      <c r="BS468" s="31" t="n">
        <f aca="false">T468+U468+V468</f>
        <v>0</v>
      </c>
      <c r="BT468" s="31" t="n">
        <f aca="false">Q468</f>
        <v>0</v>
      </c>
      <c r="BU468" s="31" t="n">
        <f aca="false">W468</f>
        <v>0</v>
      </c>
      <c r="BV468" s="31" t="n">
        <f aca="false">R468</f>
        <v>0</v>
      </c>
      <c r="BW468" s="31" t="n">
        <f aca="false">X468</f>
        <v>0</v>
      </c>
      <c r="BX468" s="31" t="n">
        <f aca="false">S468</f>
        <v>0</v>
      </c>
      <c r="BY468" s="31" t="n">
        <f aca="false">Y468</f>
        <v>0</v>
      </c>
      <c r="BZ468" s="32" t="n">
        <f aca="false">IF(BJ468=0,IF(BR468=0,0,1),(BR468-BJ468)/BJ468)</f>
        <v>0</v>
      </c>
      <c r="CA468" s="32" t="n">
        <f aca="false">IF(BK468=0,IF(BS468=0,0,1),(BS468-BK468)/BK468)</f>
        <v>0</v>
      </c>
      <c r="CB468" s="32" t="n">
        <f aca="false">IF(BL468=0,IF(BT468=0,0,1),(BT468-BL468)/BL468)</f>
        <v>0</v>
      </c>
      <c r="CC468" s="32" t="n">
        <f aca="false">IF(BM468=0,IF(BU468=0,0,1),(BU468-BM468)/BM468)</f>
        <v>0</v>
      </c>
      <c r="CD468" s="32" t="n">
        <f aca="false">IF(BN468=0,IF(BV468=0,0,1),(BV468-BN468)/BN468)</f>
        <v>0</v>
      </c>
      <c r="CE468" s="32" t="n">
        <f aca="false">IF(BO468=0,IF(BW468=0,0,1),(BW468-BO468)/BO468)</f>
        <v>0</v>
      </c>
      <c r="CF468" s="32" t="n">
        <f aca="false">IF(BP468=0,IF(BX468=0,0,1),(BX468-BP468)/BP468)</f>
        <v>0</v>
      </c>
      <c r="CG468" s="32" t="n">
        <f aca="false">IF(BQ468=0,IF(BY468=0,0,1),(BY468-BQ468)/BQ468)</f>
        <v>0</v>
      </c>
      <c r="CH468" s="32" t="n">
        <f aca="false">MAX(MAX(BZ468:CG468),-MIN(BZ468:CG468))</f>
        <v>-0</v>
      </c>
      <c r="CI468" s="31" t="n">
        <f aca="false">IF(CO468="","",SUMIFS($CJ$7:$CJ$696,$A$7:$A$696,CO468,$B$7:$B$696,B468))</f>
        <v>66664601</v>
      </c>
      <c r="CJ468" s="31" t="n">
        <f aca="false">SUM(AY468:BI468)</f>
        <v>66373063</v>
      </c>
      <c r="CK468" s="31" t="str">
        <f aca="false">IFERROR(INDEX(設定!$F$61:$F$106,MATCH(B468,設定!$B$61:$B$106,0)),"Y")</f>
        <v>Y</v>
      </c>
      <c r="CL468" s="31" t="str">
        <f aca="false">IFERROR(INDEX(設定!$G$61:$G$106,MATCH(B468,設定!$B$61:$B$106,0)),"外郭型")</f>
        <v>市局型</v>
      </c>
      <c r="CM468" s="33" t="str">
        <f aca="false">A468&amp;"|"&amp;B468</f>
        <v>2026-12 月例|下水道局</v>
      </c>
      <c r="CN468" s="34" t="str">
        <f aca="false">IFERROR(INDEX(設定!$D$61:$D$106,MATCH(B468,設定!$B$61:$B$106,0)),"Y")</f>
        <v>Y</v>
      </c>
      <c r="CO468" s="34" t="str">
        <f aca="false">IFERROR(INDEX(設定!$D$20:$D$34,MATCH(A468,設定!$A$20:$A$34,0))&amp;"","")</f>
        <v>2026-11 月例</v>
      </c>
    </row>
    <row r="469" customFormat="false" ht="15" hidden="true" customHeight="false" outlineLevel="0" collapsed="false">
      <c r="A469" s="22" t="s">
        <v>226</v>
      </c>
      <c r="B469" s="23" t="s">
        <v>170</v>
      </c>
      <c r="C469" s="10" t="str">
        <f aca="false">IF(G469="","未受領",IF(G469="なし","報告なし",IF(AL469="○","起票済",IF(OR(AK469="○",F469="一致",F469="入金不要"),"入金確認済","受領済"))))</f>
        <v>未受領</v>
      </c>
      <c r="D469" s="10" t="str">
        <f aca="false">IF(OR(G469="",G469="なし"),"―",IF(CN469="N","対象外",IF(AND(I469="",J469="",K469=""),"標報未入力",IF(CH469&gt;=設定!$B$4,"要確認","問題なし"))))</f>
        <v>―</v>
      </c>
      <c r="E469" s="24" t="str">
        <f aca="false">IF(OR(G469="",G469="なし",CI469="",CJ469=0),"―",IF(CJ469=CI469,"前月同額",IF(CI469=0,"―",IF(ABS(CJ469/CI469-1)&gt;=設定!$B$5,"変動大 "&amp;TEXT(CJ469/CI469-1,"+0%;-0%"),"〇"))))</f>
        <v>―</v>
      </c>
      <c r="F469" s="10" t="str">
        <f aca="false">IF(OR(G469="",G469="なし"),"―",IF(CJ469=0,"入金不要",IF(COUNT(AD469,AF469,AH469,AJ469)=0,IF(AK469="○","手動確認","未入金"),IF(AND(N(AD469)=AC469,IF(AE469="",TRUE(),N(AF469)=AE469),IF(AG469="",TRUE(),N(AH469)=AG469),IF(AI469="",TRUE(),N(AJ469)=AI469)),"一致","不一致"))))</f>
        <v>―</v>
      </c>
      <c r="G469" s="25"/>
      <c r="H469" s="26"/>
      <c r="I469" s="27"/>
      <c r="J469" s="27"/>
      <c r="K469" s="27"/>
      <c r="L469" s="27"/>
      <c r="M469" s="27"/>
      <c r="N469" s="27"/>
      <c r="O469" s="27"/>
      <c r="P469" s="27"/>
      <c r="Q469" s="27"/>
      <c r="R469" s="27"/>
      <c r="S469" s="27"/>
      <c r="T469" s="27"/>
      <c r="U469" s="27"/>
      <c r="V469" s="27"/>
      <c r="W469" s="27"/>
      <c r="X469" s="27"/>
      <c r="Y469" s="27"/>
      <c r="Z469" s="27"/>
      <c r="AA469" s="10" t="str">
        <f aca="false">IFERROR(INDEX(設定!$E$61:$E$106,MATCH(B469,設定!$B$61:$B$106,0)),"合算")</f>
        <v>合算</v>
      </c>
      <c r="AB469" s="28"/>
      <c r="AC469" s="29" t="str">
        <f aca="false">IF(OR(G469="",G469="なし"),"",IF(AA469="合算",CJ469+N(Z469),IF(AA469="掛金・負担金別",(AY469+AZ469+BD469+BF469+BH469),SUM(AY469:BC469))))</f>
        <v/>
      </c>
      <c r="AD469" s="27"/>
      <c r="AE469" s="29" t="str">
        <f aca="false">IF(OR(G469="",G469="なし"),"",IF(AA469="掛金・負担金別",(BA469+BB469+BC469+BE469+BG469+BI469+N(Z469)),IF(AA469="経理区分別",BD469+BE469,"")))</f>
        <v/>
      </c>
      <c r="AF469" s="27"/>
      <c r="AG469" s="29" t="str">
        <f aca="false">IF(OR(G469="",G469="なし"),"",IF(AA469="経理区分別",BF469+BG469,""))</f>
        <v/>
      </c>
      <c r="AH469" s="27"/>
      <c r="AI469" s="29" t="str">
        <f aca="false">IF(OR(G469="",G469="なし"),"",IF(AA469="経理区分別",BH469+BI469+N(Z469),""))</f>
        <v/>
      </c>
      <c r="AJ469" s="27"/>
      <c r="AK469" s="26"/>
      <c r="AL469" s="26"/>
      <c r="AM469" s="30"/>
      <c r="AN469" s="31" t="n">
        <v>53599145</v>
      </c>
      <c r="AO469" s="31" t="n">
        <v>4393373</v>
      </c>
      <c r="AP469" s="31" t="n">
        <v>78064589</v>
      </c>
      <c r="AQ469" s="31" t="n">
        <v>4380998</v>
      </c>
      <c r="AR469" s="31" t="n">
        <v>55464</v>
      </c>
      <c r="AS469" s="31" t="n">
        <v>32951456</v>
      </c>
      <c r="AT469" s="31" t="n">
        <v>33419569</v>
      </c>
      <c r="AU469" s="31" t="n">
        <v>1989423</v>
      </c>
      <c r="AV469" s="31" t="n">
        <v>1982394</v>
      </c>
      <c r="AW469" s="31" t="n">
        <v>1</v>
      </c>
      <c r="AX469" s="31" t="n">
        <v>1</v>
      </c>
      <c r="AY469" s="31" t="n">
        <f aca="false">IF($G469="",AN469,O469)</f>
        <v>53599145</v>
      </c>
      <c r="AZ469" s="31" t="n">
        <f aca="false">IF($G469="",AO469,P469)</f>
        <v>4393373</v>
      </c>
      <c r="BA469" s="31" t="n">
        <f aca="false">IF($G469="",AP469,T469)</f>
        <v>78064589</v>
      </c>
      <c r="BB469" s="31" t="n">
        <f aca="false">IF($G469="",AQ469,U469)</f>
        <v>4380998</v>
      </c>
      <c r="BC469" s="31" t="n">
        <f aca="false">IF($G469="",AR469,V469)</f>
        <v>55464</v>
      </c>
      <c r="BD469" s="31" t="n">
        <f aca="false">IF($G469="",AS469,Q469)</f>
        <v>32951456</v>
      </c>
      <c r="BE469" s="31" t="n">
        <f aca="false">IF($G469="",AT469,W469)</f>
        <v>33419569</v>
      </c>
      <c r="BF469" s="31" t="n">
        <f aca="false">IF($G469="",AU469,R469)</f>
        <v>1989423</v>
      </c>
      <c r="BG469" s="31" t="n">
        <f aca="false">IF($G469="",AV469,X469)</f>
        <v>1982394</v>
      </c>
      <c r="BH469" s="31" t="n">
        <f aca="false">IF($G469="",AW469,S469)</f>
        <v>1</v>
      </c>
      <c r="BI469" s="31" t="n">
        <f aca="false">IF($G469="",AX469,Y469)</f>
        <v>1</v>
      </c>
      <c r="BJ469" s="31" t="n">
        <f aca="false">IF(CK469="N",BR469,ROUNDDOWN((I469-L469)*設定!$B$10/1000,0)+ROUNDDOWN((I469-L469)*設定!$B$11/1000,0))</f>
        <v>0</v>
      </c>
      <c r="BK469" s="31" t="n">
        <f aca="false">ROUNDDOWN((I469-L469)*設定!$C$10/1000,0)+ROUNDDOWN((I469-L469)*設定!$C$11/1000,0)+ROUNDDOWN(I469*設定!$C$12/1000,0)+IF(CL469="市局型",ROUNDDOWN(I469*設定!$C$16/1000,0),0)</f>
        <v>0</v>
      </c>
      <c r="BL469" s="31" t="n">
        <f aca="false">IF(CK469="N",BT469,ROUNDDOWN((J469-M469)*設定!$B$13/1000,0))</f>
        <v>0</v>
      </c>
      <c r="BM469" s="31" t="n">
        <f aca="false">ROUNDDOWN((J469-M469)*設定!$C$13/1000,0)+IF(CL469="市局型",ROUNDDOWN(J469*設定!$C$17/1000,0),0)</f>
        <v>0</v>
      </c>
      <c r="BN469" s="31" t="n">
        <f aca="false">IF(CK469="N",BV469,ROUNDDOWN((K469-N469)*設定!$B$14/1000,0))</f>
        <v>0</v>
      </c>
      <c r="BO469" s="31" t="n">
        <f aca="false">ROUNDDOWN((K469-N469)*設定!$C$14/1000,0)</f>
        <v>0</v>
      </c>
      <c r="BP469" s="31" t="n">
        <f aca="false">IF(CK469="N",BX469,ROUNDDOWN((J469-M469)*設定!$B$15/1000,0))</f>
        <v>0</v>
      </c>
      <c r="BQ469" s="31" t="n">
        <f aca="false">ROUNDDOWN((J469-M469)*設定!$C$15/1000,0)</f>
        <v>0</v>
      </c>
      <c r="BR469" s="31" t="n">
        <f aca="false">O469+P469</f>
        <v>0</v>
      </c>
      <c r="BS469" s="31" t="n">
        <f aca="false">T469+U469+V469</f>
        <v>0</v>
      </c>
      <c r="BT469" s="31" t="n">
        <f aca="false">Q469</f>
        <v>0</v>
      </c>
      <c r="BU469" s="31" t="n">
        <f aca="false">W469</f>
        <v>0</v>
      </c>
      <c r="BV469" s="31" t="n">
        <f aca="false">R469</f>
        <v>0</v>
      </c>
      <c r="BW469" s="31" t="n">
        <f aca="false">X469</f>
        <v>0</v>
      </c>
      <c r="BX469" s="31" t="n">
        <f aca="false">S469</f>
        <v>0</v>
      </c>
      <c r="BY469" s="31" t="n">
        <f aca="false">Y469</f>
        <v>0</v>
      </c>
      <c r="BZ469" s="32" t="n">
        <f aca="false">IF(BJ469=0,IF(BR469=0,0,1),(BR469-BJ469)/BJ469)</f>
        <v>0</v>
      </c>
      <c r="CA469" s="32" t="n">
        <f aca="false">IF(BK469=0,IF(BS469=0,0,1),(BS469-BK469)/BK469)</f>
        <v>0</v>
      </c>
      <c r="CB469" s="32" t="n">
        <f aca="false">IF(BL469=0,IF(BT469=0,0,1),(BT469-BL469)/BL469)</f>
        <v>0</v>
      </c>
      <c r="CC469" s="32" t="n">
        <f aca="false">IF(BM469=0,IF(BU469=0,0,1),(BU469-BM469)/BM469)</f>
        <v>0</v>
      </c>
      <c r="CD469" s="32" t="n">
        <f aca="false">IF(BN469=0,IF(BV469=0,0,1),(BV469-BN469)/BN469)</f>
        <v>0</v>
      </c>
      <c r="CE469" s="32" t="n">
        <f aca="false">IF(BO469=0,IF(BW469=0,0,1),(BW469-BO469)/BO469)</f>
        <v>0</v>
      </c>
      <c r="CF469" s="32" t="n">
        <f aca="false">IF(BP469=0,IF(BX469=0,0,1),(BX469-BP469)/BP469)</f>
        <v>0</v>
      </c>
      <c r="CG469" s="32" t="n">
        <f aca="false">IF(BQ469=0,IF(BY469=0,0,1),(BY469-BQ469)/BQ469)</f>
        <v>0</v>
      </c>
      <c r="CH469" s="32" t="n">
        <f aca="false">MAX(MAX(BZ469:CG469),-MIN(BZ469:CG469))</f>
        <v>-0</v>
      </c>
      <c r="CI469" s="31" t="n">
        <f aca="false">IF(CO469="","",SUMIFS($CJ$7:$CJ$696,$A$7:$A$696,CO469,$B$7:$B$696,B469))</f>
        <v>210975554</v>
      </c>
      <c r="CJ469" s="31" t="n">
        <f aca="false">SUM(AY469:BI469)</f>
        <v>210836413</v>
      </c>
      <c r="CK469" s="31" t="str">
        <f aca="false">IFERROR(INDEX(設定!$F$61:$F$106,MATCH(B469,設定!$B$61:$B$106,0)),"Y")</f>
        <v>Y</v>
      </c>
      <c r="CL469" s="31" t="str">
        <f aca="false">IFERROR(INDEX(設定!$G$61:$G$106,MATCH(B469,設定!$B$61:$B$106,0)),"外郭型")</f>
        <v>市局型</v>
      </c>
      <c r="CM469" s="33" t="str">
        <f aca="false">A469&amp;"|"&amp;B469</f>
        <v>2026-12 月例|消防局</v>
      </c>
      <c r="CN469" s="34" t="str">
        <f aca="false">IFERROR(INDEX(設定!$D$61:$D$106,MATCH(B469,設定!$B$61:$B$106,0)),"Y")</f>
        <v>N</v>
      </c>
      <c r="CO469" s="34" t="str">
        <f aca="false">IFERROR(INDEX(設定!$D$20:$D$34,MATCH(A469,設定!$A$20:$A$34,0))&amp;"","")</f>
        <v>2026-11 月例</v>
      </c>
    </row>
    <row r="470" customFormat="false" ht="15" hidden="true" customHeight="false" outlineLevel="0" collapsed="false">
      <c r="A470" s="22" t="s">
        <v>226</v>
      </c>
      <c r="B470" s="23" t="s">
        <v>171</v>
      </c>
      <c r="C470" s="10" t="str">
        <f aca="false">IF(G470="","未受領",IF(G470="なし","報告なし",IF(AL470="○","起票済",IF(OR(AK470="○",F470="一致",F470="入金不要"),"入金確認済","受領済"))))</f>
        <v>未受領</v>
      </c>
      <c r="D470" s="10" t="str">
        <f aca="false">IF(OR(G470="",G470="なし"),"―",IF(CN470="N","対象外",IF(AND(I470="",J470="",K470=""),"標報未入力",IF(CH470&gt;=設定!$B$4,"要確認","問題なし"))))</f>
        <v>―</v>
      </c>
      <c r="E470" s="24" t="str">
        <f aca="false">IF(OR(G470="",G470="なし",CI470="",CJ470=0),"―",IF(CJ470=CI470,"前月同額",IF(CI470=0,"―",IF(ABS(CJ470/CI470-1)&gt;=設定!$B$5,"変動大 "&amp;TEXT(CJ470/CI470-1,"+0%;-0%"),"〇"))))</f>
        <v>―</v>
      </c>
      <c r="F470" s="10" t="str">
        <f aca="false">IF(OR(G470="",G470="なし"),"―",IF(CJ470=0,"入金不要",IF(COUNT(AD470,AF470,AH470,AJ470)=0,IF(AK470="○","手動確認","未入金"),IF(AND(N(AD470)=AC470,IF(AE470="",TRUE(),N(AF470)=AE470),IF(AG470="",TRUE(),N(AH470)=AG470),IF(AI470="",TRUE(),N(AJ470)=AI470)),"一致","不一致"))))</f>
        <v>―</v>
      </c>
      <c r="G470" s="25"/>
      <c r="H470" s="26"/>
      <c r="I470" s="27"/>
      <c r="J470" s="27"/>
      <c r="K470" s="27"/>
      <c r="L470" s="27"/>
      <c r="M470" s="27"/>
      <c r="N470" s="27"/>
      <c r="O470" s="27"/>
      <c r="P470" s="27"/>
      <c r="Q470" s="27"/>
      <c r="R470" s="27"/>
      <c r="S470" s="27"/>
      <c r="T470" s="27"/>
      <c r="U470" s="27"/>
      <c r="V470" s="27"/>
      <c r="W470" s="27"/>
      <c r="X470" s="27"/>
      <c r="Y470" s="27"/>
      <c r="Z470" s="27"/>
      <c r="AA470" s="10" t="str">
        <f aca="false">IFERROR(INDEX(設定!$E$61:$E$106,MATCH(B470,設定!$B$61:$B$106,0)),"合算")</f>
        <v>合算</v>
      </c>
      <c r="AB470" s="28"/>
      <c r="AC470" s="29" t="str">
        <f aca="false">IF(OR(G470="",G470="なし"),"",IF(AA470="合算",CJ470+N(Z470),IF(AA470="掛金・負担金別",(AY470+AZ470+BD470+BF470+BH470),SUM(AY470:BC470))))</f>
        <v/>
      </c>
      <c r="AD470" s="27"/>
      <c r="AE470" s="29" t="str">
        <f aca="false">IF(OR(G470="",G470="なし"),"",IF(AA470="掛金・負担金別",(BA470+BB470+BC470+BE470+BG470+BI470+N(Z470)),IF(AA470="経理区分別",BD470+BE470,"")))</f>
        <v/>
      </c>
      <c r="AF470" s="27"/>
      <c r="AG470" s="29" t="str">
        <f aca="false">IF(OR(G470="",G470="なし"),"",IF(AA470="経理区分別",BF470+BG470,""))</f>
        <v/>
      </c>
      <c r="AH470" s="27"/>
      <c r="AI470" s="29" t="str">
        <f aca="false">IF(OR(G470="",G470="なし"),"",IF(AA470="経理区分別",BH470+BI470+N(Z470),""))</f>
        <v/>
      </c>
      <c r="AJ470" s="27"/>
      <c r="AK470" s="26"/>
      <c r="AL470" s="26"/>
      <c r="AM470" s="30"/>
      <c r="AN470" s="31" t="n">
        <v>1740330</v>
      </c>
      <c r="AO470" s="31" t="n">
        <v>142650</v>
      </c>
      <c r="AP470" s="31" t="n">
        <v>2539620</v>
      </c>
      <c r="AQ470" s="31" t="n">
        <v>142650</v>
      </c>
      <c r="AR470" s="31" t="n">
        <v>1808</v>
      </c>
      <c r="AS470" s="31" t="n">
        <v>1055074</v>
      </c>
      <c r="AT470" s="31" t="n">
        <v>1073929</v>
      </c>
      <c r="AU470" s="31" t="n">
        <v>99935</v>
      </c>
      <c r="AV470" s="31" t="n">
        <v>99935</v>
      </c>
      <c r="AW470" s="31" t="n">
        <v>1</v>
      </c>
      <c r="AX470" s="31" t="n">
        <v>1</v>
      </c>
      <c r="AY470" s="31" t="n">
        <f aca="false">IF($G470="",AN470,O470)</f>
        <v>1740330</v>
      </c>
      <c r="AZ470" s="31" t="n">
        <f aca="false">IF($G470="",AO470,P470)</f>
        <v>142650</v>
      </c>
      <c r="BA470" s="31" t="n">
        <f aca="false">IF($G470="",AP470,T470)</f>
        <v>2539620</v>
      </c>
      <c r="BB470" s="31" t="n">
        <f aca="false">IF($G470="",AQ470,U470)</f>
        <v>142650</v>
      </c>
      <c r="BC470" s="31" t="n">
        <f aca="false">IF($G470="",AR470,V470)</f>
        <v>1808</v>
      </c>
      <c r="BD470" s="31" t="n">
        <f aca="false">IF($G470="",AS470,Q470)</f>
        <v>1055074</v>
      </c>
      <c r="BE470" s="31" t="n">
        <f aca="false">IF($G470="",AT470,W470)</f>
        <v>1073929</v>
      </c>
      <c r="BF470" s="31" t="n">
        <f aca="false">IF($G470="",AU470,R470)</f>
        <v>99935</v>
      </c>
      <c r="BG470" s="31" t="n">
        <f aca="false">IF($G470="",AV470,X470)</f>
        <v>99935</v>
      </c>
      <c r="BH470" s="31" t="n">
        <f aca="false">IF($G470="",AW470,S470)</f>
        <v>1</v>
      </c>
      <c r="BI470" s="31" t="n">
        <f aca="false">IF($G470="",AX470,Y470)</f>
        <v>1</v>
      </c>
      <c r="BJ470" s="31" t="n">
        <f aca="false">IF(CK470="N",BR470,ROUNDDOWN((I470-L470)*設定!$B$10/1000,0)+ROUNDDOWN((I470-L470)*設定!$B$11/1000,0))</f>
        <v>0</v>
      </c>
      <c r="BK470" s="31" t="n">
        <f aca="false">ROUNDDOWN((I470-L470)*設定!$C$10/1000,0)+ROUNDDOWN((I470-L470)*設定!$C$11/1000,0)+ROUNDDOWN(I470*設定!$C$12/1000,0)+IF(CL470="市局型",ROUNDDOWN(I470*設定!$C$16/1000,0),0)</f>
        <v>0</v>
      </c>
      <c r="BL470" s="31" t="n">
        <f aca="false">IF(CK470="N",BT470,ROUNDDOWN((J470-M470)*設定!$B$13/1000,0))</f>
        <v>0</v>
      </c>
      <c r="BM470" s="31" t="n">
        <f aca="false">ROUNDDOWN((J470-M470)*設定!$C$13/1000,0)+IF(CL470="市局型",ROUNDDOWN(J470*設定!$C$17/1000,0),0)</f>
        <v>0</v>
      </c>
      <c r="BN470" s="31" t="n">
        <f aca="false">IF(CK470="N",BV470,ROUNDDOWN((K470-N470)*設定!$B$14/1000,0))</f>
        <v>0</v>
      </c>
      <c r="BO470" s="31" t="n">
        <f aca="false">ROUNDDOWN((K470-N470)*設定!$C$14/1000,0)</f>
        <v>0</v>
      </c>
      <c r="BP470" s="31" t="n">
        <f aca="false">IF(CK470="N",BX470,ROUNDDOWN((J470-M470)*設定!$B$15/1000,0))</f>
        <v>0</v>
      </c>
      <c r="BQ470" s="31" t="n">
        <f aca="false">ROUNDDOWN((J470-M470)*設定!$C$15/1000,0)</f>
        <v>0</v>
      </c>
      <c r="BR470" s="31" t="n">
        <f aca="false">O470+P470</f>
        <v>0</v>
      </c>
      <c r="BS470" s="31" t="n">
        <f aca="false">T470+U470+V470</f>
        <v>0</v>
      </c>
      <c r="BT470" s="31" t="n">
        <f aca="false">Q470</f>
        <v>0</v>
      </c>
      <c r="BU470" s="31" t="n">
        <f aca="false">W470</f>
        <v>0</v>
      </c>
      <c r="BV470" s="31" t="n">
        <f aca="false">R470</f>
        <v>0</v>
      </c>
      <c r="BW470" s="31" t="n">
        <f aca="false">X470</f>
        <v>0</v>
      </c>
      <c r="BX470" s="31" t="n">
        <f aca="false">S470</f>
        <v>0</v>
      </c>
      <c r="BY470" s="31" t="n">
        <f aca="false">Y470</f>
        <v>0</v>
      </c>
      <c r="BZ470" s="32" t="n">
        <f aca="false">IF(BJ470=0,IF(BR470=0,0,1),(BR470-BJ470)/BJ470)</f>
        <v>0</v>
      </c>
      <c r="CA470" s="32" t="n">
        <f aca="false">IF(BK470=0,IF(BS470=0,0,1),(BS470-BK470)/BK470)</f>
        <v>0</v>
      </c>
      <c r="CB470" s="32" t="n">
        <f aca="false">IF(BL470=0,IF(BT470=0,0,1),(BT470-BL470)/BL470)</f>
        <v>0</v>
      </c>
      <c r="CC470" s="32" t="n">
        <f aca="false">IF(BM470=0,IF(BU470=0,0,1),(BU470-BM470)/BM470)</f>
        <v>0</v>
      </c>
      <c r="CD470" s="32" t="n">
        <f aca="false">IF(BN470=0,IF(BV470=0,0,1),(BV470-BN470)/BN470)</f>
        <v>0</v>
      </c>
      <c r="CE470" s="32" t="n">
        <f aca="false">IF(BO470=0,IF(BW470=0,0,1),(BW470-BO470)/BO470)</f>
        <v>0</v>
      </c>
      <c r="CF470" s="32" t="n">
        <f aca="false">IF(BP470=0,IF(BX470=0,0,1),(BX470-BP470)/BP470)</f>
        <v>0</v>
      </c>
      <c r="CG470" s="32" t="n">
        <f aca="false">IF(BQ470=0,IF(BY470=0,0,1),(BY470-BQ470)/BQ470)</f>
        <v>0</v>
      </c>
      <c r="CH470" s="32" t="n">
        <f aca="false">MAX(MAX(BZ470:CG470),-MIN(BZ470:CG470))</f>
        <v>-0</v>
      </c>
      <c r="CI470" s="31" t="n">
        <f aca="false">IF(CO470="","",SUMIFS($CJ$7:$CJ$696,$A$7:$A$696,CO470,$B$7:$B$696,B470))</f>
        <v>6889455</v>
      </c>
      <c r="CJ470" s="31" t="n">
        <f aca="false">SUM(AY470:BI470)</f>
        <v>6895933</v>
      </c>
      <c r="CK470" s="31" t="str">
        <f aca="false">IFERROR(INDEX(設定!$F$61:$F$106,MATCH(B470,設定!$B$61:$B$106,0)),"Y")</f>
        <v>Y</v>
      </c>
      <c r="CL470" s="31" t="str">
        <f aca="false">IFERROR(INDEX(設定!$G$61:$G$106,MATCH(B470,設定!$B$61:$B$106,0)),"外郭型")</f>
        <v>市局型</v>
      </c>
      <c r="CM470" s="33" t="str">
        <f aca="false">A470&amp;"|"&amp;B470</f>
        <v>2026-12 月例|議会事務局</v>
      </c>
      <c r="CN470" s="34" t="str">
        <f aca="false">IFERROR(INDEX(設定!$D$61:$D$106,MATCH(B470,設定!$B$61:$B$106,0)),"Y")</f>
        <v>Y</v>
      </c>
      <c r="CO470" s="34" t="str">
        <f aca="false">IFERROR(INDEX(設定!$D$20:$D$34,MATCH(A470,設定!$A$20:$A$34,0))&amp;"","")</f>
        <v>2026-11 月例</v>
      </c>
    </row>
    <row r="471" customFormat="false" ht="15" hidden="true" customHeight="false" outlineLevel="0" collapsed="false">
      <c r="A471" s="22" t="s">
        <v>226</v>
      </c>
      <c r="B471" s="23" t="s">
        <v>172</v>
      </c>
      <c r="C471" s="10" t="str">
        <f aca="false">IF(G471="","未受領",IF(G471="なし","報告なし",IF(AL471="○","起票済",IF(OR(AK471="○",F471="一致",F471="入金不要"),"入金確認済","受領済"))))</f>
        <v>未受領</v>
      </c>
      <c r="D471" s="10" t="str">
        <f aca="false">IF(OR(G471="",G471="なし"),"―",IF(CN471="N","対象外",IF(AND(I471="",J471="",K471=""),"標報未入力",IF(CH471&gt;=設定!$B$4,"要確認","問題なし"))))</f>
        <v>―</v>
      </c>
      <c r="E471" s="24" t="str">
        <f aca="false">IF(OR(G471="",G471="なし",CI471="",CJ471=0),"―",IF(CJ471=CI471,"前月同額",IF(CI471=0,"―",IF(ABS(CJ471/CI471-1)&gt;=設定!$B$5,"変動大 "&amp;TEXT(CJ471/CI471-1,"+0%;-0%"),"〇"))))</f>
        <v>―</v>
      </c>
      <c r="F471" s="10" t="str">
        <f aca="false">IF(OR(G471="",G471="なし"),"―",IF(CJ471=0,"入金不要",IF(COUNT(AD471,AF471,AH471,AJ471)=0,IF(AK471="○","手動確認","未入金"),IF(AND(N(AD471)=AC471,IF(AE471="",TRUE(),N(AF471)=AE471),IF(AG471="",TRUE(),N(AH471)=AG471),IF(AI471="",TRUE(),N(AJ471)=AI471)),"一致","不一致"))))</f>
        <v>―</v>
      </c>
      <c r="G471" s="25"/>
      <c r="H471" s="26"/>
      <c r="I471" s="27"/>
      <c r="J471" s="27"/>
      <c r="K471" s="27"/>
      <c r="L471" s="27"/>
      <c r="M471" s="27"/>
      <c r="N471" s="27"/>
      <c r="O471" s="27"/>
      <c r="P471" s="27"/>
      <c r="Q471" s="27"/>
      <c r="R471" s="27"/>
      <c r="S471" s="27"/>
      <c r="T471" s="27"/>
      <c r="U471" s="27"/>
      <c r="V471" s="27"/>
      <c r="W471" s="27"/>
      <c r="X471" s="27"/>
      <c r="Y471" s="27"/>
      <c r="Z471" s="27"/>
      <c r="AA471" s="10" t="str">
        <f aca="false">IFERROR(INDEX(設定!$E$61:$E$106,MATCH(B471,設定!$B$61:$B$106,0)),"合算")</f>
        <v>合算</v>
      </c>
      <c r="AB471" s="28"/>
      <c r="AC471" s="29" t="str">
        <f aca="false">IF(OR(G471="",G471="なし"),"",IF(AA471="合算",CJ471+N(Z471),IF(AA471="掛金・負担金別",(AY471+AZ471+BD471+BF471+BH471),SUM(AY471:BC471))))</f>
        <v/>
      </c>
      <c r="AD471" s="27"/>
      <c r="AE471" s="29" t="str">
        <f aca="false">IF(OR(G471="",G471="なし"),"",IF(AA471="掛金・負担金別",(BA471+BB471+BC471+BE471+BG471+BI471+N(Z471)),IF(AA471="経理区分別",BD471+BE471,"")))</f>
        <v/>
      </c>
      <c r="AF471" s="27"/>
      <c r="AG471" s="29" t="str">
        <f aca="false">IF(OR(G471="",G471="なし"),"",IF(AA471="経理区分別",BF471+BG471,""))</f>
        <v/>
      </c>
      <c r="AH471" s="27"/>
      <c r="AI471" s="29" t="str">
        <f aca="false">IF(OR(G471="",G471="なし"),"",IF(AA471="経理区分別",BH471+BI471+N(Z471),""))</f>
        <v/>
      </c>
      <c r="AJ471" s="27"/>
      <c r="AK471" s="26"/>
      <c r="AL471" s="26"/>
      <c r="AM471" s="30"/>
      <c r="AN471" s="31" t="n">
        <v>24097440</v>
      </c>
      <c r="AO471" s="31" t="n">
        <v>1975200</v>
      </c>
      <c r="AP471" s="31" t="n">
        <v>35096235</v>
      </c>
      <c r="AQ471" s="31" t="n">
        <v>1970850</v>
      </c>
      <c r="AR471" s="31" t="n">
        <v>25002</v>
      </c>
      <c r="AS471" s="31" t="n">
        <v>25721646</v>
      </c>
      <c r="AT471" s="31" t="n">
        <v>26142323</v>
      </c>
      <c r="AU471" s="31" t="n">
        <v>2801399</v>
      </c>
      <c r="AV471" s="31" t="n">
        <v>2801572</v>
      </c>
      <c r="AW471" s="31" t="n">
        <v>1</v>
      </c>
      <c r="AX471" s="31" t="n">
        <v>1</v>
      </c>
      <c r="AY471" s="31" t="n">
        <f aca="false">IF($G471="",AN471,O471)</f>
        <v>24097440</v>
      </c>
      <c r="AZ471" s="31" t="n">
        <f aca="false">IF($G471="",AO471,P471)</f>
        <v>1975200</v>
      </c>
      <c r="BA471" s="31" t="n">
        <f aca="false">IF($G471="",AP471,T471)</f>
        <v>35096235</v>
      </c>
      <c r="BB471" s="31" t="n">
        <f aca="false">IF($G471="",AQ471,U471)</f>
        <v>1970850</v>
      </c>
      <c r="BC471" s="31" t="n">
        <f aca="false">IF($G471="",AR471,V471)</f>
        <v>25002</v>
      </c>
      <c r="BD471" s="31" t="n">
        <f aca="false">IF($G471="",AS471,Q471)</f>
        <v>25721646</v>
      </c>
      <c r="BE471" s="31" t="n">
        <f aca="false">IF($G471="",AT471,W471)</f>
        <v>26142323</v>
      </c>
      <c r="BF471" s="31" t="n">
        <f aca="false">IF($G471="",AU471,R471)</f>
        <v>2801399</v>
      </c>
      <c r="BG471" s="31" t="n">
        <f aca="false">IF($G471="",AV471,X471)</f>
        <v>2801572</v>
      </c>
      <c r="BH471" s="31" t="n">
        <f aca="false">IF($G471="",AW471,S471)</f>
        <v>1</v>
      </c>
      <c r="BI471" s="31" t="n">
        <f aca="false">IF($G471="",AX471,Y471)</f>
        <v>1</v>
      </c>
      <c r="BJ471" s="31" t="n">
        <f aca="false">IF(CK471="N",BR471,ROUNDDOWN((I471-L471)*設定!$B$10/1000,0)+ROUNDDOWN((I471-L471)*設定!$B$11/1000,0))</f>
        <v>0</v>
      </c>
      <c r="BK471" s="31" t="n">
        <f aca="false">ROUNDDOWN((I471-L471)*設定!$C$10/1000,0)+ROUNDDOWN((I471-L471)*設定!$C$11/1000,0)+ROUNDDOWN(I471*設定!$C$12/1000,0)+IF(CL471="市局型",ROUNDDOWN(I471*設定!$C$16/1000,0),0)</f>
        <v>0</v>
      </c>
      <c r="BL471" s="31" t="n">
        <f aca="false">IF(CK471="N",BT471,ROUNDDOWN((J471-M471)*設定!$B$13/1000,0))</f>
        <v>0</v>
      </c>
      <c r="BM471" s="31" t="n">
        <f aca="false">ROUNDDOWN((J471-M471)*設定!$C$13/1000,0)+IF(CL471="市局型",ROUNDDOWN(J471*設定!$C$17/1000,0),0)</f>
        <v>0</v>
      </c>
      <c r="BN471" s="31" t="n">
        <f aca="false">IF(CK471="N",BV471,ROUNDDOWN((K471-N471)*設定!$B$14/1000,0))</f>
        <v>0</v>
      </c>
      <c r="BO471" s="31" t="n">
        <f aca="false">ROUNDDOWN((K471-N471)*設定!$C$14/1000,0)</f>
        <v>0</v>
      </c>
      <c r="BP471" s="31" t="n">
        <f aca="false">IF(CK471="N",BX471,ROUNDDOWN((J471-M471)*設定!$B$15/1000,0))</f>
        <v>0</v>
      </c>
      <c r="BQ471" s="31" t="n">
        <f aca="false">ROUNDDOWN((J471-M471)*設定!$C$15/1000,0)</f>
        <v>0</v>
      </c>
      <c r="BR471" s="31" t="n">
        <f aca="false">O471+P471</f>
        <v>0</v>
      </c>
      <c r="BS471" s="31" t="n">
        <f aca="false">T471+U471+V471</f>
        <v>0</v>
      </c>
      <c r="BT471" s="31" t="n">
        <f aca="false">Q471</f>
        <v>0</v>
      </c>
      <c r="BU471" s="31" t="n">
        <f aca="false">W471</f>
        <v>0</v>
      </c>
      <c r="BV471" s="31" t="n">
        <f aca="false">R471</f>
        <v>0</v>
      </c>
      <c r="BW471" s="31" t="n">
        <f aca="false">X471</f>
        <v>0</v>
      </c>
      <c r="BX471" s="31" t="n">
        <f aca="false">S471</f>
        <v>0</v>
      </c>
      <c r="BY471" s="31" t="n">
        <f aca="false">Y471</f>
        <v>0</v>
      </c>
      <c r="BZ471" s="32" t="n">
        <f aca="false">IF(BJ471=0,IF(BR471=0,0,1),(BR471-BJ471)/BJ471)</f>
        <v>0</v>
      </c>
      <c r="CA471" s="32" t="n">
        <f aca="false">IF(BK471=0,IF(BS471=0,0,1),(BS471-BK471)/BK471)</f>
        <v>0</v>
      </c>
      <c r="CB471" s="32" t="n">
        <f aca="false">IF(BL471=0,IF(BT471=0,0,1),(BT471-BL471)/BL471)</f>
        <v>0</v>
      </c>
      <c r="CC471" s="32" t="n">
        <f aca="false">IF(BM471=0,IF(BU471=0,0,1),(BU471-BM471)/BM471)</f>
        <v>0</v>
      </c>
      <c r="CD471" s="32" t="n">
        <f aca="false">IF(BN471=0,IF(BV471=0,0,1),(BV471-BN471)/BN471)</f>
        <v>0</v>
      </c>
      <c r="CE471" s="32" t="n">
        <f aca="false">IF(BO471=0,IF(BW471=0,0,1),(BW471-BO471)/BO471)</f>
        <v>0</v>
      </c>
      <c r="CF471" s="32" t="n">
        <f aca="false">IF(BP471=0,IF(BX471=0,0,1),(BX471-BP471)/BP471)</f>
        <v>0</v>
      </c>
      <c r="CG471" s="32" t="n">
        <f aca="false">IF(BQ471=0,IF(BY471=0,0,1),(BY471-BQ471)/BQ471)</f>
        <v>0</v>
      </c>
      <c r="CH471" s="32" t="n">
        <f aca="false">MAX(MAX(BZ471:CG471),-MIN(BZ471:CG471))</f>
        <v>-0</v>
      </c>
      <c r="CI471" s="31" t="n">
        <f aca="false">IF(CO471="","",SUMIFS($CJ$7:$CJ$696,$A$7:$A$696,CO471,$B$7:$B$696,B471))</f>
        <v>120766862</v>
      </c>
      <c r="CJ471" s="31" t="n">
        <f aca="false">SUM(AY471:BI471)</f>
        <v>120631669</v>
      </c>
      <c r="CK471" s="31" t="str">
        <f aca="false">IFERROR(INDEX(設定!$F$61:$F$106,MATCH(B471,設定!$B$61:$B$106,0)),"Y")</f>
        <v>Y</v>
      </c>
      <c r="CL471" s="31" t="str">
        <f aca="false">IFERROR(INDEX(設定!$G$61:$G$106,MATCH(B471,設定!$B$61:$B$106,0)),"外郭型")</f>
        <v>市局型</v>
      </c>
      <c r="CM471" s="33" t="str">
        <f aca="false">A471&amp;"|"&amp;B471</f>
        <v>2026-12 月例|教育委員会（総務課）</v>
      </c>
      <c r="CN471" s="34" t="str">
        <f aca="false">IFERROR(INDEX(設定!$D$61:$D$106,MATCH(B471,設定!$B$61:$B$106,0)),"Y")</f>
        <v>N</v>
      </c>
      <c r="CO471" s="34" t="str">
        <f aca="false">IFERROR(INDEX(設定!$D$20:$D$34,MATCH(A471,設定!$A$20:$A$34,0))&amp;"","")</f>
        <v>2026-11 月例</v>
      </c>
    </row>
    <row r="472" customFormat="false" ht="15" hidden="true" customHeight="false" outlineLevel="0" collapsed="false">
      <c r="A472" s="22" t="s">
        <v>226</v>
      </c>
      <c r="B472" s="23" t="s">
        <v>173</v>
      </c>
      <c r="C472" s="10" t="str">
        <f aca="false">IF(G472="","未受領",IF(G472="なし","報告なし",IF(AL472="○","起票済",IF(OR(AK472="○",F472="一致",F472="入金不要"),"入金確認済","受領済"))))</f>
        <v>未受領</v>
      </c>
      <c r="D472" s="10" t="str">
        <f aca="false">IF(OR(G472="",G472="なし"),"―",IF(CN472="N","対象外",IF(AND(I472="",J472="",K472=""),"標報未入力",IF(CH472&gt;=設定!$B$4,"要確認","問題なし"))))</f>
        <v>―</v>
      </c>
      <c r="E472" s="24" t="str">
        <f aca="false">IF(OR(G472="",G472="なし",CI472="",CJ472=0),"―",IF(CJ472=CI472,"前月同額",IF(CI472=0,"―",IF(ABS(CJ472/CI472-1)&gt;=設定!$B$5,"変動大 "&amp;TEXT(CJ472/CI472-1,"+0%;-0%"),"〇"))))</f>
        <v>―</v>
      </c>
      <c r="F472" s="10" t="str">
        <f aca="false">IF(OR(G472="",G472="なし"),"―",IF(CJ472=0,"入金不要",IF(COUNT(AD472,AF472,AH472,AJ472)=0,IF(AK472="○","手動確認","未入金"),IF(AND(N(AD472)=AC472,IF(AE472="",TRUE(),N(AF472)=AE472),IF(AG472="",TRUE(),N(AH472)=AG472),IF(AI472="",TRUE(),N(AJ472)=AI472)),"一致","不一致"))))</f>
        <v>―</v>
      </c>
      <c r="G472" s="25"/>
      <c r="H472" s="26"/>
      <c r="I472" s="27"/>
      <c r="J472" s="27"/>
      <c r="K472" s="27"/>
      <c r="L472" s="27"/>
      <c r="M472" s="27"/>
      <c r="N472" s="27"/>
      <c r="O472" s="27"/>
      <c r="P472" s="27"/>
      <c r="Q472" s="27"/>
      <c r="R472" s="27"/>
      <c r="S472" s="27"/>
      <c r="T472" s="27"/>
      <c r="U472" s="27"/>
      <c r="V472" s="27"/>
      <c r="W472" s="27"/>
      <c r="X472" s="27"/>
      <c r="Y472" s="27"/>
      <c r="Z472" s="27"/>
      <c r="AA472" s="10" t="str">
        <f aca="false">IFERROR(INDEX(設定!$E$61:$E$106,MATCH(B472,設定!$B$61:$B$106,0)),"合算")</f>
        <v>合算</v>
      </c>
      <c r="AB472" s="28"/>
      <c r="AC472" s="29" t="str">
        <f aca="false">IF(OR(G472="",G472="なし"),"",IF(AA472="合算",CJ472+N(Z472),IF(AA472="掛金・負担金別",(AY472+AZ472+BD472+BF472+BH472),SUM(AY472:BC472))))</f>
        <v/>
      </c>
      <c r="AD472" s="27"/>
      <c r="AE472" s="29" t="str">
        <f aca="false">IF(OR(G472="",G472="なし"),"",IF(AA472="掛金・負担金別",(BA472+BB472+BC472+BE472+BG472+BI472+N(Z472)),IF(AA472="経理区分別",BD472+BE472,"")))</f>
        <v/>
      </c>
      <c r="AF472" s="27"/>
      <c r="AG472" s="29" t="str">
        <f aca="false">IF(OR(G472="",G472="なし"),"",IF(AA472="経理区分別",BF472+BG472,""))</f>
        <v/>
      </c>
      <c r="AH472" s="27"/>
      <c r="AI472" s="29" t="str">
        <f aca="false">IF(OR(G472="",G472="なし"),"",IF(AA472="経理区分別",BH472+BI472+N(Z472),""))</f>
        <v/>
      </c>
      <c r="AJ472" s="27"/>
      <c r="AK472" s="26"/>
      <c r="AL472" s="26"/>
      <c r="AM472" s="30"/>
      <c r="AN472" s="31" t="n">
        <v>280905</v>
      </c>
      <c r="AO472" s="31" t="n">
        <v>23025</v>
      </c>
      <c r="AP472" s="31" t="n">
        <v>408310</v>
      </c>
      <c r="AQ472" s="31" t="n">
        <v>23025</v>
      </c>
      <c r="AR472" s="31" t="n">
        <v>288</v>
      </c>
      <c r="AS472" s="31" t="n">
        <v>190331</v>
      </c>
      <c r="AT472" s="31" t="n">
        <v>193690</v>
      </c>
      <c r="AU472" s="31" t="n">
        <v>15326</v>
      </c>
      <c r="AV472" s="31" t="n">
        <v>15326</v>
      </c>
      <c r="AW472" s="31" t="n">
        <v>1</v>
      </c>
      <c r="AX472" s="31" t="n">
        <v>1</v>
      </c>
      <c r="AY472" s="31" t="n">
        <f aca="false">IF($G472="",AN472,O472)</f>
        <v>280905</v>
      </c>
      <c r="AZ472" s="31" t="n">
        <f aca="false">IF($G472="",AO472,P472)</f>
        <v>23025</v>
      </c>
      <c r="BA472" s="31" t="n">
        <f aca="false">IF($G472="",AP472,T472)</f>
        <v>408310</v>
      </c>
      <c r="BB472" s="31" t="n">
        <f aca="false">IF($G472="",AQ472,U472)</f>
        <v>23025</v>
      </c>
      <c r="BC472" s="31" t="n">
        <f aca="false">IF($G472="",AR472,V472)</f>
        <v>288</v>
      </c>
      <c r="BD472" s="31" t="n">
        <f aca="false">IF($G472="",AS472,Q472)</f>
        <v>190331</v>
      </c>
      <c r="BE472" s="31" t="n">
        <f aca="false">IF($G472="",AT472,W472)</f>
        <v>193690</v>
      </c>
      <c r="BF472" s="31" t="n">
        <f aca="false">IF($G472="",AU472,R472)</f>
        <v>15326</v>
      </c>
      <c r="BG472" s="31" t="n">
        <f aca="false">IF($G472="",AV472,X472)</f>
        <v>15326</v>
      </c>
      <c r="BH472" s="31" t="n">
        <f aca="false">IF($G472="",AW472,S472)</f>
        <v>1</v>
      </c>
      <c r="BI472" s="31" t="n">
        <f aca="false">IF($G472="",AX472,Y472)</f>
        <v>1</v>
      </c>
      <c r="BJ472" s="31" t="n">
        <f aca="false">IF(CK472="N",BR472,ROUNDDOWN((I472-L472)*設定!$B$10/1000,0)+ROUNDDOWN((I472-L472)*設定!$B$11/1000,0))</f>
        <v>0</v>
      </c>
      <c r="BK472" s="31" t="n">
        <f aca="false">ROUNDDOWN((I472-L472)*設定!$C$10/1000,0)+ROUNDDOWN((I472-L472)*設定!$C$11/1000,0)+ROUNDDOWN(I472*設定!$C$12/1000,0)+IF(CL472="市局型",ROUNDDOWN(I472*設定!$C$16/1000,0),0)</f>
        <v>0</v>
      </c>
      <c r="BL472" s="31" t="n">
        <f aca="false">IF(CK472="N",BT472,ROUNDDOWN((J472-M472)*設定!$B$13/1000,0))</f>
        <v>0</v>
      </c>
      <c r="BM472" s="31" t="n">
        <f aca="false">ROUNDDOWN((J472-M472)*設定!$C$13/1000,0)+IF(CL472="市局型",ROUNDDOWN(J472*設定!$C$17/1000,0),0)</f>
        <v>0</v>
      </c>
      <c r="BN472" s="31" t="n">
        <f aca="false">IF(CK472="N",BV472,ROUNDDOWN((K472-N472)*設定!$B$14/1000,0))</f>
        <v>0</v>
      </c>
      <c r="BO472" s="31" t="n">
        <f aca="false">ROUNDDOWN((K472-N472)*設定!$C$14/1000,0)</f>
        <v>0</v>
      </c>
      <c r="BP472" s="31" t="n">
        <f aca="false">IF(CK472="N",BX472,ROUNDDOWN((J472-M472)*設定!$B$15/1000,0))</f>
        <v>0</v>
      </c>
      <c r="BQ472" s="31" t="n">
        <f aca="false">ROUNDDOWN((J472-M472)*設定!$C$15/1000,0)</f>
        <v>0</v>
      </c>
      <c r="BR472" s="31" t="n">
        <f aca="false">O472+P472</f>
        <v>0</v>
      </c>
      <c r="BS472" s="31" t="n">
        <f aca="false">T472+U472+V472</f>
        <v>0</v>
      </c>
      <c r="BT472" s="31" t="n">
        <f aca="false">Q472</f>
        <v>0</v>
      </c>
      <c r="BU472" s="31" t="n">
        <f aca="false">W472</f>
        <v>0</v>
      </c>
      <c r="BV472" s="31" t="n">
        <f aca="false">R472</f>
        <v>0</v>
      </c>
      <c r="BW472" s="31" t="n">
        <f aca="false">X472</f>
        <v>0</v>
      </c>
      <c r="BX472" s="31" t="n">
        <f aca="false">S472</f>
        <v>0</v>
      </c>
      <c r="BY472" s="31" t="n">
        <f aca="false">Y472</f>
        <v>0</v>
      </c>
      <c r="BZ472" s="32" t="n">
        <f aca="false">IF(BJ472=0,IF(BR472=0,0,1),(BR472-BJ472)/BJ472)</f>
        <v>0</v>
      </c>
      <c r="CA472" s="32" t="n">
        <f aca="false">IF(BK472=0,IF(BS472=0,0,1),(BS472-BK472)/BK472)</f>
        <v>0</v>
      </c>
      <c r="CB472" s="32" t="n">
        <f aca="false">IF(BL472=0,IF(BT472=0,0,1),(BT472-BL472)/BL472)</f>
        <v>0</v>
      </c>
      <c r="CC472" s="32" t="n">
        <f aca="false">IF(BM472=0,IF(BU472=0,0,1),(BU472-BM472)/BM472)</f>
        <v>0</v>
      </c>
      <c r="CD472" s="32" t="n">
        <f aca="false">IF(BN472=0,IF(BV472=0,0,1),(BV472-BN472)/BN472)</f>
        <v>0</v>
      </c>
      <c r="CE472" s="32" t="n">
        <f aca="false">IF(BO472=0,IF(BW472=0,0,1),(BW472-BO472)/BO472)</f>
        <v>0</v>
      </c>
      <c r="CF472" s="32" t="n">
        <f aca="false">IF(BP472=0,IF(BX472=0,0,1),(BX472-BP472)/BP472)</f>
        <v>0</v>
      </c>
      <c r="CG472" s="32" t="n">
        <f aca="false">IF(BQ472=0,IF(BY472=0,0,1),(BY472-BQ472)/BQ472)</f>
        <v>0</v>
      </c>
      <c r="CH472" s="32" t="n">
        <f aca="false">MAX(MAX(BZ472:CG472),-MIN(BZ472:CG472))</f>
        <v>-0</v>
      </c>
      <c r="CI472" s="31" t="n">
        <f aca="false">IF(CO472="","",SUMIFS($CJ$7:$CJ$696,$A$7:$A$696,CO472,$B$7:$B$696,B472))</f>
        <v>1230286</v>
      </c>
      <c r="CJ472" s="31" t="n">
        <f aca="false">SUM(AY472:BI472)</f>
        <v>1150228</v>
      </c>
      <c r="CK472" s="31" t="str">
        <f aca="false">IFERROR(INDEX(設定!$F$61:$F$106,MATCH(B472,設定!$B$61:$B$106,0)),"Y")</f>
        <v>Y</v>
      </c>
      <c r="CL472" s="31" t="str">
        <f aca="false">IFERROR(INDEX(設定!$G$61:$G$106,MATCH(B472,設定!$B$61:$B$106,0)),"外郭型")</f>
        <v>市局型</v>
      </c>
      <c r="CM472" s="33" t="str">
        <f aca="false">A472&amp;"|"&amp;B472</f>
        <v>2026-12 月例|選挙管理委員会</v>
      </c>
      <c r="CN472" s="34" t="str">
        <f aca="false">IFERROR(INDEX(設定!$D$61:$D$106,MATCH(B472,設定!$B$61:$B$106,0)),"Y")</f>
        <v>Y</v>
      </c>
      <c r="CO472" s="34" t="str">
        <f aca="false">IFERROR(INDEX(設定!$D$20:$D$34,MATCH(A472,設定!$A$20:$A$34,0))&amp;"","")</f>
        <v>2026-11 月例</v>
      </c>
    </row>
    <row r="473" customFormat="false" ht="15" hidden="true" customHeight="false" outlineLevel="0" collapsed="false">
      <c r="A473" s="22" t="s">
        <v>226</v>
      </c>
      <c r="B473" s="23" t="s">
        <v>174</v>
      </c>
      <c r="C473" s="10" t="str">
        <f aca="false">IF(G473="","未受領",IF(G473="なし","報告なし",IF(AL473="○","起票済",IF(OR(AK473="○",F473="一致",F473="入金不要"),"入金確認済","受領済"))))</f>
        <v>未受領</v>
      </c>
      <c r="D473" s="10" t="str">
        <f aca="false">IF(OR(G473="",G473="なし"),"―",IF(CN473="N","対象外",IF(AND(I473="",J473="",K473=""),"標報未入力",IF(CH473&gt;=設定!$B$4,"要確認","問題なし"))))</f>
        <v>―</v>
      </c>
      <c r="E473" s="24" t="str">
        <f aca="false">IF(OR(G473="",G473="なし",CI473="",CJ473=0),"―",IF(CJ473=CI473,"前月同額",IF(CI473=0,"―",IF(ABS(CJ473/CI473-1)&gt;=設定!$B$5,"変動大 "&amp;TEXT(CJ473/CI473-1,"+0%;-0%"),"〇"))))</f>
        <v>―</v>
      </c>
      <c r="F473" s="10" t="str">
        <f aca="false">IF(OR(G473="",G473="なし"),"―",IF(CJ473=0,"入金不要",IF(COUNT(AD473,AF473,AH473,AJ473)=0,IF(AK473="○","手動確認","未入金"),IF(AND(N(AD473)=AC473,IF(AE473="",TRUE(),N(AF473)=AE473),IF(AG473="",TRUE(),N(AH473)=AG473),IF(AI473="",TRUE(),N(AJ473)=AI473)),"一致","不一致"))))</f>
        <v>―</v>
      </c>
      <c r="G473" s="25"/>
      <c r="H473" s="26"/>
      <c r="I473" s="27"/>
      <c r="J473" s="27"/>
      <c r="K473" s="27"/>
      <c r="L473" s="27"/>
      <c r="M473" s="27"/>
      <c r="N473" s="27"/>
      <c r="O473" s="27"/>
      <c r="P473" s="27"/>
      <c r="Q473" s="27"/>
      <c r="R473" s="27"/>
      <c r="S473" s="27"/>
      <c r="T473" s="27"/>
      <c r="U473" s="27"/>
      <c r="V473" s="27"/>
      <c r="W473" s="27"/>
      <c r="X473" s="27"/>
      <c r="Y473" s="27"/>
      <c r="Z473" s="27"/>
      <c r="AA473" s="10" t="str">
        <f aca="false">IFERROR(INDEX(設定!$E$61:$E$106,MATCH(B473,設定!$B$61:$B$106,0)),"合算")</f>
        <v>合算</v>
      </c>
      <c r="AB473" s="28"/>
      <c r="AC473" s="29" t="str">
        <f aca="false">IF(OR(G473="",G473="なし"),"",IF(AA473="合算",CJ473+N(Z473),IF(AA473="掛金・負担金別",(AY473+AZ473+BD473+BF473+BH473),SUM(AY473:BC473))))</f>
        <v/>
      </c>
      <c r="AD473" s="27"/>
      <c r="AE473" s="29" t="str">
        <f aca="false">IF(OR(G473="",G473="なし"),"",IF(AA473="掛金・負担金別",(BA473+BB473+BC473+BE473+BG473+BI473+N(Z473)),IF(AA473="経理区分別",BD473+BE473,"")))</f>
        <v/>
      </c>
      <c r="AF473" s="27"/>
      <c r="AG473" s="29" t="str">
        <f aca="false">IF(OR(G473="",G473="なし"),"",IF(AA473="経理区分別",BF473+BG473,""))</f>
        <v/>
      </c>
      <c r="AH473" s="27"/>
      <c r="AI473" s="29" t="str">
        <f aca="false">IF(OR(G473="",G473="なし"),"",IF(AA473="経理区分別",BH473+BI473+N(Z473),""))</f>
        <v/>
      </c>
      <c r="AJ473" s="27"/>
      <c r="AK473" s="26"/>
      <c r="AL473" s="26"/>
      <c r="AM473" s="30"/>
      <c r="AN473" s="31" t="n">
        <v>561810</v>
      </c>
      <c r="AO473" s="31" t="n">
        <v>46050</v>
      </c>
      <c r="AP473" s="31" t="n">
        <v>816620</v>
      </c>
      <c r="AQ473" s="31" t="n">
        <v>46050</v>
      </c>
      <c r="AR473" s="31" t="n">
        <v>576</v>
      </c>
      <c r="AS473" s="31" t="n">
        <v>343259</v>
      </c>
      <c r="AT473" s="31" t="n">
        <v>349315</v>
      </c>
      <c r="AU473" s="31" t="n">
        <v>32232</v>
      </c>
      <c r="AV473" s="31" t="n">
        <v>32232</v>
      </c>
      <c r="AW473" s="31" t="n">
        <v>1</v>
      </c>
      <c r="AX473" s="31" t="n">
        <v>1</v>
      </c>
      <c r="AY473" s="31" t="n">
        <f aca="false">IF($G473="",AN473,O473)</f>
        <v>561810</v>
      </c>
      <c r="AZ473" s="31" t="n">
        <f aca="false">IF($G473="",AO473,P473)</f>
        <v>46050</v>
      </c>
      <c r="BA473" s="31" t="n">
        <f aca="false">IF($G473="",AP473,T473)</f>
        <v>816620</v>
      </c>
      <c r="BB473" s="31" t="n">
        <f aca="false">IF($G473="",AQ473,U473)</f>
        <v>46050</v>
      </c>
      <c r="BC473" s="31" t="n">
        <f aca="false">IF($G473="",AR473,V473)</f>
        <v>576</v>
      </c>
      <c r="BD473" s="31" t="n">
        <f aca="false">IF($G473="",AS473,Q473)</f>
        <v>343259</v>
      </c>
      <c r="BE473" s="31" t="n">
        <f aca="false">IF($G473="",AT473,W473)</f>
        <v>349315</v>
      </c>
      <c r="BF473" s="31" t="n">
        <f aca="false">IF($G473="",AU473,R473)</f>
        <v>32232</v>
      </c>
      <c r="BG473" s="31" t="n">
        <f aca="false">IF($G473="",AV473,X473)</f>
        <v>32232</v>
      </c>
      <c r="BH473" s="31" t="n">
        <f aca="false">IF($G473="",AW473,S473)</f>
        <v>1</v>
      </c>
      <c r="BI473" s="31" t="n">
        <f aca="false">IF($G473="",AX473,Y473)</f>
        <v>1</v>
      </c>
      <c r="BJ473" s="31" t="n">
        <f aca="false">IF(CK473="N",BR473,ROUNDDOWN((I473-L473)*設定!$B$10/1000,0)+ROUNDDOWN((I473-L473)*設定!$B$11/1000,0))</f>
        <v>0</v>
      </c>
      <c r="BK473" s="31" t="n">
        <f aca="false">ROUNDDOWN((I473-L473)*設定!$C$10/1000,0)+ROUNDDOWN((I473-L473)*設定!$C$11/1000,0)+ROUNDDOWN(I473*設定!$C$12/1000,0)+IF(CL473="市局型",ROUNDDOWN(I473*設定!$C$16/1000,0),0)</f>
        <v>0</v>
      </c>
      <c r="BL473" s="31" t="n">
        <f aca="false">IF(CK473="N",BT473,ROUNDDOWN((J473-M473)*設定!$B$13/1000,0))</f>
        <v>0</v>
      </c>
      <c r="BM473" s="31" t="n">
        <f aca="false">ROUNDDOWN((J473-M473)*設定!$C$13/1000,0)+IF(CL473="市局型",ROUNDDOWN(J473*設定!$C$17/1000,0),0)</f>
        <v>0</v>
      </c>
      <c r="BN473" s="31" t="n">
        <f aca="false">IF(CK473="N",BV473,ROUNDDOWN((K473-N473)*設定!$B$14/1000,0))</f>
        <v>0</v>
      </c>
      <c r="BO473" s="31" t="n">
        <f aca="false">ROUNDDOWN((K473-N473)*設定!$C$14/1000,0)</f>
        <v>0</v>
      </c>
      <c r="BP473" s="31" t="n">
        <f aca="false">IF(CK473="N",BX473,ROUNDDOWN((J473-M473)*設定!$B$15/1000,0))</f>
        <v>0</v>
      </c>
      <c r="BQ473" s="31" t="n">
        <f aca="false">ROUNDDOWN((J473-M473)*設定!$C$15/1000,0)</f>
        <v>0</v>
      </c>
      <c r="BR473" s="31" t="n">
        <f aca="false">O473+P473</f>
        <v>0</v>
      </c>
      <c r="BS473" s="31" t="n">
        <f aca="false">T473+U473+V473</f>
        <v>0</v>
      </c>
      <c r="BT473" s="31" t="n">
        <f aca="false">Q473</f>
        <v>0</v>
      </c>
      <c r="BU473" s="31" t="n">
        <f aca="false">W473</f>
        <v>0</v>
      </c>
      <c r="BV473" s="31" t="n">
        <f aca="false">R473</f>
        <v>0</v>
      </c>
      <c r="BW473" s="31" t="n">
        <f aca="false">X473</f>
        <v>0</v>
      </c>
      <c r="BX473" s="31" t="n">
        <f aca="false">S473</f>
        <v>0</v>
      </c>
      <c r="BY473" s="31" t="n">
        <f aca="false">Y473</f>
        <v>0</v>
      </c>
      <c r="BZ473" s="32" t="n">
        <f aca="false">IF(BJ473=0,IF(BR473=0,0,1),(BR473-BJ473)/BJ473)</f>
        <v>0</v>
      </c>
      <c r="CA473" s="32" t="n">
        <f aca="false">IF(BK473=0,IF(BS473=0,0,1),(BS473-BK473)/BK473)</f>
        <v>0</v>
      </c>
      <c r="CB473" s="32" t="n">
        <f aca="false">IF(BL473=0,IF(BT473=0,0,1),(BT473-BL473)/BL473)</f>
        <v>0</v>
      </c>
      <c r="CC473" s="32" t="n">
        <f aca="false">IF(BM473=0,IF(BU473=0,0,1),(BU473-BM473)/BM473)</f>
        <v>0</v>
      </c>
      <c r="CD473" s="32" t="n">
        <f aca="false">IF(BN473=0,IF(BV473=0,0,1),(BV473-BN473)/BN473)</f>
        <v>0</v>
      </c>
      <c r="CE473" s="32" t="n">
        <f aca="false">IF(BO473=0,IF(BW473=0,0,1),(BW473-BO473)/BO473)</f>
        <v>0</v>
      </c>
      <c r="CF473" s="32" t="n">
        <f aca="false">IF(BP473=0,IF(BX473=0,0,1),(BX473-BP473)/BP473)</f>
        <v>0</v>
      </c>
      <c r="CG473" s="32" t="n">
        <f aca="false">IF(BQ473=0,IF(BY473=0,0,1),(BY473-BQ473)/BQ473)</f>
        <v>0</v>
      </c>
      <c r="CH473" s="32" t="n">
        <f aca="false">MAX(MAX(BZ473:CG473),-MIN(BZ473:CG473))</f>
        <v>-0</v>
      </c>
      <c r="CI473" s="31" t="n">
        <f aca="false">IF(CO473="","",SUMIFS($CJ$7:$CJ$696,$A$7:$A$696,CO473,$B$7:$B$696,B473))</f>
        <v>2246148</v>
      </c>
      <c r="CJ473" s="31" t="n">
        <f aca="false">SUM(AY473:BI473)</f>
        <v>2228146</v>
      </c>
      <c r="CK473" s="31" t="str">
        <f aca="false">IFERROR(INDEX(設定!$F$61:$F$106,MATCH(B473,設定!$B$61:$B$106,0)),"Y")</f>
        <v>Y</v>
      </c>
      <c r="CL473" s="31" t="str">
        <f aca="false">IFERROR(INDEX(設定!$G$61:$G$106,MATCH(B473,設定!$B$61:$B$106,0)),"外郭型")</f>
        <v>市局型</v>
      </c>
      <c r="CM473" s="33" t="str">
        <f aca="false">A473&amp;"|"&amp;B473</f>
        <v>2026-12 月例|人事委員会</v>
      </c>
      <c r="CN473" s="34" t="str">
        <f aca="false">IFERROR(INDEX(設定!$D$61:$D$106,MATCH(B473,設定!$B$61:$B$106,0)),"Y")</f>
        <v>Y</v>
      </c>
      <c r="CO473" s="34" t="str">
        <f aca="false">IFERROR(INDEX(設定!$D$20:$D$34,MATCH(A473,設定!$A$20:$A$34,0))&amp;"","")</f>
        <v>2026-11 月例</v>
      </c>
    </row>
    <row r="474" customFormat="false" ht="15" hidden="true" customHeight="false" outlineLevel="0" collapsed="false">
      <c r="A474" s="22" t="s">
        <v>226</v>
      </c>
      <c r="B474" s="23" t="s">
        <v>175</v>
      </c>
      <c r="C474" s="10" t="str">
        <f aca="false">IF(G474="","未受領",IF(G474="なし","報告なし",IF(AL474="○","起票済",IF(OR(AK474="○",F474="一致",F474="入金不要"),"入金確認済","受領済"))))</f>
        <v>未受領</v>
      </c>
      <c r="D474" s="10" t="str">
        <f aca="false">IF(OR(G474="",G474="なし"),"―",IF(CN474="N","対象外",IF(AND(I474="",J474="",K474=""),"標報未入力",IF(CH474&gt;=設定!$B$4,"要確認","問題なし"))))</f>
        <v>―</v>
      </c>
      <c r="E474" s="24" t="str">
        <f aca="false">IF(OR(G474="",G474="なし",CI474="",CJ474=0),"―",IF(CJ474=CI474,"前月同額",IF(CI474=0,"―",IF(ABS(CJ474/CI474-1)&gt;=設定!$B$5,"変動大 "&amp;TEXT(CJ474/CI474-1,"+0%;-0%"),"〇"))))</f>
        <v>―</v>
      </c>
      <c r="F474" s="10" t="str">
        <f aca="false">IF(OR(G474="",G474="なし"),"―",IF(CJ474=0,"入金不要",IF(COUNT(AD474,AF474,AH474,AJ474)=0,IF(AK474="○","手動確認","未入金"),IF(AND(N(AD474)=AC474,IF(AE474="",TRUE(),N(AF474)=AE474),IF(AG474="",TRUE(),N(AH474)=AG474),IF(AI474="",TRUE(),N(AJ474)=AI474)),"一致","不一致"))))</f>
        <v>―</v>
      </c>
      <c r="G474" s="25"/>
      <c r="H474" s="26"/>
      <c r="I474" s="27"/>
      <c r="J474" s="27"/>
      <c r="K474" s="27"/>
      <c r="L474" s="27"/>
      <c r="M474" s="27"/>
      <c r="N474" s="27"/>
      <c r="O474" s="27"/>
      <c r="P474" s="27"/>
      <c r="Q474" s="27"/>
      <c r="R474" s="27"/>
      <c r="S474" s="27"/>
      <c r="T474" s="27"/>
      <c r="U474" s="27"/>
      <c r="V474" s="27"/>
      <c r="W474" s="27"/>
      <c r="X474" s="27"/>
      <c r="Y474" s="27"/>
      <c r="Z474" s="27"/>
      <c r="AA474" s="10" t="str">
        <f aca="false">IFERROR(INDEX(設定!$E$61:$E$106,MATCH(B474,設定!$B$61:$B$106,0)),"合算")</f>
        <v>合算</v>
      </c>
      <c r="AB474" s="28"/>
      <c r="AC474" s="29" t="str">
        <f aca="false">IF(OR(G474="",G474="なし"),"",IF(AA474="合算",CJ474+N(Z474),IF(AA474="掛金・負担金別",(AY474+AZ474+BD474+BF474+BH474),SUM(AY474:BC474))))</f>
        <v/>
      </c>
      <c r="AD474" s="27"/>
      <c r="AE474" s="29" t="str">
        <f aca="false">IF(OR(G474="",G474="なし"),"",IF(AA474="掛金・負担金別",(BA474+BB474+BC474+BE474+BG474+BI474+N(Z474)),IF(AA474="経理区分別",BD474+BE474,"")))</f>
        <v/>
      </c>
      <c r="AF474" s="27"/>
      <c r="AG474" s="29" t="str">
        <f aca="false">IF(OR(G474="",G474="なし"),"",IF(AA474="経理区分別",BF474+BG474,""))</f>
        <v/>
      </c>
      <c r="AH474" s="27"/>
      <c r="AI474" s="29" t="str">
        <f aca="false">IF(OR(G474="",G474="なし"),"",IF(AA474="経理区分別",BH474+BI474+N(Z474),""))</f>
        <v/>
      </c>
      <c r="AJ474" s="27"/>
      <c r="AK474" s="26"/>
      <c r="AL474" s="26"/>
      <c r="AM474" s="30"/>
      <c r="AN474" s="31" t="n">
        <v>1344135</v>
      </c>
      <c r="AO474" s="31" t="n">
        <v>110175</v>
      </c>
      <c r="AP474" s="31" t="n">
        <v>1965390</v>
      </c>
      <c r="AQ474" s="31" t="n">
        <v>110175</v>
      </c>
      <c r="AR474" s="31" t="n">
        <v>1405</v>
      </c>
      <c r="AS474" s="31" t="n">
        <v>836690</v>
      </c>
      <c r="AT474" s="31" t="n">
        <v>851727</v>
      </c>
      <c r="AU474" s="31" t="n">
        <v>108309</v>
      </c>
      <c r="AV474" s="31" t="n">
        <v>108309</v>
      </c>
      <c r="AW474" s="31" t="n">
        <v>1</v>
      </c>
      <c r="AX474" s="31" t="n">
        <v>1</v>
      </c>
      <c r="AY474" s="31" t="n">
        <f aca="false">IF($G474="",AN474,O474)</f>
        <v>1344135</v>
      </c>
      <c r="AZ474" s="31" t="n">
        <f aca="false">IF($G474="",AO474,P474)</f>
        <v>110175</v>
      </c>
      <c r="BA474" s="31" t="n">
        <f aca="false">IF($G474="",AP474,T474)</f>
        <v>1965390</v>
      </c>
      <c r="BB474" s="31" t="n">
        <f aca="false">IF($G474="",AQ474,U474)</f>
        <v>110175</v>
      </c>
      <c r="BC474" s="31" t="n">
        <f aca="false">IF($G474="",AR474,V474)</f>
        <v>1405</v>
      </c>
      <c r="BD474" s="31" t="n">
        <f aca="false">IF($G474="",AS474,Q474)</f>
        <v>836690</v>
      </c>
      <c r="BE474" s="31" t="n">
        <f aca="false">IF($G474="",AT474,W474)</f>
        <v>851727</v>
      </c>
      <c r="BF474" s="31" t="n">
        <f aca="false">IF($G474="",AU474,R474)</f>
        <v>108309</v>
      </c>
      <c r="BG474" s="31" t="n">
        <f aca="false">IF($G474="",AV474,X474)</f>
        <v>108309</v>
      </c>
      <c r="BH474" s="31" t="n">
        <f aca="false">IF($G474="",AW474,S474)</f>
        <v>1</v>
      </c>
      <c r="BI474" s="31" t="n">
        <f aca="false">IF($G474="",AX474,Y474)</f>
        <v>1</v>
      </c>
      <c r="BJ474" s="31" t="n">
        <f aca="false">IF(CK474="N",BR474,ROUNDDOWN((I474-L474)*設定!$B$10/1000,0)+ROUNDDOWN((I474-L474)*設定!$B$11/1000,0))</f>
        <v>0</v>
      </c>
      <c r="BK474" s="31" t="n">
        <f aca="false">ROUNDDOWN((I474-L474)*設定!$C$10/1000,0)+ROUNDDOWN((I474-L474)*設定!$C$11/1000,0)+ROUNDDOWN(I474*設定!$C$12/1000,0)+IF(CL474="市局型",ROUNDDOWN(I474*設定!$C$16/1000,0),0)</f>
        <v>0</v>
      </c>
      <c r="BL474" s="31" t="n">
        <f aca="false">IF(CK474="N",BT474,ROUNDDOWN((J474-M474)*設定!$B$13/1000,0))</f>
        <v>0</v>
      </c>
      <c r="BM474" s="31" t="n">
        <f aca="false">ROUNDDOWN((J474-M474)*設定!$C$13/1000,0)+IF(CL474="市局型",ROUNDDOWN(J474*設定!$C$17/1000,0),0)</f>
        <v>0</v>
      </c>
      <c r="BN474" s="31" t="n">
        <f aca="false">IF(CK474="N",BV474,ROUNDDOWN((K474-N474)*設定!$B$14/1000,0))</f>
        <v>0</v>
      </c>
      <c r="BO474" s="31" t="n">
        <f aca="false">ROUNDDOWN((K474-N474)*設定!$C$14/1000,0)</f>
        <v>0</v>
      </c>
      <c r="BP474" s="31" t="n">
        <f aca="false">IF(CK474="N",BX474,ROUNDDOWN((J474-M474)*設定!$B$15/1000,0))</f>
        <v>0</v>
      </c>
      <c r="BQ474" s="31" t="n">
        <f aca="false">ROUNDDOWN((J474-M474)*設定!$C$15/1000,0)</f>
        <v>0</v>
      </c>
      <c r="BR474" s="31" t="n">
        <f aca="false">O474+P474</f>
        <v>0</v>
      </c>
      <c r="BS474" s="31" t="n">
        <f aca="false">T474+U474+V474</f>
        <v>0</v>
      </c>
      <c r="BT474" s="31" t="n">
        <f aca="false">Q474</f>
        <v>0</v>
      </c>
      <c r="BU474" s="31" t="n">
        <f aca="false">W474</f>
        <v>0</v>
      </c>
      <c r="BV474" s="31" t="n">
        <f aca="false">R474</f>
        <v>0</v>
      </c>
      <c r="BW474" s="31" t="n">
        <f aca="false">X474</f>
        <v>0</v>
      </c>
      <c r="BX474" s="31" t="n">
        <f aca="false">S474</f>
        <v>0</v>
      </c>
      <c r="BY474" s="31" t="n">
        <f aca="false">Y474</f>
        <v>0</v>
      </c>
      <c r="BZ474" s="32" t="n">
        <f aca="false">IF(BJ474=0,IF(BR474=0,0,1),(BR474-BJ474)/BJ474)</f>
        <v>0</v>
      </c>
      <c r="CA474" s="32" t="n">
        <f aca="false">IF(BK474=0,IF(BS474=0,0,1),(BS474-BK474)/BK474)</f>
        <v>0</v>
      </c>
      <c r="CB474" s="32" t="n">
        <f aca="false">IF(BL474=0,IF(BT474=0,0,1),(BT474-BL474)/BL474)</f>
        <v>0</v>
      </c>
      <c r="CC474" s="32" t="n">
        <f aca="false">IF(BM474=0,IF(BU474=0,0,1),(BU474-BM474)/BM474)</f>
        <v>0</v>
      </c>
      <c r="CD474" s="32" t="n">
        <f aca="false">IF(BN474=0,IF(BV474=0,0,1),(BV474-BN474)/BN474)</f>
        <v>0</v>
      </c>
      <c r="CE474" s="32" t="n">
        <f aca="false">IF(BO474=0,IF(BW474=0,0,1),(BW474-BO474)/BO474)</f>
        <v>0</v>
      </c>
      <c r="CF474" s="32" t="n">
        <f aca="false">IF(BP474=0,IF(BX474=0,0,1),(BX474-BP474)/BP474)</f>
        <v>0</v>
      </c>
      <c r="CG474" s="32" t="n">
        <f aca="false">IF(BQ474=0,IF(BY474=0,0,1),(BY474-BQ474)/BQ474)</f>
        <v>0</v>
      </c>
      <c r="CH474" s="32" t="n">
        <f aca="false">MAX(MAX(BZ474:CG474),-MIN(BZ474:CG474))</f>
        <v>-0</v>
      </c>
      <c r="CI474" s="31" t="n">
        <f aca="false">IF(CO474="","",SUMIFS($CJ$7:$CJ$696,$A$7:$A$696,CO474,$B$7:$B$696,B474))</f>
        <v>5436317</v>
      </c>
      <c r="CJ474" s="31" t="n">
        <f aca="false">SUM(AY474:BI474)</f>
        <v>5436317</v>
      </c>
      <c r="CK474" s="31" t="str">
        <f aca="false">IFERROR(INDEX(設定!$F$61:$F$106,MATCH(B474,設定!$B$61:$B$106,0)),"Y")</f>
        <v>Y</v>
      </c>
      <c r="CL474" s="31" t="str">
        <f aca="false">IFERROR(INDEX(設定!$G$61:$G$106,MATCH(B474,設定!$B$61:$B$106,0)),"外郭型")</f>
        <v>市局型</v>
      </c>
      <c r="CM474" s="33" t="str">
        <f aca="false">A474&amp;"|"&amp;B474</f>
        <v>2026-12 月例|監査事務局</v>
      </c>
      <c r="CN474" s="34" t="str">
        <f aca="false">IFERROR(INDEX(設定!$D$61:$D$106,MATCH(B474,設定!$B$61:$B$106,0)),"Y")</f>
        <v>Y</v>
      </c>
      <c r="CO474" s="34" t="str">
        <f aca="false">IFERROR(INDEX(設定!$D$20:$D$34,MATCH(A474,設定!$A$20:$A$34,0))&amp;"","")</f>
        <v>2026-11 月例</v>
      </c>
    </row>
    <row r="475" customFormat="false" ht="15" hidden="true" customHeight="false" outlineLevel="0" collapsed="false">
      <c r="A475" s="22" t="s">
        <v>226</v>
      </c>
      <c r="B475" s="23" t="s">
        <v>176</v>
      </c>
      <c r="C475" s="10" t="str">
        <f aca="false">IF(G475="","未受領",IF(G475="なし","報告なし",IF(AL475="○","起票済",IF(OR(AK475="○",F475="一致",F475="入金不要"),"入金確認済","受領済"))))</f>
        <v>未受領</v>
      </c>
      <c r="D475" s="10" t="str">
        <f aca="false">IF(OR(G475="",G475="なし"),"―",IF(CN475="N","対象外",IF(AND(I475="",J475="",K475=""),"標報未入力",IF(CH475&gt;=設定!$B$4,"要確認","問題なし"))))</f>
        <v>―</v>
      </c>
      <c r="E475" s="24" t="str">
        <f aca="false">IF(OR(G475="",G475="なし",CI475="",CJ475=0),"―",IF(CJ475=CI475,"前月同額",IF(CI475=0,"―",IF(ABS(CJ475/CI475-1)&gt;=設定!$B$5,"変動大 "&amp;TEXT(CJ475/CI475-1,"+0%;-0%"),"〇"))))</f>
        <v>―</v>
      </c>
      <c r="F475" s="10" t="str">
        <f aca="false">IF(OR(G475="",G475="なし"),"―",IF(CJ475=0,"入金不要",IF(COUNT(AD475,AF475,AH475,AJ475)=0,IF(AK475="○","手動確認","未入金"),IF(AND(N(AD475)=AC475,IF(AE475="",TRUE(),N(AF475)=AE475),IF(AG475="",TRUE(),N(AH475)=AG475),IF(AI475="",TRUE(),N(AJ475)=AI475)),"一致","不一致"))))</f>
        <v>―</v>
      </c>
      <c r="G475" s="25"/>
      <c r="H475" s="26"/>
      <c r="I475" s="27"/>
      <c r="J475" s="27"/>
      <c r="K475" s="27"/>
      <c r="L475" s="27"/>
      <c r="M475" s="27"/>
      <c r="N475" s="27"/>
      <c r="O475" s="27"/>
      <c r="P475" s="27"/>
      <c r="Q475" s="27"/>
      <c r="R475" s="27"/>
      <c r="S475" s="27"/>
      <c r="T475" s="27"/>
      <c r="U475" s="27"/>
      <c r="V475" s="27"/>
      <c r="W475" s="27"/>
      <c r="X475" s="27"/>
      <c r="Y475" s="27"/>
      <c r="Z475" s="27"/>
      <c r="AA475" s="10" t="str">
        <f aca="false">IFERROR(INDEX(設定!$E$61:$E$106,MATCH(B475,設定!$B$61:$B$106,0)),"合算")</f>
        <v>合算</v>
      </c>
      <c r="AB475" s="28"/>
      <c r="AC475" s="29" t="str">
        <f aca="false">IF(OR(G475="",G475="なし"),"",IF(AA475="合算",CJ475+N(Z475),IF(AA475="掛金・負担金別",(AY475+AZ475+BD475+BF475+BH475),SUM(AY475:BC475))))</f>
        <v/>
      </c>
      <c r="AD475" s="27"/>
      <c r="AE475" s="29" t="str">
        <f aca="false">IF(OR(G475="",G475="なし"),"",IF(AA475="掛金・負担金別",(BA475+BB475+BC475+BE475+BG475+BI475+N(Z475)),IF(AA475="経理区分別",BD475+BE475,"")))</f>
        <v/>
      </c>
      <c r="AF475" s="27"/>
      <c r="AG475" s="29" t="str">
        <f aca="false">IF(OR(G475="",G475="なし"),"",IF(AA475="経理区分別",BF475+BG475,""))</f>
        <v/>
      </c>
      <c r="AH475" s="27"/>
      <c r="AI475" s="29" t="str">
        <f aca="false">IF(OR(G475="",G475="なし"),"",IF(AA475="経理区分別",BH475+BI475+N(Z475),""))</f>
        <v/>
      </c>
      <c r="AJ475" s="27"/>
      <c r="AK475" s="26"/>
      <c r="AL475" s="26"/>
      <c r="AM475" s="30"/>
      <c r="AN475" s="31" t="n">
        <v>382470</v>
      </c>
      <c r="AO475" s="31" t="n">
        <v>31350</v>
      </c>
      <c r="AP475" s="31" t="n">
        <v>555940</v>
      </c>
      <c r="AQ475" s="31" t="n">
        <v>31350</v>
      </c>
      <c r="AR475" s="31" t="n">
        <v>392</v>
      </c>
      <c r="AS475" s="31" t="n">
        <v>308930</v>
      </c>
      <c r="AT475" s="31" t="n">
        <v>314382</v>
      </c>
      <c r="AU475" s="31" t="n">
        <v>32672</v>
      </c>
      <c r="AV475" s="31" t="n">
        <v>32674</v>
      </c>
      <c r="AW475" s="31" t="n">
        <v>1</v>
      </c>
      <c r="AX475" s="31" t="n">
        <v>1</v>
      </c>
      <c r="AY475" s="31" t="n">
        <f aca="false">IF($G475="",AN475,O475)</f>
        <v>382470</v>
      </c>
      <c r="AZ475" s="31" t="n">
        <f aca="false">IF($G475="",AO475,P475)</f>
        <v>31350</v>
      </c>
      <c r="BA475" s="31" t="n">
        <f aca="false">IF($G475="",AP475,T475)</f>
        <v>555940</v>
      </c>
      <c r="BB475" s="31" t="n">
        <f aca="false">IF($G475="",AQ475,U475)</f>
        <v>31350</v>
      </c>
      <c r="BC475" s="31" t="n">
        <f aca="false">IF($G475="",AR475,V475)</f>
        <v>392</v>
      </c>
      <c r="BD475" s="31" t="n">
        <f aca="false">IF($G475="",AS475,Q475)</f>
        <v>308930</v>
      </c>
      <c r="BE475" s="31" t="n">
        <f aca="false">IF($G475="",AT475,W475)</f>
        <v>314382</v>
      </c>
      <c r="BF475" s="31" t="n">
        <f aca="false">IF($G475="",AU475,R475)</f>
        <v>32672</v>
      </c>
      <c r="BG475" s="31" t="n">
        <f aca="false">IF($G475="",AV475,X475)</f>
        <v>32674</v>
      </c>
      <c r="BH475" s="31" t="n">
        <f aca="false">IF($G475="",AW475,S475)</f>
        <v>1</v>
      </c>
      <c r="BI475" s="31" t="n">
        <f aca="false">IF($G475="",AX475,Y475)</f>
        <v>1</v>
      </c>
      <c r="BJ475" s="31" t="n">
        <f aca="false">IF(CK475="N",BR475,ROUNDDOWN((I475-L475)*設定!$B$10/1000,0)+ROUNDDOWN((I475-L475)*設定!$B$11/1000,0))</f>
        <v>0</v>
      </c>
      <c r="BK475" s="31" t="n">
        <f aca="false">ROUNDDOWN((I475-L475)*設定!$C$10/1000,0)+ROUNDDOWN((I475-L475)*設定!$C$11/1000,0)+ROUNDDOWN(I475*設定!$C$12/1000,0)+IF(CL475="市局型",ROUNDDOWN(I475*設定!$C$16/1000,0),0)</f>
        <v>0</v>
      </c>
      <c r="BL475" s="31" t="n">
        <f aca="false">IF(CK475="N",BT475,ROUNDDOWN((J475-M475)*設定!$B$13/1000,0))</f>
        <v>0</v>
      </c>
      <c r="BM475" s="31" t="n">
        <f aca="false">ROUNDDOWN((J475-M475)*設定!$C$13/1000,0)+IF(CL475="市局型",ROUNDDOWN(J475*設定!$C$17/1000,0),0)</f>
        <v>0</v>
      </c>
      <c r="BN475" s="31" t="n">
        <f aca="false">IF(CK475="N",BV475,ROUNDDOWN((K475-N475)*設定!$B$14/1000,0))</f>
        <v>0</v>
      </c>
      <c r="BO475" s="31" t="n">
        <f aca="false">ROUNDDOWN((K475-N475)*設定!$C$14/1000,0)</f>
        <v>0</v>
      </c>
      <c r="BP475" s="31" t="n">
        <f aca="false">IF(CK475="N",BX475,ROUNDDOWN((J475-M475)*設定!$B$15/1000,0))</f>
        <v>0</v>
      </c>
      <c r="BQ475" s="31" t="n">
        <f aca="false">ROUNDDOWN((J475-M475)*設定!$C$15/1000,0)</f>
        <v>0</v>
      </c>
      <c r="BR475" s="31" t="n">
        <f aca="false">O475+P475</f>
        <v>0</v>
      </c>
      <c r="BS475" s="31" t="n">
        <f aca="false">T475+U475+V475</f>
        <v>0</v>
      </c>
      <c r="BT475" s="31" t="n">
        <f aca="false">Q475</f>
        <v>0</v>
      </c>
      <c r="BU475" s="31" t="n">
        <f aca="false">W475</f>
        <v>0</v>
      </c>
      <c r="BV475" s="31" t="n">
        <f aca="false">R475</f>
        <v>0</v>
      </c>
      <c r="BW475" s="31" t="n">
        <f aca="false">X475</f>
        <v>0</v>
      </c>
      <c r="BX475" s="31" t="n">
        <f aca="false">S475</f>
        <v>0</v>
      </c>
      <c r="BY475" s="31" t="n">
        <f aca="false">Y475</f>
        <v>0</v>
      </c>
      <c r="BZ475" s="32" t="n">
        <f aca="false">IF(BJ475=0,IF(BR475=0,0,1),(BR475-BJ475)/BJ475)</f>
        <v>0</v>
      </c>
      <c r="CA475" s="32" t="n">
        <f aca="false">IF(BK475=0,IF(BS475=0,0,1),(BS475-BK475)/BK475)</f>
        <v>0</v>
      </c>
      <c r="CB475" s="32" t="n">
        <f aca="false">IF(BL475=0,IF(BT475=0,0,1),(BT475-BL475)/BL475)</f>
        <v>0</v>
      </c>
      <c r="CC475" s="32" t="n">
        <f aca="false">IF(BM475=0,IF(BU475=0,0,1),(BU475-BM475)/BM475)</f>
        <v>0</v>
      </c>
      <c r="CD475" s="32" t="n">
        <f aca="false">IF(BN475=0,IF(BV475=0,0,1),(BV475-BN475)/BN475)</f>
        <v>0</v>
      </c>
      <c r="CE475" s="32" t="n">
        <f aca="false">IF(BO475=0,IF(BW475=0,0,1),(BW475-BO475)/BO475)</f>
        <v>0</v>
      </c>
      <c r="CF475" s="32" t="n">
        <f aca="false">IF(BP475=0,IF(BX475=0,0,1),(BX475-BP475)/BP475)</f>
        <v>0</v>
      </c>
      <c r="CG475" s="32" t="n">
        <f aca="false">IF(BQ475=0,IF(BY475=0,0,1),(BY475-BQ475)/BQ475)</f>
        <v>0</v>
      </c>
      <c r="CH475" s="32" t="n">
        <f aca="false">MAX(MAX(BZ475:CG475),-MIN(BZ475:CG475))</f>
        <v>-0</v>
      </c>
      <c r="CI475" s="31" t="n">
        <f aca="false">IF(CO475="","",SUMIFS($CJ$7:$CJ$696,$A$7:$A$696,CO475,$B$7:$B$696,B475))</f>
        <v>1690162</v>
      </c>
      <c r="CJ475" s="31" t="n">
        <f aca="false">SUM(AY475:BI475)</f>
        <v>1690162</v>
      </c>
      <c r="CK475" s="31" t="str">
        <f aca="false">IFERROR(INDEX(設定!$F$61:$F$106,MATCH(B475,設定!$B$61:$B$106,0)),"Y")</f>
        <v>Y</v>
      </c>
      <c r="CL475" s="31" t="str">
        <f aca="false">IFERROR(INDEX(設定!$G$61:$G$106,MATCH(B475,設定!$B$61:$B$106,0)),"外郭型")</f>
        <v>市局型</v>
      </c>
      <c r="CM475" s="33" t="str">
        <f aca="false">A475&amp;"|"&amp;B475</f>
        <v>2026-12 月例|農業委員会</v>
      </c>
      <c r="CN475" s="34" t="str">
        <f aca="false">IFERROR(INDEX(設定!$D$61:$D$106,MATCH(B475,設定!$B$61:$B$106,0)),"Y")</f>
        <v>Y</v>
      </c>
      <c r="CO475" s="34" t="str">
        <f aca="false">IFERROR(INDEX(設定!$D$20:$D$34,MATCH(A475,設定!$A$20:$A$34,0))&amp;"","")</f>
        <v>2026-11 月例</v>
      </c>
    </row>
    <row r="476" customFormat="false" ht="15" hidden="true" customHeight="false" outlineLevel="0" collapsed="false">
      <c r="A476" s="22" t="s">
        <v>226</v>
      </c>
      <c r="B476" s="23" t="s">
        <v>177</v>
      </c>
      <c r="C476" s="10" t="str">
        <f aca="false">IF(G476="","未受領",IF(G476="なし","報告なし",IF(AL476="○","起票済",IF(OR(AK476="○",F476="一致",F476="入金不要"),"入金確認済","受領済"))))</f>
        <v>未受領</v>
      </c>
      <c r="D476" s="10" t="str">
        <f aca="false">IF(OR(G476="",G476="なし"),"―",IF(CN476="N","対象外",IF(AND(I476="",J476="",K476=""),"標報未入力",IF(CH476&gt;=設定!$B$4,"要確認","問題なし"))))</f>
        <v>―</v>
      </c>
      <c r="E476" s="24" t="str">
        <f aca="false">IF(OR(G476="",G476="なし",CI476="",CJ476=0),"―",IF(CJ476=CI476,"前月同額",IF(CI476=0,"―",IF(ABS(CJ476/CI476-1)&gt;=設定!$B$5,"変動大 "&amp;TEXT(CJ476/CI476-1,"+0%;-0%"),"〇"))))</f>
        <v>―</v>
      </c>
      <c r="F476" s="10" t="str">
        <f aca="false">IF(OR(G476="",G476="なし"),"―",IF(CJ476=0,"入金不要",IF(COUNT(AD476,AF476,AH476,AJ476)=0,IF(AK476="○","手動確認","未入金"),IF(AND(N(AD476)=AC476,IF(AE476="",TRUE(),N(AF476)=AE476),IF(AG476="",TRUE(),N(AH476)=AG476),IF(AI476="",TRUE(),N(AJ476)=AI476)),"一致","不一致"))))</f>
        <v>―</v>
      </c>
      <c r="G476" s="25"/>
      <c r="H476" s="26"/>
      <c r="I476" s="27"/>
      <c r="J476" s="27"/>
      <c r="K476" s="27"/>
      <c r="L476" s="27"/>
      <c r="M476" s="27"/>
      <c r="N476" s="27"/>
      <c r="O476" s="27"/>
      <c r="P476" s="27"/>
      <c r="Q476" s="27"/>
      <c r="R476" s="27"/>
      <c r="S476" s="27"/>
      <c r="T476" s="27"/>
      <c r="U476" s="27"/>
      <c r="V476" s="27"/>
      <c r="W476" s="27"/>
      <c r="X476" s="27"/>
      <c r="Y476" s="27"/>
      <c r="Z476" s="27"/>
      <c r="AA476" s="10" t="str">
        <f aca="false">IFERROR(INDEX(設定!$E$61:$E$106,MATCH(B476,設定!$B$61:$B$106,0)),"合算")</f>
        <v>合算</v>
      </c>
      <c r="AB476" s="28"/>
      <c r="AC476" s="29" t="str">
        <f aca="false">IF(OR(G476="",G476="なし"),"",IF(AA476="合算",CJ476+N(Z476),IF(AA476="掛金・負担金別",(AY476+AZ476+BD476+BF476+BH476),SUM(AY476:BC476))))</f>
        <v/>
      </c>
      <c r="AD476" s="27"/>
      <c r="AE476" s="29" t="str">
        <f aca="false">IF(OR(G476="",G476="なし"),"",IF(AA476="掛金・負担金別",(BA476+BB476+BC476+BE476+BG476+BI476+N(Z476)),IF(AA476="経理区分別",BD476+BE476,"")))</f>
        <v/>
      </c>
      <c r="AF476" s="27"/>
      <c r="AG476" s="29" t="str">
        <f aca="false">IF(OR(G476="",G476="なし"),"",IF(AA476="経理区分別",BF476+BG476,""))</f>
        <v/>
      </c>
      <c r="AH476" s="27"/>
      <c r="AI476" s="29" t="str">
        <f aca="false">IF(OR(G476="",G476="なし"),"",IF(AA476="経理区分別",BH476+BI476+N(Z476),""))</f>
        <v/>
      </c>
      <c r="AJ476" s="27"/>
      <c r="AK476" s="26"/>
      <c r="AL476" s="26"/>
      <c r="AM476" s="30"/>
      <c r="AN476" s="31" t="n">
        <v>22420245</v>
      </c>
      <c r="AO476" s="31" t="n">
        <v>1837725</v>
      </c>
      <c r="AP476" s="31" t="n">
        <v>32718055</v>
      </c>
      <c r="AQ476" s="31" t="n">
        <v>1837725</v>
      </c>
      <c r="AR476" s="31" t="n">
        <v>23294</v>
      </c>
      <c r="AS476" s="31" t="n">
        <v>14220373</v>
      </c>
      <c r="AT476" s="31" t="n">
        <v>14474405</v>
      </c>
      <c r="AU476" s="31" t="n">
        <v>1341183</v>
      </c>
      <c r="AV476" s="31" t="n">
        <v>1341183</v>
      </c>
      <c r="AW476" s="31" t="n">
        <v>1</v>
      </c>
      <c r="AX476" s="31" t="n">
        <v>1</v>
      </c>
      <c r="AY476" s="31" t="n">
        <f aca="false">IF($G476="",AN476,O476)</f>
        <v>22420245</v>
      </c>
      <c r="AZ476" s="31" t="n">
        <f aca="false">IF($G476="",AO476,P476)</f>
        <v>1837725</v>
      </c>
      <c r="BA476" s="31" t="n">
        <f aca="false">IF($G476="",AP476,T476)</f>
        <v>32718055</v>
      </c>
      <c r="BB476" s="31" t="n">
        <f aca="false">IF($G476="",AQ476,U476)</f>
        <v>1837725</v>
      </c>
      <c r="BC476" s="31" t="n">
        <f aca="false">IF($G476="",AR476,V476)</f>
        <v>23294</v>
      </c>
      <c r="BD476" s="31" t="n">
        <f aca="false">IF($G476="",AS476,Q476)</f>
        <v>14220373</v>
      </c>
      <c r="BE476" s="31" t="n">
        <f aca="false">IF($G476="",AT476,W476)</f>
        <v>14474405</v>
      </c>
      <c r="BF476" s="31" t="n">
        <f aca="false">IF($G476="",AU476,R476)</f>
        <v>1341183</v>
      </c>
      <c r="BG476" s="31" t="n">
        <f aca="false">IF($G476="",AV476,X476)</f>
        <v>1341183</v>
      </c>
      <c r="BH476" s="31" t="n">
        <f aca="false">IF($G476="",AW476,S476)</f>
        <v>1</v>
      </c>
      <c r="BI476" s="31" t="n">
        <f aca="false">IF($G476="",AX476,Y476)</f>
        <v>1</v>
      </c>
      <c r="BJ476" s="31" t="n">
        <f aca="false">IF(CK476="N",BR476,ROUNDDOWN((I476-L476)*設定!$B$10/1000,0)+ROUNDDOWN((I476-L476)*設定!$B$11/1000,0))</f>
        <v>0</v>
      </c>
      <c r="BK476" s="31" t="n">
        <f aca="false">ROUNDDOWN((I476-L476)*設定!$C$10/1000,0)+ROUNDDOWN((I476-L476)*設定!$C$11/1000,0)+ROUNDDOWN(I476*設定!$C$12/1000,0)+IF(CL476="市局型",ROUNDDOWN(I476*設定!$C$16/1000,0),0)</f>
        <v>0</v>
      </c>
      <c r="BL476" s="31" t="n">
        <f aca="false">IF(CK476="N",BT476,ROUNDDOWN((J476-M476)*設定!$B$13/1000,0))</f>
        <v>0</v>
      </c>
      <c r="BM476" s="31" t="n">
        <f aca="false">ROUNDDOWN((J476-M476)*設定!$C$13/1000,0)+IF(CL476="市局型",ROUNDDOWN(J476*設定!$C$17/1000,0),0)</f>
        <v>0</v>
      </c>
      <c r="BN476" s="31" t="n">
        <f aca="false">IF(CK476="N",BV476,ROUNDDOWN((K476-N476)*設定!$B$14/1000,0))</f>
        <v>0</v>
      </c>
      <c r="BO476" s="31" t="n">
        <f aca="false">ROUNDDOWN((K476-N476)*設定!$C$14/1000,0)</f>
        <v>0</v>
      </c>
      <c r="BP476" s="31" t="n">
        <f aca="false">IF(CK476="N",BX476,ROUNDDOWN((J476-M476)*設定!$B$15/1000,0))</f>
        <v>0</v>
      </c>
      <c r="BQ476" s="31" t="n">
        <f aca="false">ROUNDDOWN((J476-M476)*設定!$C$15/1000,0)</f>
        <v>0</v>
      </c>
      <c r="BR476" s="31" t="n">
        <f aca="false">O476+P476</f>
        <v>0</v>
      </c>
      <c r="BS476" s="31" t="n">
        <f aca="false">T476+U476+V476</f>
        <v>0</v>
      </c>
      <c r="BT476" s="31" t="n">
        <f aca="false">Q476</f>
        <v>0</v>
      </c>
      <c r="BU476" s="31" t="n">
        <f aca="false">W476</f>
        <v>0</v>
      </c>
      <c r="BV476" s="31" t="n">
        <f aca="false">R476</f>
        <v>0</v>
      </c>
      <c r="BW476" s="31" t="n">
        <f aca="false">X476</f>
        <v>0</v>
      </c>
      <c r="BX476" s="31" t="n">
        <f aca="false">S476</f>
        <v>0</v>
      </c>
      <c r="BY476" s="31" t="n">
        <f aca="false">Y476</f>
        <v>0</v>
      </c>
      <c r="BZ476" s="32" t="n">
        <f aca="false">IF(BJ476=0,IF(BR476=0,0,1),(BR476-BJ476)/BJ476)</f>
        <v>0</v>
      </c>
      <c r="CA476" s="32" t="n">
        <f aca="false">IF(BK476=0,IF(BS476=0,0,1),(BS476-BK476)/BK476)</f>
        <v>0</v>
      </c>
      <c r="CB476" s="32" t="n">
        <f aca="false">IF(BL476=0,IF(BT476=0,0,1),(BT476-BL476)/BL476)</f>
        <v>0</v>
      </c>
      <c r="CC476" s="32" t="n">
        <f aca="false">IF(BM476=0,IF(BU476=0,0,1),(BU476-BM476)/BM476)</f>
        <v>0</v>
      </c>
      <c r="CD476" s="32" t="n">
        <f aca="false">IF(BN476=0,IF(BV476=0,0,1),(BV476-BN476)/BN476)</f>
        <v>0</v>
      </c>
      <c r="CE476" s="32" t="n">
        <f aca="false">IF(BO476=0,IF(BW476=0,0,1),(BW476-BO476)/BO476)</f>
        <v>0</v>
      </c>
      <c r="CF476" s="32" t="n">
        <f aca="false">IF(BP476=0,IF(BX476=0,0,1),(BX476-BP476)/BP476)</f>
        <v>0</v>
      </c>
      <c r="CG476" s="32" t="n">
        <f aca="false">IF(BQ476=0,IF(BY476=0,0,1),(BY476-BQ476)/BQ476)</f>
        <v>0</v>
      </c>
      <c r="CH476" s="32" t="n">
        <f aca="false">MAX(MAX(BZ476:CG476),-MIN(BZ476:CG476))</f>
        <v>-0</v>
      </c>
      <c r="CI476" s="31" t="n">
        <f aca="false">IF(CO476="","",SUMIFS($CJ$7:$CJ$696,$A$7:$A$696,CO476,$B$7:$B$696,B476))</f>
        <v>90146646</v>
      </c>
      <c r="CJ476" s="31" t="n">
        <f aca="false">SUM(AY476:BI476)</f>
        <v>90214190</v>
      </c>
      <c r="CK476" s="31" t="str">
        <f aca="false">IFERROR(INDEX(設定!$F$61:$F$106,MATCH(B476,設定!$B$61:$B$106,0)),"Y")</f>
        <v>Y</v>
      </c>
      <c r="CL476" s="31" t="str">
        <f aca="false">IFERROR(INDEX(設定!$G$61:$G$106,MATCH(B476,設定!$B$61:$B$106,0)),"外郭型")</f>
        <v>市局型</v>
      </c>
      <c r="CM476" s="33" t="str">
        <f aca="false">A476&amp;"|"&amp;B476</f>
        <v>2026-12 月例|水道局</v>
      </c>
      <c r="CN476" s="34" t="str">
        <f aca="false">IFERROR(INDEX(設定!$D$61:$D$106,MATCH(B476,設定!$B$61:$B$106,0)),"Y")</f>
        <v>N</v>
      </c>
      <c r="CO476" s="34" t="str">
        <f aca="false">IFERROR(INDEX(設定!$D$20:$D$34,MATCH(A476,設定!$A$20:$A$34,0))&amp;"","")</f>
        <v>2026-11 月例</v>
      </c>
    </row>
    <row r="477" customFormat="false" ht="15" hidden="true" customHeight="false" outlineLevel="0" collapsed="false">
      <c r="A477" s="22" t="s">
        <v>226</v>
      </c>
      <c r="B477" s="23" t="s">
        <v>178</v>
      </c>
      <c r="C477" s="10" t="str">
        <f aca="false">IF(G477="","未受領",IF(G477="なし","報告なし",IF(AL477="○","起票済",IF(OR(AK477="○",F477="一致",F477="入金不要"),"入金確認済","受領済"))))</f>
        <v>未受領</v>
      </c>
      <c r="D477" s="10" t="str">
        <f aca="false">IF(OR(G477="",G477="なし"),"―",IF(CN477="N","対象外",IF(AND(I477="",J477="",K477=""),"標報未入力",IF(CH477&gt;=設定!$B$4,"要確認","問題なし"))))</f>
        <v>―</v>
      </c>
      <c r="E477" s="24" t="str">
        <f aca="false">IF(OR(G477="",G477="なし",CI477="",CJ477=0),"―",IF(CJ477=CI477,"前月同額",IF(CI477=0,"―",IF(ABS(CJ477/CI477-1)&gt;=設定!$B$5,"変動大 "&amp;TEXT(CJ477/CI477-1,"+0%;-0%"),"〇"))))</f>
        <v>―</v>
      </c>
      <c r="F477" s="10" t="str">
        <f aca="false">IF(OR(G477="",G477="なし"),"―",IF(CJ477=0,"入金不要",IF(COUNT(AD477,AF477,AH477,AJ477)=0,IF(AK477="○","手動確認","未入金"),IF(AND(N(AD477)=AC477,IF(AE477="",TRUE(),N(AF477)=AE477),IF(AG477="",TRUE(),N(AH477)=AG477),IF(AI477="",TRUE(),N(AJ477)=AI477)),"一致","不一致"))))</f>
        <v>―</v>
      </c>
      <c r="G477" s="25"/>
      <c r="H477" s="26"/>
      <c r="I477" s="27"/>
      <c r="J477" s="27"/>
      <c r="K477" s="27"/>
      <c r="L477" s="27"/>
      <c r="M477" s="27"/>
      <c r="N477" s="27"/>
      <c r="O477" s="27"/>
      <c r="P477" s="27"/>
      <c r="Q477" s="27"/>
      <c r="R477" s="27"/>
      <c r="S477" s="27"/>
      <c r="T477" s="27"/>
      <c r="U477" s="27"/>
      <c r="V477" s="27"/>
      <c r="W477" s="27"/>
      <c r="X477" s="27"/>
      <c r="Y477" s="27"/>
      <c r="Z477" s="27"/>
      <c r="AA477" s="10" t="str">
        <f aca="false">IFERROR(INDEX(設定!$E$61:$E$106,MATCH(B477,設定!$B$61:$B$106,0)),"合算")</f>
        <v>合算</v>
      </c>
      <c r="AB477" s="28"/>
      <c r="AC477" s="29" t="str">
        <f aca="false">IF(OR(G477="",G477="なし"),"",IF(AA477="合算",CJ477+N(Z477),IF(AA477="掛金・負担金別",(AY477+AZ477+BD477+BF477+BH477),SUM(AY477:BC477))))</f>
        <v/>
      </c>
      <c r="AD477" s="27"/>
      <c r="AE477" s="29" t="str">
        <f aca="false">IF(OR(G477="",G477="なし"),"",IF(AA477="掛金・負担金別",(BA477+BB477+BC477+BE477+BG477+BI477+N(Z477)),IF(AA477="経理区分別",BD477+BE477,"")))</f>
        <v/>
      </c>
      <c r="AF477" s="27"/>
      <c r="AG477" s="29" t="str">
        <f aca="false">IF(OR(G477="",G477="なし"),"",IF(AA477="経理区分別",BF477+BG477,""))</f>
        <v/>
      </c>
      <c r="AH477" s="27"/>
      <c r="AI477" s="29" t="str">
        <f aca="false">IF(OR(G477="",G477="なし"),"",IF(AA477="経理区分別",BH477+BI477+N(Z477),""))</f>
        <v/>
      </c>
      <c r="AJ477" s="27"/>
      <c r="AK477" s="26"/>
      <c r="AL477" s="26"/>
      <c r="AM477" s="30"/>
      <c r="AN477" s="31" t="n">
        <v>48495</v>
      </c>
      <c r="AO477" s="31" t="n">
        <v>3975</v>
      </c>
      <c r="AP477" s="31" t="n">
        <v>70490</v>
      </c>
      <c r="AQ477" s="31" t="n">
        <v>3975</v>
      </c>
      <c r="AR477" s="31" t="n">
        <v>49</v>
      </c>
      <c r="AS477" s="31" t="n">
        <v>29155</v>
      </c>
      <c r="AT477" s="31" t="n">
        <v>29669</v>
      </c>
      <c r="AU477" s="31" t="n">
        <v>4187</v>
      </c>
      <c r="AV477" s="31" t="n">
        <v>4187</v>
      </c>
      <c r="AW477" s="31" t="n">
        <v>1</v>
      </c>
      <c r="AX477" s="31" t="n">
        <v>1</v>
      </c>
      <c r="AY477" s="31" t="n">
        <f aca="false">IF($G477="",AN477,O477)</f>
        <v>48495</v>
      </c>
      <c r="AZ477" s="31" t="n">
        <f aca="false">IF($G477="",AO477,P477)</f>
        <v>3975</v>
      </c>
      <c r="BA477" s="31" t="n">
        <f aca="false">IF($G477="",AP477,T477)</f>
        <v>70490</v>
      </c>
      <c r="BB477" s="31" t="n">
        <f aca="false">IF($G477="",AQ477,U477)</f>
        <v>3975</v>
      </c>
      <c r="BC477" s="31" t="n">
        <f aca="false">IF($G477="",AR477,V477)</f>
        <v>49</v>
      </c>
      <c r="BD477" s="31" t="n">
        <f aca="false">IF($G477="",AS477,Q477)</f>
        <v>29155</v>
      </c>
      <c r="BE477" s="31" t="n">
        <f aca="false">IF($G477="",AT477,W477)</f>
        <v>29669</v>
      </c>
      <c r="BF477" s="31" t="n">
        <f aca="false">IF($G477="",AU477,R477)</f>
        <v>4187</v>
      </c>
      <c r="BG477" s="31" t="n">
        <f aca="false">IF($G477="",AV477,X477)</f>
        <v>4187</v>
      </c>
      <c r="BH477" s="31" t="n">
        <f aca="false">IF($G477="",AW477,S477)</f>
        <v>1</v>
      </c>
      <c r="BI477" s="31" t="n">
        <f aca="false">IF($G477="",AX477,Y477)</f>
        <v>1</v>
      </c>
      <c r="BJ477" s="31" t="n">
        <f aca="false">IF(CK477="N",BR477,ROUNDDOWN((I477-L477)*設定!$B$10/1000,0)+ROUNDDOWN((I477-L477)*設定!$B$11/1000,0))</f>
        <v>0</v>
      </c>
      <c r="BK477" s="31" t="n">
        <f aca="false">ROUNDDOWN((I477-L477)*設定!$C$10/1000,0)+ROUNDDOWN((I477-L477)*設定!$C$11/1000,0)+ROUNDDOWN(I477*設定!$C$12/1000,0)+IF(CL477="市局型",ROUNDDOWN(I477*設定!$C$16/1000,0),0)</f>
        <v>0</v>
      </c>
      <c r="BL477" s="31" t="n">
        <f aca="false">IF(CK477="N",BT477,ROUNDDOWN((J477-M477)*設定!$B$13/1000,0))</f>
        <v>0</v>
      </c>
      <c r="BM477" s="31" t="n">
        <f aca="false">ROUNDDOWN((J477-M477)*設定!$C$13/1000,0)+IF(CL477="市局型",ROUNDDOWN(J477*設定!$C$17/1000,0),0)</f>
        <v>0</v>
      </c>
      <c r="BN477" s="31" t="n">
        <f aca="false">IF(CK477="N",BV477,ROUNDDOWN((K477-N477)*設定!$B$14/1000,0))</f>
        <v>0</v>
      </c>
      <c r="BO477" s="31" t="n">
        <f aca="false">ROUNDDOWN((K477-N477)*設定!$C$14/1000,0)</f>
        <v>0</v>
      </c>
      <c r="BP477" s="31" t="n">
        <f aca="false">IF(CK477="N",BX477,ROUNDDOWN((J477-M477)*設定!$B$15/1000,0))</f>
        <v>0</v>
      </c>
      <c r="BQ477" s="31" t="n">
        <f aca="false">ROUNDDOWN((J477-M477)*設定!$C$15/1000,0)</f>
        <v>0</v>
      </c>
      <c r="BR477" s="31" t="n">
        <f aca="false">O477+P477</f>
        <v>0</v>
      </c>
      <c r="BS477" s="31" t="n">
        <f aca="false">T477+U477+V477</f>
        <v>0</v>
      </c>
      <c r="BT477" s="31" t="n">
        <f aca="false">Q477</f>
        <v>0</v>
      </c>
      <c r="BU477" s="31" t="n">
        <f aca="false">W477</f>
        <v>0</v>
      </c>
      <c r="BV477" s="31" t="n">
        <f aca="false">R477</f>
        <v>0</v>
      </c>
      <c r="BW477" s="31" t="n">
        <f aca="false">X477</f>
        <v>0</v>
      </c>
      <c r="BX477" s="31" t="n">
        <f aca="false">S477</f>
        <v>0</v>
      </c>
      <c r="BY477" s="31" t="n">
        <f aca="false">Y477</f>
        <v>0</v>
      </c>
      <c r="BZ477" s="32" t="n">
        <f aca="false">IF(BJ477=0,IF(BR477=0,0,1),(BR477-BJ477)/BJ477)</f>
        <v>0</v>
      </c>
      <c r="CA477" s="32" t="n">
        <f aca="false">IF(BK477=0,IF(BS477=0,0,1),(BS477-BK477)/BK477)</f>
        <v>0</v>
      </c>
      <c r="CB477" s="32" t="n">
        <f aca="false">IF(BL477=0,IF(BT477=0,0,1),(BT477-BL477)/BL477)</f>
        <v>0</v>
      </c>
      <c r="CC477" s="32" t="n">
        <f aca="false">IF(BM477=0,IF(BU477=0,0,1),(BU477-BM477)/BM477)</f>
        <v>0</v>
      </c>
      <c r="CD477" s="32" t="n">
        <f aca="false">IF(BN477=0,IF(BV477=0,0,1),(BV477-BN477)/BN477)</f>
        <v>0</v>
      </c>
      <c r="CE477" s="32" t="n">
        <f aca="false">IF(BO477=0,IF(BW477=0,0,1),(BW477-BO477)/BO477)</f>
        <v>0</v>
      </c>
      <c r="CF477" s="32" t="n">
        <f aca="false">IF(BP477=0,IF(BX477=0,0,1),(BX477-BP477)/BP477)</f>
        <v>0</v>
      </c>
      <c r="CG477" s="32" t="n">
        <f aca="false">IF(BQ477=0,IF(BY477=0,0,1),(BY477-BQ477)/BQ477)</f>
        <v>0</v>
      </c>
      <c r="CH477" s="32" t="n">
        <f aca="false">MAX(MAX(BZ477:CG477),-MIN(BZ477:CG477))</f>
        <v>-0</v>
      </c>
      <c r="CI477" s="31" t="n">
        <f aca="false">IF(CO477="","",SUMIFS($CJ$7:$CJ$696,$A$7:$A$696,CO477,$B$7:$B$696,B477))</f>
        <v>194184</v>
      </c>
      <c r="CJ477" s="31" t="n">
        <f aca="false">SUM(AY477:BI477)</f>
        <v>194184</v>
      </c>
      <c r="CK477" s="31" t="str">
        <f aca="false">IFERROR(INDEX(設定!$F$61:$F$106,MATCH(B477,設定!$B$61:$B$106,0)),"Y")</f>
        <v>Y</v>
      </c>
      <c r="CL477" s="31" t="str">
        <f aca="false">IFERROR(INDEX(設定!$G$61:$G$106,MATCH(B477,設定!$B$61:$B$106,0)),"外郭型")</f>
        <v>市局型</v>
      </c>
      <c r="CM477" s="33" t="str">
        <f aca="false">A477&amp;"|"&amp;B477</f>
        <v>2026-12 月例|医療政策課(安芸市民)</v>
      </c>
      <c r="CN477" s="34" t="str">
        <f aca="false">IFERROR(INDEX(設定!$D$61:$D$106,MATCH(B477,設定!$B$61:$B$106,0)),"Y")</f>
        <v>Y</v>
      </c>
      <c r="CO477" s="34" t="str">
        <f aca="false">IFERROR(INDEX(設定!$D$20:$D$34,MATCH(A477,設定!$A$20:$A$34,0))&amp;"","")</f>
        <v>2026-11 月例</v>
      </c>
    </row>
    <row r="478" customFormat="false" ht="15" hidden="true" customHeight="false" outlineLevel="0" collapsed="false">
      <c r="A478" s="22" t="s">
        <v>226</v>
      </c>
      <c r="B478" s="23" t="s">
        <v>179</v>
      </c>
      <c r="C478" s="10" t="str">
        <f aca="false">IF(G478="","未受領",IF(G478="なし","報告なし",IF(AL478="○","起票済",IF(OR(AK478="○",F478="一致",F478="入金不要"),"入金確認済","受領済"))))</f>
        <v>未受領</v>
      </c>
      <c r="D478" s="10" t="str">
        <f aca="false">IF(OR(G478="",G478="なし"),"―",IF(CN478="N","対象外",IF(AND(I478="",J478="",K478=""),"標報未入力",IF(CH478&gt;=設定!$B$4,"要確認","問題なし"))))</f>
        <v>―</v>
      </c>
      <c r="E478" s="24" t="str">
        <f aca="false">IF(OR(G478="",G478="なし",CI478="",CJ478=0),"―",IF(CJ478=CI478,"前月同額",IF(CI478=0,"―",IF(ABS(CJ478/CI478-1)&gt;=設定!$B$5,"変動大 "&amp;TEXT(CJ478/CI478-1,"+0%;-0%"),"〇"))))</f>
        <v>―</v>
      </c>
      <c r="F478" s="10" t="str">
        <f aca="false">IF(OR(G478="",G478="なし"),"―",IF(CJ478=0,"入金不要",IF(COUNT(AD478,AF478,AH478,AJ478)=0,IF(AK478="○","手動確認","未入金"),IF(AND(N(AD478)=AC478,IF(AE478="",TRUE(),N(AF478)=AE478),IF(AG478="",TRUE(),N(AH478)=AG478),IF(AI478="",TRUE(),N(AJ478)=AI478)),"一致","不一致"))))</f>
        <v>―</v>
      </c>
      <c r="G478" s="25"/>
      <c r="H478" s="26"/>
      <c r="I478" s="27"/>
      <c r="J478" s="27"/>
      <c r="K478" s="27"/>
      <c r="L478" s="27"/>
      <c r="M478" s="27"/>
      <c r="N478" s="27"/>
      <c r="O478" s="27"/>
      <c r="P478" s="27"/>
      <c r="Q478" s="27"/>
      <c r="R478" s="27"/>
      <c r="S478" s="27"/>
      <c r="T478" s="27"/>
      <c r="U478" s="27"/>
      <c r="V478" s="27"/>
      <c r="W478" s="27"/>
      <c r="X478" s="27"/>
      <c r="Y478" s="27"/>
      <c r="Z478" s="27"/>
      <c r="AA478" s="10" t="str">
        <f aca="false">IFERROR(INDEX(設定!$E$61:$E$106,MATCH(B478,設定!$B$61:$B$106,0)),"合算")</f>
        <v>合算</v>
      </c>
      <c r="AB478" s="28"/>
      <c r="AC478" s="29" t="str">
        <f aca="false">IF(OR(G478="",G478="なし"),"",IF(AA478="合算",CJ478+N(Z478),IF(AA478="掛金・負担金別",(AY478+AZ478+BD478+BF478+BH478),SUM(AY478:BC478))))</f>
        <v/>
      </c>
      <c r="AD478" s="27"/>
      <c r="AE478" s="29" t="str">
        <f aca="false">IF(OR(G478="",G478="なし"),"",IF(AA478="掛金・負担金別",(BA478+BB478+BC478+BE478+BG478+BI478+N(Z478)),IF(AA478="経理区分別",BD478+BE478,"")))</f>
        <v/>
      </c>
      <c r="AF478" s="27"/>
      <c r="AG478" s="29" t="str">
        <f aca="false">IF(OR(G478="",G478="なし"),"",IF(AA478="経理区分別",BF478+BG478,""))</f>
        <v/>
      </c>
      <c r="AH478" s="27"/>
      <c r="AI478" s="29" t="str">
        <f aca="false">IF(OR(G478="",G478="なし"),"",IF(AA478="経理区分別",BH478+BI478+N(Z478),""))</f>
        <v/>
      </c>
      <c r="AJ478" s="27"/>
      <c r="AK478" s="26"/>
      <c r="AL478" s="26"/>
      <c r="AM478" s="30"/>
      <c r="AN478" s="31" t="n">
        <v>0</v>
      </c>
      <c r="AO478" s="31" t="n">
        <v>0</v>
      </c>
      <c r="AP478" s="31"/>
      <c r="AQ478" s="31"/>
      <c r="AR478" s="31" t="n">
        <v>0</v>
      </c>
      <c r="AS478" s="31" t="n">
        <v>266011</v>
      </c>
      <c r="AT478" s="31" t="n">
        <v>270928</v>
      </c>
      <c r="AU478" s="31" t="n">
        <v>7678</v>
      </c>
      <c r="AV478" s="31" t="n">
        <v>7678</v>
      </c>
      <c r="AW478" s="31" t="n">
        <v>1</v>
      </c>
      <c r="AX478" s="31" t="n">
        <v>1</v>
      </c>
      <c r="AY478" s="31" t="n">
        <f aca="false">IF($G478="",AN478,O478)</f>
        <v>0</v>
      </c>
      <c r="AZ478" s="31" t="n">
        <f aca="false">IF($G478="",AO478,P478)</f>
        <v>0</v>
      </c>
      <c r="BA478" s="31" t="n">
        <f aca="false">IF($G478="",AP478,T478)</f>
        <v>0</v>
      </c>
      <c r="BB478" s="31" t="n">
        <f aca="false">IF($G478="",AQ478,U478)</f>
        <v>0</v>
      </c>
      <c r="BC478" s="31" t="n">
        <f aca="false">IF($G478="",AR478,V478)</f>
        <v>0</v>
      </c>
      <c r="BD478" s="31" t="n">
        <f aca="false">IF($G478="",AS478,Q478)</f>
        <v>266011</v>
      </c>
      <c r="BE478" s="31" t="n">
        <f aca="false">IF($G478="",AT478,W478)</f>
        <v>270928</v>
      </c>
      <c r="BF478" s="31" t="n">
        <f aca="false">IF($G478="",AU478,R478)</f>
        <v>7678</v>
      </c>
      <c r="BG478" s="31" t="n">
        <f aca="false">IF($G478="",AV478,X478)</f>
        <v>7678</v>
      </c>
      <c r="BH478" s="31" t="n">
        <f aca="false">IF($G478="",AW478,S478)</f>
        <v>1</v>
      </c>
      <c r="BI478" s="31" t="n">
        <f aca="false">IF($G478="",AX478,Y478)</f>
        <v>1</v>
      </c>
      <c r="BJ478" s="31" t="n">
        <f aca="false">IF(CK478="N",BR478,ROUNDDOWN((I478-L478)*設定!$B$10/1000,0)+ROUNDDOWN((I478-L478)*設定!$B$11/1000,0))</f>
        <v>0</v>
      </c>
      <c r="BK478" s="31" t="n">
        <f aca="false">ROUNDDOWN((I478-L478)*設定!$C$10/1000,0)+ROUNDDOWN((I478-L478)*設定!$C$11/1000,0)+ROUNDDOWN(I478*設定!$C$12/1000,0)+IF(CL478="市局型",ROUNDDOWN(I478*設定!$C$16/1000,0),0)</f>
        <v>0</v>
      </c>
      <c r="BL478" s="31" t="n">
        <f aca="false">IF(CK478="N",BT478,ROUNDDOWN((J478-M478)*設定!$B$13/1000,0))</f>
        <v>0</v>
      </c>
      <c r="BM478" s="31" t="n">
        <f aca="false">ROUNDDOWN((J478-M478)*設定!$C$13/1000,0)+IF(CL478="市局型",ROUNDDOWN(J478*設定!$C$17/1000,0),0)</f>
        <v>0</v>
      </c>
      <c r="BN478" s="31" t="n">
        <f aca="false">IF(CK478="N",BV478,ROUNDDOWN((K478-N478)*設定!$B$14/1000,0))</f>
        <v>0</v>
      </c>
      <c r="BO478" s="31" t="n">
        <f aca="false">ROUNDDOWN((K478-N478)*設定!$C$14/1000,0)</f>
        <v>0</v>
      </c>
      <c r="BP478" s="31" t="n">
        <f aca="false">IF(CK478="N",BX478,ROUNDDOWN((J478-M478)*設定!$B$15/1000,0))</f>
        <v>0</v>
      </c>
      <c r="BQ478" s="31" t="n">
        <f aca="false">ROUNDDOWN((J478-M478)*設定!$C$15/1000,0)</f>
        <v>0</v>
      </c>
      <c r="BR478" s="31" t="n">
        <f aca="false">O478+P478</f>
        <v>0</v>
      </c>
      <c r="BS478" s="31" t="n">
        <f aca="false">T478+U478+V478</f>
        <v>0</v>
      </c>
      <c r="BT478" s="31" t="n">
        <f aca="false">Q478</f>
        <v>0</v>
      </c>
      <c r="BU478" s="31" t="n">
        <f aca="false">W478</f>
        <v>0</v>
      </c>
      <c r="BV478" s="31" t="n">
        <f aca="false">R478</f>
        <v>0</v>
      </c>
      <c r="BW478" s="31" t="n">
        <f aca="false">X478</f>
        <v>0</v>
      </c>
      <c r="BX478" s="31" t="n">
        <f aca="false">S478</f>
        <v>0</v>
      </c>
      <c r="BY478" s="31" t="n">
        <f aca="false">Y478</f>
        <v>0</v>
      </c>
      <c r="BZ478" s="32" t="n">
        <f aca="false">IF(BJ478=0,IF(BR478=0,0,1),(BR478-BJ478)/BJ478)</f>
        <v>0</v>
      </c>
      <c r="CA478" s="32" t="n">
        <f aca="false">IF(BK478=0,IF(BS478=0,0,1),(BS478-BK478)/BK478)</f>
        <v>0</v>
      </c>
      <c r="CB478" s="32" t="n">
        <f aca="false">IF(BL478=0,IF(BT478=0,0,1),(BT478-BL478)/BL478)</f>
        <v>0</v>
      </c>
      <c r="CC478" s="32" t="n">
        <f aca="false">IF(BM478=0,IF(BU478=0,0,1),(BU478-BM478)/BM478)</f>
        <v>0</v>
      </c>
      <c r="CD478" s="32" t="n">
        <f aca="false">IF(BN478=0,IF(BV478=0,0,1),(BV478-BN478)/BN478)</f>
        <v>0</v>
      </c>
      <c r="CE478" s="32" t="n">
        <f aca="false">IF(BO478=0,IF(BW478=0,0,1),(BW478-BO478)/BO478)</f>
        <v>0</v>
      </c>
      <c r="CF478" s="32" t="n">
        <f aca="false">IF(BP478=0,IF(BX478=0,0,1),(BX478-BP478)/BP478)</f>
        <v>0</v>
      </c>
      <c r="CG478" s="32" t="n">
        <f aca="false">IF(BQ478=0,IF(BY478=0,0,1),(BY478-BQ478)/BQ478)</f>
        <v>0</v>
      </c>
      <c r="CH478" s="32" t="n">
        <f aca="false">MAX(MAX(BZ478:CG478),-MIN(BZ478:CG478))</f>
        <v>-0</v>
      </c>
      <c r="CI478" s="31" t="n">
        <f aca="false">IF(CO478="","",SUMIFS($CJ$7:$CJ$696,$A$7:$A$696,CO478,$B$7:$B$696,B478))</f>
        <v>624610</v>
      </c>
      <c r="CJ478" s="31" t="n">
        <f aca="false">SUM(AY478:BI478)</f>
        <v>552297</v>
      </c>
      <c r="CK478" s="31" t="str">
        <f aca="false">IFERROR(INDEX(設定!$F$61:$F$106,MATCH(B478,設定!$B$61:$B$106,0)),"Y")</f>
        <v>Y</v>
      </c>
      <c r="CL478" s="31" t="str">
        <f aca="false">IFERROR(INDEX(設定!$G$61:$G$106,MATCH(B478,設定!$B$61:$B$106,0)),"外郭型")</f>
        <v>市局型</v>
      </c>
      <c r="CM478" s="33" t="str">
        <f aca="false">A478&amp;"|"&amp;B478</f>
        <v>2026-12 月例|教育委員会（教育給与課）</v>
      </c>
      <c r="CN478" s="34" t="str">
        <f aca="false">IFERROR(INDEX(設定!$D$61:$D$106,MATCH(B478,設定!$B$61:$B$106,0)),"Y")</f>
        <v>Y</v>
      </c>
      <c r="CO478" s="34" t="str">
        <f aca="false">IFERROR(INDEX(設定!$D$20:$D$34,MATCH(A478,設定!$A$20:$A$34,0))&amp;"","")</f>
        <v>2026-11 月例</v>
      </c>
    </row>
    <row r="479" customFormat="false" ht="15" hidden="true" customHeight="false" outlineLevel="0" collapsed="false">
      <c r="A479" s="22" t="s">
        <v>226</v>
      </c>
      <c r="B479" s="23" t="s">
        <v>180</v>
      </c>
      <c r="C479" s="10" t="str">
        <f aca="false">IF(G479="","未受領",IF(G479="なし","報告なし",IF(AL479="○","起票済",IF(OR(AK479="○",F479="一致",F479="入金不要"),"入金確認済","受領済"))))</f>
        <v>報告なし</v>
      </c>
      <c r="D479" s="10" t="str">
        <f aca="false">IF(OR(G479="",G479="なし"),"―",IF(CN479="N","対象外",IF(AND(I479="",J479="",K479=""),"標報未入力",IF(CH479&gt;=設定!$B$4,"要確認","問題なし"))))</f>
        <v>―</v>
      </c>
      <c r="E479" s="24" t="str">
        <f aca="false">IF(OR(G479="",G479="なし",CI479="",CJ479=0),"―",IF(CJ479=CI479,"前月同額",IF(CI479=0,"―",IF(ABS(CJ479/CI479-1)&gt;=設定!$B$5,"変動大 "&amp;TEXT(CJ479/CI479-1,"+0%;-0%"),"〇"))))</f>
        <v>―</v>
      </c>
      <c r="F479" s="10" t="str">
        <f aca="false">IF(OR(G479="",G479="なし"),"―",IF(CJ479=0,"入金不要",IF(COUNT(AD479,AF479,AH479,AJ479)=0,IF(AK479="○","手動確認","未入金"),IF(AND(N(AD479)=AC479,IF(AE479="",TRUE(),N(AF479)=AE479),IF(AG479="",TRUE(),N(AH479)=AG479),IF(AI479="",TRUE(),N(AJ479)=AI479)),"一致","不一致"))))</f>
        <v>―</v>
      </c>
      <c r="G479" s="25" t="s">
        <v>181</v>
      </c>
      <c r="H479" s="26"/>
      <c r="I479" s="27"/>
      <c r="J479" s="27"/>
      <c r="K479" s="27"/>
      <c r="L479" s="27"/>
      <c r="M479" s="27"/>
      <c r="N479" s="27"/>
      <c r="O479" s="27"/>
      <c r="P479" s="27"/>
      <c r="Q479" s="27"/>
      <c r="R479" s="27"/>
      <c r="S479" s="27"/>
      <c r="T479" s="27"/>
      <c r="U479" s="27"/>
      <c r="V479" s="27"/>
      <c r="W479" s="27"/>
      <c r="X479" s="27"/>
      <c r="Y479" s="27"/>
      <c r="Z479" s="27"/>
      <c r="AA479" s="10" t="str">
        <f aca="false">IFERROR(INDEX(設定!$E$61:$E$106,MATCH(B479,設定!$B$61:$B$106,0)),"合算")</f>
        <v>合算</v>
      </c>
      <c r="AB479" s="28"/>
      <c r="AC479" s="29" t="str">
        <f aca="false">IF(OR(G479="",G479="なし"),"",IF(AA479="合算",CJ479+N(Z479),IF(AA479="掛金・負担金別",(AY479+AZ479+BD479+BF479+BH479),SUM(AY479:BC479))))</f>
        <v/>
      </c>
      <c r="AD479" s="27"/>
      <c r="AE479" s="29" t="str">
        <f aca="false">IF(OR(G479="",G479="なし"),"",IF(AA479="掛金・負担金別",(BA479+BB479+BC479+BE479+BG479+BI479+N(Z479)),IF(AA479="経理区分別",BD479+BE479,"")))</f>
        <v/>
      </c>
      <c r="AF479" s="27"/>
      <c r="AG479" s="29" t="str">
        <f aca="false">IF(OR(G479="",G479="なし"),"",IF(AA479="経理区分別",BF479+BG479,""))</f>
        <v/>
      </c>
      <c r="AH479" s="27"/>
      <c r="AI479" s="29" t="str">
        <f aca="false">IF(OR(G479="",G479="なし"),"",IF(AA479="経理区分別",BH479+BI479+N(Z479),""))</f>
        <v/>
      </c>
      <c r="AJ479" s="27"/>
      <c r="AK479" s="26"/>
      <c r="AL479" s="26"/>
      <c r="AM479" s="30"/>
      <c r="AN479" s="31"/>
      <c r="AO479" s="31"/>
      <c r="AP479" s="31"/>
      <c r="AQ479" s="31"/>
      <c r="AR479" s="31"/>
      <c r="AS479" s="31"/>
      <c r="AT479" s="31"/>
      <c r="AU479" s="31"/>
      <c r="AV479" s="31"/>
      <c r="AW479" s="31"/>
      <c r="AX479" s="31"/>
      <c r="AY479" s="31" t="n">
        <f aca="false">IF($G479="",AN479,O479)</f>
        <v>0</v>
      </c>
      <c r="AZ479" s="31" t="n">
        <f aca="false">IF($G479="",AO479,P479)</f>
        <v>0</v>
      </c>
      <c r="BA479" s="31" t="n">
        <f aca="false">IF($G479="",AP479,T479)</f>
        <v>0</v>
      </c>
      <c r="BB479" s="31" t="n">
        <f aca="false">IF($G479="",AQ479,U479)</f>
        <v>0</v>
      </c>
      <c r="BC479" s="31" t="n">
        <f aca="false">IF($G479="",AR479,V479)</f>
        <v>0</v>
      </c>
      <c r="BD479" s="31" t="n">
        <f aca="false">IF($G479="",AS479,Q479)</f>
        <v>0</v>
      </c>
      <c r="BE479" s="31" t="n">
        <f aca="false">IF($G479="",AT479,W479)</f>
        <v>0</v>
      </c>
      <c r="BF479" s="31" t="n">
        <f aca="false">IF($G479="",AU479,R479)</f>
        <v>0</v>
      </c>
      <c r="BG479" s="31" t="n">
        <f aca="false">IF($G479="",AV479,X479)</f>
        <v>0</v>
      </c>
      <c r="BH479" s="31" t="n">
        <f aca="false">IF($G479="",AW479,S479)</f>
        <v>0</v>
      </c>
      <c r="BI479" s="31" t="n">
        <f aca="false">IF($G479="",AX479,Y479)</f>
        <v>0</v>
      </c>
      <c r="BJ479" s="31" t="n">
        <f aca="false">IF(CK479="N",BR479,ROUNDDOWN((I479-L479)*設定!$B$10/1000,0)+ROUNDDOWN((I479-L479)*設定!$B$11/1000,0))</f>
        <v>0</v>
      </c>
      <c r="BK479" s="31" t="n">
        <f aca="false">ROUNDDOWN((I479-L479)*設定!$C$10/1000,0)+ROUNDDOWN((I479-L479)*設定!$C$11/1000,0)+ROUNDDOWN(I479*設定!$C$12/1000,0)+IF(CL479="市局型",ROUNDDOWN(I479*設定!$C$16/1000,0),0)</f>
        <v>0</v>
      </c>
      <c r="BL479" s="31" t="n">
        <f aca="false">IF(CK479="N",BT479,ROUNDDOWN((J479-M479)*設定!$B$13/1000,0))</f>
        <v>0</v>
      </c>
      <c r="BM479" s="31" t="n">
        <f aca="false">ROUNDDOWN((J479-M479)*設定!$C$13/1000,0)+IF(CL479="市局型",ROUNDDOWN(J479*設定!$C$17/1000,0),0)</f>
        <v>0</v>
      </c>
      <c r="BN479" s="31" t="n">
        <f aca="false">IF(CK479="N",BV479,ROUNDDOWN((K479-N479)*設定!$B$14/1000,0))</f>
        <v>0</v>
      </c>
      <c r="BO479" s="31" t="n">
        <f aca="false">ROUNDDOWN((K479-N479)*設定!$C$14/1000,0)</f>
        <v>0</v>
      </c>
      <c r="BP479" s="31" t="n">
        <f aca="false">IF(CK479="N",BX479,ROUNDDOWN((J479-M479)*設定!$B$15/1000,0))</f>
        <v>0</v>
      </c>
      <c r="BQ479" s="31" t="n">
        <f aca="false">ROUNDDOWN((J479-M479)*設定!$C$15/1000,0)</f>
        <v>0</v>
      </c>
      <c r="BR479" s="31" t="n">
        <f aca="false">O479+P479</f>
        <v>0</v>
      </c>
      <c r="BS479" s="31" t="n">
        <f aca="false">T479+U479+V479</f>
        <v>0</v>
      </c>
      <c r="BT479" s="31" t="n">
        <f aca="false">Q479</f>
        <v>0</v>
      </c>
      <c r="BU479" s="31" t="n">
        <f aca="false">W479</f>
        <v>0</v>
      </c>
      <c r="BV479" s="31" t="n">
        <f aca="false">R479</f>
        <v>0</v>
      </c>
      <c r="BW479" s="31" t="n">
        <f aca="false">X479</f>
        <v>0</v>
      </c>
      <c r="BX479" s="31" t="n">
        <f aca="false">S479</f>
        <v>0</v>
      </c>
      <c r="BY479" s="31" t="n">
        <f aca="false">Y479</f>
        <v>0</v>
      </c>
      <c r="BZ479" s="32" t="n">
        <f aca="false">IF(BJ479=0,IF(BR479=0,0,1),(BR479-BJ479)/BJ479)</f>
        <v>0</v>
      </c>
      <c r="CA479" s="32" t="n">
        <f aca="false">IF(BK479=0,IF(BS479=0,0,1),(BS479-BK479)/BK479)</f>
        <v>0</v>
      </c>
      <c r="CB479" s="32" t="n">
        <f aca="false">IF(BL479=0,IF(BT479=0,0,1),(BT479-BL479)/BL479)</f>
        <v>0</v>
      </c>
      <c r="CC479" s="32" t="n">
        <f aca="false">IF(BM479=0,IF(BU479=0,0,1),(BU479-BM479)/BM479)</f>
        <v>0</v>
      </c>
      <c r="CD479" s="32" t="n">
        <f aca="false">IF(BN479=0,IF(BV479=0,0,1),(BV479-BN479)/BN479)</f>
        <v>0</v>
      </c>
      <c r="CE479" s="32" t="n">
        <f aca="false">IF(BO479=0,IF(BW479=0,0,1),(BW479-BO479)/BO479)</f>
        <v>0</v>
      </c>
      <c r="CF479" s="32" t="n">
        <f aca="false">IF(BP479=0,IF(BX479=0,0,1),(BX479-BP479)/BP479)</f>
        <v>0</v>
      </c>
      <c r="CG479" s="32" t="n">
        <f aca="false">IF(BQ479=0,IF(BY479=0,0,1),(BY479-BQ479)/BQ479)</f>
        <v>0</v>
      </c>
      <c r="CH479" s="32" t="n">
        <f aca="false">MAX(MAX(BZ479:CG479),-MIN(BZ479:CG479))</f>
        <v>-0</v>
      </c>
      <c r="CI479" s="31" t="n">
        <f aca="false">IF(CO479="","",SUMIFS($CJ$7:$CJ$696,$A$7:$A$696,CO479,$B$7:$B$696,B479))</f>
        <v>0</v>
      </c>
      <c r="CJ479" s="31" t="n">
        <f aca="false">SUM(AY479:BI479)</f>
        <v>0</v>
      </c>
      <c r="CK479" s="31" t="str">
        <f aca="false">IFERROR(INDEX(設定!$F$61:$F$106,MATCH(B479,設定!$B$61:$B$106,0)),"Y")</f>
        <v>N</v>
      </c>
      <c r="CL479" s="31" t="str">
        <f aca="false">IFERROR(INDEX(設定!$G$61:$G$106,MATCH(B479,設定!$B$61:$B$106,0)),"外郭型")</f>
        <v>外郭型</v>
      </c>
      <c r="CM479" s="33" t="str">
        <f aca="false">A479&amp;"|"&amp;B479</f>
        <v>2026-12 月例|地方税共同機構</v>
      </c>
      <c r="CN479" s="34" t="str">
        <f aca="false">IFERROR(INDEX(設定!$D$61:$D$106,MATCH(B479,設定!$B$61:$B$106,0)),"Y")</f>
        <v>Y</v>
      </c>
      <c r="CO479" s="34" t="str">
        <f aca="false">IFERROR(INDEX(設定!$D$20:$D$34,MATCH(A479,設定!$A$20:$A$34,0))&amp;"","")</f>
        <v>2026-11 月例</v>
      </c>
    </row>
    <row r="480" customFormat="false" ht="15" hidden="true" customHeight="false" outlineLevel="0" collapsed="false">
      <c r="A480" s="22" t="s">
        <v>226</v>
      </c>
      <c r="B480" s="23" t="s">
        <v>182</v>
      </c>
      <c r="C480" s="10" t="str">
        <f aca="false">IF(G480="","未受領",IF(G480="なし","報告なし",IF(AL480="○","起票済",IF(OR(AK480="○",F480="一致",F480="入金不要"),"入金確認済","受領済"))))</f>
        <v>未受領</v>
      </c>
      <c r="D480" s="10" t="str">
        <f aca="false">IF(OR(G480="",G480="なし"),"―",IF(CN480="N","対象外",IF(AND(I480="",J480="",K480=""),"標報未入力",IF(CH480&gt;=設定!$B$4,"要確認","問題なし"))))</f>
        <v>―</v>
      </c>
      <c r="E480" s="24" t="str">
        <f aca="false">IF(OR(G480="",G480="なし",CI480="",CJ480=0),"―",IF(CJ480=CI480,"前月同額",IF(CI480=0,"―",IF(ABS(CJ480/CI480-1)&gt;=設定!$B$5,"変動大 "&amp;TEXT(CJ480/CI480-1,"+0%;-0%"),"〇"))))</f>
        <v>―</v>
      </c>
      <c r="F480" s="10" t="str">
        <f aca="false">IF(OR(G480="",G480="なし"),"―",IF(CJ480=0,"入金不要",IF(COUNT(AD480,AF480,AH480,AJ480)=0,IF(AK480="○","手動確認","未入金"),IF(AND(N(AD480)=AC480,IF(AE480="",TRUE(),N(AF480)=AE480),IF(AG480="",TRUE(),N(AH480)=AG480),IF(AI480="",TRUE(),N(AJ480)=AI480)),"一致","不一致"))))</f>
        <v>―</v>
      </c>
      <c r="G480" s="25"/>
      <c r="H480" s="26"/>
      <c r="I480" s="27"/>
      <c r="J480" s="27"/>
      <c r="K480" s="27"/>
      <c r="L480" s="27"/>
      <c r="M480" s="27"/>
      <c r="N480" s="27"/>
      <c r="O480" s="27"/>
      <c r="P480" s="27"/>
      <c r="Q480" s="27"/>
      <c r="R480" s="27"/>
      <c r="S480" s="27"/>
      <c r="T480" s="27"/>
      <c r="U480" s="27"/>
      <c r="V480" s="27"/>
      <c r="W480" s="27"/>
      <c r="X480" s="27"/>
      <c r="Y480" s="27"/>
      <c r="Z480" s="27"/>
      <c r="AA480" s="10" t="str">
        <f aca="false">IFERROR(INDEX(設定!$E$61:$E$106,MATCH(B480,設定!$B$61:$B$106,0)),"合算")</f>
        <v>合算</v>
      </c>
      <c r="AB480" s="28"/>
      <c r="AC480" s="29" t="str">
        <f aca="false">IF(OR(G480="",G480="なし"),"",IF(AA480="合算",CJ480+N(Z480),IF(AA480="掛金・負担金別",(AY480+AZ480+BD480+BF480+BH480),SUM(AY480:BC480))))</f>
        <v/>
      </c>
      <c r="AD480" s="27"/>
      <c r="AE480" s="29" t="str">
        <f aca="false">IF(OR(G480="",G480="なし"),"",IF(AA480="掛金・負担金別",(BA480+BB480+BC480+BE480+BG480+BI480+N(Z480)),IF(AA480="経理区分別",BD480+BE480,"")))</f>
        <v/>
      </c>
      <c r="AF480" s="27"/>
      <c r="AG480" s="29" t="str">
        <f aca="false">IF(OR(G480="",G480="なし"),"",IF(AA480="経理区分別",BF480+BG480,""))</f>
        <v/>
      </c>
      <c r="AH480" s="27"/>
      <c r="AI480" s="29" t="str">
        <f aca="false">IF(OR(G480="",G480="なし"),"",IF(AA480="経理区分別",BH480+BI480+N(Z480),""))</f>
        <v/>
      </c>
      <c r="AJ480" s="27"/>
      <c r="AK480" s="26"/>
      <c r="AL480" s="26"/>
      <c r="AM480" s="30"/>
      <c r="AN480" s="31" t="n">
        <v>0</v>
      </c>
      <c r="AO480" s="31" t="n">
        <v>0</v>
      </c>
      <c r="AP480" s="31" t="n">
        <v>629520</v>
      </c>
      <c r="AQ480" s="31" t="n">
        <v>51600</v>
      </c>
      <c r="AR480" s="31" t="n">
        <v>713</v>
      </c>
      <c r="AS480" s="31" t="n">
        <v>0</v>
      </c>
      <c r="AT480" s="31" t="n">
        <v>380809</v>
      </c>
      <c r="AU480" s="31" t="n">
        <v>0</v>
      </c>
      <c r="AV480" s="31" t="n">
        <v>51903</v>
      </c>
      <c r="AW480" s="31" t="n">
        <v>0</v>
      </c>
      <c r="AX480" s="31" t="n">
        <v>1</v>
      </c>
      <c r="AY480" s="31" t="n">
        <f aca="false">IF($G480="",AN480,O480)</f>
        <v>0</v>
      </c>
      <c r="AZ480" s="31" t="n">
        <f aca="false">IF($G480="",AO480,P480)</f>
        <v>0</v>
      </c>
      <c r="BA480" s="31" t="n">
        <f aca="false">IF($G480="",AP480,T480)</f>
        <v>629520</v>
      </c>
      <c r="BB480" s="31" t="n">
        <f aca="false">IF($G480="",AQ480,U480)</f>
        <v>51600</v>
      </c>
      <c r="BC480" s="31" t="n">
        <f aca="false">IF($G480="",AR480,V480)</f>
        <v>713</v>
      </c>
      <c r="BD480" s="31" t="n">
        <f aca="false">IF($G480="",AS480,Q480)</f>
        <v>0</v>
      </c>
      <c r="BE480" s="31" t="n">
        <f aca="false">IF($G480="",AT480,W480)</f>
        <v>380809</v>
      </c>
      <c r="BF480" s="31" t="n">
        <f aca="false">IF($G480="",AU480,R480)</f>
        <v>0</v>
      </c>
      <c r="BG480" s="31" t="n">
        <f aca="false">IF($G480="",AV480,X480)</f>
        <v>51903</v>
      </c>
      <c r="BH480" s="31" t="n">
        <f aca="false">IF($G480="",AW480,S480)</f>
        <v>0</v>
      </c>
      <c r="BI480" s="31" t="n">
        <f aca="false">IF($G480="",AX480,Y480)</f>
        <v>1</v>
      </c>
      <c r="BJ480" s="31" t="n">
        <f aca="false">IF(CK480="N",BR480,ROUNDDOWN((I480-L480)*設定!$B$10/1000,0)+ROUNDDOWN((I480-L480)*設定!$B$11/1000,0))</f>
        <v>0</v>
      </c>
      <c r="BK480" s="31" t="n">
        <f aca="false">ROUNDDOWN((I480-L480)*設定!$C$10/1000,0)+ROUNDDOWN((I480-L480)*設定!$C$11/1000,0)+ROUNDDOWN(I480*設定!$C$12/1000,0)+IF(CL480="市局型",ROUNDDOWN(I480*設定!$C$16/1000,0),0)</f>
        <v>0</v>
      </c>
      <c r="BL480" s="31" t="n">
        <f aca="false">IF(CK480="N",BT480,ROUNDDOWN((J480-M480)*設定!$B$13/1000,0))</f>
        <v>0</v>
      </c>
      <c r="BM480" s="31" t="n">
        <f aca="false">ROUNDDOWN((J480-M480)*設定!$C$13/1000,0)+IF(CL480="市局型",ROUNDDOWN(J480*設定!$C$17/1000,0),0)</f>
        <v>0</v>
      </c>
      <c r="BN480" s="31" t="n">
        <f aca="false">IF(CK480="N",BV480,ROUNDDOWN((K480-N480)*設定!$B$14/1000,0))</f>
        <v>0</v>
      </c>
      <c r="BO480" s="31" t="n">
        <f aca="false">ROUNDDOWN((K480-N480)*設定!$C$14/1000,0)</f>
        <v>0</v>
      </c>
      <c r="BP480" s="31" t="n">
        <f aca="false">IF(CK480="N",BX480,ROUNDDOWN((J480-M480)*設定!$B$15/1000,0))</f>
        <v>0</v>
      </c>
      <c r="BQ480" s="31" t="n">
        <f aca="false">ROUNDDOWN((J480-M480)*設定!$C$15/1000,0)</f>
        <v>0</v>
      </c>
      <c r="BR480" s="31" t="n">
        <f aca="false">O480+P480</f>
        <v>0</v>
      </c>
      <c r="BS480" s="31" t="n">
        <f aca="false">T480+U480+V480</f>
        <v>0</v>
      </c>
      <c r="BT480" s="31" t="n">
        <f aca="false">Q480</f>
        <v>0</v>
      </c>
      <c r="BU480" s="31" t="n">
        <f aca="false">W480</f>
        <v>0</v>
      </c>
      <c r="BV480" s="31" t="n">
        <f aca="false">R480</f>
        <v>0</v>
      </c>
      <c r="BW480" s="31" t="n">
        <f aca="false">X480</f>
        <v>0</v>
      </c>
      <c r="BX480" s="31" t="n">
        <f aca="false">S480</f>
        <v>0</v>
      </c>
      <c r="BY480" s="31" t="n">
        <f aca="false">Y480</f>
        <v>0</v>
      </c>
      <c r="BZ480" s="32" t="n">
        <f aca="false">IF(BJ480=0,IF(BR480=0,0,1),(BR480-BJ480)/BJ480)</f>
        <v>0</v>
      </c>
      <c r="CA480" s="32" t="n">
        <f aca="false">IF(BK480=0,IF(BS480=0,0,1),(BS480-BK480)/BK480)</f>
        <v>0</v>
      </c>
      <c r="CB480" s="32" t="n">
        <f aca="false">IF(BL480=0,IF(BT480=0,0,1),(BT480-BL480)/BL480)</f>
        <v>0</v>
      </c>
      <c r="CC480" s="32" t="n">
        <f aca="false">IF(BM480=0,IF(BU480=0,0,1),(BU480-BM480)/BM480)</f>
        <v>0</v>
      </c>
      <c r="CD480" s="32" t="n">
        <f aca="false">IF(BN480=0,IF(BV480=0,0,1),(BV480-BN480)/BN480)</f>
        <v>0</v>
      </c>
      <c r="CE480" s="32" t="n">
        <f aca="false">IF(BO480=0,IF(BW480=0,0,1),(BW480-BO480)/BO480)</f>
        <v>0</v>
      </c>
      <c r="CF480" s="32" t="n">
        <f aca="false">IF(BP480=0,IF(BX480=0,0,1),(BX480-BP480)/BP480)</f>
        <v>0</v>
      </c>
      <c r="CG480" s="32" t="n">
        <f aca="false">IF(BQ480=0,IF(BY480=0,0,1),(BY480-BQ480)/BQ480)</f>
        <v>0</v>
      </c>
      <c r="CH480" s="32" t="n">
        <f aca="false">MAX(MAX(BZ480:CG480),-MIN(BZ480:CG480))</f>
        <v>-0</v>
      </c>
      <c r="CI480" s="31" t="n">
        <f aca="false">IF(CO480="","",SUMIFS($CJ$7:$CJ$696,$A$7:$A$696,CO480,$B$7:$B$696,B480))</f>
        <v>1003586</v>
      </c>
      <c r="CJ480" s="31" t="n">
        <f aca="false">SUM(AY480:BI480)</f>
        <v>1114546</v>
      </c>
      <c r="CK480" s="31" t="str">
        <f aca="false">IFERROR(INDEX(設定!$F$61:$F$106,MATCH(B480,設定!$B$61:$B$106,0)),"Y")</f>
        <v>Y</v>
      </c>
      <c r="CL480" s="31" t="str">
        <f aca="false">IFERROR(INDEX(設定!$G$61:$G$106,MATCH(B480,設定!$B$61:$B$106,0)),"外郭型")</f>
        <v>外郭型</v>
      </c>
      <c r="CM480" s="33" t="str">
        <f aca="false">A480&amp;"|"&amp;B480</f>
        <v>2026-12 月例|平和文化センター</v>
      </c>
      <c r="CN480" s="34" t="str">
        <f aca="false">IFERROR(INDEX(設定!$D$61:$D$106,MATCH(B480,設定!$B$61:$B$106,0)),"Y")</f>
        <v>Y</v>
      </c>
      <c r="CO480" s="34" t="str">
        <f aca="false">IFERROR(INDEX(設定!$D$20:$D$34,MATCH(A480,設定!$A$20:$A$34,0))&amp;"","")</f>
        <v>2026-11 月例</v>
      </c>
    </row>
    <row r="481" customFormat="false" ht="15" hidden="true" customHeight="false" outlineLevel="0" collapsed="false">
      <c r="A481" s="22" t="s">
        <v>226</v>
      </c>
      <c r="B481" s="23" t="s">
        <v>183</v>
      </c>
      <c r="C481" s="10" t="str">
        <f aca="false">IF(G481="","未受領",IF(G481="なし","報告なし",IF(AL481="○","起票済",IF(OR(AK481="○",F481="一致",F481="入金不要"),"入金確認済","受領済"))))</f>
        <v>未受領</v>
      </c>
      <c r="D481" s="10" t="str">
        <f aca="false">IF(OR(G481="",G481="なし"),"―",IF(CN481="N","対象外",IF(AND(I481="",J481="",K481=""),"標報未入力",IF(CH481&gt;=設定!$B$4,"要確認","問題なし"))))</f>
        <v>―</v>
      </c>
      <c r="E481" s="24" t="str">
        <f aca="false">IF(OR(G481="",G481="なし",CI481="",CJ481=0),"―",IF(CJ481=CI481,"前月同額",IF(CI481=0,"―",IF(ABS(CJ481/CI481-1)&gt;=設定!$B$5,"変動大 "&amp;TEXT(CJ481/CI481-1,"+0%;-0%"),"〇"))))</f>
        <v>―</v>
      </c>
      <c r="F481" s="10" t="str">
        <f aca="false">IF(OR(G481="",G481="なし"),"―",IF(CJ481=0,"入金不要",IF(COUNT(AD481,AF481,AH481,AJ481)=0,IF(AK481="○","手動確認","未入金"),IF(AND(N(AD481)=AC481,IF(AE481="",TRUE(),N(AF481)=AE481),IF(AG481="",TRUE(),N(AH481)=AG481),IF(AI481="",TRUE(),N(AJ481)=AI481)),"一致","不一致"))))</f>
        <v>―</v>
      </c>
      <c r="G481" s="25"/>
      <c r="H481" s="26"/>
      <c r="I481" s="27"/>
      <c r="J481" s="27"/>
      <c r="K481" s="27"/>
      <c r="L481" s="27"/>
      <c r="M481" s="27"/>
      <c r="N481" s="27"/>
      <c r="O481" s="27"/>
      <c r="P481" s="27"/>
      <c r="Q481" s="27"/>
      <c r="R481" s="27"/>
      <c r="S481" s="27"/>
      <c r="T481" s="27"/>
      <c r="U481" s="27"/>
      <c r="V481" s="27"/>
      <c r="W481" s="27"/>
      <c r="X481" s="27"/>
      <c r="Y481" s="27"/>
      <c r="Z481" s="27"/>
      <c r="AA481" s="10" t="str">
        <f aca="false">IFERROR(INDEX(設定!$E$61:$E$106,MATCH(B481,設定!$B$61:$B$106,0)),"合算")</f>
        <v>合算</v>
      </c>
      <c r="AB481" s="28"/>
      <c r="AC481" s="29" t="str">
        <f aca="false">IF(OR(G481="",G481="なし"),"",IF(AA481="合算",CJ481+N(Z481),IF(AA481="掛金・負担金別",(AY481+AZ481+BD481+BF481+BH481),SUM(AY481:BC481))))</f>
        <v/>
      </c>
      <c r="AD481" s="27"/>
      <c r="AE481" s="29" t="str">
        <f aca="false">IF(OR(G481="",G481="なし"),"",IF(AA481="掛金・負担金別",(BA481+BB481+BC481+BE481+BG481+BI481+N(Z481)),IF(AA481="経理区分別",BD481+BE481,"")))</f>
        <v/>
      </c>
      <c r="AF481" s="27"/>
      <c r="AG481" s="29" t="str">
        <f aca="false">IF(OR(G481="",G481="なし"),"",IF(AA481="経理区分別",BF481+BG481,""))</f>
        <v/>
      </c>
      <c r="AH481" s="27"/>
      <c r="AI481" s="29" t="str">
        <f aca="false">IF(OR(G481="",G481="なし"),"",IF(AA481="経理区分別",BH481+BI481+N(Z481),""))</f>
        <v/>
      </c>
      <c r="AJ481" s="27"/>
      <c r="AK481" s="26"/>
      <c r="AL481" s="26"/>
      <c r="AM481" s="30"/>
      <c r="AN481" s="31"/>
      <c r="AO481" s="31"/>
      <c r="AP481" s="31" t="n">
        <v>1881240</v>
      </c>
      <c r="AQ481" s="31" t="n">
        <v>154200</v>
      </c>
      <c r="AR481" s="31" t="n">
        <v>1955</v>
      </c>
      <c r="AS481" s="31"/>
      <c r="AT481" s="31" t="n">
        <v>1271969</v>
      </c>
      <c r="AU481" s="31"/>
      <c r="AV481" s="31" t="n">
        <v>141252</v>
      </c>
      <c r="AW481" s="31"/>
      <c r="AX481" s="31" t="n">
        <v>1</v>
      </c>
      <c r="AY481" s="31" t="n">
        <f aca="false">IF($G481="",AN481,O481)</f>
        <v>0</v>
      </c>
      <c r="AZ481" s="31" t="n">
        <f aca="false">IF($G481="",AO481,P481)</f>
        <v>0</v>
      </c>
      <c r="BA481" s="31" t="n">
        <f aca="false">IF($G481="",AP481,T481)</f>
        <v>1881240</v>
      </c>
      <c r="BB481" s="31" t="n">
        <f aca="false">IF($G481="",AQ481,U481)</f>
        <v>154200</v>
      </c>
      <c r="BC481" s="31" t="n">
        <f aca="false">IF($G481="",AR481,V481)</f>
        <v>1955</v>
      </c>
      <c r="BD481" s="31" t="n">
        <f aca="false">IF($G481="",AS481,Q481)</f>
        <v>0</v>
      </c>
      <c r="BE481" s="31" t="n">
        <f aca="false">IF($G481="",AT481,W481)</f>
        <v>1271969</v>
      </c>
      <c r="BF481" s="31" t="n">
        <f aca="false">IF($G481="",AU481,R481)</f>
        <v>0</v>
      </c>
      <c r="BG481" s="31" t="n">
        <f aca="false">IF($G481="",AV481,X481)</f>
        <v>141252</v>
      </c>
      <c r="BH481" s="31" t="n">
        <f aca="false">IF($G481="",AW481,S481)</f>
        <v>0</v>
      </c>
      <c r="BI481" s="31" t="n">
        <f aca="false">IF($G481="",AX481,Y481)</f>
        <v>1</v>
      </c>
      <c r="BJ481" s="31" t="n">
        <f aca="false">IF(CK481="N",BR481,ROUNDDOWN((I481-L481)*設定!$B$10/1000,0)+ROUNDDOWN((I481-L481)*設定!$B$11/1000,0))</f>
        <v>0</v>
      </c>
      <c r="BK481" s="31" t="n">
        <f aca="false">ROUNDDOWN((I481-L481)*設定!$C$10/1000,0)+ROUNDDOWN((I481-L481)*設定!$C$11/1000,0)+ROUNDDOWN(I481*設定!$C$12/1000,0)+IF(CL481="市局型",ROUNDDOWN(I481*設定!$C$16/1000,0),0)</f>
        <v>0</v>
      </c>
      <c r="BL481" s="31" t="n">
        <f aca="false">IF(CK481="N",BT481,ROUNDDOWN((J481-M481)*設定!$B$13/1000,0))</f>
        <v>0</v>
      </c>
      <c r="BM481" s="31" t="n">
        <f aca="false">ROUNDDOWN((J481-M481)*設定!$C$13/1000,0)+IF(CL481="市局型",ROUNDDOWN(J481*設定!$C$17/1000,0),0)</f>
        <v>0</v>
      </c>
      <c r="BN481" s="31" t="n">
        <f aca="false">IF(CK481="N",BV481,ROUNDDOWN((K481-N481)*設定!$B$14/1000,0))</f>
        <v>0</v>
      </c>
      <c r="BO481" s="31" t="n">
        <f aca="false">ROUNDDOWN((K481-N481)*設定!$C$14/1000,0)</f>
        <v>0</v>
      </c>
      <c r="BP481" s="31" t="n">
        <f aca="false">IF(CK481="N",BX481,ROUNDDOWN((J481-M481)*設定!$B$15/1000,0))</f>
        <v>0</v>
      </c>
      <c r="BQ481" s="31" t="n">
        <f aca="false">ROUNDDOWN((J481-M481)*設定!$C$15/1000,0)</f>
        <v>0</v>
      </c>
      <c r="BR481" s="31" t="n">
        <f aca="false">O481+P481</f>
        <v>0</v>
      </c>
      <c r="BS481" s="31" t="n">
        <f aca="false">T481+U481+V481</f>
        <v>0</v>
      </c>
      <c r="BT481" s="31" t="n">
        <f aca="false">Q481</f>
        <v>0</v>
      </c>
      <c r="BU481" s="31" t="n">
        <f aca="false">W481</f>
        <v>0</v>
      </c>
      <c r="BV481" s="31" t="n">
        <f aca="false">R481</f>
        <v>0</v>
      </c>
      <c r="BW481" s="31" t="n">
        <f aca="false">X481</f>
        <v>0</v>
      </c>
      <c r="BX481" s="31" t="n">
        <f aca="false">S481</f>
        <v>0</v>
      </c>
      <c r="BY481" s="31" t="n">
        <f aca="false">Y481</f>
        <v>0</v>
      </c>
      <c r="BZ481" s="32" t="n">
        <f aca="false">IF(BJ481=0,IF(BR481=0,0,1),(BR481-BJ481)/BJ481)</f>
        <v>0</v>
      </c>
      <c r="CA481" s="32" t="n">
        <f aca="false">IF(BK481=0,IF(BS481=0,0,1),(BS481-BK481)/BK481)</f>
        <v>0</v>
      </c>
      <c r="CB481" s="32" t="n">
        <f aca="false">IF(BL481=0,IF(BT481=0,0,1),(BT481-BL481)/BL481)</f>
        <v>0</v>
      </c>
      <c r="CC481" s="32" t="n">
        <f aca="false">IF(BM481=0,IF(BU481=0,0,1),(BU481-BM481)/BM481)</f>
        <v>0</v>
      </c>
      <c r="CD481" s="32" t="n">
        <f aca="false">IF(BN481=0,IF(BV481=0,0,1),(BV481-BN481)/BN481)</f>
        <v>0</v>
      </c>
      <c r="CE481" s="32" t="n">
        <f aca="false">IF(BO481=0,IF(BW481=0,0,1),(BW481-BO481)/BO481)</f>
        <v>0</v>
      </c>
      <c r="CF481" s="32" t="n">
        <f aca="false">IF(BP481=0,IF(BX481=0,0,1),(BX481-BP481)/BP481)</f>
        <v>0</v>
      </c>
      <c r="CG481" s="32" t="n">
        <f aca="false">IF(BQ481=0,IF(BY481=0,0,1),(BY481-BQ481)/BQ481)</f>
        <v>0</v>
      </c>
      <c r="CH481" s="32" t="n">
        <f aca="false">MAX(MAX(BZ481:CG481),-MIN(BZ481:CG481))</f>
        <v>-0</v>
      </c>
      <c r="CI481" s="31" t="n">
        <f aca="false">IF(CO481="","",SUMIFS($CJ$7:$CJ$696,$A$7:$A$696,CO481,$B$7:$B$696,B481))</f>
        <v>3450627</v>
      </c>
      <c r="CJ481" s="31" t="n">
        <f aca="false">SUM(AY481:BI481)</f>
        <v>3450617</v>
      </c>
      <c r="CK481" s="31" t="str">
        <f aca="false">IFERROR(INDEX(設定!$F$61:$F$106,MATCH(B481,設定!$B$61:$B$106,0)),"Y")</f>
        <v>N</v>
      </c>
      <c r="CL481" s="31" t="str">
        <f aca="false">IFERROR(INDEX(設定!$G$61:$G$106,MATCH(B481,設定!$B$61:$B$106,0)),"外郭型")</f>
        <v>外郭型</v>
      </c>
      <c r="CM481" s="33" t="str">
        <f aca="false">A481&amp;"|"&amp;B481</f>
        <v>2026-12 月例|社会福祉事業団</v>
      </c>
      <c r="CN481" s="34" t="str">
        <f aca="false">IFERROR(INDEX(設定!$D$61:$D$106,MATCH(B481,設定!$B$61:$B$106,0)),"Y")</f>
        <v>Y</v>
      </c>
      <c r="CO481" s="34" t="str">
        <f aca="false">IFERROR(INDEX(設定!$D$20:$D$34,MATCH(A481,設定!$A$20:$A$34,0))&amp;"","")</f>
        <v>2026-11 月例</v>
      </c>
    </row>
    <row r="482" customFormat="false" ht="15" hidden="true" customHeight="false" outlineLevel="0" collapsed="false">
      <c r="A482" s="22" t="s">
        <v>226</v>
      </c>
      <c r="B482" s="23" t="s">
        <v>184</v>
      </c>
      <c r="C482" s="10" t="str">
        <f aca="false">IF(G482="","未受領",IF(G482="なし","報告なし",IF(AL482="○","起票済",IF(OR(AK482="○",F482="一致",F482="入金不要"),"入金確認済","受領済"))))</f>
        <v>未受領</v>
      </c>
      <c r="D482" s="10" t="str">
        <f aca="false">IF(OR(G482="",G482="なし"),"―",IF(CN482="N","対象外",IF(AND(I482="",J482="",K482=""),"標報未入力",IF(CH482&gt;=設定!$B$4,"要確認","問題なし"))))</f>
        <v>―</v>
      </c>
      <c r="E482" s="24" t="str">
        <f aca="false">IF(OR(G482="",G482="なし",CI482="",CJ482=0),"―",IF(CJ482=CI482,"前月同額",IF(CI482=0,"―",IF(ABS(CJ482/CI482-1)&gt;=設定!$B$5,"変動大 "&amp;TEXT(CJ482/CI482-1,"+0%;-0%"),"〇"))))</f>
        <v>―</v>
      </c>
      <c r="F482" s="10" t="str">
        <f aca="false">IF(OR(G482="",G482="なし"),"―",IF(CJ482=0,"入金不要",IF(COUNT(AD482,AF482,AH482,AJ482)=0,IF(AK482="○","手動確認","未入金"),IF(AND(N(AD482)=AC482,IF(AE482="",TRUE(),N(AF482)=AE482),IF(AG482="",TRUE(),N(AH482)=AG482),IF(AI482="",TRUE(),N(AJ482)=AI482)),"一致","不一致"))))</f>
        <v>―</v>
      </c>
      <c r="G482" s="25"/>
      <c r="H482" s="26"/>
      <c r="I482" s="27"/>
      <c r="J482" s="27"/>
      <c r="K482" s="27"/>
      <c r="L482" s="27"/>
      <c r="M482" s="27"/>
      <c r="N482" s="27"/>
      <c r="O482" s="27"/>
      <c r="P482" s="27"/>
      <c r="Q482" s="27"/>
      <c r="R482" s="27"/>
      <c r="S482" s="27"/>
      <c r="T482" s="27"/>
      <c r="U482" s="27"/>
      <c r="V482" s="27"/>
      <c r="W482" s="27"/>
      <c r="X482" s="27"/>
      <c r="Y482" s="27"/>
      <c r="Z482" s="27"/>
      <c r="AA482" s="10" t="str">
        <f aca="false">IFERROR(INDEX(設定!$E$61:$E$106,MATCH(B482,設定!$B$61:$B$106,0)),"合算")</f>
        <v>合算</v>
      </c>
      <c r="AB482" s="28"/>
      <c r="AC482" s="29" t="str">
        <f aca="false">IF(OR(G482="",G482="なし"),"",IF(AA482="合算",CJ482+N(Z482),IF(AA482="掛金・負担金別",(AY482+AZ482+BD482+BF482+BH482),SUM(AY482:BC482))))</f>
        <v/>
      </c>
      <c r="AD482" s="27"/>
      <c r="AE482" s="29" t="str">
        <f aca="false">IF(OR(G482="",G482="なし"),"",IF(AA482="掛金・負担金別",(BA482+BB482+BC482+BE482+BG482+BI482+N(Z482)),IF(AA482="経理区分別",BD482+BE482,"")))</f>
        <v/>
      </c>
      <c r="AF482" s="27"/>
      <c r="AG482" s="29" t="str">
        <f aca="false">IF(OR(G482="",G482="なし"),"",IF(AA482="経理区分別",BF482+BG482,""))</f>
        <v/>
      </c>
      <c r="AH482" s="27"/>
      <c r="AI482" s="29" t="str">
        <f aca="false">IF(OR(G482="",G482="なし"),"",IF(AA482="経理区分別",BH482+BI482+N(Z482),""))</f>
        <v/>
      </c>
      <c r="AJ482" s="27"/>
      <c r="AK482" s="26"/>
      <c r="AL482" s="26"/>
      <c r="AM482" s="30"/>
      <c r="AN482" s="31"/>
      <c r="AO482" s="31"/>
      <c r="AP482" s="31" t="n">
        <v>48495</v>
      </c>
      <c r="AQ482" s="31" t="n">
        <v>3975</v>
      </c>
      <c r="AR482" s="31" t="n">
        <v>49</v>
      </c>
      <c r="AS482" s="31"/>
      <c r="AT482" s="31" t="n">
        <v>29208</v>
      </c>
      <c r="AU482" s="31"/>
      <c r="AV482" s="31" t="n">
        <v>4187</v>
      </c>
      <c r="AW482" s="31"/>
      <c r="AX482" s="31" t="n">
        <v>1</v>
      </c>
      <c r="AY482" s="31" t="n">
        <f aca="false">IF($G482="",AN482,O482)</f>
        <v>0</v>
      </c>
      <c r="AZ482" s="31" t="n">
        <f aca="false">IF($G482="",AO482,P482)</f>
        <v>0</v>
      </c>
      <c r="BA482" s="31" t="n">
        <f aca="false">IF($G482="",AP482,T482)</f>
        <v>48495</v>
      </c>
      <c r="BB482" s="31" t="n">
        <f aca="false">IF($G482="",AQ482,U482)</f>
        <v>3975</v>
      </c>
      <c r="BC482" s="31" t="n">
        <f aca="false">IF($G482="",AR482,V482)</f>
        <v>49</v>
      </c>
      <c r="BD482" s="31" t="n">
        <f aca="false">IF($G482="",AS482,Q482)</f>
        <v>0</v>
      </c>
      <c r="BE482" s="31" t="n">
        <f aca="false">IF($G482="",AT482,W482)</f>
        <v>29208</v>
      </c>
      <c r="BF482" s="31" t="n">
        <f aca="false">IF($G482="",AU482,R482)</f>
        <v>0</v>
      </c>
      <c r="BG482" s="31" t="n">
        <f aca="false">IF($G482="",AV482,X482)</f>
        <v>4187</v>
      </c>
      <c r="BH482" s="31" t="n">
        <f aca="false">IF($G482="",AW482,S482)</f>
        <v>0</v>
      </c>
      <c r="BI482" s="31" t="n">
        <f aca="false">IF($G482="",AX482,Y482)</f>
        <v>1</v>
      </c>
      <c r="BJ482" s="31" t="n">
        <f aca="false">IF(CK482="N",BR482,ROUNDDOWN((I482-L482)*設定!$B$10/1000,0)+ROUNDDOWN((I482-L482)*設定!$B$11/1000,0))</f>
        <v>0</v>
      </c>
      <c r="BK482" s="31" t="n">
        <f aca="false">ROUNDDOWN((I482-L482)*設定!$C$10/1000,0)+ROUNDDOWN((I482-L482)*設定!$C$11/1000,0)+ROUNDDOWN(I482*設定!$C$12/1000,0)+IF(CL482="市局型",ROUNDDOWN(I482*設定!$C$16/1000,0),0)</f>
        <v>0</v>
      </c>
      <c r="BL482" s="31" t="n">
        <f aca="false">IF(CK482="N",BT482,ROUNDDOWN((J482-M482)*設定!$B$13/1000,0))</f>
        <v>0</v>
      </c>
      <c r="BM482" s="31" t="n">
        <f aca="false">ROUNDDOWN((J482-M482)*設定!$C$13/1000,0)+IF(CL482="市局型",ROUNDDOWN(J482*設定!$C$17/1000,0),0)</f>
        <v>0</v>
      </c>
      <c r="BN482" s="31" t="n">
        <f aca="false">IF(CK482="N",BV482,ROUNDDOWN((K482-N482)*設定!$B$14/1000,0))</f>
        <v>0</v>
      </c>
      <c r="BO482" s="31" t="n">
        <f aca="false">ROUNDDOWN((K482-N482)*設定!$C$14/1000,0)</f>
        <v>0</v>
      </c>
      <c r="BP482" s="31" t="n">
        <f aca="false">IF(CK482="N",BX482,ROUNDDOWN((J482-M482)*設定!$B$15/1000,0))</f>
        <v>0</v>
      </c>
      <c r="BQ482" s="31" t="n">
        <f aca="false">ROUNDDOWN((J482-M482)*設定!$C$15/1000,0)</f>
        <v>0</v>
      </c>
      <c r="BR482" s="31" t="n">
        <f aca="false">O482+P482</f>
        <v>0</v>
      </c>
      <c r="BS482" s="31" t="n">
        <f aca="false">T482+U482+V482</f>
        <v>0</v>
      </c>
      <c r="BT482" s="31" t="n">
        <f aca="false">Q482</f>
        <v>0</v>
      </c>
      <c r="BU482" s="31" t="n">
        <f aca="false">W482</f>
        <v>0</v>
      </c>
      <c r="BV482" s="31" t="n">
        <f aca="false">R482</f>
        <v>0</v>
      </c>
      <c r="BW482" s="31" t="n">
        <f aca="false">X482</f>
        <v>0</v>
      </c>
      <c r="BX482" s="31" t="n">
        <f aca="false">S482</f>
        <v>0</v>
      </c>
      <c r="BY482" s="31" t="n">
        <f aca="false">Y482</f>
        <v>0</v>
      </c>
      <c r="BZ482" s="32" t="n">
        <f aca="false">IF(BJ482=0,IF(BR482=0,0,1),(BR482-BJ482)/BJ482)</f>
        <v>0</v>
      </c>
      <c r="CA482" s="32" t="n">
        <f aca="false">IF(BK482=0,IF(BS482=0,0,1),(BS482-BK482)/BK482)</f>
        <v>0</v>
      </c>
      <c r="CB482" s="32" t="n">
        <f aca="false">IF(BL482=0,IF(BT482=0,0,1),(BT482-BL482)/BL482)</f>
        <v>0</v>
      </c>
      <c r="CC482" s="32" t="n">
        <f aca="false">IF(BM482=0,IF(BU482=0,0,1),(BU482-BM482)/BM482)</f>
        <v>0</v>
      </c>
      <c r="CD482" s="32" t="n">
        <f aca="false">IF(BN482=0,IF(BV482=0,0,1),(BV482-BN482)/BN482)</f>
        <v>0</v>
      </c>
      <c r="CE482" s="32" t="n">
        <f aca="false">IF(BO482=0,IF(BW482=0,0,1),(BW482-BO482)/BO482)</f>
        <v>0</v>
      </c>
      <c r="CF482" s="32" t="n">
        <f aca="false">IF(BP482=0,IF(BX482=0,0,1),(BX482-BP482)/BP482)</f>
        <v>0</v>
      </c>
      <c r="CG482" s="32" t="n">
        <f aca="false">IF(BQ482=0,IF(BY482=0,0,1),(BY482-BQ482)/BQ482)</f>
        <v>0</v>
      </c>
      <c r="CH482" s="32" t="n">
        <f aca="false">MAX(MAX(BZ482:CG482),-MIN(BZ482:CG482))</f>
        <v>-0</v>
      </c>
      <c r="CI482" s="31" t="n">
        <f aca="false">IF(CO482="","",SUMIFS($CJ$7:$CJ$696,$A$7:$A$696,CO482,$B$7:$B$696,B482))</f>
        <v>85915</v>
      </c>
      <c r="CJ482" s="31" t="n">
        <f aca="false">SUM(AY482:BI482)</f>
        <v>85915</v>
      </c>
      <c r="CK482" s="31" t="str">
        <f aca="false">IFERROR(INDEX(設定!$F$61:$F$106,MATCH(B482,設定!$B$61:$B$106,0)),"Y")</f>
        <v>N</v>
      </c>
      <c r="CL482" s="31" t="str">
        <f aca="false">IFERROR(INDEX(設定!$G$61:$G$106,MATCH(B482,設定!$B$61:$B$106,0)),"外郭型")</f>
        <v>外郭型</v>
      </c>
      <c r="CM482" s="33" t="str">
        <f aca="false">A482&amp;"|"&amp;B482</f>
        <v>2026-12 月例|原爆障害対策協議会</v>
      </c>
      <c r="CN482" s="34" t="str">
        <f aca="false">IFERROR(INDEX(設定!$D$61:$D$106,MATCH(B482,設定!$B$61:$B$106,0)),"Y")</f>
        <v>Y</v>
      </c>
      <c r="CO482" s="34" t="str">
        <f aca="false">IFERROR(INDEX(設定!$D$20:$D$34,MATCH(A482,設定!$A$20:$A$34,0))&amp;"","")</f>
        <v>2026-11 月例</v>
      </c>
    </row>
    <row r="483" customFormat="false" ht="15" hidden="true" customHeight="false" outlineLevel="0" collapsed="false">
      <c r="A483" s="22" t="s">
        <v>226</v>
      </c>
      <c r="B483" s="23" t="s">
        <v>185</v>
      </c>
      <c r="C483" s="10" t="str">
        <f aca="false">IF(G483="","未受領",IF(G483="なし","報告なし",IF(AL483="○","起票済",IF(OR(AK483="○",F483="一致",F483="入金不要"),"入金確認済","受領済"))))</f>
        <v>未受領</v>
      </c>
      <c r="D483" s="10" t="str">
        <f aca="false">IF(OR(G483="",G483="なし"),"―",IF(CN483="N","対象外",IF(AND(I483="",J483="",K483=""),"標報未入力",IF(CH483&gt;=設定!$B$4,"要確認","問題なし"))))</f>
        <v>―</v>
      </c>
      <c r="E483" s="24" t="str">
        <f aca="false">IF(OR(G483="",G483="なし",CI483="",CJ483=0),"―",IF(CJ483=CI483,"前月同額",IF(CI483=0,"―",IF(ABS(CJ483/CI483-1)&gt;=設定!$B$5,"変動大 "&amp;TEXT(CJ483/CI483-1,"+0%;-0%"),"〇"))))</f>
        <v>―</v>
      </c>
      <c r="F483" s="10" t="str">
        <f aca="false">IF(OR(G483="",G483="なし"),"―",IF(CJ483=0,"入金不要",IF(COUNT(AD483,AF483,AH483,AJ483)=0,IF(AK483="○","手動確認","未入金"),IF(AND(N(AD483)=AC483,IF(AE483="",TRUE(),N(AF483)=AE483),IF(AG483="",TRUE(),N(AH483)=AG483),IF(AI483="",TRUE(),N(AJ483)=AI483)),"一致","不一致"))))</f>
        <v>―</v>
      </c>
      <c r="G483" s="25"/>
      <c r="H483" s="26"/>
      <c r="I483" s="27"/>
      <c r="J483" s="27"/>
      <c r="K483" s="27"/>
      <c r="L483" s="27"/>
      <c r="M483" s="27"/>
      <c r="N483" s="27"/>
      <c r="O483" s="27"/>
      <c r="P483" s="27"/>
      <c r="Q483" s="27"/>
      <c r="R483" s="27"/>
      <c r="S483" s="27"/>
      <c r="T483" s="27"/>
      <c r="U483" s="27"/>
      <c r="V483" s="27"/>
      <c r="W483" s="27"/>
      <c r="X483" s="27"/>
      <c r="Y483" s="27"/>
      <c r="Z483" s="27"/>
      <c r="AA483" s="10" t="str">
        <f aca="false">IFERROR(INDEX(設定!$E$61:$E$106,MATCH(B483,設定!$B$61:$B$106,0)),"合算")</f>
        <v>合算</v>
      </c>
      <c r="AB483" s="28"/>
      <c r="AC483" s="29" t="str">
        <f aca="false">IF(OR(G483="",G483="なし"),"",IF(AA483="合算",CJ483+N(Z483),IF(AA483="掛金・負担金別",(AY483+AZ483+BD483+BF483+BH483),SUM(AY483:BC483))))</f>
        <v/>
      </c>
      <c r="AD483" s="27"/>
      <c r="AE483" s="29" t="str">
        <f aca="false">IF(OR(G483="",G483="なし"),"",IF(AA483="掛金・負担金別",(BA483+BB483+BC483+BE483+BG483+BI483+N(Z483)),IF(AA483="経理区分別",BD483+BE483,"")))</f>
        <v/>
      </c>
      <c r="AF483" s="27"/>
      <c r="AG483" s="29" t="str">
        <f aca="false">IF(OR(G483="",G483="なし"),"",IF(AA483="経理区分別",BF483+BG483,""))</f>
        <v/>
      </c>
      <c r="AH483" s="27"/>
      <c r="AI483" s="29" t="str">
        <f aca="false">IF(OR(G483="",G483="なし"),"",IF(AA483="経理区分別",BH483+BI483+N(Z483),""))</f>
        <v/>
      </c>
      <c r="AJ483" s="27"/>
      <c r="AK483" s="26"/>
      <c r="AL483" s="26"/>
      <c r="AM483" s="30"/>
      <c r="AN483" s="31"/>
      <c r="AO483" s="31"/>
      <c r="AP483" s="31" t="n">
        <v>425475</v>
      </c>
      <c r="AQ483" s="31" t="n">
        <v>34875</v>
      </c>
      <c r="AR483" s="31" t="n">
        <v>435</v>
      </c>
      <c r="AS483" s="31"/>
      <c r="AT483" s="31" t="n">
        <v>256260</v>
      </c>
      <c r="AU483" s="31"/>
      <c r="AV483" s="31" t="n">
        <v>34207</v>
      </c>
      <c r="AW483" s="31"/>
      <c r="AX483" s="31" t="n">
        <v>1</v>
      </c>
      <c r="AY483" s="31" t="n">
        <f aca="false">IF($G483="",AN483,O483)</f>
        <v>0</v>
      </c>
      <c r="AZ483" s="31" t="n">
        <f aca="false">IF($G483="",AO483,P483)</f>
        <v>0</v>
      </c>
      <c r="BA483" s="31" t="n">
        <f aca="false">IF($G483="",AP483,T483)</f>
        <v>425475</v>
      </c>
      <c r="BB483" s="31" t="n">
        <f aca="false">IF($G483="",AQ483,U483)</f>
        <v>34875</v>
      </c>
      <c r="BC483" s="31" t="n">
        <f aca="false">IF($G483="",AR483,V483)</f>
        <v>435</v>
      </c>
      <c r="BD483" s="31" t="n">
        <f aca="false">IF($G483="",AS483,Q483)</f>
        <v>0</v>
      </c>
      <c r="BE483" s="31" t="n">
        <f aca="false">IF($G483="",AT483,W483)</f>
        <v>256260</v>
      </c>
      <c r="BF483" s="31" t="n">
        <f aca="false">IF($G483="",AU483,R483)</f>
        <v>0</v>
      </c>
      <c r="BG483" s="31" t="n">
        <f aca="false">IF($G483="",AV483,X483)</f>
        <v>34207</v>
      </c>
      <c r="BH483" s="31" t="n">
        <f aca="false">IF($G483="",AW483,S483)</f>
        <v>0</v>
      </c>
      <c r="BI483" s="31" t="n">
        <f aca="false">IF($G483="",AX483,Y483)</f>
        <v>1</v>
      </c>
      <c r="BJ483" s="31" t="n">
        <f aca="false">IF(CK483="N",BR483,ROUNDDOWN((I483-L483)*設定!$B$10/1000,0)+ROUNDDOWN((I483-L483)*設定!$B$11/1000,0))</f>
        <v>0</v>
      </c>
      <c r="BK483" s="31" t="n">
        <f aca="false">ROUNDDOWN((I483-L483)*設定!$C$10/1000,0)+ROUNDDOWN((I483-L483)*設定!$C$11/1000,0)+ROUNDDOWN(I483*設定!$C$12/1000,0)+IF(CL483="市局型",ROUNDDOWN(I483*設定!$C$16/1000,0),0)</f>
        <v>0</v>
      </c>
      <c r="BL483" s="31" t="n">
        <f aca="false">IF(CK483="N",BT483,ROUNDDOWN((J483-M483)*設定!$B$13/1000,0))</f>
        <v>0</v>
      </c>
      <c r="BM483" s="31" t="n">
        <f aca="false">ROUNDDOWN((J483-M483)*設定!$C$13/1000,0)+IF(CL483="市局型",ROUNDDOWN(J483*設定!$C$17/1000,0),0)</f>
        <v>0</v>
      </c>
      <c r="BN483" s="31" t="n">
        <f aca="false">IF(CK483="N",BV483,ROUNDDOWN((K483-N483)*設定!$B$14/1000,0))</f>
        <v>0</v>
      </c>
      <c r="BO483" s="31" t="n">
        <f aca="false">ROUNDDOWN((K483-N483)*設定!$C$14/1000,0)</f>
        <v>0</v>
      </c>
      <c r="BP483" s="31" t="n">
        <f aca="false">IF(CK483="N",BX483,ROUNDDOWN((J483-M483)*設定!$B$15/1000,0))</f>
        <v>0</v>
      </c>
      <c r="BQ483" s="31" t="n">
        <f aca="false">ROUNDDOWN((J483-M483)*設定!$C$15/1000,0)</f>
        <v>0</v>
      </c>
      <c r="BR483" s="31" t="n">
        <f aca="false">O483+P483</f>
        <v>0</v>
      </c>
      <c r="BS483" s="31" t="n">
        <f aca="false">T483+U483+V483</f>
        <v>0</v>
      </c>
      <c r="BT483" s="31" t="n">
        <f aca="false">Q483</f>
        <v>0</v>
      </c>
      <c r="BU483" s="31" t="n">
        <f aca="false">W483</f>
        <v>0</v>
      </c>
      <c r="BV483" s="31" t="n">
        <f aca="false">R483</f>
        <v>0</v>
      </c>
      <c r="BW483" s="31" t="n">
        <f aca="false">X483</f>
        <v>0</v>
      </c>
      <c r="BX483" s="31" t="n">
        <f aca="false">S483</f>
        <v>0</v>
      </c>
      <c r="BY483" s="31" t="n">
        <f aca="false">Y483</f>
        <v>0</v>
      </c>
      <c r="BZ483" s="32" t="n">
        <f aca="false">IF(BJ483=0,IF(BR483=0,0,1),(BR483-BJ483)/BJ483)</f>
        <v>0</v>
      </c>
      <c r="CA483" s="32" t="n">
        <f aca="false">IF(BK483=0,IF(BS483=0,0,1),(BS483-BK483)/BK483)</f>
        <v>0</v>
      </c>
      <c r="CB483" s="32" t="n">
        <f aca="false">IF(BL483=0,IF(BT483=0,0,1),(BT483-BL483)/BL483)</f>
        <v>0</v>
      </c>
      <c r="CC483" s="32" t="n">
        <f aca="false">IF(BM483=0,IF(BU483=0,0,1),(BU483-BM483)/BM483)</f>
        <v>0</v>
      </c>
      <c r="CD483" s="32" t="n">
        <f aca="false">IF(BN483=0,IF(BV483=0,0,1),(BV483-BN483)/BN483)</f>
        <v>0</v>
      </c>
      <c r="CE483" s="32" t="n">
        <f aca="false">IF(BO483=0,IF(BW483=0,0,1),(BW483-BO483)/BO483)</f>
        <v>0</v>
      </c>
      <c r="CF483" s="32" t="n">
        <f aca="false">IF(BP483=0,IF(BX483=0,0,1),(BX483-BP483)/BP483)</f>
        <v>0</v>
      </c>
      <c r="CG483" s="32" t="n">
        <f aca="false">IF(BQ483=0,IF(BY483=0,0,1),(BY483-BQ483)/BQ483)</f>
        <v>0</v>
      </c>
      <c r="CH483" s="32" t="n">
        <f aca="false">MAX(MAX(BZ483:CG483),-MIN(BZ483:CG483))</f>
        <v>-0</v>
      </c>
      <c r="CI483" s="31" t="n">
        <f aca="false">IF(CO483="","",SUMIFS($CJ$7:$CJ$696,$A$7:$A$696,CO483,$B$7:$B$696,B483))</f>
        <v>751253</v>
      </c>
      <c r="CJ483" s="31" t="n">
        <f aca="false">SUM(AY483:BI483)</f>
        <v>751253</v>
      </c>
      <c r="CK483" s="31" t="str">
        <f aca="false">IFERROR(INDEX(設定!$F$61:$F$106,MATCH(B483,設定!$B$61:$B$106,0)),"Y")</f>
        <v>N</v>
      </c>
      <c r="CL483" s="31" t="str">
        <f aca="false">IFERROR(INDEX(設定!$G$61:$G$106,MATCH(B483,設定!$B$61:$B$106,0)),"外郭型")</f>
        <v>外郭型</v>
      </c>
      <c r="CM483" s="33" t="str">
        <f aca="false">A483&amp;"|"&amp;B483</f>
        <v>2026-12 月例|産業振興センター</v>
      </c>
      <c r="CN483" s="34" t="str">
        <f aca="false">IFERROR(INDEX(設定!$D$61:$D$106,MATCH(B483,設定!$B$61:$B$106,0)),"Y")</f>
        <v>Y</v>
      </c>
      <c r="CO483" s="34" t="str">
        <f aca="false">IFERROR(INDEX(設定!$D$20:$D$34,MATCH(A483,設定!$A$20:$A$34,0))&amp;"","")</f>
        <v>2026-11 月例</v>
      </c>
    </row>
    <row r="484" customFormat="false" ht="15" hidden="true" customHeight="false" outlineLevel="0" collapsed="false">
      <c r="A484" s="22" t="s">
        <v>226</v>
      </c>
      <c r="B484" s="23" t="s">
        <v>186</v>
      </c>
      <c r="C484" s="10" t="str">
        <f aca="false">IF(G484="","未受領",IF(G484="なし","報告なし",IF(AL484="○","起票済",IF(OR(AK484="○",F484="一致",F484="入金不要"),"入金確認済","受領済"))))</f>
        <v>未受領</v>
      </c>
      <c r="D484" s="10" t="str">
        <f aca="false">IF(OR(G484="",G484="なし"),"―",IF(CN484="N","対象外",IF(AND(I484="",J484="",K484=""),"標報未入力",IF(CH484&gt;=設定!$B$4,"要確認","問題なし"))))</f>
        <v>―</v>
      </c>
      <c r="E484" s="24" t="str">
        <f aca="false">IF(OR(G484="",G484="なし",CI484="",CJ484=0),"―",IF(CJ484=CI484,"前月同額",IF(CI484=0,"―",IF(ABS(CJ484/CI484-1)&gt;=設定!$B$5,"変動大 "&amp;TEXT(CJ484/CI484-1,"+0%;-0%"),"〇"))))</f>
        <v>―</v>
      </c>
      <c r="F484" s="10" t="str">
        <f aca="false">IF(OR(G484="",G484="なし"),"―",IF(CJ484=0,"入金不要",IF(COUNT(AD484,AF484,AH484,AJ484)=0,IF(AK484="○","手動確認","未入金"),IF(AND(N(AD484)=AC484,IF(AE484="",TRUE(),N(AF484)=AE484),IF(AG484="",TRUE(),N(AH484)=AG484),IF(AI484="",TRUE(),N(AJ484)=AI484)),"一致","不一致"))))</f>
        <v>―</v>
      </c>
      <c r="G484" s="25"/>
      <c r="H484" s="26"/>
      <c r="I484" s="27"/>
      <c r="J484" s="27"/>
      <c r="K484" s="27"/>
      <c r="L484" s="27"/>
      <c r="M484" s="27"/>
      <c r="N484" s="27"/>
      <c r="O484" s="27"/>
      <c r="P484" s="27"/>
      <c r="Q484" s="27"/>
      <c r="R484" s="27"/>
      <c r="S484" s="27"/>
      <c r="T484" s="27"/>
      <c r="U484" s="27"/>
      <c r="V484" s="27"/>
      <c r="W484" s="27"/>
      <c r="X484" s="27"/>
      <c r="Y484" s="27"/>
      <c r="Z484" s="27"/>
      <c r="AA484" s="10" t="str">
        <f aca="false">IFERROR(INDEX(設定!$E$61:$E$106,MATCH(B484,設定!$B$61:$B$106,0)),"合算")</f>
        <v>合算</v>
      </c>
      <c r="AB484" s="28"/>
      <c r="AC484" s="29" t="str">
        <f aca="false">IF(OR(G484="",G484="なし"),"",IF(AA484="合算",CJ484+N(Z484),IF(AA484="掛金・負担金別",(AY484+AZ484+BD484+BF484+BH484),SUM(AY484:BC484))))</f>
        <v/>
      </c>
      <c r="AD484" s="27"/>
      <c r="AE484" s="29" t="str">
        <f aca="false">IF(OR(G484="",G484="なし"),"",IF(AA484="掛金・負担金別",(BA484+BB484+BC484+BE484+BG484+BI484+N(Z484)),IF(AA484="経理区分別",BD484+BE484,"")))</f>
        <v/>
      </c>
      <c r="AF484" s="27"/>
      <c r="AG484" s="29" t="str">
        <f aca="false">IF(OR(G484="",G484="なし"),"",IF(AA484="経理区分別",BF484+BG484,""))</f>
        <v/>
      </c>
      <c r="AH484" s="27"/>
      <c r="AI484" s="29" t="str">
        <f aca="false">IF(OR(G484="",G484="なし"),"",IF(AA484="経理区分別",BH484+BI484+N(Z484),""))</f>
        <v/>
      </c>
      <c r="AJ484" s="27"/>
      <c r="AK484" s="26"/>
      <c r="AL484" s="26"/>
      <c r="AM484" s="30"/>
      <c r="AN484" s="31"/>
      <c r="AO484" s="31"/>
      <c r="AP484" s="31" t="n">
        <v>86010</v>
      </c>
      <c r="AQ484" s="31" t="n">
        <v>7050</v>
      </c>
      <c r="AR484" s="31" t="n">
        <v>88</v>
      </c>
      <c r="AS484" s="31"/>
      <c r="AT484" s="31" t="n">
        <v>51803</v>
      </c>
      <c r="AU484" s="31"/>
      <c r="AV484" s="31" t="n">
        <v>7426</v>
      </c>
      <c r="AW484" s="31"/>
      <c r="AX484" s="31" t="n">
        <v>1</v>
      </c>
      <c r="AY484" s="31" t="n">
        <f aca="false">IF($G484="",AN484,O484)</f>
        <v>0</v>
      </c>
      <c r="AZ484" s="31" t="n">
        <f aca="false">IF($G484="",AO484,P484)</f>
        <v>0</v>
      </c>
      <c r="BA484" s="31" t="n">
        <f aca="false">IF($G484="",AP484,T484)</f>
        <v>86010</v>
      </c>
      <c r="BB484" s="31" t="n">
        <f aca="false">IF($G484="",AQ484,U484)</f>
        <v>7050</v>
      </c>
      <c r="BC484" s="31" t="n">
        <f aca="false">IF($G484="",AR484,V484)</f>
        <v>88</v>
      </c>
      <c r="BD484" s="31" t="n">
        <f aca="false">IF($G484="",AS484,Q484)</f>
        <v>0</v>
      </c>
      <c r="BE484" s="31" t="n">
        <f aca="false">IF($G484="",AT484,W484)</f>
        <v>51803</v>
      </c>
      <c r="BF484" s="31" t="n">
        <f aca="false">IF($G484="",AU484,R484)</f>
        <v>0</v>
      </c>
      <c r="BG484" s="31" t="n">
        <f aca="false">IF($G484="",AV484,X484)</f>
        <v>7426</v>
      </c>
      <c r="BH484" s="31" t="n">
        <f aca="false">IF($G484="",AW484,S484)</f>
        <v>0</v>
      </c>
      <c r="BI484" s="31" t="n">
        <f aca="false">IF($G484="",AX484,Y484)</f>
        <v>1</v>
      </c>
      <c r="BJ484" s="31" t="n">
        <f aca="false">IF(CK484="N",BR484,ROUNDDOWN((I484-L484)*設定!$B$10/1000,0)+ROUNDDOWN((I484-L484)*設定!$B$11/1000,0))</f>
        <v>0</v>
      </c>
      <c r="BK484" s="31" t="n">
        <f aca="false">ROUNDDOWN((I484-L484)*設定!$C$10/1000,0)+ROUNDDOWN((I484-L484)*設定!$C$11/1000,0)+ROUNDDOWN(I484*設定!$C$12/1000,0)+IF(CL484="市局型",ROUNDDOWN(I484*設定!$C$16/1000,0),0)</f>
        <v>0</v>
      </c>
      <c r="BL484" s="31" t="n">
        <f aca="false">IF(CK484="N",BT484,ROUNDDOWN((J484-M484)*設定!$B$13/1000,0))</f>
        <v>0</v>
      </c>
      <c r="BM484" s="31" t="n">
        <f aca="false">ROUNDDOWN((J484-M484)*設定!$C$13/1000,0)+IF(CL484="市局型",ROUNDDOWN(J484*設定!$C$17/1000,0),0)</f>
        <v>0</v>
      </c>
      <c r="BN484" s="31" t="n">
        <f aca="false">IF(CK484="N",BV484,ROUNDDOWN((K484-N484)*設定!$B$14/1000,0))</f>
        <v>0</v>
      </c>
      <c r="BO484" s="31" t="n">
        <f aca="false">ROUNDDOWN((K484-N484)*設定!$C$14/1000,0)</f>
        <v>0</v>
      </c>
      <c r="BP484" s="31" t="n">
        <f aca="false">IF(CK484="N",BX484,ROUNDDOWN((J484-M484)*設定!$B$15/1000,0))</f>
        <v>0</v>
      </c>
      <c r="BQ484" s="31" t="n">
        <f aca="false">ROUNDDOWN((J484-M484)*設定!$C$15/1000,0)</f>
        <v>0</v>
      </c>
      <c r="BR484" s="31" t="n">
        <f aca="false">O484+P484</f>
        <v>0</v>
      </c>
      <c r="BS484" s="31" t="n">
        <f aca="false">T484+U484+V484</f>
        <v>0</v>
      </c>
      <c r="BT484" s="31" t="n">
        <f aca="false">Q484</f>
        <v>0</v>
      </c>
      <c r="BU484" s="31" t="n">
        <f aca="false">W484</f>
        <v>0</v>
      </c>
      <c r="BV484" s="31" t="n">
        <f aca="false">R484</f>
        <v>0</v>
      </c>
      <c r="BW484" s="31" t="n">
        <f aca="false">X484</f>
        <v>0</v>
      </c>
      <c r="BX484" s="31" t="n">
        <f aca="false">S484</f>
        <v>0</v>
      </c>
      <c r="BY484" s="31" t="n">
        <f aca="false">Y484</f>
        <v>0</v>
      </c>
      <c r="BZ484" s="32" t="n">
        <f aca="false">IF(BJ484=0,IF(BR484=0,0,1),(BR484-BJ484)/BJ484)</f>
        <v>0</v>
      </c>
      <c r="CA484" s="32" t="n">
        <f aca="false">IF(BK484=0,IF(BS484=0,0,1),(BS484-BK484)/BK484)</f>
        <v>0</v>
      </c>
      <c r="CB484" s="32" t="n">
        <f aca="false">IF(BL484=0,IF(BT484=0,0,1),(BT484-BL484)/BL484)</f>
        <v>0</v>
      </c>
      <c r="CC484" s="32" t="n">
        <f aca="false">IF(BM484=0,IF(BU484=0,0,1),(BU484-BM484)/BM484)</f>
        <v>0</v>
      </c>
      <c r="CD484" s="32" t="n">
        <f aca="false">IF(BN484=0,IF(BV484=0,0,1),(BV484-BN484)/BN484)</f>
        <v>0</v>
      </c>
      <c r="CE484" s="32" t="n">
        <f aca="false">IF(BO484=0,IF(BW484=0,0,1),(BW484-BO484)/BO484)</f>
        <v>0</v>
      </c>
      <c r="CF484" s="32" t="n">
        <f aca="false">IF(BP484=0,IF(BX484=0,0,1),(BX484-BP484)/BP484)</f>
        <v>0</v>
      </c>
      <c r="CG484" s="32" t="n">
        <f aca="false">IF(BQ484=0,IF(BY484=0,0,1),(BY484-BQ484)/BQ484)</f>
        <v>0</v>
      </c>
      <c r="CH484" s="32" t="n">
        <f aca="false">MAX(MAX(BZ484:CG484),-MIN(BZ484:CG484))</f>
        <v>-0</v>
      </c>
      <c r="CI484" s="31" t="n">
        <f aca="false">IF(CO484="","",SUMIFS($CJ$7:$CJ$696,$A$7:$A$696,CO484,$B$7:$B$696,B484))</f>
        <v>152378</v>
      </c>
      <c r="CJ484" s="31" t="n">
        <f aca="false">SUM(AY484:BI484)</f>
        <v>152378</v>
      </c>
      <c r="CK484" s="31" t="str">
        <f aca="false">IFERROR(INDEX(設定!$F$61:$F$106,MATCH(B484,設定!$B$61:$B$106,0)),"Y")</f>
        <v>N</v>
      </c>
      <c r="CL484" s="31" t="str">
        <f aca="false">IFERROR(INDEX(設定!$G$61:$G$106,MATCH(B484,設定!$B$61:$B$106,0)),"外郭型")</f>
        <v>外郭型</v>
      </c>
      <c r="CM484" s="33" t="str">
        <f aca="false">A484&amp;"|"&amp;B484</f>
        <v>2026-12 月例|ひろしま産業振興</v>
      </c>
      <c r="CN484" s="34" t="str">
        <f aca="false">IFERROR(INDEX(設定!$D$61:$D$106,MATCH(B484,設定!$B$61:$B$106,0)),"Y")</f>
        <v>Y</v>
      </c>
      <c r="CO484" s="34" t="str">
        <f aca="false">IFERROR(INDEX(設定!$D$20:$D$34,MATCH(A484,設定!$A$20:$A$34,0))&amp;"","")</f>
        <v>2026-11 月例</v>
      </c>
    </row>
    <row r="485" customFormat="false" ht="15" hidden="true" customHeight="false" outlineLevel="0" collapsed="false">
      <c r="A485" s="22" t="s">
        <v>226</v>
      </c>
      <c r="B485" s="23" t="s">
        <v>187</v>
      </c>
      <c r="C485" s="10" t="str">
        <f aca="false">IF(G485="","未受領",IF(G485="なし","報告なし",IF(AL485="○","起票済",IF(OR(AK485="○",F485="一致",F485="入金不要"),"入金確認済","受領済"))))</f>
        <v>未受領</v>
      </c>
      <c r="D485" s="10" t="str">
        <f aca="false">IF(OR(G485="",G485="なし"),"―",IF(CN485="N","対象外",IF(AND(I485="",J485="",K485=""),"標報未入力",IF(CH485&gt;=設定!$B$4,"要確認","問題なし"))))</f>
        <v>―</v>
      </c>
      <c r="E485" s="24" t="str">
        <f aca="false">IF(OR(G485="",G485="なし",CI485="",CJ485=0),"―",IF(CJ485=CI485,"前月同額",IF(CI485=0,"―",IF(ABS(CJ485/CI485-1)&gt;=設定!$B$5,"変動大 "&amp;TEXT(CJ485/CI485-1,"+0%;-0%"),"〇"))))</f>
        <v>―</v>
      </c>
      <c r="F485" s="10" t="str">
        <f aca="false">IF(OR(G485="",G485="なし"),"―",IF(CJ485=0,"入金不要",IF(COUNT(AD485,AF485,AH485,AJ485)=0,IF(AK485="○","手動確認","未入金"),IF(AND(N(AD485)=AC485,IF(AE485="",TRUE(),N(AF485)=AE485),IF(AG485="",TRUE(),N(AH485)=AG485),IF(AI485="",TRUE(),N(AJ485)=AI485)),"一致","不一致"))))</f>
        <v>―</v>
      </c>
      <c r="G485" s="25"/>
      <c r="H485" s="26"/>
      <c r="I485" s="27"/>
      <c r="J485" s="27"/>
      <c r="K485" s="27"/>
      <c r="L485" s="27"/>
      <c r="M485" s="27"/>
      <c r="N485" s="27"/>
      <c r="O485" s="27"/>
      <c r="P485" s="27"/>
      <c r="Q485" s="27"/>
      <c r="R485" s="27"/>
      <c r="S485" s="27"/>
      <c r="T485" s="27"/>
      <c r="U485" s="27"/>
      <c r="V485" s="27"/>
      <c r="W485" s="27"/>
      <c r="X485" s="27"/>
      <c r="Y485" s="27"/>
      <c r="Z485" s="27"/>
      <c r="AA485" s="10" t="str">
        <f aca="false">IFERROR(INDEX(設定!$E$61:$E$106,MATCH(B485,設定!$B$61:$B$106,0)),"合算")</f>
        <v>合算</v>
      </c>
      <c r="AB485" s="28"/>
      <c r="AC485" s="29" t="str">
        <f aca="false">IF(OR(G485="",G485="なし"),"",IF(AA485="合算",CJ485+N(Z485),IF(AA485="掛金・負担金別",(AY485+AZ485+BD485+BF485+BH485),SUM(AY485:BC485))))</f>
        <v/>
      </c>
      <c r="AD485" s="27"/>
      <c r="AE485" s="29" t="str">
        <f aca="false">IF(OR(G485="",G485="なし"),"",IF(AA485="掛金・負担金別",(BA485+BB485+BC485+BE485+BG485+BI485+N(Z485)),IF(AA485="経理区分別",BD485+BE485,"")))</f>
        <v/>
      </c>
      <c r="AF485" s="27"/>
      <c r="AG485" s="29" t="str">
        <f aca="false">IF(OR(G485="",G485="なし"),"",IF(AA485="経理区分別",BF485+BG485,""))</f>
        <v/>
      </c>
      <c r="AH485" s="27"/>
      <c r="AI485" s="29" t="str">
        <f aca="false">IF(OR(G485="",G485="なし"),"",IF(AA485="経理区分別",BH485+BI485+N(Z485),""))</f>
        <v/>
      </c>
      <c r="AJ485" s="27"/>
      <c r="AK485" s="26"/>
      <c r="AL485" s="26"/>
      <c r="AM485" s="30"/>
      <c r="AN485" s="31"/>
      <c r="AO485" s="31"/>
      <c r="AP485" s="31" t="n">
        <v>48495</v>
      </c>
      <c r="AQ485" s="31" t="n">
        <v>3975</v>
      </c>
      <c r="AR485" s="31" t="n">
        <v>49</v>
      </c>
      <c r="AS485" s="31"/>
      <c r="AT485" s="31" t="n">
        <v>29208</v>
      </c>
      <c r="AU485" s="31"/>
      <c r="AV485" s="31" t="n">
        <v>4187</v>
      </c>
      <c r="AW485" s="31"/>
      <c r="AX485" s="31" t="n">
        <v>1</v>
      </c>
      <c r="AY485" s="31" t="n">
        <f aca="false">IF($G485="",AN485,O485)</f>
        <v>0</v>
      </c>
      <c r="AZ485" s="31" t="n">
        <f aca="false">IF($G485="",AO485,P485)</f>
        <v>0</v>
      </c>
      <c r="BA485" s="31" t="n">
        <f aca="false">IF($G485="",AP485,T485)</f>
        <v>48495</v>
      </c>
      <c r="BB485" s="31" t="n">
        <f aca="false">IF($G485="",AQ485,U485)</f>
        <v>3975</v>
      </c>
      <c r="BC485" s="31" t="n">
        <f aca="false">IF($G485="",AR485,V485)</f>
        <v>49</v>
      </c>
      <c r="BD485" s="31" t="n">
        <f aca="false">IF($G485="",AS485,Q485)</f>
        <v>0</v>
      </c>
      <c r="BE485" s="31" t="n">
        <f aca="false">IF($G485="",AT485,W485)</f>
        <v>29208</v>
      </c>
      <c r="BF485" s="31" t="n">
        <f aca="false">IF($G485="",AU485,R485)</f>
        <v>0</v>
      </c>
      <c r="BG485" s="31" t="n">
        <f aca="false">IF($G485="",AV485,X485)</f>
        <v>4187</v>
      </c>
      <c r="BH485" s="31" t="n">
        <f aca="false">IF($G485="",AW485,S485)</f>
        <v>0</v>
      </c>
      <c r="BI485" s="31" t="n">
        <f aca="false">IF($G485="",AX485,Y485)</f>
        <v>1</v>
      </c>
      <c r="BJ485" s="31" t="n">
        <f aca="false">IF(CK485="N",BR485,ROUNDDOWN((I485-L485)*設定!$B$10/1000,0)+ROUNDDOWN((I485-L485)*設定!$B$11/1000,0))</f>
        <v>0</v>
      </c>
      <c r="BK485" s="31" t="n">
        <f aca="false">ROUNDDOWN((I485-L485)*設定!$C$10/1000,0)+ROUNDDOWN((I485-L485)*設定!$C$11/1000,0)+ROUNDDOWN(I485*設定!$C$12/1000,0)+IF(CL485="市局型",ROUNDDOWN(I485*設定!$C$16/1000,0),0)</f>
        <v>0</v>
      </c>
      <c r="BL485" s="31" t="n">
        <f aca="false">IF(CK485="N",BT485,ROUNDDOWN((J485-M485)*設定!$B$13/1000,0))</f>
        <v>0</v>
      </c>
      <c r="BM485" s="31" t="n">
        <f aca="false">ROUNDDOWN((J485-M485)*設定!$C$13/1000,0)+IF(CL485="市局型",ROUNDDOWN(J485*設定!$C$17/1000,0),0)</f>
        <v>0</v>
      </c>
      <c r="BN485" s="31" t="n">
        <f aca="false">IF(CK485="N",BV485,ROUNDDOWN((K485-N485)*設定!$B$14/1000,0))</f>
        <v>0</v>
      </c>
      <c r="BO485" s="31" t="n">
        <f aca="false">ROUNDDOWN((K485-N485)*設定!$C$14/1000,0)</f>
        <v>0</v>
      </c>
      <c r="BP485" s="31" t="n">
        <f aca="false">IF(CK485="N",BX485,ROUNDDOWN((J485-M485)*設定!$B$15/1000,0))</f>
        <v>0</v>
      </c>
      <c r="BQ485" s="31" t="n">
        <f aca="false">ROUNDDOWN((J485-M485)*設定!$C$15/1000,0)</f>
        <v>0</v>
      </c>
      <c r="BR485" s="31" t="n">
        <f aca="false">O485+P485</f>
        <v>0</v>
      </c>
      <c r="BS485" s="31" t="n">
        <f aca="false">T485+U485+V485</f>
        <v>0</v>
      </c>
      <c r="BT485" s="31" t="n">
        <f aca="false">Q485</f>
        <v>0</v>
      </c>
      <c r="BU485" s="31" t="n">
        <f aca="false">W485</f>
        <v>0</v>
      </c>
      <c r="BV485" s="31" t="n">
        <f aca="false">R485</f>
        <v>0</v>
      </c>
      <c r="BW485" s="31" t="n">
        <f aca="false">X485</f>
        <v>0</v>
      </c>
      <c r="BX485" s="31" t="n">
        <f aca="false">S485</f>
        <v>0</v>
      </c>
      <c r="BY485" s="31" t="n">
        <f aca="false">Y485</f>
        <v>0</v>
      </c>
      <c r="BZ485" s="32" t="n">
        <f aca="false">IF(BJ485=0,IF(BR485=0,0,1),(BR485-BJ485)/BJ485)</f>
        <v>0</v>
      </c>
      <c r="CA485" s="32" t="n">
        <f aca="false">IF(BK485=0,IF(BS485=0,0,1),(BS485-BK485)/BK485)</f>
        <v>0</v>
      </c>
      <c r="CB485" s="32" t="n">
        <f aca="false">IF(BL485=0,IF(BT485=0,0,1),(BT485-BL485)/BL485)</f>
        <v>0</v>
      </c>
      <c r="CC485" s="32" t="n">
        <f aca="false">IF(BM485=0,IF(BU485=0,0,1),(BU485-BM485)/BM485)</f>
        <v>0</v>
      </c>
      <c r="CD485" s="32" t="n">
        <f aca="false">IF(BN485=0,IF(BV485=0,0,1),(BV485-BN485)/BN485)</f>
        <v>0</v>
      </c>
      <c r="CE485" s="32" t="n">
        <f aca="false">IF(BO485=0,IF(BW485=0,0,1),(BW485-BO485)/BO485)</f>
        <v>0</v>
      </c>
      <c r="CF485" s="32" t="n">
        <f aca="false">IF(BP485=0,IF(BX485=0,0,1),(BX485-BP485)/BP485)</f>
        <v>0</v>
      </c>
      <c r="CG485" s="32" t="n">
        <f aca="false">IF(BQ485=0,IF(BY485=0,0,1),(BY485-BQ485)/BQ485)</f>
        <v>0</v>
      </c>
      <c r="CH485" s="32" t="n">
        <f aca="false">MAX(MAX(BZ485:CG485),-MIN(BZ485:CG485))</f>
        <v>-0</v>
      </c>
      <c r="CI485" s="31" t="n">
        <f aca="false">IF(CO485="","",SUMIFS($CJ$7:$CJ$696,$A$7:$A$696,CO485,$B$7:$B$696,B485))</f>
        <v>85915</v>
      </c>
      <c r="CJ485" s="31" t="n">
        <f aca="false">SUM(AY485:BI485)</f>
        <v>85915</v>
      </c>
      <c r="CK485" s="31" t="str">
        <f aca="false">IFERROR(INDEX(設定!$F$61:$F$106,MATCH(B485,設定!$B$61:$B$106,0)),"Y")</f>
        <v>N</v>
      </c>
      <c r="CL485" s="31" t="str">
        <f aca="false">IFERROR(INDEX(設定!$G$61:$G$106,MATCH(B485,設定!$B$61:$B$106,0)),"外郭型")</f>
        <v>外郭型</v>
      </c>
      <c r="CM485" s="33" t="str">
        <f aca="false">A485&amp;"|"&amp;B485</f>
        <v>2026-12 月例|都市整備公社　市</v>
      </c>
      <c r="CN485" s="34" t="str">
        <f aca="false">IFERROR(INDEX(設定!$D$61:$D$106,MATCH(B485,設定!$B$61:$B$106,0)),"Y")</f>
        <v>Y</v>
      </c>
      <c r="CO485" s="34" t="str">
        <f aca="false">IFERROR(INDEX(設定!$D$20:$D$34,MATCH(A485,設定!$A$20:$A$34,0))&amp;"","")</f>
        <v>2026-11 月例</v>
      </c>
    </row>
    <row r="486" customFormat="false" ht="15" hidden="true" customHeight="false" outlineLevel="0" collapsed="false">
      <c r="A486" s="22" t="s">
        <v>226</v>
      </c>
      <c r="B486" s="23" t="s">
        <v>188</v>
      </c>
      <c r="C486" s="10" t="str">
        <f aca="false">IF(G486="","未受領",IF(G486="なし","報告なし",IF(AL486="○","起票済",IF(OR(AK486="○",F486="一致",F486="入金不要"),"入金確認済","受領済"))))</f>
        <v>未受領</v>
      </c>
      <c r="D486" s="10" t="str">
        <f aca="false">IF(OR(G486="",G486="なし"),"―",IF(CN486="N","対象外",IF(AND(I486="",J486="",K486=""),"標報未入力",IF(CH486&gt;=設定!$B$4,"要確認","問題なし"))))</f>
        <v>―</v>
      </c>
      <c r="E486" s="24" t="str">
        <f aca="false">IF(OR(G486="",G486="なし",CI486="",CJ486=0),"―",IF(CJ486=CI486,"前月同額",IF(CI486=0,"―",IF(ABS(CJ486/CI486-1)&gt;=設定!$B$5,"変動大 "&amp;TEXT(CJ486/CI486-1,"+0%;-0%"),"〇"))))</f>
        <v>―</v>
      </c>
      <c r="F486" s="10" t="str">
        <f aca="false">IF(OR(G486="",G486="なし"),"―",IF(CJ486=0,"入金不要",IF(COUNT(AD486,AF486,AH486,AJ486)=0,IF(AK486="○","手動確認","未入金"),IF(AND(N(AD486)=AC486,IF(AE486="",TRUE(),N(AF486)=AE486),IF(AG486="",TRUE(),N(AH486)=AG486),IF(AI486="",TRUE(),N(AJ486)=AI486)),"一致","不一致"))))</f>
        <v>―</v>
      </c>
      <c r="G486" s="25"/>
      <c r="H486" s="26"/>
      <c r="I486" s="27"/>
      <c r="J486" s="27"/>
      <c r="K486" s="27"/>
      <c r="L486" s="27"/>
      <c r="M486" s="27"/>
      <c r="N486" s="27"/>
      <c r="O486" s="27"/>
      <c r="P486" s="27"/>
      <c r="Q486" s="27"/>
      <c r="R486" s="27"/>
      <c r="S486" s="27"/>
      <c r="T486" s="27"/>
      <c r="U486" s="27"/>
      <c r="V486" s="27"/>
      <c r="W486" s="27"/>
      <c r="X486" s="27"/>
      <c r="Y486" s="27"/>
      <c r="Z486" s="27"/>
      <c r="AA486" s="10" t="str">
        <f aca="false">IFERROR(INDEX(設定!$E$61:$E$106,MATCH(B486,設定!$B$61:$B$106,0)),"合算")</f>
        <v>合算</v>
      </c>
      <c r="AB486" s="28"/>
      <c r="AC486" s="29" t="str">
        <f aca="false">IF(OR(G486="",G486="なし"),"",IF(AA486="合算",CJ486+N(Z486),IF(AA486="掛金・負担金別",(AY486+AZ486+BD486+BF486+BH486),SUM(AY486:BC486))))</f>
        <v/>
      </c>
      <c r="AD486" s="27"/>
      <c r="AE486" s="29" t="str">
        <f aca="false">IF(OR(G486="",G486="なし"),"",IF(AA486="掛金・負担金別",(BA486+BB486+BC486+BE486+BG486+BI486+N(Z486)),IF(AA486="経理区分別",BD486+BE486,"")))</f>
        <v/>
      </c>
      <c r="AF486" s="27"/>
      <c r="AG486" s="29" t="str">
        <f aca="false">IF(OR(G486="",G486="なし"),"",IF(AA486="経理区分別",BF486+BG486,""))</f>
        <v/>
      </c>
      <c r="AH486" s="27"/>
      <c r="AI486" s="29" t="str">
        <f aca="false">IF(OR(G486="",G486="なし"),"",IF(AA486="経理区分別",BH486+BI486+N(Z486),""))</f>
        <v/>
      </c>
      <c r="AJ486" s="27"/>
      <c r="AK486" s="26"/>
      <c r="AL486" s="26"/>
      <c r="AM486" s="30"/>
      <c r="AN486" s="31"/>
      <c r="AO486" s="31"/>
      <c r="AP486" s="31" t="n">
        <v>124440</v>
      </c>
      <c r="AQ486" s="31" t="n">
        <v>10200</v>
      </c>
      <c r="AR486" s="31" t="n">
        <v>127</v>
      </c>
      <c r="AS486" s="31"/>
      <c r="AT486" s="31" t="n">
        <v>74949</v>
      </c>
      <c r="AU486" s="31"/>
      <c r="AV486" s="31" t="n">
        <v>7031</v>
      </c>
      <c r="AW486" s="31"/>
      <c r="AX486" s="31" t="n">
        <v>1</v>
      </c>
      <c r="AY486" s="31" t="n">
        <f aca="false">IF($G486="",AN486,O486)</f>
        <v>0</v>
      </c>
      <c r="AZ486" s="31" t="n">
        <f aca="false">IF($G486="",AO486,P486)</f>
        <v>0</v>
      </c>
      <c r="BA486" s="31" t="n">
        <f aca="false">IF($G486="",AP486,T486)</f>
        <v>124440</v>
      </c>
      <c r="BB486" s="31" t="n">
        <f aca="false">IF($G486="",AQ486,U486)</f>
        <v>10200</v>
      </c>
      <c r="BC486" s="31" t="n">
        <f aca="false">IF($G486="",AR486,V486)</f>
        <v>127</v>
      </c>
      <c r="BD486" s="31" t="n">
        <f aca="false">IF($G486="",AS486,Q486)</f>
        <v>0</v>
      </c>
      <c r="BE486" s="31" t="n">
        <f aca="false">IF($G486="",AT486,W486)</f>
        <v>74949</v>
      </c>
      <c r="BF486" s="31" t="n">
        <f aca="false">IF($G486="",AU486,R486)</f>
        <v>0</v>
      </c>
      <c r="BG486" s="31" t="n">
        <f aca="false">IF($G486="",AV486,X486)</f>
        <v>7031</v>
      </c>
      <c r="BH486" s="31" t="n">
        <f aca="false">IF($G486="",AW486,S486)</f>
        <v>0</v>
      </c>
      <c r="BI486" s="31" t="n">
        <f aca="false">IF($G486="",AX486,Y486)</f>
        <v>1</v>
      </c>
      <c r="BJ486" s="31" t="n">
        <f aca="false">IF(CK486="N",BR486,ROUNDDOWN((I486-L486)*設定!$B$10/1000,0)+ROUNDDOWN((I486-L486)*設定!$B$11/1000,0))</f>
        <v>0</v>
      </c>
      <c r="BK486" s="31" t="n">
        <f aca="false">ROUNDDOWN((I486-L486)*設定!$C$10/1000,0)+ROUNDDOWN((I486-L486)*設定!$C$11/1000,0)+ROUNDDOWN(I486*設定!$C$12/1000,0)+IF(CL486="市局型",ROUNDDOWN(I486*設定!$C$16/1000,0),0)</f>
        <v>0</v>
      </c>
      <c r="BL486" s="31" t="n">
        <f aca="false">IF(CK486="N",BT486,ROUNDDOWN((J486-M486)*設定!$B$13/1000,0))</f>
        <v>0</v>
      </c>
      <c r="BM486" s="31" t="n">
        <f aca="false">ROUNDDOWN((J486-M486)*設定!$C$13/1000,0)+IF(CL486="市局型",ROUNDDOWN(J486*設定!$C$17/1000,0),0)</f>
        <v>0</v>
      </c>
      <c r="BN486" s="31" t="n">
        <f aca="false">IF(CK486="N",BV486,ROUNDDOWN((K486-N486)*設定!$B$14/1000,0))</f>
        <v>0</v>
      </c>
      <c r="BO486" s="31" t="n">
        <f aca="false">ROUNDDOWN((K486-N486)*設定!$C$14/1000,0)</f>
        <v>0</v>
      </c>
      <c r="BP486" s="31" t="n">
        <f aca="false">IF(CK486="N",BX486,ROUNDDOWN((J486-M486)*設定!$B$15/1000,0))</f>
        <v>0</v>
      </c>
      <c r="BQ486" s="31" t="n">
        <f aca="false">ROUNDDOWN((J486-M486)*設定!$C$15/1000,0)</f>
        <v>0</v>
      </c>
      <c r="BR486" s="31" t="n">
        <f aca="false">O486+P486</f>
        <v>0</v>
      </c>
      <c r="BS486" s="31" t="n">
        <f aca="false">T486+U486+V486</f>
        <v>0</v>
      </c>
      <c r="BT486" s="31" t="n">
        <f aca="false">Q486</f>
        <v>0</v>
      </c>
      <c r="BU486" s="31" t="n">
        <f aca="false">W486</f>
        <v>0</v>
      </c>
      <c r="BV486" s="31" t="n">
        <f aca="false">R486</f>
        <v>0</v>
      </c>
      <c r="BW486" s="31" t="n">
        <f aca="false">X486</f>
        <v>0</v>
      </c>
      <c r="BX486" s="31" t="n">
        <f aca="false">S486</f>
        <v>0</v>
      </c>
      <c r="BY486" s="31" t="n">
        <f aca="false">Y486</f>
        <v>0</v>
      </c>
      <c r="BZ486" s="32" t="n">
        <f aca="false">IF(BJ486=0,IF(BR486=0,0,1),(BR486-BJ486)/BJ486)</f>
        <v>0</v>
      </c>
      <c r="CA486" s="32" t="n">
        <f aca="false">IF(BK486=0,IF(BS486=0,0,1),(BS486-BK486)/BK486)</f>
        <v>0</v>
      </c>
      <c r="CB486" s="32" t="n">
        <f aca="false">IF(BL486=0,IF(BT486=0,0,1),(BT486-BL486)/BL486)</f>
        <v>0</v>
      </c>
      <c r="CC486" s="32" t="n">
        <f aca="false">IF(BM486=0,IF(BU486=0,0,1),(BU486-BM486)/BM486)</f>
        <v>0</v>
      </c>
      <c r="CD486" s="32" t="n">
        <f aca="false">IF(BN486=0,IF(BV486=0,0,1),(BV486-BN486)/BN486)</f>
        <v>0</v>
      </c>
      <c r="CE486" s="32" t="n">
        <f aca="false">IF(BO486=0,IF(BW486=0,0,1),(BW486-BO486)/BO486)</f>
        <v>0</v>
      </c>
      <c r="CF486" s="32" t="n">
        <f aca="false">IF(BP486=0,IF(BX486=0,0,1),(BX486-BP486)/BP486)</f>
        <v>0</v>
      </c>
      <c r="CG486" s="32" t="n">
        <f aca="false">IF(BQ486=0,IF(BY486=0,0,1),(BY486-BQ486)/BQ486)</f>
        <v>0</v>
      </c>
      <c r="CH486" s="32" t="n">
        <f aca="false">MAX(MAX(BZ486:CG486),-MIN(BZ486:CG486))</f>
        <v>-0</v>
      </c>
      <c r="CI486" s="31" t="n">
        <f aca="false">IF(CO486="","",SUMIFS($CJ$7:$CJ$696,$A$7:$A$696,CO486,$B$7:$B$696,B486))</f>
        <v>216748</v>
      </c>
      <c r="CJ486" s="31" t="n">
        <f aca="false">SUM(AY486:BI486)</f>
        <v>216748</v>
      </c>
      <c r="CK486" s="31" t="str">
        <f aca="false">IFERROR(INDEX(設定!$F$61:$F$106,MATCH(B486,設定!$B$61:$B$106,0)),"Y")</f>
        <v>N</v>
      </c>
      <c r="CL486" s="31" t="str">
        <f aca="false">IFERROR(INDEX(設定!$G$61:$G$106,MATCH(B486,設定!$B$61:$B$106,0)),"外郭型")</f>
        <v>外郭型</v>
      </c>
      <c r="CM486" s="33" t="str">
        <f aca="false">A486&amp;"|"&amp;B486</f>
        <v>2026-12 月例|都市整備公社　消防</v>
      </c>
      <c r="CN486" s="34" t="str">
        <f aca="false">IFERROR(INDEX(設定!$D$61:$D$106,MATCH(B486,設定!$B$61:$B$106,0)),"Y")</f>
        <v>Y</v>
      </c>
      <c r="CO486" s="34" t="str">
        <f aca="false">IFERROR(INDEX(設定!$D$20:$D$34,MATCH(A486,設定!$A$20:$A$34,0))&amp;"","")</f>
        <v>2026-11 月例</v>
      </c>
    </row>
    <row r="487" customFormat="false" ht="15" hidden="true" customHeight="false" outlineLevel="0" collapsed="false">
      <c r="A487" s="22" t="s">
        <v>226</v>
      </c>
      <c r="B487" s="23" t="s">
        <v>189</v>
      </c>
      <c r="C487" s="10" t="str">
        <f aca="false">IF(G487="","未受領",IF(G487="なし","報告なし",IF(AL487="○","起票済",IF(OR(AK487="○",F487="一致",F487="入金不要"),"入金確認済","受領済"))))</f>
        <v>未受領</v>
      </c>
      <c r="D487" s="10" t="str">
        <f aca="false">IF(OR(G487="",G487="なし"),"―",IF(CN487="N","対象外",IF(AND(I487="",J487="",K487=""),"標報未入力",IF(CH487&gt;=設定!$B$4,"要確認","問題なし"))))</f>
        <v>―</v>
      </c>
      <c r="E487" s="24" t="str">
        <f aca="false">IF(OR(G487="",G487="なし",CI487="",CJ487=0),"―",IF(CJ487=CI487,"前月同額",IF(CI487=0,"―",IF(ABS(CJ487/CI487-1)&gt;=設定!$B$5,"変動大 "&amp;TEXT(CJ487/CI487-1,"+0%;-0%"),"〇"))))</f>
        <v>―</v>
      </c>
      <c r="F487" s="10" t="str">
        <f aca="false">IF(OR(G487="",G487="なし"),"―",IF(CJ487=0,"入金不要",IF(COUNT(AD487,AF487,AH487,AJ487)=0,IF(AK487="○","手動確認","未入金"),IF(AND(N(AD487)=AC487,IF(AE487="",TRUE(),N(AF487)=AE487),IF(AG487="",TRUE(),N(AH487)=AG487),IF(AI487="",TRUE(),N(AJ487)=AI487)),"一致","不一致"))))</f>
        <v>―</v>
      </c>
      <c r="G487" s="25"/>
      <c r="H487" s="26"/>
      <c r="I487" s="27"/>
      <c r="J487" s="27"/>
      <c r="K487" s="27"/>
      <c r="L487" s="27"/>
      <c r="M487" s="27"/>
      <c r="N487" s="27"/>
      <c r="O487" s="27"/>
      <c r="P487" s="27"/>
      <c r="Q487" s="27"/>
      <c r="R487" s="27"/>
      <c r="S487" s="27"/>
      <c r="T487" s="27"/>
      <c r="U487" s="27"/>
      <c r="V487" s="27"/>
      <c r="W487" s="27"/>
      <c r="X487" s="27"/>
      <c r="Y487" s="27"/>
      <c r="Z487" s="27"/>
      <c r="AA487" s="10" t="str">
        <f aca="false">IFERROR(INDEX(設定!$E$61:$E$106,MATCH(B487,設定!$B$61:$B$106,0)),"合算")</f>
        <v>合算</v>
      </c>
      <c r="AB487" s="28"/>
      <c r="AC487" s="29" t="str">
        <f aca="false">IF(OR(G487="",G487="なし"),"",IF(AA487="合算",CJ487+N(Z487),IF(AA487="掛金・負担金別",(AY487+AZ487+BD487+BF487+BH487),SUM(AY487:BC487))))</f>
        <v/>
      </c>
      <c r="AD487" s="27"/>
      <c r="AE487" s="29" t="str">
        <f aca="false">IF(OR(G487="",G487="なし"),"",IF(AA487="掛金・負担金別",(BA487+BB487+BC487+BE487+BG487+BI487+N(Z487)),IF(AA487="経理区分別",BD487+BE487,"")))</f>
        <v/>
      </c>
      <c r="AF487" s="27"/>
      <c r="AG487" s="29" t="str">
        <f aca="false">IF(OR(G487="",G487="なし"),"",IF(AA487="経理区分別",BF487+BG487,""))</f>
        <v/>
      </c>
      <c r="AH487" s="27"/>
      <c r="AI487" s="29" t="str">
        <f aca="false">IF(OR(G487="",G487="なし"),"",IF(AA487="経理区分別",BH487+BI487+N(Z487),""))</f>
        <v/>
      </c>
      <c r="AJ487" s="27"/>
      <c r="AK487" s="26"/>
      <c r="AL487" s="26"/>
      <c r="AM487" s="30"/>
      <c r="AN487" s="31" t="n">
        <v>245220</v>
      </c>
      <c r="AO487" s="31" t="n">
        <v>20100</v>
      </c>
      <c r="AP487" s="31" t="n">
        <v>245220</v>
      </c>
      <c r="AQ487" s="31" t="n">
        <v>20100</v>
      </c>
      <c r="AR487" s="31" t="n">
        <v>251</v>
      </c>
      <c r="AS487" s="31" t="n">
        <v>147425</v>
      </c>
      <c r="AT487" s="31" t="n">
        <v>147694</v>
      </c>
      <c r="AU487" s="31" t="n">
        <v>9559</v>
      </c>
      <c r="AV487" s="31" t="n">
        <v>9559</v>
      </c>
      <c r="AW487" s="31" t="n">
        <v>1</v>
      </c>
      <c r="AX487" s="31" t="n">
        <v>1</v>
      </c>
      <c r="AY487" s="31" t="n">
        <f aca="false">IF($G487="",AN487,O487)</f>
        <v>245220</v>
      </c>
      <c r="AZ487" s="31" t="n">
        <f aca="false">IF($G487="",AO487,P487)</f>
        <v>20100</v>
      </c>
      <c r="BA487" s="31" t="n">
        <f aca="false">IF($G487="",AP487,T487)</f>
        <v>245220</v>
      </c>
      <c r="BB487" s="31" t="n">
        <f aca="false">IF($G487="",AQ487,U487)</f>
        <v>20100</v>
      </c>
      <c r="BC487" s="31" t="n">
        <f aca="false">IF($G487="",AR487,V487)</f>
        <v>251</v>
      </c>
      <c r="BD487" s="31" t="n">
        <f aca="false">IF($G487="",AS487,Q487)</f>
        <v>147425</v>
      </c>
      <c r="BE487" s="31" t="n">
        <f aca="false">IF($G487="",AT487,W487)</f>
        <v>147694</v>
      </c>
      <c r="BF487" s="31" t="n">
        <f aca="false">IF($G487="",AU487,R487)</f>
        <v>9559</v>
      </c>
      <c r="BG487" s="31" t="n">
        <f aca="false">IF($G487="",AV487,X487)</f>
        <v>9559</v>
      </c>
      <c r="BH487" s="31" t="n">
        <f aca="false">IF($G487="",AW487,S487)</f>
        <v>1</v>
      </c>
      <c r="BI487" s="31" t="n">
        <f aca="false">IF($G487="",AX487,Y487)</f>
        <v>1</v>
      </c>
      <c r="BJ487" s="31" t="n">
        <f aca="false">IF(CK487="N",BR487,ROUNDDOWN((I487-L487)*設定!$B$10/1000,0)+ROUNDDOWN((I487-L487)*設定!$B$11/1000,0))</f>
        <v>0</v>
      </c>
      <c r="BK487" s="31" t="n">
        <f aca="false">ROUNDDOWN((I487-L487)*設定!$C$10/1000,0)+ROUNDDOWN((I487-L487)*設定!$C$11/1000,0)+ROUNDDOWN(I487*設定!$C$12/1000,0)+IF(CL487="市局型",ROUNDDOWN(I487*設定!$C$16/1000,0),0)</f>
        <v>0</v>
      </c>
      <c r="BL487" s="31" t="n">
        <f aca="false">IF(CK487="N",BT487,ROUNDDOWN((J487-M487)*設定!$B$13/1000,0))</f>
        <v>0</v>
      </c>
      <c r="BM487" s="31" t="n">
        <f aca="false">ROUNDDOWN((J487-M487)*設定!$C$13/1000,0)+IF(CL487="市局型",ROUNDDOWN(J487*設定!$C$17/1000,0),0)</f>
        <v>0</v>
      </c>
      <c r="BN487" s="31" t="n">
        <f aca="false">IF(CK487="N",BV487,ROUNDDOWN((K487-N487)*設定!$B$14/1000,0))</f>
        <v>0</v>
      </c>
      <c r="BO487" s="31" t="n">
        <f aca="false">ROUNDDOWN((K487-N487)*設定!$C$14/1000,0)</f>
        <v>0</v>
      </c>
      <c r="BP487" s="31" t="n">
        <f aca="false">IF(CK487="N",BX487,ROUNDDOWN((J487-M487)*設定!$B$15/1000,0))</f>
        <v>0</v>
      </c>
      <c r="BQ487" s="31" t="n">
        <f aca="false">ROUNDDOWN((J487-M487)*設定!$C$15/1000,0)</f>
        <v>0</v>
      </c>
      <c r="BR487" s="31" t="n">
        <f aca="false">O487+P487</f>
        <v>0</v>
      </c>
      <c r="BS487" s="31" t="n">
        <f aca="false">T487+U487+V487</f>
        <v>0</v>
      </c>
      <c r="BT487" s="31" t="n">
        <f aca="false">Q487</f>
        <v>0</v>
      </c>
      <c r="BU487" s="31" t="n">
        <f aca="false">W487</f>
        <v>0</v>
      </c>
      <c r="BV487" s="31" t="n">
        <f aca="false">R487</f>
        <v>0</v>
      </c>
      <c r="BW487" s="31" t="n">
        <f aca="false">X487</f>
        <v>0</v>
      </c>
      <c r="BX487" s="31" t="n">
        <f aca="false">S487</f>
        <v>0</v>
      </c>
      <c r="BY487" s="31" t="n">
        <f aca="false">Y487</f>
        <v>0</v>
      </c>
      <c r="BZ487" s="32" t="n">
        <f aca="false">IF(BJ487=0,IF(BR487=0,0,1),(BR487-BJ487)/BJ487)</f>
        <v>0</v>
      </c>
      <c r="CA487" s="32" t="n">
        <f aca="false">IF(BK487=0,IF(BS487=0,0,1),(BS487-BK487)/BK487)</f>
        <v>0</v>
      </c>
      <c r="CB487" s="32" t="n">
        <f aca="false">IF(BL487=0,IF(BT487=0,0,1),(BT487-BL487)/BL487)</f>
        <v>0</v>
      </c>
      <c r="CC487" s="32" t="n">
        <f aca="false">IF(BM487=0,IF(BU487=0,0,1),(BU487-BM487)/BM487)</f>
        <v>0</v>
      </c>
      <c r="CD487" s="32" t="n">
        <f aca="false">IF(BN487=0,IF(BV487=0,0,1),(BV487-BN487)/BN487)</f>
        <v>0</v>
      </c>
      <c r="CE487" s="32" t="n">
        <f aca="false">IF(BO487=0,IF(BW487=0,0,1),(BW487-BO487)/BO487)</f>
        <v>0</v>
      </c>
      <c r="CF487" s="32" t="n">
        <f aca="false">IF(BP487=0,IF(BX487=0,0,1),(BX487-BP487)/BP487)</f>
        <v>0</v>
      </c>
      <c r="CG487" s="32" t="n">
        <f aca="false">IF(BQ487=0,IF(BY487=0,0,1),(BY487-BQ487)/BQ487)</f>
        <v>0</v>
      </c>
      <c r="CH487" s="32" t="n">
        <f aca="false">MAX(MAX(BZ487:CG487),-MIN(BZ487:CG487))</f>
        <v>-0</v>
      </c>
      <c r="CI487" s="31" t="n">
        <f aca="false">IF(CO487="","",SUMIFS($CJ$7:$CJ$696,$A$7:$A$696,CO487,$B$7:$B$696,B487))</f>
        <v>845130</v>
      </c>
      <c r="CJ487" s="31" t="n">
        <f aca="false">SUM(AY487:BI487)</f>
        <v>845130</v>
      </c>
      <c r="CK487" s="31" t="str">
        <f aca="false">IFERROR(INDEX(設定!$F$61:$F$106,MATCH(B487,設定!$B$61:$B$106,0)),"Y")</f>
        <v>Y</v>
      </c>
      <c r="CL487" s="31" t="str">
        <f aca="false">IFERROR(INDEX(設定!$G$61:$G$106,MATCH(B487,設定!$B$61:$B$106,0)),"外郭型")</f>
        <v>外郭型</v>
      </c>
      <c r="CM487" s="33" t="str">
        <f aca="false">A487&amp;"|"&amp;B487</f>
        <v>2026-12 月例|日本下水道事業団</v>
      </c>
      <c r="CN487" s="34" t="str">
        <f aca="false">IFERROR(INDEX(設定!$D$61:$D$106,MATCH(B487,設定!$B$61:$B$106,0)),"Y")</f>
        <v>Y</v>
      </c>
      <c r="CO487" s="34" t="str">
        <f aca="false">IFERROR(INDEX(設定!$D$20:$D$34,MATCH(A487,設定!$A$20:$A$34,0))&amp;"","")</f>
        <v>2026-11 月例</v>
      </c>
    </row>
    <row r="488" customFormat="false" ht="15" hidden="true" customHeight="false" outlineLevel="0" collapsed="false">
      <c r="A488" s="22" t="s">
        <v>226</v>
      </c>
      <c r="B488" s="23" t="s">
        <v>190</v>
      </c>
      <c r="C488" s="10" t="str">
        <f aca="false">IF(G488="","未受領",IF(G488="なし","報告なし",IF(AL488="○","起票済",IF(OR(AK488="○",F488="一致",F488="入金不要"),"入金確認済","受領済"))))</f>
        <v>未受領</v>
      </c>
      <c r="D488" s="10" t="str">
        <f aca="false">IF(OR(G488="",G488="なし"),"―",IF(CN488="N","対象外",IF(AND(I488="",J488="",K488=""),"標報未入力",IF(CH488&gt;=設定!$B$4,"要確認","問題なし"))))</f>
        <v>―</v>
      </c>
      <c r="E488" s="24" t="str">
        <f aca="false">IF(OR(G488="",G488="なし",CI488="",CJ488=0),"―",IF(CJ488=CI488,"前月同額",IF(CI488=0,"―",IF(ABS(CJ488/CI488-1)&gt;=設定!$B$5,"変動大 "&amp;TEXT(CJ488/CI488-1,"+0%;-0%"),"〇"))))</f>
        <v>―</v>
      </c>
      <c r="F488" s="10" t="str">
        <f aca="false">IF(OR(G488="",G488="なし"),"―",IF(CJ488=0,"入金不要",IF(COUNT(AD488,AF488,AH488,AJ488)=0,IF(AK488="○","手動確認","未入金"),IF(AND(N(AD488)=AC488,IF(AE488="",TRUE(),N(AF488)=AE488),IF(AG488="",TRUE(),N(AH488)=AG488),IF(AI488="",TRUE(),N(AJ488)=AI488)),"一致","不一致"))))</f>
        <v>―</v>
      </c>
      <c r="G488" s="25"/>
      <c r="H488" s="26"/>
      <c r="I488" s="27"/>
      <c r="J488" s="27"/>
      <c r="K488" s="27"/>
      <c r="L488" s="27"/>
      <c r="M488" s="27"/>
      <c r="N488" s="27"/>
      <c r="O488" s="27"/>
      <c r="P488" s="27"/>
      <c r="Q488" s="27"/>
      <c r="R488" s="27"/>
      <c r="S488" s="27"/>
      <c r="T488" s="27"/>
      <c r="U488" s="27"/>
      <c r="V488" s="27"/>
      <c r="W488" s="27"/>
      <c r="X488" s="27"/>
      <c r="Y488" s="27"/>
      <c r="Z488" s="27"/>
      <c r="AA488" s="10" t="str">
        <f aca="false">IFERROR(INDEX(設定!$E$61:$E$106,MATCH(B488,設定!$B$61:$B$106,0)),"合算")</f>
        <v>合算</v>
      </c>
      <c r="AB488" s="28"/>
      <c r="AC488" s="29" t="str">
        <f aca="false">IF(OR(G488="",G488="なし"),"",IF(AA488="合算",CJ488+N(Z488),IF(AA488="掛金・負担金別",(AY488+AZ488+BD488+BF488+BH488),SUM(AY488:BC488))))</f>
        <v/>
      </c>
      <c r="AD488" s="27"/>
      <c r="AE488" s="29" t="str">
        <f aca="false">IF(OR(G488="",G488="なし"),"",IF(AA488="掛金・負担金別",(BA488+BB488+BC488+BE488+BG488+BI488+N(Z488)),IF(AA488="経理区分別",BD488+BE488,"")))</f>
        <v/>
      </c>
      <c r="AF488" s="27"/>
      <c r="AG488" s="29" t="str">
        <f aca="false">IF(OR(G488="",G488="なし"),"",IF(AA488="経理区分別",BF488+BG488,""))</f>
        <v/>
      </c>
      <c r="AH488" s="27"/>
      <c r="AI488" s="29" t="str">
        <f aca="false">IF(OR(G488="",G488="なし"),"",IF(AA488="経理区分別",BH488+BI488+N(Z488),""))</f>
        <v/>
      </c>
      <c r="AJ488" s="27"/>
      <c r="AK488" s="26"/>
      <c r="AL488" s="26"/>
      <c r="AM488" s="30"/>
      <c r="AN488" s="31" t="n">
        <v>40260</v>
      </c>
      <c r="AO488" s="31" t="n">
        <v>3300</v>
      </c>
      <c r="AP488" s="31" t="n">
        <v>40260</v>
      </c>
      <c r="AQ488" s="31" t="n">
        <v>3300</v>
      </c>
      <c r="AR488" s="31" t="n">
        <v>41</v>
      </c>
      <c r="AS488" s="31" t="n">
        <v>24204</v>
      </c>
      <c r="AT488" s="31" t="n">
        <v>24248</v>
      </c>
      <c r="AU488" s="31" t="n">
        <v>0</v>
      </c>
      <c r="AV488" s="31" t="n">
        <v>0</v>
      </c>
      <c r="AW488" s="31" t="n">
        <v>1</v>
      </c>
      <c r="AX488" s="31" t="n">
        <v>1</v>
      </c>
      <c r="AY488" s="31" t="n">
        <f aca="false">IF($G488="",AN488,O488)</f>
        <v>40260</v>
      </c>
      <c r="AZ488" s="31" t="n">
        <f aca="false">IF($G488="",AO488,P488)</f>
        <v>3300</v>
      </c>
      <c r="BA488" s="31" t="n">
        <f aca="false">IF($G488="",AP488,T488)</f>
        <v>40260</v>
      </c>
      <c r="BB488" s="31" t="n">
        <f aca="false">IF($G488="",AQ488,U488)</f>
        <v>3300</v>
      </c>
      <c r="BC488" s="31" t="n">
        <f aca="false">IF($G488="",AR488,V488)</f>
        <v>41</v>
      </c>
      <c r="BD488" s="31" t="n">
        <f aca="false">IF($G488="",AS488,Q488)</f>
        <v>24204</v>
      </c>
      <c r="BE488" s="31" t="n">
        <f aca="false">IF($G488="",AT488,W488)</f>
        <v>24248</v>
      </c>
      <c r="BF488" s="31" t="n">
        <f aca="false">IF($G488="",AU488,R488)</f>
        <v>0</v>
      </c>
      <c r="BG488" s="31" t="n">
        <f aca="false">IF($G488="",AV488,X488)</f>
        <v>0</v>
      </c>
      <c r="BH488" s="31" t="n">
        <f aca="false">IF($G488="",AW488,S488)</f>
        <v>1</v>
      </c>
      <c r="BI488" s="31" t="n">
        <f aca="false">IF($G488="",AX488,Y488)</f>
        <v>1</v>
      </c>
      <c r="BJ488" s="31" t="n">
        <f aca="false">IF(CK488="N",BR488,ROUNDDOWN((I488-L488)*設定!$B$10/1000,0)+ROUNDDOWN((I488-L488)*設定!$B$11/1000,0))</f>
        <v>0</v>
      </c>
      <c r="BK488" s="31" t="n">
        <f aca="false">ROUNDDOWN((I488-L488)*設定!$C$10/1000,0)+ROUNDDOWN((I488-L488)*設定!$C$11/1000,0)+ROUNDDOWN(I488*設定!$C$12/1000,0)+IF(CL488="市局型",ROUNDDOWN(I488*設定!$C$16/1000,0),0)</f>
        <v>0</v>
      </c>
      <c r="BL488" s="31" t="n">
        <f aca="false">IF(CK488="N",BT488,ROUNDDOWN((J488-M488)*設定!$B$13/1000,0))</f>
        <v>0</v>
      </c>
      <c r="BM488" s="31" t="n">
        <f aca="false">ROUNDDOWN((J488-M488)*設定!$C$13/1000,0)+IF(CL488="市局型",ROUNDDOWN(J488*設定!$C$17/1000,0),0)</f>
        <v>0</v>
      </c>
      <c r="BN488" s="31" t="n">
        <f aca="false">IF(CK488="N",BV488,ROUNDDOWN((K488-N488)*設定!$B$14/1000,0))</f>
        <v>0</v>
      </c>
      <c r="BO488" s="31" t="n">
        <f aca="false">ROUNDDOWN((K488-N488)*設定!$C$14/1000,0)</f>
        <v>0</v>
      </c>
      <c r="BP488" s="31" t="n">
        <f aca="false">IF(CK488="N",BX488,ROUNDDOWN((J488-M488)*設定!$B$15/1000,0))</f>
        <v>0</v>
      </c>
      <c r="BQ488" s="31" t="n">
        <f aca="false">ROUNDDOWN((J488-M488)*設定!$C$15/1000,0)</f>
        <v>0</v>
      </c>
      <c r="BR488" s="31" t="n">
        <f aca="false">O488+P488</f>
        <v>0</v>
      </c>
      <c r="BS488" s="31" t="n">
        <f aca="false">T488+U488+V488</f>
        <v>0</v>
      </c>
      <c r="BT488" s="31" t="n">
        <f aca="false">Q488</f>
        <v>0</v>
      </c>
      <c r="BU488" s="31" t="n">
        <f aca="false">W488</f>
        <v>0</v>
      </c>
      <c r="BV488" s="31" t="n">
        <f aca="false">R488</f>
        <v>0</v>
      </c>
      <c r="BW488" s="31" t="n">
        <f aca="false">X488</f>
        <v>0</v>
      </c>
      <c r="BX488" s="31" t="n">
        <f aca="false">S488</f>
        <v>0</v>
      </c>
      <c r="BY488" s="31" t="n">
        <f aca="false">Y488</f>
        <v>0</v>
      </c>
      <c r="BZ488" s="32" t="n">
        <f aca="false">IF(BJ488=0,IF(BR488=0,0,1),(BR488-BJ488)/BJ488)</f>
        <v>0</v>
      </c>
      <c r="CA488" s="32" t="n">
        <f aca="false">IF(BK488=0,IF(BS488=0,0,1),(BS488-BK488)/BK488)</f>
        <v>0</v>
      </c>
      <c r="CB488" s="32" t="n">
        <f aca="false">IF(BL488=0,IF(BT488=0,0,1),(BT488-BL488)/BL488)</f>
        <v>0</v>
      </c>
      <c r="CC488" s="32" t="n">
        <f aca="false">IF(BM488=0,IF(BU488=0,0,1),(BU488-BM488)/BM488)</f>
        <v>0</v>
      </c>
      <c r="CD488" s="32" t="n">
        <f aca="false">IF(BN488=0,IF(BV488=0,0,1),(BV488-BN488)/BN488)</f>
        <v>0</v>
      </c>
      <c r="CE488" s="32" t="n">
        <f aca="false">IF(BO488=0,IF(BW488=0,0,1),(BW488-BO488)/BO488)</f>
        <v>0</v>
      </c>
      <c r="CF488" s="32" t="n">
        <f aca="false">IF(BP488=0,IF(BX488=0,0,1),(BX488-BP488)/BP488)</f>
        <v>0</v>
      </c>
      <c r="CG488" s="32" t="n">
        <f aca="false">IF(BQ488=0,IF(BY488=0,0,1),(BY488-BQ488)/BQ488)</f>
        <v>0</v>
      </c>
      <c r="CH488" s="32" t="n">
        <f aca="false">MAX(MAX(BZ488:CG488),-MIN(BZ488:CG488))</f>
        <v>-0</v>
      </c>
      <c r="CI488" s="31" t="n">
        <f aca="false">IF(CO488="","",SUMIFS($CJ$7:$CJ$696,$A$7:$A$696,CO488,$B$7:$B$696,B488))</f>
        <v>135615</v>
      </c>
      <c r="CJ488" s="31" t="n">
        <f aca="false">SUM(AY488:BI488)</f>
        <v>135615</v>
      </c>
      <c r="CK488" s="31" t="str">
        <f aca="false">IFERROR(INDEX(設定!$F$61:$F$106,MATCH(B488,設定!$B$61:$B$106,0)),"Y")</f>
        <v>Y</v>
      </c>
      <c r="CL488" s="31" t="str">
        <f aca="false">IFERROR(INDEX(設定!$G$61:$G$106,MATCH(B488,設定!$B$61:$B$106,0)),"外郭型")</f>
        <v>外郭型</v>
      </c>
      <c r="CM488" s="33" t="str">
        <f aca="false">A488&amp;"|"&amp;B488</f>
        <v>2026-12 月例|地方公務員災害補償基金本部</v>
      </c>
      <c r="CN488" s="34" t="str">
        <f aca="false">IFERROR(INDEX(設定!$D$61:$D$106,MATCH(B488,設定!$B$61:$B$106,0)),"Y")</f>
        <v>Y</v>
      </c>
      <c r="CO488" s="34" t="str">
        <f aca="false">IFERROR(INDEX(設定!$D$20:$D$34,MATCH(A488,設定!$A$20:$A$34,0))&amp;"","")</f>
        <v>2026-11 月例</v>
      </c>
    </row>
    <row r="489" customFormat="false" ht="15" hidden="true" customHeight="false" outlineLevel="0" collapsed="false">
      <c r="A489" s="22" t="s">
        <v>226</v>
      </c>
      <c r="B489" s="23" t="s">
        <v>191</v>
      </c>
      <c r="C489" s="10" t="str">
        <f aca="false">IF(G489="","未受領",IF(G489="なし","報告なし",IF(AL489="○","起票済",IF(OR(AK489="○",F489="一致",F489="入金不要"),"入金確認済","受領済"))))</f>
        <v>未受領</v>
      </c>
      <c r="D489" s="10" t="str">
        <f aca="false">IF(OR(G489="",G489="なし"),"―",IF(CN489="N","対象外",IF(AND(I489="",J489="",K489=""),"標報未入力",IF(CH489&gt;=設定!$B$4,"要確認","問題なし"))))</f>
        <v>―</v>
      </c>
      <c r="E489" s="24" t="str">
        <f aca="false">IF(OR(G489="",G489="なし",CI489="",CJ489=0),"―",IF(CJ489=CI489,"前月同額",IF(CI489=0,"―",IF(ABS(CJ489/CI489-1)&gt;=設定!$B$5,"変動大 "&amp;TEXT(CJ489/CI489-1,"+0%;-0%"),"〇"))))</f>
        <v>―</v>
      </c>
      <c r="F489" s="10" t="str">
        <f aca="false">IF(OR(G489="",G489="なし"),"―",IF(CJ489=0,"入金不要",IF(COUNT(AD489,AF489,AH489,AJ489)=0,IF(AK489="○","手動確認","未入金"),IF(AND(N(AD489)=AC489,IF(AE489="",TRUE(),N(AF489)=AE489),IF(AG489="",TRUE(),N(AH489)=AG489),IF(AI489="",TRUE(),N(AJ489)=AI489)),"一致","不一致"))))</f>
        <v>―</v>
      </c>
      <c r="G489" s="25"/>
      <c r="H489" s="26"/>
      <c r="I489" s="27"/>
      <c r="J489" s="27"/>
      <c r="K489" s="27"/>
      <c r="L489" s="27"/>
      <c r="M489" s="27"/>
      <c r="N489" s="27"/>
      <c r="O489" s="27"/>
      <c r="P489" s="27"/>
      <c r="Q489" s="27"/>
      <c r="R489" s="27"/>
      <c r="S489" s="27"/>
      <c r="T489" s="27"/>
      <c r="U489" s="27"/>
      <c r="V489" s="27"/>
      <c r="W489" s="27"/>
      <c r="X489" s="27"/>
      <c r="Y489" s="27"/>
      <c r="Z489" s="27"/>
      <c r="AA489" s="10" t="str">
        <f aca="false">IFERROR(INDEX(設定!$E$61:$E$106,MATCH(B489,設定!$B$61:$B$106,0)),"合算")</f>
        <v>合算</v>
      </c>
      <c r="AB489" s="28"/>
      <c r="AC489" s="29" t="str">
        <f aca="false">IF(OR(G489="",G489="なし"),"",IF(AA489="合算",CJ489+N(Z489),IF(AA489="掛金・負担金別",(AY489+AZ489+BD489+BF489+BH489),SUM(AY489:BC489))))</f>
        <v/>
      </c>
      <c r="AD489" s="27"/>
      <c r="AE489" s="29" t="str">
        <f aca="false">IF(OR(G489="",G489="なし"),"",IF(AA489="掛金・負担金別",(BA489+BB489+BC489+BE489+BG489+BI489+N(Z489)),IF(AA489="経理区分別",BD489+BE489,"")))</f>
        <v/>
      </c>
      <c r="AF489" s="27"/>
      <c r="AG489" s="29" t="str">
        <f aca="false">IF(OR(G489="",G489="なし"),"",IF(AA489="経理区分別",BF489+BG489,""))</f>
        <v/>
      </c>
      <c r="AH489" s="27"/>
      <c r="AI489" s="29" t="str">
        <f aca="false">IF(OR(G489="",G489="なし"),"",IF(AA489="経理区分別",BH489+BI489+N(Z489),""))</f>
        <v/>
      </c>
      <c r="AJ489" s="27"/>
      <c r="AK489" s="26"/>
      <c r="AL489" s="26"/>
      <c r="AM489" s="30"/>
      <c r="AN489" s="31" t="n">
        <v>102480</v>
      </c>
      <c r="AO489" s="31" t="n">
        <v>8400</v>
      </c>
      <c r="AP489" s="31" t="n">
        <v>102480</v>
      </c>
      <c r="AQ489" s="31" t="n">
        <v>8400</v>
      </c>
      <c r="AR489" s="31" t="n">
        <v>105</v>
      </c>
      <c r="AS489" s="31" t="n">
        <v>61610</v>
      </c>
      <c r="AT489" s="31" t="n">
        <v>61723</v>
      </c>
      <c r="AU489" s="31" t="n">
        <v>4661</v>
      </c>
      <c r="AV489" s="31" t="n">
        <v>4661</v>
      </c>
      <c r="AW489" s="31" t="n">
        <v>1</v>
      </c>
      <c r="AX489" s="31" t="n">
        <v>1</v>
      </c>
      <c r="AY489" s="31" t="n">
        <f aca="false">IF($G489="",AN489,O489)</f>
        <v>102480</v>
      </c>
      <c r="AZ489" s="31" t="n">
        <f aca="false">IF($G489="",AO489,P489)</f>
        <v>8400</v>
      </c>
      <c r="BA489" s="31" t="n">
        <f aca="false">IF($G489="",AP489,T489)</f>
        <v>102480</v>
      </c>
      <c r="BB489" s="31" t="n">
        <f aca="false">IF($G489="",AQ489,U489)</f>
        <v>8400</v>
      </c>
      <c r="BC489" s="31" t="n">
        <f aca="false">IF($G489="",AR489,V489)</f>
        <v>105</v>
      </c>
      <c r="BD489" s="31" t="n">
        <f aca="false">IF($G489="",AS489,Q489)</f>
        <v>61610</v>
      </c>
      <c r="BE489" s="31" t="n">
        <f aca="false">IF($G489="",AT489,W489)</f>
        <v>61723</v>
      </c>
      <c r="BF489" s="31" t="n">
        <f aca="false">IF($G489="",AU489,R489)</f>
        <v>4661</v>
      </c>
      <c r="BG489" s="31" t="n">
        <f aca="false">IF($G489="",AV489,X489)</f>
        <v>4661</v>
      </c>
      <c r="BH489" s="31" t="n">
        <f aca="false">IF($G489="",AW489,S489)</f>
        <v>1</v>
      </c>
      <c r="BI489" s="31" t="n">
        <f aca="false">IF($G489="",AX489,Y489)</f>
        <v>1</v>
      </c>
      <c r="BJ489" s="31" t="n">
        <f aca="false">IF(CK489="N",BR489,ROUNDDOWN((I489-L489)*設定!$B$10/1000,0)+ROUNDDOWN((I489-L489)*設定!$B$11/1000,0))</f>
        <v>0</v>
      </c>
      <c r="BK489" s="31" t="n">
        <f aca="false">ROUNDDOWN((I489-L489)*設定!$C$10/1000,0)+ROUNDDOWN((I489-L489)*設定!$C$11/1000,0)+ROUNDDOWN(I489*設定!$C$12/1000,0)+IF(CL489="市局型",ROUNDDOWN(I489*設定!$C$16/1000,0),0)</f>
        <v>0</v>
      </c>
      <c r="BL489" s="31" t="n">
        <f aca="false">IF(CK489="N",BT489,ROUNDDOWN((J489-M489)*設定!$B$13/1000,0))</f>
        <v>0</v>
      </c>
      <c r="BM489" s="31" t="n">
        <f aca="false">ROUNDDOWN((J489-M489)*設定!$C$13/1000,0)+IF(CL489="市局型",ROUNDDOWN(J489*設定!$C$17/1000,0),0)</f>
        <v>0</v>
      </c>
      <c r="BN489" s="31" t="n">
        <f aca="false">IF(CK489="N",BV489,ROUNDDOWN((K489-N489)*設定!$B$14/1000,0))</f>
        <v>0</v>
      </c>
      <c r="BO489" s="31" t="n">
        <f aca="false">ROUNDDOWN((K489-N489)*設定!$C$14/1000,0)</f>
        <v>0</v>
      </c>
      <c r="BP489" s="31" t="n">
        <f aca="false">IF(CK489="N",BX489,ROUNDDOWN((J489-M489)*設定!$B$15/1000,0))</f>
        <v>0</v>
      </c>
      <c r="BQ489" s="31" t="n">
        <f aca="false">ROUNDDOWN((J489-M489)*設定!$C$15/1000,0)</f>
        <v>0</v>
      </c>
      <c r="BR489" s="31" t="n">
        <f aca="false">O489+P489</f>
        <v>0</v>
      </c>
      <c r="BS489" s="31" t="n">
        <f aca="false">T489+U489+V489</f>
        <v>0</v>
      </c>
      <c r="BT489" s="31" t="n">
        <f aca="false">Q489</f>
        <v>0</v>
      </c>
      <c r="BU489" s="31" t="n">
        <f aca="false">W489</f>
        <v>0</v>
      </c>
      <c r="BV489" s="31" t="n">
        <f aca="false">R489</f>
        <v>0</v>
      </c>
      <c r="BW489" s="31" t="n">
        <f aca="false">X489</f>
        <v>0</v>
      </c>
      <c r="BX489" s="31" t="n">
        <f aca="false">S489</f>
        <v>0</v>
      </c>
      <c r="BY489" s="31" t="n">
        <f aca="false">Y489</f>
        <v>0</v>
      </c>
      <c r="BZ489" s="32" t="n">
        <f aca="false">IF(BJ489=0,IF(BR489=0,0,1),(BR489-BJ489)/BJ489)</f>
        <v>0</v>
      </c>
      <c r="CA489" s="32" t="n">
        <f aca="false">IF(BK489=0,IF(BS489=0,0,1),(BS489-BK489)/BK489)</f>
        <v>0</v>
      </c>
      <c r="CB489" s="32" t="n">
        <f aca="false">IF(BL489=0,IF(BT489=0,0,1),(BT489-BL489)/BL489)</f>
        <v>0</v>
      </c>
      <c r="CC489" s="32" t="n">
        <f aca="false">IF(BM489=0,IF(BU489=0,0,1),(BU489-BM489)/BM489)</f>
        <v>0</v>
      </c>
      <c r="CD489" s="32" t="n">
        <f aca="false">IF(BN489=0,IF(BV489=0,0,1),(BV489-BN489)/BN489)</f>
        <v>0</v>
      </c>
      <c r="CE489" s="32" t="n">
        <f aca="false">IF(BO489=0,IF(BW489=0,0,1),(BW489-BO489)/BO489)</f>
        <v>0</v>
      </c>
      <c r="CF489" s="32" t="n">
        <f aca="false">IF(BP489=0,IF(BX489=0,0,1),(BX489-BP489)/BP489)</f>
        <v>0</v>
      </c>
      <c r="CG489" s="32" t="n">
        <f aca="false">IF(BQ489=0,IF(BY489=0,0,1),(BY489-BQ489)/BQ489)</f>
        <v>0</v>
      </c>
      <c r="CH489" s="32" t="n">
        <f aca="false">MAX(MAX(BZ489:CG489),-MIN(BZ489:CG489))</f>
        <v>-0</v>
      </c>
      <c r="CI489" s="31" t="n">
        <f aca="false">IF(CO489="","",SUMIFS($CJ$7:$CJ$696,$A$7:$A$696,CO489,$B$7:$B$696,B489))</f>
        <v>354522</v>
      </c>
      <c r="CJ489" s="31" t="n">
        <f aca="false">SUM(AY489:BI489)</f>
        <v>354522</v>
      </c>
      <c r="CK489" s="31" t="str">
        <f aca="false">IFERROR(INDEX(設定!$F$61:$F$106,MATCH(B489,設定!$B$61:$B$106,0)),"Y")</f>
        <v>Y</v>
      </c>
      <c r="CL489" s="31" t="str">
        <f aca="false">IFERROR(INDEX(設定!$G$61:$G$106,MATCH(B489,設定!$B$61:$B$106,0)),"外郭型")</f>
        <v>外郭型</v>
      </c>
      <c r="CM489" s="33" t="str">
        <f aca="false">A489&amp;"|"&amp;B489</f>
        <v>2026-12 月例|救急振興財団</v>
      </c>
      <c r="CN489" s="34" t="str">
        <f aca="false">IFERROR(INDEX(設定!$D$61:$D$106,MATCH(B489,設定!$B$61:$B$106,0)),"Y")</f>
        <v>Y</v>
      </c>
      <c r="CO489" s="34" t="str">
        <f aca="false">IFERROR(INDEX(設定!$D$20:$D$34,MATCH(A489,設定!$A$20:$A$34,0))&amp;"","")</f>
        <v>2026-11 月例</v>
      </c>
    </row>
    <row r="490" customFormat="false" ht="15" hidden="true" customHeight="false" outlineLevel="0" collapsed="false">
      <c r="A490" s="22" t="s">
        <v>226</v>
      </c>
      <c r="B490" s="23" t="s">
        <v>192</v>
      </c>
      <c r="C490" s="10" t="str">
        <f aca="false">IF(G490="","未受領",IF(G490="なし","報告なし",IF(AL490="○","起票済",IF(OR(AK490="○",F490="一致",F490="入金不要"),"入金確認済","受領済"))))</f>
        <v>未受領</v>
      </c>
      <c r="D490" s="10" t="str">
        <f aca="false">IF(OR(G490="",G490="なし"),"―",IF(CN490="N","対象外",IF(AND(I490="",J490="",K490=""),"標報未入力",IF(CH490&gt;=設定!$B$4,"要確認","問題なし"))))</f>
        <v>―</v>
      </c>
      <c r="E490" s="24" t="str">
        <f aca="false">IF(OR(G490="",G490="なし",CI490="",CJ490=0),"―",IF(CJ490=CI490,"前月同額",IF(CI490=0,"―",IF(ABS(CJ490/CI490-1)&gt;=設定!$B$5,"変動大 "&amp;TEXT(CJ490/CI490-1,"+0%;-0%"),"〇"))))</f>
        <v>―</v>
      </c>
      <c r="F490" s="10" t="str">
        <f aca="false">IF(OR(G490="",G490="なし"),"―",IF(CJ490=0,"入金不要",IF(COUNT(AD490,AF490,AH490,AJ490)=0,IF(AK490="○","手動確認","未入金"),IF(AND(N(AD490)=AC490,IF(AE490="",TRUE(),N(AF490)=AE490),IF(AG490="",TRUE(),N(AH490)=AG490),IF(AI490="",TRUE(),N(AJ490)=AI490)),"一致","不一致"))))</f>
        <v>―</v>
      </c>
      <c r="G490" s="25"/>
      <c r="H490" s="26"/>
      <c r="I490" s="27"/>
      <c r="J490" s="27"/>
      <c r="K490" s="27"/>
      <c r="L490" s="27"/>
      <c r="M490" s="27"/>
      <c r="N490" s="27"/>
      <c r="O490" s="27"/>
      <c r="P490" s="27"/>
      <c r="Q490" s="27"/>
      <c r="R490" s="27"/>
      <c r="S490" s="27"/>
      <c r="T490" s="27"/>
      <c r="U490" s="27"/>
      <c r="V490" s="27"/>
      <c r="W490" s="27"/>
      <c r="X490" s="27"/>
      <c r="Y490" s="27"/>
      <c r="Z490" s="27"/>
      <c r="AA490" s="10" t="str">
        <f aca="false">IFERROR(INDEX(設定!$E$61:$E$106,MATCH(B490,設定!$B$61:$B$106,0)),"合算")</f>
        <v>合算</v>
      </c>
      <c r="AB490" s="28"/>
      <c r="AC490" s="29" t="str">
        <f aca="false">IF(OR(G490="",G490="なし"),"",IF(AA490="合算",CJ490+N(Z490),IF(AA490="掛金・負担金別",(AY490+AZ490+BD490+BF490+BH490),SUM(AY490:BC490))))</f>
        <v/>
      </c>
      <c r="AD490" s="27"/>
      <c r="AE490" s="29" t="str">
        <f aca="false">IF(OR(G490="",G490="なし"),"",IF(AA490="掛金・負担金別",(BA490+BB490+BC490+BE490+BG490+BI490+N(Z490)),IF(AA490="経理区分別",BD490+BE490,"")))</f>
        <v/>
      </c>
      <c r="AF490" s="27"/>
      <c r="AG490" s="29" t="str">
        <f aca="false">IF(OR(G490="",G490="なし"),"",IF(AA490="経理区分別",BF490+BG490,""))</f>
        <v/>
      </c>
      <c r="AH490" s="27"/>
      <c r="AI490" s="29" t="str">
        <f aca="false">IF(OR(G490="",G490="なし"),"",IF(AA490="経理区分別",BH490+BI490+N(Z490),""))</f>
        <v/>
      </c>
      <c r="AJ490" s="27"/>
      <c r="AK490" s="26"/>
      <c r="AL490" s="26"/>
      <c r="AM490" s="30"/>
      <c r="AN490" s="31" t="n">
        <v>912255</v>
      </c>
      <c r="AO490" s="31" t="n">
        <v>74775</v>
      </c>
      <c r="AP490" s="31" t="n">
        <v>912255</v>
      </c>
      <c r="AQ490" s="31" t="n">
        <v>74775</v>
      </c>
      <c r="AR490" s="31" t="n">
        <v>936</v>
      </c>
      <c r="AS490" s="31" t="n">
        <v>548442</v>
      </c>
      <c r="AT490" s="31" t="n">
        <v>549446</v>
      </c>
      <c r="AU490" s="31" t="n">
        <v>50086</v>
      </c>
      <c r="AV490" s="31" t="n">
        <v>50086</v>
      </c>
      <c r="AW490" s="31" t="n">
        <v>1</v>
      </c>
      <c r="AX490" s="31" t="n">
        <v>1</v>
      </c>
      <c r="AY490" s="31" t="n">
        <f aca="false">IF($G490="",AN490,O490)</f>
        <v>912255</v>
      </c>
      <c r="AZ490" s="31" t="n">
        <f aca="false">IF($G490="",AO490,P490)</f>
        <v>74775</v>
      </c>
      <c r="BA490" s="31" t="n">
        <f aca="false">IF($G490="",AP490,T490)</f>
        <v>912255</v>
      </c>
      <c r="BB490" s="31" t="n">
        <f aca="false">IF($G490="",AQ490,U490)</f>
        <v>74775</v>
      </c>
      <c r="BC490" s="31" t="n">
        <f aca="false">IF($G490="",AR490,V490)</f>
        <v>936</v>
      </c>
      <c r="BD490" s="31" t="n">
        <f aca="false">IF($G490="",AS490,Q490)</f>
        <v>548442</v>
      </c>
      <c r="BE490" s="31" t="n">
        <f aca="false">IF($G490="",AT490,W490)</f>
        <v>549446</v>
      </c>
      <c r="BF490" s="31" t="n">
        <f aca="false">IF($G490="",AU490,R490)</f>
        <v>50086</v>
      </c>
      <c r="BG490" s="31" t="n">
        <f aca="false">IF($G490="",AV490,X490)</f>
        <v>50086</v>
      </c>
      <c r="BH490" s="31" t="n">
        <f aca="false">IF($G490="",AW490,S490)</f>
        <v>1</v>
      </c>
      <c r="BI490" s="31" t="n">
        <f aca="false">IF($G490="",AX490,Y490)</f>
        <v>1</v>
      </c>
      <c r="BJ490" s="31" t="n">
        <f aca="false">IF(CK490="N",BR490,ROUNDDOWN((I490-L490)*設定!$B$10/1000,0)+ROUNDDOWN((I490-L490)*設定!$B$11/1000,0))</f>
        <v>0</v>
      </c>
      <c r="BK490" s="31" t="n">
        <f aca="false">ROUNDDOWN((I490-L490)*設定!$C$10/1000,0)+ROUNDDOWN((I490-L490)*設定!$C$11/1000,0)+ROUNDDOWN(I490*設定!$C$12/1000,0)+IF(CL490="市局型",ROUNDDOWN(I490*設定!$C$16/1000,0),0)</f>
        <v>0</v>
      </c>
      <c r="BL490" s="31" t="n">
        <f aca="false">IF(CK490="N",BT490,ROUNDDOWN((J490-M490)*設定!$B$13/1000,0))</f>
        <v>0</v>
      </c>
      <c r="BM490" s="31" t="n">
        <f aca="false">ROUNDDOWN((J490-M490)*設定!$C$13/1000,0)+IF(CL490="市局型",ROUNDDOWN(J490*設定!$C$17/1000,0),0)</f>
        <v>0</v>
      </c>
      <c r="BN490" s="31" t="n">
        <f aca="false">IF(CK490="N",BV490,ROUNDDOWN((K490-N490)*設定!$B$14/1000,0))</f>
        <v>0</v>
      </c>
      <c r="BO490" s="31" t="n">
        <f aca="false">ROUNDDOWN((K490-N490)*設定!$C$14/1000,0)</f>
        <v>0</v>
      </c>
      <c r="BP490" s="31" t="n">
        <f aca="false">IF(CK490="N",BX490,ROUNDDOWN((J490-M490)*設定!$B$15/1000,0))</f>
        <v>0</v>
      </c>
      <c r="BQ490" s="31" t="n">
        <f aca="false">ROUNDDOWN((J490-M490)*設定!$C$15/1000,0)</f>
        <v>0</v>
      </c>
      <c r="BR490" s="31" t="n">
        <f aca="false">O490+P490</f>
        <v>0</v>
      </c>
      <c r="BS490" s="31" t="n">
        <f aca="false">T490+U490+V490</f>
        <v>0</v>
      </c>
      <c r="BT490" s="31" t="n">
        <f aca="false">Q490</f>
        <v>0</v>
      </c>
      <c r="BU490" s="31" t="n">
        <f aca="false">W490</f>
        <v>0</v>
      </c>
      <c r="BV490" s="31" t="n">
        <f aca="false">R490</f>
        <v>0</v>
      </c>
      <c r="BW490" s="31" t="n">
        <f aca="false">X490</f>
        <v>0</v>
      </c>
      <c r="BX490" s="31" t="n">
        <f aca="false">S490</f>
        <v>0</v>
      </c>
      <c r="BY490" s="31" t="n">
        <f aca="false">Y490</f>
        <v>0</v>
      </c>
      <c r="BZ490" s="32" t="n">
        <f aca="false">IF(BJ490=0,IF(BR490=0,0,1),(BR490-BJ490)/BJ490)</f>
        <v>0</v>
      </c>
      <c r="CA490" s="32" t="n">
        <f aca="false">IF(BK490=0,IF(BS490=0,0,1),(BS490-BK490)/BK490)</f>
        <v>0</v>
      </c>
      <c r="CB490" s="32" t="n">
        <f aca="false">IF(BL490=0,IF(BT490=0,0,1),(BT490-BL490)/BL490)</f>
        <v>0</v>
      </c>
      <c r="CC490" s="32" t="n">
        <f aca="false">IF(BM490=0,IF(BU490=0,0,1),(BU490-BM490)/BM490)</f>
        <v>0</v>
      </c>
      <c r="CD490" s="32" t="n">
        <f aca="false">IF(BN490=0,IF(BV490=0,0,1),(BV490-BN490)/BN490)</f>
        <v>0</v>
      </c>
      <c r="CE490" s="32" t="n">
        <f aca="false">IF(BO490=0,IF(BW490=0,0,1),(BW490-BO490)/BO490)</f>
        <v>0</v>
      </c>
      <c r="CF490" s="32" t="n">
        <f aca="false">IF(BP490=0,IF(BX490=0,0,1),(BX490-BP490)/BP490)</f>
        <v>0</v>
      </c>
      <c r="CG490" s="32" t="n">
        <f aca="false">IF(BQ490=0,IF(BY490=0,0,1),(BY490-BQ490)/BQ490)</f>
        <v>0</v>
      </c>
      <c r="CH490" s="32" t="n">
        <f aca="false">MAX(MAX(BZ490:CG490),-MIN(BZ490:CG490))</f>
        <v>-0</v>
      </c>
      <c r="CI490" s="31" t="n">
        <f aca="false">IF(CO490="","",SUMIFS($CJ$7:$CJ$696,$A$7:$A$696,CO490,$B$7:$B$696,B490))</f>
        <v>3173058</v>
      </c>
      <c r="CJ490" s="31" t="n">
        <f aca="false">SUM(AY490:BI490)</f>
        <v>3173058</v>
      </c>
      <c r="CK490" s="31" t="str">
        <f aca="false">IFERROR(INDEX(設定!$F$61:$F$106,MATCH(B490,設定!$B$61:$B$106,0)),"Y")</f>
        <v>Y</v>
      </c>
      <c r="CL490" s="31" t="str">
        <f aca="false">IFERROR(INDEX(設定!$G$61:$G$106,MATCH(B490,設定!$B$61:$B$106,0)),"外郭型")</f>
        <v>外郭型</v>
      </c>
      <c r="CM490" s="33" t="str">
        <f aca="false">A490&amp;"|"&amp;B490</f>
        <v>2026-12 月例|高速道路公社</v>
      </c>
      <c r="CN490" s="34" t="str">
        <f aca="false">IFERROR(INDEX(設定!$D$61:$D$106,MATCH(B490,設定!$B$61:$B$106,0)),"Y")</f>
        <v>Y</v>
      </c>
      <c r="CO490" s="34" t="str">
        <f aca="false">IFERROR(INDEX(設定!$D$20:$D$34,MATCH(A490,設定!$A$20:$A$34,0))&amp;"","")</f>
        <v>2026-11 月例</v>
      </c>
    </row>
    <row r="491" customFormat="false" ht="15" hidden="true" customHeight="false" outlineLevel="0" collapsed="false">
      <c r="A491" s="22" t="s">
        <v>226</v>
      </c>
      <c r="B491" s="23" t="s">
        <v>193</v>
      </c>
      <c r="C491" s="10" t="str">
        <f aca="false">IF(G491="","未受領",IF(G491="なし","報告なし",IF(AL491="○","起票済",IF(OR(AK491="○",F491="一致",F491="入金不要"),"入金確認済","受領済"))))</f>
        <v>未受領</v>
      </c>
      <c r="D491" s="10" t="str">
        <f aca="false">IF(OR(G491="",G491="なし"),"―",IF(CN491="N","対象外",IF(AND(I491="",J491="",K491=""),"標報未入力",IF(CH491&gt;=設定!$B$4,"要確認","問題なし"))))</f>
        <v>―</v>
      </c>
      <c r="E491" s="24" t="str">
        <f aca="false">IF(OR(G491="",G491="なし",CI491="",CJ491=0),"―",IF(CJ491=CI491,"前月同額",IF(CI491=0,"―",IF(ABS(CJ491/CI491-1)&gt;=設定!$B$5,"変動大 "&amp;TEXT(CJ491/CI491-1,"+0%;-0%"),"〇"))))</f>
        <v>―</v>
      </c>
      <c r="F491" s="10" t="str">
        <f aca="false">IF(OR(G491="",G491="なし"),"―",IF(CJ491=0,"入金不要",IF(COUNT(AD491,AF491,AH491,AJ491)=0,IF(AK491="○","手動確認","未入金"),IF(AND(N(AD491)=AC491,IF(AE491="",TRUE(),N(AF491)=AE491),IF(AG491="",TRUE(),N(AH491)=AG491),IF(AI491="",TRUE(),N(AJ491)=AI491)),"一致","不一致"))))</f>
        <v>―</v>
      </c>
      <c r="G491" s="25"/>
      <c r="H491" s="26"/>
      <c r="I491" s="27"/>
      <c r="J491" s="27"/>
      <c r="K491" s="27"/>
      <c r="L491" s="27"/>
      <c r="M491" s="27"/>
      <c r="N491" s="27"/>
      <c r="O491" s="27"/>
      <c r="P491" s="27"/>
      <c r="Q491" s="27"/>
      <c r="R491" s="27"/>
      <c r="S491" s="27"/>
      <c r="T491" s="27"/>
      <c r="U491" s="27"/>
      <c r="V491" s="27"/>
      <c r="W491" s="27"/>
      <c r="X491" s="27"/>
      <c r="Y491" s="27"/>
      <c r="Z491" s="27"/>
      <c r="AA491" s="10" t="str">
        <f aca="false">IFERROR(INDEX(設定!$E$61:$E$106,MATCH(B491,設定!$B$61:$B$106,0)),"合算")</f>
        <v>合算</v>
      </c>
      <c r="AB491" s="28"/>
      <c r="AC491" s="29" t="str">
        <f aca="false">IF(OR(G491="",G491="なし"),"",IF(AA491="合算",CJ491+N(Z491),IF(AA491="掛金・負担金別",(AY491+AZ491+BD491+BF491+BH491),SUM(AY491:BC491))))</f>
        <v/>
      </c>
      <c r="AD491" s="27"/>
      <c r="AE491" s="29" t="str">
        <f aca="false">IF(OR(G491="",G491="なし"),"",IF(AA491="掛金・負担金別",(BA491+BB491+BC491+BE491+BG491+BI491+N(Z491)),IF(AA491="経理区分別",BD491+BE491,"")))</f>
        <v/>
      </c>
      <c r="AF491" s="27"/>
      <c r="AG491" s="29" t="str">
        <f aca="false">IF(OR(G491="",G491="なし"),"",IF(AA491="経理区分別",BF491+BG491,""))</f>
        <v/>
      </c>
      <c r="AH491" s="27"/>
      <c r="AI491" s="29" t="str">
        <f aca="false">IF(OR(G491="",G491="なし"),"",IF(AA491="経理区分別",BH491+BI491+N(Z491),""))</f>
        <v/>
      </c>
      <c r="AJ491" s="27"/>
      <c r="AK491" s="26"/>
      <c r="AL491" s="26"/>
      <c r="AM491" s="30"/>
      <c r="AN491" s="31"/>
      <c r="AO491" s="31"/>
      <c r="AP491" s="31" t="n">
        <v>571875</v>
      </c>
      <c r="AQ491" s="31" t="n">
        <v>46875</v>
      </c>
      <c r="AR491" s="31" t="n">
        <v>613</v>
      </c>
      <c r="AS491" s="31"/>
      <c r="AT491" s="31" t="n">
        <v>344467</v>
      </c>
      <c r="AU491" s="31"/>
      <c r="AV491" s="31" t="n">
        <v>27255</v>
      </c>
      <c r="AW491" s="31"/>
      <c r="AX491" s="31" t="n">
        <v>1</v>
      </c>
      <c r="AY491" s="31" t="n">
        <f aca="false">IF($G491="",AN491,O491)</f>
        <v>0</v>
      </c>
      <c r="AZ491" s="31" t="n">
        <f aca="false">IF($G491="",AO491,P491)</f>
        <v>0</v>
      </c>
      <c r="BA491" s="31" t="n">
        <f aca="false">IF($G491="",AP491,T491)</f>
        <v>571875</v>
      </c>
      <c r="BB491" s="31" t="n">
        <f aca="false">IF($G491="",AQ491,U491)</f>
        <v>46875</v>
      </c>
      <c r="BC491" s="31" t="n">
        <f aca="false">IF($G491="",AR491,V491)</f>
        <v>613</v>
      </c>
      <c r="BD491" s="31" t="n">
        <f aca="false">IF($G491="",AS491,Q491)</f>
        <v>0</v>
      </c>
      <c r="BE491" s="31" t="n">
        <f aca="false">IF($G491="",AT491,W491)</f>
        <v>344467</v>
      </c>
      <c r="BF491" s="31" t="n">
        <f aca="false">IF($G491="",AU491,R491)</f>
        <v>0</v>
      </c>
      <c r="BG491" s="31" t="n">
        <f aca="false">IF($G491="",AV491,X491)</f>
        <v>27255</v>
      </c>
      <c r="BH491" s="31" t="n">
        <f aca="false">IF($G491="",AW491,S491)</f>
        <v>0</v>
      </c>
      <c r="BI491" s="31" t="n">
        <f aca="false">IF($G491="",AX491,Y491)</f>
        <v>1</v>
      </c>
      <c r="BJ491" s="31" t="n">
        <f aca="false">IF(CK491="N",BR491,ROUNDDOWN((I491-L491)*設定!$B$10/1000,0)+ROUNDDOWN((I491-L491)*設定!$B$11/1000,0))</f>
        <v>0</v>
      </c>
      <c r="BK491" s="31" t="n">
        <f aca="false">ROUNDDOWN((I491-L491)*設定!$C$10/1000,0)+ROUNDDOWN((I491-L491)*設定!$C$11/1000,0)+ROUNDDOWN(I491*設定!$C$12/1000,0)+IF(CL491="市局型",ROUNDDOWN(I491*設定!$C$16/1000,0),0)</f>
        <v>0</v>
      </c>
      <c r="BL491" s="31" t="n">
        <f aca="false">IF(CK491="N",BT491,ROUNDDOWN((J491-M491)*設定!$B$13/1000,0))</f>
        <v>0</v>
      </c>
      <c r="BM491" s="31" t="n">
        <f aca="false">ROUNDDOWN((J491-M491)*設定!$C$13/1000,0)+IF(CL491="市局型",ROUNDDOWN(J491*設定!$C$17/1000,0),0)</f>
        <v>0</v>
      </c>
      <c r="BN491" s="31" t="n">
        <f aca="false">IF(CK491="N",BV491,ROUNDDOWN((K491-N491)*設定!$B$14/1000,0))</f>
        <v>0</v>
      </c>
      <c r="BO491" s="31" t="n">
        <f aca="false">ROUNDDOWN((K491-N491)*設定!$C$14/1000,0)</f>
        <v>0</v>
      </c>
      <c r="BP491" s="31" t="n">
        <f aca="false">IF(CK491="N",BX491,ROUNDDOWN((J491-M491)*設定!$B$15/1000,0))</f>
        <v>0</v>
      </c>
      <c r="BQ491" s="31" t="n">
        <f aca="false">ROUNDDOWN((J491-M491)*設定!$C$15/1000,0)</f>
        <v>0</v>
      </c>
      <c r="BR491" s="31" t="n">
        <f aca="false">O491+P491</f>
        <v>0</v>
      </c>
      <c r="BS491" s="31" t="n">
        <f aca="false">T491+U491+V491</f>
        <v>0</v>
      </c>
      <c r="BT491" s="31" t="n">
        <f aca="false">Q491</f>
        <v>0</v>
      </c>
      <c r="BU491" s="31" t="n">
        <f aca="false">W491</f>
        <v>0</v>
      </c>
      <c r="BV491" s="31" t="n">
        <f aca="false">R491</f>
        <v>0</v>
      </c>
      <c r="BW491" s="31" t="n">
        <f aca="false">X491</f>
        <v>0</v>
      </c>
      <c r="BX491" s="31" t="n">
        <f aca="false">S491</f>
        <v>0</v>
      </c>
      <c r="BY491" s="31" t="n">
        <f aca="false">Y491</f>
        <v>0</v>
      </c>
      <c r="BZ491" s="32" t="n">
        <f aca="false">IF(BJ491=0,IF(BR491=0,0,1),(BR491-BJ491)/BJ491)</f>
        <v>0</v>
      </c>
      <c r="CA491" s="32" t="n">
        <f aca="false">IF(BK491=0,IF(BS491=0,0,1),(BS491-BK491)/BK491)</f>
        <v>0</v>
      </c>
      <c r="CB491" s="32" t="n">
        <f aca="false">IF(BL491=0,IF(BT491=0,0,1),(BT491-BL491)/BL491)</f>
        <v>0</v>
      </c>
      <c r="CC491" s="32" t="n">
        <f aca="false">IF(BM491=0,IF(BU491=0,0,1),(BU491-BM491)/BM491)</f>
        <v>0</v>
      </c>
      <c r="CD491" s="32" t="n">
        <f aca="false">IF(BN491=0,IF(BV491=0,0,1),(BV491-BN491)/BN491)</f>
        <v>0</v>
      </c>
      <c r="CE491" s="32" t="n">
        <f aca="false">IF(BO491=0,IF(BW491=0,0,1),(BW491-BO491)/BO491)</f>
        <v>0</v>
      </c>
      <c r="CF491" s="32" t="n">
        <f aca="false">IF(BP491=0,IF(BX491=0,0,1),(BX491-BP491)/BP491)</f>
        <v>0</v>
      </c>
      <c r="CG491" s="32" t="n">
        <f aca="false">IF(BQ491=0,IF(BY491=0,0,1),(BY491-BQ491)/BQ491)</f>
        <v>0</v>
      </c>
      <c r="CH491" s="32" t="n">
        <f aca="false">MAX(MAX(BZ491:CG491),-MIN(BZ491:CG491))</f>
        <v>-0</v>
      </c>
      <c r="CI491" s="31" t="n">
        <f aca="false">IF(CO491="","",SUMIFS($CJ$7:$CJ$696,$A$7:$A$696,CO491,$B$7:$B$696,B491))</f>
        <v>991086</v>
      </c>
      <c r="CJ491" s="31" t="n">
        <f aca="false">SUM(AY491:BI491)</f>
        <v>991086</v>
      </c>
      <c r="CK491" s="31" t="str">
        <f aca="false">IFERROR(INDEX(設定!$F$61:$F$106,MATCH(B491,設定!$B$61:$B$106,0)),"Y")</f>
        <v>N</v>
      </c>
      <c r="CL491" s="31" t="str">
        <f aca="false">IFERROR(INDEX(設定!$G$61:$G$106,MATCH(B491,設定!$B$61:$B$106,0)),"外郭型")</f>
        <v>外郭型</v>
      </c>
      <c r="CM491" s="33" t="str">
        <f aca="false">A491&amp;"|"&amp;B491</f>
        <v>2026-12 月例|農林水産振興センタ</v>
      </c>
      <c r="CN491" s="34" t="str">
        <f aca="false">IFERROR(INDEX(設定!$D$61:$D$106,MATCH(B491,設定!$B$61:$B$106,0)),"Y")</f>
        <v>Y</v>
      </c>
      <c r="CO491" s="34" t="str">
        <f aca="false">IFERROR(INDEX(設定!$D$20:$D$34,MATCH(A491,設定!$A$20:$A$34,0))&amp;"","")</f>
        <v>2026-11 月例</v>
      </c>
    </row>
    <row r="492" customFormat="false" ht="15" hidden="true" customHeight="false" outlineLevel="0" collapsed="false">
      <c r="A492" s="22" t="s">
        <v>226</v>
      </c>
      <c r="B492" s="23" t="s">
        <v>194</v>
      </c>
      <c r="C492" s="10" t="str">
        <f aca="false">IF(G492="","未受領",IF(G492="なし","報告なし",IF(AL492="○","起票済",IF(OR(AK492="○",F492="一致",F492="入金不要"),"入金確認済","受領済"))))</f>
        <v>未受領</v>
      </c>
      <c r="D492" s="10" t="str">
        <f aca="false">IF(OR(G492="",G492="なし"),"―",IF(CN492="N","対象外",IF(AND(I492="",J492="",K492=""),"標報未入力",IF(CH492&gt;=設定!$B$4,"要確認","問題なし"))))</f>
        <v>―</v>
      </c>
      <c r="E492" s="24" t="str">
        <f aca="false">IF(OR(G492="",G492="なし",CI492="",CJ492=0),"―",IF(CJ492=CI492,"前月同額",IF(CI492=0,"―",IF(ABS(CJ492/CI492-1)&gt;=設定!$B$5,"変動大 "&amp;TEXT(CJ492/CI492-1,"+0%;-0%"),"〇"))))</f>
        <v>―</v>
      </c>
      <c r="F492" s="10" t="str">
        <f aca="false">IF(OR(G492="",G492="なし"),"―",IF(CJ492=0,"入金不要",IF(COUNT(AD492,AF492,AH492,AJ492)=0,IF(AK492="○","手動確認","未入金"),IF(AND(N(AD492)=AC492,IF(AE492="",TRUE(),N(AF492)=AE492),IF(AG492="",TRUE(),N(AH492)=AG492),IF(AI492="",TRUE(),N(AJ492)=AI492)),"一致","不一致"))))</f>
        <v>―</v>
      </c>
      <c r="G492" s="25"/>
      <c r="H492" s="26"/>
      <c r="I492" s="27"/>
      <c r="J492" s="27"/>
      <c r="K492" s="27"/>
      <c r="L492" s="27"/>
      <c r="M492" s="27"/>
      <c r="N492" s="27"/>
      <c r="O492" s="27"/>
      <c r="P492" s="27"/>
      <c r="Q492" s="27"/>
      <c r="R492" s="27"/>
      <c r="S492" s="27"/>
      <c r="T492" s="27"/>
      <c r="U492" s="27"/>
      <c r="V492" s="27"/>
      <c r="W492" s="27"/>
      <c r="X492" s="27"/>
      <c r="Y492" s="27"/>
      <c r="Z492" s="27"/>
      <c r="AA492" s="10" t="str">
        <f aca="false">IFERROR(INDEX(設定!$E$61:$E$106,MATCH(B492,設定!$B$61:$B$106,0)),"合算")</f>
        <v>合算</v>
      </c>
      <c r="AB492" s="28"/>
      <c r="AC492" s="29" t="str">
        <f aca="false">IF(OR(G492="",G492="なし"),"",IF(AA492="合算",CJ492+N(Z492),IF(AA492="掛金・負担金別",(AY492+AZ492+BD492+BF492+BH492),SUM(AY492:BC492))))</f>
        <v/>
      </c>
      <c r="AD492" s="27"/>
      <c r="AE492" s="29" t="str">
        <f aca="false">IF(OR(G492="",G492="なし"),"",IF(AA492="掛金・負担金別",(BA492+BB492+BC492+BE492+BG492+BI492+N(Z492)),IF(AA492="経理区分別",BD492+BE492,"")))</f>
        <v/>
      </c>
      <c r="AF492" s="27"/>
      <c r="AG492" s="29" t="str">
        <f aca="false">IF(OR(G492="",G492="なし"),"",IF(AA492="経理区分別",BF492+BG492,""))</f>
        <v/>
      </c>
      <c r="AH492" s="27"/>
      <c r="AI492" s="29" t="str">
        <f aca="false">IF(OR(G492="",G492="なし"),"",IF(AA492="経理区分別",BH492+BI492+N(Z492),""))</f>
        <v/>
      </c>
      <c r="AJ492" s="27"/>
      <c r="AK492" s="26"/>
      <c r="AL492" s="26"/>
      <c r="AM492" s="30"/>
      <c r="AN492" s="31"/>
      <c r="AO492" s="31"/>
      <c r="AP492" s="31" t="n">
        <v>1160220</v>
      </c>
      <c r="AQ492" s="31" t="n">
        <v>95100</v>
      </c>
      <c r="AR492" s="31" t="n">
        <v>1185</v>
      </c>
      <c r="AS492" s="31"/>
      <c r="AT492" s="31" t="n">
        <v>698790</v>
      </c>
      <c r="AU492" s="31"/>
      <c r="AV492" s="31" t="n">
        <v>94721</v>
      </c>
      <c r="AW492" s="31"/>
      <c r="AX492" s="31" t="n">
        <v>1</v>
      </c>
      <c r="AY492" s="31" t="n">
        <f aca="false">IF($G492="",AN492,O492)</f>
        <v>0</v>
      </c>
      <c r="AZ492" s="31" t="n">
        <f aca="false">IF($G492="",AO492,P492)</f>
        <v>0</v>
      </c>
      <c r="BA492" s="31" t="n">
        <f aca="false">IF($G492="",AP492,T492)</f>
        <v>1160220</v>
      </c>
      <c r="BB492" s="31" t="n">
        <f aca="false">IF($G492="",AQ492,U492)</f>
        <v>95100</v>
      </c>
      <c r="BC492" s="31" t="n">
        <f aca="false">IF($G492="",AR492,V492)</f>
        <v>1185</v>
      </c>
      <c r="BD492" s="31" t="n">
        <f aca="false">IF($G492="",AS492,Q492)</f>
        <v>0</v>
      </c>
      <c r="BE492" s="31" t="n">
        <f aca="false">IF($G492="",AT492,W492)</f>
        <v>698790</v>
      </c>
      <c r="BF492" s="31" t="n">
        <f aca="false">IF($G492="",AU492,R492)</f>
        <v>0</v>
      </c>
      <c r="BG492" s="31" t="n">
        <f aca="false">IF($G492="",AV492,X492)</f>
        <v>94721</v>
      </c>
      <c r="BH492" s="31" t="n">
        <f aca="false">IF($G492="",AW492,S492)</f>
        <v>0</v>
      </c>
      <c r="BI492" s="31" t="n">
        <f aca="false">IF($G492="",AX492,Y492)</f>
        <v>1</v>
      </c>
      <c r="BJ492" s="31" t="n">
        <f aca="false">IF(CK492="N",BR492,ROUNDDOWN((I492-L492)*設定!$B$10/1000,0)+ROUNDDOWN((I492-L492)*設定!$B$11/1000,0))</f>
        <v>0</v>
      </c>
      <c r="BK492" s="31" t="n">
        <f aca="false">ROUNDDOWN((I492-L492)*設定!$C$10/1000,0)+ROUNDDOWN((I492-L492)*設定!$C$11/1000,0)+ROUNDDOWN(I492*設定!$C$12/1000,0)+IF(CL492="市局型",ROUNDDOWN(I492*設定!$C$16/1000,0),0)</f>
        <v>0</v>
      </c>
      <c r="BL492" s="31" t="n">
        <f aca="false">IF(CK492="N",BT492,ROUNDDOWN((J492-M492)*設定!$B$13/1000,0))</f>
        <v>0</v>
      </c>
      <c r="BM492" s="31" t="n">
        <f aca="false">ROUNDDOWN((J492-M492)*設定!$C$13/1000,0)+IF(CL492="市局型",ROUNDDOWN(J492*設定!$C$17/1000,0),0)</f>
        <v>0</v>
      </c>
      <c r="BN492" s="31" t="n">
        <f aca="false">IF(CK492="N",BV492,ROUNDDOWN((K492-N492)*設定!$B$14/1000,0))</f>
        <v>0</v>
      </c>
      <c r="BO492" s="31" t="n">
        <f aca="false">ROUNDDOWN((K492-N492)*設定!$C$14/1000,0)</f>
        <v>0</v>
      </c>
      <c r="BP492" s="31" t="n">
        <f aca="false">IF(CK492="N",BX492,ROUNDDOWN((J492-M492)*設定!$B$15/1000,0))</f>
        <v>0</v>
      </c>
      <c r="BQ492" s="31" t="n">
        <f aca="false">ROUNDDOWN((J492-M492)*設定!$C$15/1000,0)</f>
        <v>0</v>
      </c>
      <c r="BR492" s="31" t="n">
        <f aca="false">O492+P492</f>
        <v>0</v>
      </c>
      <c r="BS492" s="31" t="n">
        <f aca="false">T492+U492+V492</f>
        <v>0</v>
      </c>
      <c r="BT492" s="31" t="n">
        <f aca="false">Q492</f>
        <v>0</v>
      </c>
      <c r="BU492" s="31" t="n">
        <f aca="false">W492</f>
        <v>0</v>
      </c>
      <c r="BV492" s="31" t="n">
        <f aca="false">R492</f>
        <v>0</v>
      </c>
      <c r="BW492" s="31" t="n">
        <f aca="false">X492</f>
        <v>0</v>
      </c>
      <c r="BX492" s="31" t="n">
        <f aca="false">S492</f>
        <v>0</v>
      </c>
      <c r="BY492" s="31" t="n">
        <f aca="false">Y492</f>
        <v>0</v>
      </c>
      <c r="BZ492" s="32" t="n">
        <f aca="false">IF(BJ492=0,IF(BR492=0,0,1),(BR492-BJ492)/BJ492)</f>
        <v>0</v>
      </c>
      <c r="CA492" s="32" t="n">
        <f aca="false">IF(BK492=0,IF(BS492=0,0,1),(BS492-BK492)/BK492)</f>
        <v>0</v>
      </c>
      <c r="CB492" s="32" t="n">
        <f aca="false">IF(BL492=0,IF(BT492=0,0,1),(BT492-BL492)/BL492)</f>
        <v>0</v>
      </c>
      <c r="CC492" s="32" t="n">
        <f aca="false">IF(BM492=0,IF(BU492=0,0,1),(BU492-BM492)/BM492)</f>
        <v>0</v>
      </c>
      <c r="CD492" s="32" t="n">
        <f aca="false">IF(BN492=0,IF(BV492=0,0,1),(BV492-BN492)/BN492)</f>
        <v>0</v>
      </c>
      <c r="CE492" s="32" t="n">
        <f aca="false">IF(BO492=0,IF(BW492=0,0,1),(BW492-BO492)/BO492)</f>
        <v>0</v>
      </c>
      <c r="CF492" s="32" t="n">
        <f aca="false">IF(BP492=0,IF(BX492=0,0,1),(BX492-BP492)/BP492)</f>
        <v>0</v>
      </c>
      <c r="CG492" s="32" t="n">
        <f aca="false">IF(BQ492=0,IF(BY492=0,0,1),(BY492-BQ492)/BQ492)</f>
        <v>0</v>
      </c>
      <c r="CH492" s="32" t="n">
        <f aca="false">MAX(MAX(BZ492:CG492),-MIN(BZ492:CG492))</f>
        <v>-0</v>
      </c>
      <c r="CI492" s="31" t="n">
        <f aca="false">IF(CO492="","",SUMIFS($CJ$7:$CJ$696,$A$7:$A$696,CO492,$B$7:$B$696,B492))</f>
        <v>2050017</v>
      </c>
      <c r="CJ492" s="31" t="n">
        <f aca="false">SUM(AY492:BI492)</f>
        <v>2050017</v>
      </c>
      <c r="CK492" s="31" t="str">
        <f aca="false">IFERROR(INDEX(設定!$F$61:$F$106,MATCH(B492,設定!$B$61:$B$106,0)),"Y")</f>
        <v>N</v>
      </c>
      <c r="CL492" s="31" t="str">
        <f aca="false">IFERROR(INDEX(設定!$G$61:$G$106,MATCH(B492,設定!$B$61:$B$106,0)),"外郭型")</f>
        <v>外郭型</v>
      </c>
      <c r="CM492" s="33" t="str">
        <f aca="false">A492&amp;"|"&amp;B492</f>
        <v>2026-12 月例|文化財団　市長部局</v>
      </c>
      <c r="CN492" s="34" t="str">
        <f aca="false">IFERROR(INDEX(設定!$D$61:$D$106,MATCH(B492,設定!$B$61:$B$106,0)),"Y")</f>
        <v>Y</v>
      </c>
      <c r="CO492" s="34" t="str">
        <f aca="false">IFERROR(INDEX(設定!$D$20:$D$34,MATCH(A492,設定!$A$20:$A$34,0))&amp;"","")</f>
        <v>2026-11 月例</v>
      </c>
    </row>
    <row r="493" customFormat="false" ht="15" hidden="true" customHeight="false" outlineLevel="0" collapsed="false">
      <c r="A493" s="22" t="s">
        <v>226</v>
      </c>
      <c r="B493" s="23" t="s">
        <v>195</v>
      </c>
      <c r="C493" s="10" t="str">
        <f aca="false">IF(G493="","未受領",IF(G493="なし","報告なし",IF(AL493="○","起票済",IF(OR(AK493="○",F493="一致",F493="入金不要"),"入金確認済","受領済"))))</f>
        <v>未受領</v>
      </c>
      <c r="D493" s="10" t="str">
        <f aca="false">IF(OR(G493="",G493="なし"),"―",IF(CN493="N","対象外",IF(AND(I493="",J493="",K493=""),"標報未入力",IF(CH493&gt;=設定!$B$4,"要確認","問題なし"))))</f>
        <v>―</v>
      </c>
      <c r="E493" s="24" t="str">
        <f aca="false">IF(OR(G493="",G493="なし",CI493="",CJ493=0),"―",IF(CJ493=CI493,"前月同額",IF(CI493=0,"―",IF(ABS(CJ493/CI493-1)&gt;=設定!$B$5,"変動大 "&amp;TEXT(CJ493/CI493-1,"+0%;-0%"),"〇"))))</f>
        <v>―</v>
      </c>
      <c r="F493" s="10" t="str">
        <f aca="false">IF(OR(G493="",G493="なし"),"―",IF(CJ493=0,"入金不要",IF(COUNT(AD493,AF493,AH493,AJ493)=0,IF(AK493="○","手動確認","未入金"),IF(AND(N(AD493)=AC493,IF(AE493="",TRUE(),N(AF493)=AE493),IF(AG493="",TRUE(),N(AH493)=AG493),IF(AI493="",TRUE(),N(AJ493)=AI493)),"一致","不一致"))))</f>
        <v>―</v>
      </c>
      <c r="G493" s="25"/>
      <c r="H493" s="26"/>
      <c r="I493" s="27"/>
      <c r="J493" s="27"/>
      <c r="K493" s="27"/>
      <c r="L493" s="27"/>
      <c r="M493" s="27"/>
      <c r="N493" s="27"/>
      <c r="O493" s="27"/>
      <c r="P493" s="27"/>
      <c r="Q493" s="27"/>
      <c r="R493" s="27"/>
      <c r="S493" s="27"/>
      <c r="T493" s="27"/>
      <c r="U493" s="27"/>
      <c r="V493" s="27"/>
      <c r="W493" s="27"/>
      <c r="X493" s="27"/>
      <c r="Y493" s="27"/>
      <c r="Z493" s="27"/>
      <c r="AA493" s="10" t="str">
        <f aca="false">IFERROR(INDEX(設定!$E$61:$E$106,MATCH(B493,設定!$B$61:$B$106,0)),"合算")</f>
        <v>合算</v>
      </c>
      <c r="AB493" s="28"/>
      <c r="AC493" s="29" t="str">
        <f aca="false">IF(OR(G493="",G493="なし"),"",IF(AA493="合算",CJ493+N(Z493),IF(AA493="掛金・負担金別",(AY493+AZ493+BD493+BF493+BH493),SUM(AY493:BC493))))</f>
        <v/>
      </c>
      <c r="AD493" s="27"/>
      <c r="AE493" s="29" t="str">
        <f aca="false">IF(OR(G493="",G493="なし"),"",IF(AA493="掛金・負担金別",(BA493+BB493+BC493+BE493+BG493+BI493+N(Z493)),IF(AA493="経理区分別",BD493+BE493,"")))</f>
        <v/>
      </c>
      <c r="AF493" s="27"/>
      <c r="AG493" s="29" t="str">
        <f aca="false">IF(OR(G493="",G493="なし"),"",IF(AA493="経理区分別",BF493+BG493,""))</f>
        <v/>
      </c>
      <c r="AH493" s="27"/>
      <c r="AI493" s="29" t="str">
        <f aca="false">IF(OR(G493="",G493="なし"),"",IF(AA493="経理区分別",BH493+BI493+N(Z493),""))</f>
        <v/>
      </c>
      <c r="AJ493" s="27"/>
      <c r="AK493" s="26"/>
      <c r="AL493" s="26"/>
      <c r="AM493" s="30"/>
      <c r="AN493" s="31"/>
      <c r="AO493" s="31"/>
      <c r="AP493" s="31" t="n">
        <v>0</v>
      </c>
      <c r="AQ493" s="31" t="n">
        <v>0</v>
      </c>
      <c r="AR493" s="31" t="n">
        <v>0</v>
      </c>
      <c r="AS493" s="31"/>
      <c r="AT493" s="31" t="n">
        <v>0</v>
      </c>
      <c r="AU493" s="31"/>
      <c r="AV493" s="31" t="n">
        <v>0</v>
      </c>
      <c r="AW493" s="31"/>
      <c r="AX493" s="31" t="n">
        <v>0</v>
      </c>
      <c r="AY493" s="31" t="n">
        <f aca="false">IF($G493="",AN493,O493)</f>
        <v>0</v>
      </c>
      <c r="AZ493" s="31" t="n">
        <f aca="false">IF($G493="",AO493,P493)</f>
        <v>0</v>
      </c>
      <c r="BA493" s="31" t="n">
        <f aca="false">IF($G493="",AP493,T493)</f>
        <v>0</v>
      </c>
      <c r="BB493" s="31" t="n">
        <f aca="false">IF($G493="",AQ493,U493)</f>
        <v>0</v>
      </c>
      <c r="BC493" s="31" t="n">
        <f aca="false">IF($G493="",AR493,V493)</f>
        <v>0</v>
      </c>
      <c r="BD493" s="31" t="n">
        <f aca="false">IF($G493="",AS493,Q493)</f>
        <v>0</v>
      </c>
      <c r="BE493" s="31" t="n">
        <f aca="false">IF($G493="",AT493,W493)</f>
        <v>0</v>
      </c>
      <c r="BF493" s="31" t="n">
        <f aca="false">IF($G493="",AU493,R493)</f>
        <v>0</v>
      </c>
      <c r="BG493" s="31" t="n">
        <f aca="false">IF($G493="",AV493,X493)</f>
        <v>0</v>
      </c>
      <c r="BH493" s="31" t="n">
        <f aca="false">IF($G493="",AW493,S493)</f>
        <v>0</v>
      </c>
      <c r="BI493" s="31" t="n">
        <f aca="false">IF($G493="",AX493,Y493)</f>
        <v>0</v>
      </c>
      <c r="BJ493" s="31" t="n">
        <f aca="false">IF(CK493="N",BR493,ROUNDDOWN((I493-L493)*設定!$B$10/1000,0)+ROUNDDOWN((I493-L493)*設定!$B$11/1000,0))</f>
        <v>0</v>
      </c>
      <c r="BK493" s="31" t="n">
        <f aca="false">ROUNDDOWN((I493-L493)*設定!$C$10/1000,0)+ROUNDDOWN((I493-L493)*設定!$C$11/1000,0)+ROUNDDOWN(I493*設定!$C$12/1000,0)+IF(CL493="市局型",ROUNDDOWN(I493*設定!$C$16/1000,0),0)</f>
        <v>0</v>
      </c>
      <c r="BL493" s="31" t="n">
        <f aca="false">IF(CK493="N",BT493,ROUNDDOWN((J493-M493)*設定!$B$13/1000,0))</f>
        <v>0</v>
      </c>
      <c r="BM493" s="31" t="n">
        <f aca="false">ROUNDDOWN((J493-M493)*設定!$C$13/1000,0)+IF(CL493="市局型",ROUNDDOWN(J493*設定!$C$17/1000,0),0)</f>
        <v>0</v>
      </c>
      <c r="BN493" s="31" t="n">
        <f aca="false">IF(CK493="N",BV493,ROUNDDOWN((K493-N493)*設定!$B$14/1000,0))</f>
        <v>0</v>
      </c>
      <c r="BO493" s="31" t="n">
        <f aca="false">ROUNDDOWN((K493-N493)*設定!$C$14/1000,0)</f>
        <v>0</v>
      </c>
      <c r="BP493" s="31" t="n">
        <f aca="false">IF(CK493="N",BX493,ROUNDDOWN((J493-M493)*設定!$B$15/1000,0))</f>
        <v>0</v>
      </c>
      <c r="BQ493" s="31" t="n">
        <f aca="false">ROUNDDOWN((J493-M493)*設定!$C$15/1000,0)</f>
        <v>0</v>
      </c>
      <c r="BR493" s="31" t="n">
        <f aca="false">O493+P493</f>
        <v>0</v>
      </c>
      <c r="BS493" s="31" t="n">
        <f aca="false">T493+U493+V493</f>
        <v>0</v>
      </c>
      <c r="BT493" s="31" t="n">
        <f aca="false">Q493</f>
        <v>0</v>
      </c>
      <c r="BU493" s="31" t="n">
        <f aca="false">W493</f>
        <v>0</v>
      </c>
      <c r="BV493" s="31" t="n">
        <f aca="false">R493</f>
        <v>0</v>
      </c>
      <c r="BW493" s="31" t="n">
        <f aca="false">X493</f>
        <v>0</v>
      </c>
      <c r="BX493" s="31" t="n">
        <f aca="false">S493</f>
        <v>0</v>
      </c>
      <c r="BY493" s="31" t="n">
        <f aca="false">Y493</f>
        <v>0</v>
      </c>
      <c r="BZ493" s="32" t="n">
        <f aca="false">IF(BJ493=0,IF(BR493=0,0,1),(BR493-BJ493)/BJ493)</f>
        <v>0</v>
      </c>
      <c r="CA493" s="32" t="n">
        <f aca="false">IF(BK493=0,IF(BS493=0,0,1),(BS493-BK493)/BK493)</f>
        <v>0</v>
      </c>
      <c r="CB493" s="32" t="n">
        <f aca="false">IF(BL493=0,IF(BT493=0,0,1),(BT493-BL493)/BL493)</f>
        <v>0</v>
      </c>
      <c r="CC493" s="32" t="n">
        <f aca="false">IF(BM493=0,IF(BU493=0,0,1),(BU493-BM493)/BM493)</f>
        <v>0</v>
      </c>
      <c r="CD493" s="32" t="n">
        <f aca="false">IF(BN493=0,IF(BV493=0,0,1),(BV493-BN493)/BN493)</f>
        <v>0</v>
      </c>
      <c r="CE493" s="32" t="n">
        <f aca="false">IF(BO493=0,IF(BW493=0,0,1),(BW493-BO493)/BO493)</f>
        <v>0</v>
      </c>
      <c r="CF493" s="32" t="n">
        <f aca="false">IF(BP493=0,IF(BX493=0,0,1),(BX493-BP493)/BP493)</f>
        <v>0</v>
      </c>
      <c r="CG493" s="32" t="n">
        <f aca="false">IF(BQ493=0,IF(BY493=0,0,1),(BY493-BQ493)/BQ493)</f>
        <v>0</v>
      </c>
      <c r="CH493" s="32" t="n">
        <f aca="false">MAX(MAX(BZ493:CG493),-MIN(BZ493:CG493))</f>
        <v>-0</v>
      </c>
      <c r="CI493" s="31" t="n">
        <f aca="false">IF(CO493="","",SUMIFS($CJ$7:$CJ$696,$A$7:$A$696,CO493,$B$7:$B$696,B493))</f>
        <v>0</v>
      </c>
      <c r="CJ493" s="31" t="n">
        <f aca="false">SUM(AY493:BI493)</f>
        <v>0</v>
      </c>
      <c r="CK493" s="31" t="str">
        <f aca="false">IFERROR(INDEX(設定!$F$61:$F$106,MATCH(B493,設定!$B$61:$B$106,0)),"Y")</f>
        <v>N</v>
      </c>
      <c r="CL493" s="31" t="str">
        <f aca="false">IFERROR(INDEX(設定!$G$61:$G$106,MATCH(B493,設定!$B$61:$B$106,0)),"外郭型")</f>
        <v>外郭型</v>
      </c>
      <c r="CM493" s="33" t="str">
        <f aca="false">A493&amp;"|"&amp;B493</f>
        <v>2026-12 月例|文化財団　教育委員会</v>
      </c>
      <c r="CN493" s="34" t="str">
        <f aca="false">IFERROR(INDEX(設定!$D$61:$D$106,MATCH(B493,設定!$B$61:$B$106,0)),"Y")</f>
        <v>Y</v>
      </c>
      <c r="CO493" s="34" t="str">
        <f aca="false">IFERROR(INDEX(設定!$D$20:$D$34,MATCH(A493,設定!$A$20:$A$34,0))&amp;"","")</f>
        <v>2026-11 月例</v>
      </c>
    </row>
    <row r="494" customFormat="false" ht="15" hidden="true" customHeight="false" outlineLevel="0" collapsed="false">
      <c r="A494" s="22" t="s">
        <v>226</v>
      </c>
      <c r="B494" s="23" t="s">
        <v>196</v>
      </c>
      <c r="C494" s="10" t="str">
        <f aca="false">IF(G494="","未受領",IF(G494="なし","報告なし",IF(AL494="○","起票済",IF(OR(AK494="○",F494="一致",F494="入金不要"),"入金確認済","受領済"))))</f>
        <v>未受領</v>
      </c>
      <c r="D494" s="10" t="str">
        <f aca="false">IF(OR(G494="",G494="なし"),"―",IF(CN494="N","対象外",IF(AND(I494="",J494="",K494=""),"標報未入力",IF(CH494&gt;=設定!$B$4,"要確認","問題なし"))))</f>
        <v>―</v>
      </c>
      <c r="E494" s="24" t="str">
        <f aca="false">IF(OR(G494="",G494="なし",CI494="",CJ494=0),"―",IF(CJ494=CI494,"前月同額",IF(CI494=0,"―",IF(ABS(CJ494/CI494-1)&gt;=設定!$B$5,"変動大 "&amp;TEXT(CJ494/CI494-1,"+0%;-0%"),"〇"))))</f>
        <v>―</v>
      </c>
      <c r="F494" s="10" t="str">
        <f aca="false">IF(OR(G494="",G494="なし"),"―",IF(CJ494=0,"入金不要",IF(COUNT(AD494,AF494,AH494,AJ494)=0,IF(AK494="○","手動確認","未入金"),IF(AND(N(AD494)=AC494,IF(AE494="",TRUE(),N(AF494)=AE494),IF(AG494="",TRUE(),N(AH494)=AG494),IF(AI494="",TRUE(),N(AJ494)=AI494)),"一致","不一致"))))</f>
        <v>―</v>
      </c>
      <c r="G494" s="25"/>
      <c r="H494" s="26"/>
      <c r="I494" s="27"/>
      <c r="J494" s="27"/>
      <c r="K494" s="27"/>
      <c r="L494" s="27"/>
      <c r="M494" s="27"/>
      <c r="N494" s="27"/>
      <c r="O494" s="27"/>
      <c r="P494" s="27"/>
      <c r="Q494" s="27"/>
      <c r="R494" s="27"/>
      <c r="S494" s="27"/>
      <c r="T494" s="27"/>
      <c r="U494" s="27"/>
      <c r="V494" s="27"/>
      <c r="W494" s="27"/>
      <c r="X494" s="27"/>
      <c r="Y494" s="27"/>
      <c r="Z494" s="27"/>
      <c r="AA494" s="10" t="str">
        <f aca="false">IFERROR(INDEX(設定!$E$61:$E$106,MATCH(B494,設定!$B$61:$B$106,0)),"合算")</f>
        <v>合算</v>
      </c>
      <c r="AB494" s="28"/>
      <c r="AC494" s="29" t="str">
        <f aca="false">IF(OR(G494="",G494="なし"),"",IF(AA494="合算",CJ494+N(Z494),IF(AA494="掛金・負担金別",(AY494+AZ494+BD494+BF494+BH494),SUM(AY494:BC494))))</f>
        <v/>
      </c>
      <c r="AD494" s="27"/>
      <c r="AE494" s="29" t="str">
        <f aca="false">IF(OR(G494="",G494="なし"),"",IF(AA494="掛金・負担金別",(BA494+BB494+BC494+BE494+BG494+BI494+N(Z494)),IF(AA494="経理区分別",BD494+BE494,"")))</f>
        <v/>
      </c>
      <c r="AF494" s="27"/>
      <c r="AG494" s="29" t="str">
        <f aca="false">IF(OR(G494="",G494="なし"),"",IF(AA494="経理区分別",BF494+BG494,""))</f>
        <v/>
      </c>
      <c r="AH494" s="27"/>
      <c r="AI494" s="29" t="str">
        <f aca="false">IF(OR(G494="",G494="なし"),"",IF(AA494="経理区分別",BH494+BI494+N(Z494),""))</f>
        <v/>
      </c>
      <c r="AJ494" s="27"/>
      <c r="AK494" s="26"/>
      <c r="AL494" s="26"/>
      <c r="AM494" s="30"/>
      <c r="AN494" s="31"/>
      <c r="AO494" s="31"/>
      <c r="AP494" s="31" t="n">
        <v>394365</v>
      </c>
      <c r="AQ494" s="31" t="n">
        <v>32325</v>
      </c>
      <c r="AR494" s="31" t="n">
        <v>403</v>
      </c>
      <c r="AS494" s="31"/>
      <c r="AT494" s="31" t="n">
        <v>237523</v>
      </c>
      <c r="AU494" s="31"/>
      <c r="AV494" s="31" t="n">
        <v>34049</v>
      </c>
      <c r="AW494" s="31"/>
      <c r="AX494" s="31" t="n">
        <v>1</v>
      </c>
      <c r="AY494" s="31" t="n">
        <f aca="false">IF($G494="",AN494,O494)</f>
        <v>0</v>
      </c>
      <c r="AZ494" s="31" t="n">
        <f aca="false">IF($G494="",AO494,P494)</f>
        <v>0</v>
      </c>
      <c r="BA494" s="31" t="n">
        <f aca="false">IF($G494="",AP494,T494)</f>
        <v>394365</v>
      </c>
      <c r="BB494" s="31" t="n">
        <f aca="false">IF($G494="",AQ494,U494)</f>
        <v>32325</v>
      </c>
      <c r="BC494" s="31" t="n">
        <f aca="false">IF($G494="",AR494,V494)</f>
        <v>403</v>
      </c>
      <c r="BD494" s="31" t="n">
        <f aca="false">IF($G494="",AS494,Q494)</f>
        <v>0</v>
      </c>
      <c r="BE494" s="31" t="n">
        <f aca="false">IF($G494="",AT494,W494)</f>
        <v>237523</v>
      </c>
      <c r="BF494" s="31" t="n">
        <f aca="false">IF($G494="",AU494,R494)</f>
        <v>0</v>
      </c>
      <c r="BG494" s="31" t="n">
        <f aca="false">IF($G494="",AV494,X494)</f>
        <v>34049</v>
      </c>
      <c r="BH494" s="31" t="n">
        <f aca="false">IF($G494="",AW494,S494)</f>
        <v>0</v>
      </c>
      <c r="BI494" s="31" t="n">
        <f aca="false">IF($G494="",AX494,Y494)</f>
        <v>1</v>
      </c>
      <c r="BJ494" s="31" t="n">
        <f aca="false">IF(CK494="N",BR494,ROUNDDOWN((I494-L494)*設定!$B$10/1000,0)+ROUNDDOWN((I494-L494)*設定!$B$11/1000,0))</f>
        <v>0</v>
      </c>
      <c r="BK494" s="31" t="n">
        <f aca="false">ROUNDDOWN((I494-L494)*設定!$C$10/1000,0)+ROUNDDOWN((I494-L494)*設定!$C$11/1000,0)+ROUNDDOWN(I494*設定!$C$12/1000,0)+IF(CL494="市局型",ROUNDDOWN(I494*設定!$C$16/1000,0),0)</f>
        <v>0</v>
      </c>
      <c r="BL494" s="31" t="n">
        <f aca="false">IF(CK494="N",BT494,ROUNDDOWN((J494-M494)*設定!$B$13/1000,0))</f>
        <v>0</v>
      </c>
      <c r="BM494" s="31" t="n">
        <f aca="false">ROUNDDOWN((J494-M494)*設定!$C$13/1000,0)+IF(CL494="市局型",ROUNDDOWN(J494*設定!$C$17/1000,0),0)</f>
        <v>0</v>
      </c>
      <c r="BN494" s="31" t="n">
        <f aca="false">IF(CK494="N",BV494,ROUNDDOWN((K494-N494)*設定!$B$14/1000,0))</f>
        <v>0</v>
      </c>
      <c r="BO494" s="31" t="n">
        <f aca="false">ROUNDDOWN((K494-N494)*設定!$C$14/1000,0)</f>
        <v>0</v>
      </c>
      <c r="BP494" s="31" t="n">
        <f aca="false">IF(CK494="N",BX494,ROUNDDOWN((J494-M494)*設定!$B$15/1000,0))</f>
        <v>0</v>
      </c>
      <c r="BQ494" s="31" t="n">
        <f aca="false">ROUNDDOWN((J494-M494)*設定!$C$15/1000,0)</f>
        <v>0</v>
      </c>
      <c r="BR494" s="31" t="n">
        <f aca="false">O494+P494</f>
        <v>0</v>
      </c>
      <c r="BS494" s="31" t="n">
        <f aca="false">T494+U494+V494</f>
        <v>0</v>
      </c>
      <c r="BT494" s="31" t="n">
        <f aca="false">Q494</f>
        <v>0</v>
      </c>
      <c r="BU494" s="31" t="n">
        <f aca="false">W494</f>
        <v>0</v>
      </c>
      <c r="BV494" s="31" t="n">
        <f aca="false">R494</f>
        <v>0</v>
      </c>
      <c r="BW494" s="31" t="n">
        <f aca="false">X494</f>
        <v>0</v>
      </c>
      <c r="BX494" s="31" t="n">
        <f aca="false">S494</f>
        <v>0</v>
      </c>
      <c r="BY494" s="31" t="n">
        <f aca="false">Y494</f>
        <v>0</v>
      </c>
      <c r="BZ494" s="32" t="n">
        <f aca="false">IF(BJ494=0,IF(BR494=0,0,1),(BR494-BJ494)/BJ494)</f>
        <v>0</v>
      </c>
      <c r="CA494" s="32" t="n">
        <f aca="false">IF(BK494=0,IF(BS494=0,0,1),(BS494-BK494)/BK494)</f>
        <v>0</v>
      </c>
      <c r="CB494" s="32" t="n">
        <f aca="false">IF(BL494=0,IF(BT494=0,0,1),(BT494-BL494)/BL494)</f>
        <v>0</v>
      </c>
      <c r="CC494" s="32" t="n">
        <f aca="false">IF(BM494=0,IF(BU494=0,0,1),(BU494-BM494)/BM494)</f>
        <v>0</v>
      </c>
      <c r="CD494" s="32" t="n">
        <f aca="false">IF(BN494=0,IF(BV494=0,0,1),(BV494-BN494)/BN494)</f>
        <v>0</v>
      </c>
      <c r="CE494" s="32" t="n">
        <f aca="false">IF(BO494=0,IF(BW494=0,0,1),(BW494-BO494)/BO494)</f>
        <v>0</v>
      </c>
      <c r="CF494" s="32" t="n">
        <f aca="false">IF(BP494=0,IF(BX494=0,0,1),(BX494-BP494)/BP494)</f>
        <v>0</v>
      </c>
      <c r="CG494" s="32" t="n">
        <f aca="false">IF(BQ494=0,IF(BY494=0,0,1),(BY494-BQ494)/BQ494)</f>
        <v>0</v>
      </c>
      <c r="CH494" s="32" t="n">
        <f aca="false">MAX(MAX(BZ494:CG494),-MIN(BZ494:CG494))</f>
        <v>-0</v>
      </c>
      <c r="CI494" s="31" t="n">
        <f aca="false">IF(CO494="","",SUMIFS($CJ$7:$CJ$696,$A$7:$A$696,CO494,$B$7:$B$696,B494))</f>
        <v>698666</v>
      </c>
      <c r="CJ494" s="31" t="n">
        <f aca="false">SUM(AY494:BI494)</f>
        <v>698666</v>
      </c>
      <c r="CK494" s="31" t="str">
        <f aca="false">IFERROR(INDEX(設定!$F$61:$F$106,MATCH(B494,設定!$B$61:$B$106,0)),"Y")</f>
        <v>N</v>
      </c>
      <c r="CL494" s="31" t="str">
        <f aca="false">IFERROR(INDEX(設定!$G$61:$G$106,MATCH(B494,設定!$B$61:$B$106,0)),"外郭型")</f>
        <v>外郭型</v>
      </c>
      <c r="CM494" s="33" t="str">
        <f aca="false">A494&amp;"|"&amp;B494</f>
        <v>2026-12 月例|みどり生きもの協会</v>
      </c>
      <c r="CN494" s="34" t="str">
        <f aca="false">IFERROR(INDEX(設定!$D$61:$D$106,MATCH(B494,設定!$B$61:$B$106,0)),"Y")</f>
        <v>Y</v>
      </c>
      <c r="CO494" s="34" t="str">
        <f aca="false">IFERROR(INDEX(設定!$D$20:$D$34,MATCH(A494,設定!$A$20:$A$34,0))&amp;"","")</f>
        <v>2026-11 月例</v>
      </c>
    </row>
    <row r="495" customFormat="false" ht="15" hidden="true" customHeight="false" outlineLevel="0" collapsed="false">
      <c r="A495" s="22" t="s">
        <v>226</v>
      </c>
      <c r="B495" s="23" t="s">
        <v>197</v>
      </c>
      <c r="C495" s="10" t="str">
        <f aca="false">IF(G495="","未受領",IF(G495="なし","報告なし",IF(AL495="○","起票済",IF(OR(AK495="○",F495="一致",F495="入金不要"),"入金確認済","受領済"))))</f>
        <v>未受領</v>
      </c>
      <c r="D495" s="10" t="str">
        <f aca="false">IF(OR(G495="",G495="なし"),"―",IF(CN495="N","対象外",IF(AND(I495="",J495="",K495=""),"標報未入力",IF(CH495&gt;=設定!$B$4,"要確認","問題なし"))))</f>
        <v>―</v>
      </c>
      <c r="E495" s="24" t="str">
        <f aca="false">IF(OR(G495="",G495="なし",CI495="",CJ495=0),"―",IF(CJ495=CI495,"前月同額",IF(CI495=0,"―",IF(ABS(CJ495/CI495-1)&gt;=設定!$B$5,"変動大 "&amp;TEXT(CJ495/CI495-1,"+0%;-0%"),"〇"))))</f>
        <v>―</v>
      </c>
      <c r="F495" s="10" t="str">
        <f aca="false">IF(OR(G495="",G495="なし"),"―",IF(CJ495=0,"入金不要",IF(COUNT(AD495,AF495,AH495,AJ495)=0,IF(AK495="○","手動確認","未入金"),IF(AND(N(AD495)=AC495,IF(AE495="",TRUE(),N(AF495)=AE495),IF(AG495="",TRUE(),N(AH495)=AG495),IF(AI495="",TRUE(),N(AJ495)=AI495)),"一致","不一致"))))</f>
        <v>―</v>
      </c>
      <c r="G495" s="25"/>
      <c r="H495" s="26"/>
      <c r="I495" s="27"/>
      <c r="J495" s="27"/>
      <c r="K495" s="27"/>
      <c r="L495" s="27"/>
      <c r="M495" s="27"/>
      <c r="N495" s="27"/>
      <c r="O495" s="27"/>
      <c r="P495" s="27"/>
      <c r="Q495" s="27"/>
      <c r="R495" s="27"/>
      <c r="S495" s="27"/>
      <c r="T495" s="27"/>
      <c r="U495" s="27"/>
      <c r="V495" s="27"/>
      <c r="W495" s="27"/>
      <c r="X495" s="27"/>
      <c r="Y495" s="27"/>
      <c r="Z495" s="27"/>
      <c r="AA495" s="10" t="str">
        <f aca="false">IFERROR(INDEX(設定!$E$61:$E$106,MATCH(B495,設定!$B$61:$B$106,0)),"合算")</f>
        <v>合算</v>
      </c>
      <c r="AB495" s="28"/>
      <c r="AC495" s="29" t="str">
        <f aca="false">IF(OR(G495="",G495="なし"),"",IF(AA495="合算",CJ495+N(Z495),IF(AA495="掛金・負担金別",(AY495+AZ495+BD495+BF495+BH495),SUM(AY495:BC495))))</f>
        <v/>
      </c>
      <c r="AD495" s="27"/>
      <c r="AE495" s="29" t="str">
        <f aca="false">IF(OR(G495="",G495="なし"),"",IF(AA495="掛金・負担金別",(BA495+BB495+BC495+BE495+BG495+BI495+N(Z495)),IF(AA495="経理区分別",BD495+BE495,"")))</f>
        <v/>
      </c>
      <c r="AF495" s="27"/>
      <c r="AG495" s="29" t="str">
        <f aca="false">IF(OR(G495="",G495="なし"),"",IF(AA495="経理区分別",BF495+BG495,""))</f>
        <v/>
      </c>
      <c r="AH495" s="27"/>
      <c r="AI495" s="29" t="str">
        <f aca="false">IF(OR(G495="",G495="なし"),"",IF(AA495="経理区分別",BH495+BI495+N(Z495),""))</f>
        <v/>
      </c>
      <c r="AJ495" s="27"/>
      <c r="AK495" s="26"/>
      <c r="AL495" s="26"/>
      <c r="AM495" s="30"/>
      <c r="AN495" s="31" t="n">
        <v>137250</v>
      </c>
      <c r="AO495" s="31" t="n">
        <v>11250</v>
      </c>
      <c r="AP495" s="31" t="n">
        <v>137250</v>
      </c>
      <c r="AQ495" s="31" t="n">
        <v>11250</v>
      </c>
      <c r="AR495" s="31" t="n">
        <v>140</v>
      </c>
      <c r="AS495" s="31" t="n">
        <v>82514</v>
      </c>
      <c r="AT495" s="31" t="n">
        <v>82665</v>
      </c>
      <c r="AU495" s="31" t="n">
        <v>8611</v>
      </c>
      <c r="AV495" s="31" t="n">
        <v>8611</v>
      </c>
      <c r="AW495" s="31" t="n">
        <v>1</v>
      </c>
      <c r="AX495" s="31" t="n">
        <v>1</v>
      </c>
      <c r="AY495" s="31" t="n">
        <f aca="false">IF($G495="",AN495,O495)</f>
        <v>137250</v>
      </c>
      <c r="AZ495" s="31" t="n">
        <f aca="false">IF($G495="",AO495,P495)</f>
        <v>11250</v>
      </c>
      <c r="BA495" s="31" t="n">
        <f aca="false">IF($G495="",AP495,T495)</f>
        <v>137250</v>
      </c>
      <c r="BB495" s="31" t="n">
        <f aca="false">IF($G495="",AQ495,U495)</f>
        <v>11250</v>
      </c>
      <c r="BC495" s="31" t="n">
        <f aca="false">IF($G495="",AR495,V495)</f>
        <v>140</v>
      </c>
      <c r="BD495" s="31" t="n">
        <f aca="false">IF($G495="",AS495,Q495)</f>
        <v>82514</v>
      </c>
      <c r="BE495" s="31" t="n">
        <f aca="false">IF($G495="",AT495,W495)</f>
        <v>82665</v>
      </c>
      <c r="BF495" s="31" t="n">
        <f aca="false">IF($G495="",AU495,R495)</f>
        <v>8611</v>
      </c>
      <c r="BG495" s="31" t="n">
        <f aca="false">IF($G495="",AV495,X495)</f>
        <v>8611</v>
      </c>
      <c r="BH495" s="31" t="n">
        <f aca="false">IF($G495="",AW495,S495)</f>
        <v>1</v>
      </c>
      <c r="BI495" s="31" t="n">
        <f aca="false">IF($G495="",AX495,Y495)</f>
        <v>1</v>
      </c>
      <c r="BJ495" s="31" t="n">
        <f aca="false">IF(CK495="N",BR495,ROUNDDOWN((I495-L495)*設定!$B$10/1000,0)+ROUNDDOWN((I495-L495)*設定!$B$11/1000,0))</f>
        <v>0</v>
      </c>
      <c r="BK495" s="31" t="n">
        <f aca="false">ROUNDDOWN((I495-L495)*設定!$C$10/1000,0)+ROUNDDOWN((I495-L495)*設定!$C$11/1000,0)+ROUNDDOWN(I495*設定!$C$12/1000,0)+IF(CL495="市局型",ROUNDDOWN(I495*設定!$C$16/1000,0),0)</f>
        <v>0</v>
      </c>
      <c r="BL495" s="31" t="n">
        <f aca="false">IF(CK495="N",BT495,ROUNDDOWN((J495-M495)*設定!$B$13/1000,0))</f>
        <v>0</v>
      </c>
      <c r="BM495" s="31" t="n">
        <f aca="false">ROUNDDOWN((J495-M495)*設定!$C$13/1000,0)+IF(CL495="市局型",ROUNDDOWN(J495*設定!$C$17/1000,0),0)</f>
        <v>0</v>
      </c>
      <c r="BN495" s="31" t="n">
        <f aca="false">IF(CK495="N",BV495,ROUNDDOWN((K495-N495)*設定!$B$14/1000,0))</f>
        <v>0</v>
      </c>
      <c r="BO495" s="31" t="n">
        <f aca="false">ROUNDDOWN((K495-N495)*設定!$C$14/1000,0)</f>
        <v>0</v>
      </c>
      <c r="BP495" s="31" t="n">
        <f aca="false">IF(CK495="N",BX495,ROUNDDOWN((J495-M495)*設定!$B$15/1000,0))</f>
        <v>0</v>
      </c>
      <c r="BQ495" s="31" t="n">
        <f aca="false">ROUNDDOWN((J495-M495)*設定!$C$15/1000,0)</f>
        <v>0</v>
      </c>
      <c r="BR495" s="31" t="n">
        <f aca="false">O495+P495</f>
        <v>0</v>
      </c>
      <c r="BS495" s="31" t="n">
        <f aca="false">T495+U495+V495</f>
        <v>0</v>
      </c>
      <c r="BT495" s="31" t="n">
        <f aca="false">Q495</f>
        <v>0</v>
      </c>
      <c r="BU495" s="31" t="n">
        <f aca="false">W495</f>
        <v>0</v>
      </c>
      <c r="BV495" s="31" t="n">
        <f aca="false">R495</f>
        <v>0</v>
      </c>
      <c r="BW495" s="31" t="n">
        <f aca="false">X495</f>
        <v>0</v>
      </c>
      <c r="BX495" s="31" t="n">
        <f aca="false">S495</f>
        <v>0</v>
      </c>
      <c r="BY495" s="31" t="n">
        <f aca="false">Y495</f>
        <v>0</v>
      </c>
      <c r="BZ495" s="32" t="n">
        <f aca="false">IF(BJ495=0,IF(BR495=0,0,1),(BR495-BJ495)/BJ495)</f>
        <v>0</v>
      </c>
      <c r="CA495" s="32" t="n">
        <f aca="false">IF(BK495=0,IF(BS495=0,0,1),(BS495-BK495)/BK495)</f>
        <v>0</v>
      </c>
      <c r="CB495" s="32" t="n">
        <f aca="false">IF(BL495=0,IF(BT495=0,0,1),(BT495-BL495)/BL495)</f>
        <v>0</v>
      </c>
      <c r="CC495" s="32" t="n">
        <f aca="false">IF(BM495=0,IF(BU495=0,0,1),(BU495-BM495)/BM495)</f>
        <v>0</v>
      </c>
      <c r="CD495" s="32" t="n">
        <f aca="false">IF(BN495=0,IF(BV495=0,0,1),(BV495-BN495)/BN495)</f>
        <v>0</v>
      </c>
      <c r="CE495" s="32" t="n">
        <f aca="false">IF(BO495=0,IF(BW495=0,0,1),(BW495-BO495)/BO495)</f>
        <v>0</v>
      </c>
      <c r="CF495" s="32" t="n">
        <f aca="false">IF(BP495=0,IF(BX495=0,0,1),(BX495-BP495)/BP495)</f>
        <v>0</v>
      </c>
      <c r="CG495" s="32" t="n">
        <f aca="false">IF(BQ495=0,IF(BY495=0,0,1),(BY495-BQ495)/BQ495)</f>
        <v>0</v>
      </c>
      <c r="CH495" s="32" t="n">
        <f aca="false">MAX(MAX(BZ495:CG495),-MIN(BZ495:CG495))</f>
        <v>-0</v>
      </c>
      <c r="CI495" s="31" t="n">
        <f aca="false">IF(CO495="","",SUMIFS($CJ$7:$CJ$696,$A$7:$A$696,CO495,$B$7:$B$696,B495))</f>
        <v>479543</v>
      </c>
      <c r="CJ495" s="31" t="n">
        <f aca="false">SUM(AY495:BI495)</f>
        <v>479543</v>
      </c>
      <c r="CK495" s="31" t="str">
        <f aca="false">IFERROR(INDEX(設定!$F$61:$F$106,MATCH(B495,設定!$B$61:$B$106,0)),"Y")</f>
        <v>Y</v>
      </c>
      <c r="CL495" s="31" t="str">
        <f aca="false">IFERROR(INDEX(設定!$G$61:$G$106,MATCH(B495,設定!$B$61:$B$106,0)),"外郭型")</f>
        <v>外郭型</v>
      </c>
      <c r="CM495" s="33" t="str">
        <f aca="false">A495&amp;"|"&amp;B495</f>
        <v>2026-12 月例|県下水道公社</v>
      </c>
      <c r="CN495" s="34" t="str">
        <f aca="false">IFERROR(INDEX(設定!$D$61:$D$106,MATCH(B495,設定!$B$61:$B$106,0)),"Y")</f>
        <v>Y</v>
      </c>
      <c r="CO495" s="34" t="str">
        <f aca="false">IFERROR(INDEX(設定!$D$20:$D$34,MATCH(A495,設定!$A$20:$A$34,0))&amp;"","")</f>
        <v>2026-11 月例</v>
      </c>
    </row>
    <row r="496" customFormat="false" ht="26.85" hidden="true" customHeight="false" outlineLevel="0" collapsed="false">
      <c r="A496" s="22" t="s">
        <v>226</v>
      </c>
      <c r="B496" s="35" t="s">
        <v>198</v>
      </c>
      <c r="C496" s="10" t="str">
        <f aca="false">IF(G496="","未受領",IF(G496="なし","報告なし",IF(AL496="○","起票済",IF(OR(AK496="○",F496="一致",F496="入金不要"),"入金確認済","受領済"))))</f>
        <v>未受領</v>
      </c>
      <c r="D496" s="10" t="str">
        <f aca="false">IF(OR(G496="",G496="なし"),"―",IF(CN496="N","対象外",IF(AND(I496="",J496="",K496=""),"標報未入力",IF(CH496&gt;=設定!$B$4,"要確認","問題なし"))))</f>
        <v>―</v>
      </c>
      <c r="E496" s="24" t="str">
        <f aca="false">IF(OR(G496="",G496="なし",CI496="",CJ496=0),"―",IF(CJ496=CI496,"前月同額",IF(CI496=0,"―",IF(ABS(CJ496/CI496-1)&gt;=設定!$B$5,"変動大 "&amp;TEXT(CJ496/CI496-1,"+0%;-0%"),"〇"))))</f>
        <v>―</v>
      </c>
      <c r="F496" s="10" t="str">
        <f aca="false">IF(OR(G496="",G496="なし"),"―",IF(CJ496=0,"入金不要",IF(COUNT(AD496,AF496,AH496,AJ496)=0,IF(AK496="○","手動確認","未入金"),IF(AND(N(AD496)=AC496,IF(AE496="",TRUE(),N(AF496)=AE496),IF(AG496="",TRUE(),N(AH496)=AG496),IF(AI496="",TRUE(),N(AJ496)=AI496)),"一致","不一致"))))</f>
        <v>―</v>
      </c>
      <c r="G496" s="25"/>
      <c r="H496" s="26"/>
      <c r="I496" s="27"/>
      <c r="J496" s="27"/>
      <c r="K496" s="27"/>
      <c r="L496" s="27"/>
      <c r="M496" s="27"/>
      <c r="N496" s="27"/>
      <c r="O496" s="27"/>
      <c r="P496" s="27"/>
      <c r="Q496" s="27"/>
      <c r="R496" s="27"/>
      <c r="S496" s="27"/>
      <c r="T496" s="27"/>
      <c r="U496" s="27"/>
      <c r="V496" s="27"/>
      <c r="W496" s="27"/>
      <c r="X496" s="27"/>
      <c r="Y496" s="27"/>
      <c r="Z496" s="27"/>
      <c r="AA496" s="10" t="str">
        <f aca="false">IFERROR(INDEX(設定!$E$61:$E$106,MATCH(B496,設定!$B$61:$B$106,0)),"合算")</f>
        <v>合算</v>
      </c>
      <c r="AB496" s="28"/>
      <c r="AC496" s="29" t="str">
        <f aca="false">IF(OR(G496="",G496="なし"),"",IF(AA496="合算",CJ496+N(Z496),IF(AA496="掛金・負担金別",(AY496+AZ496+BD496+BF496+BH496),SUM(AY496:BC496))))</f>
        <v/>
      </c>
      <c r="AD496" s="27"/>
      <c r="AE496" s="29" t="str">
        <f aca="false">IF(OR(G496="",G496="なし"),"",IF(AA496="掛金・負担金別",(BA496+BB496+BC496+BE496+BG496+BI496+N(Z496)),IF(AA496="経理区分別",BD496+BE496,"")))</f>
        <v/>
      </c>
      <c r="AF496" s="27"/>
      <c r="AG496" s="29" t="str">
        <f aca="false">IF(OR(G496="",G496="なし"),"",IF(AA496="経理区分別",BF496+BG496,""))</f>
        <v/>
      </c>
      <c r="AH496" s="27"/>
      <c r="AI496" s="29" t="str">
        <f aca="false">IF(OR(G496="",G496="なし"),"",IF(AA496="経理区分別",BH496+BI496+N(Z496),""))</f>
        <v/>
      </c>
      <c r="AJ496" s="27"/>
      <c r="AK496" s="26"/>
      <c r="AL496" s="26"/>
      <c r="AM496" s="30"/>
      <c r="AN496" s="31"/>
      <c r="AO496" s="31"/>
      <c r="AP496" s="31" t="n">
        <v>472140</v>
      </c>
      <c r="AQ496" s="31" t="n">
        <v>38700</v>
      </c>
      <c r="AR496" s="31" t="n">
        <v>484</v>
      </c>
      <c r="AS496" s="31"/>
      <c r="AT496" s="31" t="n">
        <v>289878</v>
      </c>
      <c r="AU496" s="31"/>
      <c r="AV496" s="31" t="n">
        <v>25517</v>
      </c>
      <c r="AW496" s="31"/>
      <c r="AX496" s="31" t="n">
        <v>1</v>
      </c>
      <c r="AY496" s="31" t="n">
        <f aca="false">IF($G496="",AN496,O496)</f>
        <v>0</v>
      </c>
      <c r="AZ496" s="31" t="n">
        <f aca="false">IF($G496="",AO496,P496)</f>
        <v>0</v>
      </c>
      <c r="BA496" s="31" t="n">
        <f aca="false">IF($G496="",AP496,T496)</f>
        <v>472140</v>
      </c>
      <c r="BB496" s="31" t="n">
        <f aca="false">IF($G496="",AQ496,U496)</f>
        <v>38700</v>
      </c>
      <c r="BC496" s="31" t="n">
        <f aca="false">IF($G496="",AR496,V496)</f>
        <v>484</v>
      </c>
      <c r="BD496" s="31" t="n">
        <f aca="false">IF($G496="",AS496,Q496)</f>
        <v>0</v>
      </c>
      <c r="BE496" s="31" t="n">
        <f aca="false">IF($G496="",AT496,W496)</f>
        <v>289878</v>
      </c>
      <c r="BF496" s="31" t="n">
        <f aca="false">IF($G496="",AU496,R496)</f>
        <v>0</v>
      </c>
      <c r="BG496" s="31" t="n">
        <f aca="false">IF($G496="",AV496,X496)</f>
        <v>25517</v>
      </c>
      <c r="BH496" s="31" t="n">
        <f aca="false">IF($G496="",AW496,S496)</f>
        <v>0</v>
      </c>
      <c r="BI496" s="31" t="n">
        <f aca="false">IF($G496="",AX496,Y496)</f>
        <v>1</v>
      </c>
      <c r="BJ496" s="31" t="n">
        <f aca="false">IF(CK496="N",BR496,ROUNDDOWN((I496-L496)*設定!$B$10/1000,0)+ROUNDDOWN((I496-L496)*設定!$B$11/1000,0))</f>
        <v>0</v>
      </c>
      <c r="BK496" s="31" t="n">
        <f aca="false">ROUNDDOWN((I496-L496)*設定!$C$10/1000,0)+ROUNDDOWN((I496-L496)*設定!$C$11/1000,0)+ROUNDDOWN(I496*設定!$C$12/1000,0)+IF(CL496="市局型",ROUNDDOWN(I496*設定!$C$16/1000,0),0)</f>
        <v>0</v>
      </c>
      <c r="BL496" s="31" t="n">
        <f aca="false">IF(CK496="N",BT496,ROUNDDOWN((J496-M496)*設定!$B$13/1000,0))</f>
        <v>0</v>
      </c>
      <c r="BM496" s="31" t="n">
        <f aca="false">ROUNDDOWN((J496-M496)*設定!$C$13/1000,0)+IF(CL496="市局型",ROUNDDOWN(J496*設定!$C$17/1000,0),0)</f>
        <v>0</v>
      </c>
      <c r="BN496" s="31" t="n">
        <f aca="false">IF(CK496="N",BV496,ROUNDDOWN((K496-N496)*設定!$B$14/1000,0))</f>
        <v>0</v>
      </c>
      <c r="BO496" s="31" t="n">
        <f aca="false">ROUNDDOWN((K496-N496)*設定!$C$14/1000,0)</f>
        <v>0</v>
      </c>
      <c r="BP496" s="31" t="n">
        <f aca="false">IF(CK496="N",BX496,ROUNDDOWN((J496-M496)*設定!$B$15/1000,0))</f>
        <v>0</v>
      </c>
      <c r="BQ496" s="31" t="n">
        <f aca="false">ROUNDDOWN((J496-M496)*設定!$C$15/1000,0)</f>
        <v>0</v>
      </c>
      <c r="BR496" s="31" t="n">
        <f aca="false">O496+P496</f>
        <v>0</v>
      </c>
      <c r="BS496" s="31" t="n">
        <f aca="false">T496+U496+V496</f>
        <v>0</v>
      </c>
      <c r="BT496" s="31" t="n">
        <f aca="false">Q496</f>
        <v>0</v>
      </c>
      <c r="BU496" s="31" t="n">
        <f aca="false">W496</f>
        <v>0</v>
      </c>
      <c r="BV496" s="31" t="n">
        <f aca="false">R496</f>
        <v>0</v>
      </c>
      <c r="BW496" s="31" t="n">
        <f aca="false">X496</f>
        <v>0</v>
      </c>
      <c r="BX496" s="31" t="n">
        <f aca="false">S496</f>
        <v>0</v>
      </c>
      <c r="BY496" s="31" t="n">
        <f aca="false">Y496</f>
        <v>0</v>
      </c>
      <c r="BZ496" s="32" t="n">
        <f aca="false">IF(BJ496=0,IF(BR496=0,0,1),(BR496-BJ496)/BJ496)</f>
        <v>0</v>
      </c>
      <c r="CA496" s="32" t="n">
        <f aca="false">IF(BK496=0,IF(BS496=0,0,1),(BS496-BK496)/BK496)</f>
        <v>0</v>
      </c>
      <c r="CB496" s="32" t="n">
        <f aca="false">IF(BL496=0,IF(BT496=0,0,1),(BT496-BL496)/BL496)</f>
        <v>0</v>
      </c>
      <c r="CC496" s="32" t="n">
        <f aca="false">IF(BM496=0,IF(BU496=0,0,1),(BU496-BM496)/BM496)</f>
        <v>0</v>
      </c>
      <c r="CD496" s="32" t="n">
        <f aca="false">IF(BN496=0,IF(BV496=0,0,1),(BV496-BN496)/BN496)</f>
        <v>0</v>
      </c>
      <c r="CE496" s="32" t="n">
        <f aca="false">IF(BO496=0,IF(BW496=0,0,1),(BW496-BO496)/BO496)</f>
        <v>0</v>
      </c>
      <c r="CF496" s="32" t="n">
        <f aca="false">IF(BP496=0,IF(BX496=0,0,1),(BX496-BP496)/BP496)</f>
        <v>0</v>
      </c>
      <c r="CG496" s="32" t="n">
        <f aca="false">IF(BQ496=0,IF(BY496=0,0,1),(BY496-BQ496)/BQ496)</f>
        <v>0</v>
      </c>
      <c r="CH496" s="32" t="n">
        <f aca="false">MAX(MAX(BZ496:CG496),-MIN(BZ496:CG496))</f>
        <v>-0</v>
      </c>
      <c r="CI496" s="31" t="n">
        <f aca="false">IF(CO496="","",SUMIFS($CJ$7:$CJ$696,$A$7:$A$696,CO496,$B$7:$B$696,B496))</f>
        <v>826720</v>
      </c>
      <c r="CJ496" s="31" t="n">
        <f aca="false">SUM(AY496:BI496)</f>
        <v>826720</v>
      </c>
      <c r="CK496" s="31" t="str">
        <f aca="false">IFERROR(INDEX(設定!$F$61:$F$106,MATCH(B496,設定!$B$61:$B$106,0)),"Y")</f>
        <v>N</v>
      </c>
      <c r="CL496" s="31" t="str">
        <f aca="false">IFERROR(INDEX(設定!$G$61:$G$106,MATCH(B496,設定!$B$61:$B$106,0)),"外郭型")</f>
        <v>外郭型</v>
      </c>
      <c r="CM496" s="36" t="str">
        <f aca="false">A496&amp;"|"&amp;B496</f>
        <v>2026-12 月例|バス協調・共創
プラットフォーム</v>
      </c>
      <c r="CN496" s="34" t="str">
        <f aca="false">IFERROR(INDEX(設定!$D$61:$D$106,MATCH(B496,設定!$B$61:$B$106,0)),"Y")</f>
        <v>Y</v>
      </c>
      <c r="CO496" s="34" t="str">
        <f aca="false">IFERROR(INDEX(設定!$D$20:$D$34,MATCH(A496,設定!$A$20:$A$34,0))&amp;"","")</f>
        <v>2026-11 月例</v>
      </c>
    </row>
    <row r="497" customFormat="false" ht="15" hidden="true" customHeight="false" outlineLevel="0" collapsed="false">
      <c r="A497" s="22" t="s">
        <v>226</v>
      </c>
      <c r="B497" s="23" t="s">
        <v>199</v>
      </c>
      <c r="C497" s="10" t="str">
        <f aca="false">IF(G497="","未受領",IF(G497="なし","報告なし",IF(AL497="○","起票済",IF(OR(AK497="○",F497="一致",F497="入金不要"),"入金確認済","受領済"))))</f>
        <v>未受領</v>
      </c>
      <c r="D497" s="10" t="str">
        <f aca="false">IF(OR(G497="",G497="なし"),"―",IF(CN497="N","対象外",IF(AND(I497="",J497="",K497=""),"標報未入力",IF(CH497&gt;=設定!$B$4,"要確認","問題なし"))))</f>
        <v>―</v>
      </c>
      <c r="E497" s="24" t="str">
        <f aca="false">IF(OR(G497="",G497="なし",CI497="",CJ497=0),"―",IF(CJ497=CI497,"前月同額",IF(CI497=0,"―",IF(ABS(CJ497/CI497-1)&gt;=設定!$B$5,"変動大 "&amp;TEXT(CJ497/CI497-1,"+0%;-0%"),"〇"))))</f>
        <v>―</v>
      </c>
      <c r="F497" s="10" t="str">
        <f aca="false">IF(OR(G497="",G497="なし"),"―",IF(CJ497=0,"入金不要",IF(COUNT(AD497,AF497,AH497,AJ497)=0,IF(AK497="○","手動確認","未入金"),IF(AND(N(AD497)=AC497,IF(AE497="",TRUE(),N(AF497)=AE497),IF(AG497="",TRUE(),N(AH497)=AG497),IF(AI497="",TRUE(),N(AJ497)=AI497)),"一致","不一致"))))</f>
        <v>―</v>
      </c>
      <c r="G497" s="25"/>
      <c r="H497" s="26"/>
      <c r="I497" s="27"/>
      <c r="J497" s="27"/>
      <c r="K497" s="27"/>
      <c r="L497" s="27"/>
      <c r="M497" s="27"/>
      <c r="N497" s="27"/>
      <c r="O497" s="27"/>
      <c r="P497" s="27"/>
      <c r="Q497" s="27"/>
      <c r="R497" s="27"/>
      <c r="S497" s="27"/>
      <c r="T497" s="27"/>
      <c r="U497" s="27"/>
      <c r="V497" s="27"/>
      <c r="W497" s="27"/>
      <c r="X497" s="27"/>
      <c r="Y497" s="27"/>
      <c r="Z497" s="27"/>
      <c r="AA497" s="10" t="str">
        <f aca="false">IFERROR(INDEX(設定!$E$61:$E$106,MATCH(B497,設定!$B$61:$B$106,0)),"合算")</f>
        <v>合算</v>
      </c>
      <c r="AB497" s="28"/>
      <c r="AC497" s="29" t="str">
        <f aca="false">IF(OR(G497="",G497="なし"),"",IF(AA497="合算",CJ497+N(Z497),IF(AA497="掛金・負担金別",(AY497+AZ497+BD497+BF497+BH497),SUM(AY497:BC497))))</f>
        <v/>
      </c>
      <c r="AD497" s="27"/>
      <c r="AE497" s="29" t="str">
        <f aca="false">IF(OR(G497="",G497="なし"),"",IF(AA497="掛金・負担金別",(BA497+BB497+BC497+BE497+BG497+BI497+N(Z497)),IF(AA497="経理区分別",BD497+BE497,"")))</f>
        <v/>
      </c>
      <c r="AF497" s="27"/>
      <c r="AG497" s="29" t="str">
        <f aca="false">IF(OR(G497="",G497="なし"),"",IF(AA497="経理区分別",BF497+BG497,""))</f>
        <v/>
      </c>
      <c r="AH497" s="27"/>
      <c r="AI497" s="29" t="str">
        <f aca="false">IF(OR(G497="",G497="なし"),"",IF(AA497="経理区分別",BH497+BI497+N(Z497),""))</f>
        <v/>
      </c>
      <c r="AJ497" s="27"/>
      <c r="AK497" s="26"/>
      <c r="AL497" s="26"/>
      <c r="AM497" s="30"/>
      <c r="AN497" s="31" t="n">
        <v>56730</v>
      </c>
      <c r="AO497" s="31" t="n">
        <v>4650</v>
      </c>
      <c r="AP497" s="31" t="n">
        <v>56730</v>
      </c>
      <c r="AQ497" s="31" t="n">
        <v>4650</v>
      </c>
      <c r="AR497" s="31" t="n">
        <v>58</v>
      </c>
      <c r="AS497" s="31" t="n">
        <v>34106</v>
      </c>
      <c r="AT497" s="31" t="n">
        <v>34168</v>
      </c>
      <c r="AU497" s="31" t="n">
        <v>4898</v>
      </c>
      <c r="AV497" s="31" t="n">
        <v>4898</v>
      </c>
      <c r="AW497" s="31" t="n">
        <v>1</v>
      </c>
      <c r="AX497" s="31" t="n">
        <v>1</v>
      </c>
      <c r="AY497" s="31" t="n">
        <f aca="false">IF($G497="",AN497,O497)</f>
        <v>56730</v>
      </c>
      <c r="AZ497" s="31" t="n">
        <f aca="false">IF($G497="",AO497,P497)</f>
        <v>4650</v>
      </c>
      <c r="BA497" s="31" t="n">
        <f aca="false">IF($G497="",AP497,T497)</f>
        <v>56730</v>
      </c>
      <c r="BB497" s="31" t="n">
        <f aca="false">IF($G497="",AQ497,U497)</f>
        <v>4650</v>
      </c>
      <c r="BC497" s="31" t="n">
        <f aca="false">IF($G497="",AR497,V497)</f>
        <v>58</v>
      </c>
      <c r="BD497" s="31" t="n">
        <f aca="false">IF($G497="",AS497,Q497)</f>
        <v>34106</v>
      </c>
      <c r="BE497" s="31" t="n">
        <f aca="false">IF($G497="",AT497,W497)</f>
        <v>34168</v>
      </c>
      <c r="BF497" s="31" t="n">
        <f aca="false">IF($G497="",AU497,R497)</f>
        <v>4898</v>
      </c>
      <c r="BG497" s="31" t="n">
        <f aca="false">IF($G497="",AV497,X497)</f>
        <v>4898</v>
      </c>
      <c r="BH497" s="31" t="n">
        <f aca="false">IF($G497="",AW497,S497)</f>
        <v>1</v>
      </c>
      <c r="BI497" s="31" t="n">
        <f aca="false">IF($G497="",AX497,Y497)</f>
        <v>1</v>
      </c>
      <c r="BJ497" s="31" t="n">
        <f aca="false">IF(CK497="N",BR497,ROUNDDOWN((I497-L497)*設定!$B$10/1000,0)+ROUNDDOWN((I497-L497)*設定!$B$11/1000,0))</f>
        <v>0</v>
      </c>
      <c r="BK497" s="31" t="n">
        <f aca="false">ROUNDDOWN((I497-L497)*設定!$C$10/1000,0)+ROUNDDOWN((I497-L497)*設定!$C$11/1000,0)+ROUNDDOWN(I497*設定!$C$12/1000,0)+IF(CL497="市局型",ROUNDDOWN(I497*設定!$C$16/1000,0),0)</f>
        <v>0</v>
      </c>
      <c r="BL497" s="31" t="n">
        <f aca="false">IF(CK497="N",BT497,ROUNDDOWN((J497-M497)*設定!$B$13/1000,0))</f>
        <v>0</v>
      </c>
      <c r="BM497" s="31" t="n">
        <f aca="false">ROUNDDOWN((J497-M497)*設定!$C$13/1000,0)+IF(CL497="市局型",ROUNDDOWN(J497*設定!$C$17/1000,0),0)</f>
        <v>0</v>
      </c>
      <c r="BN497" s="31" t="n">
        <f aca="false">IF(CK497="N",BV497,ROUNDDOWN((K497-N497)*設定!$B$14/1000,0))</f>
        <v>0</v>
      </c>
      <c r="BO497" s="31" t="n">
        <f aca="false">ROUNDDOWN((K497-N497)*設定!$C$14/1000,0)</f>
        <v>0</v>
      </c>
      <c r="BP497" s="31" t="n">
        <f aca="false">IF(CK497="N",BX497,ROUNDDOWN((J497-M497)*設定!$B$15/1000,0))</f>
        <v>0</v>
      </c>
      <c r="BQ497" s="31" t="n">
        <f aca="false">ROUNDDOWN((J497-M497)*設定!$C$15/1000,0)</f>
        <v>0</v>
      </c>
      <c r="BR497" s="31" t="n">
        <f aca="false">O497+P497</f>
        <v>0</v>
      </c>
      <c r="BS497" s="31" t="n">
        <f aca="false">T497+U497+V497</f>
        <v>0</v>
      </c>
      <c r="BT497" s="31" t="n">
        <f aca="false">Q497</f>
        <v>0</v>
      </c>
      <c r="BU497" s="31" t="n">
        <f aca="false">W497</f>
        <v>0</v>
      </c>
      <c r="BV497" s="31" t="n">
        <f aca="false">R497</f>
        <v>0</v>
      </c>
      <c r="BW497" s="31" t="n">
        <f aca="false">X497</f>
        <v>0</v>
      </c>
      <c r="BX497" s="31" t="n">
        <f aca="false">S497</f>
        <v>0</v>
      </c>
      <c r="BY497" s="31" t="n">
        <f aca="false">Y497</f>
        <v>0</v>
      </c>
      <c r="BZ497" s="32" t="n">
        <f aca="false">IF(BJ497=0,IF(BR497=0,0,1),(BR497-BJ497)/BJ497)</f>
        <v>0</v>
      </c>
      <c r="CA497" s="32" t="n">
        <f aca="false">IF(BK497=0,IF(BS497=0,0,1),(BS497-BK497)/BK497)</f>
        <v>0</v>
      </c>
      <c r="CB497" s="32" t="n">
        <f aca="false">IF(BL497=0,IF(BT497=0,0,1),(BT497-BL497)/BL497)</f>
        <v>0</v>
      </c>
      <c r="CC497" s="32" t="n">
        <f aca="false">IF(BM497=0,IF(BU497=0,0,1),(BU497-BM497)/BM497)</f>
        <v>0</v>
      </c>
      <c r="CD497" s="32" t="n">
        <f aca="false">IF(BN497=0,IF(BV497=0,0,1),(BV497-BN497)/BN497)</f>
        <v>0</v>
      </c>
      <c r="CE497" s="32" t="n">
        <f aca="false">IF(BO497=0,IF(BW497=0,0,1),(BW497-BO497)/BO497)</f>
        <v>0</v>
      </c>
      <c r="CF497" s="32" t="n">
        <f aca="false">IF(BP497=0,IF(BX497=0,0,1),(BX497-BP497)/BP497)</f>
        <v>0</v>
      </c>
      <c r="CG497" s="32" t="n">
        <f aca="false">IF(BQ497=0,IF(BY497=0,0,1),(BY497-BQ497)/BQ497)</f>
        <v>0</v>
      </c>
      <c r="CH497" s="32" t="n">
        <f aca="false">MAX(MAX(BZ497:CG497),-MIN(BZ497:CG497))</f>
        <v>-0</v>
      </c>
      <c r="CI497" s="31" t="n">
        <f aca="false">IF(CO497="","",SUMIFS($CJ$7:$CJ$696,$A$7:$A$696,CO497,$B$7:$B$696,B497))</f>
        <v>200890</v>
      </c>
      <c r="CJ497" s="31" t="n">
        <f aca="false">SUM(AY497:BI497)</f>
        <v>200890</v>
      </c>
      <c r="CK497" s="31" t="str">
        <f aca="false">IFERROR(INDEX(設定!$F$61:$F$106,MATCH(B497,設定!$B$61:$B$106,0)),"Y")</f>
        <v>Y</v>
      </c>
      <c r="CL497" s="31" t="str">
        <f aca="false">IFERROR(INDEX(設定!$G$61:$G$106,MATCH(B497,設定!$B$61:$B$106,0)),"外郭型")</f>
        <v>外郭型</v>
      </c>
      <c r="CM497" s="33" t="str">
        <f aca="false">A497&amp;"|"&amp;B497</f>
        <v>2026-12 月例|広島県市長会</v>
      </c>
      <c r="CN497" s="34" t="str">
        <f aca="false">IFERROR(INDEX(設定!$D$61:$D$106,MATCH(B497,設定!$B$61:$B$106,0)),"Y")</f>
        <v>Y</v>
      </c>
      <c r="CO497" s="34" t="str">
        <f aca="false">IFERROR(INDEX(設定!$D$20:$D$34,MATCH(A497,設定!$A$20:$A$34,0))&amp;"","")</f>
        <v>2026-11 月例</v>
      </c>
    </row>
    <row r="498" customFormat="false" ht="15" hidden="true" customHeight="false" outlineLevel="0" collapsed="false">
      <c r="A498" s="22" t="s">
        <v>226</v>
      </c>
      <c r="B498" s="23" t="s">
        <v>200</v>
      </c>
      <c r="C498" s="10" t="str">
        <f aca="false">IF(G498="","未受領",IF(G498="なし","報告なし",IF(AL498="○","起票済",IF(OR(AK498="○",F498="一致",F498="入金不要"),"入金確認済","受領済"))))</f>
        <v>未受領</v>
      </c>
      <c r="D498" s="10" t="str">
        <f aca="false">IF(OR(G498="",G498="なし"),"―",IF(CN498="N","対象外",IF(AND(I498="",J498="",K498=""),"標報未入力",IF(CH498&gt;=設定!$B$4,"要確認","問題なし"))))</f>
        <v>―</v>
      </c>
      <c r="E498" s="24" t="str">
        <f aca="false">IF(OR(G498="",G498="なし",CI498="",CJ498=0),"―",IF(CJ498=CI498,"前月同額",IF(CI498=0,"―",IF(ABS(CJ498/CI498-1)&gt;=設定!$B$5,"変動大 "&amp;TEXT(CJ498/CI498-1,"+0%;-0%"),"〇"))))</f>
        <v>―</v>
      </c>
      <c r="F498" s="10" t="str">
        <f aca="false">IF(OR(G498="",G498="なし"),"―",IF(CJ498=0,"入金不要",IF(COUNT(AD498,AF498,AH498,AJ498)=0,IF(AK498="○","手動確認","未入金"),IF(AND(N(AD498)=AC498,IF(AE498="",TRUE(),N(AF498)=AE498),IF(AG498="",TRUE(),N(AH498)=AG498),IF(AI498="",TRUE(),N(AJ498)=AI498)),"一致","不一致"))))</f>
        <v>―</v>
      </c>
      <c r="G498" s="25"/>
      <c r="H498" s="26"/>
      <c r="I498" s="27"/>
      <c r="J498" s="27"/>
      <c r="K498" s="27"/>
      <c r="L498" s="27"/>
      <c r="M498" s="27"/>
      <c r="N498" s="27"/>
      <c r="O498" s="27"/>
      <c r="P498" s="27"/>
      <c r="Q498" s="27"/>
      <c r="R498" s="27"/>
      <c r="S498" s="27"/>
      <c r="T498" s="27"/>
      <c r="U498" s="27"/>
      <c r="V498" s="27"/>
      <c r="W498" s="27"/>
      <c r="X498" s="27"/>
      <c r="Y498" s="27"/>
      <c r="Z498" s="27"/>
      <c r="AA498" s="10" t="str">
        <f aca="false">IFERROR(INDEX(設定!$E$61:$E$106,MATCH(B498,設定!$B$61:$B$106,0)),"合算")</f>
        <v>合算</v>
      </c>
      <c r="AB498" s="28"/>
      <c r="AC498" s="29" t="str">
        <f aca="false">IF(OR(G498="",G498="なし"),"",IF(AA498="合算",CJ498+N(Z498),IF(AA498="掛金・負担金別",(AY498+AZ498+BD498+BF498+BH498),SUM(AY498:BC498))))</f>
        <v/>
      </c>
      <c r="AD498" s="27"/>
      <c r="AE498" s="29" t="str">
        <f aca="false">IF(OR(G498="",G498="なし"),"",IF(AA498="掛金・負担金別",(BA498+BB498+BC498+BE498+BG498+BI498+N(Z498)),IF(AA498="経理区分別",BD498+BE498,"")))</f>
        <v/>
      </c>
      <c r="AF498" s="27"/>
      <c r="AG498" s="29" t="str">
        <f aca="false">IF(OR(G498="",G498="なし"),"",IF(AA498="経理区分別",BF498+BG498,""))</f>
        <v/>
      </c>
      <c r="AH498" s="27"/>
      <c r="AI498" s="29" t="str">
        <f aca="false">IF(OR(G498="",G498="なし"),"",IF(AA498="経理区分別",BH498+BI498+N(Z498),""))</f>
        <v/>
      </c>
      <c r="AJ498" s="27"/>
      <c r="AK498" s="26"/>
      <c r="AL498" s="26"/>
      <c r="AM498" s="30"/>
      <c r="AN498" s="31" t="n">
        <v>59475</v>
      </c>
      <c r="AO498" s="31" t="n">
        <v>4875</v>
      </c>
      <c r="AP498" s="31" t="n">
        <v>59475</v>
      </c>
      <c r="AQ498" s="31" t="n">
        <v>4875</v>
      </c>
      <c r="AR498" s="31" t="n">
        <v>61</v>
      </c>
      <c r="AS498" s="31" t="n">
        <v>41257</v>
      </c>
      <c r="AT498" s="31" t="n">
        <v>41332</v>
      </c>
      <c r="AU498" s="31" t="n">
        <v>5925</v>
      </c>
      <c r="AV498" s="31" t="n">
        <v>5925</v>
      </c>
      <c r="AW498" s="31" t="n">
        <v>1</v>
      </c>
      <c r="AX498" s="31" t="n">
        <v>1</v>
      </c>
      <c r="AY498" s="31" t="n">
        <f aca="false">IF($G498="",AN498,O498)</f>
        <v>59475</v>
      </c>
      <c r="AZ498" s="31" t="n">
        <f aca="false">IF($G498="",AO498,P498)</f>
        <v>4875</v>
      </c>
      <c r="BA498" s="31" t="n">
        <f aca="false">IF($G498="",AP498,T498)</f>
        <v>59475</v>
      </c>
      <c r="BB498" s="31" t="n">
        <f aca="false">IF($G498="",AQ498,U498)</f>
        <v>4875</v>
      </c>
      <c r="BC498" s="31" t="n">
        <f aca="false">IF($G498="",AR498,V498)</f>
        <v>61</v>
      </c>
      <c r="BD498" s="31" t="n">
        <f aca="false">IF($G498="",AS498,Q498)</f>
        <v>41257</v>
      </c>
      <c r="BE498" s="31" t="n">
        <f aca="false">IF($G498="",AT498,W498)</f>
        <v>41332</v>
      </c>
      <c r="BF498" s="31" t="n">
        <f aca="false">IF($G498="",AU498,R498)</f>
        <v>5925</v>
      </c>
      <c r="BG498" s="31" t="n">
        <f aca="false">IF($G498="",AV498,X498)</f>
        <v>5925</v>
      </c>
      <c r="BH498" s="31" t="n">
        <f aca="false">IF($G498="",AW498,S498)</f>
        <v>1</v>
      </c>
      <c r="BI498" s="31" t="n">
        <f aca="false">IF($G498="",AX498,Y498)</f>
        <v>1</v>
      </c>
      <c r="BJ498" s="31" t="n">
        <f aca="false">IF(CK498="N",BR498,ROUNDDOWN((I498-L498)*設定!$B$10/1000,0)+ROUNDDOWN((I498-L498)*設定!$B$11/1000,0))</f>
        <v>0</v>
      </c>
      <c r="BK498" s="31" t="n">
        <f aca="false">ROUNDDOWN((I498-L498)*設定!$C$10/1000,0)+ROUNDDOWN((I498-L498)*設定!$C$11/1000,0)+ROUNDDOWN(I498*設定!$C$12/1000,0)+IF(CL498="市局型",ROUNDDOWN(I498*設定!$C$16/1000,0),0)</f>
        <v>0</v>
      </c>
      <c r="BL498" s="31" t="n">
        <f aca="false">IF(CK498="N",BT498,ROUNDDOWN((J498-M498)*設定!$B$13/1000,0))</f>
        <v>0</v>
      </c>
      <c r="BM498" s="31" t="n">
        <f aca="false">ROUNDDOWN((J498-M498)*設定!$C$13/1000,0)+IF(CL498="市局型",ROUNDDOWN(J498*設定!$C$17/1000,0),0)</f>
        <v>0</v>
      </c>
      <c r="BN498" s="31" t="n">
        <f aca="false">IF(CK498="N",BV498,ROUNDDOWN((K498-N498)*設定!$B$14/1000,0))</f>
        <v>0</v>
      </c>
      <c r="BO498" s="31" t="n">
        <f aca="false">ROUNDDOWN((K498-N498)*設定!$C$14/1000,0)</f>
        <v>0</v>
      </c>
      <c r="BP498" s="31" t="n">
        <f aca="false">IF(CK498="N",BX498,ROUNDDOWN((J498-M498)*設定!$B$15/1000,0))</f>
        <v>0</v>
      </c>
      <c r="BQ498" s="31" t="n">
        <f aca="false">ROUNDDOWN((J498-M498)*設定!$C$15/1000,0)</f>
        <v>0</v>
      </c>
      <c r="BR498" s="31" t="n">
        <f aca="false">O498+P498</f>
        <v>0</v>
      </c>
      <c r="BS498" s="31" t="n">
        <f aca="false">T498+U498+V498</f>
        <v>0</v>
      </c>
      <c r="BT498" s="31" t="n">
        <f aca="false">Q498</f>
        <v>0</v>
      </c>
      <c r="BU498" s="31" t="n">
        <f aca="false">W498</f>
        <v>0</v>
      </c>
      <c r="BV498" s="31" t="n">
        <f aca="false">R498</f>
        <v>0</v>
      </c>
      <c r="BW498" s="31" t="n">
        <f aca="false">X498</f>
        <v>0</v>
      </c>
      <c r="BX498" s="31" t="n">
        <f aca="false">S498</f>
        <v>0</v>
      </c>
      <c r="BY498" s="31" t="n">
        <f aca="false">Y498</f>
        <v>0</v>
      </c>
      <c r="BZ498" s="32" t="n">
        <f aca="false">IF(BJ498=0,IF(BR498=0,0,1),(BR498-BJ498)/BJ498)</f>
        <v>0</v>
      </c>
      <c r="CA498" s="32" t="n">
        <f aca="false">IF(BK498=0,IF(BS498=0,0,1),(BS498-BK498)/BK498)</f>
        <v>0</v>
      </c>
      <c r="CB498" s="32" t="n">
        <f aca="false">IF(BL498=0,IF(BT498=0,0,1),(BT498-BL498)/BL498)</f>
        <v>0</v>
      </c>
      <c r="CC498" s="32" t="n">
        <f aca="false">IF(BM498=0,IF(BU498=0,0,1),(BU498-BM498)/BM498)</f>
        <v>0</v>
      </c>
      <c r="CD498" s="32" t="n">
        <f aca="false">IF(BN498=0,IF(BV498=0,0,1),(BV498-BN498)/BN498)</f>
        <v>0</v>
      </c>
      <c r="CE498" s="32" t="n">
        <f aca="false">IF(BO498=0,IF(BW498=0,0,1),(BW498-BO498)/BO498)</f>
        <v>0</v>
      </c>
      <c r="CF498" s="32" t="n">
        <f aca="false">IF(BP498=0,IF(BX498=0,0,1),(BX498-BP498)/BP498)</f>
        <v>0</v>
      </c>
      <c r="CG498" s="32" t="n">
        <f aca="false">IF(BQ498=0,IF(BY498=0,0,1),(BY498-BQ498)/BQ498)</f>
        <v>0</v>
      </c>
      <c r="CH498" s="32" t="n">
        <f aca="false">MAX(MAX(BZ498:CG498),-MIN(BZ498:CG498))</f>
        <v>-0</v>
      </c>
      <c r="CI498" s="31" t="n">
        <f aca="false">IF(CO498="","",SUMIFS($CJ$7:$CJ$696,$A$7:$A$696,CO498,$B$7:$B$696,B498))</f>
        <v>223202</v>
      </c>
      <c r="CJ498" s="31" t="n">
        <f aca="false">SUM(AY498:BI498)</f>
        <v>223202</v>
      </c>
      <c r="CK498" s="31" t="str">
        <f aca="false">IFERROR(INDEX(設定!$F$61:$F$106,MATCH(B498,設定!$B$61:$B$106,0)),"Y")</f>
        <v>Y</v>
      </c>
      <c r="CL498" s="31" t="str">
        <f aca="false">IFERROR(INDEX(設定!$G$61:$G$106,MATCH(B498,設定!$B$61:$B$106,0)),"外郭型")</f>
        <v>外郭型</v>
      </c>
      <c r="CM498" s="33" t="str">
        <f aca="false">A498&amp;"|"&amp;B498</f>
        <v>2026-12 月例|全国市町村研修財団</v>
      </c>
      <c r="CN498" s="34" t="str">
        <f aca="false">IFERROR(INDEX(設定!$D$61:$D$106,MATCH(B498,設定!$B$61:$B$106,0)),"Y")</f>
        <v>Y</v>
      </c>
      <c r="CO498" s="34" t="str">
        <f aca="false">IFERROR(INDEX(設定!$D$20:$D$34,MATCH(A498,設定!$A$20:$A$34,0))&amp;"","")</f>
        <v>2026-11 月例</v>
      </c>
    </row>
    <row r="499" customFormat="false" ht="15" hidden="true" customHeight="false" outlineLevel="0" collapsed="false">
      <c r="A499" s="22" t="s">
        <v>226</v>
      </c>
      <c r="B499" s="23" t="s">
        <v>201</v>
      </c>
      <c r="C499" s="10" t="str">
        <f aca="false">IF(G499="","未受領",IF(G499="なし","報告なし",IF(AL499="○","起票済",IF(OR(AK499="○",F499="一致",F499="入金不要"),"入金確認済","受領済"))))</f>
        <v>未受領</v>
      </c>
      <c r="D499" s="10" t="str">
        <f aca="false">IF(OR(G499="",G499="なし"),"―",IF(CN499="N","対象外",IF(AND(I499="",J499="",K499=""),"標報未入力",IF(CH499&gt;=設定!$B$4,"要確認","問題なし"))))</f>
        <v>―</v>
      </c>
      <c r="E499" s="24" t="str">
        <f aca="false">IF(OR(G499="",G499="なし",CI499="",CJ499=0),"―",IF(CJ499=CI499,"前月同額",IF(CI499=0,"―",IF(ABS(CJ499/CI499-1)&gt;=設定!$B$5,"変動大 "&amp;TEXT(CJ499/CI499-1,"+0%;-0%"),"〇"))))</f>
        <v>―</v>
      </c>
      <c r="F499" s="10" t="str">
        <f aca="false">IF(OR(G499="",G499="なし"),"―",IF(CJ499=0,"入金不要",IF(COUNT(AD499,AF499,AH499,AJ499)=0,IF(AK499="○","手動確認","未入金"),IF(AND(N(AD499)=AC499,IF(AE499="",TRUE(),N(AF499)=AE499),IF(AG499="",TRUE(),N(AH499)=AG499),IF(AI499="",TRUE(),N(AJ499)=AI499)),"一致","不一致"))))</f>
        <v>―</v>
      </c>
      <c r="G499" s="25"/>
      <c r="H499" s="26"/>
      <c r="I499" s="27"/>
      <c r="J499" s="27"/>
      <c r="K499" s="27"/>
      <c r="L499" s="27"/>
      <c r="M499" s="27"/>
      <c r="N499" s="27"/>
      <c r="O499" s="27"/>
      <c r="P499" s="27"/>
      <c r="Q499" s="27"/>
      <c r="R499" s="27"/>
      <c r="S499" s="27"/>
      <c r="T499" s="27"/>
      <c r="U499" s="27"/>
      <c r="V499" s="27"/>
      <c r="W499" s="27"/>
      <c r="X499" s="27"/>
      <c r="Y499" s="27"/>
      <c r="Z499" s="27"/>
      <c r="AA499" s="10" t="str">
        <f aca="false">IFERROR(INDEX(設定!$E$61:$E$106,MATCH(B499,設定!$B$61:$B$106,0)),"合算")</f>
        <v>合算</v>
      </c>
      <c r="AB499" s="28"/>
      <c r="AC499" s="29" t="str">
        <f aca="false">IF(OR(G499="",G499="なし"),"",IF(AA499="合算",CJ499+N(Z499),IF(AA499="掛金・負担金別",(AY499+AZ499+BD499+BF499+BH499),SUM(AY499:BC499))))</f>
        <v/>
      </c>
      <c r="AD499" s="27"/>
      <c r="AE499" s="29" t="str">
        <f aca="false">IF(OR(G499="",G499="なし"),"",IF(AA499="掛金・負担金別",(BA499+BB499+BC499+BE499+BG499+BI499+N(Z499)),IF(AA499="経理区分別",BD499+BE499,"")))</f>
        <v/>
      </c>
      <c r="AF499" s="27"/>
      <c r="AG499" s="29" t="str">
        <f aca="false">IF(OR(G499="",G499="なし"),"",IF(AA499="経理区分別",BF499+BG499,""))</f>
        <v/>
      </c>
      <c r="AH499" s="27"/>
      <c r="AI499" s="29" t="str">
        <f aca="false">IF(OR(G499="",G499="なし"),"",IF(AA499="経理区分別",BH499+BI499+N(Z499),""))</f>
        <v/>
      </c>
      <c r="AJ499" s="27"/>
      <c r="AK499" s="26"/>
      <c r="AL499" s="26"/>
      <c r="AM499" s="30"/>
      <c r="AN499" s="31" t="n">
        <v>48495</v>
      </c>
      <c r="AO499" s="31" t="n">
        <v>3975</v>
      </c>
      <c r="AP499" s="31" t="n">
        <v>48495</v>
      </c>
      <c r="AQ499" s="31" t="n">
        <v>3975</v>
      </c>
      <c r="AR499" s="31" t="n">
        <v>49</v>
      </c>
      <c r="AS499" s="31" t="n">
        <v>29155</v>
      </c>
      <c r="AT499" s="31" t="n">
        <v>29208</v>
      </c>
      <c r="AU499" s="31" t="n">
        <v>0</v>
      </c>
      <c r="AV499" s="31" t="n">
        <v>0</v>
      </c>
      <c r="AW499" s="31" t="n">
        <v>1</v>
      </c>
      <c r="AX499" s="31" t="n">
        <v>1</v>
      </c>
      <c r="AY499" s="31" t="n">
        <f aca="false">IF($G499="",AN499,O499)</f>
        <v>48495</v>
      </c>
      <c r="AZ499" s="31" t="n">
        <f aca="false">IF($G499="",AO499,P499)</f>
        <v>3975</v>
      </c>
      <c r="BA499" s="31" t="n">
        <f aca="false">IF($G499="",AP499,T499)</f>
        <v>48495</v>
      </c>
      <c r="BB499" s="31" t="n">
        <f aca="false">IF($G499="",AQ499,U499)</f>
        <v>3975</v>
      </c>
      <c r="BC499" s="31" t="n">
        <f aca="false">IF($G499="",AR499,V499)</f>
        <v>49</v>
      </c>
      <c r="BD499" s="31" t="n">
        <f aca="false">IF($G499="",AS499,Q499)</f>
        <v>29155</v>
      </c>
      <c r="BE499" s="31" t="n">
        <f aca="false">IF($G499="",AT499,W499)</f>
        <v>29208</v>
      </c>
      <c r="BF499" s="31" t="n">
        <f aca="false">IF($G499="",AU499,R499)</f>
        <v>0</v>
      </c>
      <c r="BG499" s="31" t="n">
        <f aca="false">IF($G499="",AV499,X499)</f>
        <v>0</v>
      </c>
      <c r="BH499" s="31" t="n">
        <f aca="false">IF($G499="",AW499,S499)</f>
        <v>1</v>
      </c>
      <c r="BI499" s="31" t="n">
        <f aca="false">IF($G499="",AX499,Y499)</f>
        <v>1</v>
      </c>
      <c r="BJ499" s="31" t="n">
        <f aca="false">IF(CK499="N",BR499,ROUNDDOWN((I499-L499)*設定!$B$10/1000,0)+ROUNDDOWN((I499-L499)*設定!$B$11/1000,0))</f>
        <v>0</v>
      </c>
      <c r="BK499" s="31" t="n">
        <f aca="false">ROUNDDOWN((I499-L499)*設定!$C$10/1000,0)+ROUNDDOWN((I499-L499)*設定!$C$11/1000,0)+ROUNDDOWN(I499*設定!$C$12/1000,0)+IF(CL499="市局型",ROUNDDOWN(I499*設定!$C$16/1000,0),0)</f>
        <v>0</v>
      </c>
      <c r="BL499" s="31" t="n">
        <f aca="false">IF(CK499="N",BT499,ROUNDDOWN((J499-M499)*設定!$B$13/1000,0))</f>
        <v>0</v>
      </c>
      <c r="BM499" s="31" t="n">
        <f aca="false">ROUNDDOWN((J499-M499)*設定!$C$13/1000,0)+IF(CL499="市局型",ROUNDDOWN(J499*設定!$C$17/1000,0),0)</f>
        <v>0</v>
      </c>
      <c r="BN499" s="31" t="n">
        <f aca="false">IF(CK499="N",BV499,ROUNDDOWN((K499-N499)*設定!$B$14/1000,0))</f>
        <v>0</v>
      </c>
      <c r="BO499" s="31" t="n">
        <f aca="false">ROUNDDOWN((K499-N499)*設定!$C$14/1000,0)</f>
        <v>0</v>
      </c>
      <c r="BP499" s="31" t="n">
        <f aca="false">IF(CK499="N",BX499,ROUNDDOWN((J499-M499)*設定!$B$15/1000,0))</f>
        <v>0</v>
      </c>
      <c r="BQ499" s="31" t="n">
        <f aca="false">ROUNDDOWN((J499-M499)*設定!$C$15/1000,0)</f>
        <v>0</v>
      </c>
      <c r="BR499" s="31" t="n">
        <f aca="false">O499+P499</f>
        <v>0</v>
      </c>
      <c r="BS499" s="31" t="n">
        <f aca="false">T499+U499+V499</f>
        <v>0</v>
      </c>
      <c r="BT499" s="31" t="n">
        <f aca="false">Q499</f>
        <v>0</v>
      </c>
      <c r="BU499" s="31" t="n">
        <f aca="false">W499</f>
        <v>0</v>
      </c>
      <c r="BV499" s="31" t="n">
        <f aca="false">R499</f>
        <v>0</v>
      </c>
      <c r="BW499" s="31" t="n">
        <f aca="false">X499</f>
        <v>0</v>
      </c>
      <c r="BX499" s="31" t="n">
        <f aca="false">S499</f>
        <v>0</v>
      </c>
      <c r="BY499" s="31" t="n">
        <f aca="false">Y499</f>
        <v>0</v>
      </c>
      <c r="BZ499" s="32" t="n">
        <f aca="false">IF(BJ499=0,IF(BR499=0,0,1),(BR499-BJ499)/BJ499)</f>
        <v>0</v>
      </c>
      <c r="CA499" s="32" t="n">
        <f aca="false">IF(BK499=0,IF(BS499=0,0,1),(BS499-BK499)/BK499)</f>
        <v>0</v>
      </c>
      <c r="CB499" s="32" t="n">
        <f aca="false">IF(BL499=0,IF(BT499=0,0,1),(BT499-BL499)/BL499)</f>
        <v>0</v>
      </c>
      <c r="CC499" s="32" t="n">
        <f aca="false">IF(BM499=0,IF(BU499=0,0,1),(BU499-BM499)/BM499)</f>
        <v>0</v>
      </c>
      <c r="CD499" s="32" t="n">
        <f aca="false">IF(BN499=0,IF(BV499=0,0,1),(BV499-BN499)/BN499)</f>
        <v>0</v>
      </c>
      <c r="CE499" s="32" t="n">
        <f aca="false">IF(BO499=0,IF(BW499=0,0,1),(BW499-BO499)/BO499)</f>
        <v>0</v>
      </c>
      <c r="CF499" s="32" t="n">
        <f aca="false">IF(BP499=0,IF(BX499=0,0,1),(BX499-BP499)/BP499)</f>
        <v>0</v>
      </c>
      <c r="CG499" s="32" t="n">
        <f aca="false">IF(BQ499=0,IF(BY499=0,0,1),(BY499-BQ499)/BQ499)</f>
        <v>0</v>
      </c>
      <c r="CH499" s="32" t="n">
        <f aca="false">MAX(MAX(BZ499:CG499),-MIN(BZ499:CG499))</f>
        <v>-0</v>
      </c>
      <c r="CI499" s="31" t="n">
        <f aca="false">IF(CO499="","",SUMIFS($CJ$7:$CJ$696,$A$7:$A$696,CO499,$B$7:$B$696,B499))</f>
        <v>163354</v>
      </c>
      <c r="CJ499" s="31" t="n">
        <f aca="false">SUM(AY499:BI499)</f>
        <v>163354</v>
      </c>
      <c r="CK499" s="31" t="str">
        <f aca="false">IFERROR(INDEX(設定!$F$61:$F$106,MATCH(B499,設定!$B$61:$B$106,0)),"Y")</f>
        <v>Y</v>
      </c>
      <c r="CL499" s="31" t="str">
        <f aca="false">IFERROR(INDEX(設定!$G$61:$G$106,MATCH(B499,設定!$B$61:$B$106,0)),"外郭型")</f>
        <v>外郭型</v>
      </c>
      <c r="CM499" s="33" t="str">
        <f aca="false">A499&amp;"|"&amp;B499</f>
        <v>2026-12 月例|都市再生機構</v>
      </c>
      <c r="CN499" s="34" t="str">
        <f aca="false">IFERROR(INDEX(設定!$D$61:$D$106,MATCH(B499,設定!$B$61:$B$106,0)),"Y")</f>
        <v>Y</v>
      </c>
      <c r="CO499" s="34" t="str">
        <f aca="false">IFERROR(INDEX(設定!$D$20:$D$34,MATCH(A499,設定!$A$20:$A$34,0))&amp;"","")</f>
        <v>2026-11 月例</v>
      </c>
    </row>
    <row r="500" customFormat="false" ht="15" hidden="true" customHeight="false" outlineLevel="0" collapsed="false">
      <c r="A500" s="22" t="s">
        <v>226</v>
      </c>
      <c r="B500" s="23" t="s">
        <v>202</v>
      </c>
      <c r="C500" s="10" t="str">
        <f aca="false">IF(G500="","未受領",IF(G500="なし","報告なし",IF(AL500="○","起票済",IF(OR(AK500="○",F500="一致",F500="入金不要"),"入金確認済","受領済"))))</f>
        <v>未受領</v>
      </c>
      <c r="D500" s="10" t="str">
        <f aca="false">IF(OR(G500="",G500="なし"),"―",IF(CN500="N","対象外",IF(AND(I500="",J500="",K500=""),"標報未入力",IF(CH500&gt;=設定!$B$4,"要確認","問題なし"))))</f>
        <v>―</v>
      </c>
      <c r="E500" s="24" t="str">
        <f aca="false">IF(OR(G500="",G500="なし",CI500="",CJ500=0),"―",IF(CJ500=CI500,"前月同額",IF(CI500=0,"―",IF(ABS(CJ500/CI500-1)&gt;=設定!$B$5,"変動大 "&amp;TEXT(CJ500/CI500-1,"+0%;-0%"),"〇"))))</f>
        <v>―</v>
      </c>
      <c r="F500" s="10" t="str">
        <f aca="false">IF(OR(G500="",G500="なし"),"―",IF(CJ500=0,"入金不要",IF(COUNT(AD500,AF500,AH500,AJ500)=0,IF(AK500="○","手動確認","未入金"),IF(AND(N(AD500)=AC500,IF(AE500="",TRUE(),N(AF500)=AE500),IF(AG500="",TRUE(),N(AH500)=AG500),IF(AI500="",TRUE(),N(AJ500)=AI500)),"一致","不一致"))))</f>
        <v>―</v>
      </c>
      <c r="G500" s="25"/>
      <c r="H500" s="26"/>
      <c r="I500" s="27"/>
      <c r="J500" s="27"/>
      <c r="K500" s="27"/>
      <c r="L500" s="27"/>
      <c r="M500" s="27"/>
      <c r="N500" s="27"/>
      <c r="O500" s="27"/>
      <c r="P500" s="27"/>
      <c r="Q500" s="27"/>
      <c r="R500" s="27"/>
      <c r="S500" s="27"/>
      <c r="T500" s="27"/>
      <c r="U500" s="27"/>
      <c r="V500" s="27"/>
      <c r="W500" s="27"/>
      <c r="X500" s="27"/>
      <c r="Y500" s="27"/>
      <c r="Z500" s="27"/>
      <c r="AA500" s="10" t="str">
        <f aca="false">IFERROR(INDEX(設定!$E$61:$E$106,MATCH(B500,設定!$B$61:$B$106,0)),"合算")</f>
        <v>合算</v>
      </c>
      <c r="AB500" s="28"/>
      <c r="AC500" s="29" t="str">
        <f aca="false">IF(OR(G500="",G500="なし"),"",IF(AA500="合算",CJ500+N(Z500),IF(AA500="掛金・負担金別",(AY500+AZ500+BD500+BF500+BH500),SUM(AY500:BC500))))</f>
        <v/>
      </c>
      <c r="AD500" s="27"/>
      <c r="AE500" s="29" t="str">
        <f aca="false">IF(OR(G500="",G500="なし"),"",IF(AA500="掛金・負担金別",(BA500+BB500+BC500+BE500+BG500+BI500+N(Z500)),IF(AA500="経理区分別",BD500+BE500,"")))</f>
        <v/>
      </c>
      <c r="AF500" s="27"/>
      <c r="AG500" s="29" t="str">
        <f aca="false">IF(OR(G500="",G500="なし"),"",IF(AA500="経理区分別",BF500+BG500,""))</f>
        <v/>
      </c>
      <c r="AH500" s="27"/>
      <c r="AI500" s="29" t="str">
        <f aca="false">IF(OR(G500="",G500="なし"),"",IF(AA500="経理区分別",BH500+BI500+N(Z500),""))</f>
        <v/>
      </c>
      <c r="AJ500" s="27"/>
      <c r="AK500" s="26"/>
      <c r="AL500" s="26"/>
      <c r="AM500" s="30"/>
      <c r="AN500" s="31" t="n">
        <v>1194075</v>
      </c>
      <c r="AO500" s="31" t="n">
        <v>97875</v>
      </c>
      <c r="AP500" s="31" t="n">
        <v>1194075</v>
      </c>
      <c r="AQ500" s="31" t="n">
        <v>97875</v>
      </c>
      <c r="AR500" s="31" t="n">
        <v>1337</v>
      </c>
      <c r="AS500" s="31" t="n">
        <v>717870</v>
      </c>
      <c r="AT500" s="31" t="n">
        <v>719305</v>
      </c>
      <c r="AU500" s="31" t="n">
        <v>64227</v>
      </c>
      <c r="AV500" s="31" t="n">
        <v>64227</v>
      </c>
      <c r="AW500" s="31" t="n">
        <v>1</v>
      </c>
      <c r="AX500" s="31" t="n">
        <v>1</v>
      </c>
      <c r="AY500" s="31" t="n">
        <f aca="false">IF($G500="",AN500,O500)</f>
        <v>1194075</v>
      </c>
      <c r="AZ500" s="31" t="n">
        <f aca="false">IF($G500="",AO500,P500)</f>
        <v>97875</v>
      </c>
      <c r="BA500" s="31" t="n">
        <f aca="false">IF($G500="",AP500,T500)</f>
        <v>1194075</v>
      </c>
      <c r="BB500" s="31" t="n">
        <f aca="false">IF($G500="",AQ500,U500)</f>
        <v>97875</v>
      </c>
      <c r="BC500" s="31" t="n">
        <f aca="false">IF($G500="",AR500,V500)</f>
        <v>1337</v>
      </c>
      <c r="BD500" s="31" t="n">
        <f aca="false">IF($G500="",AS500,Q500)</f>
        <v>717870</v>
      </c>
      <c r="BE500" s="31" t="n">
        <f aca="false">IF($G500="",AT500,W500)</f>
        <v>719305</v>
      </c>
      <c r="BF500" s="31" t="n">
        <f aca="false">IF($G500="",AU500,R500)</f>
        <v>64227</v>
      </c>
      <c r="BG500" s="31" t="n">
        <f aca="false">IF($G500="",AV500,X500)</f>
        <v>64227</v>
      </c>
      <c r="BH500" s="31" t="n">
        <f aca="false">IF($G500="",AW500,S500)</f>
        <v>1</v>
      </c>
      <c r="BI500" s="31" t="n">
        <f aca="false">IF($G500="",AX500,Y500)</f>
        <v>1</v>
      </c>
      <c r="BJ500" s="31" t="n">
        <f aca="false">IF(CK500="N",BR500,ROUNDDOWN((I500-L500)*設定!$B$10/1000,0)+ROUNDDOWN((I500-L500)*設定!$B$11/1000,0))</f>
        <v>0</v>
      </c>
      <c r="BK500" s="31" t="n">
        <f aca="false">ROUNDDOWN((I500-L500)*設定!$C$10/1000,0)+ROUNDDOWN((I500-L500)*設定!$C$11/1000,0)+ROUNDDOWN(I500*設定!$C$12/1000,0)+IF(CL500="市局型",ROUNDDOWN(I500*設定!$C$16/1000,0),0)</f>
        <v>0</v>
      </c>
      <c r="BL500" s="31" t="n">
        <f aca="false">IF(CK500="N",BT500,ROUNDDOWN((J500-M500)*設定!$B$13/1000,0))</f>
        <v>0</v>
      </c>
      <c r="BM500" s="31" t="n">
        <f aca="false">ROUNDDOWN((J500-M500)*設定!$C$13/1000,0)+IF(CL500="市局型",ROUNDDOWN(J500*設定!$C$17/1000,0),0)</f>
        <v>0</v>
      </c>
      <c r="BN500" s="31" t="n">
        <f aca="false">IF(CK500="N",BV500,ROUNDDOWN((K500-N500)*設定!$B$14/1000,0))</f>
        <v>0</v>
      </c>
      <c r="BO500" s="31" t="n">
        <f aca="false">ROUNDDOWN((K500-N500)*設定!$C$14/1000,0)</f>
        <v>0</v>
      </c>
      <c r="BP500" s="31" t="n">
        <f aca="false">IF(CK500="N",BX500,ROUNDDOWN((J500-M500)*設定!$B$15/1000,0))</f>
        <v>0</v>
      </c>
      <c r="BQ500" s="31" t="n">
        <f aca="false">ROUNDDOWN((J500-M500)*設定!$C$15/1000,0)</f>
        <v>0</v>
      </c>
      <c r="BR500" s="31" t="n">
        <f aca="false">O500+P500</f>
        <v>0</v>
      </c>
      <c r="BS500" s="31" t="n">
        <f aca="false">T500+U500+V500</f>
        <v>0</v>
      </c>
      <c r="BT500" s="31" t="n">
        <f aca="false">Q500</f>
        <v>0</v>
      </c>
      <c r="BU500" s="31" t="n">
        <f aca="false">W500</f>
        <v>0</v>
      </c>
      <c r="BV500" s="31" t="n">
        <f aca="false">R500</f>
        <v>0</v>
      </c>
      <c r="BW500" s="31" t="n">
        <f aca="false">X500</f>
        <v>0</v>
      </c>
      <c r="BX500" s="31" t="n">
        <f aca="false">S500</f>
        <v>0</v>
      </c>
      <c r="BY500" s="31" t="n">
        <f aca="false">Y500</f>
        <v>0</v>
      </c>
      <c r="BZ500" s="32" t="n">
        <f aca="false">IF(BJ500=0,IF(BR500=0,0,1),(BR500-BJ500)/BJ500)</f>
        <v>0</v>
      </c>
      <c r="CA500" s="32" t="n">
        <f aca="false">IF(BK500=0,IF(BS500=0,0,1),(BS500-BK500)/BK500)</f>
        <v>0</v>
      </c>
      <c r="CB500" s="32" t="n">
        <f aca="false">IF(BL500=0,IF(BT500=0,0,1),(BT500-BL500)/BL500)</f>
        <v>0</v>
      </c>
      <c r="CC500" s="32" t="n">
        <f aca="false">IF(BM500=0,IF(BU500=0,0,1),(BU500-BM500)/BM500)</f>
        <v>0</v>
      </c>
      <c r="CD500" s="32" t="n">
        <f aca="false">IF(BN500=0,IF(BV500=0,0,1),(BV500-BN500)/BN500)</f>
        <v>0</v>
      </c>
      <c r="CE500" s="32" t="n">
        <f aca="false">IF(BO500=0,IF(BW500=0,0,1),(BW500-BO500)/BO500)</f>
        <v>0</v>
      </c>
      <c r="CF500" s="32" t="n">
        <f aca="false">IF(BP500=0,IF(BX500=0,0,1),(BX500-BP500)/BP500)</f>
        <v>0</v>
      </c>
      <c r="CG500" s="32" t="n">
        <f aca="false">IF(BQ500=0,IF(BY500=0,0,1),(BY500-BQ500)/BQ500)</f>
        <v>0</v>
      </c>
      <c r="CH500" s="32" t="n">
        <f aca="false">MAX(MAX(BZ500:CG500),-MIN(BZ500:CG500))</f>
        <v>-0</v>
      </c>
      <c r="CI500" s="31" t="n">
        <f aca="false">IF(CO500="","",SUMIFS($CJ$7:$CJ$696,$A$7:$A$696,CO500,$B$7:$B$696,B500))</f>
        <v>3910614</v>
      </c>
      <c r="CJ500" s="31" t="n">
        <f aca="false">SUM(AY500:BI500)</f>
        <v>4150868</v>
      </c>
      <c r="CK500" s="31" t="str">
        <f aca="false">IFERROR(INDEX(設定!$F$61:$F$106,MATCH(B500,設定!$B$61:$B$106,0)),"Y")</f>
        <v>Y</v>
      </c>
      <c r="CL500" s="31" t="str">
        <f aca="false">IFERROR(INDEX(設定!$G$61:$G$106,MATCH(B500,設定!$B$61:$B$106,0)),"外郭型")</f>
        <v>外郭型</v>
      </c>
      <c r="CM500" s="33" t="str">
        <f aca="false">A500&amp;"|"&amp;B500</f>
        <v>2026-12 月例|広島市立大学</v>
      </c>
      <c r="CN500" s="34" t="str">
        <f aca="false">IFERROR(INDEX(設定!$D$61:$D$106,MATCH(B500,設定!$B$61:$B$106,0)),"Y")</f>
        <v>Y</v>
      </c>
      <c r="CO500" s="34" t="str">
        <f aca="false">IFERROR(INDEX(設定!$D$20:$D$34,MATCH(A500,設定!$A$20:$A$34,0))&amp;"","")</f>
        <v>2026-11 月例</v>
      </c>
    </row>
    <row r="501" customFormat="false" ht="15" hidden="true" customHeight="false" outlineLevel="0" collapsed="false">
      <c r="A501" s="22" t="s">
        <v>226</v>
      </c>
      <c r="B501" s="23" t="s">
        <v>203</v>
      </c>
      <c r="C501" s="10" t="str">
        <f aca="false">IF(G501="","未受領",IF(G501="なし","報告なし",IF(AL501="○","起票済",IF(OR(AK501="○",F501="一致",F501="入金不要"),"入金確認済","受領済"))))</f>
        <v>未受領</v>
      </c>
      <c r="D501" s="10" t="str">
        <f aca="false">IF(OR(G501="",G501="なし"),"―",IF(CN501="N","対象外",IF(AND(I501="",J501="",K501=""),"標報未入力",IF(CH501&gt;=設定!$B$4,"要確認","問題なし"))))</f>
        <v>―</v>
      </c>
      <c r="E501" s="24" t="str">
        <f aca="false">IF(OR(G501="",G501="なし",CI501="",CJ501=0),"―",IF(CJ501=CI501,"前月同額",IF(CI501=0,"―",IF(ABS(CJ501/CI501-1)&gt;=設定!$B$5,"変動大 "&amp;TEXT(CJ501/CI501-1,"+0%;-0%"),"〇"))))</f>
        <v>―</v>
      </c>
      <c r="F501" s="10" t="str">
        <f aca="false">IF(OR(G501="",G501="なし"),"―",IF(CJ501=0,"入金不要",IF(COUNT(AD501,AF501,AH501,AJ501)=0,IF(AK501="○","手動確認","未入金"),IF(AND(N(AD501)=AC501,IF(AE501="",TRUE(),N(AF501)=AE501),IF(AG501="",TRUE(),N(AH501)=AG501),IF(AI501="",TRUE(),N(AJ501)=AI501)),"一致","不一致"))))</f>
        <v>―</v>
      </c>
      <c r="G501" s="25"/>
      <c r="H501" s="26"/>
      <c r="I501" s="27"/>
      <c r="J501" s="27"/>
      <c r="K501" s="27"/>
      <c r="L501" s="27"/>
      <c r="M501" s="27"/>
      <c r="N501" s="27"/>
      <c r="O501" s="27"/>
      <c r="P501" s="27"/>
      <c r="Q501" s="27"/>
      <c r="R501" s="27"/>
      <c r="S501" s="27"/>
      <c r="T501" s="27"/>
      <c r="U501" s="27"/>
      <c r="V501" s="27"/>
      <c r="W501" s="27"/>
      <c r="X501" s="27"/>
      <c r="Y501" s="27"/>
      <c r="Z501" s="27"/>
      <c r="AA501" s="10" t="str">
        <f aca="false">IFERROR(INDEX(設定!$E$61:$E$106,MATCH(B501,設定!$B$61:$B$106,0)),"合算")</f>
        <v>合算</v>
      </c>
      <c r="AB501" s="28"/>
      <c r="AC501" s="29" t="str">
        <f aca="false">IF(OR(G501="",G501="なし"),"",IF(AA501="合算",CJ501+N(Z501),IF(AA501="掛金・負担金別",(AY501+AZ501+BD501+BF501+BH501),SUM(AY501:BC501))))</f>
        <v/>
      </c>
      <c r="AD501" s="27"/>
      <c r="AE501" s="29" t="str">
        <f aca="false">IF(OR(G501="",G501="なし"),"",IF(AA501="掛金・負担金別",(BA501+BB501+BC501+BE501+BG501+BI501+N(Z501)),IF(AA501="経理区分別",BD501+BE501,"")))</f>
        <v/>
      </c>
      <c r="AF501" s="27"/>
      <c r="AG501" s="29" t="str">
        <f aca="false">IF(OR(G501="",G501="なし"),"",IF(AA501="経理区分別",BF501+BG501,""))</f>
        <v/>
      </c>
      <c r="AH501" s="27"/>
      <c r="AI501" s="29" t="str">
        <f aca="false">IF(OR(G501="",G501="なし"),"",IF(AA501="経理区分別",BH501+BI501+N(Z501),""))</f>
        <v/>
      </c>
      <c r="AJ501" s="27"/>
      <c r="AK501" s="26"/>
      <c r="AL501" s="26"/>
      <c r="AM501" s="30"/>
      <c r="AN501" s="31"/>
      <c r="AO501" s="31"/>
      <c r="AP501" s="31" t="n">
        <v>245220</v>
      </c>
      <c r="AQ501" s="31" t="n">
        <v>20100</v>
      </c>
      <c r="AR501" s="31" t="n">
        <v>251</v>
      </c>
      <c r="AS501" s="31"/>
      <c r="AT501" s="31" t="n">
        <v>151001</v>
      </c>
      <c r="AU501" s="31"/>
      <c r="AV501" s="31" t="n">
        <v>10744</v>
      </c>
      <c r="AW501" s="31"/>
      <c r="AX501" s="31" t="n">
        <v>1</v>
      </c>
      <c r="AY501" s="31" t="n">
        <f aca="false">IF($G501="",AN501,O501)</f>
        <v>0</v>
      </c>
      <c r="AZ501" s="31" t="n">
        <f aca="false">IF($G501="",AO501,P501)</f>
        <v>0</v>
      </c>
      <c r="BA501" s="31" t="n">
        <f aca="false">IF($G501="",AP501,T501)</f>
        <v>245220</v>
      </c>
      <c r="BB501" s="31" t="n">
        <f aca="false">IF($G501="",AQ501,U501)</f>
        <v>20100</v>
      </c>
      <c r="BC501" s="31" t="n">
        <f aca="false">IF($G501="",AR501,V501)</f>
        <v>251</v>
      </c>
      <c r="BD501" s="31" t="n">
        <f aca="false">IF($G501="",AS501,Q501)</f>
        <v>0</v>
      </c>
      <c r="BE501" s="31" t="n">
        <f aca="false">IF($G501="",AT501,W501)</f>
        <v>151001</v>
      </c>
      <c r="BF501" s="31" t="n">
        <f aca="false">IF($G501="",AU501,R501)</f>
        <v>0</v>
      </c>
      <c r="BG501" s="31" t="n">
        <f aca="false">IF($G501="",AV501,X501)</f>
        <v>10744</v>
      </c>
      <c r="BH501" s="31" t="n">
        <f aca="false">IF($G501="",AW501,S501)</f>
        <v>0</v>
      </c>
      <c r="BI501" s="31" t="n">
        <f aca="false">IF($G501="",AX501,Y501)</f>
        <v>1</v>
      </c>
      <c r="BJ501" s="31" t="n">
        <f aca="false">IF(CK501="N",BR501,ROUNDDOWN((I501-L501)*設定!$B$10/1000,0)+ROUNDDOWN((I501-L501)*設定!$B$11/1000,0))</f>
        <v>0</v>
      </c>
      <c r="BK501" s="31" t="n">
        <f aca="false">ROUNDDOWN((I501-L501)*設定!$C$10/1000,0)+ROUNDDOWN((I501-L501)*設定!$C$11/1000,0)+ROUNDDOWN(I501*設定!$C$12/1000,0)+IF(CL501="市局型",ROUNDDOWN(I501*設定!$C$16/1000,0),0)</f>
        <v>0</v>
      </c>
      <c r="BL501" s="31" t="n">
        <f aca="false">IF(CK501="N",BT501,ROUNDDOWN((J501-M501)*設定!$B$13/1000,0))</f>
        <v>0</v>
      </c>
      <c r="BM501" s="31" t="n">
        <f aca="false">ROUNDDOWN((J501-M501)*設定!$C$13/1000,0)+IF(CL501="市局型",ROUNDDOWN(J501*設定!$C$17/1000,0),0)</f>
        <v>0</v>
      </c>
      <c r="BN501" s="31" t="n">
        <f aca="false">IF(CK501="N",BV501,ROUNDDOWN((K501-N501)*設定!$B$14/1000,0))</f>
        <v>0</v>
      </c>
      <c r="BO501" s="31" t="n">
        <f aca="false">ROUNDDOWN((K501-N501)*設定!$C$14/1000,0)</f>
        <v>0</v>
      </c>
      <c r="BP501" s="31" t="n">
        <f aca="false">IF(CK501="N",BX501,ROUNDDOWN((J501-M501)*設定!$B$15/1000,0))</f>
        <v>0</v>
      </c>
      <c r="BQ501" s="31" t="n">
        <f aca="false">ROUNDDOWN((J501-M501)*設定!$C$15/1000,0)</f>
        <v>0</v>
      </c>
      <c r="BR501" s="31" t="n">
        <f aca="false">O501+P501</f>
        <v>0</v>
      </c>
      <c r="BS501" s="31" t="n">
        <f aca="false">T501+U501+V501</f>
        <v>0</v>
      </c>
      <c r="BT501" s="31" t="n">
        <f aca="false">Q501</f>
        <v>0</v>
      </c>
      <c r="BU501" s="31" t="n">
        <f aca="false">W501</f>
        <v>0</v>
      </c>
      <c r="BV501" s="31" t="n">
        <f aca="false">R501</f>
        <v>0</v>
      </c>
      <c r="BW501" s="31" t="n">
        <f aca="false">X501</f>
        <v>0</v>
      </c>
      <c r="BX501" s="31" t="n">
        <f aca="false">S501</f>
        <v>0</v>
      </c>
      <c r="BY501" s="31" t="n">
        <f aca="false">Y501</f>
        <v>0</v>
      </c>
      <c r="BZ501" s="32" t="n">
        <f aca="false">IF(BJ501=0,IF(BR501=0,0,1),(BR501-BJ501)/BJ501)</f>
        <v>0</v>
      </c>
      <c r="CA501" s="32" t="n">
        <f aca="false">IF(BK501=0,IF(BS501=0,0,1),(BS501-BK501)/BK501)</f>
        <v>0</v>
      </c>
      <c r="CB501" s="32" t="n">
        <f aca="false">IF(BL501=0,IF(BT501=0,0,1),(BT501-BL501)/BL501)</f>
        <v>0</v>
      </c>
      <c r="CC501" s="32" t="n">
        <f aca="false">IF(BM501=0,IF(BU501=0,0,1),(BU501-BM501)/BM501)</f>
        <v>0</v>
      </c>
      <c r="CD501" s="32" t="n">
        <f aca="false">IF(BN501=0,IF(BV501=0,0,1),(BV501-BN501)/BN501)</f>
        <v>0</v>
      </c>
      <c r="CE501" s="32" t="n">
        <f aca="false">IF(BO501=0,IF(BW501=0,0,1),(BW501-BO501)/BO501)</f>
        <v>0</v>
      </c>
      <c r="CF501" s="32" t="n">
        <f aca="false">IF(BP501=0,IF(BX501=0,0,1),(BX501-BP501)/BP501)</f>
        <v>0</v>
      </c>
      <c r="CG501" s="32" t="n">
        <f aca="false">IF(BQ501=0,IF(BY501=0,0,1),(BY501-BQ501)/BQ501)</f>
        <v>0</v>
      </c>
      <c r="CH501" s="32" t="n">
        <f aca="false">MAX(MAX(BZ501:CG501),-MIN(BZ501:CG501))</f>
        <v>-0</v>
      </c>
      <c r="CI501" s="31" t="n">
        <f aca="false">IF(CO501="","",SUMIFS($CJ$7:$CJ$696,$A$7:$A$696,CO501,$B$7:$B$696,B501))</f>
        <v>427317</v>
      </c>
      <c r="CJ501" s="31" t="n">
        <f aca="false">SUM(AY501:BI501)</f>
        <v>427317</v>
      </c>
      <c r="CK501" s="31" t="str">
        <f aca="false">IFERROR(INDEX(設定!$F$61:$F$106,MATCH(B501,設定!$B$61:$B$106,0)),"Y")</f>
        <v>N</v>
      </c>
      <c r="CL501" s="31" t="str">
        <f aca="false">IFERROR(INDEX(設定!$G$61:$G$106,MATCH(B501,設定!$B$61:$B$106,0)),"外郭型")</f>
        <v>外郭型</v>
      </c>
      <c r="CM501" s="33" t="str">
        <f aca="false">A501&amp;"|"&amp;B501</f>
        <v>2026-12 月例|社会福祉協議会</v>
      </c>
      <c r="CN501" s="34" t="str">
        <f aca="false">IFERROR(INDEX(設定!$D$61:$D$106,MATCH(B501,設定!$B$61:$B$106,0)),"Y")</f>
        <v>Y</v>
      </c>
      <c r="CO501" s="34" t="str">
        <f aca="false">IFERROR(INDEX(設定!$D$20:$D$34,MATCH(A501,設定!$A$20:$A$34,0))&amp;"","")</f>
        <v>2026-11 月例</v>
      </c>
    </row>
    <row r="502" customFormat="false" ht="15" hidden="true" customHeight="false" outlineLevel="0" collapsed="false">
      <c r="A502" s="22" t="s">
        <v>226</v>
      </c>
      <c r="B502" s="23" t="s">
        <v>204</v>
      </c>
      <c r="C502" s="10" t="str">
        <f aca="false">IF(G502="","未受領",IF(G502="なし","報告なし",IF(AL502="○","起票済",IF(OR(AK502="○",F502="一致",F502="入金不要"),"入金確認済","受領済"))))</f>
        <v>未受領</v>
      </c>
      <c r="D502" s="10" t="str">
        <f aca="false">IF(OR(G502="",G502="なし"),"―",IF(CN502="N","対象外",IF(AND(I502="",J502="",K502=""),"標報未入力",IF(CH502&gt;=設定!$B$4,"要確認","問題なし"))))</f>
        <v>―</v>
      </c>
      <c r="E502" s="24" t="str">
        <f aca="false">IF(OR(G502="",G502="なし",CI502="",CJ502=0),"―",IF(CJ502=CI502,"前月同額",IF(CI502=0,"―",IF(ABS(CJ502/CI502-1)&gt;=設定!$B$5,"変動大 "&amp;TEXT(CJ502/CI502-1,"+0%;-0%"),"〇"))))</f>
        <v>―</v>
      </c>
      <c r="F502" s="10" t="str">
        <f aca="false">IF(OR(G502="",G502="なし"),"―",IF(CJ502=0,"入金不要",IF(COUNT(AD502,AF502,AH502,AJ502)=0,IF(AK502="○","手動確認","未入金"),IF(AND(N(AD502)=AC502,IF(AE502="",TRUE(),N(AF502)=AE502),IF(AG502="",TRUE(),N(AH502)=AG502),IF(AI502="",TRUE(),N(AJ502)=AI502)),"一致","不一致"))))</f>
        <v>―</v>
      </c>
      <c r="G502" s="25"/>
      <c r="H502" s="26"/>
      <c r="I502" s="27"/>
      <c r="J502" s="27"/>
      <c r="K502" s="27"/>
      <c r="L502" s="27"/>
      <c r="M502" s="27"/>
      <c r="N502" s="27"/>
      <c r="O502" s="27"/>
      <c r="P502" s="27"/>
      <c r="Q502" s="27"/>
      <c r="R502" s="27"/>
      <c r="S502" s="27"/>
      <c r="T502" s="27"/>
      <c r="U502" s="27"/>
      <c r="V502" s="27"/>
      <c r="W502" s="27"/>
      <c r="X502" s="27"/>
      <c r="Y502" s="27"/>
      <c r="Z502" s="27"/>
      <c r="AA502" s="10" t="str">
        <f aca="false">IFERROR(INDEX(設定!$E$61:$E$106,MATCH(B502,設定!$B$61:$B$106,0)),"合算")</f>
        <v>合算</v>
      </c>
      <c r="AB502" s="28"/>
      <c r="AC502" s="29" t="str">
        <f aca="false">IF(OR(G502="",G502="なし"),"",IF(AA502="合算",CJ502+N(Z502),IF(AA502="掛金・負担金別",(AY502+AZ502+BD502+BF502+BH502),SUM(AY502:BC502))))</f>
        <v/>
      </c>
      <c r="AD502" s="27"/>
      <c r="AE502" s="29" t="str">
        <f aca="false">IF(OR(G502="",G502="なし"),"",IF(AA502="掛金・負担金別",(BA502+BB502+BC502+BE502+BG502+BI502+N(Z502)),IF(AA502="経理区分別",BD502+BE502,"")))</f>
        <v/>
      </c>
      <c r="AF502" s="27"/>
      <c r="AG502" s="29" t="str">
        <f aca="false">IF(OR(G502="",G502="なし"),"",IF(AA502="経理区分別",BF502+BG502,""))</f>
        <v/>
      </c>
      <c r="AH502" s="27"/>
      <c r="AI502" s="29" t="str">
        <f aca="false">IF(OR(G502="",G502="なし"),"",IF(AA502="経理区分別",BH502+BI502+N(Z502),""))</f>
        <v/>
      </c>
      <c r="AJ502" s="27"/>
      <c r="AK502" s="26"/>
      <c r="AL502" s="26"/>
      <c r="AM502" s="30"/>
      <c r="AN502" s="31" t="n">
        <v>123464885</v>
      </c>
      <c r="AO502" s="31" t="n">
        <v>10128923</v>
      </c>
      <c r="AP502" s="31" t="n">
        <v>182815225</v>
      </c>
      <c r="AQ502" s="31" t="n">
        <v>10128923</v>
      </c>
      <c r="AR502" s="31" t="n">
        <v>134171</v>
      </c>
      <c r="AS502" s="31" t="n">
        <v>96185407</v>
      </c>
      <c r="AT502" s="31" t="n">
        <v>96373091</v>
      </c>
      <c r="AU502" s="31" t="n">
        <v>7782472</v>
      </c>
      <c r="AV502" s="31" t="n">
        <v>7782472</v>
      </c>
      <c r="AW502" s="31" t="n">
        <v>1</v>
      </c>
      <c r="AX502" s="31" t="n">
        <v>1</v>
      </c>
      <c r="AY502" s="31" t="n">
        <f aca="false">IF($G502="",AN502,O502)</f>
        <v>123464885</v>
      </c>
      <c r="AZ502" s="31" t="n">
        <f aca="false">IF($G502="",AO502,P502)</f>
        <v>10128923</v>
      </c>
      <c r="BA502" s="31" t="n">
        <f aca="false">IF($G502="",AP502,T502)</f>
        <v>182815225</v>
      </c>
      <c r="BB502" s="31" t="n">
        <f aca="false">IF($G502="",AQ502,U502)</f>
        <v>10128923</v>
      </c>
      <c r="BC502" s="31" t="n">
        <f aca="false">IF($G502="",AR502,V502)</f>
        <v>134171</v>
      </c>
      <c r="BD502" s="31" t="n">
        <f aca="false">IF($G502="",AS502,Q502)</f>
        <v>96185407</v>
      </c>
      <c r="BE502" s="31" t="n">
        <f aca="false">IF($G502="",AT502,W502)</f>
        <v>96373091</v>
      </c>
      <c r="BF502" s="31" t="n">
        <f aca="false">IF($G502="",AU502,R502)</f>
        <v>7782472</v>
      </c>
      <c r="BG502" s="31" t="n">
        <f aca="false">IF($G502="",AV502,X502)</f>
        <v>7782472</v>
      </c>
      <c r="BH502" s="31" t="n">
        <f aca="false">IF($G502="",AW502,S502)</f>
        <v>1</v>
      </c>
      <c r="BI502" s="31" t="n">
        <f aca="false">IF($G502="",AX502,Y502)</f>
        <v>1</v>
      </c>
      <c r="BJ502" s="31" t="n">
        <f aca="false">IF(CK502="N",BR502,ROUNDDOWN((I502-L502)*設定!$B$10/1000,0)+ROUNDDOWN((I502-L502)*設定!$B$11/1000,0))</f>
        <v>0</v>
      </c>
      <c r="BK502" s="31" t="n">
        <f aca="false">ROUNDDOWN((I502-L502)*設定!$C$10/1000,0)+ROUNDDOWN((I502-L502)*設定!$C$11/1000,0)+ROUNDDOWN(I502*設定!$C$12/1000,0)+IF(CL502="市局型",ROUNDDOWN(I502*設定!$C$16/1000,0),0)</f>
        <v>0</v>
      </c>
      <c r="BL502" s="31" t="n">
        <f aca="false">IF(CK502="N",BT502,ROUNDDOWN((J502-M502)*設定!$B$13/1000,0))</f>
        <v>0</v>
      </c>
      <c r="BM502" s="31" t="n">
        <f aca="false">ROUNDDOWN((J502-M502)*設定!$C$13/1000,0)+IF(CL502="市局型",ROUNDDOWN(J502*設定!$C$17/1000,0),0)</f>
        <v>0</v>
      </c>
      <c r="BN502" s="31" t="n">
        <f aca="false">IF(CK502="N",BV502,ROUNDDOWN((K502-N502)*設定!$B$14/1000,0))</f>
        <v>0</v>
      </c>
      <c r="BO502" s="31" t="n">
        <f aca="false">ROUNDDOWN((K502-N502)*設定!$C$14/1000,0)</f>
        <v>0</v>
      </c>
      <c r="BP502" s="31" t="n">
        <f aca="false">IF(CK502="N",BX502,ROUNDDOWN((J502-M502)*設定!$B$15/1000,0))</f>
        <v>0</v>
      </c>
      <c r="BQ502" s="31" t="n">
        <f aca="false">ROUNDDOWN((J502-M502)*設定!$C$15/1000,0)</f>
        <v>0</v>
      </c>
      <c r="BR502" s="31" t="n">
        <f aca="false">O502+P502</f>
        <v>0</v>
      </c>
      <c r="BS502" s="31" t="n">
        <f aca="false">T502+U502+V502</f>
        <v>0</v>
      </c>
      <c r="BT502" s="31" t="n">
        <f aca="false">Q502</f>
        <v>0</v>
      </c>
      <c r="BU502" s="31" t="n">
        <f aca="false">W502</f>
        <v>0</v>
      </c>
      <c r="BV502" s="31" t="n">
        <f aca="false">R502</f>
        <v>0</v>
      </c>
      <c r="BW502" s="31" t="n">
        <f aca="false">X502</f>
        <v>0</v>
      </c>
      <c r="BX502" s="31" t="n">
        <f aca="false">S502</f>
        <v>0</v>
      </c>
      <c r="BY502" s="31" t="n">
        <f aca="false">Y502</f>
        <v>0</v>
      </c>
      <c r="BZ502" s="32" t="n">
        <f aca="false">IF(BJ502=0,IF(BR502=0,0,1),(BR502-BJ502)/BJ502)</f>
        <v>0</v>
      </c>
      <c r="CA502" s="32" t="n">
        <f aca="false">IF(BK502=0,IF(BS502=0,0,1),(BS502-BK502)/BK502)</f>
        <v>0</v>
      </c>
      <c r="CB502" s="32" t="n">
        <f aca="false">IF(BL502=0,IF(BT502=0,0,1),(BT502-BL502)/BL502)</f>
        <v>0</v>
      </c>
      <c r="CC502" s="32" t="n">
        <f aca="false">IF(BM502=0,IF(BU502=0,0,1),(BU502-BM502)/BM502)</f>
        <v>0</v>
      </c>
      <c r="CD502" s="32" t="n">
        <f aca="false">IF(BN502=0,IF(BV502=0,0,1),(BV502-BN502)/BN502)</f>
        <v>0</v>
      </c>
      <c r="CE502" s="32" t="n">
        <f aca="false">IF(BO502=0,IF(BW502=0,0,1),(BW502-BO502)/BO502)</f>
        <v>0</v>
      </c>
      <c r="CF502" s="32" t="n">
        <f aca="false">IF(BP502=0,IF(BX502=0,0,1),(BX502-BP502)/BP502)</f>
        <v>0</v>
      </c>
      <c r="CG502" s="32" t="n">
        <f aca="false">IF(BQ502=0,IF(BY502=0,0,1),(BY502-BQ502)/BQ502)</f>
        <v>0</v>
      </c>
      <c r="CH502" s="32" t="n">
        <f aca="false">MAX(MAX(BZ502:CG502),-MIN(BZ502:CG502))</f>
        <v>-0</v>
      </c>
      <c r="CI502" s="31" t="n">
        <f aca="false">IF(CO502="","",SUMIFS($CJ$7:$CJ$696,$A$7:$A$696,CO502,$B$7:$B$696,B502))</f>
        <v>535844636</v>
      </c>
      <c r="CJ502" s="31" t="n">
        <f aca="false">SUM(AY502:BI502)</f>
        <v>534795571</v>
      </c>
      <c r="CK502" s="31" t="str">
        <f aca="false">IFERROR(INDEX(設定!$F$61:$F$106,MATCH(B502,設定!$B$61:$B$106,0)),"Y")</f>
        <v>Y</v>
      </c>
      <c r="CL502" s="31" t="str">
        <f aca="false">IFERROR(INDEX(設定!$G$61:$G$106,MATCH(B502,設定!$B$61:$B$106,0)),"外郭型")</f>
        <v>外郭型</v>
      </c>
      <c r="CM502" s="33" t="str">
        <f aca="false">A502&amp;"|"&amp;B502</f>
        <v>2026-12 月例|市立病院機構</v>
      </c>
      <c r="CN502" s="34" t="str">
        <f aca="false">IFERROR(INDEX(設定!$D$61:$D$106,MATCH(B502,設定!$B$61:$B$106,0)),"Y")</f>
        <v>N</v>
      </c>
      <c r="CO502" s="34" t="str">
        <f aca="false">IFERROR(INDEX(設定!$D$20:$D$34,MATCH(A502,設定!$A$20:$A$34,0))&amp;"","")</f>
        <v>2026-11 月例</v>
      </c>
    </row>
    <row r="503" customFormat="false" ht="15" hidden="true" customHeight="false" outlineLevel="0" collapsed="false">
      <c r="A503" s="22" t="s">
        <v>226</v>
      </c>
      <c r="B503" s="23" t="s">
        <v>205</v>
      </c>
      <c r="C503" s="10" t="str">
        <f aca="false">IF(G503="","未受領",IF(G503="なし","報告なし",IF(AL503="○","起票済",IF(OR(AK503="○",F503="一致",F503="入金不要"),"入金確認済","受領済"))))</f>
        <v>未受領</v>
      </c>
      <c r="D503" s="10" t="str">
        <f aca="false">IF(OR(G503="",G503="なし"),"―",IF(CN503="N","対象外",IF(AND(I503="",J503="",K503=""),"標報未入力",IF(CH503&gt;=設定!$B$4,"要確認","問題なし"))))</f>
        <v>―</v>
      </c>
      <c r="E503" s="24" t="str">
        <f aca="false">IF(OR(G503="",G503="なし",CI503="",CJ503=0),"―",IF(CJ503=CI503,"前月同額",IF(CI503=0,"―",IF(ABS(CJ503/CI503-1)&gt;=設定!$B$5,"変動大 "&amp;TEXT(CJ503/CI503-1,"+0%;-0%"),"〇"))))</f>
        <v>―</v>
      </c>
      <c r="F503" s="10" t="str">
        <f aca="false">IF(OR(G503="",G503="なし"),"―",IF(CJ503=0,"入金不要",IF(COUNT(AD503,AF503,AH503,AJ503)=0,IF(AK503="○","手動確認","未入金"),IF(AND(N(AD503)=AC503,IF(AE503="",TRUE(),N(AF503)=AE503),IF(AG503="",TRUE(),N(AH503)=AG503),IF(AI503="",TRUE(),N(AJ503)=AI503)),"一致","不一致"))))</f>
        <v>―</v>
      </c>
      <c r="G503" s="25"/>
      <c r="H503" s="26"/>
      <c r="I503" s="27"/>
      <c r="J503" s="27"/>
      <c r="K503" s="27"/>
      <c r="L503" s="27"/>
      <c r="M503" s="27"/>
      <c r="N503" s="27"/>
      <c r="O503" s="27"/>
      <c r="P503" s="27"/>
      <c r="Q503" s="27"/>
      <c r="R503" s="27"/>
      <c r="S503" s="27"/>
      <c r="T503" s="27"/>
      <c r="U503" s="27"/>
      <c r="V503" s="27"/>
      <c r="W503" s="27"/>
      <c r="X503" s="27"/>
      <c r="Y503" s="27"/>
      <c r="Z503" s="27"/>
      <c r="AA503" s="10" t="str">
        <f aca="false">IFERROR(INDEX(設定!$E$61:$E$106,MATCH(B503,設定!$B$61:$B$106,0)),"合算")</f>
        <v>合算</v>
      </c>
      <c r="AB503" s="28"/>
      <c r="AC503" s="29" t="str">
        <f aca="false">IF(OR(G503="",G503="なし"),"",IF(AA503="合算",CJ503+N(Z503),IF(AA503="掛金・負担金別",(AY503+AZ503+BD503+BF503+BH503),SUM(AY503:BC503))))</f>
        <v/>
      </c>
      <c r="AD503" s="27"/>
      <c r="AE503" s="29" t="str">
        <f aca="false">IF(OR(G503="",G503="なし"),"",IF(AA503="掛金・負担金別",(BA503+BB503+BC503+BE503+BG503+BI503+N(Z503)),IF(AA503="経理区分別",BD503+BE503,"")))</f>
        <v/>
      </c>
      <c r="AF503" s="27"/>
      <c r="AG503" s="29" t="str">
        <f aca="false">IF(OR(G503="",G503="なし"),"",IF(AA503="経理区分別",BF503+BG503,""))</f>
        <v/>
      </c>
      <c r="AH503" s="27"/>
      <c r="AI503" s="29" t="str">
        <f aca="false">IF(OR(G503="",G503="なし"),"",IF(AA503="経理区分別",BH503+BI503+N(Z503),""))</f>
        <v/>
      </c>
      <c r="AJ503" s="27"/>
      <c r="AK503" s="26"/>
      <c r="AL503" s="26"/>
      <c r="AM503" s="30"/>
      <c r="AN503" s="31"/>
      <c r="AO503" s="31"/>
      <c r="AP503" s="31"/>
      <c r="AQ503" s="31"/>
      <c r="AR503" s="31"/>
      <c r="AS503" s="31" t="n">
        <v>108364</v>
      </c>
      <c r="AT503" s="31" t="n">
        <v>108566</v>
      </c>
      <c r="AU503" s="31" t="n">
        <v>12245</v>
      </c>
      <c r="AV503" s="31" t="n">
        <v>12245</v>
      </c>
      <c r="AW503" s="31" t="n">
        <v>1</v>
      </c>
      <c r="AX503" s="31" t="n">
        <v>1</v>
      </c>
      <c r="AY503" s="31" t="n">
        <f aca="false">IF($G503="",AN503,O503)</f>
        <v>0</v>
      </c>
      <c r="AZ503" s="31" t="n">
        <f aca="false">IF($G503="",AO503,P503)</f>
        <v>0</v>
      </c>
      <c r="BA503" s="31" t="n">
        <f aca="false">IF($G503="",AP503,T503)</f>
        <v>0</v>
      </c>
      <c r="BB503" s="31" t="n">
        <f aca="false">IF($G503="",AQ503,U503)</f>
        <v>0</v>
      </c>
      <c r="BC503" s="31" t="n">
        <f aca="false">IF($G503="",AR503,V503)</f>
        <v>0</v>
      </c>
      <c r="BD503" s="31" t="n">
        <f aca="false">IF($G503="",AS503,Q503)</f>
        <v>108364</v>
      </c>
      <c r="BE503" s="31" t="n">
        <f aca="false">IF($G503="",AT503,W503)</f>
        <v>108566</v>
      </c>
      <c r="BF503" s="31" t="n">
        <f aca="false">IF($G503="",AU503,R503)</f>
        <v>12245</v>
      </c>
      <c r="BG503" s="31" t="n">
        <f aca="false">IF($G503="",AV503,X503)</f>
        <v>12245</v>
      </c>
      <c r="BH503" s="31" t="n">
        <f aca="false">IF($G503="",AW503,S503)</f>
        <v>1</v>
      </c>
      <c r="BI503" s="31" t="n">
        <f aca="false">IF($G503="",AX503,Y503)</f>
        <v>1</v>
      </c>
      <c r="BJ503" s="31" t="n">
        <f aca="false">IF(CK503="N",BR503,ROUNDDOWN((I503-L503)*設定!$B$10/1000,0)+ROUNDDOWN((I503-L503)*設定!$B$11/1000,0))</f>
        <v>0</v>
      </c>
      <c r="BK503" s="31" t="n">
        <f aca="false">ROUNDDOWN((I503-L503)*設定!$C$10/1000,0)+ROUNDDOWN((I503-L503)*設定!$C$11/1000,0)+ROUNDDOWN(I503*設定!$C$12/1000,0)+IF(CL503="市局型",ROUNDDOWN(I503*設定!$C$16/1000,0),0)</f>
        <v>0</v>
      </c>
      <c r="BL503" s="31" t="n">
        <f aca="false">IF(CK503="N",BT503,ROUNDDOWN((J503-M503)*設定!$B$13/1000,0))</f>
        <v>0</v>
      </c>
      <c r="BM503" s="31" t="n">
        <f aca="false">ROUNDDOWN((J503-M503)*設定!$C$13/1000,0)+IF(CL503="市局型",ROUNDDOWN(J503*設定!$C$17/1000,0),0)</f>
        <v>0</v>
      </c>
      <c r="BN503" s="31" t="n">
        <f aca="false">IF(CK503="N",BV503,ROUNDDOWN((K503-N503)*設定!$B$14/1000,0))</f>
        <v>0</v>
      </c>
      <c r="BO503" s="31" t="n">
        <f aca="false">ROUNDDOWN((K503-N503)*設定!$C$14/1000,0)</f>
        <v>0</v>
      </c>
      <c r="BP503" s="31" t="n">
        <f aca="false">IF(CK503="N",BX503,ROUNDDOWN((J503-M503)*設定!$B$15/1000,0))</f>
        <v>0</v>
      </c>
      <c r="BQ503" s="31" t="n">
        <f aca="false">ROUNDDOWN((J503-M503)*設定!$C$15/1000,0)</f>
        <v>0</v>
      </c>
      <c r="BR503" s="31" t="n">
        <f aca="false">O503+P503</f>
        <v>0</v>
      </c>
      <c r="BS503" s="31" t="n">
        <f aca="false">T503+U503+V503</f>
        <v>0</v>
      </c>
      <c r="BT503" s="31" t="n">
        <f aca="false">Q503</f>
        <v>0</v>
      </c>
      <c r="BU503" s="31" t="n">
        <f aca="false">W503</f>
        <v>0</v>
      </c>
      <c r="BV503" s="31" t="n">
        <f aca="false">R503</f>
        <v>0</v>
      </c>
      <c r="BW503" s="31" t="n">
        <f aca="false">X503</f>
        <v>0</v>
      </c>
      <c r="BX503" s="31" t="n">
        <f aca="false">S503</f>
        <v>0</v>
      </c>
      <c r="BY503" s="31" t="n">
        <f aca="false">Y503</f>
        <v>0</v>
      </c>
      <c r="BZ503" s="32" t="n">
        <f aca="false">IF(BJ503=0,IF(BR503=0,0,1),(BR503-BJ503)/BJ503)</f>
        <v>0</v>
      </c>
      <c r="CA503" s="32" t="n">
        <f aca="false">IF(BK503=0,IF(BS503=0,0,1),(BS503-BK503)/BK503)</f>
        <v>0</v>
      </c>
      <c r="CB503" s="32" t="n">
        <f aca="false">IF(BL503=0,IF(BT503=0,0,1),(BT503-BL503)/BL503)</f>
        <v>0</v>
      </c>
      <c r="CC503" s="32" t="n">
        <f aca="false">IF(BM503=0,IF(BU503=0,0,1),(BU503-BM503)/BM503)</f>
        <v>0</v>
      </c>
      <c r="CD503" s="32" t="n">
        <f aca="false">IF(BN503=0,IF(BV503=0,0,1),(BV503-BN503)/BN503)</f>
        <v>0</v>
      </c>
      <c r="CE503" s="32" t="n">
        <f aca="false">IF(BO503=0,IF(BW503=0,0,1),(BW503-BO503)/BO503)</f>
        <v>0</v>
      </c>
      <c r="CF503" s="32" t="n">
        <f aca="false">IF(BP503=0,IF(BX503=0,0,1),(BX503-BP503)/BP503)</f>
        <v>0</v>
      </c>
      <c r="CG503" s="32" t="n">
        <f aca="false">IF(BQ503=0,IF(BY503=0,0,1),(BY503-BQ503)/BQ503)</f>
        <v>0</v>
      </c>
      <c r="CH503" s="32" t="n">
        <f aca="false">MAX(MAX(BZ503:CG503),-MIN(BZ503:CG503))</f>
        <v>-0</v>
      </c>
      <c r="CI503" s="31" t="n">
        <f aca="false">IF(CO503="","",SUMIFS($CJ$7:$CJ$696,$A$7:$A$696,CO503,$B$7:$B$696,B503))</f>
        <v>264697</v>
      </c>
      <c r="CJ503" s="31" t="n">
        <f aca="false">SUM(AY503:BI503)</f>
        <v>241422</v>
      </c>
      <c r="CK503" s="31" t="str">
        <f aca="false">IFERROR(INDEX(設定!$F$61:$F$106,MATCH(B503,設定!$B$61:$B$106,0)),"Y")</f>
        <v>Y</v>
      </c>
      <c r="CL503" s="31" t="str">
        <f aca="false">IFERROR(INDEX(設定!$G$61:$G$106,MATCH(B503,設定!$B$61:$B$106,0)),"外郭型")</f>
        <v>外郭型</v>
      </c>
      <c r="CM503" s="33" t="str">
        <f aca="false">A503&amp;"|"&amp;B503</f>
        <v>2026-12 月例|職員共済組合</v>
      </c>
      <c r="CN503" s="34" t="str">
        <f aca="false">IFERROR(INDEX(設定!$D$61:$D$106,MATCH(B503,設定!$B$61:$B$106,0)),"Y")</f>
        <v>N</v>
      </c>
      <c r="CO503" s="34" t="str">
        <f aca="false">IFERROR(INDEX(設定!$D$20:$D$34,MATCH(A503,設定!$A$20:$A$34,0))&amp;"","")</f>
        <v>2026-11 月例</v>
      </c>
    </row>
    <row r="504" customFormat="false" ht="26.85" hidden="true" customHeight="false" outlineLevel="0" collapsed="false">
      <c r="A504" s="22" t="s">
        <v>226</v>
      </c>
      <c r="B504" s="35" t="s">
        <v>216</v>
      </c>
      <c r="C504" s="10" t="str">
        <f aca="false">IF(G504="","未受領",IF(G504="なし","報告なし",IF(AL504="○","起票済",IF(OR(AK504="○",F504="一致",F504="入金不要"),"入金確認済","受領済"))))</f>
        <v>報告なし</v>
      </c>
      <c r="D504" s="10" t="str">
        <f aca="false">IF(OR(G504="",G504="なし"),"―",IF(CN504="N","対象外",IF(AND(I504="",J504="",K504=""),"標報未入力",IF(CH504&gt;=設定!$B$4,"要確認","問題なし"))))</f>
        <v>―</v>
      </c>
      <c r="E504" s="24" t="str">
        <f aca="false">IF(OR(G504="",G504="なし",CI504="",CJ504=0),"―",IF(CJ504=CI504,"前月同額",IF(CI504=0,"―",IF(ABS(CJ504/CI504-1)&gt;=設定!$B$5,"変動大 "&amp;TEXT(CJ504/CI504-1,"+0%;-0%"),"〇"))))</f>
        <v>―</v>
      </c>
      <c r="F504" s="10" t="str">
        <f aca="false">IF(OR(G504="",G504="なし"),"―",IF(CJ504=0,"入金不要",IF(COUNT(AD504,AF504,AH504,AJ504)=0,IF(AK504="○","手動確認","未入金"),IF(AND(N(AD504)=AC504,IF(AE504="",TRUE(),N(AF504)=AE504),IF(AG504="",TRUE(),N(AH504)=AG504),IF(AI504="",TRUE(),N(AJ504)=AI504)),"一致","不一致"))))</f>
        <v>―</v>
      </c>
      <c r="G504" s="25" t="s">
        <v>181</v>
      </c>
      <c r="H504" s="26"/>
      <c r="I504" s="27"/>
      <c r="J504" s="27"/>
      <c r="K504" s="27"/>
      <c r="L504" s="27"/>
      <c r="M504" s="27"/>
      <c r="N504" s="27"/>
      <c r="O504" s="27"/>
      <c r="P504" s="27"/>
      <c r="Q504" s="27"/>
      <c r="R504" s="27"/>
      <c r="S504" s="27"/>
      <c r="T504" s="27"/>
      <c r="U504" s="27"/>
      <c r="V504" s="27"/>
      <c r="W504" s="27"/>
      <c r="X504" s="27"/>
      <c r="Y504" s="27"/>
      <c r="Z504" s="27"/>
      <c r="AA504" s="10" t="str">
        <f aca="false">IFERROR(INDEX(設定!$E$61:$E$106,MATCH(B504,設定!$B$61:$B$106,0)),"合算")</f>
        <v>合算</v>
      </c>
      <c r="AB504" s="28"/>
      <c r="AC504" s="29" t="str">
        <f aca="false">IF(OR(G504="",G504="なし"),"",IF(AA504="合算",CJ504+N(Z504),IF(AA504="掛金・負担金別",(AY504+AZ504+BD504+BF504+BH504),SUM(AY504:BC504))))</f>
        <v/>
      </c>
      <c r="AD504" s="27"/>
      <c r="AE504" s="29" t="str">
        <f aca="false">IF(OR(G504="",G504="なし"),"",IF(AA504="掛金・負担金別",(BA504+BB504+BC504+BE504+BG504+BI504+N(Z504)),IF(AA504="経理区分別",BD504+BE504,"")))</f>
        <v/>
      </c>
      <c r="AF504" s="27"/>
      <c r="AG504" s="29" t="str">
        <f aca="false">IF(OR(G504="",G504="なし"),"",IF(AA504="経理区分別",BF504+BG504,""))</f>
        <v/>
      </c>
      <c r="AH504" s="27"/>
      <c r="AI504" s="29" t="str">
        <f aca="false">IF(OR(G504="",G504="なし"),"",IF(AA504="経理区分別",BH504+BI504+N(Z504),""))</f>
        <v/>
      </c>
      <c r="AJ504" s="27"/>
      <c r="AK504" s="26"/>
      <c r="AL504" s="26"/>
      <c r="AM504" s="30"/>
      <c r="AN504" s="31"/>
      <c r="AO504" s="31"/>
      <c r="AP504" s="31"/>
      <c r="AQ504" s="31"/>
      <c r="AR504" s="31"/>
      <c r="AS504" s="31"/>
      <c r="AT504" s="31"/>
      <c r="AU504" s="31"/>
      <c r="AV504" s="31"/>
      <c r="AW504" s="31"/>
      <c r="AX504" s="31"/>
      <c r="AY504" s="31" t="n">
        <f aca="false">IF($G504="",AN504,O504)</f>
        <v>0</v>
      </c>
      <c r="AZ504" s="31" t="n">
        <f aca="false">IF($G504="",AO504,P504)</f>
        <v>0</v>
      </c>
      <c r="BA504" s="31" t="n">
        <f aca="false">IF($G504="",AP504,T504)</f>
        <v>0</v>
      </c>
      <c r="BB504" s="31" t="n">
        <f aca="false">IF($G504="",AQ504,U504)</f>
        <v>0</v>
      </c>
      <c r="BC504" s="31" t="n">
        <f aca="false">IF($G504="",AR504,V504)</f>
        <v>0</v>
      </c>
      <c r="BD504" s="31" t="n">
        <f aca="false">IF($G504="",AS504,Q504)</f>
        <v>0</v>
      </c>
      <c r="BE504" s="31" t="n">
        <f aca="false">IF($G504="",AT504,W504)</f>
        <v>0</v>
      </c>
      <c r="BF504" s="31" t="n">
        <f aca="false">IF($G504="",AU504,R504)</f>
        <v>0</v>
      </c>
      <c r="BG504" s="31" t="n">
        <f aca="false">IF($G504="",AV504,X504)</f>
        <v>0</v>
      </c>
      <c r="BH504" s="31" t="n">
        <f aca="false">IF($G504="",AW504,S504)</f>
        <v>0</v>
      </c>
      <c r="BI504" s="31" t="n">
        <f aca="false">IF($G504="",AX504,Y504)</f>
        <v>0</v>
      </c>
      <c r="BJ504" s="31" t="n">
        <f aca="false">IF(CK504="N",BR504,ROUNDDOWN((I504-L504)*設定!$B$10/1000,0)+ROUNDDOWN((I504-L504)*設定!$B$11/1000,0))</f>
        <v>0</v>
      </c>
      <c r="BK504" s="31" t="n">
        <f aca="false">ROUNDDOWN((I504-L504)*設定!$C$10/1000,0)+ROUNDDOWN((I504-L504)*設定!$C$11/1000,0)+ROUNDDOWN(I504*設定!$C$12/1000,0)+IF(CL504="市局型",ROUNDDOWN(I504*設定!$C$16/1000,0),0)</f>
        <v>0</v>
      </c>
      <c r="BL504" s="31" t="n">
        <f aca="false">IF(CK504="N",BT504,ROUNDDOWN((J504-M504)*設定!$B$13/1000,0))</f>
        <v>0</v>
      </c>
      <c r="BM504" s="31" t="n">
        <f aca="false">ROUNDDOWN((J504-M504)*設定!$C$13/1000,0)+IF(CL504="市局型",ROUNDDOWN(J504*設定!$C$17/1000,0),0)</f>
        <v>0</v>
      </c>
      <c r="BN504" s="31" t="n">
        <f aca="false">IF(CK504="N",BV504,ROUNDDOWN((K504-N504)*設定!$B$14/1000,0))</f>
        <v>0</v>
      </c>
      <c r="BO504" s="31" t="n">
        <f aca="false">ROUNDDOWN((K504-N504)*設定!$C$14/1000,0)</f>
        <v>0</v>
      </c>
      <c r="BP504" s="31" t="n">
        <f aca="false">IF(CK504="N",BX504,ROUNDDOWN((J504-M504)*設定!$B$15/1000,0))</f>
        <v>0</v>
      </c>
      <c r="BQ504" s="31" t="n">
        <f aca="false">ROUNDDOWN((J504-M504)*設定!$C$15/1000,0)</f>
        <v>0</v>
      </c>
      <c r="BR504" s="31" t="n">
        <f aca="false">O504+P504</f>
        <v>0</v>
      </c>
      <c r="BS504" s="31" t="n">
        <f aca="false">T504+U504+V504</f>
        <v>0</v>
      </c>
      <c r="BT504" s="31" t="n">
        <f aca="false">Q504</f>
        <v>0</v>
      </c>
      <c r="BU504" s="31" t="n">
        <f aca="false">W504</f>
        <v>0</v>
      </c>
      <c r="BV504" s="31" t="n">
        <f aca="false">R504</f>
        <v>0</v>
      </c>
      <c r="BW504" s="31" t="n">
        <f aca="false">X504</f>
        <v>0</v>
      </c>
      <c r="BX504" s="31" t="n">
        <f aca="false">S504</f>
        <v>0</v>
      </c>
      <c r="BY504" s="31" t="n">
        <f aca="false">Y504</f>
        <v>0</v>
      </c>
      <c r="BZ504" s="32" t="n">
        <f aca="false">IF(BJ504=0,IF(BR504=0,0,1),(BR504-BJ504)/BJ504)</f>
        <v>0</v>
      </c>
      <c r="CA504" s="32" t="n">
        <f aca="false">IF(BK504=0,IF(BS504=0,0,1),(BS504-BK504)/BK504)</f>
        <v>0</v>
      </c>
      <c r="CB504" s="32" t="n">
        <f aca="false">IF(BL504=0,IF(BT504=0,0,1),(BT504-BL504)/BL504)</f>
        <v>0</v>
      </c>
      <c r="CC504" s="32" t="n">
        <f aca="false">IF(BM504=0,IF(BU504=0,0,1),(BU504-BM504)/BM504)</f>
        <v>0</v>
      </c>
      <c r="CD504" s="32" t="n">
        <f aca="false">IF(BN504=0,IF(BV504=0,0,1),(BV504-BN504)/BN504)</f>
        <v>0</v>
      </c>
      <c r="CE504" s="32" t="n">
        <f aca="false">IF(BO504=0,IF(BW504=0,0,1),(BW504-BO504)/BO504)</f>
        <v>0</v>
      </c>
      <c r="CF504" s="32" t="n">
        <f aca="false">IF(BP504=0,IF(BX504=0,0,1),(BX504-BP504)/BP504)</f>
        <v>0</v>
      </c>
      <c r="CG504" s="32" t="n">
        <f aca="false">IF(BQ504=0,IF(BY504=0,0,1),(BY504-BQ504)/BQ504)</f>
        <v>0</v>
      </c>
      <c r="CH504" s="32" t="n">
        <f aca="false">MAX(MAX(BZ504:CG504),-MIN(BZ504:CG504))</f>
        <v>-0</v>
      </c>
      <c r="CI504" s="31" t="n">
        <f aca="false">IF(CO504="","",SUMIFS($CJ$7:$CJ$696,$A$7:$A$696,CO504,$B$7:$B$696,B504))</f>
        <v>0</v>
      </c>
      <c r="CJ504" s="31" t="n">
        <f aca="false">SUM(AY504:BI504)</f>
        <v>0</v>
      </c>
      <c r="CK504" s="31" t="str">
        <f aca="false">IFERROR(INDEX(設定!$F$61:$F$106,MATCH(B504,設定!$B$61:$B$106,0)),"Y")</f>
        <v>N</v>
      </c>
      <c r="CL504" s="31" t="str">
        <f aca="false">IFERROR(INDEX(設定!$G$61:$G$106,MATCH(B504,設定!$B$61:$B$106,0)),"外郭型")</f>
        <v>外郭型</v>
      </c>
      <c r="CM504" s="36" t="str">
        <f aca="false">A504&amp;"|"&amp;B504</f>
        <v>2026-12 月例|地方公共団体
情報システム機構</v>
      </c>
      <c r="CN504" s="34" t="str">
        <f aca="false">IFERROR(INDEX(設定!$D$61:$D$106,MATCH(B504,設定!$B$61:$B$106,0)),"Y")</f>
        <v>Y</v>
      </c>
      <c r="CO504" s="34" t="str">
        <f aca="false">IFERROR(INDEX(設定!$D$20:$D$34,MATCH(A504,設定!$A$20:$A$34,0))&amp;"","")</f>
        <v>2026-11 月例</v>
      </c>
    </row>
    <row r="505" customFormat="false" ht="15" hidden="true" customHeight="false" outlineLevel="0" collapsed="false">
      <c r="A505" s="22" t="s">
        <v>226</v>
      </c>
      <c r="B505" s="23" t="s">
        <v>207</v>
      </c>
      <c r="C505" s="10" t="str">
        <f aca="false">IF(G505="","未受領",IF(G505="なし","報告なし",IF(AL505="○","起票済",IF(OR(AK505="○",F505="一致",F505="入金不要"),"入金確認済","受領済"))))</f>
        <v>未受領</v>
      </c>
      <c r="D505" s="10" t="str">
        <f aca="false">IF(OR(G505="",G505="なし"),"―",IF(CN505="N","対象外",IF(AND(I505="",J505="",K505=""),"標報未入力",IF(CH505&gt;=設定!$B$4,"要確認","問題なし"))))</f>
        <v>―</v>
      </c>
      <c r="E505" s="24" t="str">
        <f aca="false">IF(OR(G505="",G505="なし",CI505="",CJ505=0),"―",IF(CJ505=CI505,"前月同額",IF(CI505=0,"―",IF(ABS(CJ505/CI505-1)&gt;=設定!$B$5,"変動大 "&amp;TEXT(CJ505/CI505-1,"+0%;-0%"),"〇"))))</f>
        <v>―</v>
      </c>
      <c r="F505" s="10" t="str">
        <f aca="false">IF(OR(G505="",G505="なし"),"―",IF(CJ505=0,"入金不要",IF(COUNT(AD505,AF505,AH505,AJ505)=0,IF(AK505="○","手動確認","未入金"),IF(AND(N(AD505)=AC505,IF(AE505="",TRUE(),N(AF505)=AE505),IF(AG505="",TRUE(),N(AH505)=AG505),IF(AI505="",TRUE(),N(AJ505)=AI505)),"一致","不一致"))))</f>
        <v>―</v>
      </c>
      <c r="G505" s="25"/>
      <c r="H505" s="26"/>
      <c r="I505" s="27"/>
      <c r="J505" s="27"/>
      <c r="K505" s="27"/>
      <c r="L505" s="27"/>
      <c r="M505" s="27"/>
      <c r="N505" s="27"/>
      <c r="O505" s="27"/>
      <c r="P505" s="27"/>
      <c r="Q505" s="27"/>
      <c r="R505" s="27"/>
      <c r="S505" s="27"/>
      <c r="T505" s="27"/>
      <c r="U505" s="27"/>
      <c r="V505" s="27"/>
      <c r="W505" s="27"/>
      <c r="X505" s="27"/>
      <c r="Y505" s="27"/>
      <c r="Z505" s="27"/>
      <c r="AA505" s="10" t="str">
        <f aca="false">IFERROR(INDEX(設定!$E$61:$E$106,MATCH(B505,設定!$B$61:$B$106,0)),"合算")</f>
        <v>合算</v>
      </c>
      <c r="AB505" s="28"/>
      <c r="AC505" s="29" t="str">
        <f aca="false">IF(OR(G505="",G505="なし"),"",IF(AA505="合算",CJ505+N(Z505),IF(AA505="掛金・負担金別",(AY505+AZ505+BD505+BF505+BH505),SUM(AY505:BC505))))</f>
        <v/>
      </c>
      <c r="AD505" s="27"/>
      <c r="AE505" s="29" t="str">
        <f aca="false">IF(OR(G505="",G505="なし"),"",IF(AA505="掛金・負担金別",(BA505+BB505+BC505+BE505+BG505+BI505+N(Z505)),IF(AA505="経理区分別",BD505+BE505,"")))</f>
        <v/>
      </c>
      <c r="AF505" s="27"/>
      <c r="AG505" s="29" t="str">
        <f aca="false">IF(OR(G505="",G505="なし"),"",IF(AA505="経理区分別",BF505+BG505,""))</f>
        <v/>
      </c>
      <c r="AH505" s="27"/>
      <c r="AI505" s="29" t="str">
        <f aca="false">IF(OR(G505="",G505="なし"),"",IF(AA505="経理区分別",BH505+BI505+N(Z505),""))</f>
        <v/>
      </c>
      <c r="AJ505" s="27"/>
      <c r="AK505" s="26"/>
      <c r="AL505" s="26"/>
      <c r="AM505" s="30"/>
      <c r="AN505" s="31" t="n">
        <v>59475</v>
      </c>
      <c r="AO505" s="31" t="n">
        <v>4875</v>
      </c>
      <c r="AP505" s="31" t="n">
        <v>59475</v>
      </c>
      <c r="AQ505" s="31" t="n">
        <v>4875</v>
      </c>
      <c r="AR505" s="31" t="n">
        <v>61</v>
      </c>
      <c r="AS505" s="31" t="n">
        <v>41257</v>
      </c>
      <c r="AT505" s="31" t="n">
        <v>41332</v>
      </c>
      <c r="AU505" s="31" t="n">
        <v>5925</v>
      </c>
      <c r="AV505" s="31" t="n">
        <v>5925</v>
      </c>
      <c r="AW505" s="31" t="n">
        <v>1</v>
      </c>
      <c r="AX505" s="31" t="n">
        <v>1</v>
      </c>
      <c r="AY505" s="31" t="n">
        <f aca="false">IF($G505="",AN505,O505)</f>
        <v>59475</v>
      </c>
      <c r="AZ505" s="31" t="n">
        <f aca="false">IF($G505="",AO505,P505)</f>
        <v>4875</v>
      </c>
      <c r="BA505" s="31" t="n">
        <f aca="false">IF($G505="",AP505,T505)</f>
        <v>59475</v>
      </c>
      <c r="BB505" s="31" t="n">
        <f aca="false">IF($G505="",AQ505,U505)</f>
        <v>4875</v>
      </c>
      <c r="BC505" s="31" t="n">
        <f aca="false">IF($G505="",AR505,V505)</f>
        <v>61</v>
      </c>
      <c r="BD505" s="31" t="n">
        <f aca="false">IF($G505="",AS505,Q505)</f>
        <v>41257</v>
      </c>
      <c r="BE505" s="31" t="n">
        <f aca="false">IF($G505="",AT505,W505)</f>
        <v>41332</v>
      </c>
      <c r="BF505" s="31" t="n">
        <f aca="false">IF($G505="",AU505,R505)</f>
        <v>5925</v>
      </c>
      <c r="BG505" s="31" t="n">
        <f aca="false">IF($G505="",AV505,X505)</f>
        <v>5925</v>
      </c>
      <c r="BH505" s="31" t="n">
        <f aca="false">IF($G505="",AW505,S505)</f>
        <v>1</v>
      </c>
      <c r="BI505" s="31" t="n">
        <f aca="false">IF($G505="",AX505,Y505)</f>
        <v>1</v>
      </c>
      <c r="BJ505" s="31" t="n">
        <f aca="false">IF(CK505="N",BR505,ROUNDDOWN((I505-L505)*設定!$B$10/1000,0)+ROUNDDOWN((I505-L505)*設定!$B$11/1000,0))</f>
        <v>0</v>
      </c>
      <c r="BK505" s="31" t="n">
        <f aca="false">ROUNDDOWN((I505-L505)*設定!$C$10/1000,0)+ROUNDDOWN((I505-L505)*設定!$C$11/1000,0)+ROUNDDOWN(I505*設定!$C$12/1000,0)+IF(CL505="市局型",ROUNDDOWN(I505*設定!$C$16/1000,0),0)</f>
        <v>0</v>
      </c>
      <c r="BL505" s="31" t="n">
        <f aca="false">IF(CK505="N",BT505,ROUNDDOWN((J505-M505)*設定!$B$13/1000,0))</f>
        <v>0</v>
      </c>
      <c r="BM505" s="31" t="n">
        <f aca="false">ROUNDDOWN((J505-M505)*設定!$C$13/1000,0)+IF(CL505="市局型",ROUNDDOWN(J505*設定!$C$17/1000,0),0)</f>
        <v>0</v>
      </c>
      <c r="BN505" s="31" t="n">
        <f aca="false">IF(CK505="N",BV505,ROUNDDOWN((K505-N505)*設定!$B$14/1000,0))</f>
        <v>0</v>
      </c>
      <c r="BO505" s="31" t="n">
        <f aca="false">ROUNDDOWN((K505-N505)*設定!$C$14/1000,0)</f>
        <v>0</v>
      </c>
      <c r="BP505" s="31" t="n">
        <f aca="false">IF(CK505="N",BX505,ROUNDDOWN((J505-M505)*設定!$B$15/1000,0))</f>
        <v>0</v>
      </c>
      <c r="BQ505" s="31" t="n">
        <f aca="false">ROUNDDOWN((J505-M505)*設定!$C$15/1000,0)</f>
        <v>0</v>
      </c>
      <c r="BR505" s="31" t="n">
        <f aca="false">O505+P505</f>
        <v>0</v>
      </c>
      <c r="BS505" s="31" t="n">
        <f aca="false">T505+U505+V505</f>
        <v>0</v>
      </c>
      <c r="BT505" s="31" t="n">
        <f aca="false">Q505</f>
        <v>0</v>
      </c>
      <c r="BU505" s="31" t="n">
        <f aca="false">W505</f>
        <v>0</v>
      </c>
      <c r="BV505" s="31" t="n">
        <f aca="false">R505</f>
        <v>0</v>
      </c>
      <c r="BW505" s="31" t="n">
        <f aca="false">X505</f>
        <v>0</v>
      </c>
      <c r="BX505" s="31" t="n">
        <f aca="false">S505</f>
        <v>0</v>
      </c>
      <c r="BY505" s="31" t="n">
        <f aca="false">Y505</f>
        <v>0</v>
      </c>
      <c r="BZ505" s="32" t="n">
        <f aca="false">IF(BJ505=0,IF(BR505=0,0,1),(BR505-BJ505)/BJ505)</f>
        <v>0</v>
      </c>
      <c r="CA505" s="32" t="n">
        <f aca="false">IF(BK505=0,IF(BS505=0,0,1),(BS505-BK505)/BK505)</f>
        <v>0</v>
      </c>
      <c r="CB505" s="32" t="n">
        <f aca="false">IF(BL505=0,IF(BT505=0,0,1),(BT505-BL505)/BL505)</f>
        <v>0</v>
      </c>
      <c r="CC505" s="32" t="n">
        <f aca="false">IF(BM505=0,IF(BU505=0,0,1),(BU505-BM505)/BM505)</f>
        <v>0</v>
      </c>
      <c r="CD505" s="32" t="n">
        <f aca="false">IF(BN505=0,IF(BV505=0,0,1),(BV505-BN505)/BN505)</f>
        <v>0</v>
      </c>
      <c r="CE505" s="32" t="n">
        <f aca="false">IF(BO505=0,IF(BW505=0,0,1),(BW505-BO505)/BO505)</f>
        <v>0</v>
      </c>
      <c r="CF505" s="32" t="n">
        <f aca="false">IF(BP505=0,IF(BX505=0,0,1),(BX505-BP505)/BP505)</f>
        <v>0</v>
      </c>
      <c r="CG505" s="32" t="n">
        <f aca="false">IF(BQ505=0,IF(BY505=0,0,1),(BY505-BQ505)/BQ505)</f>
        <v>0</v>
      </c>
      <c r="CH505" s="32" t="n">
        <f aca="false">MAX(MAX(BZ505:CG505),-MIN(BZ505:CG505))</f>
        <v>-0</v>
      </c>
      <c r="CI505" s="31" t="n">
        <f aca="false">IF(CO505="","",SUMIFS($CJ$7:$CJ$696,$A$7:$A$696,CO505,$B$7:$B$696,B505))</f>
        <v>223202</v>
      </c>
      <c r="CJ505" s="31" t="n">
        <f aca="false">SUM(AY505:BI505)</f>
        <v>223202</v>
      </c>
      <c r="CK505" s="31" t="str">
        <f aca="false">IFERROR(INDEX(設定!$F$61:$F$106,MATCH(B505,設定!$B$61:$B$106,0)),"Y")</f>
        <v>Y</v>
      </c>
      <c r="CL505" s="31" t="str">
        <f aca="false">IFERROR(INDEX(設定!$G$61:$G$106,MATCH(B505,設定!$B$61:$B$106,0)),"外郭型")</f>
        <v>外郭型</v>
      </c>
      <c r="CM505" s="33" t="str">
        <f aca="false">A505&amp;"|"&amp;B505</f>
        <v>2026-12 月例|全国市長会</v>
      </c>
      <c r="CN505" s="34" t="str">
        <f aca="false">IFERROR(INDEX(設定!$D$61:$D$106,MATCH(B505,設定!$B$61:$B$106,0)),"Y")</f>
        <v>Y</v>
      </c>
      <c r="CO505" s="34" t="str">
        <f aca="false">IFERROR(INDEX(設定!$D$20:$D$34,MATCH(A505,設定!$A$20:$A$34,0))&amp;"","")</f>
        <v>2026-11 月例</v>
      </c>
    </row>
    <row r="506" customFormat="false" ht="15" hidden="true" customHeight="false" outlineLevel="0" collapsed="false">
      <c r="A506" s="22" t="s">
        <v>226</v>
      </c>
      <c r="B506" s="23" t="s">
        <v>208</v>
      </c>
      <c r="C506" s="10" t="str">
        <f aca="false">IF(G506="","未受領",IF(G506="なし","報告なし",IF(AL506="○","起票済",IF(OR(AK506="○",F506="一致",F506="入金不要"),"入金確認済","受領済"))))</f>
        <v>未受領</v>
      </c>
      <c r="D506" s="10" t="str">
        <f aca="false">IF(OR(G506="",G506="なし"),"―",IF(CN506="N","対象外",IF(AND(I506="",J506="",K506=""),"標報未入力",IF(CH506&gt;=設定!$B$4,"要確認","問題なし"))))</f>
        <v>―</v>
      </c>
      <c r="E506" s="24" t="str">
        <f aca="false">IF(OR(G506="",G506="なし",CI506="",CJ506=0),"―",IF(CJ506=CI506,"前月同額",IF(CI506=0,"―",IF(ABS(CJ506/CI506-1)&gt;=設定!$B$5,"変動大 "&amp;TEXT(CJ506/CI506-1,"+0%;-0%"),"〇"))))</f>
        <v>―</v>
      </c>
      <c r="F506" s="10" t="str">
        <f aca="false">IF(OR(G506="",G506="なし"),"―",IF(CJ506=0,"入金不要",IF(COUNT(AD506,AF506,AH506,AJ506)=0,IF(AK506="○","手動確認","未入金"),IF(AND(N(AD506)=AC506,IF(AE506="",TRUE(),N(AF506)=AE506),IF(AG506="",TRUE(),N(AH506)=AG506),IF(AI506="",TRUE(),N(AJ506)=AI506)),"一致","不一致"))))</f>
        <v>―</v>
      </c>
      <c r="G506" s="25"/>
      <c r="H506" s="26"/>
      <c r="I506" s="27"/>
      <c r="J506" s="27"/>
      <c r="K506" s="27"/>
      <c r="L506" s="27"/>
      <c r="M506" s="27"/>
      <c r="N506" s="27"/>
      <c r="O506" s="27"/>
      <c r="P506" s="27"/>
      <c r="Q506" s="27"/>
      <c r="R506" s="27"/>
      <c r="S506" s="27"/>
      <c r="T506" s="27"/>
      <c r="U506" s="27"/>
      <c r="V506" s="27"/>
      <c r="W506" s="27"/>
      <c r="X506" s="27"/>
      <c r="Y506" s="27"/>
      <c r="Z506" s="27"/>
      <c r="AA506" s="10" t="str">
        <f aca="false">IFERROR(INDEX(設定!$E$61:$E$106,MATCH(B506,設定!$B$61:$B$106,0)),"合算")</f>
        <v>合算</v>
      </c>
      <c r="AB506" s="28"/>
      <c r="AC506" s="29" t="str">
        <f aca="false">IF(OR(G506="",G506="なし"),"",IF(AA506="合算",CJ506+N(Z506),IF(AA506="掛金・負担金別",(AY506+AZ506+BD506+BF506+BH506),SUM(AY506:BC506))))</f>
        <v/>
      </c>
      <c r="AD506" s="27"/>
      <c r="AE506" s="29" t="str">
        <f aca="false">IF(OR(G506="",G506="なし"),"",IF(AA506="掛金・負担金別",(BA506+BB506+BC506+BE506+BG506+BI506+N(Z506)),IF(AA506="経理区分別",BD506+BE506,"")))</f>
        <v/>
      </c>
      <c r="AF506" s="27"/>
      <c r="AG506" s="29" t="str">
        <f aca="false">IF(OR(G506="",G506="なし"),"",IF(AA506="経理区分別",BF506+BG506,""))</f>
        <v/>
      </c>
      <c r="AH506" s="27"/>
      <c r="AI506" s="29" t="str">
        <f aca="false">IF(OR(G506="",G506="なし"),"",IF(AA506="経理区分別",BH506+BI506+N(Z506),""))</f>
        <v/>
      </c>
      <c r="AJ506" s="27"/>
      <c r="AK506" s="26"/>
      <c r="AL506" s="26"/>
      <c r="AM506" s="30"/>
      <c r="AN506" s="31" t="n">
        <v>145485</v>
      </c>
      <c r="AO506" s="31" t="n">
        <v>11925</v>
      </c>
      <c r="AP506" s="31" t="n">
        <v>145485</v>
      </c>
      <c r="AQ506" s="31" t="n">
        <v>11925</v>
      </c>
      <c r="AR506" s="31" t="n">
        <v>149</v>
      </c>
      <c r="AS506" s="31"/>
      <c r="AT506" s="31"/>
      <c r="AU506" s="31"/>
      <c r="AV506" s="31"/>
      <c r="AW506" s="31"/>
      <c r="AX506" s="31"/>
      <c r="AY506" s="31" t="n">
        <f aca="false">IF($G506="",AN506,O506)</f>
        <v>145485</v>
      </c>
      <c r="AZ506" s="31" t="n">
        <f aca="false">IF($G506="",AO506,P506)</f>
        <v>11925</v>
      </c>
      <c r="BA506" s="31" t="n">
        <f aca="false">IF($G506="",AP506,T506)</f>
        <v>145485</v>
      </c>
      <c r="BB506" s="31" t="n">
        <f aca="false">IF($G506="",AQ506,U506)</f>
        <v>11925</v>
      </c>
      <c r="BC506" s="31" t="n">
        <f aca="false">IF($G506="",AR506,V506)</f>
        <v>149</v>
      </c>
      <c r="BD506" s="31" t="n">
        <f aca="false">IF($G506="",AS506,Q506)</f>
        <v>0</v>
      </c>
      <c r="BE506" s="31" t="n">
        <f aca="false">IF($G506="",AT506,W506)</f>
        <v>0</v>
      </c>
      <c r="BF506" s="31" t="n">
        <f aca="false">IF($G506="",AU506,R506)</f>
        <v>0</v>
      </c>
      <c r="BG506" s="31" t="n">
        <f aca="false">IF($G506="",AV506,X506)</f>
        <v>0</v>
      </c>
      <c r="BH506" s="31" t="n">
        <f aca="false">IF($G506="",AW506,S506)</f>
        <v>0</v>
      </c>
      <c r="BI506" s="31" t="n">
        <f aca="false">IF($G506="",AX506,Y506)</f>
        <v>0</v>
      </c>
      <c r="BJ506" s="31" t="n">
        <f aca="false">IF(CK506="N",BR506,ROUNDDOWN((I506-L506)*設定!$B$10/1000,0)+ROUNDDOWN((I506-L506)*設定!$B$11/1000,0))</f>
        <v>0</v>
      </c>
      <c r="BK506" s="31" t="n">
        <f aca="false">ROUNDDOWN((I506-L506)*設定!$C$10/1000,0)+ROUNDDOWN((I506-L506)*設定!$C$11/1000,0)+ROUNDDOWN(I506*設定!$C$12/1000,0)+IF(CL506="市局型",ROUNDDOWN(I506*設定!$C$16/1000,0),0)</f>
        <v>0</v>
      </c>
      <c r="BL506" s="31" t="n">
        <f aca="false">IF(CK506="N",BT506,ROUNDDOWN((J506-M506)*設定!$B$13/1000,0))</f>
        <v>0</v>
      </c>
      <c r="BM506" s="31" t="n">
        <f aca="false">ROUNDDOWN((J506-M506)*設定!$C$13/1000,0)+IF(CL506="市局型",ROUNDDOWN(J506*設定!$C$17/1000,0),0)</f>
        <v>0</v>
      </c>
      <c r="BN506" s="31" t="n">
        <f aca="false">IF(CK506="N",BV506,ROUNDDOWN((K506-N506)*設定!$B$14/1000,0))</f>
        <v>0</v>
      </c>
      <c r="BO506" s="31" t="n">
        <f aca="false">ROUNDDOWN((K506-N506)*設定!$C$14/1000,0)</f>
        <v>0</v>
      </c>
      <c r="BP506" s="31" t="n">
        <f aca="false">IF(CK506="N",BX506,ROUNDDOWN((J506-M506)*設定!$B$15/1000,0))</f>
        <v>0</v>
      </c>
      <c r="BQ506" s="31" t="n">
        <f aca="false">ROUNDDOWN((J506-M506)*設定!$C$15/1000,0)</f>
        <v>0</v>
      </c>
      <c r="BR506" s="31" t="n">
        <f aca="false">O506+P506</f>
        <v>0</v>
      </c>
      <c r="BS506" s="31" t="n">
        <f aca="false">T506+U506+V506</f>
        <v>0</v>
      </c>
      <c r="BT506" s="31" t="n">
        <f aca="false">Q506</f>
        <v>0</v>
      </c>
      <c r="BU506" s="31" t="n">
        <f aca="false">W506</f>
        <v>0</v>
      </c>
      <c r="BV506" s="31" t="n">
        <f aca="false">R506</f>
        <v>0</v>
      </c>
      <c r="BW506" s="31" t="n">
        <f aca="false">X506</f>
        <v>0</v>
      </c>
      <c r="BX506" s="31" t="n">
        <f aca="false">S506</f>
        <v>0</v>
      </c>
      <c r="BY506" s="31" t="n">
        <f aca="false">Y506</f>
        <v>0</v>
      </c>
      <c r="BZ506" s="32" t="n">
        <f aca="false">IF(BJ506=0,IF(BR506=0,0,1),(BR506-BJ506)/BJ506)</f>
        <v>0</v>
      </c>
      <c r="CA506" s="32" t="n">
        <f aca="false">IF(BK506=0,IF(BS506=0,0,1),(BS506-BK506)/BK506)</f>
        <v>0</v>
      </c>
      <c r="CB506" s="32" t="n">
        <f aca="false">IF(BL506=0,IF(BT506=0,0,1),(BT506-BL506)/BL506)</f>
        <v>0</v>
      </c>
      <c r="CC506" s="32" t="n">
        <f aca="false">IF(BM506=0,IF(BU506=0,0,1),(BU506-BM506)/BM506)</f>
        <v>0</v>
      </c>
      <c r="CD506" s="32" t="n">
        <f aca="false">IF(BN506=0,IF(BV506=0,0,1),(BV506-BN506)/BN506)</f>
        <v>0</v>
      </c>
      <c r="CE506" s="32" t="n">
        <f aca="false">IF(BO506=0,IF(BW506=0,0,1),(BW506-BO506)/BO506)</f>
        <v>0</v>
      </c>
      <c r="CF506" s="32" t="n">
        <f aca="false">IF(BP506=0,IF(BX506=0,0,1),(BX506-BP506)/BP506)</f>
        <v>0</v>
      </c>
      <c r="CG506" s="32" t="n">
        <f aca="false">IF(BQ506=0,IF(BY506=0,0,1),(BY506-BQ506)/BQ506)</f>
        <v>0</v>
      </c>
      <c r="CH506" s="32" t="n">
        <f aca="false">MAX(MAX(BZ506:CG506),-MIN(BZ506:CG506))</f>
        <v>-0</v>
      </c>
      <c r="CI506" s="31" t="n">
        <f aca="false">IF(CO506="","",SUMIFS($CJ$7:$CJ$696,$A$7:$A$696,CO506,$B$7:$B$696,B506))</f>
        <v>314969</v>
      </c>
      <c r="CJ506" s="31" t="n">
        <f aca="false">SUM(AY506:BI506)</f>
        <v>314969</v>
      </c>
      <c r="CK506" s="31" t="str">
        <f aca="false">IFERROR(INDEX(設定!$F$61:$F$106,MATCH(B506,設定!$B$61:$B$106,0)),"Y")</f>
        <v>Y</v>
      </c>
      <c r="CL506" s="31" t="str">
        <f aca="false">IFERROR(INDEX(設定!$G$61:$G$106,MATCH(B506,設定!$B$61:$B$106,0)),"外郭型")</f>
        <v>外郭型</v>
      </c>
      <c r="CM506" s="33" t="str">
        <f aca="false">A506&amp;"|"&amp;B506</f>
        <v>2026-12 月例|高速交通（株）</v>
      </c>
      <c r="CN506" s="34" t="str">
        <f aca="false">IFERROR(INDEX(設定!$D$61:$D$106,MATCH(B506,設定!$B$61:$B$106,0)),"Y")</f>
        <v>Y</v>
      </c>
      <c r="CO506" s="34" t="str">
        <f aca="false">IFERROR(INDEX(設定!$D$20:$D$34,MATCH(A506,設定!$A$20:$A$34,0))&amp;"","")</f>
        <v>2026-11 月例</v>
      </c>
    </row>
    <row r="507" customFormat="false" ht="15" hidden="true" customHeight="false" outlineLevel="0" collapsed="false">
      <c r="A507" s="22" t="s">
        <v>226</v>
      </c>
      <c r="B507" s="23" t="s">
        <v>209</v>
      </c>
      <c r="C507" s="10" t="str">
        <f aca="false">IF(G507="","未受領",IF(G507="なし","報告なし",IF(AL507="○","起票済",IF(OR(AK507="○",F507="一致",F507="入金不要"),"入金確認済","受領済"))))</f>
        <v>未受領</v>
      </c>
      <c r="D507" s="10" t="str">
        <f aca="false">IF(OR(G507="",G507="なし"),"―",IF(CN507="N","対象外",IF(AND(I507="",J507="",K507=""),"標報未入力",IF(CH507&gt;=設定!$B$4,"要確認","問題なし"))))</f>
        <v>―</v>
      </c>
      <c r="E507" s="24" t="str">
        <f aca="false">IF(OR(G507="",G507="なし",CI507="",CJ507=0),"―",IF(CJ507=CI507,"前月同額",IF(CI507=0,"―",IF(ABS(CJ507/CI507-1)&gt;=設定!$B$5,"変動大 "&amp;TEXT(CJ507/CI507-1,"+0%;-0%"),"〇"))))</f>
        <v>―</v>
      </c>
      <c r="F507" s="10" t="str">
        <f aca="false">IF(OR(G507="",G507="なし"),"―",IF(CJ507=0,"入金不要",IF(COUNT(AD507,AF507,AH507,AJ507)=0,IF(AK507="○","手動確認","未入金"),IF(AND(N(AD507)=AC507,IF(AE507="",TRUE(),N(AF507)=AE507),IF(AG507="",TRUE(),N(AH507)=AG507),IF(AI507="",TRUE(),N(AJ507)=AI507)),"一致","不一致"))))</f>
        <v>―</v>
      </c>
      <c r="G507" s="25"/>
      <c r="H507" s="26"/>
      <c r="I507" s="27"/>
      <c r="J507" s="27"/>
      <c r="K507" s="27"/>
      <c r="L507" s="27"/>
      <c r="M507" s="27"/>
      <c r="N507" s="27"/>
      <c r="O507" s="27"/>
      <c r="P507" s="27"/>
      <c r="Q507" s="27"/>
      <c r="R507" s="27"/>
      <c r="S507" s="27"/>
      <c r="T507" s="27"/>
      <c r="U507" s="27"/>
      <c r="V507" s="27"/>
      <c r="W507" s="27"/>
      <c r="X507" s="27"/>
      <c r="Y507" s="27"/>
      <c r="Z507" s="27"/>
      <c r="AA507" s="10" t="str">
        <f aca="false">IFERROR(INDEX(設定!$E$61:$E$106,MATCH(B507,設定!$B$61:$B$106,0)),"合算")</f>
        <v>合算</v>
      </c>
      <c r="AB507" s="28"/>
      <c r="AC507" s="29" t="str">
        <f aca="false">IF(OR(G507="",G507="なし"),"",IF(AA507="合算",CJ507+N(Z507),IF(AA507="掛金・負担金別",(AY507+AZ507+BD507+BF507+BH507),SUM(AY507:BC507))))</f>
        <v/>
      </c>
      <c r="AD507" s="27"/>
      <c r="AE507" s="29" t="str">
        <f aca="false">IF(OR(G507="",G507="なし"),"",IF(AA507="掛金・負担金別",(BA507+BB507+BC507+BE507+BG507+BI507+N(Z507)),IF(AA507="経理区分別",BD507+BE507,"")))</f>
        <v/>
      </c>
      <c r="AF507" s="27"/>
      <c r="AG507" s="29" t="str">
        <f aca="false">IF(OR(G507="",G507="なし"),"",IF(AA507="経理区分別",BF507+BG507,""))</f>
        <v/>
      </c>
      <c r="AH507" s="27"/>
      <c r="AI507" s="29" t="str">
        <f aca="false">IF(OR(G507="",G507="なし"),"",IF(AA507="経理区分別",BH507+BI507+N(Z507),""))</f>
        <v/>
      </c>
      <c r="AJ507" s="27"/>
      <c r="AK507" s="26"/>
      <c r="AL507" s="26"/>
      <c r="AM507" s="30"/>
      <c r="AN507" s="31" t="n">
        <v>53985</v>
      </c>
      <c r="AO507" s="31" t="n">
        <v>4425</v>
      </c>
      <c r="AP507" s="31" t="n">
        <v>53985</v>
      </c>
      <c r="AQ507" s="31" t="n">
        <v>4425</v>
      </c>
      <c r="AR507" s="31" t="n">
        <v>55</v>
      </c>
      <c r="AS507" s="31"/>
      <c r="AT507" s="31"/>
      <c r="AU507" s="31"/>
      <c r="AV507" s="31"/>
      <c r="AW507" s="31"/>
      <c r="AX507" s="31"/>
      <c r="AY507" s="31" t="n">
        <f aca="false">IF($G507="",AN507,O507)</f>
        <v>53985</v>
      </c>
      <c r="AZ507" s="31" t="n">
        <f aca="false">IF($G507="",AO507,P507)</f>
        <v>4425</v>
      </c>
      <c r="BA507" s="31" t="n">
        <f aca="false">IF($G507="",AP507,T507)</f>
        <v>53985</v>
      </c>
      <c r="BB507" s="31" t="n">
        <f aca="false">IF($G507="",AQ507,U507)</f>
        <v>4425</v>
      </c>
      <c r="BC507" s="31" t="n">
        <f aca="false">IF($G507="",AR507,V507)</f>
        <v>55</v>
      </c>
      <c r="BD507" s="31" t="n">
        <f aca="false">IF($G507="",AS507,Q507)</f>
        <v>0</v>
      </c>
      <c r="BE507" s="31" t="n">
        <f aca="false">IF($G507="",AT507,W507)</f>
        <v>0</v>
      </c>
      <c r="BF507" s="31" t="n">
        <f aca="false">IF($G507="",AU507,R507)</f>
        <v>0</v>
      </c>
      <c r="BG507" s="31" t="n">
        <f aca="false">IF($G507="",AV507,X507)</f>
        <v>0</v>
      </c>
      <c r="BH507" s="31" t="n">
        <f aca="false">IF($G507="",AW507,S507)</f>
        <v>0</v>
      </c>
      <c r="BI507" s="31" t="n">
        <f aca="false">IF($G507="",AX507,Y507)</f>
        <v>0</v>
      </c>
      <c r="BJ507" s="31" t="n">
        <f aca="false">IF(CK507="N",BR507,ROUNDDOWN((I507-L507)*設定!$B$10/1000,0)+ROUNDDOWN((I507-L507)*設定!$B$11/1000,0))</f>
        <v>0</v>
      </c>
      <c r="BK507" s="31" t="n">
        <f aca="false">ROUNDDOWN((I507-L507)*設定!$C$10/1000,0)+ROUNDDOWN((I507-L507)*設定!$C$11/1000,0)+ROUNDDOWN(I507*設定!$C$12/1000,0)+IF(CL507="市局型",ROUNDDOWN(I507*設定!$C$16/1000,0),0)</f>
        <v>0</v>
      </c>
      <c r="BL507" s="31" t="n">
        <f aca="false">IF(CK507="N",BT507,ROUNDDOWN((J507-M507)*設定!$B$13/1000,0))</f>
        <v>0</v>
      </c>
      <c r="BM507" s="31" t="n">
        <f aca="false">ROUNDDOWN((J507-M507)*設定!$C$13/1000,0)+IF(CL507="市局型",ROUNDDOWN(J507*設定!$C$17/1000,0),0)</f>
        <v>0</v>
      </c>
      <c r="BN507" s="31" t="n">
        <f aca="false">IF(CK507="N",BV507,ROUNDDOWN((K507-N507)*設定!$B$14/1000,0))</f>
        <v>0</v>
      </c>
      <c r="BO507" s="31" t="n">
        <f aca="false">ROUNDDOWN((K507-N507)*設定!$C$14/1000,0)</f>
        <v>0</v>
      </c>
      <c r="BP507" s="31" t="n">
        <f aca="false">IF(CK507="N",BX507,ROUNDDOWN((J507-M507)*設定!$B$15/1000,0))</f>
        <v>0</v>
      </c>
      <c r="BQ507" s="31" t="n">
        <f aca="false">ROUNDDOWN((J507-M507)*設定!$C$15/1000,0)</f>
        <v>0</v>
      </c>
      <c r="BR507" s="31" t="n">
        <f aca="false">O507+P507</f>
        <v>0</v>
      </c>
      <c r="BS507" s="31" t="n">
        <f aca="false">T507+U507+V507</f>
        <v>0</v>
      </c>
      <c r="BT507" s="31" t="n">
        <f aca="false">Q507</f>
        <v>0</v>
      </c>
      <c r="BU507" s="31" t="n">
        <f aca="false">W507</f>
        <v>0</v>
      </c>
      <c r="BV507" s="31" t="n">
        <f aca="false">R507</f>
        <v>0</v>
      </c>
      <c r="BW507" s="31" t="n">
        <f aca="false">X507</f>
        <v>0</v>
      </c>
      <c r="BX507" s="31" t="n">
        <f aca="false">S507</f>
        <v>0</v>
      </c>
      <c r="BY507" s="31" t="n">
        <f aca="false">Y507</f>
        <v>0</v>
      </c>
      <c r="BZ507" s="32" t="n">
        <f aca="false">IF(BJ507=0,IF(BR507=0,0,1),(BR507-BJ507)/BJ507)</f>
        <v>0</v>
      </c>
      <c r="CA507" s="32" t="n">
        <f aca="false">IF(BK507=0,IF(BS507=0,0,1),(BS507-BK507)/BK507)</f>
        <v>0</v>
      </c>
      <c r="CB507" s="32" t="n">
        <f aca="false">IF(BL507=0,IF(BT507=0,0,1),(BT507-BL507)/BL507)</f>
        <v>0</v>
      </c>
      <c r="CC507" s="32" t="n">
        <f aca="false">IF(BM507=0,IF(BU507=0,0,1),(BU507-BM507)/BM507)</f>
        <v>0</v>
      </c>
      <c r="CD507" s="32" t="n">
        <f aca="false">IF(BN507=0,IF(BV507=0,0,1),(BV507-BN507)/BN507)</f>
        <v>0</v>
      </c>
      <c r="CE507" s="32" t="n">
        <f aca="false">IF(BO507=0,IF(BW507=0,0,1),(BW507-BO507)/BO507)</f>
        <v>0</v>
      </c>
      <c r="CF507" s="32" t="n">
        <f aca="false">IF(BP507=0,IF(BX507=0,0,1),(BX507-BP507)/BP507)</f>
        <v>0</v>
      </c>
      <c r="CG507" s="32" t="n">
        <f aca="false">IF(BQ507=0,IF(BY507=0,0,1),(BY507-BQ507)/BQ507)</f>
        <v>0</v>
      </c>
      <c r="CH507" s="32" t="n">
        <f aca="false">MAX(MAX(BZ507:CG507),-MIN(BZ507:CG507))</f>
        <v>-0</v>
      </c>
      <c r="CI507" s="31" t="n">
        <f aca="false">IF(CO507="","",SUMIFS($CJ$7:$CJ$696,$A$7:$A$696,CO507,$B$7:$B$696,B507))</f>
        <v>116875</v>
      </c>
      <c r="CJ507" s="31" t="n">
        <f aca="false">SUM(AY507:BI507)</f>
        <v>116875</v>
      </c>
      <c r="CK507" s="31" t="str">
        <f aca="false">IFERROR(INDEX(設定!$F$61:$F$106,MATCH(B507,設定!$B$61:$B$106,0)),"Y")</f>
        <v>Y</v>
      </c>
      <c r="CL507" s="31" t="str">
        <f aca="false">IFERROR(INDEX(設定!$G$61:$G$106,MATCH(B507,設定!$B$61:$B$106,0)),"外郭型")</f>
        <v>外郭型</v>
      </c>
      <c r="CM507" s="33" t="str">
        <f aca="false">A507&amp;"|"&amp;B507</f>
        <v>2026-12 月例|広島駅南口開発（株）</v>
      </c>
      <c r="CN507" s="34" t="str">
        <f aca="false">IFERROR(INDEX(設定!$D$61:$D$106,MATCH(B507,設定!$B$61:$B$106,0)),"Y")</f>
        <v>Y</v>
      </c>
      <c r="CO507" s="34" t="str">
        <f aca="false">IFERROR(INDEX(設定!$D$20:$D$34,MATCH(A507,設定!$A$20:$A$34,0))&amp;"","")</f>
        <v>2026-11 月例</v>
      </c>
    </row>
    <row r="508" customFormat="false" ht="15" hidden="true" customHeight="false" outlineLevel="0" collapsed="false">
      <c r="A508" s="22" t="s">
        <v>226</v>
      </c>
      <c r="B508" s="23" t="s">
        <v>210</v>
      </c>
      <c r="C508" s="10" t="str">
        <f aca="false">IF(G508="","未受領",IF(G508="なし","報告なし",IF(AL508="○","起票済",IF(OR(AK508="○",F508="一致",F508="入金不要"),"入金確認済","受領済"))))</f>
        <v>未受領</v>
      </c>
      <c r="D508" s="10" t="str">
        <f aca="false">IF(OR(G508="",G508="なし"),"―",IF(CN508="N","対象外",IF(AND(I508="",J508="",K508=""),"標報未入力",IF(CH508&gt;=設定!$B$4,"要確認","問題なし"))))</f>
        <v>―</v>
      </c>
      <c r="E508" s="24" t="str">
        <f aca="false">IF(OR(G508="",G508="なし",CI508="",CJ508=0),"―",IF(CJ508=CI508,"前月同額",IF(CI508=0,"―",IF(ABS(CJ508/CI508-1)&gt;=設定!$B$5,"変動大 "&amp;TEXT(CJ508/CI508-1,"+0%;-0%"),"〇"))))</f>
        <v>―</v>
      </c>
      <c r="F508" s="10" t="str">
        <f aca="false">IF(OR(G508="",G508="なし"),"―",IF(CJ508=0,"入金不要",IF(COUNT(AD508,AF508,AH508,AJ508)=0,IF(AK508="○","手動確認","未入金"),IF(AND(N(AD508)=AC508,IF(AE508="",TRUE(),N(AF508)=AE508),IF(AG508="",TRUE(),N(AH508)=AG508),IF(AI508="",TRUE(),N(AJ508)=AI508)),"一致","不一致"))))</f>
        <v>―</v>
      </c>
      <c r="G508" s="25"/>
      <c r="H508" s="26"/>
      <c r="I508" s="27"/>
      <c r="J508" s="27"/>
      <c r="K508" s="27"/>
      <c r="L508" s="27"/>
      <c r="M508" s="27"/>
      <c r="N508" s="27"/>
      <c r="O508" s="27"/>
      <c r="P508" s="27"/>
      <c r="Q508" s="27"/>
      <c r="R508" s="27"/>
      <c r="S508" s="27"/>
      <c r="T508" s="27"/>
      <c r="U508" s="27"/>
      <c r="V508" s="27"/>
      <c r="W508" s="27"/>
      <c r="X508" s="27"/>
      <c r="Y508" s="27"/>
      <c r="Z508" s="27"/>
      <c r="AA508" s="10" t="str">
        <f aca="false">IFERROR(INDEX(設定!$E$61:$E$106,MATCH(B508,設定!$B$61:$B$106,0)),"合算")</f>
        <v>合算</v>
      </c>
      <c r="AB508" s="28"/>
      <c r="AC508" s="29" t="str">
        <f aca="false">IF(OR(G508="",G508="なし"),"",IF(AA508="合算",CJ508+N(Z508),IF(AA508="掛金・負担金別",(AY508+AZ508+BD508+BF508+BH508),SUM(AY508:BC508))))</f>
        <v/>
      </c>
      <c r="AD508" s="27"/>
      <c r="AE508" s="29" t="str">
        <f aca="false">IF(OR(G508="",G508="なし"),"",IF(AA508="掛金・負担金別",(BA508+BB508+BC508+BE508+BG508+BI508+N(Z508)),IF(AA508="経理区分別",BD508+BE508,"")))</f>
        <v/>
      </c>
      <c r="AF508" s="27"/>
      <c r="AG508" s="29" t="str">
        <f aca="false">IF(OR(G508="",G508="なし"),"",IF(AA508="経理区分別",BF508+BG508,""))</f>
        <v/>
      </c>
      <c r="AH508" s="27"/>
      <c r="AI508" s="29" t="str">
        <f aca="false">IF(OR(G508="",G508="なし"),"",IF(AA508="経理区分別",BH508+BI508+N(Z508),""))</f>
        <v/>
      </c>
      <c r="AJ508" s="27"/>
      <c r="AK508" s="26"/>
      <c r="AL508" s="26"/>
      <c r="AM508" s="30"/>
      <c r="AN508" s="31" t="n">
        <v>29280</v>
      </c>
      <c r="AO508" s="31" t="n">
        <v>2400</v>
      </c>
      <c r="AP508" s="31" t="n">
        <v>29280</v>
      </c>
      <c r="AQ508" s="31" t="n">
        <v>2400</v>
      </c>
      <c r="AR508" s="31"/>
      <c r="AS508" s="31" t="n">
        <v>17603</v>
      </c>
      <c r="AT508" s="31" t="n">
        <v>17635</v>
      </c>
      <c r="AU508" s="31" t="n">
        <v>2528</v>
      </c>
      <c r="AV508" s="31" t="n">
        <v>2528</v>
      </c>
      <c r="AW508" s="31" t="n">
        <v>1</v>
      </c>
      <c r="AX508" s="31" t="n">
        <v>1</v>
      </c>
      <c r="AY508" s="31" t="n">
        <f aca="false">IF($G508="",AN508,O508)</f>
        <v>29280</v>
      </c>
      <c r="AZ508" s="31" t="n">
        <f aca="false">IF($G508="",AO508,P508)</f>
        <v>2400</v>
      </c>
      <c r="BA508" s="31" t="n">
        <f aca="false">IF($G508="",AP508,T508)</f>
        <v>29280</v>
      </c>
      <c r="BB508" s="31" t="n">
        <f aca="false">IF($G508="",AQ508,U508)</f>
        <v>2400</v>
      </c>
      <c r="BC508" s="31" t="n">
        <f aca="false">IF($G508="",AR508,V508)</f>
        <v>0</v>
      </c>
      <c r="BD508" s="31" t="n">
        <f aca="false">IF($G508="",AS508,Q508)</f>
        <v>17603</v>
      </c>
      <c r="BE508" s="31" t="n">
        <f aca="false">IF($G508="",AT508,W508)</f>
        <v>17635</v>
      </c>
      <c r="BF508" s="31" t="n">
        <f aca="false">IF($G508="",AU508,R508)</f>
        <v>2528</v>
      </c>
      <c r="BG508" s="31" t="n">
        <f aca="false">IF($G508="",AV508,X508)</f>
        <v>2528</v>
      </c>
      <c r="BH508" s="31" t="n">
        <f aca="false">IF($G508="",AW508,S508)</f>
        <v>1</v>
      </c>
      <c r="BI508" s="31" t="n">
        <f aca="false">IF($G508="",AX508,Y508)</f>
        <v>1</v>
      </c>
      <c r="BJ508" s="31" t="n">
        <f aca="false">IF(CK508="N",BR508,ROUNDDOWN((I508-L508)*設定!$B$10/1000,0)+ROUNDDOWN((I508-L508)*設定!$B$11/1000,0))</f>
        <v>0</v>
      </c>
      <c r="BK508" s="31" t="n">
        <f aca="false">ROUNDDOWN((I508-L508)*設定!$C$10/1000,0)+ROUNDDOWN((I508-L508)*設定!$C$11/1000,0)+ROUNDDOWN(I508*設定!$C$12/1000,0)+IF(CL508="市局型",ROUNDDOWN(I508*設定!$C$16/1000,0),0)</f>
        <v>0</v>
      </c>
      <c r="BL508" s="31" t="n">
        <f aca="false">IF(CK508="N",BT508,ROUNDDOWN((J508-M508)*設定!$B$13/1000,0))</f>
        <v>0</v>
      </c>
      <c r="BM508" s="31" t="n">
        <f aca="false">ROUNDDOWN((J508-M508)*設定!$C$13/1000,0)+IF(CL508="市局型",ROUNDDOWN(J508*設定!$C$17/1000,0),0)</f>
        <v>0</v>
      </c>
      <c r="BN508" s="31" t="n">
        <f aca="false">IF(CK508="N",BV508,ROUNDDOWN((K508-N508)*設定!$B$14/1000,0))</f>
        <v>0</v>
      </c>
      <c r="BO508" s="31" t="n">
        <f aca="false">ROUNDDOWN((K508-N508)*設定!$C$14/1000,0)</f>
        <v>0</v>
      </c>
      <c r="BP508" s="31" t="n">
        <f aca="false">IF(CK508="N",BX508,ROUNDDOWN((J508-M508)*設定!$B$15/1000,0))</f>
        <v>0</v>
      </c>
      <c r="BQ508" s="31" t="n">
        <f aca="false">ROUNDDOWN((J508-M508)*設定!$C$15/1000,0)</f>
        <v>0</v>
      </c>
      <c r="BR508" s="31" t="n">
        <f aca="false">O508+P508</f>
        <v>0</v>
      </c>
      <c r="BS508" s="31" t="n">
        <f aca="false">T508+U508+V508</f>
        <v>0</v>
      </c>
      <c r="BT508" s="31" t="n">
        <f aca="false">Q508</f>
        <v>0</v>
      </c>
      <c r="BU508" s="31" t="n">
        <f aca="false">W508</f>
        <v>0</v>
      </c>
      <c r="BV508" s="31" t="n">
        <f aca="false">R508</f>
        <v>0</v>
      </c>
      <c r="BW508" s="31" t="n">
        <f aca="false">X508</f>
        <v>0</v>
      </c>
      <c r="BX508" s="31" t="n">
        <f aca="false">S508</f>
        <v>0</v>
      </c>
      <c r="BY508" s="31" t="n">
        <f aca="false">Y508</f>
        <v>0</v>
      </c>
      <c r="BZ508" s="32" t="n">
        <f aca="false">IF(BJ508=0,IF(BR508=0,0,1),(BR508-BJ508)/BJ508)</f>
        <v>0</v>
      </c>
      <c r="CA508" s="32" t="n">
        <f aca="false">IF(BK508=0,IF(BS508=0,0,1),(BS508-BK508)/BK508)</f>
        <v>0</v>
      </c>
      <c r="CB508" s="32" t="n">
        <f aca="false">IF(BL508=0,IF(BT508=0,0,1),(BT508-BL508)/BL508)</f>
        <v>0</v>
      </c>
      <c r="CC508" s="32" t="n">
        <f aca="false">IF(BM508=0,IF(BU508=0,0,1),(BU508-BM508)/BM508)</f>
        <v>0</v>
      </c>
      <c r="CD508" s="32" t="n">
        <f aca="false">IF(BN508=0,IF(BV508=0,0,1),(BV508-BN508)/BN508)</f>
        <v>0</v>
      </c>
      <c r="CE508" s="32" t="n">
        <f aca="false">IF(BO508=0,IF(BW508=0,0,1),(BW508-BO508)/BO508)</f>
        <v>0</v>
      </c>
      <c r="CF508" s="32" t="n">
        <f aca="false">IF(BP508=0,IF(BX508=0,0,1),(BX508-BP508)/BP508)</f>
        <v>0</v>
      </c>
      <c r="CG508" s="32" t="n">
        <f aca="false">IF(BQ508=0,IF(BY508=0,0,1),(BY508-BQ508)/BQ508)</f>
        <v>0</v>
      </c>
      <c r="CH508" s="32" t="n">
        <f aca="false">MAX(MAX(BZ508:CG508),-MIN(BZ508:CG508))</f>
        <v>-0</v>
      </c>
      <c r="CI508" s="31" t="n">
        <f aca="false">IF(CO508="","",SUMIFS($CJ$7:$CJ$696,$A$7:$A$696,CO508,$B$7:$B$696,B508))</f>
        <v>103656</v>
      </c>
      <c r="CJ508" s="31" t="n">
        <f aca="false">SUM(AY508:BI508)</f>
        <v>103656</v>
      </c>
      <c r="CK508" s="31" t="str">
        <f aca="false">IFERROR(INDEX(設定!$F$61:$F$106,MATCH(B508,設定!$B$61:$B$106,0)),"Y")</f>
        <v>Y</v>
      </c>
      <c r="CL508" s="31" t="str">
        <f aca="false">IFERROR(INDEX(設定!$G$61:$G$106,MATCH(B508,設定!$B$61:$B$106,0)),"外郭型")</f>
        <v>外郭型</v>
      </c>
      <c r="CM508" s="33" t="str">
        <f aca="false">A508&amp;"|"&amp;B508</f>
        <v>2026-12 月例|市職員労働組合</v>
      </c>
      <c r="CN508" s="34" t="str">
        <f aca="false">IFERROR(INDEX(設定!$D$61:$D$106,MATCH(B508,設定!$B$61:$B$106,0)),"Y")</f>
        <v>Y</v>
      </c>
      <c r="CO508" s="34" t="str">
        <f aca="false">IFERROR(INDEX(設定!$D$20:$D$34,MATCH(A508,設定!$A$20:$A$34,0))&amp;"","")</f>
        <v>2026-11 月例</v>
      </c>
    </row>
    <row r="509" customFormat="false" ht="15" hidden="true" customHeight="false" outlineLevel="0" collapsed="false">
      <c r="A509" s="22" t="s">
        <v>226</v>
      </c>
      <c r="B509" s="23" t="s">
        <v>211</v>
      </c>
      <c r="C509" s="10" t="str">
        <f aca="false">IF(G509="","未受領",IF(G509="なし","報告なし",IF(AL509="○","起票済",IF(OR(AK509="○",F509="一致",F509="入金不要"),"入金確認済","受領済"))))</f>
        <v>報告なし</v>
      </c>
      <c r="D509" s="10" t="str">
        <f aca="false">IF(OR(G509="",G509="なし"),"―",IF(CN509="N","対象外",IF(AND(I509="",J509="",K509=""),"標報未入力",IF(CH509&gt;=設定!$B$4,"要確認","問題なし"))))</f>
        <v>―</v>
      </c>
      <c r="E509" s="24" t="str">
        <f aca="false">IF(OR(G509="",G509="なし",CI509="",CJ509=0),"―",IF(CJ509=CI509,"前月同額",IF(CI509=0,"―",IF(ABS(CJ509/CI509-1)&gt;=設定!$B$5,"変動大 "&amp;TEXT(CJ509/CI509-1,"+0%;-0%"),"〇"))))</f>
        <v>―</v>
      </c>
      <c r="F509" s="10" t="str">
        <f aca="false">IF(OR(G509="",G509="なし"),"―",IF(CJ509=0,"入金不要",IF(COUNT(AD509,AF509,AH509,AJ509)=0,IF(AK509="○","手動確認","未入金"),IF(AND(N(AD509)=AC509,IF(AE509="",TRUE(),N(AF509)=AE509),IF(AG509="",TRUE(),N(AH509)=AG509),IF(AI509="",TRUE(),N(AJ509)=AI509)),"一致","不一致"))))</f>
        <v>―</v>
      </c>
      <c r="G509" s="25" t="s">
        <v>181</v>
      </c>
      <c r="H509" s="26"/>
      <c r="I509" s="27"/>
      <c r="J509" s="27"/>
      <c r="K509" s="27"/>
      <c r="L509" s="27"/>
      <c r="M509" s="27"/>
      <c r="N509" s="27"/>
      <c r="O509" s="27"/>
      <c r="P509" s="27"/>
      <c r="Q509" s="27"/>
      <c r="R509" s="27"/>
      <c r="S509" s="27"/>
      <c r="T509" s="27"/>
      <c r="U509" s="27"/>
      <c r="V509" s="27"/>
      <c r="W509" s="27"/>
      <c r="X509" s="27"/>
      <c r="Y509" s="27"/>
      <c r="Z509" s="27"/>
      <c r="AA509" s="10" t="str">
        <f aca="false">IFERROR(INDEX(設定!$E$61:$E$106,MATCH(B509,設定!$B$61:$B$106,0)),"合算")</f>
        <v>合算</v>
      </c>
      <c r="AB509" s="28"/>
      <c r="AC509" s="29" t="str">
        <f aca="false">IF(OR(G509="",G509="なし"),"",IF(AA509="合算",CJ509+N(Z509),IF(AA509="掛金・負担金別",(AY509+AZ509+BD509+BF509+BH509),SUM(AY509:BC509))))</f>
        <v/>
      </c>
      <c r="AD509" s="27"/>
      <c r="AE509" s="29" t="str">
        <f aca="false">IF(OR(G509="",G509="なし"),"",IF(AA509="掛金・負担金別",(BA509+BB509+BC509+BE509+BG509+BI509+N(Z509)),IF(AA509="経理区分別",BD509+BE509,"")))</f>
        <v/>
      </c>
      <c r="AF509" s="27"/>
      <c r="AG509" s="29" t="str">
        <f aca="false">IF(OR(G509="",G509="なし"),"",IF(AA509="経理区分別",BF509+BG509,""))</f>
        <v/>
      </c>
      <c r="AH509" s="27"/>
      <c r="AI509" s="29" t="str">
        <f aca="false">IF(OR(G509="",G509="なし"),"",IF(AA509="経理区分別",BH509+BI509+N(Z509),""))</f>
        <v/>
      </c>
      <c r="AJ509" s="27"/>
      <c r="AK509" s="26"/>
      <c r="AL509" s="26"/>
      <c r="AM509" s="30"/>
      <c r="AN509" s="31"/>
      <c r="AO509" s="31"/>
      <c r="AP509" s="31"/>
      <c r="AQ509" s="31"/>
      <c r="AR509" s="31"/>
      <c r="AS509" s="31"/>
      <c r="AT509" s="31"/>
      <c r="AU509" s="31"/>
      <c r="AV509" s="31"/>
      <c r="AW509" s="31"/>
      <c r="AX509" s="31"/>
      <c r="AY509" s="31" t="n">
        <f aca="false">IF($G509="",AN509,O509)</f>
        <v>0</v>
      </c>
      <c r="AZ509" s="31" t="n">
        <f aca="false">IF($G509="",AO509,P509)</f>
        <v>0</v>
      </c>
      <c r="BA509" s="31" t="n">
        <f aca="false">IF($G509="",AP509,T509)</f>
        <v>0</v>
      </c>
      <c r="BB509" s="31" t="n">
        <f aca="false">IF($G509="",AQ509,U509)</f>
        <v>0</v>
      </c>
      <c r="BC509" s="31" t="n">
        <f aca="false">IF($G509="",AR509,V509)</f>
        <v>0</v>
      </c>
      <c r="BD509" s="31" t="n">
        <f aca="false">IF($G509="",AS509,Q509)</f>
        <v>0</v>
      </c>
      <c r="BE509" s="31" t="n">
        <f aca="false">IF($G509="",AT509,W509)</f>
        <v>0</v>
      </c>
      <c r="BF509" s="31" t="n">
        <f aca="false">IF($G509="",AU509,R509)</f>
        <v>0</v>
      </c>
      <c r="BG509" s="31" t="n">
        <f aca="false">IF($G509="",AV509,X509)</f>
        <v>0</v>
      </c>
      <c r="BH509" s="31" t="n">
        <f aca="false">IF($G509="",AW509,S509)</f>
        <v>0</v>
      </c>
      <c r="BI509" s="31" t="n">
        <f aca="false">IF($G509="",AX509,Y509)</f>
        <v>0</v>
      </c>
      <c r="BJ509" s="31" t="n">
        <f aca="false">IF(CK509="N",BR509,ROUNDDOWN((I509-L509)*設定!$B$10/1000,0)+ROUNDDOWN((I509-L509)*設定!$B$11/1000,0))</f>
        <v>0</v>
      </c>
      <c r="BK509" s="31" t="n">
        <f aca="false">ROUNDDOWN((I509-L509)*設定!$C$10/1000,0)+ROUNDDOWN((I509-L509)*設定!$C$11/1000,0)+ROUNDDOWN(I509*設定!$C$12/1000,0)+IF(CL509="市局型",ROUNDDOWN(I509*設定!$C$16/1000,0),0)</f>
        <v>0</v>
      </c>
      <c r="BL509" s="31" t="n">
        <f aca="false">IF(CK509="N",BT509,ROUNDDOWN((J509-M509)*設定!$B$13/1000,0))</f>
        <v>0</v>
      </c>
      <c r="BM509" s="31" t="n">
        <f aca="false">ROUNDDOWN((J509-M509)*設定!$C$13/1000,0)+IF(CL509="市局型",ROUNDDOWN(J509*設定!$C$17/1000,0),0)</f>
        <v>0</v>
      </c>
      <c r="BN509" s="31" t="n">
        <f aca="false">IF(CK509="N",BV509,ROUNDDOWN((K509-N509)*設定!$B$14/1000,0))</f>
        <v>0</v>
      </c>
      <c r="BO509" s="31" t="n">
        <f aca="false">ROUNDDOWN((K509-N509)*設定!$C$14/1000,0)</f>
        <v>0</v>
      </c>
      <c r="BP509" s="31" t="n">
        <f aca="false">IF(CK509="N",BX509,ROUNDDOWN((J509-M509)*設定!$B$15/1000,0))</f>
        <v>0</v>
      </c>
      <c r="BQ509" s="31" t="n">
        <f aca="false">ROUNDDOWN((J509-M509)*設定!$C$15/1000,0)</f>
        <v>0</v>
      </c>
      <c r="BR509" s="31" t="n">
        <f aca="false">O509+P509</f>
        <v>0</v>
      </c>
      <c r="BS509" s="31" t="n">
        <f aca="false">T509+U509+V509</f>
        <v>0</v>
      </c>
      <c r="BT509" s="31" t="n">
        <f aca="false">Q509</f>
        <v>0</v>
      </c>
      <c r="BU509" s="31" t="n">
        <f aca="false">W509</f>
        <v>0</v>
      </c>
      <c r="BV509" s="31" t="n">
        <f aca="false">R509</f>
        <v>0</v>
      </c>
      <c r="BW509" s="31" t="n">
        <f aca="false">X509</f>
        <v>0</v>
      </c>
      <c r="BX509" s="31" t="n">
        <f aca="false">S509</f>
        <v>0</v>
      </c>
      <c r="BY509" s="31" t="n">
        <f aca="false">Y509</f>
        <v>0</v>
      </c>
      <c r="BZ509" s="32" t="n">
        <f aca="false">IF(BJ509=0,IF(BR509=0,0,1),(BR509-BJ509)/BJ509)</f>
        <v>0</v>
      </c>
      <c r="CA509" s="32" t="n">
        <f aca="false">IF(BK509=0,IF(BS509=0,0,1),(BS509-BK509)/BK509)</f>
        <v>0</v>
      </c>
      <c r="CB509" s="32" t="n">
        <f aca="false">IF(BL509=0,IF(BT509=0,0,1),(BT509-BL509)/BL509)</f>
        <v>0</v>
      </c>
      <c r="CC509" s="32" t="n">
        <f aca="false">IF(BM509=0,IF(BU509=0,0,1),(BU509-BM509)/BM509)</f>
        <v>0</v>
      </c>
      <c r="CD509" s="32" t="n">
        <f aca="false">IF(BN509=0,IF(BV509=0,0,1),(BV509-BN509)/BN509)</f>
        <v>0</v>
      </c>
      <c r="CE509" s="32" t="n">
        <f aca="false">IF(BO509=0,IF(BW509=0,0,1),(BW509-BO509)/BO509)</f>
        <v>0</v>
      </c>
      <c r="CF509" s="32" t="n">
        <f aca="false">IF(BP509=0,IF(BX509=0,0,1),(BX509-BP509)/BP509)</f>
        <v>0</v>
      </c>
      <c r="CG509" s="32" t="n">
        <f aca="false">IF(BQ509=0,IF(BY509=0,0,1),(BY509-BQ509)/BQ509)</f>
        <v>0</v>
      </c>
      <c r="CH509" s="32" t="n">
        <f aca="false">MAX(MAX(BZ509:CG509),-MIN(BZ509:CG509))</f>
        <v>-0</v>
      </c>
      <c r="CI509" s="31" t="n">
        <f aca="false">IF(CO509="","",SUMIFS($CJ$7:$CJ$696,$A$7:$A$696,CO509,$B$7:$B$696,B509))</f>
        <v>0</v>
      </c>
      <c r="CJ509" s="31" t="n">
        <f aca="false">SUM(AY509:BI509)</f>
        <v>0</v>
      </c>
      <c r="CK509" s="31" t="str">
        <f aca="false">IFERROR(INDEX(設定!$F$61:$F$106,MATCH(B509,設定!$B$61:$B$106,0)),"Y")</f>
        <v>N</v>
      </c>
      <c r="CL509" s="31" t="str">
        <f aca="false">IFERROR(INDEX(設定!$G$61:$G$106,MATCH(B509,設定!$B$61:$B$106,0)),"外郭型")</f>
        <v>外郭型</v>
      </c>
      <c r="CM509" s="33" t="str">
        <f aca="false">A509&amp;"|"&amp;B509</f>
        <v>2026-12 月例|自治労労働組合</v>
      </c>
      <c r="CN509" s="34" t="str">
        <f aca="false">IFERROR(INDEX(設定!$D$61:$D$106,MATCH(B509,設定!$B$61:$B$106,0)),"Y")</f>
        <v>Y</v>
      </c>
      <c r="CO509" s="34" t="str">
        <f aca="false">IFERROR(INDEX(設定!$D$20:$D$34,MATCH(A509,設定!$A$20:$A$34,0))&amp;"","")</f>
        <v>2026-11 月例</v>
      </c>
    </row>
    <row r="510" customFormat="false" ht="15" hidden="true" customHeight="false" outlineLevel="0" collapsed="false">
      <c r="A510" s="22" t="s">
        <v>226</v>
      </c>
      <c r="B510" s="23" t="s">
        <v>212</v>
      </c>
      <c r="C510" s="10" t="str">
        <f aca="false">IF(G510="","未受領",IF(G510="なし","報告なし",IF(AL510="○","起票済",IF(OR(AK510="○",F510="一致",F510="入金不要"),"入金確認済","受領済"))))</f>
        <v>未受領</v>
      </c>
      <c r="D510" s="10" t="str">
        <f aca="false">IF(OR(G510="",G510="なし"),"―",IF(CN510="N","対象外",IF(AND(I510="",J510="",K510=""),"標報未入力",IF(CH510&gt;=設定!$B$4,"要確認","問題なし"))))</f>
        <v>―</v>
      </c>
      <c r="E510" s="24" t="str">
        <f aca="false">IF(OR(G510="",G510="なし",CI510="",CJ510=0),"―",IF(CJ510=CI510,"前月同額",IF(CI510=0,"―",IF(ABS(CJ510/CI510-1)&gt;=設定!$B$5,"変動大 "&amp;TEXT(CJ510/CI510-1,"+0%;-0%"),"〇"))))</f>
        <v>―</v>
      </c>
      <c r="F510" s="10" t="str">
        <f aca="false">IF(OR(G510="",G510="なし"),"―",IF(CJ510=0,"入金不要",IF(COUNT(AD510,AF510,AH510,AJ510)=0,IF(AK510="○","手動確認","未入金"),IF(AND(N(AD510)=AC510,IF(AE510="",TRUE(),N(AF510)=AE510),IF(AG510="",TRUE(),N(AH510)=AG510),IF(AI510="",TRUE(),N(AJ510)=AI510)),"一致","不一致"))))</f>
        <v>―</v>
      </c>
      <c r="G510" s="25"/>
      <c r="H510" s="26"/>
      <c r="I510" s="27"/>
      <c r="J510" s="27"/>
      <c r="K510" s="27"/>
      <c r="L510" s="27"/>
      <c r="M510" s="27"/>
      <c r="N510" s="27"/>
      <c r="O510" s="27"/>
      <c r="P510" s="27"/>
      <c r="Q510" s="27"/>
      <c r="R510" s="27"/>
      <c r="S510" s="27"/>
      <c r="T510" s="27"/>
      <c r="U510" s="27"/>
      <c r="V510" s="27"/>
      <c r="W510" s="27"/>
      <c r="X510" s="27"/>
      <c r="Y510" s="27"/>
      <c r="Z510" s="27"/>
      <c r="AA510" s="10" t="str">
        <f aca="false">IFERROR(INDEX(設定!$E$61:$E$106,MATCH(B510,設定!$B$61:$B$106,0)),"合算")</f>
        <v>合算</v>
      </c>
      <c r="AB510" s="28"/>
      <c r="AC510" s="29" t="str">
        <f aca="false">IF(OR(G510="",G510="なし"),"",IF(AA510="合算",CJ510+N(Z510),IF(AA510="掛金・負担金別",(AY510+AZ510+BD510+BF510+BH510),SUM(AY510:BC510))))</f>
        <v/>
      </c>
      <c r="AD510" s="27"/>
      <c r="AE510" s="29" t="str">
        <f aca="false">IF(OR(G510="",G510="なし"),"",IF(AA510="掛金・負担金別",(BA510+BB510+BC510+BE510+BG510+BI510+N(Z510)),IF(AA510="経理区分別",BD510+BE510,"")))</f>
        <v/>
      </c>
      <c r="AF510" s="27"/>
      <c r="AG510" s="29" t="str">
        <f aca="false">IF(OR(G510="",G510="なし"),"",IF(AA510="経理区分別",BF510+BG510,""))</f>
        <v/>
      </c>
      <c r="AH510" s="27"/>
      <c r="AI510" s="29" t="str">
        <f aca="false">IF(OR(G510="",G510="なし"),"",IF(AA510="経理区分別",BH510+BI510+N(Z510),""))</f>
        <v/>
      </c>
      <c r="AJ510" s="27"/>
      <c r="AK510" s="26"/>
      <c r="AL510" s="26"/>
      <c r="AM510" s="30"/>
      <c r="AN510" s="31" t="n">
        <v>23790</v>
      </c>
      <c r="AO510" s="31" t="n">
        <v>1950</v>
      </c>
      <c r="AP510" s="31" t="n">
        <v>23790</v>
      </c>
      <c r="AQ510" s="31" t="n">
        <v>1950</v>
      </c>
      <c r="AR510" s="31"/>
      <c r="AS510" s="31" t="n">
        <v>30805</v>
      </c>
      <c r="AT510" s="31" t="n">
        <v>30861</v>
      </c>
      <c r="AU510" s="31" t="n">
        <v>2370</v>
      </c>
      <c r="AV510" s="31" t="n">
        <v>2370</v>
      </c>
      <c r="AW510" s="31" t="n">
        <v>1</v>
      </c>
      <c r="AX510" s="31" t="n">
        <v>1</v>
      </c>
      <c r="AY510" s="31" t="n">
        <f aca="false">IF($G510="",AN510,O510)</f>
        <v>23790</v>
      </c>
      <c r="AZ510" s="31" t="n">
        <f aca="false">IF($G510="",AO510,P510)</f>
        <v>1950</v>
      </c>
      <c r="BA510" s="31" t="n">
        <f aca="false">IF($G510="",AP510,T510)</f>
        <v>23790</v>
      </c>
      <c r="BB510" s="31" t="n">
        <f aca="false">IF($G510="",AQ510,U510)</f>
        <v>1950</v>
      </c>
      <c r="BC510" s="31" t="n">
        <f aca="false">IF($G510="",AR510,V510)</f>
        <v>0</v>
      </c>
      <c r="BD510" s="31" t="n">
        <f aca="false">IF($G510="",AS510,Q510)</f>
        <v>30805</v>
      </c>
      <c r="BE510" s="31" t="n">
        <f aca="false">IF($G510="",AT510,W510)</f>
        <v>30861</v>
      </c>
      <c r="BF510" s="31" t="n">
        <f aca="false">IF($G510="",AU510,R510)</f>
        <v>2370</v>
      </c>
      <c r="BG510" s="31" t="n">
        <f aca="false">IF($G510="",AV510,X510)</f>
        <v>2370</v>
      </c>
      <c r="BH510" s="31" t="n">
        <f aca="false">IF($G510="",AW510,S510)</f>
        <v>1</v>
      </c>
      <c r="BI510" s="31" t="n">
        <f aca="false">IF($G510="",AX510,Y510)</f>
        <v>1</v>
      </c>
      <c r="BJ510" s="31" t="n">
        <f aca="false">IF(CK510="N",BR510,ROUNDDOWN((I510-L510)*設定!$B$10/1000,0)+ROUNDDOWN((I510-L510)*設定!$B$11/1000,0))</f>
        <v>0</v>
      </c>
      <c r="BK510" s="31" t="n">
        <f aca="false">ROUNDDOWN((I510-L510)*設定!$C$10/1000,0)+ROUNDDOWN((I510-L510)*設定!$C$11/1000,0)+ROUNDDOWN(I510*設定!$C$12/1000,0)+IF(CL510="市局型",ROUNDDOWN(I510*設定!$C$16/1000,0),0)</f>
        <v>0</v>
      </c>
      <c r="BL510" s="31" t="n">
        <f aca="false">IF(CK510="N",BT510,ROUNDDOWN((J510-M510)*設定!$B$13/1000,0))</f>
        <v>0</v>
      </c>
      <c r="BM510" s="31" t="n">
        <f aca="false">ROUNDDOWN((J510-M510)*設定!$C$13/1000,0)+IF(CL510="市局型",ROUNDDOWN(J510*設定!$C$17/1000,0),0)</f>
        <v>0</v>
      </c>
      <c r="BN510" s="31" t="n">
        <f aca="false">IF(CK510="N",BV510,ROUNDDOWN((K510-N510)*設定!$B$14/1000,0))</f>
        <v>0</v>
      </c>
      <c r="BO510" s="31" t="n">
        <f aca="false">ROUNDDOWN((K510-N510)*設定!$C$14/1000,0)</f>
        <v>0</v>
      </c>
      <c r="BP510" s="31" t="n">
        <f aca="false">IF(CK510="N",BX510,ROUNDDOWN((J510-M510)*設定!$B$15/1000,0))</f>
        <v>0</v>
      </c>
      <c r="BQ510" s="31" t="n">
        <f aca="false">ROUNDDOWN((J510-M510)*設定!$C$15/1000,0)</f>
        <v>0</v>
      </c>
      <c r="BR510" s="31" t="n">
        <f aca="false">O510+P510</f>
        <v>0</v>
      </c>
      <c r="BS510" s="31" t="n">
        <f aca="false">T510+U510+V510</f>
        <v>0</v>
      </c>
      <c r="BT510" s="31" t="n">
        <f aca="false">Q510</f>
        <v>0</v>
      </c>
      <c r="BU510" s="31" t="n">
        <f aca="false">W510</f>
        <v>0</v>
      </c>
      <c r="BV510" s="31" t="n">
        <f aca="false">R510</f>
        <v>0</v>
      </c>
      <c r="BW510" s="31" t="n">
        <f aca="false">X510</f>
        <v>0</v>
      </c>
      <c r="BX510" s="31" t="n">
        <f aca="false">S510</f>
        <v>0</v>
      </c>
      <c r="BY510" s="31" t="n">
        <f aca="false">Y510</f>
        <v>0</v>
      </c>
      <c r="BZ510" s="32" t="n">
        <f aca="false">IF(BJ510=0,IF(BR510=0,0,1),(BR510-BJ510)/BJ510)</f>
        <v>0</v>
      </c>
      <c r="CA510" s="32" t="n">
        <f aca="false">IF(BK510=0,IF(BS510=0,0,1),(BS510-BK510)/BK510)</f>
        <v>0</v>
      </c>
      <c r="CB510" s="32" t="n">
        <f aca="false">IF(BL510=0,IF(BT510=0,0,1),(BT510-BL510)/BL510)</f>
        <v>0</v>
      </c>
      <c r="CC510" s="32" t="n">
        <f aca="false">IF(BM510=0,IF(BU510=0,0,1),(BU510-BM510)/BM510)</f>
        <v>0</v>
      </c>
      <c r="CD510" s="32" t="n">
        <f aca="false">IF(BN510=0,IF(BV510=0,0,1),(BV510-BN510)/BN510)</f>
        <v>0</v>
      </c>
      <c r="CE510" s="32" t="n">
        <f aca="false">IF(BO510=0,IF(BW510=0,0,1),(BW510-BO510)/BO510)</f>
        <v>0</v>
      </c>
      <c r="CF510" s="32" t="n">
        <f aca="false">IF(BP510=0,IF(BX510=0,0,1),(BX510-BP510)/BP510)</f>
        <v>0</v>
      </c>
      <c r="CG510" s="32" t="n">
        <f aca="false">IF(BQ510=0,IF(BY510=0,0,1),(BY510-BQ510)/BQ510)</f>
        <v>0</v>
      </c>
      <c r="CH510" s="32" t="n">
        <f aca="false">MAX(MAX(BZ510:CG510),-MIN(BZ510:CG510))</f>
        <v>-0</v>
      </c>
      <c r="CI510" s="31" t="n">
        <f aca="false">IF(CO510="","",SUMIFS($CJ$7:$CJ$696,$A$7:$A$696,CO510,$B$7:$B$696,B510))</f>
        <v>117888</v>
      </c>
      <c r="CJ510" s="31" t="n">
        <f aca="false">SUM(AY510:BI510)</f>
        <v>117888</v>
      </c>
      <c r="CK510" s="31" t="str">
        <f aca="false">IFERROR(INDEX(設定!$F$61:$F$106,MATCH(B510,設定!$B$61:$B$106,0)),"Y")</f>
        <v>Y</v>
      </c>
      <c r="CL510" s="31" t="str">
        <f aca="false">IFERROR(INDEX(設定!$G$61:$G$106,MATCH(B510,設定!$B$61:$B$106,0)),"外郭型")</f>
        <v>外郭型</v>
      </c>
      <c r="CM510" s="33" t="str">
        <f aca="false">A510&amp;"|"&amp;B510</f>
        <v>2026-12 月例|病院労働組合</v>
      </c>
      <c r="CN510" s="34" t="str">
        <f aca="false">IFERROR(INDEX(設定!$D$61:$D$106,MATCH(B510,設定!$B$61:$B$106,0)),"Y")</f>
        <v>Y</v>
      </c>
      <c r="CO510" s="34" t="str">
        <f aca="false">IFERROR(INDEX(設定!$D$20:$D$34,MATCH(A510,設定!$A$20:$A$34,0))&amp;"","")</f>
        <v>2026-11 月例</v>
      </c>
    </row>
    <row r="511" customFormat="false" ht="15" hidden="true" customHeight="false" outlineLevel="0" collapsed="false">
      <c r="A511" s="22" t="s">
        <v>226</v>
      </c>
      <c r="B511" s="23" t="s">
        <v>213</v>
      </c>
      <c r="C511" s="10" t="str">
        <f aca="false">IF(G511="","未受領",IF(G511="なし","報告なし",IF(AL511="○","起票済",IF(OR(AK511="○",F511="一致",F511="入金不要"),"入金確認済","受領済"))))</f>
        <v>報告なし</v>
      </c>
      <c r="D511" s="10" t="str">
        <f aca="false">IF(OR(G511="",G511="なし"),"―",IF(CN511="N","対象外",IF(AND(I511="",J511="",K511=""),"標報未入力",IF(CH511&gt;=設定!$B$4,"要確認","問題なし"))))</f>
        <v>―</v>
      </c>
      <c r="E511" s="24" t="str">
        <f aca="false">IF(OR(G511="",G511="なし",CI511="",CJ511=0),"―",IF(CJ511=CI511,"前月同額",IF(CI511=0,"―",IF(ABS(CJ511/CI511-1)&gt;=設定!$B$5,"変動大 "&amp;TEXT(CJ511/CI511-1,"+0%;-0%"),"〇"))))</f>
        <v>―</v>
      </c>
      <c r="F511" s="10" t="str">
        <f aca="false">IF(OR(G511="",G511="なし"),"―",IF(CJ511=0,"入金不要",IF(COUNT(AD511,AF511,AH511,AJ511)=0,IF(AK511="○","手動確認","未入金"),IF(AND(N(AD511)=AC511,IF(AE511="",TRUE(),N(AF511)=AE511),IF(AG511="",TRUE(),N(AH511)=AG511),IF(AI511="",TRUE(),N(AJ511)=AI511)),"一致","不一致"))))</f>
        <v>―</v>
      </c>
      <c r="G511" s="25" t="s">
        <v>181</v>
      </c>
      <c r="H511" s="26"/>
      <c r="I511" s="27"/>
      <c r="J511" s="27"/>
      <c r="K511" s="27"/>
      <c r="L511" s="27"/>
      <c r="M511" s="27"/>
      <c r="N511" s="27"/>
      <c r="O511" s="27"/>
      <c r="P511" s="27"/>
      <c r="Q511" s="27"/>
      <c r="R511" s="27"/>
      <c r="S511" s="27"/>
      <c r="T511" s="27"/>
      <c r="U511" s="27"/>
      <c r="V511" s="27"/>
      <c r="W511" s="27"/>
      <c r="X511" s="27"/>
      <c r="Y511" s="27"/>
      <c r="Z511" s="27"/>
      <c r="AA511" s="10" t="str">
        <f aca="false">IFERROR(INDEX(設定!$E$61:$E$106,MATCH(B511,設定!$B$61:$B$106,0)),"合算")</f>
        <v>合算</v>
      </c>
      <c r="AB511" s="28"/>
      <c r="AC511" s="29" t="str">
        <f aca="false">IF(OR(G511="",G511="なし"),"",IF(AA511="合算",CJ511+N(Z511),IF(AA511="掛金・負担金別",(AY511+AZ511+BD511+BF511+BH511),SUM(AY511:BC511))))</f>
        <v/>
      </c>
      <c r="AD511" s="27"/>
      <c r="AE511" s="29" t="str">
        <f aca="false">IF(OR(G511="",G511="なし"),"",IF(AA511="掛金・負担金別",(BA511+BB511+BC511+BE511+BG511+BI511+N(Z511)),IF(AA511="経理区分別",BD511+BE511,"")))</f>
        <v/>
      </c>
      <c r="AF511" s="27"/>
      <c r="AG511" s="29" t="str">
        <f aca="false">IF(OR(G511="",G511="なし"),"",IF(AA511="経理区分別",BF511+BG511,""))</f>
        <v/>
      </c>
      <c r="AH511" s="27"/>
      <c r="AI511" s="29" t="str">
        <f aca="false">IF(OR(G511="",G511="なし"),"",IF(AA511="経理区分別",BH511+BI511+N(Z511),""))</f>
        <v/>
      </c>
      <c r="AJ511" s="27"/>
      <c r="AK511" s="26"/>
      <c r="AL511" s="26"/>
      <c r="AM511" s="30"/>
      <c r="AN511" s="31"/>
      <c r="AO511" s="31"/>
      <c r="AP511" s="31"/>
      <c r="AQ511" s="31"/>
      <c r="AR511" s="31"/>
      <c r="AS511" s="31"/>
      <c r="AT511" s="31"/>
      <c r="AU511" s="31"/>
      <c r="AV511" s="31"/>
      <c r="AW511" s="31"/>
      <c r="AX511" s="31"/>
      <c r="AY511" s="31" t="n">
        <f aca="false">IF($G511="",AN511,O511)</f>
        <v>0</v>
      </c>
      <c r="AZ511" s="31" t="n">
        <f aca="false">IF($G511="",AO511,P511)</f>
        <v>0</v>
      </c>
      <c r="BA511" s="31" t="n">
        <f aca="false">IF($G511="",AP511,T511)</f>
        <v>0</v>
      </c>
      <c r="BB511" s="31" t="n">
        <f aca="false">IF($G511="",AQ511,U511)</f>
        <v>0</v>
      </c>
      <c r="BC511" s="31" t="n">
        <f aca="false">IF($G511="",AR511,V511)</f>
        <v>0</v>
      </c>
      <c r="BD511" s="31" t="n">
        <f aca="false">IF($G511="",AS511,Q511)</f>
        <v>0</v>
      </c>
      <c r="BE511" s="31" t="n">
        <f aca="false">IF($G511="",AT511,W511)</f>
        <v>0</v>
      </c>
      <c r="BF511" s="31" t="n">
        <f aca="false">IF($G511="",AU511,R511)</f>
        <v>0</v>
      </c>
      <c r="BG511" s="31" t="n">
        <f aca="false">IF($G511="",AV511,X511)</f>
        <v>0</v>
      </c>
      <c r="BH511" s="31" t="n">
        <f aca="false">IF($G511="",AW511,S511)</f>
        <v>0</v>
      </c>
      <c r="BI511" s="31" t="n">
        <f aca="false">IF($G511="",AX511,Y511)</f>
        <v>0</v>
      </c>
      <c r="BJ511" s="31" t="n">
        <f aca="false">IF(CK511="N",BR511,ROUNDDOWN((I511-L511)*設定!$B$10/1000,0)+ROUNDDOWN((I511-L511)*設定!$B$11/1000,0))</f>
        <v>0</v>
      </c>
      <c r="BK511" s="31" t="n">
        <f aca="false">ROUNDDOWN((I511-L511)*設定!$C$10/1000,0)+ROUNDDOWN((I511-L511)*設定!$C$11/1000,0)+ROUNDDOWN(I511*設定!$C$12/1000,0)+IF(CL511="市局型",ROUNDDOWN(I511*設定!$C$16/1000,0),0)</f>
        <v>0</v>
      </c>
      <c r="BL511" s="31" t="n">
        <f aca="false">IF(CK511="N",BT511,ROUNDDOWN((J511-M511)*設定!$B$13/1000,0))</f>
        <v>0</v>
      </c>
      <c r="BM511" s="31" t="n">
        <f aca="false">ROUNDDOWN((J511-M511)*設定!$C$13/1000,0)+IF(CL511="市局型",ROUNDDOWN(J511*設定!$C$17/1000,0),0)</f>
        <v>0</v>
      </c>
      <c r="BN511" s="31" t="n">
        <f aca="false">IF(CK511="N",BV511,ROUNDDOWN((K511-N511)*設定!$B$14/1000,0))</f>
        <v>0</v>
      </c>
      <c r="BO511" s="31" t="n">
        <f aca="false">ROUNDDOWN((K511-N511)*設定!$C$14/1000,0)</f>
        <v>0</v>
      </c>
      <c r="BP511" s="31" t="n">
        <f aca="false">IF(CK511="N",BX511,ROUNDDOWN((J511-M511)*設定!$B$15/1000,0))</f>
        <v>0</v>
      </c>
      <c r="BQ511" s="31" t="n">
        <f aca="false">ROUNDDOWN((J511-M511)*設定!$C$15/1000,0)</f>
        <v>0</v>
      </c>
      <c r="BR511" s="31" t="n">
        <f aca="false">O511+P511</f>
        <v>0</v>
      </c>
      <c r="BS511" s="31" t="n">
        <f aca="false">T511+U511+V511</f>
        <v>0</v>
      </c>
      <c r="BT511" s="31" t="n">
        <f aca="false">Q511</f>
        <v>0</v>
      </c>
      <c r="BU511" s="31" t="n">
        <f aca="false">W511</f>
        <v>0</v>
      </c>
      <c r="BV511" s="31" t="n">
        <f aca="false">R511</f>
        <v>0</v>
      </c>
      <c r="BW511" s="31" t="n">
        <f aca="false">X511</f>
        <v>0</v>
      </c>
      <c r="BX511" s="31" t="n">
        <f aca="false">S511</f>
        <v>0</v>
      </c>
      <c r="BY511" s="31" t="n">
        <f aca="false">Y511</f>
        <v>0</v>
      </c>
      <c r="BZ511" s="32" t="n">
        <f aca="false">IF(BJ511=0,IF(BR511=0,0,1),(BR511-BJ511)/BJ511)</f>
        <v>0</v>
      </c>
      <c r="CA511" s="32" t="n">
        <f aca="false">IF(BK511=0,IF(BS511=0,0,1),(BS511-BK511)/BK511)</f>
        <v>0</v>
      </c>
      <c r="CB511" s="32" t="n">
        <f aca="false">IF(BL511=0,IF(BT511=0,0,1),(BT511-BL511)/BL511)</f>
        <v>0</v>
      </c>
      <c r="CC511" s="32" t="n">
        <f aca="false">IF(BM511=0,IF(BU511=0,0,1),(BU511-BM511)/BM511)</f>
        <v>0</v>
      </c>
      <c r="CD511" s="32" t="n">
        <f aca="false">IF(BN511=0,IF(BV511=0,0,1),(BV511-BN511)/BN511)</f>
        <v>0</v>
      </c>
      <c r="CE511" s="32" t="n">
        <f aca="false">IF(BO511=0,IF(BW511=0,0,1),(BW511-BO511)/BO511)</f>
        <v>0</v>
      </c>
      <c r="CF511" s="32" t="n">
        <f aca="false">IF(BP511=0,IF(BX511=0,0,1),(BX511-BP511)/BP511)</f>
        <v>0</v>
      </c>
      <c r="CG511" s="32" t="n">
        <f aca="false">IF(BQ511=0,IF(BY511=0,0,1),(BY511-BQ511)/BQ511)</f>
        <v>0</v>
      </c>
      <c r="CH511" s="32" t="n">
        <f aca="false">MAX(MAX(BZ511:CG511),-MIN(BZ511:CG511))</f>
        <v>-0</v>
      </c>
      <c r="CI511" s="31" t="n">
        <f aca="false">IF(CO511="","",SUMIFS($CJ$7:$CJ$696,$A$7:$A$696,CO511,$B$7:$B$696,B511))</f>
        <v>0</v>
      </c>
      <c r="CJ511" s="31" t="n">
        <f aca="false">SUM(AY511:BI511)</f>
        <v>0</v>
      </c>
      <c r="CK511" s="31" t="str">
        <f aca="false">IFERROR(INDEX(設定!$F$61:$F$106,MATCH(B511,設定!$B$61:$B$106,0)),"Y")</f>
        <v>N</v>
      </c>
      <c r="CL511" s="31" t="str">
        <f aca="false">IFERROR(INDEX(設定!$G$61:$G$106,MATCH(B511,設定!$B$61:$B$106,0)),"外郭型")</f>
        <v>外郭型</v>
      </c>
      <c r="CM511" s="33" t="str">
        <f aca="false">A511&amp;"|"&amp;B511</f>
        <v>2026-12 月例|水道労働組合</v>
      </c>
      <c r="CN511" s="34" t="str">
        <f aca="false">IFERROR(INDEX(設定!$D$61:$D$106,MATCH(B511,設定!$B$61:$B$106,0)),"Y")</f>
        <v>Y</v>
      </c>
      <c r="CO511" s="34" t="str">
        <f aca="false">IFERROR(INDEX(設定!$D$20:$D$34,MATCH(A511,設定!$A$20:$A$34,0))&amp;"","")</f>
        <v>2026-11 月例</v>
      </c>
    </row>
    <row r="512" customFormat="false" ht="15" hidden="true" customHeight="false" outlineLevel="0" collapsed="false">
      <c r="A512" s="22" t="s">
        <v>226</v>
      </c>
      <c r="B512" s="23" t="s">
        <v>214</v>
      </c>
      <c r="C512" s="10" t="str">
        <f aca="false">IF(G512="","未受領",IF(G512="なし","報告なし",IF(AL512="○","起票済",IF(OR(AK512="○",F512="一致",F512="入金不要"),"入金確認済","受領済"))))</f>
        <v>未受領</v>
      </c>
      <c r="D512" s="10" t="str">
        <f aca="false">IF(OR(G512="",G512="なし"),"―",IF(CN512="N","対象外",IF(AND(I512="",J512="",K512=""),"標報未入力",IF(CH512&gt;=設定!$B$4,"要確認","問題なし"))))</f>
        <v>―</v>
      </c>
      <c r="E512" s="24" t="str">
        <f aca="false">IF(OR(G512="",G512="なし",CI512="",CJ512=0),"―",IF(CJ512=CI512,"前月同額",IF(CI512=0,"―",IF(ABS(CJ512/CI512-1)&gt;=設定!$B$5,"変動大 "&amp;TEXT(CJ512/CI512-1,"+0%;-0%"),"〇"))))</f>
        <v>―</v>
      </c>
      <c r="F512" s="10" t="str">
        <f aca="false">IF(OR(G512="",G512="なし"),"―",IF(CJ512=0,"入金不要",IF(COUNT(AD512,AF512,AH512,AJ512)=0,IF(AK512="○","手動確認","未入金"),IF(AND(N(AD512)=AC512,IF(AE512="",TRUE(),N(AF512)=AE512),IF(AG512="",TRUE(),N(AH512)=AG512),IF(AI512="",TRUE(),N(AJ512)=AI512)),"一致","不一致"))))</f>
        <v>―</v>
      </c>
      <c r="G512" s="25"/>
      <c r="H512" s="26"/>
      <c r="I512" s="27"/>
      <c r="J512" s="27"/>
      <c r="K512" s="27"/>
      <c r="L512" s="27"/>
      <c r="M512" s="27"/>
      <c r="N512" s="27"/>
      <c r="O512" s="27"/>
      <c r="P512" s="27"/>
      <c r="Q512" s="27"/>
      <c r="R512" s="27"/>
      <c r="S512" s="27"/>
      <c r="T512" s="27"/>
      <c r="U512" s="27"/>
      <c r="V512" s="27"/>
      <c r="W512" s="27"/>
      <c r="X512" s="27"/>
      <c r="Y512" s="27"/>
      <c r="Z512" s="27"/>
      <c r="AA512" s="10" t="str">
        <f aca="false">IFERROR(INDEX(設定!$E$61:$E$106,MATCH(B512,設定!$B$61:$B$106,0)),"合算")</f>
        <v>合算</v>
      </c>
      <c r="AB512" s="28"/>
      <c r="AC512" s="29" t="str">
        <f aca="false">IF(OR(G512="",G512="なし"),"",IF(AA512="合算",CJ512+N(Z512),IF(AA512="掛金・負担金別",(AY512+AZ512+BD512+BF512+BH512),SUM(AY512:BC512))))</f>
        <v/>
      </c>
      <c r="AD512" s="27"/>
      <c r="AE512" s="29" t="str">
        <f aca="false">IF(OR(G512="",G512="なし"),"",IF(AA512="掛金・負担金別",(BA512+BB512+BC512+BE512+BG512+BI512+N(Z512)),IF(AA512="経理区分別",BD512+BE512,"")))</f>
        <v/>
      </c>
      <c r="AF512" s="27"/>
      <c r="AG512" s="29" t="str">
        <f aca="false">IF(OR(G512="",G512="なし"),"",IF(AA512="経理区分別",BF512+BG512,""))</f>
        <v/>
      </c>
      <c r="AH512" s="27"/>
      <c r="AI512" s="29" t="str">
        <f aca="false">IF(OR(G512="",G512="なし"),"",IF(AA512="経理区分別",BH512+BI512+N(Z512),""))</f>
        <v/>
      </c>
      <c r="AJ512" s="27"/>
      <c r="AK512" s="26"/>
      <c r="AL512" s="26"/>
      <c r="AM512" s="30"/>
      <c r="AN512" s="31"/>
      <c r="AO512" s="31"/>
      <c r="AP512" s="31"/>
      <c r="AQ512" s="31"/>
      <c r="AR512" s="31"/>
      <c r="AS512" s="31" t="n">
        <v>1270075</v>
      </c>
      <c r="AT512" s="31"/>
      <c r="AU512" s="31" t="n">
        <v>77228</v>
      </c>
      <c r="AV512" s="31"/>
      <c r="AW512" s="31" t="n">
        <v>1</v>
      </c>
      <c r="AX512" s="31"/>
      <c r="AY512" s="31" t="n">
        <f aca="false">IF($G512="",AN512,O512)</f>
        <v>0</v>
      </c>
      <c r="AZ512" s="31" t="n">
        <f aca="false">IF($G512="",AO512,P512)</f>
        <v>0</v>
      </c>
      <c r="BA512" s="31" t="n">
        <f aca="false">IF($G512="",AP512,T512)</f>
        <v>0</v>
      </c>
      <c r="BB512" s="31" t="n">
        <f aca="false">IF($G512="",AQ512,U512)</f>
        <v>0</v>
      </c>
      <c r="BC512" s="31" t="n">
        <f aca="false">IF($G512="",AR512,V512)</f>
        <v>0</v>
      </c>
      <c r="BD512" s="31" t="n">
        <f aca="false">IF($G512="",AS512,Q512)</f>
        <v>1270075</v>
      </c>
      <c r="BE512" s="31" t="n">
        <f aca="false">IF($G512="",AT512,W512)</f>
        <v>0</v>
      </c>
      <c r="BF512" s="31" t="n">
        <f aca="false">IF($G512="",AU512,R512)</f>
        <v>77228</v>
      </c>
      <c r="BG512" s="31" t="n">
        <f aca="false">IF($G512="",AV512,X512)</f>
        <v>0</v>
      </c>
      <c r="BH512" s="31" t="n">
        <f aca="false">IF($G512="",AW512,S512)</f>
        <v>1</v>
      </c>
      <c r="BI512" s="31" t="n">
        <f aca="false">IF($G512="",AX512,Y512)</f>
        <v>0</v>
      </c>
      <c r="BJ512" s="31" t="n">
        <f aca="false">IF(CK512="N",BR512,ROUNDDOWN((I512-L512)*設定!$B$10/1000,0)+ROUNDDOWN((I512-L512)*設定!$B$11/1000,0))</f>
        <v>0</v>
      </c>
      <c r="BK512" s="31" t="n">
        <f aca="false">ROUNDDOWN((I512-L512)*設定!$C$10/1000,0)+ROUNDDOWN((I512-L512)*設定!$C$11/1000,0)+ROUNDDOWN(I512*設定!$C$12/1000,0)+IF(CL512="市局型",ROUNDDOWN(I512*設定!$C$16/1000,0),0)</f>
        <v>0</v>
      </c>
      <c r="BL512" s="31" t="n">
        <f aca="false">IF(CK512="N",BT512,ROUNDDOWN((J512-M512)*設定!$B$13/1000,0))</f>
        <v>0</v>
      </c>
      <c r="BM512" s="31" t="n">
        <f aca="false">ROUNDDOWN((J512-M512)*設定!$C$13/1000,0)+IF(CL512="市局型",ROUNDDOWN(J512*設定!$C$17/1000,0),0)</f>
        <v>0</v>
      </c>
      <c r="BN512" s="31" t="n">
        <f aca="false">IF(CK512="N",BV512,ROUNDDOWN((K512-N512)*設定!$B$14/1000,0))</f>
        <v>0</v>
      </c>
      <c r="BO512" s="31" t="n">
        <f aca="false">ROUNDDOWN((K512-N512)*設定!$C$14/1000,0)</f>
        <v>0</v>
      </c>
      <c r="BP512" s="31" t="n">
        <f aca="false">IF(CK512="N",BX512,ROUNDDOWN((J512-M512)*設定!$B$15/1000,0))</f>
        <v>0</v>
      </c>
      <c r="BQ512" s="31" t="n">
        <f aca="false">ROUNDDOWN((J512-M512)*設定!$C$15/1000,0)</f>
        <v>0</v>
      </c>
      <c r="BR512" s="31" t="n">
        <f aca="false">O512+P512</f>
        <v>0</v>
      </c>
      <c r="BS512" s="31" t="n">
        <f aca="false">T512+U512+V512</f>
        <v>0</v>
      </c>
      <c r="BT512" s="31" t="n">
        <f aca="false">Q512</f>
        <v>0</v>
      </c>
      <c r="BU512" s="31" t="n">
        <f aca="false">W512</f>
        <v>0</v>
      </c>
      <c r="BV512" s="31" t="n">
        <f aca="false">R512</f>
        <v>0</v>
      </c>
      <c r="BW512" s="31" t="n">
        <f aca="false">X512</f>
        <v>0</v>
      </c>
      <c r="BX512" s="31" t="n">
        <f aca="false">S512</f>
        <v>0</v>
      </c>
      <c r="BY512" s="31" t="n">
        <f aca="false">Y512</f>
        <v>0</v>
      </c>
      <c r="BZ512" s="32" t="n">
        <f aca="false">IF(BJ512=0,IF(BR512=0,0,1),(BR512-BJ512)/BJ512)</f>
        <v>0</v>
      </c>
      <c r="CA512" s="32" t="n">
        <f aca="false">IF(BK512=0,IF(BS512=0,0,1),(BS512-BK512)/BK512)</f>
        <v>0</v>
      </c>
      <c r="CB512" s="32" t="n">
        <f aca="false">IF(BL512=0,IF(BT512=0,0,1),(BT512-BL512)/BL512)</f>
        <v>0</v>
      </c>
      <c r="CC512" s="32" t="n">
        <f aca="false">IF(BM512=0,IF(BU512=0,0,1),(BU512-BM512)/BM512)</f>
        <v>0</v>
      </c>
      <c r="CD512" s="32" t="n">
        <f aca="false">IF(BN512=0,IF(BV512=0,0,1),(BV512-BN512)/BN512)</f>
        <v>0</v>
      </c>
      <c r="CE512" s="32" t="n">
        <f aca="false">IF(BO512=0,IF(BW512=0,0,1),(BW512-BO512)/BO512)</f>
        <v>0</v>
      </c>
      <c r="CF512" s="32" t="n">
        <f aca="false">IF(BP512=0,IF(BX512=0,0,1),(BX512-BP512)/BP512)</f>
        <v>0</v>
      </c>
      <c r="CG512" s="32" t="n">
        <f aca="false">IF(BQ512=0,IF(BY512=0,0,1),(BY512-BQ512)/BQ512)</f>
        <v>0</v>
      </c>
      <c r="CH512" s="32" t="n">
        <f aca="false">MAX(MAX(BZ512:CG512),-MIN(BZ512:CG512))</f>
        <v>-0</v>
      </c>
      <c r="CI512" s="31" t="n">
        <f aca="false">IF(CO512="","",SUMIFS($CJ$7:$CJ$696,$A$7:$A$696,CO512,$B$7:$B$696,B512))</f>
        <v>1456951</v>
      </c>
      <c r="CJ512" s="31" t="n">
        <f aca="false">SUM(AY512:BI512)</f>
        <v>1347304</v>
      </c>
      <c r="CK512" s="31" t="str">
        <f aca="false">IFERROR(INDEX(設定!$F$61:$F$106,MATCH(B512,設定!$B$61:$B$106,0)),"Y")</f>
        <v>Y</v>
      </c>
      <c r="CL512" s="31" t="str">
        <f aca="false">IFERROR(INDEX(設定!$G$61:$G$106,MATCH(B512,設定!$B$61:$B$106,0)),"外郭型")</f>
        <v>外郭型</v>
      </c>
      <c r="CM512" s="33" t="str">
        <f aca="false">A512&amp;"|"&amp;B512</f>
        <v>2026-12 月例|任意継続組合員</v>
      </c>
      <c r="CN512" s="34" t="str">
        <f aca="false">IFERROR(INDEX(設定!$D$61:$D$106,MATCH(B512,設定!$B$61:$B$106,0)),"Y")</f>
        <v>N</v>
      </c>
      <c r="CO512" s="34" t="str">
        <f aca="false">IFERROR(INDEX(設定!$D$20:$D$34,MATCH(A512,設定!$A$20:$A$34,0))&amp;"","")</f>
        <v>2026-11 月例</v>
      </c>
    </row>
    <row r="513" customFormat="false" ht="15" hidden="true" customHeight="false" outlineLevel="0" collapsed="false">
      <c r="A513" s="22" t="s">
        <v>227</v>
      </c>
      <c r="B513" s="23" t="s">
        <v>166</v>
      </c>
      <c r="C513" s="10" t="str">
        <f aca="false">IF(G513="","未受領",IF(G513="なし","報告なし",IF(AL513="○","起票済",IF(OR(AK513="○",F513="一致",F513="入金不要"),"入金確認済","受領済"))))</f>
        <v>未受領</v>
      </c>
      <c r="D513" s="10" t="str">
        <f aca="false">IF(OR(G513="",G513="なし"),"―",IF(CN513="N","対象外",IF(AND(I513="",J513="",K513=""),"標報未入力",IF(CH513&gt;=設定!$B$4,"要確認","問題なし"))))</f>
        <v>―</v>
      </c>
      <c r="E513" s="24" t="str">
        <f aca="false">IF(OR(G513="",G513="なし",CI513="",CJ513=0),"―",IF(CJ513=CI513,"前月同額",IF(CI513=0,"―",IF(ABS(CJ513/CI513-1)&gt;=設定!$B$5,"変動大 "&amp;TEXT(CJ513/CI513-1,"+0%;-0%"),"〇"))))</f>
        <v>―</v>
      </c>
      <c r="F513" s="10" t="str">
        <f aca="false">IF(OR(G513="",G513="なし"),"―",IF(CJ513=0,"入金不要",IF(COUNT(AD513,AF513,AH513,AJ513)=0,IF(AK513="○","手動確認","未入金"),IF(AND(N(AD513)=AC513,IF(AE513="",TRUE(),N(AF513)=AE513),IF(AG513="",TRUE(),N(AH513)=AG513),IF(AI513="",TRUE(),N(AJ513)=AI513)),"一致","不一致"))))</f>
        <v>―</v>
      </c>
      <c r="G513" s="25"/>
      <c r="H513" s="26"/>
      <c r="I513" s="27"/>
      <c r="J513" s="27"/>
      <c r="K513" s="27"/>
      <c r="L513" s="27"/>
      <c r="M513" s="27"/>
      <c r="N513" s="27"/>
      <c r="O513" s="27"/>
      <c r="P513" s="27"/>
      <c r="Q513" s="27"/>
      <c r="R513" s="27"/>
      <c r="S513" s="27"/>
      <c r="T513" s="27"/>
      <c r="U513" s="27"/>
      <c r="V513" s="27"/>
      <c r="W513" s="27"/>
      <c r="X513" s="27"/>
      <c r="Y513" s="27"/>
      <c r="Z513" s="27"/>
      <c r="AA513" s="10" t="str">
        <f aca="false">IFERROR(INDEX(設定!$E$61:$E$106,MATCH(B513,設定!$B$61:$B$106,0)),"合算")</f>
        <v>合算</v>
      </c>
      <c r="AB513" s="28"/>
      <c r="AC513" s="29" t="str">
        <f aca="false">IF(OR(G513="",G513="なし"),"",IF(AA513="合算",CJ513+N(Z513),IF(AA513="掛金・負担金別",(AY513+AZ513+BD513+BF513+BH513),SUM(AY513:BC513))))</f>
        <v/>
      </c>
      <c r="AD513" s="27"/>
      <c r="AE513" s="29" t="str">
        <f aca="false">IF(OR(G513="",G513="なし"),"",IF(AA513="掛金・負担金別",(BA513+BB513+BC513+BE513+BG513+BI513+N(Z513)),IF(AA513="経理区分別",BD513+BE513,"")))</f>
        <v/>
      </c>
      <c r="AF513" s="27"/>
      <c r="AG513" s="29" t="str">
        <f aca="false">IF(OR(G513="",G513="なし"),"",IF(AA513="経理区分別",BF513+BG513,""))</f>
        <v/>
      </c>
      <c r="AH513" s="27"/>
      <c r="AI513" s="29" t="str">
        <f aca="false">IF(OR(G513="",G513="なし"),"",IF(AA513="経理区分別",BH513+BI513+N(Z513),""))</f>
        <v/>
      </c>
      <c r="AJ513" s="27"/>
      <c r="AK513" s="26"/>
      <c r="AL513" s="26"/>
      <c r="AM513" s="30"/>
      <c r="AN513" s="31" t="n">
        <v>233353275</v>
      </c>
      <c r="AO513" s="31" t="n">
        <v>19132194</v>
      </c>
      <c r="AP513" s="31" t="n">
        <v>339862897</v>
      </c>
      <c r="AQ513" s="31" t="n">
        <v>18614235</v>
      </c>
      <c r="AR513" s="31" t="n">
        <v>245746</v>
      </c>
      <c r="AS513" s="31" t="n">
        <v>180638089</v>
      </c>
      <c r="AT513" s="31" t="n">
        <v>180025030</v>
      </c>
      <c r="AU513" s="31" t="n">
        <v>15853222</v>
      </c>
      <c r="AV513" s="31" t="n">
        <v>15423172</v>
      </c>
      <c r="AW513" s="31" t="n">
        <v>1</v>
      </c>
      <c r="AX513" s="31" t="n">
        <v>1</v>
      </c>
      <c r="AY513" s="31" t="n">
        <f aca="false">IF($G513="",AN513,O513)</f>
        <v>233353275</v>
      </c>
      <c r="AZ513" s="31" t="n">
        <f aca="false">IF($G513="",AO513,P513)</f>
        <v>19132194</v>
      </c>
      <c r="BA513" s="31" t="n">
        <f aca="false">IF($G513="",AP513,T513)</f>
        <v>339862897</v>
      </c>
      <c r="BB513" s="31" t="n">
        <f aca="false">IF($G513="",AQ513,U513)</f>
        <v>18614235</v>
      </c>
      <c r="BC513" s="31" t="n">
        <f aca="false">IF($G513="",AR513,V513)</f>
        <v>245746</v>
      </c>
      <c r="BD513" s="31" t="n">
        <f aca="false">IF($G513="",AS513,Q513)</f>
        <v>180638089</v>
      </c>
      <c r="BE513" s="31" t="n">
        <f aca="false">IF($G513="",AT513,W513)</f>
        <v>180025030</v>
      </c>
      <c r="BF513" s="31" t="n">
        <f aca="false">IF($G513="",AU513,R513)</f>
        <v>15853222</v>
      </c>
      <c r="BG513" s="31" t="n">
        <f aca="false">IF($G513="",AV513,X513)</f>
        <v>15423172</v>
      </c>
      <c r="BH513" s="31" t="n">
        <f aca="false">IF($G513="",AW513,S513)</f>
        <v>1</v>
      </c>
      <c r="BI513" s="31" t="n">
        <f aca="false">IF($G513="",AX513,Y513)</f>
        <v>1</v>
      </c>
      <c r="BJ513" s="31" t="n">
        <f aca="false">IF(CK513="N",BR513,ROUNDDOWN((I513-L513)*設定!$B$10/1000,0)+ROUNDDOWN((I513-L513)*設定!$B$11/1000,0))</f>
        <v>0</v>
      </c>
      <c r="BK513" s="31" t="n">
        <f aca="false">ROUNDDOWN((I513-L513)*設定!$C$10/1000,0)+ROUNDDOWN((I513-L513)*設定!$C$11/1000,0)+ROUNDDOWN(I513*設定!$C$12/1000,0)+IF(CL513="市局型",ROUNDDOWN(I513*設定!$C$16/1000,0),0)</f>
        <v>0</v>
      </c>
      <c r="BL513" s="31" t="n">
        <f aca="false">IF(CK513="N",BT513,ROUNDDOWN((J513-M513)*設定!$B$13/1000,0))</f>
        <v>0</v>
      </c>
      <c r="BM513" s="31" t="n">
        <f aca="false">ROUNDDOWN((J513-M513)*設定!$C$13/1000,0)+IF(CL513="市局型",ROUNDDOWN(J513*設定!$C$17/1000,0),0)</f>
        <v>0</v>
      </c>
      <c r="BN513" s="31" t="n">
        <f aca="false">IF(CK513="N",BV513,ROUNDDOWN((K513-N513)*設定!$B$14/1000,0))</f>
        <v>0</v>
      </c>
      <c r="BO513" s="31" t="n">
        <f aca="false">ROUNDDOWN((K513-N513)*設定!$C$14/1000,0)</f>
        <v>0</v>
      </c>
      <c r="BP513" s="31" t="n">
        <f aca="false">IF(CK513="N",BX513,ROUNDDOWN((J513-M513)*設定!$B$15/1000,0))</f>
        <v>0</v>
      </c>
      <c r="BQ513" s="31" t="n">
        <f aca="false">ROUNDDOWN((J513-M513)*設定!$C$15/1000,0)</f>
        <v>0</v>
      </c>
      <c r="BR513" s="31" t="n">
        <f aca="false">O513+P513</f>
        <v>0</v>
      </c>
      <c r="BS513" s="31" t="n">
        <f aca="false">T513+U513+V513</f>
        <v>0</v>
      </c>
      <c r="BT513" s="31" t="n">
        <f aca="false">Q513</f>
        <v>0</v>
      </c>
      <c r="BU513" s="31" t="n">
        <f aca="false">W513</f>
        <v>0</v>
      </c>
      <c r="BV513" s="31" t="n">
        <f aca="false">R513</f>
        <v>0</v>
      </c>
      <c r="BW513" s="31" t="n">
        <f aca="false">X513</f>
        <v>0</v>
      </c>
      <c r="BX513" s="31" t="n">
        <f aca="false">S513</f>
        <v>0</v>
      </c>
      <c r="BY513" s="31" t="n">
        <f aca="false">Y513</f>
        <v>0</v>
      </c>
      <c r="BZ513" s="32" t="n">
        <f aca="false">IF(BJ513=0,IF(BR513=0,0,1),(BR513-BJ513)/BJ513)</f>
        <v>0</v>
      </c>
      <c r="CA513" s="32" t="n">
        <f aca="false">IF(BK513=0,IF(BS513=0,0,1),(BS513-BK513)/BK513)</f>
        <v>0</v>
      </c>
      <c r="CB513" s="32" t="n">
        <f aca="false">IF(BL513=0,IF(BT513=0,0,1),(BT513-BL513)/BL513)</f>
        <v>0</v>
      </c>
      <c r="CC513" s="32" t="n">
        <f aca="false">IF(BM513=0,IF(BU513=0,0,1),(BU513-BM513)/BM513)</f>
        <v>0</v>
      </c>
      <c r="CD513" s="32" t="n">
        <f aca="false">IF(BN513=0,IF(BV513=0,0,1),(BV513-BN513)/BN513)</f>
        <v>0</v>
      </c>
      <c r="CE513" s="32" t="n">
        <f aca="false">IF(BO513=0,IF(BW513=0,0,1),(BW513-BO513)/BO513)</f>
        <v>0</v>
      </c>
      <c r="CF513" s="32" t="n">
        <f aca="false">IF(BP513=0,IF(BX513=0,0,1),(BX513-BP513)/BP513)</f>
        <v>0</v>
      </c>
      <c r="CG513" s="32" t="n">
        <f aca="false">IF(BQ513=0,IF(BY513=0,0,1),(BY513-BQ513)/BQ513)</f>
        <v>0</v>
      </c>
      <c r="CH513" s="32" t="n">
        <f aca="false">MAX(MAX(BZ513:CG513),-MIN(BZ513:CG513))</f>
        <v>-0</v>
      </c>
      <c r="CI513" s="31" t="n">
        <f aca="false">IF(CO513="","",SUMIFS($CJ$7:$CJ$696,$A$7:$A$696,CO513,$B$7:$B$696,B513))</f>
        <v>1002163110</v>
      </c>
      <c r="CJ513" s="31" t="n">
        <f aca="false">SUM(AY513:BI513)</f>
        <v>1003147862</v>
      </c>
      <c r="CK513" s="31" t="str">
        <f aca="false">IFERROR(INDEX(設定!$F$61:$F$106,MATCH(B513,設定!$B$61:$B$106,0)),"Y")</f>
        <v>Y</v>
      </c>
      <c r="CL513" s="31" t="str">
        <f aca="false">IFERROR(INDEX(設定!$G$61:$G$106,MATCH(B513,設定!$B$61:$B$106,0)),"外郭型")</f>
        <v>市局型</v>
      </c>
      <c r="CM513" s="33" t="str">
        <f aca="false">A513&amp;"|"&amp;B513</f>
        <v>2027-01 月例|市長部局</v>
      </c>
      <c r="CN513" s="34" t="str">
        <f aca="false">IFERROR(INDEX(設定!$D$61:$D$106,MATCH(B513,設定!$B$61:$B$106,0)),"Y")</f>
        <v>N</v>
      </c>
      <c r="CO513" s="34" t="str">
        <f aca="false">IFERROR(INDEX(設定!$D$20:$D$34,MATCH(A513,設定!$A$20:$A$34,0))&amp;"","")</f>
        <v>2026-12 月例</v>
      </c>
    </row>
    <row r="514" customFormat="false" ht="15" hidden="true" customHeight="false" outlineLevel="0" collapsed="false">
      <c r="A514" s="22" t="s">
        <v>227</v>
      </c>
      <c r="B514" s="23" t="s">
        <v>169</v>
      </c>
      <c r="C514" s="10" t="str">
        <f aca="false">IF(G514="","未受領",IF(G514="なし","報告なし",IF(AL514="○","起票済",IF(OR(AK514="○",F514="一致",F514="入金不要"),"入金確認済","受領済"))))</f>
        <v>未受領</v>
      </c>
      <c r="D514" s="10" t="str">
        <f aca="false">IF(OR(G514="",G514="なし"),"―",IF(CN514="N","対象外",IF(AND(I514="",J514="",K514=""),"標報未入力",IF(CH514&gt;=設定!$B$4,"要確認","問題なし"))))</f>
        <v>―</v>
      </c>
      <c r="E514" s="24" t="str">
        <f aca="false">IF(OR(G514="",G514="なし",CI514="",CJ514=0),"―",IF(CJ514=CI514,"前月同額",IF(CI514=0,"―",IF(ABS(CJ514/CI514-1)&gt;=設定!$B$5,"変動大 "&amp;TEXT(CJ514/CI514-1,"+0%;-0%"),"〇"))))</f>
        <v>―</v>
      </c>
      <c r="F514" s="10" t="str">
        <f aca="false">IF(OR(G514="",G514="なし"),"―",IF(CJ514=0,"入金不要",IF(COUNT(AD514,AF514,AH514,AJ514)=0,IF(AK514="○","手動確認","未入金"),IF(AND(N(AD514)=AC514,IF(AE514="",TRUE(),N(AF514)=AE514),IF(AG514="",TRUE(),N(AH514)=AG514),IF(AI514="",TRUE(),N(AJ514)=AI514)),"一致","不一致"))))</f>
        <v>―</v>
      </c>
      <c r="G514" s="25"/>
      <c r="H514" s="26"/>
      <c r="I514" s="27"/>
      <c r="J514" s="27"/>
      <c r="K514" s="27"/>
      <c r="L514" s="27"/>
      <c r="M514" s="27"/>
      <c r="N514" s="27"/>
      <c r="O514" s="27"/>
      <c r="P514" s="27"/>
      <c r="Q514" s="27"/>
      <c r="R514" s="27"/>
      <c r="S514" s="27"/>
      <c r="T514" s="27"/>
      <c r="U514" s="27"/>
      <c r="V514" s="27"/>
      <c r="W514" s="27"/>
      <c r="X514" s="27"/>
      <c r="Y514" s="27"/>
      <c r="Z514" s="27"/>
      <c r="AA514" s="10" t="str">
        <f aca="false">IFERROR(INDEX(設定!$E$61:$E$106,MATCH(B514,設定!$B$61:$B$106,0)),"合算")</f>
        <v>合算</v>
      </c>
      <c r="AB514" s="28"/>
      <c r="AC514" s="29" t="str">
        <f aca="false">IF(OR(G514="",G514="なし"),"",IF(AA514="合算",CJ514+N(Z514),IF(AA514="掛金・負担金別",(AY514+AZ514+BD514+BF514+BH514),SUM(AY514:BC514))))</f>
        <v/>
      </c>
      <c r="AD514" s="27"/>
      <c r="AE514" s="29" t="str">
        <f aca="false">IF(OR(G514="",G514="なし"),"",IF(AA514="掛金・負担金別",(BA514+BB514+BC514+BE514+BG514+BI514+N(Z514)),IF(AA514="経理区分別",BD514+BE514,"")))</f>
        <v/>
      </c>
      <c r="AF514" s="27"/>
      <c r="AG514" s="29" t="str">
        <f aca="false">IF(OR(G514="",G514="なし"),"",IF(AA514="経理区分別",BF514+BG514,""))</f>
        <v/>
      </c>
      <c r="AH514" s="27"/>
      <c r="AI514" s="29" t="str">
        <f aca="false">IF(OR(G514="",G514="なし"),"",IF(AA514="経理区分別",BH514+BI514+N(Z514),""))</f>
        <v/>
      </c>
      <c r="AJ514" s="27"/>
      <c r="AK514" s="26"/>
      <c r="AL514" s="26"/>
      <c r="AM514" s="30"/>
      <c r="AN514" s="31" t="n">
        <v>16576140</v>
      </c>
      <c r="AO514" s="31" t="n">
        <v>1358700</v>
      </c>
      <c r="AP514" s="31" t="n">
        <v>24202440</v>
      </c>
      <c r="AQ514" s="31" t="n">
        <v>1362225</v>
      </c>
      <c r="AR514" s="31" t="n">
        <v>17152</v>
      </c>
      <c r="AS514" s="31" t="n">
        <v>10382615</v>
      </c>
      <c r="AT514" s="31" t="n">
        <v>10593257</v>
      </c>
      <c r="AU514" s="31" t="n">
        <v>1034614</v>
      </c>
      <c r="AV514" s="31" t="n">
        <v>1038327</v>
      </c>
      <c r="AW514" s="31" t="n">
        <v>1</v>
      </c>
      <c r="AX514" s="31" t="n">
        <v>1</v>
      </c>
      <c r="AY514" s="31" t="n">
        <f aca="false">IF($G514="",AN514,O514)</f>
        <v>16576140</v>
      </c>
      <c r="AZ514" s="31" t="n">
        <f aca="false">IF($G514="",AO514,P514)</f>
        <v>1358700</v>
      </c>
      <c r="BA514" s="31" t="n">
        <f aca="false">IF($G514="",AP514,T514)</f>
        <v>24202440</v>
      </c>
      <c r="BB514" s="31" t="n">
        <f aca="false">IF($G514="",AQ514,U514)</f>
        <v>1362225</v>
      </c>
      <c r="BC514" s="31" t="n">
        <f aca="false">IF($G514="",AR514,V514)</f>
        <v>17152</v>
      </c>
      <c r="BD514" s="31" t="n">
        <f aca="false">IF($G514="",AS514,Q514)</f>
        <v>10382615</v>
      </c>
      <c r="BE514" s="31" t="n">
        <f aca="false">IF($G514="",AT514,W514)</f>
        <v>10593257</v>
      </c>
      <c r="BF514" s="31" t="n">
        <f aca="false">IF($G514="",AU514,R514)</f>
        <v>1034614</v>
      </c>
      <c r="BG514" s="31" t="n">
        <f aca="false">IF($G514="",AV514,X514)</f>
        <v>1038327</v>
      </c>
      <c r="BH514" s="31" t="n">
        <f aca="false">IF($G514="",AW514,S514)</f>
        <v>1</v>
      </c>
      <c r="BI514" s="31" t="n">
        <f aca="false">IF($G514="",AX514,Y514)</f>
        <v>1</v>
      </c>
      <c r="BJ514" s="31" t="n">
        <f aca="false">IF(CK514="N",BR514,ROUNDDOWN((I514-L514)*設定!$B$10/1000,0)+ROUNDDOWN((I514-L514)*設定!$B$11/1000,0))</f>
        <v>0</v>
      </c>
      <c r="BK514" s="31" t="n">
        <f aca="false">ROUNDDOWN((I514-L514)*設定!$C$10/1000,0)+ROUNDDOWN((I514-L514)*設定!$C$11/1000,0)+ROUNDDOWN(I514*設定!$C$12/1000,0)+IF(CL514="市局型",ROUNDDOWN(I514*設定!$C$16/1000,0),0)</f>
        <v>0</v>
      </c>
      <c r="BL514" s="31" t="n">
        <f aca="false">IF(CK514="N",BT514,ROUNDDOWN((J514-M514)*設定!$B$13/1000,0))</f>
        <v>0</v>
      </c>
      <c r="BM514" s="31" t="n">
        <f aca="false">ROUNDDOWN((J514-M514)*設定!$C$13/1000,0)+IF(CL514="市局型",ROUNDDOWN(J514*設定!$C$17/1000,0),0)</f>
        <v>0</v>
      </c>
      <c r="BN514" s="31" t="n">
        <f aca="false">IF(CK514="N",BV514,ROUNDDOWN((K514-N514)*設定!$B$14/1000,0))</f>
        <v>0</v>
      </c>
      <c r="BO514" s="31" t="n">
        <f aca="false">ROUNDDOWN((K514-N514)*設定!$C$14/1000,0)</f>
        <v>0</v>
      </c>
      <c r="BP514" s="31" t="n">
        <f aca="false">IF(CK514="N",BX514,ROUNDDOWN((J514-M514)*設定!$B$15/1000,0))</f>
        <v>0</v>
      </c>
      <c r="BQ514" s="31" t="n">
        <f aca="false">ROUNDDOWN((J514-M514)*設定!$C$15/1000,0)</f>
        <v>0</v>
      </c>
      <c r="BR514" s="31" t="n">
        <f aca="false">O514+P514</f>
        <v>0</v>
      </c>
      <c r="BS514" s="31" t="n">
        <f aca="false">T514+U514+V514</f>
        <v>0</v>
      </c>
      <c r="BT514" s="31" t="n">
        <f aca="false">Q514</f>
        <v>0</v>
      </c>
      <c r="BU514" s="31" t="n">
        <f aca="false">W514</f>
        <v>0</v>
      </c>
      <c r="BV514" s="31" t="n">
        <f aca="false">R514</f>
        <v>0</v>
      </c>
      <c r="BW514" s="31" t="n">
        <f aca="false">X514</f>
        <v>0</v>
      </c>
      <c r="BX514" s="31" t="n">
        <f aca="false">S514</f>
        <v>0</v>
      </c>
      <c r="BY514" s="31" t="n">
        <f aca="false">Y514</f>
        <v>0</v>
      </c>
      <c r="BZ514" s="32" t="n">
        <f aca="false">IF(BJ514=0,IF(BR514=0,0,1),(BR514-BJ514)/BJ514)</f>
        <v>0</v>
      </c>
      <c r="CA514" s="32" t="n">
        <f aca="false">IF(BK514=0,IF(BS514=0,0,1),(BS514-BK514)/BK514)</f>
        <v>0</v>
      </c>
      <c r="CB514" s="32" t="n">
        <f aca="false">IF(BL514=0,IF(BT514=0,0,1),(BT514-BL514)/BL514)</f>
        <v>0</v>
      </c>
      <c r="CC514" s="32" t="n">
        <f aca="false">IF(BM514=0,IF(BU514=0,0,1),(BU514-BM514)/BM514)</f>
        <v>0</v>
      </c>
      <c r="CD514" s="32" t="n">
        <f aca="false">IF(BN514=0,IF(BV514=0,0,1),(BV514-BN514)/BN514)</f>
        <v>0</v>
      </c>
      <c r="CE514" s="32" t="n">
        <f aca="false">IF(BO514=0,IF(BW514=0,0,1),(BW514-BO514)/BO514)</f>
        <v>0</v>
      </c>
      <c r="CF514" s="32" t="n">
        <f aca="false">IF(BP514=0,IF(BX514=0,0,1),(BX514-BP514)/BP514)</f>
        <v>0</v>
      </c>
      <c r="CG514" s="32" t="n">
        <f aca="false">IF(BQ514=0,IF(BY514=0,0,1),(BY514-BQ514)/BQ514)</f>
        <v>0</v>
      </c>
      <c r="CH514" s="32" t="n">
        <f aca="false">MAX(MAX(BZ514:CG514),-MIN(BZ514:CG514))</f>
        <v>-0</v>
      </c>
      <c r="CI514" s="31" t="n">
        <f aca="false">IF(CO514="","",SUMIFS($CJ$7:$CJ$696,$A$7:$A$696,CO514,$B$7:$B$696,B514))</f>
        <v>66373063</v>
      </c>
      <c r="CJ514" s="31" t="n">
        <f aca="false">SUM(AY514:BI514)</f>
        <v>66565472</v>
      </c>
      <c r="CK514" s="31" t="str">
        <f aca="false">IFERROR(INDEX(設定!$F$61:$F$106,MATCH(B514,設定!$B$61:$B$106,0)),"Y")</f>
        <v>Y</v>
      </c>
      <c r="CL514" s="31" t="str">
        <f aca="false">IFERROR(INDEX(設定!$G$61:$G$106,MATCH(B514,設定!$B$61:$B$106,0)),"外郭型")</f>
        <v>市局型</v>
      </c>
      <c r="CM514" s="33" t="str">
        <f aca="false">A514&amp;"|"&amp;B514</f>
        <v>2027-01 月例|下水道局</v>
      </c>
      <c r="CN514" s="34" t="str">
        <f aca="false">IFERROR(INDEX(設定!$D$61:$D$106,MATCH(B514,設定!$B$61:$B$106,0)),"Y")</f>
        <v>Y</v>
      </c>
      <c r="CO514" s="34" t="str">
        <f aca="false">IFERROR(INDEX(設定!$D$20:$D$34,MATCH(A514,設定!$A$20:$A$34,0))&amp;"","")</f>
        <v>2026-12 月例</v>
      </c>
    </row>
    <row r="515" customFormat="false" ht="15" hidden="true" customHeight="false" outlineLevel="0" collapsed="false">
      <c r="A515" s="22" t="s">
        <v>227</v>
      </c>
      <c r="B515" s="23" t="s">
        <v>170</v>
      </c>
      <c r="C515" s="10" t="str">
        <f aca="false">IF(G515="","未受領",IF(G515="なし","報告なし",IF(AL515="○","起票済",IF(OR(AK515="○",F515="一致",F515="入金不要"),"入金確認済","受領済"))))</f>
        <v>未受領</v>
      </c>
      <c r="D515" s="10" t="str">
        <f aca="false">IF(OR(G515="",G515="なし"),"―",IF(CN515="N","対象外",IF(AND(I515="",J515="",K515=""),"標報未入力",IF(CH515&gt;=設定!$B$4,"要確認","問題なし"))))</f>
        <v>―</v>
      </c>
      <c r="E515" s="24" t="str">
        <f aca="false">IF(OR(G515="",G515="なし",CI515="",CJ515=0),"―",IF(CJ515=CI515,"前月同額",IF(CI515=0,"―",IF(ABS(CJ515/CI515-1)&gt;=設定!$B$5,"変動大 "&amp;TEXT(CJ515/CI515-1,"+0%;-0%"),"〇"))))</f>
        <v>―</v>
      </c>
      <c r="F515" s="10" t="str">
        <f aca="false">IF(OR(G515="",G515="なし"),"―",IF(CJ515=0,"入金不要",IF(COUNT(AD515,AF515,AH515,AJ515)=0,IF(AK515="○","手動確認","未入金"),IF(AND(N(AD515)=AC515,IF(AE515="",TRUE(),N(AF515)=AE515),IF(AG515="",TRUE(),N(AH515)=AG515),IF(AI515="",TRUE(),N(AJ515)=AI515)),"一致","不一致"))))</f>
        <v>―</v>
      </c>
      <c r="G515" s="25"/>
      <c r="H515" s="26"/>
      <c r="I515" s="27"/>
      <c r="J515" s="27"/>
      <c r="K515" s="27"/>
      <c r="L515" s="27"/>
      <c r="M515" s="27"/>
      <c r="N515" s="27"/>
      <c r="O515" s="27"/>
      <c r="P515" s="27"/>
      <c r="Q515" s="27"/>
      <c r="R515" s="27"/>
      <c r="S515" s="27"/>
      <c r="T515" s="27"/>
      <c r="U515" s="27"/>
      <c r="V515" s="27"/>
      <c r="W515" s="27"/>
      <c r="X515" s="27"/>
      <c r="Y515" s="27"/>
      <c r="Z515" s="27"/>
      <c r="AA515" s="10" t="str">
        <f aca="false">IFERROR(INDEX(設定!$E$61:$E$106,MATCH(B515,設定!$B$61:$B$106,0)),"合算")</f>
        <v>合算</v>
      </c>
      <c r="AB515" s="28"/>
      <c r="AC515" s="29" t="str">
        <f aca="false">IF(OR(G515="",G515="なし"),"",IF(AA515="合算",CJ515+N(Z515),IF(AA515="掛金・負担金別",(AY515+AZ515+BD515+BF515+BH515),SUM(AY515:BC515))))</f>
        <v/>
      </c>
      <c r="AD515" s="27"/>
      <c r="AE515" s="29" t="str">
        <f aca="false">IF(OR(G515="",G515="なし"),"",IF(AA515="掛金・負担金別",(BA515+BB515+BC515+BE515+BG515+BI515+N(Z515)),IF(AA515="経理区分別",BD515+BE515,"")))</f>
        <v/>
      </c>
      <c r="AF515" s="27"/>
      <c r="AG515" s="29" t="str">
        <f aca="false">IF(OR(G515="",G515="なし"),"",IF(AA515="経理区分別",BF515+BG515,""))</f>
        <v/>
      </c>
      <c r="AH515" s="27"/>
      <c r="AI515" s="29" t="str">
        <f aca="false">IF(OR(G515="",G515="なし"),"",IF(AA515="経理区分別",BH515+BI515+N(Z515),""))</f>
        <v/>
      </c>
      <c r="AJ515" s="27"/>
      <c r="AK515" s="26"/>
      <c r="AL515" s="26"/>
      <c r="AM515" s="30"/>
      <c r="AN515" s="31" t="n">
        <v>53671153</v>
      </c>
      <c r="AO515" s="31" t="n">
        <v>4399273</v>
      </c>
      <c r="AP515" s="31" t="n">
        <v>78181314</v>
      </c>
      <c r="AQ515" s="31" t="n">
        <v>4391639</v>
      </c>
      <c r="AR515" s="31" t="n">
        <v>55437</v>
      </c>
      <c r="AS515" s="31" t="n">
        <v>32967788</v>
      </c>
      <c r="AT515" s="31" t="n">
        <v>33499560</v>
      </c>
      <c r="AU515" s="31" t="n">
        <v>1996991</v>
      </c>
      <c r="AV515" s="31" t="n">
        <v>1989962</v>
      </c>
      <c r="AW515" s="31" t="n">
        <v>1</v>
      </c>
      <c r="AX515" s="31" t="n">
        <v>1</v>
      </c>
      <c r="AY515" s="31" t="n">
        <f aca="false">IF($G515="",AN515,O515)</f>
        <v>53671153</v>
      </c>
      <c r="AZ515" s="31" t="n">
        <f aca="false">IF($G515="",AO515,P515)</f>
        <v>4399273</v>
      </c>
      <c r="BA515" s="31" t="n">
        <f aca="false">IF($G515="",AP515,T515)</f>
        <v>78181314</v>
      </c>
      <c r="BB515" s="31" t="n">
        <f aca="false">IF($G515="",AQ515,U515)</f>
        <v>4391639</v>
      </c>
      <c r="BC515" s="31" t="n">
        <f aca="false">IF($G515="",AR515,V515)</f>
        <v>55437</v>
      </c>
      <c r="BD515" s="31" t="n">
        <f aca="false">IF($G515="",AS515,Q515)</f>
        <v>32967788</v>
      </c>
      <c r="BE515" s="31" t="n">
        <f aca="false">IF($G515="",AT515,W515)</f>
        <v>33499560</v>
      </c>
      <c r="BF515" s="31" t="n">
        <f aca="false">IF($G515="",AU515,R515)</f>
        <v>1996991</v>
      </c>
      <c r="BG515" s="31" t="n">
        <f aca="false">IF($G515="",AV515,X515)</f>
        <v>1989962</v>
      </c>
      <c r="BH515" s="31" t="n">
        <f aca="false">IF($G515="",AW515,S515)</f>
        <v>1</v>
      </c>
      <c r="BI515" s="31" t="n">
        <f aca="false">IF($G515="",AX515,Y515)</f>
        <v>1</v>
      </c>
      <c r="BJ515" s="31" t="n">
        <f aca="false">IF(CK515="N",BR515,ROUNDDOWN((I515-L515)*設定!$B$10/1000,0)+ROUNDDOWN((I515-L515)*設定!$B$11/1000,0))</f>
        <v>0</v>
      </c>
      <c r="BK515" s="31" t="n">
        <f aca="false">ROUNDDOWN((I515-L515)*設定!$C$10/1000,0)+ROUNDDOWN((I515-L515)*設定!$C$11/1000,0)+ROUNDDOWN(I515*設定!$C$12/1000,0)+IF(CL515="市局型",ROUNDDOWN(I515*設定!$C$16/1000,0),0)</f>
        <v>0</v>
      </c>
      <c r="BL515" s="31" t="n">
        <f aca="false">IF(CK515="N",BT515,ROUNDDOWN((J515-M515)*設定!$B$13/1000,0))</f>
        <v>0</v>
      </c>
      <c r="BM515" s="31" t="n">
        <f aca="false">ROUNDDOWN((J515-M515)*設定!$C$13/1000,0)+IF(CL515="市局型",ROUNDDOWN(J515*設定!$C$17/1000,0),0)</f>
        <v>0</v>
      </c>
      <c r="BN515" s="31" t="n">
        <f aca="false">IF(CK515="N",BV515,ROUNDDOWN((K515-N515)*設定!$B$14/1000,0))</f>
        <v>0</v>
      </c>
      <c r="BO515" s="31" t="n">
        <f aca="false">ROUNDDOWN((K515-N515)*設定!$C$14/1000,0)</f>
        <v>0</v>
      </c>
      <c r="BP515" s="31" t="n">
        <f aca="false">IF(CK515="N",BX515,ROUNDDOWN((J515-M515)*設定!$B$15/1000,0))</f>
        <v>0</v>
      </c>
      <c r="BQ515" s="31" t="n">
        <f aca="false">ROUNDDOWN((J515-M515)*設定!$C$15/1000,0)</f>
        <v>0</v>
      </c>
      <c r="BR515" s="31" t="n">
        <f aca="false">O515+P515</f>
        <v>0</v>
      </c>
      <c r="BS515" s="31" t="n">
        <f aca="false">T515+U515+V515</f>
        <v>0</v>
      </c>
      <c r="BT515" s="31" t="n">
        <f aca="false">Q515</f>
        <v>0</v>
      </c>
      <c r="BU515" s="31" t="n">
        <f aca="false">W515</f>
        <v>0</v>
      </c>
      <c r="BV515" s="31" t="n">
        <f aca="false">R515</f>
        <v>0</v>
      </c>
      <c r="BW515" s="31" t="n">
        <f aca="false">X515</f>
        <v>0</v>
      </c>
      <c r="BX515" s="31" t="n">
        <f aca="false">S515</f>
        <v>0</v>
      </c>
      <c r="BY515" s="31" t="n">
        <f aca="false">Y515</f>
        <v>0</v>
      </c>
      <c r="BZ515" s="32" t="n">
        <f aca="false">IF(BJ515=0,IF(BR515=0,0,1),(BR515-BJ515)/BJ515)</f>
        <v>0</v>
      </c>
      <c r="CA515" s="32" t="n">
        <f aca="false">IF(BK515=0,IF(BS515=0,0,1),(BS515-BK515)/BK515)</f>
        <v>0</v>
      </c>
      <c r="CB515" s="32" t="n">
        <f aca="false">IF(BL515=0,IF(BT515=0,0,1),(BT515-BL515)/BL515)</f>
        <v>0</v>
      </c>
      <c r="CC515" s="32" t="n">
        <f aca="false">IF(BM515=0,IF(BU515=0,0,1),(BU515-BM515)/BM515)</f>
        <v>0</v>
      </c>
      <c r="CD515" s="32" t="n">
        <f aca="false">IF(BN515=0,IF(BV515=0,0,1),(BV515-BN515)/BN515)</f>
        <v>0</v>
      </c>
      <c r="CE515" s="32" t="n">
        <f aca="false">IF(BO515=0,IF(BW515=0,0,1),(BW515-BO515)/BO515)</f>
        <v>0</v>
      </c>
      <c r="CF515" s="32" t="n">
        <f aca="false">IF(BP515=0,IF(BX515=0,0,1),(BX515-BP515)/BP515)</f>
        <v>0</v>
      </c>
      <c r="CG515" s="32" t="n">
        <f aca="false">IF(BQ515=0,IF(BY515=0,0,1),(BY515-BQ515)/BQ515)</f>
        <v>0</v>
      </c>
      <c r="CH515" s="32" t="n">
        <f aca="false">MAX(MAX(BZ515:CG515),-MIN(BZ515:CG515))</f>
        <v>-0</v>
      </c>
      <c r="CI515" s="31" t="n">
        <f aca="false">IF(CO515="","",SUMIFS($CJ$7:$CJ$696,$A$7:$A$696,CO515,$B$7:$B$696,B515))</f>
        <v>210836413</v>
      </c>
      <c r="CJ515" s="31" t="n">
        <f aca="false">SUM(AY515:BI515)</f>
        <v>211153119</v>
      </c>
      <c r="CK515" s="31" t="str">
        <f aca="false">IFERROR(INDEX(設定!$F$61:$F$106,MATCH(B515,設定!$B$61:$B$106,0)),"Y")</f>
        <v>Y</v>
      </c>
      <c r="CL515" s="31" t="str">
        <f aca="false">IFERROR(INDEX(設定!$G$61:$G$106,MATCH(B515,設定!$B$61:$B$106,0)),"外郭型")</f>
        <v>市局型</v>
      </c>
      <c r="CM515" s="33" t="str">
        <f aca="false">A515&amp;"|"&amp;B515</f>
        <v>2027-01 月例|消防局</v>
      </c>
      <c r="CN515" s="34" t="str">
        <f aca="false">IFERROR(INDEX(設定!$D$61:$D$106,MATCH(B515,設定!$B$61:$B$106,0)),"Y")</f>
        <v>N</v>
      </c>
      <c r="CO515" s="34" t="str">
        <f aca="false">IFERROR(INDEX(設定!$D$20:$D$34,MATCH(A515,設定!$A$20:$A$34,0))&amp;"","")</f>
        <v>2026-12 月例</v>
      </c>
    </row>
    <row r="516" customFormat="false" ht="15" hidden="true" customHeight="false" outlineLevel="0" collapsed="false">
      <c r="A516" s="22" t="s">
        <v>227</v>
      </c>
      <c r="B516" s="23" t="s">
        <v>171</v>
      </c>
      <c r="C516" s="10" t="str">
        <f aca="false">IF(G516="","未受領",IF(G516="なし","報告なし",IF(AL516="○","起票済",IF(OR(AK516="○",F516="一致",F516="入金不要"),"入金確認済","受領済"))))</f>
        <v>未受領</v>
      </c>
      <c r="D516" s="10" t="str">
        <f aca="false">IF(OR(G516="",G516="なし"),"―",IF(CN516="N","対象外",IF(AND(I516="",J516="",K516=""),"標報未入力",IF(CH516&gt;=設定!$B$4,"要確認","問題なし"))))</f>
        <v>―</v>
      </c>
      <c r="E516" s="24" t="str">
        <f aca="false">IF(OR(G516="",G516="なし",CI516="",CJ516=0),"―",IF(CJ516=CI516,"前月同額",IF(CI516=0,"―",IF(ABS(CJ516/CI516-1)&gt;=設定!$B$5,"変動大 "&amp;TEXT(CJ516/CI516-1,"+0%;-0%"),"〇"))))</f>
        <v>―</v>
      </c>
      <c r="F516" s="10" t="str">
        <f aca="false">IF(OR(G516="",G516="なし"),"―",IF(CJ516=0,"入金不要",IF(COUNT(AD516,AF516,AH516,AJ516)=0,IF(AK516="○","手動確認","未入金"),IF(AND(N(AD516)=AC516,IF(AE516="",TRUE(),N(AF516)=AE516),IF(AG516="",TRUE(),N(AH516)=AG516),IF(AI516="",TRUE(),N(AJ516)=AI516)),"一致","不一致"))))</f>
        <v>―</v>
      </c>
      <c r="G516" s="25"/>
      <c r="H516" s="26"/>
      <c r="I516" s="27"/>
      <c r="J516" s="27"/>
      <c r="K516" s="27"/>
      <c r="L516" s="27"/>
      <c r="M516" s="27"/>
      <c r="N516" s="27"/>
      <c r="O516" s="27"/>
      <c r="P516" s="27"/>
      <c r="Q516" s="27"/>
      <c r="R516" s="27"/>
      <c r="S516" s="27"/>
      <c r="T516" s="27"/>
      <c r="U516" s="27"/>
      <c r="V516" s="27"/>
      <c r="W516" s="27"/>
      <c r="X516" s="27"/>
      <c r="Y516" s="27"/>
      <c r="Z516" s="27"/>
      <c r="AA516" s="10" t="str">
        <f aca="false">IFERROR(INDEX(設定!$E$61:$E$106,MATCH(B516,設定!$B$61:$B$106,0)),"合算")</f>
        <v>合算</v>
      </c>
      <c r="AB516" s="28"/>
      <c r="AC516" s="29" t="str">
        <f aca="false">IF(OR(G516="",G516="なし"),"",IF(AA516="合算",CJ516+N(Z516),IF(AA516="掛金・負担金別",(AY516+AZ516+BD516+BF516+BH516),SUM(AY516:BC516))))</f>
        <v/>
      </c>
      <c r="AD516" s="27"/>
      <c r="AE516" s="29" t="str">
        <f aca="false">IF(OR(G516="",G516="なし"),"",IF(AA516="掛金・負担金別",(BA516+BB516+BC516+BE516+BG516+BI516+N(Z516)),IF(AA516="経理区分別",BD516+BE516,"")))</f>
        <v/>
      </c>
      <c r="AF516" s="27"/>
      <c r="AG516" s="29" t="str">
        <f aca="false">IF(OR(G516="",G516="なし"),"",IF(AA516="経理区分別",BF516+BG516,""))</f>
        <v/>
      </c>
      <c r="AH516" s="27"/>
      <c r="AI516" s="29" t="str">
        <f aca="false">IF(OR(G516="",G516="なし"),"",IF(AA516="経理区分別",BH516+BI516+N(Z516),""))</f>
        <v/>
      </c>
      <c r="AJ516" s="27"/>
      <c r="AK516" s="26"/>
      <c r="AL516" s="26"/>
      <c r="AM516" s="30"/>
      <c r="AN516" s="31" t="n">
        <v>1740330</v>
      </c>
      <c r="AO516" s="31" t="n">
        <v>142650</v>
      </c>
      <c r="AP516" s="31" t="n">
        <v>2539620</v>
      </c>
      <c r="AQ516" s="31" t="n">
        <v>142650</v>
      </c>
      <c r="AR516" s="31" t="n">
        <v>1808</v>
      </c>
      <c r="AS516" s="31" t="n">
        <v>1055074</v>
      </c>
      <c r="AT516" s="31" t="n">
        <v>1073929</v>
      </c>
      <c r="AU516" s="31" t="n">
        <v>99935</v>
      </c>
      <c r="AV516" s="31" t="n">
        <v>99935</v>
      </c>
      <c r="AW516" s="31" t="n">
        <v>1</v>
      </c>
      <c r="AX516" s="31" t="n">
        <v>1</v>
      </c>
      <c r="AY516" s="31" t="n">
        <f aca="false">IF($G516="",AN516,O516)</f>
        <v>1740330</v>
      </c>
      <c r="AZ516" s="31" t="n">
        <f aca="false">IF($G516="",AO516,P516)</f>
        <v>142650</v>
      </c>
      <c r="BA516" s="31" t="n">
        <f aca="false">IF($G516="",AP516,T516)</f>
        <v>2539620</v>
      </c>
      <c r="BB516" s="31" t="n">
        <f aca="false">IF($G516="",AQ516,U516)</f>
        <v>142650</v>
      </c>
      <c r="BC516" s="31" t="n">
        <f aca="false">IF($G516="",AR516,V516)</f>
        <v>1808</v>
      </c>
      <c r="BD516" s="31" t="n">
        <f aca="false">IF($G516="",AS516,Q516)</f>
        <v>1055074</v>
      </c>
      <c r="BE516" s="31" t="n">
        <f aca="false">IF($G516="",AT516,W516)</f>
        <v>1073929</v>
      </c>
      <c r="BF516" s="31" t="n">
        <f aca="false">IF($G516="",AU516,R516)</f>
        <v>99935</v>
      </c>
      <c r="BG516" s="31" t="n">
        <f aca="false">IF($G516="",AV516,X516)</f>
        <v>99935</v>
      </c>
      <c r="BH516" s="31" t="n">
        <f aca="false">IF($G516="",AW516,S516)</f>
        <v>1</v>
      </c>
      <c r="BI516" s="31" t="n">
        <f aca="false">IF($G516="",AX516,Y516)</f>
        <v>1</v>
      </c>
      <c r="BJ516" s="31" t="n">
        <f aca="false">IF(CK516="N",BR516,ROUNDDOWN((I516-L516)*設定!$B$10/1000,0)+ROUNDDOWN((I516-L516)*設定!$B$11/1000,0))</f>
        <v>0</v>
      </c>
      <c r="BK516" s="31" t="n">
        <f aca="false">ROUNDDOWN((I516-L516)*設定!$C$10/1000,0)+ROUNDDOWN((I516-L516)*設定!$C$11/1000,0)+ROUNDDOWN(I516*設定!$C$12/1000,0)+IF(CL516="市局型",ROUNDDOWN(I516*設定!$C$16/1000,0),0)</f>
        <v>0</v>
      </c>
      <c r="BL516" s="31" t="n">
        <f aca="false">IF(CK516="N",BT516,ROUNDDOWN((J516-M516)*設定!$B$13/1000,0))</f>
        <v>0</v>
      </c>
      <c r="BM516" s="31" t="n">
        <f aca="false">ROUNDDOWN((J516-M516)*設定!$C$13/1000,0)+IF(CL516="市局型",ROUNDDOWN(J516*設定!$C$17/1000,0),0)</f>
        <v>0</v>
      </c>
      <c r="BN516" s="31" t="n">
        <f aca="false">IF(CK516="N",BV516,ROUNDDOWN((K516-N516)*設定!$B$14/1000,0))</f>
        <v>0</v>
      </c>
      <c r="BO516" s="31" t="n">
        <f aca="false">ROUNDDOWN((K516-N516)*設定!$C$14/1000,0)</f>
        <v>0</v>
      </c>
      <c r="BP516" s="31" t="n">
        <f aca="false">IF(CK516="N",BX516,ROUNDDOWN((J516-M516)*設定!$B$15/1000,0))</f>
        <v>0</v>
      </c>
      <c r="BQ516" s="31" t="n">
        <f aca="false">ROUNDDOWN((J516-M516)*設定!$C$15/1000,0)</f>
        <v>0</v>
      </c>
      <c r="BR516" s="31" t="n">
        <f aca="false">O516+P516</f>
        <v>0</v>
      </c>
      <c r="BS516" s="31" t="n">
        <f aca="false">T516+U516+V516</f>
        <v>0</v>
      </c>
      <c r="BT516" s="31" t="n">
        <f aca="false">Q516</f>
        <v>0</v>
      </c>
      <c r="BU516" s="31" t="n">
        <f aca="false">W516</f>
        <v>0</v>
      </c>
      <c r="BV516" s="31" t="n">
        <f aca="false">R516</f>
        <v>0</v>
      </c>
      <c r="BW516" s="31" t="n">
        <f aca="false">X516</f>
        <v>0</v>
      </c>
      <c r="BX516" s="31" t="n">
        <f aca="false">S516</f>
        <v>0</v>
      </c>
      <c r="BY516" s="31" t="n">
        <f aca="false">Y516</f>
        <v>0</v>
      </c>
      <c r="BZ516" s="32" t="n">
        <f aca="false">IF(BJ516=0,IF(BR516=0,0,1),(BR516-BJ516)/BJ516)</f>
        <v>0</v>
      </c>
      <c r="CA516" s="32" t="n">
        <f aca="false">IF(BK516=0,IF(BS516=0,0,1),(BS516-BK516)/BK516)</f>
        <v>0</v>
      </c>
      <c r="CB516" s="32" t="n">
        <f aca="false">IF(BL516=0,IF(BT516=0,0,1),(BT516-BL516)/BL516)</f>
        <v>0</v>
      </c>
      <c r="CC516" s="32" t="n">
        <f aca="false">IF(BM516=0,IF(BU516=0,0,1),(BU516-BM516)/BM516)</f>
        <v>0</v>
      </c>
      <c r="CD516" s="32" t="n">
        <f aca="false">IF(BN516=0,IF(BV516=0,0,1),(BV516-BN516)/BN516)</f>
        <v>0</v>
      </c>
      <c r="CE516" s="32" t="n">
        <f aca="false">IF(BO516=0,IF(BW516=0,0,1),(BW516-BO516)/BO516)</f>
        <v>0</v>
      </c>
      <c r="CF516" s="32" t="n">
        <f aca="false">IF(BP516=0,IF(BX516=0,0,1),(BX516-BP516)/BP516)</f>
        <v>0</v>
      </c>
      <c r="CG516" s="32" t="n">
        <f aca="false">IF(BQ516=0,IF(BY516=0,0,1),(BY516-BQ516)/BQ516)</f>
        <v>0</v>
      </c>
      <c r="CH516" s="32" t="n">
        <f aca="false">MAX(MAX(BZ516:CG516),-MIN(BZ516:CG516))</f>
        <v>-0</v>
      </c>
      <c r="CI516" s="31" t="n">
        <f aca="false">IF(CO516="","",SUMIFS($CJ$7:$CJ$696,$A$7:$A$696,CO516,$B$7:$B$696,B516))</f>
        <v>6895933</v>
      </c>
      <c r="CJ516" s="31" t="n">
        <f aca="false">SUM(AY516:BI516)</f>
        <v>6895933</v>
      </c>
      <c r="CK516" s="31" t="str">
        <f aca="false">IFERROR(INDEX(設定!$F$61:$F$106,MATCH(B516,設定!$B$61:$B$106,0)),"Y")</f>
        <v>Y</v>
      </c>
      <c r="CL516" s="31" t="str">
        <f aca="false">IFERROR(INDEX(設定!$G$61:$G$106,MATCH(B516,設定!$B$61:$B$106,0)),"外郭型")</f>
        <v>市局型</v>
      </c>
      <c r="CM516" s="33" t="str">
        <f aca="false">A516&amp;"|"&amp;B516</f>
        <v>2027-01 月例|議会事務局</v>
      </c>
      <c r="CN516" s="34" t="str">
        <f aca="false">IFERROR(INDEX(設定!$D$61:$D$106,MATCH(B516,設定!$B$61:$B$106,0)),"Y")</f>
        <v>Y</v>
      </c>
      <c r="CO516" s="34" t="str">
        <f aca="false">IFERROR(INDEX(設定!$D$20:$D$34,MATCH(A516,設定!$A$20:$A$34,0))&amp;"","")</f>
        <v>2026-12 月例</v>
      </c>
    </row>
    <row r="517" customFormat="false" ht="15" hidden="true" customHeight="false" outlineLevel="0" collapsed="false">
      <c r="A517" s="22" t="s">
        <v>227</v>
      </c>
      <c r="B517" s="23" t="s">
        <v>172</v>
      </c>
      <c r="C517" s="10" t="str">
        <f aca="false">IF(G517="","未受領",IF(G517="なし","報告なし",IF(AL517="○","起票済",IF(OR(AK517="○",F517="一致",F517="入金不要"),"入金確認済","受領済"))))</f>
        <v>未受領</v>
      </c>
      <c r="D517" s="10" t="str">
        <f aca="false">IF(OR(G517="",G517="なし"),"―",IF(CN517="N","対象外",IF(AND(I517="",J517="",K517=""),"標報未入力",IF(CH517&gt;=設定!$B$4,"要確認","問題なし"))))</f>
        <v>―</v>
      </c>
      <c r="E517" s="24" t="str">
        <f aca="false">IF(OR(G517="",G517="なし",CI517="",CJ517=0),"―",IF(CJ517=CI517,"前月同額",IF(CI517=0,"―",IF(ABS(CJ517/CI517-1)&gt;=設定!$B$5,"変動大 "&amp;TEXT(CJ517/CI517-1,"+0%;-0%"),"〇"))))</f>
        <v>―</v>
      </c>
      <c r="F517" s="10" t="str">
        <f aca="false">IF(OR(G517="",G517="なし"),"―",IF(CJ517=0,"入金不要",IF(COUNT(AD517,AF517,AH517,AJ517)=0,IF(AK517="○","手動確認","未入金"),IF(AND(N(AD517)=AC517,IF(AE517="",TRUE(),N(AF517)=AE517),IF(AG517="",TRUE(),N(AH517)=AG517),IF(AI517="",TRUE(),N(AJ517)=AI517)),"一致","不一致"))))</f>
        <v>―</v>
      </c>
      <c r="G517" s="25"/>
      <c r="H517" s="26"/>
      <c r="I517" s="27"/>
      <c r="J517" s="27"/>
      <c r="K517" s="27"/>
      <c r="L517" s="27"/>
      <c r="M517" s="27"/>
      <c r="N517" s="27"/>
      <c r="O517" s="27"/>
      <c r="P517" s="27"/>
      <c r="Q517" s="27"/>
      <c r="R517" s="27"/>
      <c r="S517" s="27"/>
      <c r="T517" s="27"/>
      <c r="U517" s="27"/>
      <c r="V517" s="27"/>
      <c r="W517" s="27"/>
      <c r="X517" s="27"/>
      <c r="Y517" s="27"/>
      <c r="Z517" s="27"/>
      <c r="AA517" s="10" t="str">
        <f aca="false">IFERROR(INDEX(設定!$E$61:$E$106,MATCH(B517,設定!$B$61:$B$106,0)),"合算")</f>
        <v>合算</v>
      </c>
      <c r="AB517" s="28"/>
      <c r="AC517" s="29" t="str">
        <f aca="false">IF(OR(G517="",G517="なし"),"",IF(AA517="合算",CJ517+N(Z517),IF(AA517="掛金・負担金別",(AY517+AZ517+BD517+BF517+BH517),SUM(AY517:BC517))))</f>
        <v/>
      </c>
      <c r="AD517" s="27"/>
      <c r="AE517" s="29" t="str">
        <f aca="false">IF(OR(G517="",G517="なし"),"",IF(AA517="掛金・負担金別",(BA517+BB517+BC517+BE517+BG517+BI517+N(Z517)),IF(AA517="経理区分別",BD517+BE517,"")))</f>
        <v/>
      </c>
      <c r="AF517" s="27"/>
      <c r="AG517" s="29" t="str">
        <f aca="false">IF(OR(G517="",G517="なし"),"",IF(AA517="経理区分別",BF517+BG517,""))</f>
        <v/>
      </c>
      <c r="AH517" s="27"/>
      <c r="AI517" s="29" t="str">
        <f aca="false">IF(OR(G517="",G517="なし"),"",IF(AA517="経理区分別",BH517+BI517+N(Z517),""))</f>
        <v/>
      </c>
      <c r="AJ517" s="27"/>
      <c r="AK517" s="26"/>
      <c r="AL517" s="26"/>
      <c r="AM517" s="30"/>
      <c r="AN517" s="31" t="n">
        <v>24104029</v>
      </c>
      <c r="AO517" s="31" t="n">
        <v>1975741</v>
      </c>
      <c r="AP517" s="31" t="n">
        <v>35172411</v>
      </c>
      <c r="AQ517" s="31" t="n">
        <v>1975741</v>
      </c>
      <c r="AR517" s="31" t="n">
        <v>25038</v>
      </c>
      <c r="AS517" s="31" t="n">
        <v>24967150</v>
      </c>
      <c r="AT517" s="31" t="n">
        <v>25510639</v>
      </c>
      <c r="AU517" s="31" t="n">
        <v>2779167</v>
      </c>
      <c r="AV517" s="31" t="n">
        <v>2736927</v>
      </c>
      <c r="AW517" s="31" t="n">
        <v>1</v>
      </c>
      <c r="AX517" s="31" t="n">
        <v>1</v>
      </c>
      <c r="AY517" s="31" t="n">
        <f aca="false">IF($G517="",AN517,O517)</f>
        <v>24104029</v>
      </c>
      <c r="AZ517" s="31" t="n">
        <f aca="false">IF($G517="",AO517,P517)</f>
        <v>1975741</v>
      </c>
      <c r="BA517" s="31" t="n">
        <f aca="false">IF($G517="",AP517,T517)</f>
        <v>35172411</v>
      </c>
      <c r="BB517" s="31" t="n">
        <f aca="false">IF($G517="",AQ517,U517)</f>
        <v>1975741</v>
      </c>
      <c r="BC517" s="31" t="n">
        <f aca="false">IF($G517="",AR517,V517)</f>
        <v>25038</v>
      </c>
      <c r="BD517" s="31" t="n">
        <f aca="false">IF($G517="",AS517,Q517)</f>
        <v>24967150</v>
      </c>
      <c r="BE517" s="31" t="n">
        <f aca="false">IF($G517="",AT517,W517)</f>
        <v>25510639</v>
      </c>
      <c r="BF517" s="31" t="n">
        <f aca="false">IF($G517="",AU517,R517)</f>
        <v>2779167</v>
      </c>
      <c r="BG517" s="31" t="n">
        <f aca="false">IF($G517="",AV517,X517)</f>
        <v>2736927</v>
      </c>
      <c r="BH517" s="31" t="n">
        <f aca="false">IF($G517="",AW517,S517)</f>
        <v>1</v>
      </c>
      <c r="BI517" s="31" t="n">
        <f aca="false">IF($G517="",AX517,Y517)</f>
        <v>1</v>
      </c>
      <c r="BJ517" s="31" t="n">
        <f aca="false">IF(CK517="N",BR517,ROUNDDOWN((I517-L517)*設定!$B$10/1000,0)+ROUNDDOWN((I517-L517)*設定!$B$11/1000,0))</f>
        <v>0</v>
      </c>
      <c r="BK517" s="31" t="n">
        <f aca="false">ROUNDDOWN((I517-L517)*設定!$C$10/1000,0)+ROUNDDOWN((I517-L517)*設定!$C$11/1000,0)+ROUNDDOWN(I517*設定!$C$12/1000,0)+IF(CL517="市局型",ROUNDDOWN(I517*設定!$C$16/1000,0),0)</f>
        <v>0</v>
      </c>
      <c r="BL517" s="31" t="n">
        <f aca="false">IF(CK517="N",BT517,ROUNDDOWN((J517-M517)*設定!$B$13/1000,0))</f>
        <v>0</v>
      </c>
      <c r="BM517" s="31" t="n">
        <f aca="false">ROUNDDOWN((J517-M517)*設定!$C$13/1000,0)+IF(CL517="市局型",ROUNDDOWN(J517*設定!$C$17/1000,0),0)</f>
        <v>0</v>
      </c>
      <c r="BN517" s="31" t="n">
        <f aca="false">IF(CK517="N",BV517,ROUNDDOWN((K517-N517)*設定!$B$14/1000,0))</f>
        <v>0</v>
      </c>
      <c r="BO517" s="31" t="n">
        <f aca="false">ROUNDDOWN((K517-N517)*設定!$C$14/1000,0)</f>
        <v>0</v>
      </c>
      <c r="BP517" s="31" t="n">
        <f aca="false">IF(CK517="N",BX517,ROUNDDOWN((J517-M517)*設定!$B$15/1000,0))</f>
        <v>0</v>
      </c>
      <c r="BQ517" s="31" t="n">
        <f aca="false">ROUNDDOWN((J517-M517)*設定!$C$15/1000,0)</f>
        <v>0</v>
      </c>
      <c r="BR517" s="31" t="n">
        <f aca="false">O517+P517</f>
        <v>0</v>
      </c>
      <c r="BS517" s="31" t="n">
        <f aca="false">T517+U517+V517</f>
        <v>0</v>
      </c>
      <c r="BT517" s="31" t="n">
        <f aca="false">Q517</f>
        <v>0</v>
      </c>
      <c r="BU517" s="31" t="n">
        <f aca="false">W517</f>
        <v>0</v>
      </c>
      <c r="BV517" s="31" t="n">
        <f aca="false">R517</f>
        <v>0</v>
      </c>
      <c r="BW517" s="31" t="n">
        <f aca="false">X517</f>
        <v>0</v>
      </c>
      <c r="BX517" s="31" t="n">
        <f aca="false">S517</f>
        <v>0</v>
      </c>
      <c r="BY517" s="31" t="n">
        <f aca="false">Y517</f>
        <v>0</v>
      </c>
      <c r="BZ517" s="32" t="n">
        <f aca="false">IF(BJ517=0,IF(BR517=0,0,1),(BR517-BJ517)/BJ517)</f>
        <v>0</v>
      </c>
      <c r="CA517" s="32" t="n">
        <f aca="false">IF(BK517=0,IF(BS517=0,0,1),(BS517-BK517)/BK517)</f>
        <v>0</v>
      </c>
      <c r="CB517" s="32" t="n">
        <f aca="false">IF(BL517=0,IF(BT517=0,0,1),(BT517-BL517)/BL517)</f>
        <v>0</v>
      </c>
      <c r="CC517" s="32" t="n">
        <f aca="false">IF(BM517=0,IF(BU517=0,0,1),(BU517-BM517)/BM517)</f>
        <v>0</v>
      </c>
      <c r="CD517" s="32" t="n">
        <f aca="false">IF(BN517=0,IF(BV517=0,0,1),(BV517-BN517)/BN517)</f>
        <v>0</v>
      </c>
      <c r="CE517" s="32" t="n">
        <f aca="false">IF(BO517=0,IF(BW517=0,0,1),(BW517-BO517)/BO517)</f>
        <v>0</v>
      </c>
      <c r="CF517" s="32" t="n">
        <f aca="false">IF(BP517=0,IF(BX517=0,0,1),(BX517-BP517)/BP517)</f>
        <v>0</v>
      </c>
      <c r="CG517" s="32" t="n">
        <f aca="false">IF(BQ517=0,IF(BY517=0,0,1),(BY517-BQ517)/BQ517)</f>
        <v>0</v>
      </c>
      <c r="CH517" s="32" t="n">
        <f aca="false">MAX(MAX(BZ517:CG517),-MIN(BZ517:CG517))</f>
        <v>-0</v>
      </c>
      <c r="CI517" s="31" t="n">
        <f aca="false">IF(CO517="","",SUMIFS($CJ$7:$CJ$696,$A$7:$A$696,CO517,$B$7:$B$696,B517))</f>
        <v>120631669</v>
      </c>
      <c r="CJ517" s="31" t="n">
        <f aca="false">SUM(AY517:BI517)</f>
        <v>119246845</v>
      </c>
      <c r="CK517" s="31" t="str">
        <f aca="false">IFERROR(INDEX(設定!$F$61:$F$106,MATCH(B517,設定!$B$61:$B$106,0)),"Y")</f>
        <v>Y</v>
      </c>
      <c r="CL517" s="31" t="str">
        <f aca="false">IFERROR(INDEX(設定!$G$61:$G$106,MATCH(B517,設定!$B$61:$B$106,0)),"外郭型")</f>
        <v>市局型</v>
      </c>
      <c r="CM517" s="33" t="str">
        <f aca="false">A517&amp;"|"&amp;B517</f>
        <v>2027-01 月例|教育委員会（総務課）</v>
      </c>
      <c r="CN517" s="34" t="str">
        <f aca="false">IFERROR(INDEX(設定!$D$61:$D$106,MATCH(B517,設定!$B$61:$B$106,0)),"Y")</f>
        <v>N</v>
      </c>
      <c r="CO517" s="34" t="str">
        <f aca="false">IFERROR(INDEX(設定!$D$20:$D$34,MATCH(A517,設定!$A$20:$A$34,0))&amp;"","")</f>
        <v>2026-12 月例</v>
      </c>
    </row>
    <row r="518" customFormat="false" ht="15" hidden="true" customHeight="false" outlineLevel="0" collapsed="false">
      <c r="A518" s="22" t="s">
        <v>227</v>
      </c>
      <c r="B518" s="23" t="s">
        <v>173</v>
      </c>
      <c r="C518" s="10" t="str">
        <f aca="false">IF(G518="","未受領",IF(G518="なし","報告なし",IF(AL518="○","起票済",IF(OR(AK518="○",F518="一致",F518="入金不要"),"入金確認済","受領済"))))</f>
        <v>未受領</v>
      </c>
      <c r="D518" s="10" t="str">
        <f aca="false">IF(OR(G518="",G518="なし"),"―",IF(CN518="N","対象外",IF(AND(I518="",J518="",K518=""),"標報未入力",IF(CH518&gt;=設定!$B$4,"要確認","問題なし"))))</f>
        <v>―</v>
      </c>
      <c r="E518" s="24" t="str">
        <f aca="false">IF(OR(G518="",G518="なし",CI518="",CJ518=0),"―",IF(CJ518=CI518,"前月同額",IF(CI518=0,"―",IF(ABS(CJ518/CI518-1)&gt;=設定!$B$5,"変動大 "&amp;TEXT(CJ518/CI518-1,"+0%;-0%"),"〇"))))</f>
        <v>―</v>
      </c>
      <c r="F518" s="10" t="str">
        <f aca="false">IF(OR(G518="",G518="なし"),"―",IF(CJ518=0,"入金不要",IF(COUNT(AD518,AF518,AH518,AJ518)=0,IF(AK518="○","手動確認","未入金"),IF(AND(N(AD518)=AC518,IF(AE518="",TRUE(),N(AF518)=AE518),IF(AG518="",TRUE(),N(AH518)=AG518),IF(AI518="",TRUE(),N(AJ518)=AI518)),"一致","不一致"))))</f>
        <v>―</v>
      </c>
      <c r="G518" s="25"/>
      <c r="H518" s="26"/>
      <c r="I518" s="27"/>
      <c r="J518" s="27"/>
      <c r="K518" s="27"/>
      <c r="L518" s="27"/>
      <c r="M518" s="27"/>
      <c r="N518" s="27"/>
      <c r="O518" s="27"/>
      <c r="P518" s="27"/>
      <c r="Q518" s="27"/>
      <c r="R518" s="27"/>
      <c r="S518" s="27"/>
      <c r="T518" s="27"/>
      <c r="U518" s="27"/>
      <c r="V518" s="27"/>
      <c r="W518" s="27"/>
      <c r="X518" s="27"/>
      <c r="Y518" s="27"/>
      <c r="Z518" s="27"/>
      <c r="AA518" s="10" t="str">
        <f aca="false">IFERROR(INDEX(設定!$E$61:$E$106,MATCH(B518,設定!$B$61:$B$106,0)),"合算")</f>
        <v>合算</v>
      </c>
      <c r="AB518" s="28"/>
      <c r="AC518" s="29" t="str">
        <f aca="false">IF(OR(G518="",G518="なし"),"",IF(AA518="合算",CJ518+N(Z518),IF(AA518="掛金・負担金別",(AY518+AZ518+BD518+BF518+BH518),SUM(AY518:BC518))))</f>
        <v/>
      </c>
      <c r="AD518" s="27"/>
      <c r="AE518" s="29" t="str">
        <f aca="false">IF(OR(G518="",G518="なし"),"",IF(AA518="掛金・負担金別",(BA518+BB518+BC518+BE518+BG518+BI518+N(Z518)),IF(AA518="経理区分別",BD518+BE518,"")))</f>
        <v/>
      </c>
      <c r="AF518" s="27"/>
      <c r="AG518" s="29" t="str">
        <f aca="false">IF(OR(G518="",G518="なし"),"",IF(AA518="経理区分別",BF518+BG518,""))</f>
        <v/>
      </c>
      <c r="AH518" s="27"/>
      <c r="AI518" s="29" t="str">
        <f aca="false">IF(OR(G518="",G518="なし"),"",IF(AA518="経理区分別",BH518+BI518+N(Z518),""))</f>
        <v/>
      </c>
      <c r="AJ518" s="27"/>
      <c r="AK518" s="26"/>
      <c r="AL518" s="26"/>
      <c r="AM518" s="30"/>
      <c r="AN518" s="31" t="n">
        <v>286395</v>
      </c>
      <c r="AO518" s="31" t="n">
        <v>23475</v>
      </c>
      <c r="AP518" s="31" t="n">
        <v>416290</v>
      </c>
      <c r="AQ518" s="31" t="n">
        <v>23475</v>
      </c>
      <c r="AR518" s="31" t="n">
        <v>293</v>
      </c>
      <c r="AS518" s="31" t="n">
        <v>193631</v>
      </c>
      <c r="AT518" s="31" t="n">
        <v>197049</v>
      </c>
      <c r="AU518" s="31" t="n">
        <v>15326</v>
      </c>
      <c r="AV518" s="31" t="n">
        <v>15326</v>
      </c>
      <c r="AW518" s="31" t="n">
        <v>1</v>
      </c>
      <c r="AX518" s="31" t="n">
        <v>1</v>
      </c>
      <c r="AY518" s="31" t="n">
        <f aca="false">IF($G518="",AN518,O518)</f>
        <v>286395</v>
      </c>
      <c r="AZ518" s="31" t="n">
        <f aca="false">IF($G518="",AO518,P518)</f>
        <v>23475</v>
      </c>
      <c r="BA518" s="31" t="n">
        <f aca="false">IF($G518="",AP518,T518)</f>
        <v>416290</v>
      </c>
      <c r="BB518" s="31" t="n">
        <f aca="false">IF($G518="",AQ518,U518)</f>
        <v>23475</v>
      </c>
      <c r="BC518" s="31" t="n">
        <f aca="false">IF($G518="",AR518,V518)</f>
        <v>293</v>
      </c>
      <c r="BD518" s="31" t="n">
        <f aca="false">IF($G518="",AS518,Q518)</f>
        <v>193631</v>
      </c>
      <c r="BE518" s="31" t="n">
        <f aca="false">IF($G518="",AT518,W518)</f>
        <v>197049</v>
      </c>
      <c r="BF518" s="31" t="n">
        <f aca="false">IF($G518="",AU518,R518)</f>
        <v>15326</v>
      </c>
      <c r="BG518" s="31" t="n">
        <f aca="false">IF($G518="",AV518,X518)</f>
        <v>15326</v>
      </c>
      <c r="BH518" s="31" t="n">
        <f aca="false">IF($G518="",AW518,S518)</f>
        <v>1</v>
      </c>
      <c r="BI518" s="31" t="n">
        <f aca="false">IF($G518="",AX518,Y518)</f>
        <v>1</v>
      </c>
      <c r="BJ518" s="31" t="n">
        <f aca="false">IF(CK518="N",BR518,ROUNDDOWN((I518-L518)*設定!$B$10/1000,0)+ROUNDDOWN((I518-L518)*設定!$B$11/1000,0))</f>
        <v>0</v>
      </c>
      <c r="BK518" s="31" t="n">
        <f aca="false">ROUNDDOWN((I518-L518)*設定!$C$10/1000,0)+ROUNDDOWN((I518-L518)*設定!$C$11/1000,0)+ROUNDDOWN(I518*設定!$C$12/1000,0)+IF(CL518="市局型",ROUNDDOWN(I518*設定!$C$16/1000,0),0)</f>
        <v>0</v>
      </c>
      <c r="BL518" s="31" t="n">
        <f aca="false">IF(CK518="N",BT518,ROUNDDOWN((J518-M518)*設定!$B$13/1000,0))</f>
        <v>0</v>
      </c>
      <c r="BM518" s="31" t="n">
        <f aca="false">ROUNDDOWN((J518-M518)*設定!$C$13/1000,0)+IF(CL518="市局型",ROUNDDOWN(J518*設定!$C$17/1000,0),0)</f>
        <v>0</v>
      </c>
      <c r="BN518" s="31" t="n">
        <f aca="false">IF(CK518="N",BV518,ROUNDDOWN((K518-N518)*設定!$B$14/1000,0))</f>
        <v>0</v>
      </c>
      <c r="BO518" s="31" t="n">
        <f aca="false">ROUNDDOWN((K518-N518)*設定!$C$14/1000,0)</f>
        <v>0</v>
      </c>
      <c r="BP518" s="31" t="n">
        <f aca="false">IF(CK518="N",BX518,ROUNDDOWN((J518-M518)*設定!$B$15/1000,0))</f>
        <v>0</v>
      </c>
      <c r="BQ518" s="31" t="n">
        <f aca="false">ROUNDDOWN((J518-M518)*設定!$C$15/1000,0)</f>
        <v>0</v>
      </c>
      <c r="BR518" s="31" t="n">
        <f aca="false">O518+P518</f>
        <v>0</v>
      </c>
      <c r="BS518" s="31" t="n">
        <f aca="false">T518+U518+V518</f>
        <v>0</v>
      </c>
      <c r="BT518" s="31" t="n">
        <f aca="false">Q518</f>
        <v>0</v>
      </c>
      <c r="BU518" s="31" t="n">
        <f aca="false">W518</f>
        <v>0</v>
      </c>
      <c r="BV518" s="31" t="n">
        <f aca="false">R518</f>
        <v>0</v>
      </c>
      <c r="BW518" s="31" t="n">
        <f aca="false">X518</f>
        <v>0</v>
      </c>
      <c r="BX518" s="31" t="n">
        <f aca="false">S518</f>
        <v>0</v>
      </c>
      <c r="BY518" s="31" t="n">
        <f aca="false">Y518</f>
        <v>0</v>
      </c>
      <c r="BZ518" s="32" t="n">
        <f aca="false">IF(BJ518=0,IF(BR518=0,0,1),(BR518-BJ518)/BJ518)</f>
        <v>0</v>
      </c>
      <c r="CA518" s="32" t="n">
        <f aca="false">IF(BK518=0,IF(BS518=0,0,1),(BS518-BK518)/BK518)</f>
        <v>0</v>
      </c>
      <c r="CB518" s="32" t="n">
        <f aca="false">IF(BL518=0,IF(BT518=0,0,1),(BT518-BL518)/BL518)</f>
        <v>0</v>
      </c>
      <c r="CC518" s="32" t="n">
        <f aca="false">IF(BM518=0,IF(BU518=0,0,1),(BU518-BM518)/BM518)</f>
        <v>0</v>
      </c>
      <c r="CD518" s="32" t="n">
        <f aca="false">IF(BN518=0,IF(BV518=0,0,1),(BV518-BN518)/BN518)</f>
        <v>0</v>
      </c>
      <c r="CE518" s="32" t="n">
        <f aca="false">IF(BO518=0,IF(BW518=0,0,1),(BW518-BO518)/BO518)</f>
        <v>0</v>
      </c>
      <c r="CF518" s="32" t="n">
        <f aca="false">IF(BP518=0,IF(BX518=0,0,1),(BX518-BP518)/BP518)</f>
        <v>0</v>
      </c>
      <c r="CG518" s="32" t="n">
        <f aca="false">IF(BQ518=0,IF(BY518=0,0,1),(BY518-BQ518)/BQ518)</f>
        <v>0</v>
      </c>
      <c r="CH518" s="32" t="n">
        <f aca="false">MAX(MAX(BZ518:CG518),-MIN(BZ518:CG518))</f>
        <v>-0</v>
      </c>
      <c r="CI518" s="31" t="n">
        <f aca="false">IF(CO518="","",SUMIFS($CJ$7:$CJ$696,$A$7:$A$696,CO518,$B$7:$B$696,B518))</f>
        <v>1150228</v>
      </c>
      <c r="CJ518" s="31" t="n">
        <f aca="false">SUM(AY518:BI518)</f>
        <v>1171262</v>
      </c>
      <c r="CK518" s="31" t="str">
        <f aca="false">IFERROR(INDEX(設定!$F$61:$F$106,MATCH(B518,設定!$B$61:$B$106,0)),"Y")</f>
        <v>Y</v>
      </c>
      <c r="CL518" s="31" t="str">
        <f aca="false">IFERROR(INDEX(設定!$G$61:$G$106,MATCH(B518,設定!$B$61:$B$106,0)),"外郭型")</f>
        <v>市局型</v>
      </c>
      <c r="CM518" s="33" t="str">
        <f aca="false">A518&amp;"|"&amp;B518</f>
        <v>2027-01 月例|選挙管理委員会</v>
      </c>
      <c r="CN518" s="34" t="str">
        <f aca="false">IFERROR(INDEX(設定!$D$61:$D$106,MATCH(B518,設定!$B$61:$B$106,0)),"Y")</f>
        <v>Y</v>
      </c>
      <c r="CO518" s="34" t="str">
        <f aca="false">IFERROR(INDEX(設定!$D$20:$D$34,MATCH(A518,設定!$A$20:$A$34,0))&amp;"","")</f>
        <v>2026-12 月例</v>
      </c>
    </row>
    <row r="519" customFormat="false" ht="15" hidden="true" customHeight="false" outlineLevel="0" collapsed="false">
      <c r="A519" s="22" t="s">
        <v>227</v>
      </c>
      <c r="B519" s="23" t="s">
        <v>174</v>
      </c>
      <c r="C519" s="10" t="str">
        <f aca="false">IF(G519="","未受領",IF(G519="なし","報告なし",IF(AL519="○","起票済",IF(OR(AK519="○",F519="一致",F519="入金不要"),"入金確認済","受領済"))))</f>
        <v>未受領</v>
      </c>
      <c r="D519" s="10" t="str">
        <f aca="false">IF(OR(G519="",G519="なし"),"―",IF(CN519="N","対象外",IF(AND(I519="",J519="",K519=""),"標報未入力",IF(CH519&gt;=設定!$B$4,"要確認","問題なし"))))</f>
        <v>―</v>
      </c>
      <c r="E519" s="24" t="str">
        <f aca="false">IF(OR(G519="",G519="なし",CI519="",CJ519=0),"―",IF(CJ519=CI519,"前月同額",IF(CI519=0,"―",IF(ABS(CJ519/CI519-1)&gt;=設定!$B$5,"変動大 "&amp;TEXT(CJ519/CI519-1,"+0%;-0%"),"〇"))))</f>
        <v>―</v>
      </c>
      <c r="F519" s="10" t="str">
        <f aca="false">IF(OR(G519="",G519="なし"),"―",IF(CJ519=0,"入金不要",IF(COUNT(AD519,AF519,AH519,AJ519)=0,IF(AK519="○","手動確認","未入金"),IF(AND(N(AD519)=AC519,IF(AE519="",TRUE(),N(AF519)=AE519),IF(AG519="",TRUE(),N(AH519)=AG519),IF(AI519="",TRUE(),N(AJ519)=AI519)),"一致","不一致"))))</f>
        <v>―</v>
      </c>
      <c r="G519" s="25"/>
      <c r="H519" s="26"/>
      <c r="I519" s="27"/>
      <c r="J519" s="27"/>
      <c r="K519" s="27"/>
      <c r="L519" s="27"/>
      <c r="M519" s="27"/>
      <c r="N519" s="27"/>
      <c r="O519" s="27"/>
      <c r="P519" s="27"/>
      <c r="Q519" s="27"/>
      <c r="R519" s="27"/>
      <c r="S519" s="27"/>
      <c r="T519" s="27"/>
      <c r="U519" s="27"/>
      <c r="V519" s="27"/>
      <c r="W519" s="27"/>
      <c r="X519" s="27"/>
      <c r="Y519" s="27"/>
      <c r="Z519" s="27"/>
      <c r="AA519" s="10" t="str">
        <f aca="false">IFERROR(INDEX(設定!$E$61:$E$106,MATCH(B519,設定!$B$61:$B$106,0)),"合算")</f>
        <v>合算</v>
      </c>
      <c r="AB519" s="28"/>
      <c r="AC519" s="29" t="str">
        <f aca="false">IF(OR(G519="",G519="なし"),"",IF(AA519="合算",CJ519+N(Z519),IF(AA519="掛金・負担金別",(AY519+AZ519+BD519+BF519+BH519),SUM(AY519:BC519))))</f>
        <v/>
      </c>
      <c r="AD519" s="27"/>
      <c r="AE519" s="29" t="str">
        <f aca="false">IF(OR(G519="",G519="なし"),"",IF(AA519="掛金・負担金別",(BA519+BB519+BC519+BE519+BG519+BI519+N(Z519)),IF(AA519="経理区分別",BD519+BE519,"")))</f>
        <v/>
      </c>
      <c r="AF519" s="27"/>
      <c r="AG519" s="29" t="str">
        <f aca="false">IF(OR(G519="",G519="なし"),"",IF(AA519="経理区分別",BF519+BG519,""))</f>
        <v/>
      </c>
      <c r="AH519" s="27"/>
      <c r="AI519" s="29" t="str">
        <f aca="false">IF(OR(G519="",G519="なし"),"",IF(AA519="経理区分別",BH519+BI519+N(Z519),""))</f>
        <v/>
      </c>
      <c r="AJ519" s="27"/>
      <c r="AK519" s="26"/>
      <c r="AL519" s="26"/>
      <c r="AM519" s="30"/>
      <c r="AN519" s="31" t="n">
        <v>561810</v>
      </c>
      <c r="AO519" s="31" t="n">
        <v>46050</v>
      </c>
      <c r="AP519" s="31" t="n">
        <v>816620</v>
      </c>
      <c r="AQ519" s="31" t="n">
        <v>46050</v>
      </c>
      <c r="AR519" s="31" t="n">
        <v>576</v>
      </c>
      <c r="AS519" s="31" t="n">
        <v>343259</v>
      </c>
      <c r="AT519" s="31" t="n">
        <v>349315</v>
      </c>
      <c r="AU519" s="31" t="n">
        <v>32232</v>
      </c>
      <c r="AV519" s="31" t="n">
        <v>32232</v>
      </c>
      <c r="AW519" s="31" t="n">
        <v>1</v>
      </c>
      <c r="AX519" s="31" t="n">
        <v>1</v>
      </c>
      <c r="AY519" s="31" t="n">
        <f aca="false">IF($G519="",AN519,O519)</f>
        <v>561810</v>
      </c>
      <c r="AZ519" s="31" t="n">
        <f aca="false">IF($G519="",AO519,P519)</f>
        <v>46050</v>
      </c>
      <c r="BA519" s="31" t="n">
        <f aca="false">IF($G519="",AP519,T519)</f>
        <v>816620</v>
      </c>
      <c r="BB519" s="31" t="n">
        <f aca="false">IF($G519="",AQ519,U519)</f>
        <v>46050</v>
      </c>
      <c r="BC519" s="31" t="n">
        <f aca="false">IF($G519="",AR519,V519)</f>
        <v>576</v>
      </c>
      <c r="BD519" s="31" t="n">
        <f aca="false">IF($G519="",AS519,Q519)</f>
        <v>343259</v>
      </c>
      <c r="BE519" s="31" t="n">
        <f aca="false">IF($G519="",AT519,W519)</f>
        <v>349315</v>
      </c>
      <c r="BF519" s="31" t="n">
        <f aca="false">IF($G519="",AU519,R519)</f>
        <v>32232</v>
      </c>
      <c r="BG519" s="31" t="n">
        <f aca="false">IF($G519="",AV519,X519)</f>
        <v>32232</v>
      </c>
      <c r="BH519" s="31" t="n">
        <f aca="false">IF($G519="",AW519,S519)</f>
        <v>1</v>
      </c>
      <c r="BI519" s="31" t="n">
        <f aca="false">IF($G519="",AX519,Y519)</f>
        <v>1</v>
      </c>
      <c r="BJ519" s="31" t="n">
        <f aca="false">IF(CK519="N",BR519,ROUNDDOWN((I519-L519)*設定!$B$10/1000,0)+ROUNDDOWN((I519-L519)*設定!$B$11/1000,0))</f>
        <v>0</v>
      </c>
      <c r="BK519" s="31" t="n">
        <f aca="false">ROUNDDOWN((I519-L519)*設定!$C$10/1000,0)+ROUNDDOWN((I519-L519)*設定!$C$11/1000,0)+ROUNDDOWN(I519*設定!$C$12/1000,0)+IF(CL519="市局型",ROUNDDOWN(I519*設定!$C$16/1000,0),0)</f>
        <v>0</v>
      </c>
      <c r="BL519" s="31" t="n">
        <f aca="false">IF(CK519="N",BT519,ROUNDDOWN((J519-M519)*設定!$B$13/1000,0))</f>
        <v>0</v>
      </c>
      <c r="BM519" s="31" t="n">
        <f aca="false">ROUNDDOWN((J519-M519)*設定!$C$13/1000,0)+IF(CL519="市局型",ROUNDDOWN(J519*設定!$C$17/1000,0),0)</f>
        <v>0</v>
      </c>
      <c r="BN519" s="31" t="n">
        <f aca="false">IF(CK519="N",BV519,ROUNDDOWN((K519-N519)*設定!$B$14/1000,0))</f>
        <v>0</v>
      </c>
      <c r="BO519" s="31" t="n">
        <f aca="false">ROUNDDOWN((K519-N519)*設定!$C$14/1000,0)</f>
        <v>0</v>
      </c>
      <c r="BP519" s="31" t="n">
        <f aca="false">IF(CK519="N",BX519,ROUNDDOWN((J519-M519)*設定!$B$15/1000,0))</f>
        <v>0</v>
      </c>
      <c r="BQ519" s="31" t="n">
        <f aca="false">ROUNDDOWN((J519-M519)*設定!$C$15/1000,0)</f>
        <v>0</v>
      </c>
      <c r="BR519" s="31" t="n">
        <f aca="false">O519+P519</f>
        <v>0</v>
      </c>
      <c r="BS519" s="31" t="n">
        <f aca="false">T519+U519+V519</f>
        <v>0</v>
      </c>
      <c r="BT519" s="31" t="n">
        <f aca="false">Q519</f>
        <v>0</v>
      </c>
      <c r="BU519" s="31" t="n">
        <f aca="false">W519</f>
        <v>0</v>
      </c>
      <c r="BV519" s="31" t="n">
        <f aca="false">R519</f>
        <v>0</v>
      </c>
      <c r="BW519" s="31" t="n">
        <f aca="false">X519</f>
        <v>0</v>
      </c>
      <c r="BX519" s="31" t="n">
        <f aca="false">S519</f>
        <v>0</v>
      </c>
      <c r="BY519" s="31" t="n">
        <f aca="false">Y519</f>
        <v>0</v>
      </c>
      <c r="BZ519" s="32" t="n">
        <f aca="false">IF(BJ519=0,IF(BR519=0,0,1),(BR519-BJ519)/BJ519)</f>
        <v>0</v>
      </c>
      <c r="CA519" s="32" t="n">
        <f aca="false">IF(BK519=0,IF(BS519=0,0,1),(BS519-BK519)/BK519)</f>
        <v>0</v>
      </c>
      <c r="CB519" s="32" t="n">
        <f aca="false">IF(BL519=0,IF(BT519=0,0,1),(BT519-BL519)/BL519)</f>
        <v>0</v>
      </c>
      <c r="CC519" s="32" t="n">
        <f aca="false">IF(BM519=0,IF(BU519=0,0,1),(BU519-BM519)/BM519)</f>
        <v>0</v>
      </c>
      <c r="CD519" s="32" t="n">
        <f aca="false">IF(BN519=0,IF(BV519=0,0,1),(BV519-BN519)/BN519)</f>
        <v>0</v>
      </c>
      <c r="CE519" s="32" t="n">
        <f aca="false">IF(BO519=0,IF(BW519=0,0,1),(BW519-BO519)/BO519)</f>
        <v>0</v>
      </c>
      <c r="CF519" s="32" t="n">
        <f aca="false">IF(BP519=0,IF(BX519=0,0,1),(BX519-BP519)/BP519)</f>
        <v>0</v>
      </c>
      <c r="CG519" s="32" t="n">
        <f aca="false">IF(BQ519=0,IF(BY519=0,0,1),(BY519-BQ519)/BQ519)</f>
        <v>0</v>
      </c>
      <c r="CH519" s="32" t="n">
        <f aca="false">MAX(MAX(BZ519:CG519),-MIN(BZ519:CG519))</f>
        <v>-0</v>
      </c>
      <c r="CI519" s="31" t="n">
        <f aca="false">IF(CO519="","",SUMIFS($CJ$7:$CJ$696,$A$7:$A$696,CO519,$B$7:$B$696,B519))</f>
        <v>2228146</v>
      </c>
      <c r="CJ519" s="31" t="n">
        <f aca="false">SUM(AY519:BI519)</f>
        <v>2228146</v>
      </c>
      <c r="CK519" s="31" t="str">
        <f aca="false">IFERROR(INDEX(設定!$F$61:$F$106,MATCH(B519,設定!$B$61:$B$106,0)),"Y")</f>
        <v>Y</v>
      </c>
      <c r="CL519" s="31" t="str">
        <f aca="false">IFERROR(INDEX(設定!$G$61:$G$106,MATCH(B519,設定!$B$61:$B$106,0)),"外郭型")</f>
        <v>市局型</v>
      </c>
      <c r="CM519" s="33" t="str">
        <f aca="false">A519&amp;"|"&amp;B519</f>
        <v>2027-01 月例|人事委員会</v>
      </c>
      <c r="CN519" s="34" t="str">
        <f aca="false">IFERROR(INDEX(設定!$D$61:$D$106,MATCH(B519,設定!$B$61:$B$106,0)),"Y")</f>
        <v>Y</v>
      </c>
      <c r="CO519" s="34" t="str">
        <f aca="false">IFERROR(INDEX(設定!$D$20:$D$34,MATCH(A519,設定!$A$20:$A$34,0))&amp;"","")</f>
        <v>2026-12 月例</v>
      </c>
    </row>
    <row r="520" customFormat="false" ht="15" hidden="true" customHeight="false" outlineLevel="0" collapsed="false">
      <c r="A520" s="22" t="s">
        <v>227</v>
      </c>
      <c r="B520" s="23" t="s">
        <v>175</v>
      </c>
      <c r="C520" s="10" t="str">
        <f aca="false">IF(G520="","未受領",IF(G520="なし","報告なし",IF(AL520="○","起票済",IF(OR(AK520="○",F520="一致",F520="入金不要"),"入金確認済","受領済"))))</f>
        <v>未受領</v>
      </c>
      <c r="D520" s="10" t="str">
        <f aca="false">IF(OR(G520="",G520="なし"),"―",IF(CN520="N","対象外",IF(AND(I520="",J520="",K520=""),"標報未入力",IF(CH520&gt;=設定!$B$4,"要確認","問題なし"))))</f>
        <v>―</v>
      </c>
      <c r="E520" s="24" t="str">
        <f aca="false">IF(OR(G520="",G520="なし",CI520="",CJ520=0),"―",IF(CJ520=CI520,"前月同額",IF(CI520=0,"―",IF(ABS(CJ520/CI520-1)&gt;=設定!$B$5,"変動大 "&amp;TEXT(CJ520/CI520-1,"+0%;-0%"),"〇"))))</f>
        <v>―</v>
      </c>
      <c r="F520" s="10" t="str">
        <f aca="false">IF(OR(G520="",G520="なし"),"―",IF(CJ520=0,"入金不要",IF(COUNT(AD520,AF520,AH520,AJ520)=0,IF(AK520="○","手動確認","未入金"),IF(AND(N(AD520)=AC520,IF(AE520="",TRUE(),N(AF520)=AE520),IF(AG520="",TRUE(),N(AH520)=AG520),IF(AI520="",TRUE(),N(AJ520)=AI520)),"一致","不一致"))))</f>
        <v>―</v>
      </c>
      <c r="G520" s="25"/>
      <c r="H520" s="26"/>
      <c r="I520" s="27"/>
      <c r="J520" s="27"/>
      <c r="K520" s="27"/>
      <c r="L520" s="27"/>
      <c r="M520" s="27"/>
      <c r="N520" s="27"/>
      <c r="O520" s="27"/>
      <c r="P520" s="27"/>
      <c r="Q520" s="27"/>
      <c r="R520" s="27"/>
      <c r="S520" s="27"/>
      <c r="T520" s="27"/>
      <c r="U520" s="27"/>
      <c r="V520" s="27"/>
      <c r="W520" s="27"/>
      <c r="X520" s="27"/>
      <c r="Y520" s="27"/>
      <c r="Z520" s="27"/>
      <c r="AA520" s="10" t="str">
        <f aca="false">IFERROR(INDEX(設定!$E$61:$E$106,MATCH(B520,設定!$B$61:$B$106,0)),"合算")</f>
        <v>合算</v>
      </c>
      <c r="AB520" s="28"/>
      <c r="AC520" s="29" t="str">
        <f aca="false">IF(OR(G520="",G520="なし"),"",IF(AA520="合算",CJ520+N(Z520),IF(AA520="掛金・負担金別",(AY520+AZ520+BD520+BF520+BH520),SUM(AY520:BC520))))</f>
        <v/>
      </c>
      <c r="AD520" s="27"/>
      <c r="AE520" s="29" t="str">
        <f aca="false">IF(OR(G520="",G520="なし"),"",IF(AA520="掛金・負担金別",(BA520+BB520+BC520+BE520+BG520+BI520+N(Z520)),IF(AA520="経理区分別",BD520+BE520,"")))</f>
        <v/>
      </c>
      <c r="AF520" s="27"/>
      <c r="AG520" s="29" t="str">
        <f aca="false">IF(OR(G520="",G520="なし"),"",IF(AA520="経理区分別",BF520+BG520,""))</f>
        <v/>
      </c>
      <c r="AH520" s="27"/>
      <c r="AI520" s="29" t="str">
        <f aca="false">IF(OR(G520="",G520="なし"),"",IF(AA520="経理区分別",BH520+BI520+N(Z520),""))</f>
        <v/>
      </c>
      <c r="AJ520" s="27"/>
      <c r="AK520" s="26"/>
      <c r="AL520" s="26"/>
      <c r="AM520" s="30"/>
      <c r="AN520" s="31" t="n">
        <v>1344135</v>
      </c>
      <c r="AO520" s="31" t="n">
        <v>110175</v>
      </c>
      <c r="AP520" s="31" t="n">
        <v>1965390</v>
      </c>
      <c r="AQ520" s="31" t="n">
        <v>110175</v>
      </c>
      <c r="AR520" s="31" t="n">
        <v>1405</v>
      </c>
      <c r="AS520" s="31" t="n">
        <v>836690</v>
      </c>
      <c r="AT520" s="31" t="n">
        <v>851727</v>
      </c>
      <c r="AU520" s="31" t="n">
        <v>108309</v>
      </c>
      <c r="AV520" s="31" t="n">
        <v>108309</v>
      </c>
      <c r="AW520" s="31" t="n">
        <v>1</v>
      </c>
      <c r="AX520" s="31" t="n">
        <v>1</v>
      </c>
      <c r="AY520" s="31" t="n">
        <f aca="false">IF($G520="",AN520,O520)</f>
        <v>1344135</v>
      </c>
      <c r="AZ520" s="31" t="n">
        <f aca="false">IF($G520="",AO520,P520)</f>
        <v>110175</v>
      </c>
      <c r="BA520" s="31" t="n">
        <f aca="false">IF($G520="",AP520,T520)</f>
        <v>1965390</v>
      </c>
      <c r="BB520" s="31" t="n">
        <f aca="false">IF($G520="",AQ520,U520)</f>
        <v>110175</v>
      </c>
      <c r="BC520" s="31" t="n">
        <f aca="false">IF($G520="",AR520,V520)</f>
        <v>1405</v>
      </c>
      <c r="BD520" s="31" t="n">
        <f aca="false">IF($G520="",AS520,Q520)</f>
        <v>836690</v>
      </c>
      <c r="BE520" s="31" t="n">
        <f aca="false">IF($G520="",AT520,W520)</f>
        <v>851727</v>
      </c>
      <c r="BF520" s="31" t="n">
        <f aca="false">IF($G520="",AU520,R520)</f>
        <v>108309</v>
      </c>
      <c r="BG520" s="31" t="n">
        <f aca="false">IF($G520="",AV520,X520)</f>
        <v>108309</v>
      </c>
      <c r="BH520" s="31" t="n">
        <f aca="false">IF($G520="",AW520,S520)</f>
        <v>1</v>
      </c>
      <c r="BI520" s="31" t="n">
        <f aca="false">IF($G520="",AX520,Y520)</f>
        <v>1</v>
      </c>
      <c r="BJ520" s="31" t="n">
        <f aca="false">IF(CK520="N",BR520,ROUNDDOWN((I520-L520)*設定!$B$10/1000,0)+ROUNDDOWN((I520-L520)*設定!$B$11/1000,0))</f>
        <v>0</v>
      </c>
      <c r="BK520" s="31" t="n">
        <f aca="false">ROUNDDOWN((I520-L520)*設定!$C$10/1000,0)+ROUNDDOWN((I520-L520)*設定!$C$11/1000,0)+ROUNDDOWN(I520*設定!$C$12/1000,0)+IF(CL520="市局型",ROUNDDOWN(I520*設定!$C$16/1000,0),0)</f>
        <v>0</v>
      </c>
      <c r="BL520" s="31" t="n">
        <f aca="false">IF(CK520="N",BT520,ROUNDDOWN((J520-M520)*設定!$B$13/1000,0))</f>
        <v>0</v>
      </c>
      <c r="BM520" s="31" t="n">
        <f aca="false">ROUNDDOWN((J520-M520)*設定!$C$13/1000,0)+IF(CL520="市局型",ROUNDDOWN(J520*設定!$C$17/1000,0),0)</f>
        <v>0</v>
      </c>
      <c r="BN520" s="31" t="n">
        <f aca="false">IF(CK520="N",BV520,ROUNDDOWN((K520-N520)*設定!$B$14/1000,0))</f>
        <v>0</v>
      </c>
      <c r="BO520" s="31" t="n">
        <f aca="false">ROUNDDOWN((K520-N520)*設定!$C$14/1000,0)</f>
        <v>0</v>
      </c>
      <c r="BP520" s="31" t="n">
        <f aca="false">IF(CK520="N",BX520,ROUNDDOWN((J520-M520)*設定!$B$15/1000,0))</f>
        <v>0</v>
      </c>
      <c r="BQ520" s="31" t="n">
        <f aca="false">ROUNDDOWN((J520-M520)*設定!$C$15/1000,0)</f>
        <v>0</v>
      </c>
      <c r="BR520" s="31" t="n">
        <f aca="false">O520+P520</f>
        <v>0</v>
      </c>
      <c r="BS520" s="31" t="n">
        <f aca="false">T520+U520+V520</f>
        <v>0</v>
      </c>
      <c r="BT520" s="31" t="n">
        <f aca="false">Q520</f>
        <v>0</v>
      </c>
      <c r="BU520" s="31" t="n">
        <f aca="false">W520</f>
        <v>0</v>
      </c>
      <c r="BV520" s="31" t="n">
        <f aca="false">R520</f>
        <v>0</v>
      </c>
      <c r="BW520" s="31" t="n">
        <f aca="false">X520</f>
        <v>0</v>
      </c>
      <c r="BX520" s="31" t="n">
        <f aca="false">S520</f>
        <v>0</v>
      </c>
      <c r="BY520" s="31" t="n">
        <f aca="false">Y520</f>
        <v>0</v>
      </c>
      <c r="BZ520" s="32" t="n">
        <f aca="false">IF(BJ520=0,IF(BR520=0,0,1),(BR520-BJ520)/BJ520)</f>
        <v>0</v>
      </c>
      <c r="CA520" s="32" t="n">
        <f aca="false">IF(BK520=0,IF(BS520=0,0,1),(BS520-BK520)/BK520)</f>
        <v>0</v>
      </c>
      <c r="CB520" s="32" t="n">
        <f aca="false">IF(BL520=0,IF(BT520=0,0,1),(BT520-BL520)/BL520)</f>
        <v>0</v>
      </c>
      <c r="CC520" s="32" t="n">
        <f aca="false">IF(BM520=0,IF(BU520=0,0,1),(BU520-BM520)/BM520)</f>
        <v>0</v>
      </c>
      <c r="CD520" s="32" t="n">
        <f aca="false">IF(BN520=0,IF(BV520=0,0,1),(BV520-BN520)/BN520)</f>
        <v>0</v>
      </c>
      <c r="CE520" s="32" t="n">
        <f aca="false">IF(BO520=0,IF(BW520=0,0,1),(BW520-BO520)/BO520)</f>
        <v>0</v>
      </c>
      <c r="CF520" s="32" t="n">
        <f aca="false">IF(BP520=0,IF(BX520=0,0,1),(BX520-BP520)/BP520)</f>
        <v>0</v>
      </c>
      <c r="CG520" s="32" t="n">
        <f aca="false">IF(BQ520=0,IF(BY520=0,0,1),(BY520-BQ520)/BQ520)</f>
        <v>0</v>
      </c>
      <c r="CH520" s="32" t="n">
        <f aca="false">MAX(MAX(BZ520:CG520),-MIN(BZ520:CG520))</f>
        <v>-0</v>
      </c>
      <c r="CI520" s="31" t="n">
        <f aca="false">IF(CO520="","",SUMIFS($CJ$7:$CJ$696,$A$7:$A$696,CO520,$B$7:$B$696,B520))</f>
        <v>5436317</v>
      </c>
      <c r="CJ520" s="31" t="n">
        <f aca="false">SUM(AY520:BI520)</f>
        <v>5436317</v>
      </c>
      <c r="CK520" s="31" t="str">
        <f aca="false">IFERROR(INDEX(設定!$F$61:$F$106,MATCH(B520,設定!$B$61:$B$106,0)),"Y")</f>
        <v>Y</v>
      </c>
      <c r="CL520" s="31" t="str">
        <f aca="false">IFERROR(INDEX(設定!$G$61:$G$106,MATCH(B520,設定!$B$61:$B$106,0)),"外郭型")</f>
        <v>市局型</v>
      </c>
      <c r="CM520" s="33" t="str">
        <f aca="false">A520&amp;"|"&amp;B520</f>
        <v>2027-01 月例|監査事務局</v>
      </c>
      <c r="CN520" s="34" t="str">
        <f aca="false">IFERROR(INDEX(設定!$D$61:$D$106,MATCH(B520,設定!$B$61:$B$106,0)),"Y")</f>
        <v>Y</v>
      </c>
      <c r="CO520" s="34" t="str">
        <f aca="false">IFERROR(INDEX(設定!$D$20:$D$34,MATCH(A520,設定!$A$20:$A$34,0))&amp;"","")</f>
        <v>2026-12 月例</v>
      </c>
    </row>
    <row r="521" customFormat="false" ht="15" hidden="true" customHeight="false" outlineLevel="0" collapsed="false">
      <c r="A521" s="22" t="s">
        <v>227</v>
      </c>
      <c r="B521" s="23" t="s">
        <v>176</v>
      </c>
      <c r="C521" s="10" t="str">
        <f aca="false">IF(G521="","未受領",IF(G521="なし","報告なし",IF(AL521="○","起票済",IF(OR(AK521="○",F521="一致",F521="入金不要"),"入金確認済","受領済"))))</f>
        <v>未受領</v>
      </c>
      <c r="D521" s="10" t="str">
        <f aca="false">IF(OR(G521="",G521="なし"),"―",IF(CN521="N","対象外",IF(AND(I521="",J521="",K521=""),"標報未入力",IF(CH521&gt;=設定!$B$4,"要確認","問題なし"))))</f>
        <v>―</v>
      </c>
      <c r="E521" s="24" t="str">
        <f aca="false">IF(OR(G521="",G521="なし",CI521="",CJ521=0),"―",IF(CJ521=CI521,"前月同額",IF(CI521=0,"―",IF(ABS(CJ521/CI521-1)&gt;=設定!$B$5,"変動大 "&amp;TEXT(CJ521/CI521-1,"+0%;-0%"),"〇"))))</f>
        <v>―</v>
      </c>
      <c r="F521" s="10" t="str">
        <f aca="false">IF(OR(G521="",G521="なし"),"―",IF(CJ521=0,"入金不要",IF(COUNT(AD521,AF521,AH521,AJ521)=0,IF(AK521="○","手動確認","未入金"),IF(AND(N(AD521)=AC521,IF(AE521="",TRUE(),N(AF521)=AE521),IF(AG521="",TRUE(),N(AH521)=AG521),IF(AI521="",TRUE(),N(AJ521)=AI521)),"一致","不一致"))))</f>
        <v>―</v>
      </c>
      <c r="G521" s="25"/>
      <c r="H521" s="26"/>
      <c r="I521" s="27"/>
      <c r="J521" s="27"/>
      <c r="K521" s="27"/>
      <c r="L521" s="27"/>
      <c r="M521" s="27"/>
      <c r="N521" s="27"/>
      <c r="O521" s="27"/>
      <c r="P521" s="27"/>
      <c r="Q521" s="27"/>
      <c r="R521" s="27"/>
      <c r="S521" s="27"/>
      <c r="T521" s="27"/>
      <c r="U521" s="27"/>
      <c r="V521" s="27"/>
      <c r="W521" s="27"/>
      <c r="X521" s="27"/>
      <c r="Y521" s="27"/>
      <c r="Z521" s="27"/>
      <c r="AA521" s="10" t="str">
        <f aca="false">IFERROR(INDEX(設定!$E$61:$E$106,MATCH(B521,設定!$B$61:$B$106,0)),"合算")</f>
        <v>合算</v>
      </c>
      <c r="AB521" s="28"/>
      <c r="AC521" s="29" t="str">
        <f aca="false">IF(OR(G521="",G521="なし"),"",IF(AA521="合算",CJ521+N(Z521),IF(AA521="掛金・負担金別",(AY521+AZ521+BD521+BF521+BH521),SUM(AY521:BC521))))</f>
        <v/>
      </c>
      <c r="AD521" s="27"/>
      <c r="AE521" s="29" t="str">
        <f aca="false">IF(OR(G521="",G521="なし"),"",IF(AA521="掛金・負担金別",(BA521+BB521+BC521+BE521+BG521+BI521+N(Z521)),IF(AA521="経理区分別",BD521+BE521,"")))</f>
        <v/>
      </c>
      <c r="AF521" s="27"/>
      <c r="AG521" s="29" t="str">
        <f aca="false">IF(OR(G521="",G521="なし"),"",IF(AA521="経理区分別",BF521+BG521,""))</f>
        <v/>
      </c>
      <c r="AH521" s="27"/>
      <c r="AI521" s="29" t="str">
        <f aca="false">IF(OR(G521="",G521="なし"),"",IF(AA521="経理区分別",BH521+BI521+N(Z521),""))</f>
        <v/>
      </c>
      <c r="AJ521" s="27"/>
      <c r="AK521" s="26"/>
      <c r="AL521" s="26"/>
      <c r="AM521" s="30"/>
      <c r="AN521" s="31" t="n">
        <v>382470</v>
      </c>
      <c r="AO521" s="31" t="n">
        <v>31350</v>
      </c>
      <c r="AP521" s="31" t="n">
        <v>555940</v>
      </c>
      <c r="AQ521" s="31" t="n">
        <v>31350</v>
      </c>
      <c r="AR521" s="31" t="n">
        <v>392</v>
      </c>
      <c r="AS521" s="31" t="n">
        <v>308930</v>
      </c>
      <c r="AT521" s="31" t="n">
        <v>314382</v>
      </c>
      <c r="AU521" s="31" t="n">
        <v>32672</v>
      </c>
      <c r="AV521" s="31" t="n">
        <v>32674</v>
      </c>
      <c r="AW521" s="31" t="n">
        <v>1</v>
      </c>
      <c r="AX521" s="31" t="n">
        <v>1</v>
      </c>
      <c r="AY521" s="31" t="n">
        <f aca="false">IF($G521="",AN521,O521)</f>
        <v>382470</v>
      </c>
      <c r="AZ521" s="31" t="n">
        <f aca="false">IF($G521="",AO521,P521)</f>
        <v>31350</v>
      </c>
      <c r="BA521" s="31" t="n">
        <f aca="false">IF($G521="",AP521,T521)</f>
        <v>555940</v>
      </c>
      <c r="BB521" s="31" t="n">
        <f aca="false">IF($G521="",AQ521,U521)</f>
        <v>31350</v>
      </c>
      <c r="BC521" s="31" t="n">
        <f aca="false">IF($G521="",AR521,V521)</f>
        <v>392</v>
      </c>
      <c r="BD521" s="31" t="n">
        <f aca="false">IF($G521="",AS521,Q521)</f>
        <v>308930</v>
      </c>
      <c r="BE521" s="31" t="n">
        <f aca="false">IF($G521="",AT521,W521)</f>
        <v>314382</v>
      </c>
      <c r="BF521" s="31" t="n">
        <f aca="false">IF($G521="",AU521,R521)</f>
        <v>32672</v>
      </c>
      <c r="BG521" s="31" t="n">
        <f aca="false">IF($G521="",AV521,X521)</f>
        <v>32674</v>
      </c>
      <c r="BH521" s="31" t="n">
        <f aca="false">IF($G521="",AW521,S521)</f>
        <v>1</v>
      </c>
      <c r="BI521" s="31" t="n">
        <f aca="false">IF($G521="",AX521,Y521)</f>
        <v>1</v>
      </c>
      <c r="BJ521" s="31" t="n">
        <f aca="false">IF(CK521="N",BR521,ROUNDDOWN((I521-L521)*設定!$B$10/1000,0)+ROUNDDOWN((I521-L521)*設定!$B$11/1000,0))</f>
        <v>0</v>
      </c>
      <c r="BK521" s="31" t="n">
        <f aca="false">ROUNDDOWN((I521-L521)*設定!$C$10/1000,0)+ROUNDDOWN((I521-L521)*設定!$C$11/1000,0)+ROUNDDOWN(I521*設定!$C$12/1000,0)+IF(CL521="市局型",ROUNDDOWN(I521*設定!$C$16/1000,0),0)</f>
        <v>0</v>
      </c>
      <c r="BL521" s="31" t="n">
        <f aca="false">IF(CK521="N",BT521,ROUNDDOWN((J521-M521)*設定!$B$13/1000,0))</f>
        <v>0</v>
      </c>
      <c r="BM521" s="31" t="n">
        <f aca="false">ROUNDDOWN((J521-M521)*設定!$C$13/1000,0)+IF(CL521="市局型",ROUNDDOWN(J521*設定!$C$17/1000,0),0)</f>
        <v>0</v>
      </c>
      <c r="BN521" s="31" t="n">
        <f aca="false">IF(CK521="N",BV521,ROUNDDOWN((K521-N521)*設定!$B$14/1000,0))</f>
        <v>0</v>
      </c>
      <c r="BO521" s="31" t="n">
        <f aca="false">ROUNDDOWN((K521-N521)*設定!$C$14/1000,0)</f>
        <v>0</v>
      </c>
      <c r="BP521" s="31" t="n">
        <f aca="false">IF(CK521="N",BX521,ROUNDDOWN((J521-M521)*設定!$B$15/1000,0))</f>
        <v>0</v>
      </c>
      <c r="BQ521" s="31" t="n">
        <f aca="false">ROUNDDOWN((J521-M521)*設定!$C$15/1000,0)</f>
        <v>0</v>
      </c>
      <c r="BR521" s="31" t="n">
        <f aca="false">O521+P521</f>
        <v>0</v>
      </c>
      <c r="BS521" s="31" t="n">
        <f aca="false">T521+U521+V521</f>
        <v>0</v>
      </c>
      <c r="BT521" s="31" t="n">
        <f aca="false">Q521</f>
        <v>0</v>
      </c>
      <c r="BU521" s="31" t="n">
        <f aca="false">W521</f>
        <v>0</v>
      </c>
      <c r="BV521" s="31" t="n">
        <f aca="false">R521</f>
        <v>0</v>
      </c>
      <c r="BW521" s="31" t="n">
        <f aca="false">X521</f>
        <v>0</v>
      </c>
      <c r="BX521" s="31" t="n">
        <f aca="false">S521</f>
        <v>0</v>
      </c>
      <c r="BY521" s="31" t="n">
        <f aca="false">Y521</f>
        <v>0</v>
      </c>
      <c r="BZ521" s="32" t="n">
        <f aca="false">IF(BJ521=0,IF(BR521=0,0,1),(BR521-BJ521)/BJ521)</f>
        <v>0</v>
      </c>
      <c r="CA521" s="32" t="n">
        <f aca="false">IF(BK521=0,IF(BS521=0,0,1),(BS521-BK521)/BK521)</f>
        <v>0</v>
      </c>
      <c r="CB521" s="32" t="n">
        <f aca="false">IF(BL521=0,IF(BT521=0,0,1),(BT521-BL521)/BL521)</f>
        <v>0</v>
      </c>
      <c r="CC521" s="32" t="n">
        <f aca="false">IF(BM521=0,IF(BU521=0,0,1),(BU521-BM521)/BM521)</f>
        <v>0</v>
      </c>
      <c r="CD521" s="32" t="n">
        <f aca="false">IF(BN521=0,IF(BV521=0,0,1),(BV521-BN521)/BN521)</f>
        <v>0</v>
      </c>
      <c r="CE521" s="32" t="n">
        <f aca="false">IF(BO521=0,IF(BW521=0,0,1),(BW521-BO521)/BO521)</f>
        <v>0</v>
      </c>
      <c r="CF521" s="32" t="n">
        <f aca="false">IF(BP521=0,IF(BX521=0,0,1),(BX521-BP521)/BP521)</f>
        <v>0</v>
      </c>
      <c r="CG521" s="32" t="n">
        <f aca="false">IF(BQ521=0,IF(BY521=0,0,1),(BY521-BQ521)/BQ521)</f>
        <v>0</v>
      </c>
      <c r="CH521" s="32" t="n">
        <f aca="false">MAX(MAX(BZ521:CG521),-MIN(BZ521:CG521))</f>
        <v>-0</v>
      </c>
      <c r="CI521" s="31" t="n">
        <f aca="false">IF(CO521="","",SUMIFS($CJ$7:$CJ$696,$A$7:$A$696,CO521,$B$7:$B$696,B521))</f>
        <v>1690162</v>
      </c>
      <c r="CJ521" s="31" t="n">
        <f aca="false">SUM(AY521:BI521)</f>
        <v>1690162</v>
      </c>
      <c r="CK521" s="31" t="str">
        <f aca="false">IFERROR(INDEX(設定!$F$61:$F$106,MATCH(B521,設定!$B$61:$B$106,0)),"Y")</f>
        <v>Y</v>
      </c>
      <c r="CL521" s="31" t="str">
        <f aca="false">IFERROR(INDEX(設定!$G$61:$G$106,MATCH(B521,設定!$B$61:$B$106,0)),"外郭型")</f>
        <v>市局型</v>
      </c>
      <c r="CM521" s="33" t="str">
        <f aca="false">A521&amp;"|"&amp;B521</f>
        <v>2027-01 月例|農業委員会</v>
      </c>
      <c r="CN521" s="34" t="str">
        <f aca="false">IFERROR(INDEX(設定!$D$61:$D$106,MATCH(B521,設定!$B$61:$B$106,0)),"Y")</f>
        <v>Y</v>
      </c>
      <c r="CO521" s="34" t="str">
        <f aca="false">IFERROR(INDEX(設定!$D$20:$D$34,MATCH(A521,設定!$A$20:$A$34,0))&amp;"","")</f>
        <v>2026-12 月例</v>
      </c>
    </row>
    <row r="522" customFormat="false" ht="15" hidden="true" customHeight="false" outlineLevel="0" collapsed="false">
      <c r="A522" s="22" t="s">
        <v>227</v>
      </c>
      <c r="B522" s="23" t="s">
        <v>177</v>
      </c>
      <c r="C522" s="10" t="str">
        <f aca="false">IF(G522="","未受領",IF(G522="なし","報告なし",IF(AL522="○","起票済",IF(OR(AK522="○",F522="一致",F522="入金不要"),"入金確認済","受領済"))))</f>
        <v>未受領</v>
      </c>
      <c r="D522" s="10" t="str">
        <f aca="false">IF(OR(G522="",G522="なし"),"―",IF(CN522="N","対象外",IF(AND(I522="",J522="",K522=""),"標報未入力",IF(CH522&gt;=設定!$B$4,"要確認","問題なし"))))</f>
        <v>―</v>
      </c>
      <c r="E522" s="24" t="str">
        <f aca="false">IF(OR(G522="",G522="なし",CI522="",CJ522=0),"―",IF(CJ522=CI522,"前月同額",IF(CI522=0,"―",IF(ABS(CJ522/CI522-1)&gt;=設定!$B$5,"変動大 "&amp;TEXT(CJ522/CI522-1,"+0%;-0%"),"〇"))))</f>
        <v>―</v>
      </c>
      <c r="F522" s="10" t="str">
        <f aca="false">IF(OR(G522="",G522="なし"),"―",IF(CJ522=0,"入金不要",IF(COUNT(AD522,AF522,AH522,AJ522)=0,IF(AK522="○","手動確認","未入金"),IF(AND(N(AD522)=AC522,IF(AE522="",TRUE(),N(AF522)=AE522),IF(AG522="",TRUE(),N(AH522)=AG522),IF(AI522="",TRUE(),N(AJ522)=AI522)),"一致","不一致"))))</f>
        <v>―</v>
      </c>
      <c r="G522" s="25"/>
      <c r="H522" s="26"/>
      <c r="I522" s="27"/>
      <c r="J522" s="27"/>
      <c r="K522" s="27"/>
      <c r="L522" s="27"/>
      <c r="M522" s="27"/>
      <c r="N522" s="27"/>
      <c r="O522" s="27"/>
      <c r="P522" s="27"/>
      <c r="Q522" s="27"/>
      <c r="R522" s="27"/>
      <c r="S522" s="27"/>
      <c r="T522" s="27"/>
      <c r="U522" s="27"/>
      <c r="V522" s="27"/>
      <c r="W522" s="27"/>
      <c r="X522" s="27"/>
      <c r="Y522" s="27"/>
      <c r="Z522" s="27"/>
      <c r="AA522" s="10" t="str">
        <f aca="false">IFERROR(INDEX(設定!$E$61:$E$106,MATCH(B522,設定!$B$61:$B$106,0)),"合算")</f>
        <v>合算</v>
      </c>
      <c r="AB522" s="28"/>
      <c r="AC522" s="29" t="str">
        <f aca="false">IF(OR(G522="",G522="なし"),"",IF(AA522="合算",CJ522+N(Z522),IF(AA522="掛金・負担金別",(AY522+AZ522+BD522+BF522+BH522),SUM(AY522:BC522))))</f>
        <v/>
      </c>
      <c r="AD522" s="27"/>
      <c r="AE522" s="29" t="str">
        <f aca="false">IF(OR(G522="",G522="なし"),"",IF(AA522="掛金・負担金別",(BA522+BB522+BC522+BE522+BG522+BI522+N(Z522)),IF(AA522="経理区分別",BD522+BE522,"")))</f>
        <v/>
      </c>
      <c r="AF522" s="27"/>
      <c r="AG522" s="29" t="str">
        <f aca="false">IF(OR(G522="",G522="なし"),"",IF(AA522="経理区分別",BF522+BG522,""))</f>
        <v/>
      </c>
      <c r="AH522" s="27"/>
      <c r="AI522" s="29" t="str">
        <f aca="false">IF(OR(G522="",G522="なし"),"",IF(AA522="経理区分別",BH522+BI522+N(Z522),""))</f>
        <v/>
      </c>
      <c r="AJ522" s="27"/>
      <c r="AK522" s="26"/>
      <c r="AL522" s="26"/>
      <c r="AM522" s="30"/>
      <c r="AN522" s="31" t="n">
        <v>22420245</v>
      </c>
      <c r="AO522" s="31" t="n">
        <v>1837725</v>
      </c>
      <c r="AP522" s="31" t="n">
        <v>32739220</v>
      </c>
      <c r="AQ522" s="31" t="n">
        <v>1837725</v>
      </c>
      <c r="AR522" s="31" t="n">
        <v>23343</v>
      </c>
      <c r="AS522" s="31" t="n">
        <v>14212123</v>
      </c>
      <c r="AT522" s="31" t="n">
        <v>14466503</v>
      </c>
      <c r="AU522" s="31" t="n">
        <v>1332967</v>
      </c>
      <c r="AV522" s="31" t="n">
        <v>1332967</v>
      </c>
      <c r="AW522" s="31" t="n">
        <v>1</v>
      </c>
      <c r="AX522" s="31" t="n">
        <v>1</v>
      </c>
      <c r="AY522" s="31" t="n">
        <f aca="false">IF($G522="",AN522,O522)</f>
        <v>22420245</v>
      </c>
      <c r="AZ522" s="31" t="n">
        <f aca="false">IF($G522="",AO522,P522)</f>
        <v>1837725</v>
      </c>
      <c r="BA522" s="31" t="n">
        <f aca="false">IF($G522="",AP522,T522)</f>
        <v>32739220</v>
      </c>
      <c r="BB522" s="31" t="n">
        <f aca="false">IF($G522="",AQ522,U522)</f>
        <v>1837725</v>
      </c>
      <c r="BC522" s="31" t="n">
        <f aca="false">IF($G522="",AR522,V522)</f>
        <v>23343</v>
      </c>
      <c r="BD522" s="31" t="n">
        <f aca="false">IF($G522="",AS522,Q522)</f>
        <v>14212123</v>
      </c>
      <c r="BE522" s="31" t="n">
        <f aca="false">IF($G522="",AT522,W522)</f>
        <v>14466503</v>
      </c>
      <c r="BF522" s="31" t="n">
        <f aca="false">IF($G522="",AU522,R522)</f>
        <v>1332967</v>
      </c>
      <c r="BG522" s="31" t="n">
        <f aca="false">IF($G522="",AV522,X522)</f>
        <v>1332967</v>
      </c>
      <c r="BH522" s="31" t="n">
        <f aca="false">IF($G522="",AW522,S522)</f>
        <v>1</v>
      </c>
      <c r="BI522" s="31" t="n">
        <f aca="false">IF($G522="",AX522,Y522)</f>
        <v>1</v>
      </c>
      <c r="BJ522" s="31" t="n">
        <f aca="false">IF(CK522="N",BR522,ROUNDDOWN((I522-L522)*設定!$B$10/1000,0)+ROUNDDOWN((I522-L522)*設定!$B$11/1000,0))</f>
        <v>0</v>
      </c>
      <c r="BK522" s="31" t="n">
        <f aca="false">ROUNDDOWN((I522-L522)*設定!$C$10/1000,0)+ROUNDDOWN((I522-L522)*設定!$C$11/1000,0)+ROUNDDOWN(I522*設定!$C$12/1000,0)+IF(CL522="市局型",ROUNDDOWN(I522*設定!$C$16/1000,0),0)</f>
        <v>0</v>
      </c>
      <c r="BL522" s="31" t="n">
        <f aca="false">IF(CK522="N",BT522,ROUNDDOWN((J522-M522)*設定!$B$13/1000,0))</f>
        <v>0</v>
      </c>
      <c r="BM522" s="31" t="n">
        <f aca="false">ROUNDDOWN((J522-M522)*設定!$C$13/1000,0)+IF(CL522="市局型",ROUNDDOWN(J522*設定!$C$17/1000,0),0)</f>
        <v>0</v>
      </c>
      <c r="BN522" s="31" t="n">
        <f aca="false">IF(CK522="N",BV522,ROUNDDOWN((K522-N522)*設定!$B$14/1000,0))</f>
        <v>0</v>
      </c>
      <c r="BO522" s="31" t="n">
        <f aca="false">ROUNDDOWN((K522-N522)*設定!$C$14/1000,0)</f>
        <v>0</v>
      </c>
      <c r="BP522" s="31" t="n">
        <f aca="false">IF(CK522="N",BX522,ROUNDDOWN((J522-M522)*設定!$B$15/1000,0))</f>
        <v>0</v>
      </c>
      <c r="BQ522" s="31" t="n">
        <f aca="false">ROUNDDOWN((J522-M522)*設定!$C$15/1000,0)</f>
        <v>0</v>
      </c>
      <c r="BR522" s="31" t="n">
        <f aca="false">O522+P522</f>
        <v>0</v>
      </c>
      <c r="BS522" s="31" t="n">
        <f aca="false">T522+U522+V522</f>
        <v>0</v>
      </c>
      <c r="BT522" s="31" t="n">
        <f aca="false">Q522</f>
        <v>0</v>
      </c>
      <c r="BU522" s="31" t="n">
        <f aca="false">W522</f>
        <v>0</v>
      </c>
      <c r="BV522" s="31" t="n">
        <f aca="false">R522</f>
        <v>0</v>
      </c>
      <c r="BW522" s="31" t="n">
        <f aca="false">X522</f>
        <v>0</v>
      </c>
      <c r="BX522" s="31" t="n">
        <f aca="false">S522</f>
        <v>0</v>
      </c>
      <c r="BY522" s="31" t="n">
        <f aca="false">Y522</f>
        <v>0</v>
      </c>
      <c r="BZ522" s="32" t="n">
        <f aca="false">IF(BJ522=0,IF(BR522=0,0,1),(BR522-BJ522)/BJ522)</f>
        <v>0</v>
      </c>
      <c r="CA522" s="32" t="n">
        <f aca="false">IF(BK522=0,IF(BS522=0,0,1),(BS522-BK522)/BK522)</f>
        <v>0</v>
      </c>
      <c r="CB522" s="32" t="n">
        <f aca="false">IF(BL522=0,IF(BT522=0,0,1),(BT522-BL522)/BL522)</f>
        <v>0</v>
      </c>
      <c r="CC522" s="32" t="n">
        <f aca="false">IF(BM522=0,IF(BU522=0,0,1),(BU522-BM522)/BM522)</f>
        <v>0</v>
      </c>
      <c r="CD522" s="32" t="n">
        <f aca="false">IF(BN522=0,IF(BV522=0,0,1),(BV522-BN522)/BN522)</f>
        <v>0</v>
      </c>
      <c r="CE522" s="32" t="n">
        <f aca="false">IF(BO522=0,IF(BW522=0,0,1),(BW522-BO522)/BO522)</f>
        <v>0</v>
      </c>
      <c r="CF522" s="32" t="n">
        <f aca="false">IF(BP522=0,IF(BX522=0,0,1),(BX522-BP522)/BP522)</f>
        <v>0</v>
      </c>
      <c r="CG522" s="32" t="n">
        <f aca="false">IF(BQ522=0,IF(BY522=0,0,1),(BY522-BQ522)/BQ522)</f>
        <v>0</v>
      </c>
      <c r="CH522" s="32" t="n">
        <f aca="false">MAX(MAX(BZ522:CG522),-MIN(BZ522:CG522))</f>
        <v>-0</v>
      </c>
      <c r="CI522" s="31" t="n">
        <f aca="false">IF(CO522="","",SUMIFS($CJ$7:$CJ$696,$A$7:$A$696,CO522,$B$7:$B$696,B522))</f>
        <v>90214190</v>
      </c>
      <c r="CJ522" s="31" t="n">
        <f aca="false">SUM(AY522:BI522)</f>
        <v>90202820</v>
      </c>
      <c r="CK522" s="31" t="str">
        <f aca="false">IFERROR(INDEX(設定!$F$61:$F$106,MATCH(B522,設定!$B$61:$B$106,0)),"Y")</f>
        <v>Y</v>
      </c>
      <c r="CL522" s="31" t="str">
        <f aca="false">IFERROR(INDEX(設定!$G$61:$G$106,MATCH(B522,設定!$B$61:$B$106,0)),"外郭型")</f>
        <v>市局型</v>
      </c>
      <c r="CM522" s="33" t="str">
        <f aca="false">A522&amp;"|"&amp;B522</f>
        <v>2027-01 月例|水道局</v>
      </c>
      <c r="CN522" s="34" t="str">
        <f aca="false">IFERROR(INDEX(設定!$D$61:$D$106,MATCH(B522,設定!$B$61:$B$106,0)),"Y")</f>
        <v>N</v>
      </c>
      <c r="CO522" s="34" t="str">
        <f aca="false">IFERROR(INDEX(設定!$D$20:$D$34,MATCH(A522,設定!$A$20:$A$34,0))&amp;"","")</f>
        <v>2026-12 月例</v>
      </c>
    </row>
    <row r="523" customFormat="false" ht="15" hidden="true" customHeight="false" outlineLevel="0" collapsed="false">
      <c r="A523" s="22" t="s">
        <v>227</v>
      </c>
      <c r="B523" s="23" t="s">
        <v>178</v>
      </c>
      <c r="C523" s="10" t="str">
        <f aca="false">IF(G523="","未受領",IF(G523="なし","報告なし",IF(AL523="○","起票済",IF(OR(AK523="○",F523="一致",F523="入金不要"),"入金確認済","受領済"))))</f>
        <v>未受領</v>
      </c>
      <c r="D523" s="10" t="str">
        <f aca="false">IF(OR(G523="",G523="なし"),"―",IF(CN523="N","対象外",IF(AND(I523="",J523="",K523=""),"標報未入力",IF(CH523&gt;=設定!$B$4,"要確認","問題なし"))))</f>
        <v>―</v>
      </c>
      <c r="E523" s="24" t="str">
        <f aca="false">IF(OR(G523="",G523="なし",CI523="",CJ523=0),"―",IF(CJ523=CI523,"前月同額",IF(CI523=0,"―",IF(ABS(CJ523/CI523-1)&gt;=設定!$B$5,"変動大 "&amp;TEXT(CJ523/CI523-1,"+0%;-0%"),"〇"))))</f>
        <v>―</v>
      </c>
      <c r="F523" s="10" t="str">
        <f aca="false">IF(OR(G523="",G523="なし"),"―",IF(CJ523=0,"入金不要",IF(COUNT(AD523,AF523,AH523,AJ523)=0,IF(AK523="○","手動確認","未入金"),IF(AND(N(AD523)=AC523,IF(AE523="",TRUE(),N(AF523)=AE523),IF(AG523="",TRUE(),N(AH523)=AG523),IF(AI523="",TRUE(),N(AJ523)=AI523)),"一致","不一致"))))</f>
        <v>―</v>
      </c>
      <c r="G523" s="25"/>
      <c r="H523" s="26"/>
      <c r="I523" s="27"/>
      <c r="J523" s="27"/>
      <c r="K523" s="27"/>
      <c r="L523" s="27"/>
      <c r="M523" s="27"/>
      <c r="N523" s="27"/>
      <c r="O523" s="27"/>
      <c r="P523" s="27"/>
      <c r="Q523" s="27"/>
      <c r="R523" s="27"/>
      <c r="S523" s="27"/>
      <c r="T523" s="27"/>
      <c r="U523" s="27"/>
      <c r="V523" s="27"/>
      <c r="W523" s="27"/>
      <c r="X523" s="27"/>
      <c r="Y523" s="27"/>
      <c r="Z523" s="27"/>
      <c r="AA523" s="10" t="str">
        <f aca="false">IFERROR(INDEX(設定!$E$61:$E$106,MATCH(B523,設定!$B$61:$B$106,0)),"合算")</f>
        <v>合算</v>
      </c>
      <c r="AB523" s="28"/>
      <c r="AC523" s="29" t="str">
        <f aca="false">IF(OR(G523="",G523="なし"),"",IF(AA523="合算",CJ523+N(Z523),IF(AA523="掛金・負担金別",(AY523+AZ523+BD523+BF523+BH523),SUM(AY523:BC523))))</f>
        <v/>
      </c>
      <c r="AD523" s="27"/>
      <c r="AE523" s="29" t="str">
        <f aca="false">IF(OR(G523="",G523="なし"),"",IF(AA523="掛金・負担金別",(BA523+BB523+BC523+BE523+BG523+BI523+N(Z523)),IF(AA523="経理区分別",BD523+BE523,"")))</f>
        <v/>
      </c>
      <c r="AF523" s="27"/>
      <c r="AG523" s="29" t="str">
        <f aca="false">IF(OR(G523="",G523="なし"),"",IF(AA523="経理区分別",BF523+BG523,""))</f>
        <v/>
      </c>
      <c r="AH523" s="27"/>
      <c r="AI523" s="29" t="str">
        <f aca="false">IF(OR(G523="",G523="なし"),"",IF(AA523="経理区分別",BH523+BI523+N(Z523),""))</f>
        <v/>
      </c>
      <c r="AJ523" s="27"/>
      <c r="AK523" s="26"/>
      <c r="AL523" s="26"/>
      <c r="AM523" s="30"/>
      <c r="AN523" s="31" t="n">
        <v>48495</v>
      </c>
      <c r="AO523" s="31" t="n">
        <v>3975</v>
      </c>
      <c r="AP523" s="31" t="n">
        <v>70490</v>
      </c>
      <c r="AQ523" s="31" t="n">
        <v>3975</v>
      </c>
      <c r="AR523" s="31" t="n">
        <v>49</v>
      </c>
      <c r="AS523" s="31" t="n">
        <v>29155</v>
      </c>
      <c r="AT523" s="31" t="n">
        <v>29669</v>
      </c>
      <c r="AU523" s="31" t="n">
        <v>4187</v>
      </c>
      <c r="AV523" s="31" t="n">
        <v>4187</v>
      </c>
      <c r="AW523" s="31" t="n">
        <v>1</v>
      </c>
      <c r="AX523" s="31" t="n">
        <v>1</v>
      </c>
      <c r="AY523" s="31" t="n">
        <f aca="false">IF($G523="",AN523,O523)</f>
        <v>48495</v>
      </c>
      <c r="AZ523" s="31" t="n">
        <f aca="false">IF($G523="",AO523,P523)</f>
        <v>3975</v>
      </c>
      <c r="BA523" s="31" t="n">
        <f aca="false">IF($G523="",AP523,T523)</f>
        <v>70490</v>
      </c>
      <c r="BB523" s="31" t="n">
        <f aca="false">IF($G523="",AQ523,U523)</f>
        <v>3975</v>
      </c>
      <c r="BC523" s="31" t="n">
        <f aca="false">IF($G523="",AR523,V523)</f>
        <v>49</v>
      </c>
      <c r="BD523" s="31" t="n">
        <f aca="false">IF($G523="",AS523,Q523)</f>
        <v>29155</v>
      </c>
      <c r="BE523" s="31" t="n">
        <f aca="false">IF($G523="",AT523,W523)</f>
        <v>29669</v>
      </c>
      <c r="BF523" s="31" t="n">
        <f aca="false">IF($G523="",AU523,R523)</f>
        <v>4187</v>
      </c>
      <c r="BG523" s="31" t="n">
        <f aca="false">IF($G523="",AV523,X523)</f>
        <v>4187</v>
      </c>
      <c r="BH523" s="31" t="n">
        <f aca="false">IF($G523="",AW523,S523)</f>
        <v>1</v>
      </c>
      <c r="BI523" s="31" t="n">
        <f aca="false">IF($G523="",AX523,Y523)</f>
        <v>1</v>
      </c>
      <c r="BJ523" s="31" t="n">
        <f aca="false">IF(CK523="N",BR523,ROUNDDOWN((I523-L523)*設定!$B$10/1000,0)+ROUNDDOWN((I523-L523)*設定!$B$11/1000,0))</f>
        <v>0</v>
      </c>
      <c r="BK523" s="31" t="n">
        <f aca="false">ROUNDDOWN((I523-L523)*設定!$C$10/1000,0)+ROUNDDOWN((I523-L523)*設定!$C$11/1000,0)+ROUNDDOWN(I523*設定!$C$12/1000,0)+IF(CL523="市局型",ROUNDDOWN(I523*設定!$C$16/1000,0),0)</f>
        <v>0</v>
      </c>
      <c r="BL523" s="31" t="n">
        <f aca="false">IF(CK523="N",BT523,ROUNDDOWN((J523-M523)*設定!$B$13/1000,0))</f>
        <v>0</v>
      </c>
      <c r="BM523" s="31" t="n">
        <f aca="false">ROUNDDOWN((J523-M523)*設定!$C$13/1000,0)+IF(CL523="市局型",ROUNDDOWN(J523*設定!$C$17/1000,0),0)</f>
        <v>0</v>
      </c>
      <c r="BN523" s="31" t="n">
        <f aca="false">IF(CK523="N",BV523,ROUNDDOWN((K523-N523)*設定!$B$14/1000,0))</f>
        <v>0</v>
      </c>
      <c r="BO523" s="31" t="n">
        <f aca="false">ROUNDDOWN((K523-N523)*設定!$C$14/1000,0)</f>
        <v>0</v>
      </c>
      <c r="BP523" s="31" t="n">
        <f aca="false">IF(CK523="N",BX523,ROUNDDOWN((J523-M523)*設定!$B$15/1000,0))</f>
        <v>0</v>
      </c>
      <c r="BQ523" s="31" t="n">
        <f aca="false">ROUNDDOWN((J523-M523)*設定!$C$15/1000,0)</f>
        <v>0</v>
      </c>
      <c r="BR523" s="31" t="n">
        <f aca="false">O523+P523</f>
        <v>0</v>
      </c>
      <c r="BS523" s="31" t="n">
        <f aca="false">T523+U523+V523</f>
        <v>0</v>
      </c>
      <c r="BT523" s="31" t="n">
        <f aca="false">Q523</f>
        <v>0</v>
      </c>
      <c r="BU523" s="31" t="n">
        <f aca="false">W523</f>
        <v>0</v>
      </c>
      <c r="BV523" s="31" t="n">
        <f aca="false">R523</f>
        <v>0</v>
      </c>
      <c r="BW523" s="31" t="n">
        <f aca="false">X523</f>
        <v>0</v>
      </c>
      <c r="BX523" s="31" t="n">
        <f aca="false">S523</f>
        <v>0</v>
      </c>
      <c r="BY523" s="31" t="n">
        <f aca="false">Y523</f>
        <v>0</v>
      </c>
      <c r="BZ523" s="32" t="n">
        <f aca="false">IF(BJ523=0,IF(BR523=0,0,1),(BR523-BJ523)/BJ523)</f>
        <v>0</v>
      </c>
      <c r="CA523" s="32" t="n">
        <f aca="false">IF(BK523=0,IF(BS523=0,0,1),(BS523-BK523)/BK523)</f>
        <v>0</v>
      </c>
      <c r="CB523" s="32" t="n">
        <f aca="false">IF(BL523=0,IF(BT523=0,0,1),(BT523-BL523)/BL523)</f>
        <v>0</v>
      </c>
      <c r="CC523" s="32" t="n">
        <f aca="false">IF(BM523=0,IF(BU523=0,0,1),(BU523-BM523)/BM523)</f>
        <v>0</v>
      </c>
      <c r="CD523" s="32" t="n">
        <f aca="false">IF(BN523=0,IF(BV523=0,0,1),(BV523-BN523)/BN523)</f>
        <v>0</v>
      </c>
      <c r="CE523" s="32" t="n">
        <f aca="false">IF(BO523=0,IF(BW523=0,0,1),(BW523-BO523)/BO523)</f>
        <v>0</v>
      </c>
      <c r="CF523" s="32" t="n">
        <f aca="false">IF(BP523=0,IF(BX523=0,0,1),(BX523-BP523)/BP523)</f>
        <v>0</v>
      </c>
      <c r="CG523" s="32" t="n">
        <f aca="false">IF(BQ523=0,IF(BY523=0,0,1),(BY523-BQ523)/BQ523)</f>
        <v>0</v>
      </c>
      <c r="CH523" s="32" t="n">
        <f aca="false">MAX(MAX(BZ523:CG523),-MIN(BZ523:CG523))</f>
        <v>-0</v>
      </c>
      <c r="CI523" s="31" t="n">
        <f aca="false">IF(CO523="","",SUMIFS($CJ$7:$CJ$696,$A$7:$A$696,CO523,$B$7:$B$696,B523))</f>
        <v>194184</v>
      </c>
      <c r="CJ523" s="31" t="n">
        <f aca="false">SUM(AY523:BI523)</f>
        <v>194184</v>
      </c>
      <c r="CK523" s="31" t="str">
        <f aca="false">IFERROR(INDEX(設定!$F$61:$F$106,MATCH(B523,設定!$B$61:$B$106,0)),"Y")</f>
        <v>Y</v>
      </c>
      <c r="CL523" s="31" t="str">
        <f aca="false">IFERROR(INDEX(設定!$G$61:$G$106,MATCH(B523,設定!$B$61:$B$106,0)),"外郭型")</f>
        <v>市局型</v>
      </c>
      <c r="CM523" s="33" t="str">
        <f aca="false">A523&amp;"|"&amp;B523</f>
        <v>2027-01 月例|医療政策課(安芸市民)</v>
      </c>
      <c r="CN523" s="34" t="str">
        <f aca="false">IFERROR(INDEX(設定!$D$61:$D$106,MATCH(B523,設定!$B$61:$B$106,0)),"Y")</f>
        <v>Y</v>
      </c>
      <c r="CO523" s="34" t="str">
        <f aca="false">IFERROR(INDEX(設定!$D$20:$D$34,MATCH(A523,設定!$A$20:$A$34,0))&amp;"","")</f>
        <v>2026-12 月例</v>
      </c>
    </row>
    <row r="524" customFormat="false" ht="15" hidden="true" customHeight="false" outlineLevel="0" collapsed="false">
      <c r="A524" s="22" t="s">
        <v>227</v>
      </c>
      <c r="B524" s="23" t="s">
        <v>179</v>
      </c>
      <c r="C524" s="10" t="str">
        <f aca="false">IF(G524="","未受領",IF(G524="なし","報告なし",IF(AL524="○","起票済",IF(OR(AK524="○",F524="一致",F524="入金不要"),"入金確認済","受領済"))))</f>
        <v>未受領</v>
      </c>
      <c r="D524" s="10" t="str">
        <f aca="false">IF(OR(G524="",G524="なし"),"―",IF(CN524="N","対象外",IF(AND(I524="",J524="",K524=""),"標報未入力",IF(CH524&gt;=設定!$B$4,"要確認","問題なし"))))</f>
        <v>―</v>
      </c>
      <c r="E524" s="24" t="str">
        <f aca="false">IF(OR(G524="",G524="なし",CI524="",CJ524=0),"―",IF(CJ524=CI524,"前月同額",IF(CI524=0,"―",IF(ABS(CJ524/CI524-1)&gt;=設定!$B$5,"変動大 "&amp;TEXT(CJ524/CI524-1,"+0%;-0%"),"〇"))))</f>
        <v>―</v>
      </c>
      <c r="F524" s="10" t="str">
        <f aca="false">IF(OR(G524="",G524="なし"),"―",IF(CJ524=0,"入金不要",IF(COUNT(AD524,AF524,AH524,AJ524)=0,IF(AK524="○","手動確認","未入金"),IF(AND(N(AD524)=AC524,IF(AE524="",TRUE(),N(AF524)=AE524),IF(AG524="",TRUE(),N(AH524)=AG524),IF(AI524="",TRUE(),N(AJ524)=AI524)),"一致","不一致"))))</f>
        <v>―</v>
      </c>
      <c r="G524" s="25"/>
      <c r="H524" s="26"/>
      <c r="I524" s="27"/>
      <c r="J524" s="27"/>
      <c r="K524" s="27"/>
      <c r="L524" s="27"/>
      <c r="M524" s="27"/>
      <c r="N524" s="27"/>
      <c r="O524" s="27"/>
      <c r="P524" s="27"/>
      <c r="Q524" s="27"/>
      <c r="R524" s="27"/>
      <c r="S524" s="27"/>
      <c r="T524" s="27"/>
      <c r="U524" s="27"/>
      <c r="V524" s="27"/>
      <c r="W524" s="27"/>
      <c r="X524" s="27"/>
      <c r="Y524" s="27"/>
      <c r="Z524" s="27"/>
      <c r="AA524" s="10" t="str">
        <f aca="false">IFERROR(INDEX(設定!$E$61:$E$106,MATCH(B524,設定!$B$61:$B$106,0)),"合算")</f>
        <v>合算</v>
      </c>
      <c r="AB524" s="28"/>
      <c r="AC524" s="29" t="str">
        <f aca="false">IF(OR(G524="",G524="なし"),"",IF(AA524="合算",CJ524+N(Z524),IF(AA524="掛金・負担金別",(AY524+AZ524+BD524+BF524+BH524),SUM(AY524:BC524))))</f>
        <v/>
      </c>
      <c r="AD524" s="27"/>
      <c r="AE524" s="29" t="str">
        <f aca="false">IF(OR(G524="",G524="なし"),"",IF(AA524="掛金・負担金別",(BA524+BB524+BC524+BE524+BG524+BI524+N(Z524)),IF(AA524="経理区分別",BD524+BE524,"")))</f>
        <v/>
      </c>
      <c r="AF524" s="27"/>
      <c r="AG524" s="29" t="str">
        <f aca="false">IF(OR(G524="",G524="なし"),"",IF(AA524="経理区分別",BF524+BG524,""))</f>
        <v/>
      </c>
      <c r="AH524" s="27"/>
      <c r="AI524" s="29" t="str">
        <f aca="false">IF(OR(G524="",G524="なし"),"",IF(AA524="経理区分別",BH524+BI524+N(Z524),""))</f>
        <v/>
      </c>
      <c r="AJ524" s="27"/>
      <c r="AK524" s="26"/>
      <c r="AL524" s="26"/>
      <c r="AM524" s="30"/>
      <c r="AN524" s="31" t="n">
        <v>0</v>
      </c>
      <c r="AO524" s="31" t="n">
        <v>0</v>
      </c>
      <c r="AP524" s="31"/>
      <c r="AQ524" s="31"/>
      <c r="AR524" s="31" t="n">
        <v>0</v>
      </c>
      <c r="AS524" s="31" t="n">
        <v>255394</v>
      </c>
      <c r="AT524" s="31" t="n">
        <v>252175</v>
      </c>
      <c r="AU524" s="31" t="n">
        <v>8626</v>
      </c>
      <c r="AV524" s="31" t="n">
        <v>8626</v>
      </c>
      <c r="AW524" s="31" t="n">
        <v>1</v>
      </c>
      <c r="AX524" s="31" t="n">
        <v>1</v>
      </c>
      <c r="AY524" s="31" t="n">
        <f aca="false">IF($G524="",AN524,O524)</f>
        <v>0</v>
      </c>
      <c r="AZ524" s="31" t="n">
        <f aca="false">IF($G524="",AO524,P524)</f>
        <v>0</v>
      </c>
      <c r="BA524" s="31" t="n">
        <f aca="false">IF($G524="",AP524,T524)</f>
        <v>0</v>
      </c>
      <c r="BB524" s="31" t="n">
        <f aca="false">IF($G524="",AQ524,U524)</f>
        <v>0</v>
      </c>
      <c r="BC524" s="31" t="n">
        <f aca="false">IF($G524="",AR524,V524)</f>
        <v>0</v>
      </c>
      <c r="BD524" s="31" t="n">
        <f aca="false">IF($G524="",AS524,Q524)</f>
        <v>255394</v>
      </c>
      <c r="BE524" s="31" t="n">
        <f aca="false">IF($G524="",AT524,W524)</f>
        <v>252175</v>
      </c>
      <c r="BF524" s="31" t="n">
        <f aca="false">IF($G524="",AU524,R524)</f>
        <v>8626</v>
      </c>
      <c r="BG524" s="31" t="n">
        <f aca="false">IF($G524="",AV524,X524)</f>
        <v>8626</v>
      </c>
      <c r="BH524" s="31" t="n">
        <f aca="false">IF($G524="",AW524,S524)</f>
        <v>1</v>
      </c>
      <c r="BI524" s="31" t="n">
        <f aca="false">IF($G524="",AX524,Y524)</f>
        <v>1</v>
      </c>
      <c r="BJ524" s="31" t="n">
        <f aca="false">IF(CK524="N",BR524,ROUNDDOWN((I524-L524)*設定!$B$10/1000,0)+ROUNDDOWN((I524-L524)*設定!$B$11/1000,0))</f>
        <v>0</v>
      </c>
      <c r="BK524" s="31" t="n">
        <f aca="false">ROUNDDOWN((I524-L524)*設定!$C$10/1000,0)+ROUNDDOWN((I524-L524)*設定!$C$11/1000,0)+ROUNDDOWN(I524*設定!$C$12/1000,0)+IF(CL524="市局型",ROUNDDOWN(I524*設定!$C$16/1000,0),0)</f>
        <v>0</v>
      </c>
      <c r="BL524" s="31" t="n">
        <f aca="false">IF(CK524="N",BT524,ROUNDDOWN((J524-M524)*設定!$B$13/1000,0))</f>
        <v>0</v>
      </c>
      <c r="BM524" s="31" t="n">
        <f aca="false">ROUNDDOWN((J524-M524)*設定!$C$13/1000,0)+IF(CL524="市局型",ROUNDDOWN(J524*設定!$C$17/1000,0),0)</f>
        <v>0</v>
      </c>
      <c r="BN524" s="31" t="n">
        <f aca="false">IF(CK524="N",BV524,ROUNDDOWN((K524-N524)*設定!$B$14/1000,0))</f>
        <v>0</v>
      </c>
      <c r="BO524" s="31" t="n">
        <f aca="false">ROUNDDOWN((K524-N524)*設定!$C$14/1000,0)</f>
        <v>0</v>
      </c>
      <c r="BP524" s="31" t="n">
        <f aca="false">IF(CK524="N",BX524,ROUNDDOWN((J524-M524)*設定!$B$15/1000,0))</f>
        <v>0</v>
      </c>
      <c r="BQ524" s="31" t="n">
        <f aca="false">ROUNDDOWN((J524-M524)*設定!$C$15/1000,0)</f>
        <v>0</v>
      </c>
      <c r="BR524" s="31" t="n">
        <f aca="false">O524+P524</f>
        <v>0</v>
      </c>
      <c r="BS524" s="31" t="n">
        <f aca="false">T524+U524+V524</f>
        <v>0</v>
      </c>
      <c r="BT524" s="31" t="n">
        <f aca="false">Q524</f>
        <v>0</v>
      </c>
      <c r="BU524" s="31" t="n">
        <f aca="false">W524</f>
        <v>0</v>
      </c>
      <c r="BV524" s="31" t="n">
        <f aca="false">R524</f>
        <v>0</v>
      </c>
      <c r="BW524" s="31" t="n">
        <f aca="false">X524</f>
        <v>0</v>
      </c>
      <c r="BX524" s="31" t="n">
        <f aca="false">S524</f>
        <v>0</v>
      </c>
      <c r="BY524" s="31" t="n">
        <f aca="false">Y524</f>
        <v>0</v>
      </c>
      <c r="BZ524" s="32" t="n">
        <f aca="false">IF(BJ524=0,IF(BR524=0,0,1),(BR524-BJ524)/BJ524)</f>
        <v>0</v>
      </c>
      <c r="CA524" s="32" t="n">
        <f aca="false">IF(BK524=0,IF(BS524=0,0,1),(BS524-BK524)/BK524)</f>
        <v>0</v>
      </c>
      <c r="CB524" s="32" t="n">
        <f aca="false">IF(BL524=0,IF(BT524=0,0,1),(BT524-BL524)/BL524)</f>
        <v>0</v>
      </c>
      <c r="CC524" s="32" t="n">
        <f aca="false">IF(BM524=0,IF(BU524=0,0,1),(BU524-BM524)/BM524)</f>
        <v>0</v>
      </c>
      <c r="CD524" s="32" t="n">
        <f aca="false">IF(BN524=0,IF(BV524=0,0,1),(BV524-BN524)/BN524)</f>
        <v>0</v>
      </c>
      <c r="CE524" s="32" t="n">
        <f aca="false">IF(BO524=0,IF(BW524=0,0,1),(BW524-BO524)/BO524)</f>
        <v>0</v>
      </c>
      <c r="CF524" s="32" t="n">
        <f aca="false">IF(BP524=0,IF(BX524=0,0,1),(BX524-BP524)/BP524)</f>
        <v>0</v>
      </c>
      <c r="CG524" s="32" t="n">
        <f aca="false">IF(BQ524=0,IF(BY524=0,0,1),(BY524-BQ524)/BQ524)</f>
        <v>0</v>
      </c>
      <c r="CH524" s="32" t="n">
        <f aca="false">MAX(MAX(BZ524:CG524),-MIN(BZ524:CG524))</f>
        <v>-0</v>
      </c>
      <c r="CI524" s="31" t="n">
        <f aca="false">IF(CO524="","",SUMIFS($CJ$7:$CJ$696,$A$7:$A$696,CO524,$B$7:$B$696,B524))</f>
        <v>552297</v>
      </c>
      <c r="CJ524" s="31" t="n">
        <f aca="false">SUM(AY524:BI524)</f>
        <v>524823</v>
      </c>
      <c r="CK524" s="31" t="str">
        <f aca="false">IFERROR(INDEX(設定!$F$61:$F$106,MATCH(B524,設定!$B$61:$B$106,0)),"Y")</f>
        <v>Y</v>
      </c>
      <c r="CL524" s="31" t="str">
        <f aca="false">IFERROR(INDEX(設定!$G$61:$G$106,MATCH(B524,設定!$B$61:$B$106,0)),"外郭型")</f>
        <v>市局型</v>
      </c>
      <c r="CM524" s="33" t="str">
        <f aca="false">A524&amp;"|"&amp;B524</f>
        <v>2027-01 月例|教育委員会（教育給与課）</v>
      </c>
      <c r="CN524" s="34" t="str">
        <f aca="false">IFERROR(INDEX(設定!$D$61:$D$106,MATCH(B524,設定!$B$61:$B$106,0)),"Y")</f>
        <v>Y</v>
      </c>
      <c r="CO524" s="34" t="str">
        <f aca="false">IFERROR(INDEX(設定!$D$20:$D$34,MATCH(A524,設定!$A$20:$A$34,0))&amp;"","")</f>
        <v>2026-12 月例</v>
      </c>
    </row>
    <row r="525" customFormat="false" ht="15" hidden="true" customHeight="false" outlineLevel="0" collapsed="false">
      <c r="A525" s="22" t="s">
        <v>227</v>
      </c>
      <c r="B525" s="23" t="s">
        <v>180</v>
      </c>
      <c r="C525" s="10" t="str">
        <f aca="false">IF(G525="","未受領",IF(G525="なし","報告なし",IF(AL525="○","起票済",IF(OR(AK525="○",F525="一致",F525="入金不要"),"入金確認済","受領済"))))</f>
        <v>報告なし</v>
      </c>
      <c r="D525" s="10" t="str">
        <f aca="false">IF(OR(G525="",G525="なし"),"―",IF(CN525="N","対象外",IF(AND(I525="",J525="",K525=""),"標報未入力",IF(CH525&gt;=設定!$B$4,"要確認","問題なし"))))</f>
        <v>―</v>
      </c>
      <c r="E525" s="24" t="str">
        <f aca="false">IF(OR(G525="",G525="なし",CI525="",CJ525=0),"―",IF(CJ525=CI525,"前月同額",IF(CI525=0,"―",IF(ABS(CJ525/CI525-1)&gt;=設定!$B$5,"変動大 "&amp;TEXT(CJ525/CI525-1,"+0%;-0%"),"〇"))))</f>
        <v>―</v>
      </c>
      <c r="F525" s="10" t="str">
        <f aca="false">IF(OR(G525="",G525="なし"),"―",IF(CJ525=0,"入金不要",IF(COUNT(AD525,AF525,AH525,AJ525)=0,IF(AK525="○","手動確認","未入金"),IF(AND(N(AD525)=AC525,IF(AE525="",TRUE(),N(AF525)=AE525),IF(AG525="",TRUE(),N(AH525)=AG525),IF(AI525="",TRUE(),N(AJ525)=AI525)),"一致","不一致"))))</f>
        <v>―</v>
      </c>
      <c r="G525" s="25" t="s">
        <v>181</v>
      </c>
      <c r="H525" s="26"/>
      <c r="I525" s="27"/>
      <c r="J525" s="27"/>
      <c r="K525" s="27"/>
      <c r="L525" s="27"/>
      <c r="M525" s="27"/>
      <c r="N525" s="27"/>
      <c r="O525" s="27"/>
      <c r="P525" s="27"/>
      <c r="Q525" s="27"/>
      <c r="R525" s="27"/>
      <c r="S525" s="27"/>
      <c r="T525" s="27"/>
      <c r="U525" s="27"/>
      <c r="V525" s="27"/>
      <c r="W525" s="27"/>
      <c r="X525" s="27"/>
      <c r="Y525" s="27"/>
      <c r="Z525" s="27"/>
      <c r="AA525" s="10" t="str">
        <f aca="false">IFERROR(INDEX(設定!$E$61:$E$106,MATCH(B525,設定!$B$61:$B$106,0)),"合算")</f>
        <v>合算</v>
      </c>
      <c r="AB525" s="28"/>
      <c r="AC525" s="29" t="str">
        <f aca="false">IF(OR(G525="",G525="なし"),"",IF(AA525="合算",CJ525+N(Z525),IF(AA525="掛金・負担金別",(AY525+AZ525+BD525+BF525+BH525),SUM(AY525:BC525))))</f>
        <v/>
      </c>
      <c r="AD525" s="27"/>
      <c r="AE525" s="29" t="str">
        <f aca="false">IF(OR(G525="",G525="なし"),"",IF(AA525="掛金・負担金別",(BA525+BB525+BC525+BE525+BG525+BI525+N(Z525)),IF(AA525="経理区分別",BD525+BE525,"")))</f>
        <v/>
      </c>
      <c r="AF525" s="27"/>
      <c r="AG525" s="29" t="str">
        <f aca="false">IF(OR(G525="",G525="なし"),"",IF(AA525="経理区分別",BF525+BG525,""))</f>
        <v/>
      </c>
      <c r="AH525" s="27"/>
      <c r="AI525" s="29" t="str">
        <f aca="false">IF(OR(G525="",G525="なし"),"",IF(AA525="経理区分別",BH525+BI525+N(Z525),""))</f>
        <v/>
      </c>
      <c r="AJ525" s="27"/>
      <c r="AK525" s="26"/>
      <c r="AL525" s="26"/>
      <c r="AM525" s="30"/>
      <c r="AN525" s="31"/>
      <c r="AO525" s="31"/>
      <c r="AP525" s="31"/>
      <c r="AQ525" s="31"/>
      <c r="AR525" s="31"/>
      <c r="AS525" s="31"/>
      <c r="AT525" s="31"/>
      <c r="AU525" s="31"/>
      <c r="AV525" s="31"/>
      <c r="AW525" s="31"/>
      <c r="AX525" s="31"/>
      <c r="AY525" s="31" t="n">
        <f aca="false">IF($G525="",AN525,O525)</f>
        <v>0</v>
      </c>
      <c r="AZ525" s="31" t="n">
        <f aca="false">IF($G525="",AO525,P525)</f>
        <v>0</v>
      </c>
      <c r="BA525" s="31" t="n">
        <f aca="false">IF($G525="",AP525,T525)</f>
        <v>0</v>
      </c>
      <c r="BB525" s="31" t="n">
        <f aca="false">IF($G525="",AQ525,U525)</f>
        <v>0</v>
      </c>
      <c r="BC525" s="31" t="n">
        <f aca="false">IF($G525="",AR525,V525)</f>
        <v>0</v>
      </c>
      <c r="BD525" s="31" t="n">
        <f aca="false">IF($G525="",AS525,Q525)</f>
        <v>0</v>
      </c>
      <c r="BE525" s="31" t="n">
        <f aca="false">IF($G525="",AT525,W525)</f>
        <v>0</v>
      </c>
      <c r="BF525" s="31" t="n">
        <f aca="false">IF($G525="",AU525,R525)</f>
        <v>0</v>
      </c>
      <c r="BG525" s="31" t="n">
        <f aca="false">IF($G525="",AV525,X525)</f>
        <v>0</v>
      </c>
      <c r="BH525" s="31" t="n">
        <f aca="false">IF($G525="",AW525,S525)</f>
        <v>0</v>
      </c>
      <c r="BI525" s="31" t="n">
        <f aca="false">IF($G525="",AX525,Y525)</f>
        <v>0</v>
      </c>
      <c r="BJ525" s="31" t="n">
        <f aca="false">IF(CK525="N",BR525,ROUNDDOWN((I525-L525)*設定!$B$10/1000,0)+ROUNDDOWN((I525-L525)*設定!$B$11/1000,0))</f>
        <v>0</v>
      </c>
      <c r="BK525" s="31" t="n">
        <f aca="false">ROUNDDOWN((I525-L525)*設定!$C$10/1000,0)+ROUNDDOWN((I525-L525)*設定!$C$11/1000,0)+ROUNDDOWN(I525*設定!$C$12/1000,0)+IF(CL525="市局型",ROUNDDOWN(I525*設定!$C$16/1000,0),0)</f>
        <v>0</v>
      </c>
      <c r="BL525" s="31" t="n">
        <f aca="false">IF(CK525="N",BT525,ROUNDDOWN((J525-M525)*設定!$B$13/1000,0))</f>
        <v>0</v>
      </c>
      <c r="BM525" s="31" t="n">
        <f aca="false">ROUNDDOWN((J525-M525)*設定!$C$13/1000,0)+IF(CL525="市局型",ROUNDDOWN(J525*設定!$C$17/1000,0),0)</f>
        <v>0</v>
      </c>
      <c r="BN525" s="31" t="n">
        <f aca="false">IF(CK525="N",BV525,ROUNDDOWN((K525-N525)*設定!$B$14/1000,0))</f>
        <v>0</v>
      </c>
      <c r="BO525" s="31" t="n">
        <f aca="false">ROUNDDOWN((K525-N525)*設定!$C$14/1000,0)</f>
        <v>0</v>
      </c>
      <c r="BP525" s="31" t="n">
        <f aca="false">IF(CK525="N",BX525,ROUNDDOWN((J525-M525)*設定!$B$15/1000,0))</f>
        <v>0</v>
      </c>
      <c r="BQ525" s="31" t="n">
        <f aca="false">ROUNDDOWN((J525-M525)*設定!$C$15/1000,0)</f>
        <v>0</v>
      </c>
      <c r="BR525" s="31" t="n">
        <f aca="false">O525+P525</f>
        <v>0</v>
      </c>
      <c r="BS525" s="31" t="n">
        <f aca="false">T525+U525+V525</f>
        <v>0</v>
      </c>
      <c r="BT525" s="31" t="n">
        <f aca="false">Q525</f>
        <v>0</v>
      </c>
      <c r="BU525" s="31" t="n">
        <f aca="false">W525</f>
        <v>0</v>
      </c>
      <c r="BV525" s="31" t="n">
        <f aca="false">R525</f>
        <v>0</v>
      </c>
      <c r="BW525" s="31" t="n">
        <f aca="false">X525</f>
        <v>0</v>
      </c>
      <c r="BX525" s="31" t="n">
        <f aca="false">S525</f>
        <v>0</v>
      </c>
      <c r="BY525" s="31" t="n">
        <f aca="false">Y525</f>
        <v>0</v>
      </c>
      <c r="BZ525" s="32" t="n">
        <f aca="false">IF(BJ525=0,IF(BR525=0,0,1),(BR525-BJ525)/BJ525)</f>
        <v>0</v>
      </c>
      <c r="CA525" s="32" t="n">
        <f aca="false">IF(BK525=0,IF(BS525=0,0,1),(BS525-BK525)/BK525)</f>
        <v>0</v>
      </c>
      <c r="CB525" s="32" t="n">
        <f aca="false">IF(BL525=0,IF(BT525=0,0,1),(BT525-BL525)/BL525)</f>
        <v>0</v>
      </c>
      <c r="CC525" s="32" t="n">
        <f aca="false">IF(BM525=0,IF(BU525=0,0,1),(BU525-BM525)/BM525)</f>
        <v>0</v>
      </c>
      <c r="CD525" s="32" t="n">
        <f aca="false">IF(BN525=0,IF(BV525=0,0,1),(BV525-BN525)/BN525)</f>
        <v>0</v>
      </c>
      <c r="CE525" s="32" t="n">
        <f aca="false">IF(BO525=0,IF(BW525=0,0,1),(BW525-BO525)/BO525)</f>
        <v>0</v>
      </c>
      <c r="CF525" s="32" t="n">
        <f aca="false">IF(BP525=0,IF(BX525=0,0,1),(BX525-BP525)/BP525)</f>
        <v>0</v>
      </c>
      <c r="CG525" s="32" t="n">
        <f aca="false">IF(BQ525=0,IF(BY525=0,0,1),(BY525-BQ525)/BQ525)</f>
        <v>0</v>
      </c>
      <c r="CH525" s="32" t="n">
        <f aca="false">MAX(MAX(BZ525:CG525),-MIN(BZ525:CG525))</f>
        <v>-0</v>
      </c>
      <c r="CI525" s="31" t="n">
        <f aca="false">IF(CO525="","",SUMIFS($CJ$7:$CJ$696,$A$7:$A$696,CO525,$B$7:$B$696,B525))</f>
        <v>0</v>
      </c>
      <c r="CJ525" s="31" t="n">
        <f aca="false">SUM(AY525:BI525)</f>
        <v>0</v>
      </c>
      <c r="CK525" s="31" t="str">
        <f aca="false">IFERROR(INDEX(設定!$F$61:$F$106,MATCH(B525,設定!$B$61:$B$106,0)),"Y")</f>
        <v>N</v>
      </c>
      <c r="CL525" s="31" t="str">
        <f aca="false">IFERROR(INDEX(設定!$G$61:$G$106,MATCH(B525,設定!$B$61:$B$106,0)),"外郭型")</f>
        <v>外郭型</v>
      </c>
      <c r="CM525" s="33" t="str">
        <f aca="false">A525&amp;"|"&amp;B525</f>
        <v>2027-01 月例|地方税共同機構</v>
      </c>
      <c r="CN525" s="34" t="str">
        <f aca="false">IFERROR(INDEX(設定!$D$61:$D$106,MATCH(B525,設定!$B$61:$B$106,0)),"Y")</f>
        <v>Y</v>
      </c>
      <c r="CO525" s="34" t="str">
        <f aca="false">IFERROR(INDEX(設定!$D$20:$D$34,MATCH(A525,設定!$A$20:$A$34,0))&amp;"","")</f>
        <v>2026-12 月例</v>
      </c>
    </row>
    <row r="526" customFormat="false" ht="15" hidden="true" customHeight="false" outlineLevel="0" collapsed="false">
      <c r="A526" s="22" t="s">
        <v>227</v>
      </c>
      <c r="B526" s="23" t="s">
        <v>182</v>
      </c>
      <c r="C526" s="10" t="str">
        <f aca="false">IF(G526="","未受領",IF(G526="なし","報告なし",IF(AL526="○","起票済",IF(OR(AK526="○",F526="一致",F526="入金不要"),"入金確認済","受領済"))))</f>
        <v>未受領</v>
      </c>
      <c r="D526" s="10" t="str">
        <f aca="false">IF(OR(G526="",G526="なし"),"―",IF(CN526="N","対象外",IF(AND(I526="",J526="",K526=""),"標報未入力",IF(CH526&gt;=設定!$B$4,"要確認","問題なし"))))</f>
        <v>―</v>
      </c>
      <c r="E526" s="24" t="str">
        <f aca="false">IF(OR(G526="",G526="なし",CI526="",CJ526=0),"―",IF(CJ526=CI526,"前月同額",IF(CI526=0,"―",IF(ABS(CJ526/CI526-1)&gt;=設定!$B$5,"変動大 "&amp;TEXT(CJ526/CI526-1,"+0%;-0%"),"〇"))))</f>
        <v>―</v>
      </c>
      <c r="F526" s="10" t="str">
        <f aca="false">IF(OR(G526="",G526="なし"),"―",IF(CJ526=0,"入金不要",IF(COUNT(AD526,AF526,AH526,AJ526)=0,IF(AK526="○","手動確認","未入金"),IF(AND(N(AD526)=AC526,IF(AE526="",TRUE(),N(AF526)=AE526),IF(AG526="",TRUE(),N(AH526)=AG526),IF(AI526="",TRUE(),N(AJ526)=AI526)),"一致","不一致"))))</f>
        <v>―</v>
      </c>
      <c r="G526" s="25"/>
      <c r="H526" s="26"/>
      <c r="I526" s="27"/>
      <c r="J526" s="27"/>
      <c r="K526" s="27"/>
      <c r="L526" s="27"/>
      <c r="M526" s="27"/>
      <c r="N526" s="27"/>
      <c r="O526" s="27"/>
      <c r="P526" s="27"/>
      <c r="Q526" s="27"/>
      <c r="R526" s="27"/>
      <c r="S526" s="27"/>
      <c r="T526" s="27"/>
      <c r="U526" s="27"/>
      <c r="V526" s="27"/>
      <c r="W526" s="27"/>
      <c r="X526" s="27"/>
      <c r="Y526" s="27"/>
      <c r="Z526" s="27"/>
      <c r="AA526" s="10" t="str">
        <f aca="false">IFERROR(INDEX(設定!$E$61:$E$106,MATCH(B526,設定!$B$61:$B$106,0)),"合算")</f>
        <v>合算</v>
      </c>
      <c r="AB526" s="28"/>
      <c r="AC526" s="29" t="str">
        <f aca="false">IF(OR(G526="",G526="なし"),"",IF(AA526="合算",CJ526+N(Z526),IF(AA526="掛金・負担金別",(AY526+AZ526+BD526+BF526+BH526),SUM(AY526:BC526))))</f>
        <v/>
      </c>
      <c r="AD526" s="27"/>
      <c r="AE526" s="29" t="str">
        <f aca="false">IF(OR(G526="",G526="なし"),"",IF(AA526="掛金・負担金別",(BA526+BB526+BC526+BE526+BG526+BI526+N(Z526)),IF(AA526="経理区分別",BD526+BE526,"")))</f>
        <v/>
      </c>
      <c r="AF526" s="27"/>
      <c r="AG526" s="29" t="str">
        <f aca="false">IF(OR(G526="",G526="なし"),"",IF(AA526="経理区分別",BF526+BG526,""))</f>
        <v/>
      </c>
      <c r="AH526" s="27"/>
      <c r="AI526" s="29" t="str">
        <f aca="false">IF(OR(G526="",G526="なし"),"",IF(AA526="経理区分別",BH526+BI526+N(Z526),""))</f>
        <v/>
      </c>
      <c r="AJ526" s="27"/>
      <c r="AK526" s="26"/>
      <c r="AL526" s="26"/>
      <c r="AM526" s="30"/>
      <c r="AN526" s="31" t="n">
        <v>0</v>
      </c>
      <c r="AO526" s="31" t="n">
        <v>0</v>
      </c>
      <c r="AP526" s="31" t="n">
        <v>638670</v>
      </c>
      <c r="AQ526" s="31" t="n">
        <v>52350</v>
      </c>
      <c r="AR526" s="31" t="n">
        <v>723</v>
      </c>
      <c r="AS526" s="31" t="n">
        <v>0</v>
      </c>
      <c r="AT526" s="31" t="n">
        <v>386320</v>
      </c>
      <c r="AU526" s="31" t="n">
        <v>0</v>
      </c>
      <c r="AV526" s="31" t="n">
        <v>52377</v>
      </c>
      <c r="AW526" s="31" t="n">
        <v>0</v>
      </c>
      <c r="AX526" s="31" t="n">
        <v>1</v>
      </c>
      <c r="AY526" s="31" t="n">
        <f aca="false">IF($G526="",AN526,O526)</f>
        <v>0</v>
      </c>
      <c r="AZ526" s="31" t="n">
        <f aca="false">IF($G526="",AO526,P526)</f>
        <v>0</v>
      </c>
      <c r="BA526" s="31" t="n">
        <f aca="false">IF($G526="",AP526,T526)</f>
        <v>638670</v>
      </c>
      <c r="BB526" s="31" t="n">
        <f aca="false">IF($G526="",AQ526,U526)</f>
        <v>52350</v>
      </c>
      <c r="BC526" s="31" t="n">
        <f aca="false">IF($G526="",AR526,V526)</f>
        <v>723</v>
      </c>
      <c r="BD526" s="31" t="n">
        <f aca="false">IF($G526="",AS526,Q526)</f>
        <v>0</v>
      </c>
      <c r="BE526" s="31" t="n">
        <f aca="false">IF($G526="",AT526,W526)</f>
        <v>386320</v>
      </c>
      <c r="BF526" s="31" t="n">
        <f aca="false">IF($G526="",AU526,R526)</f>
        <v>0</v>
      </c>
      <c r="BG526" s="31" t="n">
        <f aca="false">IF($G526="",AV526,X526)</f>
        <v>52377</v>
      </c>
      <c r="BH526" s="31" t="n">
        <f aca="false">IF($G526="",AW526,S526)</f>
        <v>0</v>
      </c>
      <c r="BI526" s="31" t="n">
        <f aca="false">IF($G526="",AX526,Y526)</f>
        <v>1</v>
      </c>
      <c r="BJ526" s="31" t="n">
        <f aca="false">IF(CK526="N",BR526,ROUNDDOWN((I526-L526)*設定!$B$10/1000,0)+ROUNDDOWN((I526-L526)*設定!$B$11/1000,0))</f>
        <v>0</v>
      </c>
      <c r="BK526" s="31" t="n">
        <f aca="false">ROUNDDOWN((I526-L526)*設定!$C$10/1000,0)+ROUNDDOWN((I526-L526)*設定!$C$11/1000,0)+ROUNDDOWN(I526*設定!$C$12/1000,0)+IF(CL526="市局型",ROUNDDOWN(I526*設定!$C$16/1000,0),0)</f>
        <v>0</v>
      </c>
      <c r="BL526" s="31" t="n">
        <f aca="false">IF(CK526="N",BT526,ROUNDDOWN((J526-M526)*設定!$B$13/1000,0))</f>
        <v>0</v>
      </c>
      <c r="BM526" s="31" t="n">
        <f aca="false">ROUNDDOWN((J526-M526)*設定!$C$13/1000,0)+IF(CL526="市局型",ROUNDDOWN(J526*設定!$C$17/1000,0),0)</f>
        <v>0</v>
      </c>
      <c r="BN526" s="31" t="n">
        <f aca="false">IF(CK526="N",BV526,ROUNDDOWN((K526-N526)*設定!$B$14/1000,0))</f>
        <v>0</v>
      </c>
      <c r="BO526" s="31" t="n">
        <f aca="false">ROUNDDOWN((K526-N526)*設定!$C$14/1000,0)</f>
        <v>0</v>
      </c>
      <c r="BP526" s="31" t="n">
        <f aca="false">IF(CK526="N",BX526,ROUNDDOWN((J526-M526)*設定!$B$15/1000,0))</f>
        <v>0</v>
      </c>
      <c r="BQ526" s="31" t="n">
        <f aca="false">ROUNDDOWN((J526-M526)*設定!$C$15/1000,0)</f>
        <v>0</v>
      </c>
      <c r="BR526" s="31" t="n">
        <f aca="false">O526+P526</f>
        <v>0</v>
      </c>
      <c r="BS526" s="31" t="n">
        <f aca="false">T526+U526+V526</f>
        <v>0</v>
      </c>
      <c r="BT526" s="31" t="n">
        <f aca="false">Q526</f>
        <v>0</v>
      </c>
      <c r="BU526" s="31" t="n">
        <f aca="false">W526</f>
        <v>0</v>
      </c>
      <c r="BV526" s="31" t="n">
        <f aca="false">R526</f>
        <v>0</v>
      </c>
      <c r="BW526" s="31" t="n">
        <f aca="false">X526</f>
        <v>0</v>
      </c>
      <c r="BX526" s="31" t="n">
        <f aca="false">S526</f>
        <v>0</v>
      </c>
      <c r="BY526" s="31" t="n">
        <f aca="false">Y526</f>
        <v>0</v>
      </c>
      <c r="BZ526" s="32" t="n">
        <f aca="false">IF(BJ526=0,IF(BR526=0,0,1),(BR526-BJ526)/BJ526)</f>
        <v>0</v>
      </c>
      <c r="CA526" s="32" t="n">
        <f aca="false">IF(BK526=0,IF(BS526=0,0,1),(BS526-BK526)/BK526)</f>
        <v>0</v>
      </c>
      <c r="CB526" s="32" t="n">
        <f aca="false">IF(BL526=0,IF(BT526=0,0,1),(BT526-BL526)/BL526)</f>
        <v>0</v>
      </c>
      <c r="CC526" s="32" t="n">
        <f aca="false">IF(BM526=0,IF(BU526=0,0,1),(BU526-BM526)/BM526)</f>
        <v>0</v>
      </c>
      <c r="CD526" s="32" t="n">
        <f aca="false">IF(BN526=0,IF(BV526=0,0,1),(BV526-BN526)/BN526)</f>
        <v>0</v>
      </c>
      <c r="CE526" s="32" t="n">
        <f aca="false">IF(BO526=0,IF(BW526=0,0,1),(BW526-BO526)/BO526)</f>
        <v>0</v>
      </c>
      <c r="CF526" s="32" t="n">
        <f aca="false">IF(BP526=0,IF(BX526=0,0,1),(BX526-BP526)/BP526)</f>
        <v>0</v>
      </c>
      <c r="CG526" s="32" t="n">
        <f aca="false">IF(BQ526=0,IF(BY526=0,0,1),(BY526-BQ526)/BQ526)</f>
        <v>0</v>
      </c>
      <c r="CH526" s="32" t="n">
        <f aca="false">MAX(MAX(BZ526:CG526),-MIN(BZ526:CG526))</f>
        <v>-0</v>
      </c>
      <c r="CI526" s="31" t="n">
        <f aca="false">IF(CO526="","",SUMIFS($CJ$7:$CJ$696,$A$7:$A$696,CO526,$B$7:$B$696,B526))</f>
        <v>1114546</v>
      </c>
      <c r="CJ526" s="31" t="n">
        <f aca="false">SUM(AY526:BI526)</f>
        <v>1130441</v>
      </c>
      <c r="CK526" s="31" t="str">
        <f aca="false">IFERROR(INDEX(設定!$F$61:$F$106,MATCH(B526,設定!$B$61:$B$106,0)),"Y")</f>
        <v>Y</v>
      </c>
      <c r="CL526" s="31" t="str">
        <f aca="false">IFERROR(INDEX(設定!$G$61:$G$106,MATCH(B526,設定!$B$61:$B$106,0)),"外郭型")</f>
        <v>外郭型</v>
      </c>
      <c r="CM526" s="33" t="str">
        <f aca="false">A526&amp;"|"&amp;B526</f>
        <v>2027-01 月例|平和文化センター</v>
      </c>
      <c r="CN526" s="34" t="str">
        <f aca="false">IFERROR(INDEX(設定!$D$61:$D$106,MATCH(B526,設定!$B$61:$B$106,0)),"Y")</f>
        <v>Y</v>
      </c>
      <c r="CO526" s="34" t="str">
        <f aca="false">IFERROR(INDEX(設定!$D$20:$D$34,MATCH(A526,設定!$A$20:$A$34,0))&amp;"","")</f>
        <v>2026-12 月例</v>
      </c>
    </row>
    <row r="527" customFormat="false" ht="15" hidden="true" customHeight="false" outlineLevel="0" collapsed="false">
      <c r="A527" s="22" t="s">
        <v>227</v>
      </c>
      <c r="B527" s="23" t="s">
        <v>183</v>
      </c>
      <c r="C527" s="10" t="str">
        <f aca="false">IF(G527="","未受領",IF(G527="なし","報告なし",IF(AL527="○","起票済",IF(OR(AK527="○",F527="一致",F527="入金不要"),"入金確認済","受領済"))))</f>
        <v>未受領</v>
      </c>
      <c r="D527" s="10" t="str">
        <f aca="false">IF(OR(G527="",G527="なし"),"―",IF(CN527="N","対象外",IF(AND(I527="",J527="",K527=""),"標報未入力",IF(CH527&gt;=設定!$B$4,"要確認","問題なし"))))</f>
        <v>―</v>
      </c>
      <c r="E527" s="24" t="str">
        <f aca="false">IF(OR(G527="",G527="なし",CI527="",CJ527=0),"―",IF(CJ527=CI527,"前月同額",IF(CI527=0,"―",IF(ABS(CJ527/CI527-1)&gt;=設定!$B$5,"変動大 "&amp;TEXT(CJ527/CI527-1,"+0%;-0%"),"〇"))))</f>
        <v>―</v>
      </c>
      <c r="F527" s="10" t="str">
        <f aca="false">IF(OR(G527="",G527="なし"),"―",IF(CJ527=0,"入金不要",IF(COUNT(AD527,AF527,AH527,AJ527)=0,IF(AK527="○","手動確認","未入金"),IF(AND(N(AD527)=AC527,IF(AE527="",TRUE(),N(AF527)=AE527),IF(AG527="",TRUE(),N(AH527)=AG527),IF(AI527="",TRUE(),N(AJ527)=AI527)),"一致","不一致"))))</f>
        <v>―</v>
      </c>
      <c r="G527" s="25"/>
      <c r="H527" s="26"/>
      <c r="I527" s="27"/>
      <c r="J527" s="27"/>
      <c r="K527" s="27"/>
      <c r="L527" s="27"/>
      <c r="M527" s="27"/>
      <c r="N527" s="27"/>
      <c r="O527" s="27"/>
      <c r="P527" s="27"/>
      <c r="Q527" s="27"/>
      <c r="R527" s="27"/>
      <c r="S527" s="27"/>
      <c r="T527" s="27"/>
      <c r="U527" s="27"/>
      <c r="V527" s="27"/>
      <c r="W527" s="27"/>
      <c r="X527" s="27"/>
      <c r="Y527" s="27"/>
      <c r="Z527" s="27"/>
      <c r="AA527" s="10" t="str">
        <f aca="false">IFERROR(INDEX(設定!$E$61:$E$106,MATCH(B527,設定!$B$61:$B$106,0)),"合算")</f>
        <v>合算</v>
      </c>
      <c r="AB527" s="28"/>
      <c r="AC527" s="29" t="str">
        <f aca="false">IF(OR(G527="",G527="なし"),"",IF(AA527="合算",CJ527+N(Z527),IF(AA527="掛金・負担金別",(AY527+AZ527+BD527+BF527+BH527),SUM(AY527:BC527))))</f>
        <v/>
      </c>
      <c r="AD527" s="27"/>
      <c r="AE527" s="29" t="str">
        <f aca="false">IF(OR(G527="",G527="なし"),"",IF(AA527="掛金・負担金別",(BA527+BB527+BC527+BE527+BG527+BI527+N(Z527)),IF(AA527="経理区分別",BD527+BE527,"")))</f>
        <v/>
      </c>
      <c r="AF527" s="27"/>
      <c r="AG527" s="29" t="str">
        <f aca="false">IF(OR(G527="",G527="なし"),"",IF(AA527="経理区分別",BF527+BG527,""))</f>
        <v/>
      </c>
      <c r="AH527" s="27"/>
      <c r="AI527" s="29" t="str">
        <f aca="false">IF(OR(G527="",G527="なし"),"",IF(AA527="経理区分別",BH527+BI527+N(Z527),""))</f>
        <v/>
      </c>
      <c r="AJ527" s="27"/>
      <c r="AK527" s="26"/>
      <c r="AL527" s="26"/>
      <c r="AM527" s="30"/>
      <c r="AN527" s="31"/>
      <c r="AO527" s="31"/>
      <c r="AP527" s="31" t="n">
        <v>1886730</v>
      </c>
      <c r="AQ527" s="31" t="n">
        <v>154650</v>
      </c>
      <c r="AR527" s="31" t="n">
        <v>1988</v>
      </c>
      <c r="AS527" s="31"/>
      <c r="AT527" s="31" t="n">
        <v>1275306</v>
      </c>
      <c r="AU527" s="31"/>
      <c r="AV527" s="31" t="n">
        <v>141252</v>
      </c>
      <c r="AW527" s="31"/>
      <c r="AX527" s="31" t="n">
        <v>1</v>
      </c>
      <c r="AY527" s="31" t="n">
        <f aca="false">IF($G527="",AN527,O527)</f>
        <v>0</v>
      </c>
      <c r="AZ527" s="31" t="n">
        <f aca="false">IF($G527="",AO527,P527)</f>
        <v>0</v>
      </c>
      <c r="BA527" s="31" t="n">
        <f aca="false">IF($G527="",AP527,T527)</f>
        <v>1886730</v>
      </c>
      <c r="BB527" s="31" t="n">
        <f aca="false">IF($G527="",AQ527,U527)</f>
        <v>154650</v>
      </c>
      <c r="BC527" s="31" t="n">
        <f aca="false">IF($G527="",AR527,V527)</f>
        <v>1988</v>
      </c>
      <c r="BD527" s="31" t="n">
        <f aca="false">IF($G527="",AS527,Q527)</f>
        <v>0</v>
      </c>
      <c r="BE527" s="31" t="n">
        <f aca="false">IF($G527="",AT527,W527)</f>
        <v>1275306</v>
      </c>
      <c r="BF527" s="31" t="n">
        <f aca="false">IF($G527="",AU527,R527)</f>
        <v>0</v>
      </c>
      <c r="BG527" s="31" t="n">
        <f aca="false">IF($G527="",AV527,X527)</f>
        <v>141252</v>
      </c>
      <c r="BH527" s="31" t="n">
        <f aca="false">IF($G527="",AW527,S527)</f>
        <v>0</v>
      </c>
      <c r="BI527" s="31" t="n">
        <f aca="false">IF($G527="",AX527,Y527)</f>
        <v>1</v>
      </c>
      <c r="BJ527" s="31" t="n">
        <f aca="false">IF(CK527="N",BR527,ROUNDDOWN((I527-L527)*設定!$B$10/1000,0)+ROUNDDOWN((I527-L527)*設定!$B$11/1000,0))</f>
        <v>0</v>
      </c>
      <c r="BK527" s="31" t="n">
        <f aca="false">ROUNDDOWN((I527-L527)*設定!$C$10/1000,0)+ROUNDDOWN((I527-L527)*設定!$C$11/1000,0)+ROUNDDOWN(I527*設定!$C$12/1000,0)+IF(CL527="市局型",ROUNDDOWN(I527*設定!$C$16/1000,0),0)</f>
        <v>0</v>
      </c>
      <c r="BL527" s="31" t="n">
        <f aca="false">IF(CK527="N",BT527,ROUNDDOWN((J527-M527)*設定!$B$13/1000,0))</f>
        <v>0</v>
      </c>
      <c r="BM527" s="31" t="n">
        <f aca="false">ROUNDDOWN((J527-M527)*設定!$C$13/1000,0)+IF(CL527="市局型",ROUNDDOWN(J527*設定!$C$17/1000,0),0)</f>
        <v>0</v>
      </c>
      <c r="BN527" s="31" t="n">
        <f aca="false">IF(CK527="N",BV527,ROUNDDOWN((K527-N527)*設定!$B$14/1000,0))</f>
        <v>0</v>
      </c>
      <c r="BO527" s="31" t="n">
        <f aca="false">ROUNDDOWN((K527-N527)*設定!$C$14/1000,0)</f>
        <v>0</v>
      </c>
      <c r="BP527" s="31" t="n">
        <f aca="false">IF(CK527="N",BX527,ROUNDDOWN((J527-M527)*設定!$B$15/1000,0))</f>
        <v>0</v>
      </c>
      <c r="BQ527" s="31" t="n">
        <f aca="false">ROUNDDOWN((J527-M527)*設定!$C$15/1000,0)</f>
        <v>0</v>
      </c>
      <c r="BR527" s="31" t="n">
        <f aca="false">O527+P527</f>
        <v>0</v>
      </c>
      <c r="BS527" s="31" t="n">
        <f aca="false">T527+U527+V527</f>
        <v>0</v>
      </c>
      <c r="BT527" s="31" t="n">
        <f aca="false">Q527</f>
        <v>0</v>
      </c>
      <c r="BU527" s="31" t="n">
        <f aca="false">W527</f>
        <v>0</v>
      </c>
      <c r="BV527" s="31" t="n">
        <f aca="false">R527</f>
        <v>0</v>
      </c>
      <c r="BW527" s="31" t="n">
        <f aca="false">X527</f>
        <v>0</v>
      </c>
      <c r="BX527" s="31" t="n">
        <f aca="false">S527</f>
        <v>0</v>
      </c>
      <c r="BY527" s="31" t="n">
        <f aca="false">Y527</f>
        <v>0</v>
      </c>
      <c r="BZ527" s="32" t="n">
        <f aca="false">IF(BJ527=0,IF(BR527=0,0,1),(BR527-BJ527)/BJ527)</f>
        <v>0</v>
      </c>
      <c r="CA527" s="32" t="n">
        <f aca="false">IF(BK527=0,IF(BS527=0,0,1),(BS527-BK527)/BK527)</f>
        <v>0</v>
      </c>
      <c r="CB527" s="32" t="n">
        <f aca="false">IF(BL527=0,IF(BT527=0,0,1),(BT527-BL527)/BL527)</f>
        <v>0</v>
      </c>
      <c r="CC527" s="32" t="n">
        <f aca="false">IF(BM527=0,IF(BU527=0,0,1),(BU527-BM527)/BM527)</f>
        <v>0</v>
      </c>
      <c r="CD527" s="32" t="n">
        <f aca="false">IF(BN527=0,IF(BV527=0,0,1),(BV527-BN527)/BN527)</f>
        <v>0</v>
      </c>
      <c r="CE527" s="32" t="n">
        <f aca="false">IF(BO527=0,IF(BW527=0,0,1),(BW527-BO527)/BO527)</f>
        <v>0</v>
      </c>
      <c r="CF527" s="32" t="n">
        <f aca="false">IF(BP527=0,IF(BX527=0,0,1),(BX527-BP527)/BP527)</f>
        <v>0</v>
      </c>
      <c r="CG527" s="32" t="n">
        <f aca="false">IF(BQ527=0,IF(BY527=0,0,1),(BY527-BQ527)/BQ527)</f>
        <v>0</v>
      </c>
      <c r="CH527" s="32" t="n">
        <f aca="false">MAX(MAX(BZ527:CG527),-MIN(BZ527:CG527))</f>
        <v>-0</v>
      </c>
      <c r="CI527" s="31" t="n">
        <f aca="false">IF(CO527="","",SUMIFS($CJ$7:$CJ$696,$A$7:$A$696,CO527,$B$7:$B$696,B527))</f>
        <v>3450617</v>
      </c>
      <c r="CJ527" s="31" t="n">
        <f aca="false">SUM(AY527:BI527)</f>
        <v>3459927</v>
      </c>
      <c r="CK527" s="31" t="str">
        <f aca="false">IFERROR(INDEX(設定!$F$61:$F$106,MATCH(B527,設定!$B$61:$B$106,0)),"Y")</f>
        <v>N</v>
      </c>
      <c r="CL527" s="31" t="str">
        <f aca="false">IFERROR(INDEX(設定!$G$61:$G$106,MATCH(B527,設定!$B$61:$B$106,0)),"外郭型")</f>
        <v>外郭型</v>
      </c>
      <c r="CM527" s="33" t="str">
        <f aca="false">A527&amp;"|"&amp;B527</f>
        <v>2027-01 月例|社会福祉事業団</v>
      </c>
      <c r="CN527" s="34" t="str">
        <f aca="false">IFERROR(INDEX(設定!$D$61:$D$106,MATCH(B527,設定!$B$61:$B$106,0)),"Y")</f>
        <v>Y</v>
      </c>
      <c r="CO527" s="34" t="str">
        <f aca="false">IFERROR(INDEX(設定!$D$20:$D$34,MATCH(A527,設定!$A$20:$A$34,0))&amp;"","")</f>
        <v>2026-12 月例</v>
      </c>
    </row>
    <row r="528" customFormat="false" ht="15" hidden="true" customHeight="false" outlineLevel="0" collapsed="false">
      <c r="A528" s="22" t="s">
        <v>227</v>
      </c>
      <c r="B528" s="23" t="s">
        <v>184</v>
      </c>
      <c r="C528" s="10" t="str">
        <f aca="false">IF(G528="","未受領",IF(G528="なし","報告なし",IF(AL528="○","起票済",IF(OR(AK528="○",F528="一致",F528="入金不要"),"入金確認済","受領済"))))</f>
        <v>未受領</v>
      </c>
      <c r="D528" s="10" t="str">
        <f aca="false">IF(OR(G528="",G528="なし"),"―",IF(CN528="N","対象外",IF(AND(I528="",J528="",K528=""),"標報未入力",IF(CH528&gt;=設定!$B$4,"要確認","問題なし"))))</f>
        <v>―</v>
      </c>
      <c r="E528" s="24" t="str">
        <f aca="false">IF(OR(G528="",G528="なし",CI528="",CJ528=0),"―",IF(CJ528=CI528,"前月同額",IF(CI528=0,"―",IF(ABS(CJ528/CI528-1)&gt;=設定!$B$5,"変動大 "&amp;TEXT(CJ528/CI528-1,"+0%;-0%"),"〇"))))</f>
        <v>―</v>
      </c>
      <c r="F528" s="10" t="str">
        <f aca="false">IF(OR(G528="",G528="なし"),"―",IF(CJ528=0,"入金不要",IF(COUNT(AD528,AF528,AH528,AJ528)=0,IF(AK528="○","手動確認","未入金"),IF(AND(N(AD528)=AC528,IF(AE528="",TRUE(),N(AF528)=AE528),IF(AG528="",TRUE(),N(AH528)=AG528),IF(AI528="",TRUE(),N(AJ528)=AI528)),"一致","不一致"))))</f>
        <v>―</v>
      </c>
      <c r="G528" s="25"/>
      <c r="H528" s="26"/>
      <c r="I528" s="27"/>
      <c r="J528" s="27"/>
      <c r="K528" s="27"/>
      <c r="L528" s="27"/>
      <c r="M528" s="27"/>
      <c r="N528" s="27"/>
      <c r="O528" s="27"/>
      <c r="P528" s="27"/>
      <c r="Q528" s="27"/>
      <c r="R528" s="27"/>
      <c r="S528" s="27"/>
      <c r="T528" s="27"/>
      <c r="U528" s="27"/>
      <c r="V528" s="27"/>
      <c r="W528" s="27"/>
      <c r="X528" s="27"/>
      <c r="Y528" s="27"/>
      <c r="Z528" s="27"/>
      <c r="AA528" s="10" t="str">
        <f aca="false">IFERROR(INDEX(設定!$E$61:$E$106,MATCH(B528,設定!$B$61:$B$106,0)),"合算")</f>
        <v>合算</v>
      </c>
      <c r="AB528" s="28"/>
      <c r="AC528" s="29" t="str">
        <f aca="false">IF(OR(G528="",G528="なし"),"",IF(AA528="合算",CJ528+N(Z528),IF(AA528="掛金・負担金別",(AY528+AZ528+BD528+BF528+BH528),SUM(AY528:BC528))))</f>
        <v/>
      </c>
      <c r="AD528" s="27"/>
      <c r="AE528" s="29" t="str">
        <f aca="false">IF(OR(G528="",G528="なし"),"",IF(AA528="掛金・負担金別",(BA528+BB528+BC528+BE528+BG528+BI528+N(Z528)),IF(AA528="経理区分別",BD528+BE528,"")))</f>
        <v/>
      </c>
      <c r="AF528" s="27"/>
      <c r="AG528" s="29" t="str">
        <f aca="false">IF(OR(G528="",G528="なし"),"",IF(AA528="経理区分別",BF528+BG528,""))</f>
        <v/>
      </c>
      <c r="AH528" s="27"/>
      <c r="AI528" s="29" t="str">
        <f aca="false">IF(OR(G528="",G528="なし"),"",IF(AA528="経理区分別",BH528+BI528+N(Z528),""))</f>
        <v/>
      </c>
      <c r="AJ528" s="27"/>
      <c r="AK528" s="26"/>
      <c r="AL528" s="26"/>
      <c r="AM528" s="30"/>
      <c r="AN528" s="31"/>
      <c r="AO528" s="31"/>
      <c r="AP528" s="31" t="n">
        <v>48495</v>
      </c>
      <c r="AQ528" s="31" t="n">
        <v>3975</v>
      </c>
      <c r="AR528" s="31" t="n">
        <v>49</v>
      </c>
      <c r="AS528" s="31"/>
      <c r="AT528" s="31" t="n">
        <v>29208</v>
      </c>
      <c r="AU528" s="31"/>
      <c r="AV528" s="31" t="n">
        <v>4187</v>
      </c>
      <c r="AW528" s="31"/>
      <c r="AX528" s="31" t="n">
        <v>1</v>
      </c>
      <c r="AY528" s="31" t="n">
        <f aca="false">IF($G528="",AN528,O528)</f>
        <v>0</v>
      </c>
      <c r="AZ528" s="31" t="n">
        <f aca="false">IF($G528="",AO528,P528)</f>
        <v>0</v>
      </c>
      <c r="BA528" s="31" t="n">
        <f aca="false">IF($G528="",AP528,T528)</f>
        <v>48495</v>
      </c>
      <c r="BB528" s="31" t="n">
        <f aca="false">IF($G528="",AQ528,U528)</f>
        <v>3975</v>
      </c>
      <c r="BC528" s="31" t="n">
        <f aca="false">IF($G528="",AR528,V528)</f>
        <v>49</v>
      </c>
      <c r="BD528" s="31" t="n">
        <f aca="false">IF($G528="",AS528,Q528)</f>
        <v>0</v>
      </c>
      <c r="BE528" s="31" t="n">
        <f aca="false">IF($G528="",AT528,W528)</f>
        <v>29208</v>
      </c>
      <c r="BF528" s="31" t="n">
        <f aca="false">IF($G528="",AU528,R528)</f>
        <v>0</v>
      </c>
      <c r="BG528" s="31" t="n">
        <f aca="false">IF($G528="",AV528,X528)</f>
        <v>4187</v>
      </c>
      <c r="BH528" s="31" t="n">
        <f aca="false">IF($G528="",AW528,S528)</f>
        <v>0</v>
      </c>
      <c r="BI528" s="31" t="n">
        <f aca="false">IF($G528="",AX528,Y528)</f>
        <v>1</v>
      </c>
      <c r="BJ528" s="31" t="n">
        <f aca="false">IF(CK528="N",BR528,ROUNDDOWN((I528-L528)*設定!$B$10/1000,0)+ROUNDDOWN((I528-L528)*設定!$B$11/1000,0))</f>
        <v>0</v>
      </c>
      <c r="BK528" s="31" t="n">
        <f aca="false">ROUNDDOWN((I528-L528)*設定!$C$10/1000,0)+ROUNDDOWN((I528-L528)*設定!$C$11/1000,0)+ROUNDDOWN(I528*設定!$C$12/1000,0)+IF(CL528="市局型",ROUNDDOWN(I528*設定!$C$16/1000,0),0)</f>
        <v>0</v>
      </c>
      <c r="BL528" s="31" t="n">
        <f aca="false">IF(CK528="N",BT528,ROUNDDOWN((J528-M528)*設定!$B$13/1000,0))</f>
        <v>0</v>
      </c>
      <c r="BM528" s="31" t="n">
        <f aca="false">ROUNDDOWN((J528-M528)*設定!$C$13/1000,0)+IF(CL528="市局型",ROUNDDOWN(J528*設定!$C$17/1000,0),0)</f>
        <v>0</v>
      </c>
      <c r="BN528" s="31" t="n">
        <f aca="false">IF(CK528="N",BV528,ROUNDDOWN((K528-N528)*設定!$B$14/1000,0))</f>
        <v>0</v>
      </c>
      <c r="BO528" s="31" t="n">
        <f aca="false">ROUNDDOWN((K528-N528)*設定!$C$14/1000,0)</f>
        <v>0</v>
      </c>
      <c r="BP528" s="31" t="n">
        <f aca="false">IF(CK528="N",BX528,ROUNDDOWN((J528-M528)*設定!$B$15/1000,0))</f>
        <v>0</v>
      </c>
      <c r="BQ528" s="31" t="n">
        <f aca="false">ROUNDDOWN((J528-M528)*設定!$C$15/1000,0)</f>
        <v>0</v>
      </c>
      <c r="BR528" s="31" t="n">
        <f aca="false">O528+P528</f>
        <v>0</v>
      </c>
      <c r="BS528" s="31" t="n">
        <f aca="false">T528+U528+V528</f>
        <v>0</v>
      </c>
      <c r="BT528" s="31" t="n">
        <f aca="false">Q528</f>
        <v>0</v>
      </c>
      <c r="BU528" s="31" t="n">
        <f aca="false">W528</f>
        <v>0</v>
      </c>
      <c r="BV528" s="31" t="n">
        <f aca="false">R528</f>
        <v>0</v>
      </c>
      <c r="BW528" s="31" t="n">
        <f aca="false">X528</f>
        <v>0</v>
      </c>
      <c r="BX528" s="31" t="n">
        <f aca="false">S528</f>
        <v>0</v>
      </c>
      <c r="BY528" s="31" t="n">
        <f aca="false">Y528</f>
        <v>0</v>
      </c>
      <c r="BZ528" s="32" t="n">
        <f aca="false">IF(BJ528=0,IF(BR528=0,0,1),(BR528-BJ528)/BJ528)</f>
        <v>0</v>
      </c>
      <c r="CA528" s="32" t="n">
        <f aca="false">IF(BK528=0,IF(BS528=0,0,1),(BS528-BK528)/BK528)</f>
        <v>0</v>
      </c>
      <c r="CB528" s="32" t="n">
        <f aca="false">IF(BL528=0,IF(BT528=0,0,1),(BT528-BL528)/BL528)</f>
        <v>0</v>
      </c>
      <c r="CC528" s="32" t="n">
        <f aca="false">IF(BM528=0,IF(BU528=0,0,1),(BU528-BM528)/BM528)</f>
        <v>0</v>
      </c>
      <c r="CD528" s="32" t="n">
        <f aca="false">IF(BN528=0,IF(BV528=0,0,1),(BV528-BN528)/BN528)</f>
        <v>0</v>
      </c>
      <c r="CE528" s="32" t="n">
        <f aca="false">IF(BO528=0,IF(BW528=0,0,1),(BW528-BO528)/BO528)</f>
        <v>0</v>
      </c>
      <c r="CF528" s="32" t="n">
        <f aca="false">IF(BP528=0,IF(BX528=0,0,1),(BX528-BP528)/BP528)</f>
        <v>0</v>
      </c>
      <c r="CG528" s="32" t="n">
        <f aca="false">IF(BQ528=0,IF(BY528=0,0,1),(BY528-BQ528)/BQ528)</f>
        <v>0</v>
      </c>
      <c r="CH528" s="32" t="n">
        <f aca="false">MAX(MAX(BZ528:CG528),-MIN(BZ528:CG528))</f>
        <v>-0</v>
      </c>
      <c r="CI528" s="31" t="n">
        <f aca="false">IF(CO528="","",SUMIFS($CJ$7:$CJ$696,$A$7:$A$696,CO528,$B$7:$B$696,B528))</f>
        <v>85915</v>
      </c>
      <c r="CJ528" s="31" t="n">
        <f aca="false">SUM(AY528:BI528)</f>
        <v>85915</v>
      </c>
      <c r="CK528" s="31" t="str">
        <f aca="false">IFERROR(INDEX(設定!$F$61:$F$106,MATCH(B528,設定!$B$61:$B$106,0)),"Y")</f>
        <v>N</v>
      </c>
      <c r="CL528" s="31" t="str">
        <f aca="false">IFERROR(INDEX(設定!$G$61:$G$106,MATCH(B528,設定!$B$61:$B$106,0)),"外郭型")</f>
        <v>外郭型</v>
      </c>
      <c r="CM528" s="33" t="str">
        <f aca="false">A528&amp;"|"&amp;B528</f>
        <v>2027-01 月例|原爆障害対策協議会</v>
      </c>
      <c r="CN528" s="34" t="str">
        <f aca="false">IFERROR(INDEX(設定!$D$61:$D$106,MATCH(B528,設定!$B$61:$B$106,0)),"Y")</f>
        <v>Y</v>
      </c>
      <c r="CO528" s="34" t="str">
        <f aca="false">IFERROR(INDEX(設定!$D$20:$D$34,MATCH(A528,設定!$A$20:$A$34,0))&amp;"","")</f>
        <v>2026-12 月例</v>
      </c>
    </row>
    <row r="529" customFormat="false" ht="15" hidden="true" customHeight="false" outlineLevel="0" collapsed="false">
      <c r="A529" s="22" t="s">
        <v>227</v>
      </c>
      <c r="B529" s="23" t="s">
        <v>185</v>
      </c>
      <c r="C529" s="10" t="str">
        <f aca="false">IF(G529="","未受領",IF(G529="なし","報告なし",IF(AL529="○","起票済",IF(OR(AK529="○",F529="一致",F529="入金不要"),"入金確認済","受領済"))))</f>
        <v>未受領</v>
      </c>
      <c r="D529" s="10" t="str">
        <f aca="false">IF(OR(G529="",G529="なし"),"―",IF(CN529="N","対象外",IF(AND(I529="",J529="",K529=""),"標報未入力",IF(CH529&gt;=設定!$B$4,"要確認","問題なし"))))</f>
        <v>―</v>
      </c>
      <c r="E529" s="24" t="str">
        <f aca="false">IF(OR(G529="",G529="なし",CI529="",CJ529=0),"―",IF(CJ529=CI529,"前月同額",IF(CI529=0,"―",IF(ABS(CJ529/CI529-1)&gt;=設定!$B$5,"変動大 "&amp;TEXT(CJ529/CI529-1,"+0%;-0%"),"〇"))))</f>
        <v>―</v>
      </c>
      <c r="F529" s="10" t="str">
        <f aca="false">IF(OR(G529="",G529="なし"),"―",IF(CJ529=0,"入金不要",IF(COUNT(AD529,AF529,AH529,AJ529)=0,IF(AK529="○","手動確認","未入金"),IF(AND(N(AD529)=AC529,IF(AE529="",TRUE(),N(AF529)=AE529),IF(AG529="",TRUE(),N(AH529)=AG529),IF(AI529="",TRUE(),N(AJ529)=AI529)),"一致","不一致"))))</f>
        <v>―</v>
      </c>
      <c r="G529" s="25"/>
      <c r="H529" s="26"/>
      <c r="I529" s="27"/>
      <c r="J529" s="27"/>
      <c r="K529" s="27"/>
      <c r="L529" s="27"/>
      <c r="M529" s="27"/>
      <c r="N529" s="27"/>
      <c r="O529" s="27"/>
      <c r="P529" s="27"/>
      <c r="Q529" s="27"/>
      <c r="R529" s="27"/>
      <c r="S529" s="27"/>
      <c r="T529" s="27"/>
      <c r="U529" s="27"/>
      <c r="V529" s="27"/>
      <c r="W529" s="27"/>
      <c r="X529" s="27"/>
      <c r="Y529" s="27"/>
      <c r="Z529" s="27"/>
      <c r="AA529" s="10" t="str">
        <f aca="false">IFERROR(INDEX(設定!$E$61:$E$106,MATCH(B529,設定!$B$61:$B$106,0)),"合算")</f>
        <v>合算</v>
      </c>
      <c r="AB529" s="28"/>
      <c r="AC529" s="29" t="str">
        <f aca="false">IF(OR(G529="",G529="なし"),"",IF(AA529="合算",CJ529+N(Z529),IF(AA529="掛金・負担金別",(AY529+AZ529+BD529+BF529+BH529),SUM(AY529:BC529))))</f>
        <v/>
      </c>
      <c r="AD529" s="27"/>
      <c r="AE529" s="29" t="str">
        <f aca="false">IF(OR(G529="",G529="なし"),"",IF(AA529="掛金・負担金別",(BA529+BB529+BC529+BE529+BG529+BI529+N(Z529)),IF(AA529="経理区分別",BD529+BE529,"")))</f>
        <v/>
      </c>
      <c r="AF529" s="27"/>
      <c r="AG529" s="29" t="str">
        <f aca="false">IF(OR(G529="",G529="なし"),"",IF(AA529="経理区分別",BF529+BG529,""))</f>
        <v/>
      </c>
      <c r="AH529" s="27"/>
      <c r="AI529" s="29" t="str">
        <f aca="false">IF(OR(G529="",G529="なし"),"",IF(AA529="経理区分別",BH529+BI529+N(Z529),""))</f>
        <v/>
      </c>
      <c r="AJ529" s="27"/>
      <c r="AK529" s="26"/>
      <c r="AL529" s="26"/>
      <c r="AM529" s="30"/>
      <c r="AN529" s="31"/>
      <c r="AO529" s="31"/>
      <c r="AP529" s="31" t="n">
        <v>425475</v>
      </c>
      <c r="AQ529" s="31" t="n">
        <v>34875</v>
      </c>
      <c r="AR529" s="31" t="n">
        <v>435</v>
      </c>
      <c r="AS529" s="31"/>
      <c r="AT529" s="31" t="n">
        <v>256260</v>
      </c>
      <c r="AU529" s="31"/>
      <c r="AV529" s="31" t="n">
        <v>34207</v>
      </c>
      <c r="AW529" s="31"/>
      <c r="AX529" s="31" t="n">
        <v>1</v>
      </c>
      <c r="AY529" s="31" t="n">
        <f aca="false">IF($G529="",AN529,O529)</f>
        <v>0</v>
      </c>
      <c r="AZ529" s="31" t="n">
        <f aca="false">IF($G529="",AO529,P529)</f>
        <v>0</v>
      </c>
      <c r="BA529" s="31" t="n">
        <f aca="false">IF($G529="",AP529,T529)</f>
        <v>425475</v>
      </c>
      <c r="BB529" s="31" t="n">
        <f aca="false">IF($G529="",AQ529,U529)</f>
        <v>34875</v>
      </c>
      <c r="BC529" s="31" t="n">
        <f aca="false">IF($G529="",AR529,V529)</f>
        <v>435</v>
      </c>
      <c r="BD529" s="31" t="n">
        <f aca="false">IF($G529="",AS529,Q529)</f>
        <v>0</v>
      </c>
      <c r="BE529" s="31" t="n">
        <f aca="false">IF($G529="",AT529,W529)</f>
        <v>256260</v>
      </c>
      <c r="BF529" s="31" t="n">
        <f aca="false">IF($G529="",AU529,R529)</f>
        <v>0</v>
      </c>
      <c r="BG529" s="31" t="n">
        <f aca="false">IF($G529="",AV529,X529)</f>
        <v>34207</v>
      </c>
      <c r="BH529" s="31" t="n">
        <f aca="false">IF($G529="",AW529,S529)</f>
        <v>0</v>
      </c>
      <c r="BI529" s="31" t="n">
        <f aca="false">IF($G529="",AX529,Y529)</f>
        <v>1</v>
      </c>
      <c r="BJ529" s="31" t="n">
        <f aca="false">IF(CK529="N",BR529,ROUNDDOWN((I529-L529)*設定!$B$10/1000,0)+ROUNDDOWN((I529-L529)*設定!$B$11/1000,0))</f>
        <v>0</v>
      </c>
      <c r="BK529" s="31" t="n">
        <f aca="false">ROUNDDOWN((I529-L529)*設定!$C$10/1000,0)+ROUNDDOWN((I529-L529)*設定!$C$11/1000,0)+ROUNDDOWN(I529*設定!$C$12/1000,0)+IF(CL529="市局型",ROUNDDOWN(I529*設定!$C$16/1000,0),0)</f>
        <v>0</v>
      </c>
      <c r="BL529" s="31" t="n">
        <f aca="false">IF(CK529="N",BT529,ROUNDDOWN((J529-M529)*設定!$B$13/1000,0))</f>
        <v>0</v>
      </c>
      <c r="BM529" s="31" t="n">
        <f aca="false">ROUNDDOWN((J529-M529)*設定!$C$13/1000,0)+IF(CL529="市局型",ROUNDDOWN(J529*設定!$C$17/1000,0),0)</f>
        <v>0</v>
      </c>
      <c r="BN529" s="31" t="n">
        <f aca="false">IF(CK529="N",BV529,ROUNDDOWN((K529-N529)*設定!$B$14/1000,0))</f>
        <v>0</v>
      </c>
      <c r="BO529" s="31" t="n">
        <f aca="false">ROUNDDOWN((K529-N529)*設定!$C$14/1000,0)</f>
        <v>0</v>
      </c>
      <c r="BP529" s="31" t="n">
        <f aca="false">IF(CK529="N",BX529,ROUNDDOWN((J529-M529)*設定!$B$15/1000,0))</f>
        <v>0</v>
      </c>
      <c r="BQ529" s="31" t="n">
        <f aca="false">ROUNDDOWN((J529-M529)*設定!$C$15/1000,0)</f>
        <v>0</v>
      </c>
      <c r="BR529" s="31" t="n">
        <f aca="false">O529+P529</f>
        <v>0</v>
      </c>
      <c r="BS529" s="31" t="n">
        <f aca="false">T529+U529+V529</f>
        <v>0</v>
      </c>
      <c r="BT529" s="31" t="n">
        <f aca="false">Q529</f>
        <v>0</v>
      </c>
      <c r="BU529" s="31" t="n">
        <f aca="false">W529</f>
        <v>0</v>
      </c>
      <c r="BV529" s="31" t="n">
        <f aca="false">R529</f>
        <v>0</v>
      </c>
      <c r="BW529" s="31" t="n">
        <f aca="false">X529</f>
        <v>0</v>
      </c>
      <c r="BX529" s="31" t="n">
        <f aca="false">S529</f>
        <v>0</v>
      </c>
      <c r="BY529" s="31" t="n">
        <f aca="false">Y529</f>
        <v>0</v>
      </c>
      <c r="BZ529" s="32" t="n">
        <f aca="false">IF(BJ529=0,IF(BR529=0,0,1),(BR529-BJ529)/BJ529)</f>
        <v>0</v>
      </c>
      <c r="CA529" s="32" t="n">
        <f aca="false">IF(BK529=0,IF(BS529=0,0,1),(BS529-BK529)/BK529)</f>
        <v>0</v>
      </c>
      <c r="CB529" s="32" t="n">
        <f aca="false">IF(BL529=0,IF(BT529=0,0,1),(BT529-BL529)/BL529)</f>
        <v>0</v>
      </c>
      <c r="CC529" s="32" t="n">
        <f aca="false">IF(BM529=0,IF(BU529=0,0,1),(BU529-BM529)/BM529)</f>
        <v>0</v>
      </c>
      <c r="CD529" s="32" t="n">
        <f aca="false">IF(BN529=0,IF(BV529=0,0,1),(BV529-BN529)/BN529)</f>
        <v>0</v>
      </c>
      <c r="CE529" s="32" t="n">
        <f aca="false">IF(BO529=0,IF(BW529=0,0,1),(BW529-BO529)/BO529)</f>
        <v>0</v>
      </c>
      <c r="CF529" s="32" t="n">
        <f aca="false">IF(BP529=0,IF(BX529=0,0,1),(BX529-BP529)/BP529)</f>
        <v>0</v>
      </c>
      <c r="CG529" s="32" t="n">
        <f aca="false">IF(BQ529=0,IF(BY529=0,0,1),(BY529-BQ529)/BQ529)</f>
        <v>0</v>
      </c>
      <c r="CH529" s="32" t="n">
        <f aca="false">MAX(MAX(BZ529:CG529),-MIN(BZ529:CG529))</f>
        <v>-0</v>
      </c>
      <c r="CI529" s="31" t="n">
        <f aca="false">IF(CO529="","",SUMIFS($CJ$7:$CJ$696,$A$7:$A$696,CO529,$B$7:$B$696,B529))</f>
        <v>751253</v>
      </c>
      <c r="CJ529" s="31" t="n">
        <f aca="false">SUM(AY529:BI529)</f>
        <v>751253</v>
      </c>
      <c r="CK529" s="31" t="str">
        <f aca="false">IFERROR(INDEX(設定!$F$61:$F$106,MATCH(B529,設定!$B$61:$B$106,0)),"Y")</f>
        <v>N</v>
      </c>
      <c r="CL529" s="31" t="str">
        <f aca="false">IFERROR(INDEX(設定!$G$61:$G$106,MATCH(B529,設定!$B$61:$B$106,0)),"外郭型")</f>
        <v>外郭型</v>
      </c>
      <c r="CM529" s="33" t="str">
        <f aca="false">A529&amp;"|"&amp;B529</f>
        <v>2027-01 月例|産業振興センター</v>
      </c>
      <c r="CN529" s="34" t="str">
        <f aca="false">IFERROR(INDEX(設定!$D$61:$D$106,MATCH(B529,設定!$B$61:$B$106,0)),"Y")</f>
        <v>Y</v>
      </c>
      <c r="CO529" s="34" t="str">
        <f aca="false">IFERROR(INDEX(設定!$D$20:$D$34,MATCH(A529,設定!$A$20:$A$34,0))&amp;"","")</f>
        <v>2026-12 月例</v>
      </c>
    </row>
    <row r="530" customFormat="false" ht="15" hidden="true" customHeight="false" outlineLevel="0" collapsed="false">
      <c r="A530" s="22" t="s">
        <v>227</v>
      </c>
      <c r="B530" s="23" t="s">
        <v>186</v>
      </c>
      <c r="C530" s="10" t="str">
        <f aca="false">IF(G530="","未受領",IF(G530="なし","報告なし",IF(AL530="○","起票済",IF(OR(AK530="○",F530="一致",F530="入金不要"),"入金確認済","受領済"))))</f>
        <v>未受領</v>
      </c>
      <c r="D530" s="10" t="str">
        <f aca="false">IF(OR(G530="",G530="なし"),"―",IF(CN530="N","対象外",IF(AND(I530="",J530="",K530=""),"標報未入力",IF(CH530&gt;=設定!$B$4,"要確認","問題なし"))))</f>
        <v>―</v>
      </c>
      <c r="E530" s="24" t="str">
        <f aca="false">IF(OR(G530="",G530="なし",CI530="",CJ530=0),"―",IF(CJ530=CI530,"前月同額",IF(CI530=0,"―",IF(ABS(CJ530/CI530-1)&gt;=設定!$B$5,"変動大 "&amp;TEXT(CJ530/CI530-1,"+0%;-0%"),"〇"))))</f>
        <v>―</v>
      </c>
      <c r="F530" s="10" t="str">
        <f aca="false">IF(OR(G530="",G530="なし"),"―",IF(CJ530=0,"入金不要",IF(COUNT(AD530,AF530,AH530,AJ530)=0,IF(AK530="○","手動確認","未入金"),IF(AND(N(AD530)=AC530,IF(AE530="",TRUE(),N(AF530)=AE530),IF(AG530="",TRUE(),N(AH530)=AG530),IF(AI530="",TRUE(),N(AJ530)=AI530)),"一致","不一致"))))</f>
        <v>―</v>
      </c>
      <c r="G530" s="25"/>
      <c r="H530" s="26"/>
      <c r="I530" s="27"/>
      <c r="J530" s="27"/>
      <c r="K530" s="27"/>
      <c r="L530" s="27"/>
      <c r="M530" s="27"/>
      <c r="N530" s="27"/>
      <c r="O530" s="27"/>
      <c r="P530" s="27"/>
      <c r="Q530" s="27"/>
      <c r="R530" s="27"/>
      <c r="S530" s="27"/>
      <c r="T530" s="27"/>
      <c r="U530" s="27"/>
      <c r="V530" s="27"/>
      <c r="W530" s="27"/>
      <c r="X530" s="27"/>
      <c r="Y530" s="27"/>
      <c r="Z530" s="27"/>
      <c r="AA530" s="10" t="str">
        <f aca="false">IFERROR(INDEX(設定!$E$61:$E$106,MATCH(B530,設定!$B$61:$B$106,0)),"合算")</f>
        <v>合算</v>
      </c>
      <c r="AB530" s="28"/>
      <c r="AC530" s="29" t="str">
        <f aca="false">IF(OR(G530="",G530="なし"),"",IF(AA530="合算",CJ530+N(Z530),IF(AA530="掛金・負担金別",(AY530+AZ530+BD530+BF530+BH530),SUM(AY530:BC530))))</f>
        <v/>
      </c>
      <c r="AD530" s="27"/>
      <c r="AE530" s="29" t="str">
        <f aca="false">IF(OR(G530="",G530="なし"),"",IF(AA530="掛金・負担金別",(BA530+BB530+BC530+BE530+BG530+BI530+N(Z530)),IF(AA530="経理区分別",BD530+BE530,"")))</f>
        <v/>
      </c>
      <c r="AF530" s="27"/>
      <c r="AG530" s="29" t="str">
        <f aca="false">IF(OR(G530="",G530="なし"),"",IF(AA530="経理区分別",BF530+BG530,""))</f>
        <v/>
      </c>
      <c r="AH530" s="27"/>
      <c r="AI530" s="29" t="str">
        <f aca="false">IF(OR(G530="",G530="なし"),"",IF(AA530="経理区分別",BH530+BI530+N(Z530),""))</f>
        <v/>
      </c>
      <c r="AJ530" s="27"/>
      <c r="AK530" s="26"/>
      <c r="AL530" s="26"/>
      <c r="AM530" s="30"/>
      <c r="AN530" s="31"/>
      <c r="AO530" s="31"/>
      <c r="AP530" s="31" t="n">
        <v>86010</v>
      </c>
      <c r="AQ530" s="31" t="n">
        <v>7050</v>
      </c>
      <c r="AR530" s="31" t="n">
        <v>88</v>
      </c>
      <c r="AS530" s="31"/>
      <c r="AT530" s="31" t="n">
        <v>51803</v>
      </c>
      <c r="AU530" s="31"/>
      <c r="AV530" s="31" t="n">
        <v>7426</v>
      </c>
      <c r="AW530" s="31"/>
      <c r="AX530" s="31" t="n">
        <v>1</v>
      </c>
      <c r="AY530" s="31" t="n">
        <f aca="false">IF($G530="",AN530,O530)</f>
        <v>0</v>
      </c>
      <c r="AZ530" s="31" t="n">
        <f aca="false">IF($G530="",AO530,P530)</f>
        <v>0</v>
      </c>
      <c r="BA530" s="31" t="n">
        <f aca="false">IF($G530="",AP530,T530)</f>
        <v>86010</v>
      </c>
      <c r="BB530" s="31" t="n">
        <f aca="false">IF($G530="",AQ530,U530)</f>
        <v>7050</v>
      </c>
      <c r="BC530" s="31" t="n">
        <f aca="false">IF($G530="",AR530,V530)</f>
        <v>88</v>
      </c>
      <c r="BD530" s="31" t="n">
        <f aca="false">IF($G530="",AS530,Q530)</f>
        <v>0</v>
      </c>
      <c r="BE530" s="31" t="n">
        <f aca="false">IF($G530="",AT530,W530)</f>
        <v>51803</v>
      </c>
      <c r="BF530" s="31" t="n">
        <f aca="false">IF($G530="",AU530,R530)</f>
        <v>0</v>
      </c>
      <c r="BG530" s="31" t="n">
        <f aca="false">IF($G530="",AV530,X530)</f>
        <v>7426</v>
      </c>
      <c r="BH530" s="31" t="n">
        <f aca="false">IF($G530="",AW530,S530)</f>
        <v>0</v>
      </c>
      <c r="BI530" s="31" t="n">
        <f aca="false">IF($G530="",AX530,Y530)</f>
        <v>1</v>
      </c>
      <c r="BJ530" s="31" t="n">
        <f aca="false">IF(CK530="N",BR530,ROUNDDOWN((I530-L530)*設定!$B$10/1000,0)+ROUNDDOWN((I530-L530)*設定!$B$11/1000,0))</f>
        <v>0</v>
      </c>
      <c r="BK530" s="31" t="n">
        <f aca="false">ROUNDDOWN((I530-L530)*設定!$C$10/1000,0)+ROUNDDOWN((I530-L530)*設定!$C$11/1000,0)+ROUNDDOWN(I530*設定!$C$12/1000,0)+IF(CL530="市局型",ROUNDDOWN(I530*設定!$C$16/1000,0),0)</f>
        <v>0</v>
      </c>
      <c r="BL530" s="31" t="n">
        <f aca="false">IF(CK530="N",BT530,ROUNDDOWN((J530-M530)*設定!$B$13/1000,0))</f>
        <v>0</v>
      </c>
      <c r="BM530" s="31" t="n">
        <f aca="false">ROUNDDOWN((J530-M530)*設定!$C$13/1000,0)+IF(CL530="市局型",ROUNDDOWN(J530*設定!$C$17/1000,0),0)</f>
        <v>0</v>
      </c>
      <c r="BN530" s="31" t="n">
        <f aca="false">IF(CK530="N",BV530,ROUNDDOWN((K530-N530)*設定!$B$14/1000,0))</f>
        <v>0</v>
      </c>
      <c r="BO530" s="31" t="n">
        <f aca="false">ROUNDDOWN((K530-N530)*設定!$C$14/1000,0)</f>
        <v>0</v>
      </c>
      <c r="BP530" s="31" t="n">
        <f aca="false">IF(CK530="N",BX530,ROUNDDOWN((J530-M530)*設定!$B$15/1000,0))</f>
        <v>0</v>
      </c>
      <c r="BQ530" s="31" t="n">
        <f aca="false">ROUNDDOWN((J530-M530)*設定!$C$15/1000,0)</f>
        <v>0</v>
      </c>
      <c r="BR530" s="31" t="n">
        <f aca="false">O530+P530</f>
        <v>0</v>
      </c>
      <c r="BS530" s="31" t="n">
        <f aca="false">T530+U530+V530</f>
        <v>0</v>
      </c>
      <c r="BT530" s="31" t="n">
        <f aca="false">Q530</f>
        <v>0</v>
      </c>
      <c r="BU530" s="31" t="n">
        <f aca="false">W530</f>
        <v>0</v>
      </c>
      <c r="BV530" s="31" t="n">
        <f aca="false">R530</f>
        <v>0</v>
      </c>
      <c r="BW530" s="31" t="n">
        <f aca="false">X530</f>
        <v>0</v>
      </c>
      <c r="BX530" s="31" t="n">
        <f aca="false">S530</f>
        <v>0</v>
      </c>
      <c r="BY530" s="31" t="n">
        <f aca="false">Y530</f>
        <v>0</v>
      </c>
      <c r="BZ530" s="32" t="n">
        <f aca="false">IF(BJ530=0,IF(BR530=0,0,1),(BR530-BJ530)/BJ530)</f>
        <v>0</v>
      </c>
      <c r="CA530" s="32" t="n">
        <f aca="false">IF(BK530=0,IF(BS530=0,0,1),(BS530-BK530)/BK530)</f>
        <v>0</v>
      </c>
      <c r="CB530" s="32" t="n">
        <f aca="false">IF(BL530=0,IF(BT530=0,0,1),(BT530-BL530)/BL530)</f>
        <v>0</v>
      </c>
      <c r="CC530" s="32" t="n">
        <f aca="false">IF(BM530=0,IF(BU530=0,0,1),(BU530-BM530)/BM530)</f>
        <v>0</v>
      </c>
      <c r="CD530" s="32" t="n">
        <f aca="false">IF(BN530=0,IF(BV530=0,0,1),(BV530-BN530)/BN530)</f>
        <v>0</v>
      </c>
      <c r="CE530" s="32" t="n">
        <f aca="false">IF(BO530=0,IF(BW530=0,0,1),(BW530-BO530)/BO530)</f>
        <v>0</v>
      </c>
      <c r="CF530" s="32" t="n">
        <f aca="false">IF(BP530=0,IF(BX530=0,0,1),(BX530-BP530)/BP530)</f>
        <v>0</v>
      </c>
      <c r="CG530" s="32" t="n">
        <f aca="false">IF(BQ530=0,IF(BY530=0,0,1),(BY530-BQ530)/BQ530)</f>
        <v>0</v>
      </c>
      <c r="CH530" s="32" t="n">
        <f aca="false">MAX(MAX(BZ530:CG530),-MIN(BZ530:CG530))</f>
        <v>-0</v>
      </c>
      <c r="CI530" s="31" t="n">
        <f aca="false">IF(CO530="","",SUMIFS($CJ$7:$CJ$696,$A$7:$A$696,CO530,$B$7:$B$696,B530))</f>
        <v>152378</v>
      </c>
      <c r="CJ530" s="31" t="n">
        <f aca="false">SUM(AY530:BI530)</f>
        <v>152378</v>
      </c>
      <c r="CK530" s="31" t="str">
        <f aca="false">IFERROR(INDEX(設定!$F$61:$F$106,MATCH(B530,設定!$B$61:$B$106,0)),"Y")</f>
        <v>N</v>
      </c>
      <c r="CL530" s="31" t="str">
        <f aca="false">IFERROR(INDEX(設定!$G$61:$G$106,MATCH(B530,設定!$B$61:$B$106,0)),"外郭型")</f>
        <v>外郭型</v>
      </c>
      <c r="CM530" s="33" t="str">
        <f aca="false">A530&amp;"|"&amp;B530</f>
        <v>2027-01 月例|ひろしま産業振興</v>
      </c>
      <c r="CN530" s="34" t="str">
        <f aca="false">IFERROR(INDEX(設定!$D$61:$D$106,MATCH(B530,設定!$B$61:$B$106,0)),"Y")</f>
        <v>Y</v>
      </c>
      <c r="CO530" s="34" t="str">
        <f aca="false">IFERROR(INDEX(設定!$D$20:$D$34,MATCH(A530,設定!$A$20:$A$34,0))&amp;"","")</f>
        <v>2026-12 月例</v>
      </c>
    </row>
    <row r="531" customFormat="false" ht="15" hidden="true" customHeight="false" outlineLevel="0" collapsed="false">
      <c r="A531" s="22" t="s">
        <v>227</v>
      </c>
      <c r="B531" s="23" t="s">
        <v>187</v>
      </c>
      <c r="C531" s="10" t="str">
        <f aca="false">IF(G531="","未受領",IF(G531="なし","報告なし",IF(AL531="○","起票済",IF(OR(AK531="○",F531="一致",F531="入金不要"),"入金確認済","受領済"))))</f>
        <v>未受領</v>
      </c>
      <c r="D531" s="10" t="str">
        <f aca="false">IF(OR(G531="",G531="なし"),"―",IF(CN531="N","対象外",IF(AND(I531="",J531="",K531=""),"標報未入力",IF(CH531&gt;=設定!$B$4,"要確認","問題なし"))))</f>
        <v>―</v>
      </c>
      <c r="E531" s="24" t="str">
        <f aca="false">IF(OR(G531="",G531="なし",CI531="",CJ531=0),"―",IF(CJ531=CI531,"前月同額",IF(CI531=0,"―",IF(ABS(CJ531/CI531-1)&gt;=設定!$B$5,"変動大 "&amp;TEXT(CJ531/CI531-1,"+0%;-0%"),"〇"))))</f>
        <v>―</v>
      </c>
      <c r="F531" s="10" t="str">
        <f aca="false">IF(OR(G531="",G531="なし"),"―",IF(CJ531=0,"入金不要",IF(COUNT(AD531,AF531,AH531,AJ531)=0,IF(AK531="○","手動確認","未入金"),IF(AND(N(AD531)=AC531,IF(AE531="",TRUE(),N(AF531)=AE531),IF(AG531="",TRUE(),N(AH531)=AG531),IF(AI531="",TRUE(),N(AJ531)=AI531)),"一致","不一致"))))</f>
        <v>―</v>
      </c>
      <c r="G531" s="25"/>
      <c r="H531" s="26"/>
      <c r="I531" s="27"/>
      <c r="J531" s="27"/>
      <c r="K531" s="27"/>
      <c r="L531" s="27"/>
      <c r="M531" s="27"/>
      <c r="N531" s="27"/>
      <c r="O531" s="27"/>
      <c r="P531" s="27"/>
      <c r="Q531" s="27"/>
      <c r="R531" s="27"/>
      <c r="S531" s="27"/>
      <c r="T531" s="27"/>
      <c r="U531" s="27"/>
      <c r="V531" s="27"/>
      <c r="W531" s="27"/>
      <c r="X531" s="27"/>
      <c r="Y531" s="27"/>
      <c r="Z531" s="27"/>
      <c r="AA531" s="10" t="str">
        <f aca="false">IFERROR(INDEX(設定!$E$61:$E$106,MATCH(B531,設定!$B$61:$B$106,0)),"合算")</f>
        <v>合算</v>
      </c>
      <c r="AB531" s="28"/>
      <c r="AC531" s="29" t="str">
        <f aca="false">IF(OR(G531="",G531="なし"),"",IF(AA531="合算",CJ531+N(Z531),IF(AA531="掛金・負担金別",(AY531+AZ531+BD531+BF531+BH531),SUM(AY531:BC531))))</f>
        <v/>
      </c>
      <c r="AD531" s="27"/>
      <c r="AE531" s="29" t="str">
        <f aca="false">IF(OR(G531="",G531="なし"),"",IF(AA531="掛金・負担金別",(BA531+BB531+BC531+BE531+BG531+BI531+N(Z531)),IF(AA531="経理区分別",BD531+BE531,"")))</f>
        <v/>
      </c>
      <c r="AF531" s="27"/>
      <c r="AG531" s="29" t="str">
        <f aca="false">IF(OR(G531="",G531="なし"),"",IF(AA531="経理区分別",BF531+BG531,""))</f>
        <v/>
      </c>
      <c r="AH531" s="27"/>
      <c r="AI531" s="29" t="str">
        <f aca="false">IF(OR(G531="",G531="なし"),"",IF(AA531="経理区分別",BH531+BI531+N(Z531),""))</f>
        <v/>
      </c>
      <c r="AJ531" s="27"/>
      <c r="AK531" s="26"/>
      <c r="AL531" s="26"/>
      <c r="AM531" s="30"/>
      <c r="AN531" s="31"/>
      <c r="AO531" s="31"/>
      <c r="AP531" s="31" t="n">
        <v>48495</v>
      </c>
      <c r="AQ531" s="31" t="n">
        <v>3975</v>
      </c>
      <c r="AR531" s="31" t="n">
        <v>49</v>
      </c>
      <c r="AS531" s="31"/>
      <c r="AT531" s="31" t="n">
        <v>29208</v>
      </c>
      <c r="AU531" s="31"/>
      <c r="AV531" s="31" t="n">
        <v>4187</v>
      </c>
      <c r="AW531" s="31"/>
      <c r="AX531" s="31" t="n">
        <v>1</v>
      </c>
      <c r="AY531" s="31" t="n">
        <f aca="false">IF($G531="",AN531,O531)</f>
        <v>0</v>
      </c>
      <c r="AZ531" s="31" t="n">
        <f aca="false">IF($G531="",AO531,P531)</f>
        <v>0</v>
      </c>
      <c r="BA531" s="31" t="n">
        <f aca="false">IF($G531="",AP531,T531)</f>
        <v>48495</v>
      </c>
      <c r="BB531" s="31" t="n">
        <f aca="false">IF($G531="",AQ531,U531)</f>
        <v>3975</v>
      </c>
      <c r="BC531" s="31" t="n">
        <f aca="false">IF($G531="",AR531,V531)</f>
        <v>49</v>
      </c>
      <c r="BD531" s="31" t="n">
        <f aca="false">IF($G531="",AS531,Q531)</f>
        <v>0</v>
      </c>
      <c r="BE531" s="31" t="n">
        <f aca="false">IF($G531="",AT531,W531)</f>
        <v>29208</v>
      </c>
      <c r="BF531" s="31" t="n">
        <f aca="false">IF($G531="",AU531,R531)</f>
        <v>0</v>
      </c>
      <c r="BG531" s="31" t="n">
        <f aca="false">IF($G531="",AV531,X531)</f>
        <v>4187</v>
      </c>
      <c r="BH531" s="31" t="n">
        <f aca="false">IF($G531="",AW531,S531)</f>
        <v>0</v>
      </c>
      <c r="BI531" s="31" t="n">
        <f aca="false">IF($G531="",AX531,Y531)</f>
        <v>1</v>
      </c>
      <c r="BJ531" s="31" t="n">
        <f aca="false">IF(CK531="N",BR531,ROUNDDOWN((I531-L531)*設定!$B$10/1000,0)+ROUNDDOWN((I531-L531)*設定!$B$11/1000,0))</f>
        <v>0</v>
      </c>
      <c r="BK531" s="31" t="n">
        <f aca="false">ROUNDDOWN((I531-L531)*設定!$C$10/1000,0)+ROUNDDOWN((I531-L531)*設定!$C$11/1000,0)+ROUNDDOWN(I531*設定!$C$12/1000,0)+IF(CL531="市局型",ROUNDDOWN(I531*設定!$C$16/1000,0),0)</f>
        <v>0</v>
      </c>
      <c r="BL531" s="31" t="n">
        <f aca="false">IF(CK531="N",BT531,ROUNDDOWN((J531-M531)*設定!$B$13/1000,0))</f>
        <v>0</v>
      </c>
      <c r="BM531" s="31" t="n">
        <f aca="false">ROUNDDOWN((J531-M531)*設定!$C$13/1000,0)+IF(CL531="市局型",ROUNDDOWN(J531*設定!$C$17/1000,0),0)</f>
        <v>0</v>
      </c>
      <c r="BN531" s="31" t="n">
        <f aca="false">IF(CK531="N",BV531,ROUNDDOWN((K531-N531)*設定!$B$14/1000,0))</f>
        <v>0</v>
      </c>
      <c r="BO531" s="31" t="n">
        <f aca="false">ROUNDDOWN((K531-N531)*設定!$C$14/1000,0)</f>
        <v>0</v>
      </c>
      <c r="BP531" s="31" t="n">
        <f aca="false">IF(CK531="N",BX531,ROUNDDOWN((J531-M531)*設定!$B$15/1000,0))</f>
        <v>0</v>
      </c>
      <c r="BQ531" s="31" t="n">
        <f aca="false">ROUNDDOWN((J531-M531)*設定!$C$15/1000,0)</f>
        <v>0</v>
      </c>
      <c r="BR531" s="31" t="n">
        <f aca="false">O531+P531</f>
        <v>0</v>
      </c>
      <c r="BS531" s="31" t="n">
        <f aca="false">T531+U531+V531</f>
        <v>0</v>
      </c>
      <c r="BT531" s="31" t="n">
        <f aca="false">Q531</f>
        <v>0</v>
      </c>
      <c r="BU531" s="31" t="n">
        <f aca="false">W531</f>
        <v>0</v>
      </c>
      <c r="BV531" s="31" t="n">
        <f aca="false">R531</f>
        <v>0</v>
      </c>
      <c r="BW531" s="31" t="n">
        <f aca="false">X531</f>
        <v>0</v>
      </c>
      <c r="BX531" s="31" t="n">
        <f aca="false">S531</f>
        <v>0</v>
      </c>
      <c r="BY531" s="31" t="n">
        <f aca="false">Y531</f>
        <v>0</v>
      </c>
      <c r="BZ531" s="32" t="n">
        <f aca="false">IF(BJ531=0,IF(BR531=0,0,1),(BR531-BJ531)/BJ531)</f>
        <v>0</v>
      </c>
      <c r="CA531" s="32" t="n">
        <f aca="false">IF(BK531=0,IF(BS531=0,0,1),(BS531-BK531)/BK531)</f>
        <v>0</v>
      </c>
      <c r="CB531" s="32" t="n">
        <f aca="false">IF(BL531=0,IF(BT531=0,0,1),(BT531-BL531)/BL531)</f>
        <v>0</v>
      </c>
      <c r="CC531" s="32" t="n">
        <f aca="false">IF(BM531=0,IF(BU531=0,0,1),(BU531-BM531)/BM531)</f>
        <v>0</v>
      </c>
      <c r="CD531" s="32" t="n">
        <f aca="false">IF(BN531=0,IF(BV531=0,0,1),(BV531-BN531)/BN531)</f>
        <v>0</v>
      </c>
      <c r="CE531" s="32" t="n">
        <f aca="false">IF(BO531=0,IF(BW531=0,0,1),(BW531-BO531)/BO531)</f>
        <v>0</v>
      </c>
      <c r="CF531" s="32" t="n">
        <f aca="false">IF(BP531=0,IF(BX531=0,0,1),(BX531-BP531)/BP531)</f>
        <v>0</v>
      </c>
      <c r="CG531" s="32" t="n">
        <f aca="false">IF(BQ531=0,IF(BY531=0,0,1),(BY531-BQ531)/BQ531)</f>
        <v>0</v>
      </c>
      <c r="CH531" s="32" t="n">
        <f aca="false">MAX(MAX(BZ531:CG531),-MIN(BZ531:CG531))</f>
        <v>-0</v>
      </c>
      <c r="CI531" s="31" t="n">
        <f aca="false">IF(CO531="","",SUMIFS($CJ$7:$CJ$696,$A$7:$A$696,CO531,$B$7:$B$696,B531))</f>
        <v>85915</v>
      </c>
      <c r="CJ531" s="31" t="n">
        <f aca="false">SUM(AY531:BI531)</f>
        <v>85915</v>
      </c>
      <c r="CK531" s="31" t="str">
        <f aca="false">IFERROR(INDEX(設定!$F$61:$F$106,MATCH(B531,設定!$B$61:$B$106,0)),"Y")</f>
        <v>N</v>
      </c>
      <c r="CL531" s="31" t="str">
        <f aca="false">IFERROR(INDEX(設定!$G$61:$G$106,MATCH(B531,設定!$B$61:$B$106,0)),"外郭型")</f>
        <v>外郭型</v>
      </c>
      <c r="CM531" s="33" t="str">
        <f aca="false">A531&amp;"|"&amp;B531</f>
        <v>2027-01 月例|都市整備公社　市</v>
      </c>
      <c r="CN531" s="34" t="str">
        <f aca="false">IFERROR(INDEX(設定!$D$61:$D$106,MATCH(B531,設定!$B$61:$B$106,0)),"Y")</f>
        <v>Y</v>
      </c>
      <c r="CO531" s="34" t="str">
        <f aca="false">IFERROR(INDEX(設定!$D$20:$D$34,MATCH(A531,設定!$A$20:$A$34,0))&amp;"","")</f>
        <v>2026-12 月例</v>
      </c>
    </row>
    <row r="532" customFormat="false" ht="15" hidden="true" customHeight="false" outlineLevel="0" collapsed="false">
      <c r="A532" s="22" t="s">
        <v>227</v>
      </c>
      <c r="B532" s="23" t="s">
        <v>188</v>
      </c>
      <c r="C532" s="10" t="str">
        <f aca="false">IF(G532="","未受領",IF(G532="なし","報告なし",IF(AL532="○","起票済",IF(OR(AK532="○",F532="一致",F532="入金不要"),"入金確認済","受領済"))))</f>
        <v>未受領</v>
      </c>
      <c r="D532" s="10" t="str">
        <f aca="false">IF(OR(G532="",G532="なし"),"―",IF(CN532="N","対象外",IF(AND(I532="",J532="",K532=""),"標報未入力",IF(CH532&gt;=設定!$B$4,"要確認","問題なし"))))</f>
        <v>―</v>
      </c>
      <c r="E532" s="24" t="str">
        <f aca="false">IF(OR(G532="",G532="なし",CI532="",CJ532=0),"―",IF(CJ532=CI532,"前月同額",IF(CI532=0,"―",IF(ABS(CJ532/CI532-1)&gt;=設定!$B$5,"変動大 "&amp;TEXT(CJ532/CI532-1,"+0%;-0%"),"〇"))))</f>
        <v>―</v>
      </c>
      <c r="F532" s="10" t="str">
        <f aca="false">IF(OR(G532="",G532="なし"),"―",IF(CJ532=0,"入金不要",IF(COUNT(AD532,AF532,AH532,AJ532)=0,IF(AK532="○","手動確認","未入金"),IF(AND(N(AD532)=AC532,IF(AE532="",TRUE(),N(AF532)=AE532),IF(AG532="",TRUE(),N(AH532)=AG532),IF(AI532="",TRUE(),N(AJ532)=AI532)),"一致","不一致"))))</f>
        <v>―</v>
      </c>
      <c r="G532" s="25"/>
      <c r="H532" s="26"/>
      <c r="I532" s="27"/>
      <c r="J532" s="27"/>
      <c r="K532" s="27"/>
      <c r="L532" s="27"/>
      <c r="M532" s="27"/>
      <c r="N532" s="27"/>
      <c r="O532" s="27"/>
      <c r="P532" s="27"/>
      <c r="Q532" s="27"/>
      <c r="R532" s="27"/>
      <c r="S532" s="27"/>
      <c r="T532" s="27"/>
      <c r="U532" s="27"/>
      <c r="V532" s="27"/>
      <c r="W532" s="27"/>
      <c r="X532" s="27"/>
      <c r="Y532" s="27"/>
      <c r="Z532" s="27"/>
      <c r="AA532" s="10" t="str">
        <f aca="false">IFERROR(INDEX(設定!$E$61:$E$106,MATCH(B532,設定!$B$61:$B$106,0)),"合算")</f>
        <v>合算</v>
      </c>
      <c r="AB532" s="28"/>
      <c r="AC532" s="29" t="str">
        <f aca="false">IF(OR(G532="",G532="なし"),"",IF(AA532="合算",CJ532+N(Z532),IF(AA532="掛金・負担金別",(AY532+AZ532+BD532+BF532+BH532),SUM(AY532:BC532))))</f>
        <v/>
      </c>
      <c r="AD532" s="27"/>
      <c r="AE532" s="29" t="str">
        <f aca="false">IF(OR(G532="",G532="なし"),"",IF(AA532="掛金・負担金別",(BA532+BB532+BC532+BE532+BG532+BI532+N(Z532)),IF(AA532="経理区分別",BD532+BE532,"")))</f>
        <v/>
      </c>
      <c r="AF532" s="27"/>
      <c r="AG532" s="29" t="str">
        <f aca="false">IF(OR(G532="",G532="なし"),"",IF(AA532="経理区分別",BF532+BG532,""))</f>
        <v/>
      </c>
      <c r="AH532" s="27"/>
      <c r="AI532" s="29" t="str">
        <f aca="false">IF(OR(G532="",G532="なし"),"",IF(AA532="経理区分別",BH532+BI532+N(Z532),""))</f>
        <v/>
      </c>
      <c r="AJ532" s="27"/>
      <c r="AK532" s="26"/>
      <c r="AL532" s="26"/>
      <c r="AM532" s="30"/>
      <c r="AN532" s="31"/>
      <c r="AO532" s="31"/>
      <c r="AP532" s="31" t="n">
        <v>124440</v>
      </c>
      <c r="AQ532" s="31" t="n">
        <v>10200</v>
      </c>
      <c r="AR532" s="31" t="n">
        <v>127</v>
      </c>
      <c r="AS532" s="31"/>
      <c r="AT532" s="31" t="n">
        <v>74949</v>
      </c>
      <c r="AU532" s="31"/>
      <c r="AV532" s="31" t="n">
        <v>7031</v>
      </c>
      <c r="AW532" s="31"/>
      <c r="AX532" s="31" t="n">
        <v>1</v>
      </c>
      <c r="AY532" s="31" t="n">
        <f aca="false">IF($G532="",AN532,O532)</f>
        <v>0</v>
      </c>
      <c r="AZ532" s="31" t="n">
        <f aca="false">IF($G532="",AO532,P532)</f>
        <v>0</v>
      </c>
      <c r="BA532" s="31" t="n">
        <f aca="false">IF($G532="",AP532,T532)</f>
        <v>124440</v>
      </c>
      <c r="BB532" s="31" t="n">
        <f aca="false">IF($G532="",AQ532,U532)</f>
        <v>10200</v>
      </c>
      <c r="BC532" s="31" t="n">
        <f aca="false">IF($G532="",AR532,V532)</f>
        <v>127</v>
      </c>
      <c r="BD532" s="31" t="n">
        <f aca="false">IF($G532="",AS532,Q532)</f>
        <v>0</v>
      </c>
      <c r="BE532" s="31" t="n">
        <f aca="false">IF($G532="",AT532,W532)</f>
        <v>74949</v>
      </c>
      <c r="BF532" s="31" t="n">
        <f aca="false">IF($G532="",AU532,R532)</f>
        <v>0</v>
      </c>
      <c r="BG532" s="31" t="n">
        <f aca="false">IF($G532="",AV532,X532)</f>
        <v>7031</v>
      </c>
      <c r="BH532" s="31" t="n">
        <f aca="false">IF($G532="",AW532,S532)</f>
        <v>0</v>
      </c>
      <c r="BI532" s="31" t="n">
        <f aca="false">IF($G532="",AX532,Y532)</f>
        <v>1</v>
      </c>
      <c r="BJ532" s="31" t="n">
        <f aca="false">IF(CK532="N",BR532,ROUNDDOWN((I532-L532)*設定!$B$10/1000,0)+ROUNDDOWN((I532-L532)*設定!$B$11/1000,0))</f>
        <v>0</v>
      </c>
      <c r="BK532" s="31" t="n">
        <f aca="false">ROUNDDOWN((I532-L532)*設定!$C$10/1000,0)+ROUNDDOWN((I532-L532)*設定!$C$11/1000,0)+ROUNDDOWN(I532*設定!$C$12/1000,0)+IF(CL532="市局型",ROUNDDOWN(I532*設定!$C$16/1000,0),0)</f>
        <v>0</v>
      </c>
      <c r="BL532" s="31" t="n">
        <f aca="false">IF(CK532="N",BT532,ROUNDDOWN((J532-M532)*設定!$B$13/1000,0))</f>
        <v>0</v>
      </c>
      <c r="BM532" s="31" t="n">
        <f aca="false">ROUNDDOWN((J532-M532)*設定!$C$13/1000,0)+IF(CL532="市局型",ROUNDDOWN(J532*設定!$C$17/1000,0),0)</f>
        <v>0</v>
      </c>
      <c r="BN532" s="31" t="n">
        <f aca="false">IF(CK532="N",BV532,ROUNDDOWN((K532-N532)*設定!$B$14/1000,0))</f>
        <v>0</v>
      </c>
      <c r="BO532" s="31" t="n">
        <f aca="false">ROUNDDOWN((K532-N532)*設定!$C$14/1000,0)</f>
        <v>0</v>
      </c>
      <c r="BP532" s="31" t="n">
        <f aca="false">IF(CK532="N",BX532,ROUNDDOWN((J532-M532)*設定!$B$15/1000,0))</f>
        <v>0</v>
      </c>
      <c r="BQ532" s="31" t="n">
        <f aca="false">ROUNDDOWN((J532-M532)*設定!$C$15/1000,0)</f>
        <v>0</v>
      </c>
      <c r="BR532" s="31" t="n">
        <f aca="false">O532+P532</f>
        <v>0</v>
      </c>
      <c r="BS532" s="31" t="n">
        <f aca="false">T532+U532+V532</f>
        <v>0</v>
      </c>
      <c r="BT532" s="31" t="n">
        <f aca="false">Q532</f>
        <v>0</v>
      </c>
      <c r="BU532" s="31" t="n">
        <f aca="false">W532</f>
        <v>0</v>
      </c>
      <c r="BV532" s="31" t="n">
        <f aca="false">R532</f>
        <v>0</v>
      </c>
      <c r="BW532" s="31" t="n">
        <f aca="false">X532</f>
        <v>0</v>
      </c>
      <c r="BX532" s="31" t="n">
        <f aca="false">S532</f>
        <v>0</v>
      </c>
      <c r="BY532" s="31" t="n">
        <f aca="false">Y532</f>
        <v>0</v>
      </c>
      <c r="BZ532" s="32" t="n">
        <f aca="false">IF(BJ532=0,IF(BR532=0,0,1),(BR532-BJ532)/BJ532)</f>
        <v>0</v>
      </c>
      <c r="CA532" s="32" t="n">
        <f aca="false">IF(BK532=0,IF(BS532=0,0,1),(BS532-BK532)/BK532)</f>
        <v>0</v>
      </c>
      <c r="CB532" s="32" t="n">
        <f aca="false">IF(BL532=0,IF(BT532=0,0,1),(BT532-BL532)/BL532)</f>
        <v>0</v>
      </c>
      <c r="CC532" s="32" t="n">
        <f aca="false">IF(BM532=0,IF(BU532=0,0,1),(BU532-BM532)/BM532)</f>
        <v>0</v>
      </c>
      <c r="CD532" s="32" t="n">
        <f aca="false">IF(BN532=0,IF(BV532=0,0,1),(BV532-BN532)/BN532)</f>
        <v>0</v>
      </c>
      <c r="CE532" s="32" t="n">
        <f aca="false">IF(BO532=0,IF(BW532=0,0,1),(BW532-BO532)/BO532)</f>
        <v>0</v>
      </c>
      <c r="CF532" s="32" t="n">
        <f aca="false">IF(BP532=0,IF(BX532=0,0,1),(BX532-BP532)/BP532)</f>
        <v>0</v>
      </c>
      <c r="CG532" s="32" t="n">
        <f aca="false">IF(BQ532=0,IF(BY532=0,0,1),(BY532-BQ532)/BQ532)</f>
        <v>0</v>
      </c>
      <c r="CH532" s="32" t="n">
        <f aca="false">MAX(MAX(BZ532:CG532),-MIN(BZ532:CG532))</f>
        <v>-0</v>
      </c>
      <c r="CI532" s="31" t="n">
        <f aca="false">IF(CO532="","",SUMIFS($CJ$7:$CJ$696,$A$7:$A$696,CO532,$B$7:$B$696,B532))</f>
        <v>216748</v>
      </c>
      <c r="CJ532" s="31" t="n">
        <f aca="false">SUM(AY532:BI532)</f>
        <v>216748</v>
      </c>
      <c r="CK532" s="31" t="str">
        <f aca="false">IFERROR(INDEX(設定!$F$61:$F$106,MATCH(B532,設定!$B$61:$B$106,0)),"Y")</f>
        <v>N</v>
      </c>
      <c r="CL532" s="31" t="str">
        <f aca="false">IFERROR(INDEX(設定!$G$61:$G$106,MATCH(B532,設定!$B$61:$B$106,0)),"外郭型")</f>
        <v>外郭型</v>
      </c>
      <c r="CM532" s="33" t="str">
        <f aca="false">A532&amp;"|"&amp;B532</f>
        <v>2027-01 月例|都市整備公社　消防</v>
      </c>
      <c r="CN532" s="34" t="str">
        <f aca="false">IFERROR(INDEX(設定!$D$61:$D$106,MATCH(B532,設定!$B$61:$B$106,0)),"Y")</f>
        <v>Y</v>
      </c>
      <c r="CO532" s="34" t="str">
        <f aca="false">IFERROR(INDEX(設定!$D$20:$D$34,MATCH(A532,設定!$A$20:$A$34,0))&amp;"","")</f>
        <v>2026-12 月例</v>
      </c>
    </row>
    <row r="533" customFormat="false" ht="15" hidden="true" customHeight="false" outlineLevel="0" collapsed="false">
      <c r="A533" s="22" t="s">
        <v>227</v>
      </c>
      <c r="B533" s="23" t="s">
        <v>189</v>
      </c>
      <c r="C533" s="10" t="str">
        <f aca="false">IF(G533="","未受領",IF(G533="なし","報告なし",IF(AL533="○","起票済",IF(OR(AK533="○",F533="一致",F533="入金不要"),"入金確認済","受領済"))))</f>
        <v>未受領</v>
      </c>
      <c r="D533" s="10" t="str">
        <f aca="false">IF(OR(G533="",G533="なし"),"―",IF(CN533="N","対象外",IF(AND(I533="",J533="",K533=""),"標報未入力",IF(CH533&gt;=設定!$B$4,"要確認","問題なし"))))</f>
        <v>―</v>
      </c>
      <c r="E533" s="24" t="str">
        <f aca="false">IF(OR(G533="",G533="なし",CI533="",CJ533=0),"―",IF(CJ533=CI533,"前月同額",IF(CI533=0,"―",IF(ABS(CJ533/CI533-1)&gt;=設定!$B$5,"変動大 "&amp;TEXT(CJ533/CI533-1,"+0%;-0%"),"〇"))))</f>
        <v>―</v>
      </c>
      <c r="F533" s="10" t="str">
        <f aca="false">IF(OR(G533="",G533="なし"),"―",IF(CJ533=0,"入金不要",IF(COUNT(AD533,AF533,AH533,AJ533)=0,IF(AK533="○","手動確認","未入金"),IF(AND(N(AD533)=AC533,IF(AE533="",TRUE(),N(AF533)=AE533),IF(AG533="",TRUE(),N(AH533)=AG533),IF(AI533="",TRUE(),N(AJ533)=AI533)),"一致","不一致"))))</f>
        <v>―</v>
      </c>
      <c r="G533" s="25"/>
      <c r="H533" s="26"/>
      <c r="I533" s="27"/>
      <c r="J533" s="27"/>
      <c r="K533" s="27"/>
      <c r="L533" s="27"/>
      <c r="M533" s="27"/>
      <c r="N533" s="27"/>
      <c r="O533" s="27"/>
      <c r="P533" s="27"/>
      <c r="Q533" s="27"/>
      <c r="R533" s="27"/>
      <c r="S533" s="27"/>
      <c r="T533" s="27"/>
      <c r="U533" s="27"/>
      <c r="V533" s="27"/>
      <c r="W533" s="27"/>
      <c r="X533" s="27"/>
      <c r="Y533" s="27"/>
      <c r="Z533" s="27"/>
      <c r="AA533" s="10" t="str">
        <f aca="false">IFERROR(INDEX(設定!$E$61:$E$106,MATCH(B533,設定!$B$61:$B$106,0)),"合算")</f>
        <v>合算</v>
      </c>
      <c r="AB533" s="28"/>
      <c r="AC533" s="29" t="str">
        <f aca="false">IF(OR(G533="",G533="なし"),"",IF(AA533="合算",CJ533+N(Z533),IF(AA533="掛金・負担金別",(AY533+AZ533+BD533+BF533+BH533),SUM(AY533:BC533))))</f>
        <v/>
      </c>
      <c r="AD533" s="27"/>
      <c r="AE533" s="29" t="str">
        <f aca="false">IF(OR(G533="",G533="なし"),"",IF(AA533="掛金・負担金別",(BA533+BB533+BC533+BE533+BG533+BI533+N(Z533)),IF(AA533="経理区分別",BD533+BE533,"")))</f>
        <v/>
      </c>
      <c r="AF533" s="27"/>
      <c r="AG533" s="29" t="str">
        <f aca="false">IF(OR(G533="",G533="なし"),"",IF(AA533="経理区分別",BF533+BG533,""))</f>
        <v/>
      </c>
      <c r="AH533" s="27"/>
      <c r="AI533" s="29" t="str">
        <f aca="false">IF(OR(G533="",G533="なし"),"",IF(AA533="経理区分別",BH533+BI533+N(Z533),""))</f>
        <v/>
      </c>
      <c r="AJ533" s="27"/>
      <c r="AK533" s="26"/>
      <c r="AL533" s="26"/>
      <c r="AM533" s="30"/>
      <c r="AN533" s="31" t="n">
        <v>245220</v>
      </c>
      <c r="AO533" s="31" t="n">
        <v>20100</v>
      </c>
      <c r="AP533" s="31" t="n">
        <v>245220</v>
      </c>
      <c r="AQ533" s="31" t="n">
        <v>20100</v>
      </c>
      <c r="AR533" s="31" t="n">
        <v>251</v>
      </c>
      <c r="AS533" s="31" t="n">
        <v>147425</v>
      </c>
      <c r="AT533" s="31" t="n">
        <v>147694</v>
      </c>
      <c r="AU533" s="31" t="n">
        <v>9559</v>
      </c>
      <c r="AV533" s="31" t="n">
        <v>9559</v>
      </c>
      <c r="AW533" s="31" t="n">
        <v>1</v>
      </c>
      <c r="AX533" s="31" t="n">
        <v>1</v>
      </c>
      <c r="AY533" s="31" t="n">
        <f aca="false">IF($G533="",AN533,O533)</f>
        <v>245220</v>
      </c>
      <c r="AZ533" s="31" t="n">
        <f aca="false">IF($G533="",AO533,P533)</f>
        <v>20100</v>
      </c>
      <c r="BA533" s="31" t="n">
        <f aca="false">IF($G533="",AP533,T533)</f>
        <v>245220</v>
      </c>
      <c r="BB533" s="31" t="n">
        <f aca="false">IF($G533="",AQ533,U533)</f>
        <v>20100</v>
      </c>
      <c r="BC533" s="31" t="n">
        <f aca="false">IF($G533="",AR533,V533)</f>
        <v>251</v>
      </c>
      <c r="BD533" s="31" t="n">
        <f aca="false">IF($G533="",AS533,Q533)</f>
        <v>147425</v>
      </c>
      <c r="BE533" s="31" t="n">
        <f aca="false">IF($G533="",AT533,W533)</f>
        <v>147694</v>
      </c>
      <c r="BF533" s="31" t="n">
        <f aca="false">IF($G533="",AU533,R533)</f>
        <v>9559</v>
      </c>
      <c r="BG533" s="31" t="n">
        <f aca="false">IF($G533="",AV533,X533)</f>
        <v>9559</v>
      </c>
      <c r="BH533" s="31" t="n">
        <f aca="false">IF($G533="",AW533,S533)</f>
        <v>1</v>
      </c>
      <c r="BI533" s="31" t="n">
        <f aca="false">IF($G533="",AX533,Y533)</f>
        <v>1</v>
      </c>
      <c r="BJ533" s="31" t="n">
        <f aca="false">IF(CK533="N",BR533,ROUNDDOWN((I533-L533)*設定!$B$10/1000,0)+ROUNDDOWN((I533-L533)*設定!$B$11/1000,0))</f>
        <v>0</v>
      </c>
      <c r="BK533" s="31" t="n">
        <f aca="false">ROUNDDOWN((I533-L533)*設定!$C$10/1000,0)+ROUNDDOWN((I533-L533)*設定!$C$11/1000,0)+ROUNDDOWN(I533*設定!$C$12/1000,0)+IF(CL533="市局型",ROUNDDOWN(I533*設定!$C$16/1000,0),0)</f>
        <v>0</v>
      </c>
      <c r="BL533" s="31" t="n">
        <f aca="false">IF(CK533="N",BT533,ROUNDDOWN((J533-M533)*設定!$B$13/1000,0))</f>
        <v>0</v>
      </c>
      <c r="BM533" s="31" t="n">
        <f aca="false">ROUNDDOWN((J533-M533)*設定!$C$13/1000,0)+IF(CL533="市局型",ROUNDDOWN(J533*設定!$C$17/1000,0),0)</f>
        <v>0</v>
      </c>
      <c r="BN533" s="31" t="n">
        <f aca="false">IF(CK533="N",BV533,ROUNDDOWN((K533-N533)*設定!$B$14/1000,0))</f>
        <v>0</v>
      </c>
      <c r="BO533" s="31" t="n">
        <f aca="false">ROUNDDOWN((K533-N533)*設定!$C$14/1000,0)</f>
        <v>0</v>
      </c>
      <c r="BP533" s="31" t="n">
        <f aca="false">IF(CK533="N",BX533,ROUNDDOWN((J533-M533)*設定!$B$15/1000,0))</f>
        <v>0</v>
      </c>
      <c r="BQ533" s="31" t="n">
        <f aca="false">ROUNDDOWN((J533-M533)*設定!$C$15/1000,0)</f>
        <v>0</v>
      </c>
      <c r="BR533" s="31" t="n">
        <f aca="false">O533+P533</f>
        <v>0</v>
      </c>
      <c r="BS533" s="31" t="n">
        <f aca="false">T533+U533+V533</f>
        <v>0</v>
      </c>
      <c r="BT533" s="31" t="n">
        <f aca="false">Q533</f>
        <v>0</v>
      </c>
      <c r="BU533" s="31" t="n">
        <f aca="false">W533</f>
        <v>0</v>
      </c>
      <c r="BV533" s="31" t="n">
        <f aca="false">R533</f>
        <v>0</v>
      </c>
      <c r="BW533" s="31" t="n">
        <f aca="false">X533</f>
        <v>0</v>
      </c>
      <c r="BX533" s="31" t="n">
        <f aca="false">S533</f>
        <v>0</v>
      </c>
      <c r="BY533" s="31" t="n">
        <f aca="false">Y533</f>
        <v>0</v>
      </c>
      <c r="BZ533" s="32" t="n">
        <f aca="false">IF(BJ533=0,IF(BR533=0,0,1),(BR533-BJ533)/BJ533)</f>
        <v>0</v>
      </c>
      <c r="CA533" s="32" t="n">
        <f aca="false">IF(BK533=0,IF(BS533=0,0,1),(BS533-BK533)/BK533)</f>
        <v>0</v>
      </c>
      <c r="CB533" s="32" t="n">
        <f aca="false">IF(BL533=0,IF(BT533=0,0,1),(BT533-BL533)/BL533)</f>
        <v>0</v>
      </c>
      <c r="CC533" s="32" t="n">
        <f aca="false">IF(BM533=0,IF(BU533=0,0,1),(BU533-BM533)/BM533)</f>
        <v>0</v>
      </c>
      <c r="CD533" s="32" t="n">
        <f aca="false">IF(BN533=0,IF(BV533=0,0,1),(BV533-BN533)/BN533)</f>
        <v>0</v>
      </c>
      <c r="CE533" s="32" t="n">
        <f aca="false">IF(BO533=0,IF(BW533=0,0,1),(BW533-BO533)/BO533)</f>
        <v>0</v>
      </c>
      <c r="CF533" s="32" t="n">
        <f aca="false">IF(BP533=0,IF(BX533=0,0,1),(BX533-BP533)/BP533)</f>
        <v>0</v>
      </c>
      <c r="CG533" s="32" t="n">
        <f aca="false">IF(BQ533=0,IF(BY533=0,0,1),(BY533-BQ533)/BQ533)</f>
        <v>0</v>
      </c>
      <c r="CH533" s="32" t="n">
        <f aca="false">MAX(MAX(BZ533:CG533),-MIN(BZ533:CG533))</f>
        <v>-0</v>
      </c>
      <c r="CI533" s="31" t="n">
        <f aca="false">IF(CO533="","",SUMIFS($CJ$7:$CJ$696,$A$7:$A$696,CO533,$B$7:$B$696,B533))</f>
        <v>845130</v>
      </c>
      <c r="CJ533" s="31" t="n">
        <f aca="false">SUM(AY533:BI533)</f>
        <v>845130</v>
      </c>
      <c r="CK533" s="31" t="str">
        <f aca="false">IFERROR(INDEX(設定!$F$61:$F$106,MATCH(B533,設定!$B$61:$B$106,0)),"Y")</f>
        <v>Y</v>
      </c>
      <c r="CL533" s="31" t="str">
        <f aca="false">IFERROR(INDEX(設定!$G$61:$G$106,MATCH(B533,設定!$B$61:$B$106,0)),"外郭型")</f>
        <v>外郭型</v>
      </c>
      <c r="CM533" s="33" t="str">
        <f aca="false">A533&amp;"|"&amp;B533</f>
        <v>2027-01 月例|日本下水道事業団</v>
      </c>
      <c r="CN533" s="34" t="str">
        <f aca="false">IFERROR(INDEX(設定!$D$61:$D$106,MATCH(B533,設定!$B$61:$B$106,0)),"Y")</f>
        <v>Y</v>
      </c>
      <c r="CO533" s="34" t="str">
        <f aca="false">IFERROR(INDEX(設定!$D$20:$D$34,MATCH(A533,設定!$A$20:$A$34,0))&amp;"","")</f>
        <v>2026-12 月例</v>
      </c>
    </row>
    <row r="534" customFormat="false" ht="15" hidden="true" customHeight="false" outlineLevel="0" collapsed="false">
      <c r="A534" s="22" t="s">
        <v>227</v>
      </c>
      <c r="B534" s="23" t="s">
        <v>190</v>
      </c>
      <c r="C534" s="10" t="str">
        <f aca="false">IF(G534="","未受領",IF(G534="なし","報告なし",IF(AL534="○","起票済",IF(OR(AK534="○",F534="一致",F534="入金不要"),"入金確認済","受領済"))))</f>
        <v>未受領</v>
      </c>
      <c r="D534" s="10" t="str">
        <f aca="false">IF(OR(G534="",G534="なし"),"―",IF(CN534="N","対象外",IF(AND(I534="",J534="",K534=""),"標報未入力",IF(CH534&gt;=設定!$B$4,"要確認","問題なし"))))</f>
        <v>―</v>
      </c>
      <c r="E534" s="24" t="str">
        <f aca="false">IF(OR(G534="",G534="なし",CI534="",CJ534=0),"―",IF(CJ534=CI534,"前月同額",IF(CI534=0,"―",IF(ABS(CJ534/CI534-1)&gt;=設定!$B$5,"変動大 "&amp;TEXT(CJ534/CI534-1,"+0%;-0%"),"〇"))))</f>
        <v>―</v>
      </c>
      <c r="F534" s="10" t="str">
        <f aca="false">IF(OR(G534="",G534="なし"),"―",IF(CJ534=0,"入金不要",IF(COUNT(AD534,AF534,AH534,AJ534)=0,IF(AK534="○","手動確認","未入金"),IF(AND(N(AD534)=AC534,IF(AE534="",TRUE(),N(AF534)=AE534),IF(AG534="",TRUE(),N(AH534)=AG534),IF(AI534="",TRUE(),N(AJ534)=AI534)),"一致","不一致"))))</f>
        <v>―</v>
      </c>
      <c r="G534" s="25"/>
      <c r="H534" s="26"/>
      <c r="I534" s="27"/>
      <c r="J534" s="27"/>
      <c r="K534" s="27"/>
      <c r="L534" s="27"/>
      <c r="M534" s="27"/>
      <c r="N534" s="27"/>
      <c r="O534" s="27"/>
      <c r="P534" s="27"/>
      <c r="Q534" s="27"/>
      <c r="R534" s="27"/>
      <c r="S534" s="27"/>
      <c r="T534" s="27"/>
      <c r="U534" s="27"/>
      <c r="V534" s="27"/>
      <c r="W534" s="27"/>
      <c r="X534" s="27"/>
      <c r="Y534" s="27"/>
      <c r="Z534" s="27"/>
      <c r="AA534" s="10" t="str">
        <f aca="false">IFERROR(INDEX(設定!$E$61:$E$106,MATCH(B534,設定!$B$61:$B$106,0)),"合算")</f>
        <v>合算</v>
      </c>
      <c r="AB534" s="28"/>
      <c r="AC534" s="29" t="str">
        <f aca="false">IF(OR(G534="",G534="なし"),"",IF(AA534="合算",CJ534+N(Z534),IF(AA534="掛金・負担金別",(AY534+AZ534+BD534+BF534+BH534),SUM(AY534:BC534))))</f>
        <v/>
      </c>
      <c r="AD534" s="27"/>
      <c r="AE534" s="29" t="str">
        <f aca="false">IF(OR(G534="",G534="なし"),"",IF(AA534="掛金・負担金別",(BA534+BB534+BC534+BE534+BG534+BI534+N(Z534)),IF(AA534="経理区分別",BD534+BE534,"")))</f>
        <v/>
      </c>
      <c r="AF534" s="27"/>
      <c r="AG534" s="29" t="str">
        <f aca="false">IF(OR(G534="",G534="なし"),"",IF(AA534="経理区分別",BF534+BG534,""))</f>
        <v/>
      </c>
      <c r="AH534" s="27"/>
      <c r="AI534" s="29" t="str">
        <f aca="false">IF(OR(G534="",G534="なし"),"",IF(AA534="経理区分別",BH534+BI534+N(Z534),""))</f>
        <v/>
      </c>
      <c r="AJ534" s="27"/>
      <c r="AK534" s="26"/>
      <c r="AL534" s="26"/>
      <c r="AM534" s="30"/>
      <c r="AN534" s="31" t="n">
        <v>40260</v>
      </c>
      <c r="AO534" s="31" t="n">
        <v>3300</v>
      </c>
      <c r="AP534" s="31" t="n">
        <v>40260</v>
      </c>
      <c r="AQ534" s="31" t="n">
        <v>3300</v>
      </c>
      <c r="AR534" s="31" t="n">
        <v>41</v>
      </c>
      <c r="AS534" s="31" t="n">
        <v>24204</v>
      </c>
      <c r="AT534" s="31" t="n">
        <v>24248</v>
      </c>
      <c r="AU534" s="31" t="n">
        <v>0</v>
      </c>
      <c r="AV534" s="31" t="n">
        <v>0</v>
      </c>
      <c r="AW534" s="31" t="n">
        <v>1</v>
      </c>
      <c r="AX534" s="31" t="n">
        <v>1</v>
      </c>
      <c r="AY534" s="31" t="n">
        <f aca="false">IF($G534="",AN534,O534)</f>
        <v>40260</v>
      </c>
      <c r="AZ534" s="31" t="n">
        <f aca="false">IF($G534="",AO534,P534)</f>
        <v>3300</v>
      </c>
      <c r="BA534" s="31" t="n">
        <f aca="false">IF($G534="",AP534,T534)</f>
        <v>40260</v>
      </c>
      <c r="BB534" s="31" t="n">
        <f aca="false">IF($G534="",AQ534,U534)</f>
        <v>3300</v>
      </c>
      <c r="BC534" s="31" t="n">
        <f aca="false">IF($G534="",AR534,V534)</f>
        <v>41</v>
      </c>
      <c r="BD534" s="31" t="n">
        <f aca="false">IF($G534="",AS534,Q534)</f>
        <v>24204</v>
      </c>
      <c r="BE534" s="31" t="n">
        <f aca="false">IF($G534="",AT534,W534)</f>
        <v>24248</v>
      </c>
      <c r="BF534" s="31" t="n">
        <f aca="false">IF($G534="",AU534,R534)</f>
        <v>0</v>
      </c>
      <c r="BG534" s="31" t="n">
        <f aca="false">IF($G534="",AV534,X534)</f>
        <v>0</v>
      </c>
      <c r="BH534" s="31" t="n">
        <f aca="false">IF($G534="",AW534,S534)</f>
        <v>1</v>
      </c>
      <c r="BI534" s="31" t="n">
        <f aca="false">IF($G534="",AX534,Y534)</f>
        <v>1</v>
      </c>
      <c r="BJ534" s="31" t="n">
        <f aca="false">IF(CK534="N",BR534,ROUNDDOWN((I534-L534)*設定!$B$10/1000,0)+ROUNDDOWN((I534-L534)*設定!$B$11/1000,0))</f>
        <v>0</v>
      </c>
      <c r="BK534" s="31" t="n">
        <f aca="false">ROUNDDOWN((I534-L534)*設定!$C$10/1000,0)+ROUNDDOWN((I534-L534)*設定!$C$11/1000,0)+ROUNDDOWN(I534*設定!$C$12/1000,0)+IF(CL534="市局型",ROUNDDOWN(I534*設定!$C$16/1000,0),0)</f>
        <v>0</v>
      </c>
      <c r="BL534" s="31" t="n">
        <f aca="false">IF(CK534="N",BT534,ROUNDDOWN((J534-M534)*設定!$B$13/1000,0))</f>
        <v>0</v>
      </c>
      <c r="BM534" s="31" t="n">
        <f aca="false">ROUNDDOWN((J534-M534)*設定!$C$13/1000,0)+IF(CL534="市局型",ROUNDDOWN(J534*設定!$C$17/1000,0),0)</f>
        <v>0</v>
      </c>
      <c r="BN534" s="31" t="n">
        <f aca="false">IF(CK534="N",BV534,ROUNDDOWN((K534-N534)*設定!$B$14/1000,0))</f>
        <v>0</v>
      </c>
      <c r="BO534" s="31" t="n">
        <f aca="false">ROUNDDOWN((K534-N534)*設定!$C$14/1000,0)</f>
        <v>0</v>
      </c>
      <c r="BP534" s="31" t="n">
        <f aca="false">IF(CK534="N",BX534,ROUNDDOWN((J534-M534)*設定!$B$15/1000,0))</f>
        <v>0</v>
      </c>
      <c r="BQ534" s="31" t="n">
        <f aca="false">ROUNDDOWN((J534-M534)*設定!$C$15/1000,0)</f>
        <v>0</v>
      </c>
      <c r="BR534" s="31" t="n">
        <f aca="false">O534+P534</f>
        <v>0</v>
      </c>
      <c r="BS534" s="31" t="n">
        <f aca="false">T534+U534+V534</f>
        <v>0</v>
      </c>
      <c r="BT534" s="31" t="n">
        <f aca="false">Q534</f>
        <v>0</v>
      </c>
      <c r="BU534" s="31" t="n">
        <f aca="false">W534</f>
        <v>0</v>
      </c>
      <c r="BV534" s="31" t="n">
        <f aca="false">R534</f>
        <v>0</v>
      </c>
      <c r="BW534" s="31" t="n">
        <f aca="false">X534</f>
        <v>0</v>
      </c>
      <c r="BX534" s="31" t="n">
        <f aca="false">S534</f>
        <v>0</v>
      </c>
      <c r="BY534" s="31" t="n">
        <f aca="false">Y534</f>
        <v>0</v>
      </c>
      <c r="BZ534" s="32" t="n">
        <f aca="false">IF(BJ534=0,IF(BR534=0,0,1),(BR534-BJ534)/BJ534)</f>
        <v>0</v>
      </c>
      <c r="CA534" s="32" t="n">
        <f aca="false">IF(BK534=0,IF(BS534=0,0,1),(BS534-BK534)/BK534)</f>
        <v>0</v>
      </c>
      <c r="CB534" s="32" t="n">
        <f aca="false">IF(BL534=0,IF(BT534=0,0,1),(BT534-BL534)/BL534)</f>
        <v>0</v>
      </c>
      <c r="CC534" s="32" t="n">
        <f aca="false">IF(BM534=0,IF(BU534=0,0,1),(BU534-BM534)/BM534)</f>
        <v>0</v>
      </c>
      <c r="CD534" s="32" t="n">
        <f aca="false">IF(BN534=0,IF(BV534=0,0,1),(BV534-BN534)/BN534)</f>
        <v>0</v>
      </c>
      <c r="CE534" s="32" t="n">
        <f aca="false">IF(BO534=0,IF(BW534=0,0,1),(BW534-BO534)/BO534)</f>
        <v>0</v>
      </c>
      <c r="CF534" s="32" t="n">
        <f aca="false">IF(BP534=0,IF(BX534=0,0,1),(BX534-BP534)/BP534)</f>
        <v>0</v>
      </c>
      <c r="CG534" s="32" t="n">
        <f aca="false">IF(BQ534=0,IF(BY534=0,0,1),(BY534-BQ534)/BQ534)</f>
        <v>0</v>
      </c>
      <c r="CH534" s="32" t="n">
        <f aca="false">MAX(MAX(BZ534:CG534),-MIN(BZ534:CG534))</f>
        <v>-0</v>
      </c>
      <c r="CI534" s="31" t="n">
        <f aca="false">IF(CO534="","",SUMIFS($CJ$7:$CJ$696,$A$7:$A$696,CO534,$B$7:$B$696,B534))</f>
        <v>135615</v>
      </c>
      <c r="CJ534" s="31" t="n">
        <f aca="false">SUM(AY534:BI534)</f>
        <v>135615</v>
      </c>
      <c r="CK534" s="31" t="str">
        <f aca="false">IFERROR(INDEX(設定!$F$61:$F$106,MATCH(B534,設定!$B$61:$B$106,0)),"Y")</f>
        <v>Y</v>
      </c>
      <c r="CL534" s="31" t="str">
        <f aca="false">IFERROR(INDEX(設定!$G$61:$G$106,MATCH(B534,設定!$B$61:$B$106,0)),"外郭型")</f>
        <v>外郭型</v>
      </c>
      <c r="CM534" s="33" t="str">
        <f aca="false">A534&amp;"|"&amp;B534</f>
        <v>2027-01 月例|地方公務員災害補償基金本部</v>
      </c>
      <c r="CN534" s="34" t="str">
        <f aca="false">IFERROR(INDEX(設定!$D$61:$D$106,MATCH(B534,設定!$B$61:$B$106,0)),"Y")</f>
        <v>Y</v>
      </c>
      <c r="CO534" s="34" t="str">
        <f aca="false">IFERROR(INDEX(設定!$D$20:$D$34,MATCH(A534,設定!$A$20:$A$34,0))&amp;"","")</f>
        <v>2026-12 月例</v>
      </c>
    </row>
    <row r="535" customFormat="false" ht="15" hidden="true" customHeight="false" outlineLevel="0" collapsed="false">
      <c r="A535" s="22" t="s">
        <v>227</v>
      </c>
      <c r="B535" s="23" t="s">
        <v>191</v>
      </c>
      <c r="C535" s="10" t="str">
        <f aca="false">IF(G535="","未受領",IF(G535="なし","報告なし",IF(AL535="○","起票済",IF(OR(AK535="○",F535="一致",F535="入金不要"),"入金確認済","受領済"))))</f>
        <v>未受領</v>
      </c>
      <c r="D535" s="10" t="str">
        <f aca="false">IF(OR(G535="",G535="なし"),"―",IF(CN535="N","対象外",IF(AND(I535="",J535="",K535=""),"標報未入力",IF(CH535&gt;=設定!$B$4,"要確認","問題なし"))))</f>
        <v>―</v>
      </c>
      <c r="E535" s="24" t="str">
        <f aca="false">IF(OR(G535="",G535="なし",CI535="",CJ535=0),"―",IF(CJ535=CI535,"前月同額",IF(CI535=0,"―",IF(ABS(CJ535/CI535-1)&gt;=設定!$B$5,"変動大 "&amp;TEXT(CJ535/CI535-1,"+0%;-0%"),"〇"))))</f>
        <v>―</v>
      </c>
      <c r="F535" s="10" t="str">
        <f aca="false">IF(OR(G535="",G535="なし"),"―",IF(CJ535=0,"入金不要",IF(COUNT(AD535,AF535,AH535,AJ535)=0,IF(AK535="○","手動確認","未入金"),IF(AND(N(AD535)=AC535,IF(AE535="",TRUE(),N(AF535)=AE535),IF(AG535="",TRUE(),N(AH535)=AG535),IF(AI535="",TRUE(),N(AJ535)=AI535)),"一致","不一致"))))</f>
        <v>―</v>
      </c>
      <c r="G535" s="25"/>
      <c r="H535" s="26"/>
      <c r="I535" s="27"/>
      <c r="J535" s="27"/>
      <c r="K535" s="27"/>
      <c r="L535" s="27"/>
      <c r="M535" s="27"/>
      <c r="N535" s="27"/>
      <c r="O535" s="27"/>
      <c r="P535" s="27"/>
      <c r="Q535" s="27"/>
      <c r="R535" s="27"/>
      <c r="S535" s="27"/>
      <c r="T535" s="27"/>
      <c r="U535" s="27"/>
      <c r="V535" s="27"/>
      <c r="W535" s="27"/>
      <c r="X535" s="27"/>
      <c r="Y535" s="27"/>
      <c r="Z535" s="27"/>
      <c r="AA535" s="10" t="str">
        <f aca="false">IFERROR(INDEX(設定!$E$61:$E$106,MATCH(B535,設定!$B$61:$B$106,0)),"合算")</f>
        <v>合算</v>
      </c>
      <c r="AB535" s="28"/>
      <c r="AC535" s="29" t="str">
        <f aca="false">IF(OR(G535="",G535="なし"),"",IF(AA535="合算",CJ535+N(Z535),IF(AA535="掛金・負担金別",(AY535+AZ535+BD535+BF535+BH535),SUM(AY535:BC535))))</f>
        <v/>
      </c>
      <c r="AD535" s="27"/>
      <c r="AE535" s="29" t="str">
        <f aca="false">IF(OR(G535="",G535="なし"),"",IF(AA535="掛金・負担金別",(BA535+BB535+BC535+BE535+BG535+BI535+N(Z535)),IF(AA535="経理区分別",BD535+BE535,"")))</f>
        <v/>
      </c>
      <c r="AF535" s="27"/>
      <c r="AG535" s="29" t="str">
        <f aca="false">IF(OR(G535="",G535="なし"),"",IF(AA535="経理区分別",BF535+BG535,""))</f>
        <v/>
      </c>
      <c r="AH535" s="27"/>
      <c r="AI535" s="29" t="str">
        <f aca="false">IF(OR(G535="",G535="なし"),"",IF(AA535="経理区分別",BH535+BI535+N(Z535),""))</f>
        <v/>
      </c>
      <c r="AJ535" s="27"/>
      <c r="AK535" s="26"/>
      <c r="AL535" s="26"/>
      <c r="AM535" s="30"/>
      <c r="AN535" s="31" t="n">
        <v>102480</v>
      </c>
      <c r="AO535" s="31" t="n">
        <v>8400</v>
      </c>
      <c r="AP535" s="31" t="n">
        <v>102480</v>
      </c>
      <c r="AQ535" s="31" t="n">
        <v>8400</v>
      </c>
      <c r="AR535" s="31" t="n">
        <v>105</v>
      </c>
      <c r="AS535" s="31" t="n">
        <v>61610</v>
      </c>
      <c r="AT535" s="31" t="n">
        <v>61723</v>
      </c>
      <c r="AU535" s="31" t="n">
        <v>4661</v>
      </c>
      <c r="AV535" s="31" t="n">
        <v>4661</v>
      </c>
      <c r="AW535" s="31" t="n">
        <v>1</v>
      </c>
      <c r="AX535" s="31" t="n">
        <v>1</v>
      </c>
      <c r="AY535" s="31" t="n">
        <f aca="false">IF($G535="",AN535,O535)</f>
        <v>102480</v>
      </c>
      <c r="AZ535" s="31" t="n">
        <f aca="false">IF($G535="",AO535,P535)</f>
        <v>8400</v>
      </c>
      <c r="BA535" s="31" t="n">
        <f aca="false">IF($G535="",AP535,T535)</f>
        <v>102480</v>
      </c>
      <c r="BB535" s="31" t="n">
        <f aca="false">IF($G535="",AQ535,U535)</f>
        <v>8400</v>
      </c>
      <c r="BC535" s="31" t="n">
        <f aca="false">IF($G535="",AR535,V535)</f>
        <v>105</v>
      </c>
      <c r="BD535" s="31" t="n">
        <f aca="false">IF($G535="",AS535,Q535)</f>
        <v>61610</v>
      </c>
      <c r="BE535" s="31" t="n">
        <f aca="false">IF($G535="",AT535,W535)</f>
        <v>61723</v>
      </c>
      <c r="BF535" s="31" t="n">
        <f aca="false">IF($G535="",AU535,R535)</f>
        <v>4661</v>
      </c>
      <c r="BG535" s="31" t="n">
        <f aca="false">IF($G535="",AV535,X535)</f>
        <v>4661</v>
      </c>
      <c r="BH535" s="31" t="n">
        <f aca="false">IF($G535="",AW535,S535)</f>
        <v>1</v>
      </c>
      <c r="BI535" s="31" t="n">
        <f aca="false">IF($G535="",AX535,Y535)</f>
        <v>1</v>
      </c>
      <c r="BJ535" s="31" t="n">
        <f aca="false">IF(CK535="N",BR535,ROUNDDOWN((I535-L535)*設定!$B$10/1000,0)+ROUNDDOWN((I535-L535)*設定!$B$11/1000,0))</f>
        <v>0</v>
      </c>
      <c r="BK535" s="31" t="n">
        <f aca="false">ROUNDDOWN((I535-L535)*設定!$C$10/1000,0)+ROUNDDOWN((I535-L535)*設定!$C$11/1000,0)+ROUNDDOWN(I535*設定!$C$12/1000,0)+IF(CL535="市局型",ROUNDDOWN(I535*設定!$C$16/1000,0),0)</f>
        <v>0</v>
      </c>
      <c r="BL535" s="31" t="n">
        <f aca="false">IF(CK535="N",BT535,ROUNDDOWN((J535-M535)*設定!$B$13/1000,0))</f>
        <v>0</v>
      </c>
      <c r="BM535" s="31" t="n">
        <f aca="false">ROUNDDOWN((J535-M535)*設定!$C$13/1000,0)+IF(CL535="市局型",ROUNDDOWN(J535*設定!$C$17/1000,0),0)</f>
        <v>0</v>
      </c>
      <c r="BN535" s="31" t="n">
        <f aca="false">IF(CK535="N",BV535,ROUNDDOWN((K535-N535)*設定!$B$14/1000,0))</f>
        <v>0</v>
      </c>
      <c r="BO535" s="31" t="n">
        <f aca="false">ROUNDDOWN((K535-N535)*設定!$C$14/1000,0)</f>
        <v>0</v>
      </c>
      <c r="BP535" s="31" t="n">
        <f aca="false">IF(CK535="N",BX535,ROUNDDOWN((J535-M535)*設定!$B$15/1000,0))</f>
        <v>0</v>
      </c>
      <c r="BQ535" s="31" t="n">
        <f aca="false">ROUNDDOWN((J535-M535)*設定!$C$15/1000,0)</f>
        <v>0</v>
      </c>
      <c r="BR535" s="31" t="n">
        <f aca="false">O535+P535</f>
        <v>0</v>
      </c>
      <c r="BS535" s="31" t="n">
        <f aca="false">T535+U535+V535</f>
        <v>0</v>
      </c>
      <c r="BT535" s="31" t="n">
        <f aca="false">Q535</f>
        <v>0</v>
      </c>
      <c r="BU535" s="31" t="n">
        <f aca="false">W535</f>
        <v>0</v>
      </c>
      <c r="BV535" s="31" t="n">
        <f aca="false">R535</f>
        <v>0</v>
      </c>
      <c r="BW535" s="31" t="n">
        <f aca="false">X535</f>
        <v>0</v>
      </c>
      <c r="BX535" s="31" t="n">
        <f aca="false">S535</f>
        <v>0</v>
      </c>
      <c r="BY535" s="31" t="n">
        <f aca="false">Y535</f>
        <v>0</v>
      </c>
      <c r="BZ535" s="32" t="n">
        <f aca="false">IF(BJ535=0,IF(BR535=0,0,1),(BR535-BJ535)/BJ535)</f>
        <v>0</v>
      </c>
      <c r="CA535" s="32" t="n">
        <f aca="false">IF(BK535=0,IF(BS535=0,0,1),(BS535-BK535)/BK535)</f>
        <v>0</v>
      </c>
      <c r="CB535" s="32" t="n">
        <f aca="false">IF(BL535=0,IF(BT535=0,0,1),(BT535-BL535)/BL535)</f>
        <v>0</v>
      </c>
      <c r="CC535" s="32" t="n">
        <f aca="false">IF(BM535=0,IF(BU535=0,0,1),(BU535-BM535)/BM535)</f>
        <v>0</v>
      </c>
      <c r="CD535" s="32" t="n">
        <f aca="false">IF(BN535=0,IF(BV535=0,0,1),(BV535-BN535)/BN535)</f>
        <v>0</v>
      </c>
      <c r="CE535" s="32" t="n">
        <f aca="false">IF(BO535=0,IF(BW535=0,0,1),(BW535-BO535)/BO535)</f>
        <v>0</v>
      </c>
      <c r="CF535" s="32" t="n">
        <f aca="false">IF(BP535=0,IF(BX535=0,0,1),(BX535-BP535)/BP535)</f>
        <v>0</v>
      </c>
      <c r="CG535" s="32" t="n">
        <f aca="false">IF(BQ535=0,IF(BY535=0,0,1),(BY535-BQ535)/BQ535)</f>
        <v>0</v>
      </c>
      <c r="CH535" s="32" t="n">
        <f aca="false">MAX(MAX(BZ535:CG535),-MIN(BZ535:CG535))</f>
        <v>-0</v>
      </c>
      <c r="CI535" s="31" t="n">
        <f aca="false">IF(CO535="","",SUMIFS($CJ$7:$CJ$696,$A$7:$A$696,CO535,$B$7:$B$696,B535))</f>
        <v>354522</v>
      </c>
      <c r="CJ535" s="31" t="n">
        <f aca="false">SUM(AY535:BI535)</f>
        <v>354522</v>
      </c>
      <c r="CK535" s="31" t="str">
        <f aca="false">IFERROR(INDEX(設定!$F$61:$F$106,MATCH(B535,設定!$B$61:$B$106,0)),"Y")</f>
        <v>Y</v>
      </c>
      <c r="CL535" s="31" t="str">
        <f aca="false">IFERROR(INDEX(設定!$G$61:$G$106,MATCH(B535,設定!$B$61:$B$106,0)),"外郭型")</f>
        <v>外郭型</v>
      </c>
      <c r="CM535" s="33" t="str">
        <f aca="false">A535&amp;"|"&amp;B535</f>
        <v>2027-01 月例|救急振興財団</v>
      </c>
      <c r="CN535" s="34" t="str">
        <f aca="false">IFERROR(INDEX(設定!$D$61:$D$106,MATCH(B535,設定!$B$61:$B$106,0)),"Y")</f>
        <v>Y</v>
      </c>
      <c r="CO535" s="34" t="str">
        <f aca="false">IFERROR(INDEX(設定!$D$20:$D$34,MATCH(A535,設定!$A$20:$A$34,0))&amp;"","")</f>
        <v>2026-12 月例</v>
      </c>
    </row>
    <row r="536" customFormat="false" ht="15" hidden="true" customHeight="false" outlineLevel="0" collapsed="false">
      <c r="A536" s="22" t="s">
        <v>227</v>
      </c>
      <c r="B536" s="23" t="s">
        <v>192</v>
      </c>
      <c r="C536" s="10" t="str">
        <f aca="false">IF(G536="","未受領",IF(G536="なし","報告なし",IF(AL536="○","起票済",IF(OR(AK536="○",F536="一致",F536="入金不要"),"入金確認済","受領済"))))</f>
        <v>未受領</v>
      </c>
      <c r="D536" s="10" t="str">
        <f aca="false">IF(OR(G536="",G536="なし"),"―",IF(CN536="N","対象外",IF(AND(I536="",J536="",K536=""),"標報未入力",IF(CH536&gt;=設定!$B$4,"要確認","問題なし"))))</f>
        <v>―</v>
      </c>
      <c r="E536" s="24" t="str">
        <f aca="false">IF(OR(G536="",G536="なし",CI536="",CJ536=0),"―",IF(CJ536=CI536,"前月同額",IF(CI536=0,"―",IF(ABS(CJ536/CI536-1)&gt;=設定!$B$5,"変動大 "&amp;TEXT(CJ536/CI536-1,"+0%;-0%"),"〇"))))</f>
        <v>―</v>
      </c>
      <c r="F536" s="10" t="str">
        <f aca="false">IF(OR(G536="",G536="なし"),"―",IF(CJ536=0,"入金不要",IF(COUNT(AD536,AF536,AH536,AJ536)=0,IF(AK536="○","手動確認","未入金"),IF(AND(N(AD536)=AC536,IF(AE536="",TRUE(),N(AF536)=AE536),IF(AG536="",TRUE(),N(AH536)=AG536),IF(AI536="",TRUE(),N(AJ536)=AI536)),"一致","不一致"))))</f>
        <v>―</v>
      </c>
      <c r="G536" s="25"/>
      <c r="H536" s="26"/>
      <c r="I536" s="27"/>
      <c r="J536" s="27"/>
      <c r="K536" s="27"/>
      <c r="L536" s="27"/>
      <c r="M536" s="27"/>
      <c r="N536" s="27"/>
      <c r="O536" s="27"/>
      <c r="P536" s="27"/>
      <c r="Q536" s="27"/>
      <c r="R536" s="27"/>
      <c r="S536" s="27"/>
      <c r="T536" s="27"/>
      <c r="U536" s="27"/>
      <c r="V536" s="27"/>
      <c r="W536" s="27"/>
      <c r="X536" s="27"/>
      <c r="Y536" s="27"/>
      <c r="Z536" s="27"/>
      <c r="AA536" s="10" t="str">
        <f aca="false">IFERROR(INDEX(設定!$E$61:$E$106,MATCH(B536,設定!$B$61:$B$106,0)),"合算")</f>
        <v>合算</v>
      </c>
      <c r="AB536" s="28"/>
      <c r="AC536" s="29" t="str">
        <f aca="false">IF(OR(G536="",G536="なし"),"",IF(AA536="合算",CJ536+N(Z536),IF(AA536="掛金・負担金別",(AY536+AZ536+BD536+BF536+BH536),SUM(AY536:BC536))))</f>
        <v/>
      </c>
      <c r="AD536" s="27"/>
      <c r="AE536" s="29" t="str">
        <f aca="false">IF(OR(G536="",G536="なし"),"",IF(AA536="掛金・負担金別",(BA536+BB536+BC536+BE536+BG536+BI536+N(Z536)),IF(AA536="経理区分別",BD536+BE536,"")))</f>
        <v/>
      </c>
      <c r="AF536" s="27"/>
      <c r="AG536" s="29" t="str">
        <f aca="false">IF(OR(G536="",G536="なし"),"",IF(AA536="経理区分別",BF536+BG536,""))</f>
        <v/>
      </c>
      <c r="AH536" s="27"/>
      <c r="AI536" s="29" t="str">
        <f aca="false">IF(OR(G536="",G536="なし"),"",IF(AA536="経理区分別",BH536+BI536+N(Z536),""))</f>
        <v/>
      </c>
      <c r="AJ536" s="27"/>
      <c r="AK536" s="26"/>
      <c r="AL536" s="26"/>
      <c r="AM536" s="30"/>
      <c r="AN536" s="31" t="n">
        <v>923235</v>
      </c>
      <c r="AO536" s="31" t="n">
        <v>75675</v>
      </c>
      <c r="AP536" s="31" t="n">
        <v>923235</v>
      </c>
      <c r="AQ536" s="31" t="n">
        <v>75675</v>
      </c>
      <c r="AR536" s="31" t="n">
        <v>947</v>
      </c>
      <c r="AS536" s="31" t="n">
        <v>556693</v>
      </c>
      <c r="AT536" s="31" t="n">
        <v>557713</v>
      </c>
      <c r="AU536" s="31" t="n">
        <v>50797</v>
      </c>
      <c r="AV536" s="31" t="n">
        <v>50797</v>
      </c>
      <c r="AW536" s="31" t="n">
        <v>1</v>
      </c>
      <c r="AX536" s="31" t="n">
        <v>1</v>
      </c>
      <c r="AY536" s="31" t="n">
        <f aca="false">IF($G536="",AN536,O536)</f>
        <v>923235</v>
      </c>
      <c r="AZ536" s="31" t="n">
        <f aca="false">IF($G536="",AO536,P536)</f>
        <v>75675</v>
      </c>
      <c r="BA536" s="31" t="n">
        <f aca="false">IF($G536="",AP536,T536)</f>
        <v>923235</v>
      </c>
      <c r="BB536" s="31" t="n">
        <f aca="false">IF($G536="",AQ536,U536)</f>
        <v>75675</v>
      </c>
      <c r="BC536" s="31" t="n">
        <f aca="false">IF($G536="",AR536,V536)</f>
        <v>947</v>
      </c>
      <c r="BD536" s="31" t="n">
        <f aca="false">IF($G536="",AS536,Q536)</f>
        <v>556693</v>
      </c>
      <c r="BE536" s="31" t="n">
        <f aca="false">IF($G536="",AT536,W536)</f>
        <v>557713</v>
      </c>
      <c r="BF536" s="31" t="n">
        <f aca="false">IF($G536="",AU536,R536)</f>
        <v>50797</v>
      </c>
      <c r="BG536" s="31" t="n">
        <f aca="false">IF($G536="",AV536,X536)</f>
        <v>50797</v>
      </c>
      <c r="BH536" s="31" t="n">
        <f aca="false">IF($G536="",AW536,S536)</f>
        <v>1</v>
      </c>
      <c r="BI536" s="31" t="n">
        <f aca="false">IF($G536="",AX536,Y536)</f>
        <v>1</v>
      </c>
      <c r="BJ536" s="31" t="n">
        <f aca="false">IF(CK536="N",BR536,ROUNDDOWN((I536-L536)*設定!$B$10/1000,0)+ROUNDDOWN((I536-L536)*設定!$B$11/1000,0))</f>
        <v>0</v>
      </c>
      <c r="BK536" s="31" t="n">
        <f aca="false">ROUNDDOWN((I536-L536)*設定!$C$10/1000,0)+ROUNDDOWN((I536-L536)*設定!$C$11/1000,0)+ROUNDDOWN(I536*設定!$C$12/1000,0)+IF(CL536="市局型",ROUNDDOWN(I536*設定!$C$16/1000,0),0)</f>
        <v>0</v>
      </c>
      <c r="BL536" s="31" t="n">
        <f aca="false">IF(CK536="N",BT536,ROUNDDOWN((J536-M536)*設定!$B$13/1000,0))</f>
        <v>0</v>
      </c>
      <c r="BM536" s="31" t="n">
        <f aca="false">ROUNDDOWN((J536-M536)*設定!$C$13/1000,0)+IF(CL536="市局型",ROUNDDOWN(J536*設定!$C$17/1000,0),0)</f>
        <v>0</v>
      </c>
      <c r="BN536" s="31" t="n">
        <f aca="false">IF(CK536="N",BV536,ROUNDDOWN((K536-N536)*設定!$B$14/1000,0))</f>
        <v>0</v>
      </c>
      <c r="BO536" s="31" t="n">
        <f aca="false">ROUNDDOWN((K536-N536)*設定!$C$14/1000,0)</f>
        <v>0</v>
      </c>
      <c r="BP536" s="31" t="n">
        <f aca="false">IF(CK536="N",BX536,ROUNDDOWN((J536-M536)*設定!$B$15/1000,0))</f>
        <v>0</v>
      </c>
      <c r="BQ536" s="31" t="n">
        <f aca="false">ROUNDDOWN((J536-M536)*設定!$C$15/1000,0)</f>
        <v>0</v>
      </c>
      <c r="BR536" s="31" t="n">
        <f aca="false">O536+P536</f>
        <v>0</v>
      </c>
      <c r="BS536" s="31" t="n">
        <f aca="false">T536+U536+V536</f>
        <v>0</v>
      </c>
      <c r="BT536" s="31" t="n">
        <f aca="false">Q536</f>
        <v>0</v>
      </c>
      <c r="BU536" s="31" t="n">
        <f aca="false">W536</f>
        <v>0</v>
      </c>
      <c r="BV536" s="31" t="n">
        <f aca="false">R536</f>
        <v>0</v>
      </c>
      <c r="BW536" s="31" t="n">
        <f aca="false">X536</f>
        <v>0</v>
      </c>
      <c r="BX536" s="31" t="n">
        <f aca="false">S536</f>
        <v>0</v>
      </c>
      <c r="BY536" s="31" t="n">
        <f aca="false">Y536</f>
        <v>0</v>
      </c>
      <c r="BZ536" s="32" t="n">
        <f aca="false">IF(BJ536=0,IF(BR536=0,0,1),(BR536-BJ536)/BJ536)</f>
        <v>0</v>
      </c>
      <c r="CA536" s="32" t="n">
        <f aca="false">IF(BK536=0,IF(BS536=0,0,1),(BS536-BK536)/BK536)</f>
        <v>0</v>
      </c>
      <c r="CB536" s="32" t="n">
        <f aca="false">IF(BL536=0,IF(BT536=0,0,1),(BT536-BL536)/BL536)</f>
        <v>0</v>
      </c>
      <c r="CC536" s="32" t="n">
        <f aca="false">IF(BM536=0,IF(BU536=0,0,1),(BU536-BM536)/BM536)</f>
        <v>0</v>
      </c>
      <c r="CD536" s="32" t="n">
        <f aca="false">IF(BN536=0,IF(BV536=0,0,1),(BV536-BN536)/BN536)</f>
        <v>0</v>
      </c>
      <c r="CE536" s="32" t="n">
        <f aca="false">IF(BO536=0,IF(BW536=0,0,1),(BW536-BO536)/BO536)</f>
        <v>0</v>
      </c>
      <c r="CF536" s="32" t="n">
        <f aca="false">IF(BP536=0,IF(BX536=0,0,1),(BX536-BP536)/BP536)</f>
        <v>0</v>
      </c>
      <c r="CG536" s="32" t="n">
        <f aca="false">IF(BQ536=0,IF(BY536=0,0,1),(BY536-BQ536)/BQ536)</f>
        <v>0</v>
      </c>
      <c r="CH536" s="32" t="n">
        <f aca="false">MAX(MAX(BZ536:CG536),-MIN(BZ536:CG536))</f>
        <v>-0</v>
      </c>
      <c r="CI536" s="31" t="n">
        <f aca="false">IF(CO536="","",SUMIFS($CJ$7:$CJ$696,$A$7:$A$696,CO536,$B$7:$B$696,B536))</f>
        <v>3173058</v>
      </c>
      <c r="CJ536" s="31" t="n">
        <f aca="false">SUM(AY536:BI536)</f>
        <v>3214769</v>
      </c>
      <c r="CK536" s="31" t="str">
        <f aca="false">IFERROR(INDEX(設定!$F$61:$F$106,MATCH(B536,設定!$B$61:$B$106,0)),"Y")</f>
        <v>Y</v>
      </c>
      <c r="CL536" s="31" t="str">
        <f aca="false">IFERROR(INDEX(設定!$G$61:$G$106,MATCH(B536,設定!$B$61:$B$106,0)),"外郭型")</f>
        <v>外郭型</v>
      </c>
      <c r="CM536" s="33" t="str">
        <f aca="false">A536&amp;"|"&amp;B536</f>
        <v>2027-01 月例|高速道路公社</v>
      </c>
      <c r="CN536" s="34" t="str">
        <f aca="false">IFERROR(INDEX(設定!$D$61:$D$106,MATCH(B536,設定!$B$61:$B$106,0)),"Y")</f>
        <v>Y</v>
      </c>
      <c r="CO536" s="34" t="str">
        <f aca="false">IFERROR(INDEX(設定!$D$20:$D$34,MATCH(A536,設定!$A$20:$A$34,0))&amp;"","")</f>
        <v>2026-12 月例</v>
      </c>
    </row>
    <row r="537" customFormat="false" ht="15" hidden="true" customHeight="false" outlineLevel="0" collapsed="false">
      <c r="A537" s="22" t="s">
        <v>227</v>
      </c>
      <c r="B537" s="23" t="s">
        <v>193</v>
      </c>
      <c r="C537" s="10" t="str">
        <f aca="false">IF(G537="","未受領",IF(G537="なし","報告なし",IF(AL537="○","起票済",IF(OR(AK537="○",F537="一致",F537="入金不要"),"入金確認済","受領済"))))</f>
        <v>未受領</v>
      </c>
      <c r="D537" s="10" t="str">
        <f aca="false">IF(OR(G537="",G537="なし"),"―",IF(CN537="N","対象外",IF(AND(I537="",J537="",K537=""),"標報未入力",IF(CH537&gt;=設定!$B$4,"要確認","問題なし"))))</f>
        <v>―</v>
      </c>
      <c r="E537" s="24" t="str">
        <f aca="false">IF(OR(G537="",G537="なし",CI537="",CJ537=0),"―",IF(CJ537=CI537,"前月同額",IF(CI537=0,"―",IF(ABS(CJ537/CI537-1)&gt;=設定!$B$5,"変動大 "&amp;TEXT(CJ537/CI537-1,"+0%;-0%"),"〇"))))</f>
        <v>―</v>
      </c>
      <c r="F537" s="10" t="str">
        <f aca="false">IF(OR(G537="",G537="なし"),"―",IF(CJ537=0,"入金不要",IF(COUNT(AD537,AF537,AH537,AJ537)=0,IF(AK537="○","手動確認","未入金"),IF(AND(N(AD537)=AC537,IF(AE537="",TRUE(),N(AF537)=AE537),IF(AG537="",TRUE(),N(AH537)=AG537),IF(AI537="",TRUE(),N(AJ537)=AI537)),"一致","不一致"))))</f>
        <v>―</v>
      </c>
      <c r="G537" s="25"/>
      <c r="H537" s="26"/>
      <c r="I537" s="27"/>
      <c r="J537" s="27"/>
      <c r="K537" s="27"/>
      <c r="L537" s="27"/>
      <c r="M537" s="27"/>
      <c r="N537" s="27"/>
      <c r="O537" s="27"/>
      <c r="P537" s="27"/>
      <c r="Q537" s="27"/>
      <c r="R537" s="27"/>
      <c r="S537" s="27"/>
      <c r="T537" s="27"/>
      <c r="U537" s="27"/>
      <c r="V537" s="27"/>
      <c r="W537" s="27"/>
      <c r="X537" s="27"/>
      <c r="Y537" s="27"/>
      <c r="Z537" s="27"/>
      <c r="AA537" s="10" t="str">
        <f aca="false">IFERROR(INDEX(設定!$E$61:$E$106,MATCH(B537,設定!$B$61:$B$106,0)),"合算")</f>
        <v>合算</v>
      </c>
      <c r="AB537" s="28"/>
      <c r="AC537" s="29" t="str">
        <f aca="false">IF(OR(G537="",G537="なし"),"",IF(AA537="合算",CJ537+N(Z537),IF(AA537="掛金・負担金別",(AY537+AZ537+BD537+BF537+BH537),SUM(AY537:BC537))))</f>
        <v/>
      </c>
      <c r="AD537" s="27"/>
      <c r="AE537" s="29" t="str">
        <f aca="false">IF(OR(G537="",G537="なし"),"",IF(AA537="掛金・負担金別",(BA537+BB537+BC537+BE537+BG537+BI537+N(Z537)),IF(AA537="経理区分別",BD537+BE537,"")))</f>
        <v/>
      </c>
      <c r="AF537" s="27"/>
      <c r="AG537" s="29" t="str">
        <f aca="false">IF(OR(G537="",G537="なし"),"",IF(AA537="経理区分別",BF537+BG537,""))</f>
        <v/>
      </c>
      <c r="AH537" s="27"/>
      <c r="AI537" s="29" t="str">
        <f aca="false">IF(OR(G537="",G537="なし"),"",IF(AA537="経理区分別",BH537+BI537+N(Z537),""))</f>
        <v/>
      </c>
      <c r="AJ537" s="27"/>
      <c r="AK537" s="26"/>
      <c r="AL537" s="26"/>
      <c r="AM537" s="30"/>
      <c r="AN537" s="31"/>
      <c r="AO537" s="31"/>
      <c r="AP537" s="31" t="n">
        <v>571875</v>
      </c>
      <c r="AQ537" s="31" t="n">
        <v>46875</v>
      </c>
      <c r="AR537" s="31" t="n">
        <v>613</v>
      </c>
      <c r="AS537" s="31"/>
      <c r="AT537" s="31" t="n">
        <v>344467</v>
      </c>
      <c r="AU537" s="31"/>
      <c r="AV537" s="31" t="n">
        <v>27255</v>
      </c>
      <c r="AW537" s="31"/>
      <c r="AX537" s="31" t="n">
        <v>1</v>
      </c>
      <c r="AY537" s="31" t="n">
        <f aca="false">IF($G537="",AN537,O537)</f>
        <v>0</v>
      </c>
      <c r="AZ537" s="31" t="n">
        <f aca="false">IF($G537="",AO537,P537)</f>
        <v>0</v>
      </c>
      <c r="BA537" s="31" t="n">
        <f aca="false">IF($G537="",AP537,T537)</f>
        <v>571875</v>
      </c>
      <c r="BB537" s="31" t="n">
        <f aca="false">IF($G537="",AQ537,U537)</f>
        <v>46875</v>
      </c>
      <c r="BC537" s="31" t="n">
        <f aca="false">IF($G537="",AR537,V537)</f>
        <v>613</v>
      </c>
      <c r="BD537" s="31" t="n">
        <f aca="false">IF($G537="",AS537,Q537)</f>
        <v>0</v>
      </c>
      <c r="BE537" s="31" t="n">
        <f aca="false">IF($G537="",AT537,W537)</f>
        <v>344467</v>
      </c>
      <c r="BF537" s="31" t="n">
        <f aca="false">IF($G537="",AU537,R537)</f>
        <v>0</v>
      </c>
      <c r="BG537" s="31" t="n">
        <f aca="false">IF($G537="",AV537,X537)</f>
        <v>27255</v>
      </c>
      <c r="BH537" s="31" t="n">
        <f aca="false">IF($G537="",AW537,S537)</f>
        <v>0</v>
      </c>
      <c r="BI537" s="31" t="n">
        <f aca="false">IF($G537="",AX537,Y537)</f>
        <v>1</v>
      </c>
      <c r="BJ537" s="31" t="n">
        <f aca="false">IF(CK537="N",BR537,ROUNDDOWN((I537-L537)*設定!$B$10/1000,0)+ROUNDDOWN((I537-L537)*設定!$B$11/1000,0))</f>
        <v>0</v>
      </c>
      <c r="BK537" s="31" t="n">
        <f aca="false">ROUNDDOWN((I537-L537)*設定!$C$10/1000,0)+ROUNDDOWN((I537-L537)*設定!$C$11/1000,0)+ROUNDDOWN(I537*設定!$C$12/1000,0)+IF(CL537="市局型",ROUNDDOWN(I537*設定!$C$16/1000,0),0)</f>
        <v>0</v>
      </c>
      <c r="BL537" s="31" t="n">
        <f aca="false">IF(CK537="N",BT537,ROUNDDOWN((J537-M537)*設定!$B$13/1000,0))</f>
        <v>0</v>
      </c>
      <c r="BM537" s="31" t="n">
        <f aca="false">ROUNDDOWN((J537-M537)*設定!$C$13/1000,0)+IF(CL537="市局型",ROUNDDOWN(J537*設定!$C$17/1000,0),0)</f>
        <v>0</v>
      </c>
      <c r="BN537" s="31" t="n">
        <f aca="false">IF(CK537="N",BV537,ROUNDDOWN((K537-N537)*設定!$B$14/1000,0))</f>
        <v>0</v>
      </c>
      <c r="BO537" s="31" t="n">
        <f aca="false">ROUNDDOWN((K537-N537)*設定!$C$14/1000,0)</f>
        <v>0</v>
      </c>
      <c r="BP537" s="31" t="n">
        <f aca="false">IF(CK537="N",BX537,ROUNDDOWN((J537-M537)*設定!$B$15/1000,0))</f>
        <v>0</v>
      </c>
      <c r="BQ537" s="31" t="n">
        <f aca="false">ROUNDDOWN((J537-M537)*設定!$C$15/1000,0)</f>
        <v>0</v>
      </c>
      <c r="BR537" s="31" t="n">
        <f aca="false">O537+P537</f>
        <v>0</v>
      </c>
      <c r="BS537" s="31" t="n">
        <f aca="false">T537+U537+V537</f>
        <v>0</v>
      </c>
      <c r="BT537" s="31" t="n">
        <f aca="false">Q537</f>
        <v>0</v>
      </c>
      <c r="BU537" s="31" t="n">
        <f aca="false">W537</f>
        <v>0</v>
      </c>
      <c r="BV537" s="31" t="n">
        <f aca="false">R537</f>
        <v>0</v>
      </c>
      <c r="BW537" s="31" t="n">
        <f aca="false">X537</f>
        <v>0</v>
      </c>
      <c r="BX537" s="31" t="n">
        <f aca="false">S537</f>
        <v>0</v>
      </c>
      <c r="BY537" s="31" t="n">
        <f aca="false">Y537</f>
        <v>0</v>
      </c>
      <c r="BZ537" s="32" t="n">
        <f aca="false">IF(BJ537=0,IF(BR537=0,0,1),(BR537-BJ537)/BJ537)</f>
        <v>0</v>
      </c>
      <c r="CA537" s="32" t="n">
        <f aca="false">IF(BK537=0,IF(BS537=0,0,1),(BS537-BK537)/BK537)</f>
        <v>0</v>
      </c>
      <c r="CB537" s="32" t="n">
        <f aca="false">IF(BL537=0,IF(BT537=0,0,1),(BT537-BL537)/BL537)</f>
        <v>0</v>
      </c>
      <c r="CC537" s="32" t="n">
        <f aca="false">IF(BM537=0,IF(BU537=0,0,1),(BU537-BM537)/BM537)</f>
        <v>0</v>
      </c>
      <c r="CD537" s="32" t="n">
        <f aca="false">IF(BN537=0,IF(BV537=0,0,1),(BV537-BN537)/BN537)</f>
        <v>0</v>
      </c>
      <c r="CE537" s="32" t="n">
        <f aca="false">IF(BO537=0,IF(BW537=0,0,1),(BW537-BO537)/BO537)</f>
        <v>0</v>
      </c>
      <c r="CF537" s="32" t="n">
        <f aca="false">IF(BP537=0,IF(BX537=0,0,1),(BX537-BP537)/BP537)</f>
        <v>0</v>
      </c>
      <c r="CG537" s="32" t="n">
        <f aca="false">IF(BQ537=0,IF(BY537=0,0,1),(BY537-BQ537)/BQ537)</f>
        <v>0</v>
      </c>
      <c r="CH537" s="32" t="n">
        <f aca="false">MAX(MAX(BZ537:CG537),-MIN(BZ537:CG537))</f>
        <v>-0</v>
      </c>
      <c r="CI537" s="31" t="n">
        <f aca="false">IF(CO537="","",SUMIFS($CJ$7:$CJ$696,$A$7:$A$696,CO537,$B$7:$B$696,B537))</f>
        <v>991086</v>
      </c>
      <c r="CJ537" s="31" t="n">
        <f aca="false">SUM(AY537:BI537)</f>
        <v>991086</v>
      </c>
      <c r="CK537" s="31" t="str">
        <f aca="false">IFERROR(INDEX(設定!$F$61:$F$106,MATCH(B537,設定!$B$61:$B$106,0)),"Y")</f>
        <v>N</v>
      </c>
      <c r="CL537" s="31" t="str">
        <f aca="false">IFERROR(INDEX(設定!$G$61:$G$106,MATCH(B537,設定!$B$61:$B$106,0)),"外郭型")</f>
        <v>外郭型</v>
      </c>
      <c r="CM537" s="33" t="str">
        <f aca="false">A537&amp;"|"&amp;B537</f>
        <v>2027-01 月例|農林水産振興センタ</v>
      </c>
      <c r="CN537" s="34" t="str">
        <f aca="false">IFERROR(INDEX(設定!$D$61:$D$106,MATCH(B537,設定!$B$61:$B$106,0)),"Y")</f>
        <v>Y</v>
      </c>
      <c r="CO537" s="34" t="str">
        <f aca="false">IFERROR(INDEX(設定!$D$20:$D$34,MATCH(A537,設定!$A$20:$A$34,0))&amp;"","")</f>
        <v>2026-12 月例</v>
      </c>
    </row>
    <row r="538" customFormat="false" ht="15" hidden="true" customHeight="false" outlineLevel="0" collapsed="false">
      <c r="A538" s="22" t="s">
        <v>227</v>
      </c>
      <c r="B538" s="23" t="s">
        <v>194</v>
      </c>
      <c r="C538" s="10" t="str">
        <f aca="false">IF(G538="","未受領",IF(G538="なし","報告なし",IF(AL538="○","起票済",IF(OR(AK538="○",F538="一致",F538="入金不要"),"入金確認済","受領済"))))</f>
        <v>未受領</v>
      </c>
      <c r="D538" s="10" t="str">
        <f aca="false">IF(OR(G538="",G538="なし"),"―",IF(CN538="N","対象外",IF(AND(I538="",J538="",K538=""),"標報未入力",IF(CH538&gt;=設定!$B$4,"要確認","問題なし"))))</f>
        <v>―</v>
      </c>
      <c r="E538" s="24" t="str">
        <f aca="false">IF(OR(G538="",G538="なし",CI538="",CJ538=0),"―",IF(CJ538=CI538,"前月同額",IF(CI538=0,"―",IF(ABS(CJ538/CI538-1)&gt;=設定!$B$5,"変動大 "&amp;TEXT(CJ538/CI538-1,"+0%;-0%"),"〇"))))</f>
        <v>―</v>
      </c>
      <c r="F538" s="10" t="str">
        <f aca="false">IF(OR(G538="",G538="なし"),"―",IF(CJ538=0,"入金不要",IF(COUNT(AD538,AF538,AH538,AJ538)=0,IF(AK538="○","手動確認","未入金"),IF(AND(N(AD538)=AC538,IF(AE538="",TRUE(),N(AF538)=AE538),IF(AG538="",TRUE(),N(AH538)=AG538),IF(AI538="",TRUE(),N(AJ538)=AI538)),"一致","不一致"))))</f>
        <v>―</v>
      </c>
      <c r="G538" s="25"/>
      <c r="H538" s="26"/>
      <c r="I538" s="27"/>
      <c r="J538" s="27"/>
      <c r="K538" s="27"/>
      <c r="L538" s="27"/>
      <c r="M538" s="27"/>
      <c r="N538" s="27"/>
      <c r="O538" s="27"/>
      <c r="P538" s="27"/>
      <c r="Q538" s="27"/>
      <c r="R538" s="27"/>
      <c r="S538" s="27"/>
      <c r="T538" s="27"/>
      <c r="U538" s="27"/>
      <c r="V538" s="27"/>
      <c r="W538" s="27"/>
      <c r="X538" s="27"/>
      <c r="Y538" s="27"/>
      <c r="Z538" s="27"/>
      <c r="AA538" s="10" t="str">
        <f aca="false">IFERROR(INDEX(設定!$E$61:$E$106,MATCH(B538,設定!$B$61:$B$106,0)),"合算")</f>
        <v>合算</v>
      </c>
      <c r="AB538" s="28"/>
      <c r="AC538" s="29" t="str">
        <f aca="false">IF(OR(G538="",G538="なし"),"",IF(AA538="合算",CJ538+N(Z538),IF(AA538="掛金・負担金別",(AY538+AZ538+BD538+BF538+BH538),SUM(AY538:BC538))))</f>
        <v/>
      </c>
      <c r="AD538" s="27"/>
      <c r="AE538" s="29" t="str">
        <f aca="false">IF(OR(G538="",G538="なし"),"",IF(AA538="掛金・負担金別",(BA538+BB538+BC538+BE538+BG538+BI538+N(Z538)),IF(AA538="経理区分別",BD538+BE538,"")))</f>
        <v/>
      </c>
      <c r="AF538" s="27"/>
      <c r="AG538" s="29" t="str">
        <f aca="false">IF(OR(G538="",G538="なし"),"",IF(AA538="経理区分別",BF538+BG538,""))</f>
        <v/>
      </c>
      <c r="AH538" s="27"/>
      <c r="AI538" s="29" t="str">
        <f aca="false">IF(OR(G538="",G538="なし"),"",IF(AA538="経理区分別",BH538+BI538+N(Z538),""))</f>
        <v/>
      </c>
      <c r="AJ538" s="27"/>
      <c r="AK538" s="26"/>
      <c r="AL538" s="26"/>
      <c r="AM538" s="30"/>
      <c r="AN538" s="31"/>
      <c r="AO538" s="31"/>
      <c r="AP538" s="31" t="n">
        <v>1160220</v>
      </c>
      <c r="AQ538" s="31" t="n">
        <v>95100</v>
      </c>
      <c r="AR538" s="31" t="n">
        <v>1185</v>
      </c>
      <c r="AS538" s="31"/>
      <c r="AT538" s="31" t="n">
        <v>698790</v>
      </c>
      <c r="AU538" s="31"/>
      <c r="AV538" s="31" t="n">
        <v>94721</v>
      </c>
      <c r="AW538" s="31"/>
      <c r="AX538" s="31" t="n">
        <v>1</v>
      </c>
      <c r="AY538" s="31" t="n">
        <f aca="false">IF($G538="",AN538,O538)</f>
        <v>0</v>
      </c>
      <c r="AZ538" s="31" t="n">
        <f aca="false">IF($G538="",AO538,P538)</f>
        <v>0</v>
      </c>
      <c r="BA538" s="31" t="n">
        <f aca="false">IF($G538="",AP538,T538)</f>
        <v>1160220</v>
      </c>
      <c r="BB538" s="31" t="n">
        <f aca="false">IF($G538="",AQ538,U538)</f>
        <v>95100</v>
      </c>
      <c r="BC538" s="31" t="n">
        <f aca="false">IF($G538="",AR538,V538)</f>
        <v>1185</v>
      </c>
      <c r="BD538" s="31" t="n">
        <f aca="false">IF($G538="",AS538,Q538)</f>
        <v>0</v>
      </c>
      <c r="BE538" s="31" t="n">
        <f aca="false">IF($G538="",AT538,W538)</f>
        <v>698790</v>
      </c>
      <c r="BF538" s="31" t="n">
        <f aca="false">IF($G538="",AU538,R538)</f>
        <v>0</v>
      </c>
      <c r="BG538" s="31" t="n">
        <f aca="false">IF($G538="",AV538,X538)</f>
        <v>94721</v>
      </c>
      <c r="BH538" s="31" t="n">
        <f aca="false">IF($G538="",AW538,S538)</f>
        <v>0</v>
      </c>
      <c r="BI538" s="31" t="n">
        <f aca="false">IF($G538="",AX538,Y538)</f>
        <v>1</v>
      </c>
      <c r="BJ538" s="31" t="n">
        <f aca="false">IF(CK538="N",BR538,ROUNDDOWN((I538-L538)*設定!$B$10/1000,0)+ROUNDDOWN((I538-L538)*設定!$B$11/1000,0))</f>
        <v>0</v>
      </c>
      <c r="BK538" s="31" t="n">
        <f aca="false">ROUNDDOWN((I538-L538)*設定!$C$10/1000,0)+ROUNDDOWN((I538-L538)*設定!$C$11/1000,0)+ROUNDDOWN(I538*設定!$C$12/1000,0)+IF(CL538="市局型",ROUNDDOWN(I538*設定!$C$16/1000,0),0)</f>
        <v>0</v>
      </c>
      <c r="BL538" s="31" t="n">
        <f aca="false">IF(CK538="N",BT538,ROUNDDOWN((J538-M538)*設定!$B$13/1000,0))</f>
        <v>0</v>
      </c>
      <c r="BM538" s="31" t="n">
        <f aca="false">ROUNDDOWN((J538-M538)*設定!$C$13/1000,0)+IF(CL538="市局型",ROUNDDOWN(J538*設定!$C$17/1000,0),0)</f>
        <v>0</v>
      </c>
      <c r="BN538" s="31" t="n">
        <f aca="false">IF(CK538="N",BV538,ROUNDDOWN((K538-N538)*設定!$B$14/1000,0))</f>
        <v>0</v>
      </c>
      <c r="BO538" s="31" t="n">
        <f aca="false">ROUNDDOWN((K538-N538)*設定!$C$14/1000,0)</f>
        <v>0</v>
      </c>
      <c r="BP538" s="31" t="n">
        <f aca="false">IF(CK538="N",BX538,ROUNDDOWN((J538-M538)*設定!$B$15/1000,0))</f>
        <v>0</v>
      </c>
      <c r="BQ538" s="31" t="n">
        <f aca="false">ROUNDDOWN((J538-M538)*設定!$C$15/1000,0)</f>
        <v>0</v>
      </c>
      <c r="BR538" s="31" t="n">
        <f aca="false">O538+P538</f>
        <v>0</v>
      </c>
      <c r="BS538" s="31" t="n">
        <f aca="false">T538+U538+V538</f>
        <v>0</v>
      </c>
      <c r="BT538" s="31" t="n">
        <f aca="false">Q538</f>
        <v>0</v>
      </c>
      <c r="BU538" s="31" t="n">
        <f aca="false">W538</f>
        <v>0</v>
      </c>
      <c r="BV538" s="31" t="n">
        <f aca="false">R538</f>
        <v>0</v>
      </c>
      <c r="BW538" s="31" t="n">
        <f aca="false">X538</f>
        <v>0</v>
      </c>
      <c r="BX538" s="31" t="n">
        <f aca="false">S538</f>
        <v>0</v>
      </c>
      <c r="BY538" s="31" t="n">
        <f aca="false">Y538</f>
        <v>0</v>
      </c>
      <c r="BZ538" s="32" t="n">
        <f aca="false">IF(BJ538=0,IF(BR538=0,0,1),(BR538-BJ538)/BJ538)</f>
        <v>0</v>
      </c>
      <c r="CA538" s="32" t="n">
        <f aca="false">IF(BK538=0,IF(BS538=0,0,1),(BS538-BK538)/BK538)</f>
        <v>0</v>
      </c>
      <c r="CB538" s="32" t="n">
        <f aca="false">IF(BL538=0,IF(BT538=0,0,1),(BT538-BL538)/BL538)</f>
        <v>0</v>
      </c>
      <c r="CC538" s="32" t="n">
        <f aca="false">IF(BM538=0,IF(BU538=0,0,1),(BU538-BM538)/BM538)</f>
        <v>0</v>
      </c>
      <c r="CD538" s="32" t="n">
        <f aca="false">IF(BN538=0,IF(BV538=0,0,1),(BV538-BN538)/BN538)</f>
        <v>0</v>
      </c>
      <c r="CE538" s="32" t="n">
        <f aca="false">IF(BO538=0,IF(BW538=0,0,1),(BW538-BO538)/BO538)</f>
        <v>0</v>
      </c>
      <c r="CF538" s="32" t="n">
        <f aca="false">IF(BP538=0,IF(BX538=0,0,1),(BX538-BP538)/BP538)</f>
        <v>0</v>
      </c>
      <c r="CG538" s="32" t="n">
        <f aca="false">IF(BQ538=0,IF(BY538=0,0,1),(BY538-BQ538)/BQ538)</f>
        <v>0</v>
      </c>
      <c r="CH538" s="32" t="n">
        <f aca="false">MAX(MAX(BZ538:CG538),-MIN(BZ538:CG538))</f>
        <v>-0</v>
      </c>
      <c r="CI538" s="31" t="n">
        <f aca="false">IF(CO538="","",SUMIFS($CJ$7:$CJ$696,$A$7:$A$696,CO538,$B$7:$B$696,B538))</f>
        <v>2050017</v>
      </c>
      <c r="CJ538" s="31" t="n">
        <f aca="false">SUM(AY538:BI538)</f>
        <v>2050017</v>
      </c>
      <c r="CK538" s="31" t="str">
        <f aca="false">IFERROR(INDEX(設定!$F$61:$F$106,MATCH(B538,設定!$B$61:$B$106,0)),"Y")</f>
        <v>N</v>
      </c>
      <c r="CL538" s="31" t="str">
        <f aca="false">IFERROR(INDEX(設定!$G$61:$G$106,MATCH(B538,設定!$B$61:$B$106,0)),"外郭型")</f>
        <v>外郭型</v>
      </c>
      <c r="CM538" s="33" t="str">
        <f aca="false">A538&amp;"|"&amp;B538</f>
        <v>2027-01 月例|文化財団　市長部局</v>
      </c>
      <c r="CN538" s="34" t="str">
        <f aca="false">IFERROR(INDEX(設定!$D$61:$D$106,MATCH(B538,設定!$B$61:$B$106,0)),"Y")</f>
        <v>Y</v>
      </c>
      <c r="CO538" s="34" t="str">
        <f aca="false">IFERROR(INDEX(設定!$D$20:$D$34,MATCH(A538,設定!$A$20:$A$34,0))&amp;"","")</f>
        <v>2026-12 月例</v>
      </c>
    </row>
    <row r="539" customFormat="false" ht="15" hidden="true" customHeight="false" outlineLevel="0" collapsed="false">
      <c r="A539" s="22" t="s">
        <v>227</v>
      </c>
      <c r="B539" s="23" t="s">
        <v>195</v>
      </c>
      <c r="C539" s="10" t="str">
        <f aca="false">IF(G539="","未受領",IF(G539="なし","報告なし",IF(AL539="○","起票済",IF(OR(AK539="○",F539="一致",F539="入金不要"),"入金確認済","受領済"))))</f>
        <v>未受領</v>
      </c>
      <c r="D539" s="10" t="str">
        <f aca="false">IF(OR(G539="",G539="なし"),"―",IF(CN539="N","対象外",IF(AND(I539="",J539="",K539=""),"標報未入力",IF(CH539&gt;=設定!$B$4,"要確認","問題なし"))))</f>
        <v>―</v>
      </c>
      <c r="E539" s="24" t="str">
        <f aca="false">IF(OR(G539="",G539="なし",CI539="",CJ539=0),"―",IF(CJ539=CI539,"前月同額",IF(CI539=0,"―",IF(ABS(CJ539/CI539-1)&gt;=設定!$B$5,"変動大 "&amp;TEXT(CJ539/CI539-1,"+0%;-0%"),"〇"))))</f>
        <v>―</v>
      </c>
      <c r="F539" s="10" t="str">
        <f aca="false">IF(OR(G539="",G539="なし"),"―",IF(CJ539=0,"入金不要",IF(COUNT(AD539,AF539,AH539,AJ539)=0,IF(AK539="○","手動確認","未入金"),IF(AND(N(AD539)=AC539,IF(AE539="",TRUE(),N(AF539)=AE539),IF(AG539="",TRUE(),N(AH539)=AG539),IF(AI539="",TRUE(),N(AJ539)=AI539)),"一致","不一致"))))</f>
        <v>―</v>
      </c>
      <c r="G539" s="25"/>
      <c r="H539" s="26"/>
      <c r="I539" s="27"/>
      <c r="J539" s="27"/>
      <c r="K539" s="27"/>
      <c r="L539" s="27"/>
      <c r="M539" s="27"/>
      <c r="N539" s="27"/>
      <c r="O539" s="27"/>
      <c r="P539" s="27"/>
      <c r="Q539" s="27"/>
      <c r="R539" s="27"/>
      <c r="S539" s="27"/>
      <c r="T539" s="27"/>
      <c r="U539" s="27"/>
      <c r="V539" s="27"/>
      <c r="W539" s="27"/>
      <c r="X539" s="27"/>
      <c r="Y539" s="27"/>
      <c r="Z539" s="27"/>
      <c r="AA539" s="10" t="str">
        <f aca="false">IFERROR(INDEX(設定!$E$61:$E$106,MATCH(B539,設定!$B$61:$B$106,0)),"合算")</f>
        <v>合算</v>
      </c>
      <c r="AB539" s="28"/>
      <c r="AC539" s="29" t="str">
        <f aca="false">IF(OR(G539="",G539="なし"),"",IF(AA539="合算",CJ539+N(Z539),IF(AA539="掛金・負担金別",(AY539+AZ539+BD539+BF539+BH539),SUM(AY539:BC539))))</f>
        <v/>
      </c>
      <c r="AD539" s="27"/>
      <c r="AE539" s="29" t="str">
        <f aca="false">IF(OR(G539="",G539="なし"),"",IF(AA539="掛金・負担金別",(BA539+BB539+BC539+BE539+BG539+BI539+N(Z539)),IF(AA539="経理区分別",BD539+BE539,"")))</f>
        <v/>
      </c>
      <c r="AF539" s="27"/>
      <c r="AG539" s="29" t="str">
        <f aca="false">IF(OR(G539="",G539="なし"),"",IF(AA539="経理区分別",BF539+BG539,""))</f>
        <v/>
      </c>
      <c r="AH539" s="27"/>
      <c r="AI539" s="29" t="str">
        <f aca="false">IF(OR(G539="",G539="なし"),"",IF(AA539="経理区分別",BH539+BI539+N(Z539),""))</f>
        <v/>
      </c>
      <c r="AJ539" s="27"/>
      <c r="AK539" s="26"/>
      <c r="AL539" s="26"/>
      <c r="AM539" s="30"/>
      <c r="AN539" s="31"/>
      <c r="AO539" s="31"/>
      <c r="AP539" s="31" t="n">
        <v>0</v>
      </c>
      <c r="AQ539" s="31" t="n">
        <v>0</v>
      </c>
      <c r="AR539" s="31" t="n">
        <v>0</v>
      </c>
      <c r="AS539" s="31"/>
      <c r="AT539" s="31" t="n">
        <v>0</v>
      </c>
      <c r="AU539" s="31"/>
      <c r="AV539" s="31" t="n">
        <v>0</v>
      </c>
      <c r="AW539" s="31"/>
      <c r="AX539" s="31" t="n">
        <v>0</v>
      </c>
      <c r="AY539" s="31" t="n">
        <f aca="false">IF($G539="",AN539,O539)</f>
        <v>0</v>
      </c>
      <c r="AZ539" s="31" t="n">
        <f aca="false">IF($G539="",AO539,P539)</f>
        <v>0</v>
      </c>
      <c r="BA539" s="31" t="n">
        <f aca="false">IF($G539="",AP539,T539)</f>
        <v>0</v>
      </c>
      <c r="BB539" s="31" t="n">
        <f aca="false">IF($G539="",AQ539,U539)</f>
        <v>0</v>
      </c>
      <c r="BC539" s="31" t="n">
        <f aca="false">IF($G539="",AR539,V539)</f>
        <v>0</v>
      </c>
      <c r="BD539" s="31" t="n">
        <f aca="false">IF($G539="",AS539,Q539)</f>
        <v>0</v>
      </c>
      <c r="BE539" s="31" t="n">
        <f aca="false">IF($G539="",AT539,W539)</f>
        <v>0</v>
      </c>
      <c r="BF539" s="31" t="n">
        <f aca="false">IF($G539="",AU539,R539)</f>
        <v>0</v>
      </c>
      <c r="BG539" s="31" t="n">
        <f aca="false">IF($G539="",AV539,X539)</f>
        <v>0</v>
      </c>
      <c r="BH539" s="31" t="n">
        <f aca="false">IF($G539="",AW539,S539)</f>
        <v>0</v>
      </c>
      <c r="BI539" s="31" t="n">
        <f aca="false">IF($G539="",AX539,Y539)</f>
        <v>0</v>
      </c>
      <c r="BJ539" s="31" t="n">
        <f aca="false">IF(CK539="N",BR539,ROUNDDOWN((I539-L539)*設定!$B$10/1000,0)+ROUNDDOWN((I539-L539)*設定!$B$11/1000,0))</f>
        <v>0</v>
      </c>
      <c r="BK539" s="31" t="n">
        <f aca="false">ROUNDDOWN((I539-L539)*設定!$C$10/1000,0)+ROUNDDOWN((I539-L539)*設定!$C$11/1000,0)+ROUNDDOWN(I539*設定!$C$12/1000,0)+IF(CL539="市局型",ROUNDDOWN(I539*設定!$C$16/1000,0),0)</f>
        <v>0</v>
      </c>
      <c r="BL539" s="31" t="n">
        <f aca="false">IF(CK539="N",BT539,ROUNDDOWN((J539-M539)*設定!$B$13/1000,0))</f>
        <v>0</v>
      </c>
      <c r="BM539" s="31" t="n">
        <f aca="false">ROUNDDOWN((J539-M539)*設定!$C$13/1000,0)+IF(CL539="市局型",ROUNDDOWN(J539*設定!$C$17/1000,0),0)</f>
        <v>0</v>
      </c>
      <c r="BN539" s="31" t="n">
        <f aca="false">IF(CK539="N",BV539,ROUNDDOWN((K539-N539)*設定!$B$14/1000,0))</f>
        <v>0</v>
      </c>
      <c r="BO539" s="31" t="n">
        <f aca="false">ROUNDDOWN((K539-N539)*設定!$C$14/1000,0)</f>
        <v>0</v>
      </c>
      <c r="BP539" s="31" t="n">
        <f aca="false">IF(CK539="N",BX539,ROUNDDOWN((J539-M539)*設定!$B$15/1000,0))</f>
        <v>0</v>
      </c>
      <c r="BQ539" s="31" t="n">
        <f aca="false">ROUNDDOWN((J539-M539)*設定!$C$15/1000,0)</f>
        <v>0</v>
      </c>
      <c r="BR539" s="31" t="n">
        <f aca="false">O539+P539</f>
        <v>0</v>
      </c>
      <c r="BS539" s="31" t="n">
        <f aca="false">T539+U539+V539</f>
        <v>0</v>
      </c>
      <c r="BT539" s="31" t="n">
        <f aca="false">Q539</f>
        <v>0</v>
      </c>
      <c r="BU539" s="31" t="n">
        <f aca="false">W539</f>
        <v>0</v>
      </c>
      <c r="BV539" s="31" t="n">
        <f aca="false">R539</f>
        <v>0</v>
      </c>
      <c r="BW539" s="31" t="n">
        <f aca="false">X539</f>
        <v>0</v>
      </c>
      <c r="BX539" s="31" t="n">
        <f aca="false">S539</f>
        <v>0</v>
      </c>
      <c r="BY539" s="31" t="n">
        <f aca="false">Y539</f>
        <v>0</v>
      </c>
      <c r="BZ539" s="32" t="n">
        <f aca="false">IF(BJ539=0,IF(BR539=0,0,1),(BR539-BJ539)/BJ539)</f>
        <v>0</v>
      </c>
      <c r="CA539" s="32" t="n">
        <f aca="false">IF(BK539=0,IF(BS539=0,0,1),(BS539-BK539)/BK539)</f>
        <v>0</v>
      </c>
      <c r="CB539" s="32" t="n">
        <f aca="false">IF(BL539=0,IF(BT539=0,0,1),(BT539-BL539)/BL539)</f>
        <v>0</v>
      </c>
      <c r="CC539" s="32" t="n">
        <f aca="false">IF(BM539=0,IF(BU539=0,0,1),(BU539-BM539)/BM539)</f>
        <v>0</v>
      </c>
      <c r="CD539" s="32" t="n">
        <f aca="false">IF(BN539=0,IF(BV539=0,0,1),(BV539-BN539)/BN539)</f>
        <v>0</v>
      </c>
      <c r="CE539" s="32" t="n">
        <f aca="false">IF(BO539=0,IF(BW539=0,0,1),(BW539-BO539)/BO539)</f>
        <v>0</v>
      </c>
      <c r="CF539" s="32" t="n">
        <f aca="false">IF(BP539=0,IF(BX539=0,0,1),(BX539-BP539)/BP539)</f>
        <v>0</v>
      </c>
      <c r="CG539" s="32" t="n">
        <f aca="false">IF(BQ539=0,IF(BY539=0,0,1),(BY539-BQ539)/BQ539)</f>
        <v>0</v>
      </c>
      <c r="CH539" s="32" t="n">
        <f aca="false">MAX(MAX(BZ539:CG539),-MIN(BZ539:CG539))</f>
        <v>-0</v>
      </c>
      <c r="CI539" s="31" t="n">
        <f aca="false">IF(CO539="","",SUMIFS($CJ$7:$CJ$696,$A$7:$A$696,CO539,$B$7:$B$696,B539))</f>
        <v>0</v>
      </c>
      <c r="CJ539" s="31" t="n">
        <f aca="false">SUM(AY539:BI539)</f>
        <v>0</v>
      </c>
      <c r="CK539" s="31" t="str">
        <f aca="false">IFERROR(INDEX(設定!$F$61:$F$106,MATCH(B539,設定!$B$61:$B$106,0)),"Y")</f>
        <v>N</v>
      </c>
      <c r="CL539" s="31" t="str">
        <f aca="false">IFERROR(INDEX(設定!$G$61:$G$106,MATCH(B539,設定!$B$61:$B$106,0)),"外郭型")</f>
        <v>外郭型</v>
      </c>
      <c r="CM539" s="33" t="str">
        <f aca="false">A539&amp;"|"&amp;B539</f>
        <v>2027-01 月例|文化財団　教育委員会</v>
      </c>
      <c r="CN539" s="34" t="str">
        <f aca="false">IFERROR(INDEX(設定!$D$61:$D$106,MATCH(B539,設定!$B$61:$B$106,0)),"Y")</f>
        <v>Y</v>
      </c>
      <c r="CO539" s="34" t="str">
        <f aca="false">IFERROR(INDEX(設定!$D$20:$D$34,MATCH(A539,設定!$A$20:$A$34,0))&amp;"","")</f>
        <v>2026-12 月例</v>
      </c>
    </row>
    <row r="540" customFormat="false" ht="15" hidden="true" customHeight="false" outlineLevel="0" collapsed="false">
      <c r="A540" s="22" t="s">
        <v>227</v>
      </c>
      <c r="B540" s="23" t="s">
        <v>196</v>
      </c>
      <c r="C540" s="10" t="str">
        <f aca="false">IF(G540="","未受領",IF(G540="なし","報告なし",IF(AL540="○","起票済",IF(OR(AK540="○",F540="一致",F540="入金不要"),"入金確認済","受領済"))))</f>
        <v>未受領</v>
      </c>
      <c r="D540" s="10" t="str">
        <f aca="false">IF(OR(G540="",G540="なし"),"―",IF(CN540="N","対象外",IF(AND(I540="",J540="",K540=""),"標報未入力",IF(CH540&gt;=設定!$B$4,"要確認","問題なし"))))</f>
        <v>―</v>
      </c>
      <c r="E540" s="24" t="str">
        <f aca="false">IF(OR(G540="",G540="なし",CI540="",CJ540=0),"―",IF(CJ540=CI540,"前月同額",IF(CI540=0,"―",IF(ABS(CJ540/CI540-1)&gt;=設定!$B$5,"変動大 "&amp;TEXT(CJ540/CI540-1,"+0%;-0%"),"〇"))))</f>
        <v>―</v>
      </c>
      <c r="F540" s="10" t="str">
        <f aca="false">IF(OR(G540="",G540="なし"),"―",IF(CJ540=0,"入金不要",IF(COUNT(AD540,AF540,AH540,AJ540)=0,IF(AK540="○","手動確認","未入金"),IF(AND(N(AD540)=AC540,IF(AE540="",TRUE(),N(AF540)=AE540),IF(AG540="",TRUE(),N(AH540)=AG540),IF(AI540="",TRUE(),N(AJ540)=AI540)),"一致","不一致"))))</f>
        <v>―</v>
      </c>
      <c r="G540" s="25"/>
      <c r="H540" s="26"/>
      <c r="I540" s="27"/>
      <c r="J540" s="27"/>
      <c r="K540" s="27"/>
      <c r="L540" s="27"/>
      <c r="M540" s="27"/>
      <c r="N540" s="27"/>
      <c r="O540" s="27"/>
      <c r="P540" s="27"/>
      <c r="Q540" s="27"/>
      <c r="R540" s="27"/>
      <c r="S540" s="27"/>
      <c r="T540" s="27"/>
      <c r="U540" s="27"/>
      <c r="V540" s="27"/>
      <c r="W540" s="27"/>
      <c r="X540" s="27"/>
      <c r="Y540" s="27"/>
      <c r="Z540" s="27"/>
      <c r="AA540" s="10" t="str">
        <f aca="false">IFERROR(INDEX(設定!$E$61:$E$106,MATCH(B540,設定!$B$61:$B$106,0)),"合算")</f>
        <v>合算</v>
      </c>
      <c r="AB540" s="28"/>
      <c r="AC540" s="29" t="str">
        <f aca="false">IF(OR(G540="",G540="なし"),"",IF(AA540="合算",CJ540+N(Z540),IF(AA540="掛金・負担金別",(AY540+AZ540+BD540+BF540+BH540),SUM(AY540:BC540))))</f>
        <v/>
      </c>
      <c r="AD540" s="27"/>
      <c r="AE540" s="29" t="str">
        <f aca="false">IF(OR(G540="",G540="なし"),"",IF(AA540="掛金・負担金別",(BA540+BB540+BC540+BE540+BG540+BI540+N(Z540)),IF(AA540="経理区分別",BD540+BE540,"")))</f>
        <v/>
      </c>
      <c r="AF540" s="27"/>
      <c r="AG540" s="29" t="str">
        <f aca="false">IF(OR(G540="",G540="なし"),"",IF(AA540="経理区分別",BF540+BG540,""))</f>
        <v/>
      </c>
      <c r="AH540" s="27"/>
      <c r="AI540" s="29" t="str">
        <f aca="false">IF(OR(G540="",G540="なし"),"",IF(AA540="経理区分別",BH540+BI540+N(Z540),""))</f>
        <v/>
      </c>
      <c r="AJ540" s="27"/>
      <c r="AK540" s="26"/>
      <c r="AL540" s="26"/>
      <c r="AM540" s="30"/>
      <c r="AN540" s="31"/>
      <c r="AO540" s="31"/>
      <c r="AP540" s="31" t="n">
        <v>402600</v>
      </c>
      <c r="AQ540" s="31" t="n">
        <v>33000</v>
      </c>
      <c r="AR540" s="31" t="n">
        <v>412</v>
      </c>
      <c r="AS540" s="31"/>
      <c r="AT540" s="31" t="n">
        <v>242482</v>
      </c>
      <c r="AU540" s="31"/>
      <c r="AV540" s="31" t="n">
        <v>34760</v>
      </c>
      <c r="AW540" s="31"/>
      <c r="AX540" s="31" t="n">
        <v>1</v>
      </c>
      <c r="AY540" s="31" t="n">
        <f aca="false">IF($G540="",AN540,O540)</f>
        <v>0</v>
      </c>
      <c r="AZ540" s="31" t="n">
        <f aca="false">IF($G540="",AO540,P540)</f>
        <v>0</v>
      </c>
      <c r="BA540" s="31" t="n">
        <f aca="false">IF($G540="",AP540,T540)</f>
        <v>402600</v>
      </c>
      <c r="BB540" s="31" t="n">
        <f aca="false">IF($G540="",AQ540,U540)</f>
        <v>33000</v>
      </c>
      <c r="BC540" s="31" t="n">
        <f aca="false">IF($G540="",AR540,V540)</f>
        <v>412</v>
      </c>
      <c r="BD540" s="31" t="n">
        <f aca="false">IF($G540="",AS540,Q540)</f>
        <v>0</v>
      </c>
      <c r="BE540" s="31" t="n">
        <f aca="false">IF($G540="",AT540,W540)</f>
        <v>242482</v>
      </c>
      <c r="BF540" s="31" t="n">
        <f aca="false">IF($G540="",AU540,R540)</f>
        <v>0</v>
      </c>
      <c r="BG540" s="31" t="n">
        <f aca="false">IF($G540="",AV540,X540)</f>
        <v>34760</v>
      </c>
      <c r="BH540" s="31" t="n">
        <f aca="false">IF($G540="",AW540,S540)</f>
        <v>0</v>
      </c>
      <c r="BI540" s="31" t="n">
        <f aca="false">IF($G540="",AX540,Y540)</f>
        <v>1</v>
      </c>
      <c r="BJ540" s="31" t="n">
        <f aca="false">IF(CK540="N",BR540,ROUNDDOWN((I540-L540)*設定!$B$10/1000,0)+ROUNDDOWN((I540-L540)*設定!$B$11/1000,0))</f>
        <v>0</v>
      </c>
      <c r="BK540" s="31" t="n">
        <f aca="false">ROUNDDOWN((I540-L540)*設定!$C$10/1000,0)+ROUNDDOWN((I540-L540)*設定!$C$11/1000,0)+ROUNDDOWN(I540*設定!$C$12/1000,0)+IF(CL540="市局型",ROUNDDOWN(I540*設定!$C$16/1000,0),0)</f>
        <v>0</v>
      </c>
      <c r="BL540" s="31" t="n">
        <f aca="false">IF(CK540="N",BT540,ROUNDDOWN((J540-M540)*設定!$B$13/1000,0))</f>
        <v>0</v>
      </c>
      <c r="BM540" s="31" t="n">
        <f aca="false">ROUNDDOWN((J540-M540)*設定!$C$13/1000,0)+IF(CL540="市局型",ROUNDDOWN(J540*設定!$C$17/1000,0),0)</f>
        <v>0</v>
      </c>
      <c r="BN540" s="31" t="n">
        <f aca="false">IF(CK540="N",BV540,ROUNDDOWN((K540-N540)*設定!$B$14/1000,0))</f>
        <v>0</v>
      </c>
      <c r="BO540" s="31" t="n">
        <f aca="false">ROUNDDOWN((K540-N540)*設定!$C$14/1000,0)</f>
        <v>0</v>
      </c>
      <c r="BP540" s="31" t="n">
        <f aca="false">IF(CK540="N",BX540,ROUNDDOWN((J540-M540)*設定!$B$15/1000,0))</f>
        <v>0</v>
      </c>
      <c r="BQ540" s="31" t="n">
        <f aca="false">ROUNDDOWN((J540-M540)*設定!$C$15/1000,0)</f>
        <v>0</v>
      </c>
      <c r="BR540" s="31" t="n">
        <f aca="false">O540+P540</f>
        <v>0</v>
      </c>
      <c r="BS540" s="31" t="n">
        <f aca="false">T540+U540+V540</f>
        <v>0</v>
      </c>
      <c r="BT540" s="31" t="n">
        <f aca="false">Q540</f>
        <v>0</v>
      </c>
      <c r="BU540" s="31" t="n">
        <f aca="false">W540</f>
        <v>0</v>
      </c>
      <c r="BV540" s="31" t="n">
        <f aca="false">R540</f>
        <v>0</v>
      </c>
      <c r="BW540" s="31" t="n">
        <f aca="false">X540</f>
        <v>0</v>
      </c>
      <c r="BX540" s="31" t="n">
        <f aca="false">S540</f>
        <v>0</v>
      </c>
      <c r="BY540" s="31" t="n">
        <f aca="false">Y540</f>
        <v>0</v>
      </c>
      <c r="BZ540" s="32" t="n">
        <f aca="false">IF(BJ540=0,IF(BR540=0,0,1),(BR540-BJ540)/BJ540)</f>
        <v>0</v>
      </c>
      <c r="CA540" s="32" t="n">
        <f aca="false">IF(BK540=0,IF(BS540=0,0,1),(BS540-BK540)/BK540)</f>
        <v>0</v>
      </c>
      <c r="CB540" s="32" t="n">
        <f aca="false">IF(BL540=0,IF(BT540=0,0,1),(BT540-BL540)/BL540)</f>
        <v>0</v>
      </c>
      <c r="CC540" s="32" t="n">
        <f aca="false">IF(BM540=0,IF(BU540=0,0,1),(BU540-BM540)/BM540)</f>
        <v>0</v>
      </c>
      <c r="CD540" s="32" t="n">
        <f aca="false">IF(BN540=0,IF(BV540=0,0,1),(BV540-BN540)/BN540)</f>
        <v>0</v>
      </c>
      <c r="CE540" s="32" t="n">
        <f aca="false">IF(BO540=0,IF(BW540=0,0,1),(BW540-BO540)/BO540)</f>
        <v>0</v>
      </c>
      <c r="CF540" s="32" t="n">
        <f aca="false">IF(BP540=0,IF(BX540=0,0,1),(BX540-BP540)/BP540)</f>
        <v>0</v>
      </c>
      <c r="CG540" s="32" t="n">
        <f aca="false">IF(BQ540=0,IF(BY540=0,0,1),(BY540-BQ540)/BQ540)</f>
        <v>0</v>
      </c>
      <c r="CH540" s="32" t="n">
        <f aca="false">MAX(MAX(BZ540:CG540),-MIN(BZ540:CG540))</f>
        <v>-0</v>
      </c>
      <c r="CI540" s="31" t="n">
        <f aca="false">IF(CO540="","",SUMIFS($CJ$7:$CJ$696,$A$7:$A$696,CO540,$B$7:$B$696,B540))</f>
        <v>698666</v>
      </c>
      <c r="CJ540" s="31" t="n">
        <f aca="false">SUM(AY540:BI540)</f>
        <v>713255</v>
      </c>
      <c r="CK540" s="31" t="str">
        <f aca="false">IFERROR(INDEX(設定!$F$61:$F$106,MATCH(B540,設定!$B$61:$B$106,0)),"Y")</f>
        <v>N</v>
      </c>
      <c r="CL540" s="31" t="str">
        <f aca="false">IFERROR(INDEX(設定!$G$61:$G$106,MATCH(B540,設定!$B$61:$B$106,0)),"外郭型")</f>
        <v>外郭型</v>
      </c>
      <c r="CM540" s="33" t="str">
        <f aca="false">A540&amp;"|"&amp;B540</f>
        <v>2027-01 月例|みどり生きもの協会</v>
      </c>
      <c r="CN540" s="34" t="str">
        <f aca="false">IFERROR(INDEX(設定!$D$61:$D$106,MATCH(B540,設定!$B$61:$B$106,0)),"Y")</f>
        <v>Y</v>
      </c>
      <c r="CO540" s="34" t="str">
        <f aca="false">IFERROR(INDEX(設定!$D$20:$D$34,MATCH(A540,設定!$A$20:$A$34,0))&amp;"","")</f>
        <v>2026-12 月例</v>
      </c>
    </row>
    <row r="541" customFormat="false" ht="15" hidden="true" customHeight="false" outlineLevel="0" collapsed="false">
      <c r="A541" s="22" t="s">
        <v>227</v>
      </c>
      <c r="B541" s="23" t="s">
        <v>197</v>
      </c>
      <c r="C541" s="10" t="str">
        <f aca="false">IF(G541="","未受領",IF(G541="なし","報告なし",IF(AL541="○","起票済",IF(OR(AK541="○",F541="一致",F541="入金不要"),"入金確認済","受領済"))))</f>
        <v>未受領</v>
      </c>
      <c r="D541" s="10" t="str">
        <f aca="false">IF(OR(G541="",G541="なし"),"―",IF(CN541="N","対象外",IF(AND(I541="",J541="",K541=""),"標報未入力",IF(CH541&gt;=設定!$B$4,"要確認","問題なし"))))</f>
        <v>―</v>
      </c>
      <c r="E541" s="24" t="str">
        <f aca="false">IF(OR(G541="",G541="なし",CI541="",CJ541=0),"―",IF(CJ541=CI541,"前月同額",IF(CI541=0,"―",IF(ABS(CJ541/CI541-1)&gt;=設定!$B$5,"変動大 "&amp;TEXT(CJ541/CI541-1,"+0%;-0%"),"〇"))))</f>
        <v>―</v>
      </c>
      <c r="F541" s="10" t="str">
        <f aca="false">IF(OR(G541="",G541="なし"),"―",IF(CJ541=0,"入金不要",IF(COUNT(AD541,AF541,AH541,AJ541)=0,IF(AK541="○","手動確認","未入金"),IF(AND(N(AD541)=AC541,IF(AE541="",TRUE(),N(AF541)=AE541),IF(AG541="",TRUE(),N(AH541)=AG541),IF(AI541="",TRUE(),N(AJ541)=AI541)),"一致","不一致"))))</f>
        <v>―</v>
      </c>
      <c r="G541" s="25"/>
      <c r="H541" s="26"/>
      <c r="I541" s="27"/>
      <c r="J541" s="27"/>
      <c r="K541" s="27"/>
      <c r="L541" s="27"/>
      <c r="M541" s="27"/>
      <c r="N541" s="27"/>
      <c r="O541" s="27"/>
      <c r="P541" s="27"/>
      <c r="Q541" s="27"/>
      <c r="R541" s="27"/>
      <c r="S541" s="27"/>
      <c r="T541" s="27"/>
      <c r="U541" s="27"/>
      <c r="V541" s="27"/>
      <c r="W541" s="27"/>
      <c r="X541" s="27"/>
      <c r="Y541" s="27"/>
      <c r="Z541" s="27"/>
      <c r="AA541" s="10" t="str">
        <f aca="false">IFERROR(INDEX(設定!$E$61:$E$106,MATCH(B541,設定!$B$61:$B$106,0)),"合算")</f>
        <v>合算</v>
      </c>
      <c r="AB541" s="28"/>
      <c r="AC541" s="29" t="str">
        <f aca="false">IF(OR(G541="",G541="なし"),"",IF(AA541="合算",CJ541+N(Z541),IF(AA541="掛金・負担金別",(AY541+AZ541+BD541+BF541+BH541),SUM(AY541:BC541))))</f>
        <v/>
      </c>
      <c r="AD541" s="27"/>
      <c r="AE541" s="29" t="str">
        <f aca="false">IF(OR(G541="",G541="なし"),"",IF(AA541="掛金・負担金別",(BA541+BB541+BC541+BE541+BG541+BI541+N(Z541)),IF(AA541="経理区分別",BD541+BE541,"")))</f>
        <v/>
      </c>
      <c r="AF541" s="27"/>
      <c r="AG541" s="29" t="str">
        <f aca="false">IF(OR(G541="",G541="なし"),"",IF(AA541="経理区分別",BF541+BG541,""))</f>
        <v/>
      </c>
      <c r="AH541" s="27"/>
      <c r="AI541" s="29" t="str">
        <f aca="false">IF(OR(G541="",G541="なし"),"",IF(AA541="経理区分別",BH541+BI541+N(Z541),""))</f>
        <v/>
      </c>
      <c r="AJ541" s="27"/>
      <c r="AK541" s="26"/>
      <c r="AL541" s="26"/>
      <c r="AM541" s="30"/>
      <c r="AN541" s="31" t="n">
        <v>137250</v>
      </c>
      <c r="AO541" s="31" t="n">
        <v>11250</v>
      </c>
      <c r="AP541" s="31" t="n">
        <v>137250</v>
      </c>
      <c r="AQ541" s="31" t="n">
        <v>11250</v>
      </c>
      <c r="AR541" s="31" t="n">
        <v>140</v>
      </c>
      <c r="AS541" s="31" t="n">
        <v>82514</v>
      </c>
      <c r="AT541" s="31" t="n">
        <v>82665</v>
      </c>
      <c r="AU541" s="31" t="n">
        <v>8611</v>
      </c>
      <c r="AV541" s="31" t="n">
        <v>8611</v>
      </c>
      <c r="AW541" s="31" t="n">
        <v>1</v>
      </c>
      <c r="AX541" s="31" t="n">
        <v>1</v>
      </c>
      <c r="AY541" s="31" t="n">
        <f aca="false">IF($G541="",AN541,O541)</f>
        <v>137250</v>
      </c>
      <c r="AZ541" s="31" t="n">
        <f aca="false">IF($G541="",AO541,P541)</f>
        <v>11250</v>
      </c>
      <c r="BA541" s="31" t="n">
        <f aca="false">IF($G541="",AP541,T541)</f>
        <v>137250</v>
      </c>
      <c r="BB541" s="31" t="n">
        <f aca="false">IF($G541="",AQ541,U541)</f>
        <v>11250</v>
      </c>
      <c r="BC541" s="31" t="n">
        <f aca="false">IF($G541="",AR541,V541)</f>
        <v>140</v>
      </c>
      <c r="BD541" s="31" t="n">
        <f aca="false">IF($G541="",AS541,Q541)</f>
        <v>82514</v>
      </c>
      <c r="BE541" s="31" t="n">
        <f aca="false">IF($G541="",AT541,W541)</f>
        <v>82665</v>
      </c>
      <c r="BF541" s="31" t="n">
        <f aca="false">IF($G541="",AU541,R541)</f>
        <v>8611</v>
      </c>
      <c r="BG541" s="31" t="n">
        <f aca="false">IF($G541="",AV541,X541)</f>
        <v>8611</v>
      </c>
      <c r="BH541" s="31" t="n">
        <f aca="false">IF($G541="",AW541,S541)</f>
        <v>1</v>
      </c>
      <c r="BI541" s="31" t="n">
        <f aca="false">IF($G541="",AX541,Y541)</f>
        <v>1</v>
      </c>
      <c r="BJ541" s="31" t="n">
        <f aca="false">IF(CK541="N",BR541,ROUNDDOWN((I541-L541)*設定!$B$10/1000,0)+ROUNDDOWN((I541-L541)*設定!$B$11/1000,0))</f>
        <v>0</v>
      </c>
      <c r="BK541" s="31" t="n">
        <f aca="false">ROUNDDOWN((I541-L541)*設定!$C$10/1000,0)+ROUNDDOWN((I541-L541)*設定!$C$11/1000,0)+ROUNDDOWN(I541*設定!$C$12/1000,0)+IF(CL541="市局型",ROUNDDOWN(I541*設定!$C$16/1000,0),0)</f>
        <v>0</v>
      </c>
      <c r="BL541" s="31" t="n">
        <f aca="false">IF(CK541="N",BT541,ROUNDDOWN((J541-M541)*設定!$B$13/1000,0))</f>
        <v>0</v>
      </c>
      <c r="BM541" s="31" t="n">
        <f aca="false">ROUNDDOWN((J541-M541)*設定!$C$13/1000,0)+IF(CL541="市局型",ROUNDDOWN(J541*設定!$C$17/1000,0),0)</f>
        <v>0</v>
      </c>
      <c r="BN541" s="31" t="n">
        <f aca="false">IF(CK541="N",BV541,ROUNDDOWN((K541-N541)*設定!$B$14/1000,0))</f>
        <v>0</v>
      </c>
      <c r="BO541" s="31" t="n">
        <f aca="false">ROUNDDOWN((K541-N541)*設定!$C$14/1000,0)</f>
        <v>0</v>
      </c>
      <c r="BP541" s="31" t="n">
        <f aca="false">IF(CK541="N",BX541,ROUNDDOWN((J541-M541)*設定!$B$15/1000,0))</f>
        <v>0</v>
      </c>
      <c r="BQ541" s="31" t="n">
        <f aca="false">ROUNDDOWN((J541-M541)*設定!$C$15/1000,0)</f>
        <v>0</v>
      </c>
      <c r="BR541" s="31" t="n">
        <f aca="false">O541+P541</f>
        <v>0</v>
      </c>
      <c r="BS541" s="31" t="n">
        <f aca="false">T541+U541+V541</f>
        <v>0</v>
      </c>
      <c r="BT541" s="31" t="n">
        <f aca="false">Q541</f>
        <v>0</v>
      </c>
      <c r="BU541" s="31" t="n">
        <f aca="false">W541</f>
        <v>0</v>
      </c>
      <c r="BV541" s="31" t="n">
        <f aca="false">R541</f>
        <v>0</v>
      </c>
      <c r="BW541" s="31" t="n">
        <f aca="false">X541</f>
        <v>0</v>
      </c>
      <c r="BX541" s="31" t="n">
        <f aca="false">S541</f>
        <v>0</v>
      </c>
      <c r="BY541" s="31" t="n">
        <f aca="false">Y541</f>
        <v>0</v>
      </c>
      <c r="BZ541" s="32" t="n">
        <f aca="false">IF(BJ541=0,IF(BR541=0,0,1),(BR541-BJ541)/BJ541)</f>
        <v>0</v>
      </c>
      <c r="CA541" s="32" t="n">
        <f aca="false">IF(BK541=0,IF(BS541=0,0,1),(BS541-BK541)/BK541)</f>
        <v>0</v>
      </c>
      <c r="CB541" s="32" t="n">
        <f aca="false">IF(BL541=0,IF(BT541=0,0,1),(BT541-BL541)/BL541)</f>
        <v>0</v>
      </c>
      <c r="CC541" s="32" t="n">
        <f aca="false">IF(BM541=0,IF(BU541=0,0,1),(BU541-BM541)/BM541)</f>
        <v>0</v>
      </c>
      <c r="CD541" s="32" t="n">
        <f aca="false">IF(BN541=0,IF(BV541=0,0,1),(BV541-BN541)/BN541)</f>
        <v>0</v>
      </c>
      <c r="CE541" s="32" t="n">
        <f aca="false">IF(BO541=0,IF(BW541=0,0,1),(BW541-BO541)/BO541)</f>
        <v>0</v>
      </c>
      <c r="CF541" s="32" t="n">
        <f aca="false">IF(BP541=0,IF(BX541=0,0,1),(BX541-BP541)/BP541)</f>
        <v>0</v>
      </c>
      <c r="CG541" s="32" t="n">
        <f aca="false">IF(BQ541=0,IF(BY541=0,0,1),(BY541-BQ541)/BQ541)</f>
        <v>0</v>
      </c>
      <c r="CH541" s="32" t="n">
        <f aca="false">MAX(MAX(BZ541:CG541),-MIN(BZ541:CG541))</f>
        <v>-0</v>
      </c>
      <c r="CI541" s="31" t="n">
        <f aca="false">IF(CO541="","",SUMIFS($CJ$7:$CJ$696,$A$7:$A$696,CO541,$B$7:$B$696,B541))</f>
        <v>479543</v>
      </c>
      <c r="CJ541" s="31" t="n">
        <f aca="false">SUM(AY541:BI541)</f>
        <v>479543</v>
      </c>
      <c r="CK541" s="31" t="str">
        <f aca="false">IFERROR(INDEX(設定!$F$61:$F$106,MATCH(B541,設定!$B$61:$B$106,0)),"Y")</f>
        <v>Y</v>
      </c>
      <c r="CL541" s="31" t="str">
        <f aca="false">IFERROR(INDEX(設定!$G$61:$G$106,MATCH(B541,設定!$B$61:$B$106,0)),"外郭型")</f>
        <v>外郭型</v>
      </c>
      <c r="CM541" s="33" t="str">
        <f aca="false">A541&amp;"|"&amp;B541</f>
        <v>2027-01 月例|県下水道公社</v>
      </c>
      <c r="CN541" s="34" t="str">
        <f aca="false">IFERROR(INDEX(設定!$D$61:$D$106,MATCH(B541,設定!$B$61:$B$106,0)),"Y")</f>
        <v>Y</v>
      </c>
      <c r="CO541" s="34" t="str">
        <f aca="false">IFERROR(INDEX(設定!$D$20:$D$34,MATCH(A541,設定!$A$20:$A$34,0))&amp;"","")</f>
        <v>2026-12 月例</v>
      </c>
    </row>
    <row r="542" customFormat="false" ht="26.85" hidden="true" customHeight="false" outlineLevel="0" collapsed="false">
      <c r="A542" s="22" t="s">
        <v>227</v>
      </c>
      <c r="B542" s="35" t="s">
        <v>198</v>
      </c>
      <c r="C542" s="10" t="str">
        <f aca="false">IF(G542="","未受領",IF(G542="なし","報告なし",IF(AL542="○","起票済",IF(OR(AK542="○",F542="一致",F542="入金不要"),"入金確認済","受領済"))))</f>
        <v>未受領</v>
      </c>
      <c r="D542" s="10" t="str">
        <f aca="false">IF(OR(G542="",G542="なし"),"―",IF(CN542="N","対象外",IF(AND(I542="",J542="",K542=""),"標報未入力",IF(CH542&gt;=設定!$B$4,"要確認","問題なし"))))</f>
        <v>―</v>
      </c>
      <c r="E542" s="24" t="str">
        <f aca="false">IF(OR(G542="",G542="なし",CI542="",CJ542=0),"―",IF(CJ542=CI542,"前月同額",IF(CI542=0,"―",IF(ABS(CJ542/CI542-1)&gt;=設定!$B$5,"変動大 "&amp;TEXT(CJ542/CI542-1,"+0%;-0%"),"〇"))))</f>
        <v>―</v>
      </c>
      <c r="F542" s="10" t="str">
        <f aca="false">IF(OR(G542="",G542="なし"),"―",IF(CJ542=0,"入金不要",IF(COUNT(AD542,AF542,AH542,AJ542)=0,IF(AK542="○","手動確認","未入金"),IF(AND(N(AD542)=AC542,IF(AE542="",TRUE(),N(AF542)=AE542),IF(AG542="",TRUE(),N(AH542)=AG542),IF(AI542="",TRUE(),N(AJ542)=AI542)),"一致","不一致"))))</f>
        <v>―</v>
      </c>
      <c r="G542" s="25"/>
      <c r="H542" s="26"/>
      <c r="I542" s="27"/>
      <c r="J542" s="27"/>
      <c r="K542" s="27"/>
      <c r="L542" s="27"/>
      <c r="M542" s="27"/>
      <c r="N542" s="27"/>
      <c r="O542" s="27"/>
      <c r="P542" s="27"/>
      <c r="Q542" s="27"/>
      <c r="R542" s="27"/>
      <c r="S542" s="27"/>
      <c r="T542" s="27"/>
      <c r="U542" s="27"/>
      <c r="V542" s="27"/>
      <c r="W542" s="27"/>
      <c r="X542" s="27"/>
      <c r="Y542" s="27"/>
      <c r="Z542" s="27"/>
      <c r="AA542" s="10" t="str">
        <f aca="false">IFERROR(INDEX(設定!$E$61:$E$106,MATCH(B542,設定!$B$61:$B$106,0)),"合算")</f>
        <v>合算</v>
      </c>
      <c r="AB542" s="28"/>
      <c r="AC542" s="29" t="str">
        <f aca="false">IF(OR(G542="",G542="なし"),"",IF(AA542="合算",CJ542+N(Z542),IF(AA542="掛金・負担金別",(AY542+AZ542+BD542+BF542+BH542),SUM(AY542:BC542))))</f>
        <v/>
      </c>
      <c r="AD542" s="27"/>
      <c r="AE542" s="29" t="str">
        <f aca="false">IF(OR(G542="",G542="なし"),"",IF(AA542="掛金・負担金別",(BA542+BB542+BC542+BE542+BG542+BI542+N(Z542)),IF(AA542="経理区分別",BD542+BE542,"")))</f>
        <v/>
      </c>
      <c r="AF542" s="27"/>
      <c r="AG542" s="29" t="str">
        <f aca="false">IF(OR(G542="",G542="なし"),"",IF(AA542="経理区分別",BF542+BG542,""))</f>
        <v/>
      </c>
      <c r="AH542" s="27"/>
      <c r="AI542" s="29" t="str">
        <f aca="false">IF(OR(G542="",G542="なし"),"",IF(AA542="経理区分別",BH542+BI542+N(Z542),""))</f>
        <v/>
      </c>
      <c r="AJ542" s="27"/>
      <c r="AK542" s="26"/>
      <c r="AL542" s="26"/>
      <c r="AM542" s="30"/>
      <c r="AN542" s="31"/>
      <c r="AO542" s="31"/>
      <c r="AP542" s="31" t="n">
        <v>477630</v>
      </c>
      <c r="AQ542" s="31" t="n">
        <v>39150</v>
      </c>
      <c r="AR542" s="31" t="n">
        <v>490</v>
      </c>
      <c r="AS542" s="31"/>
      <c r="AT542" s="31" t="n">
        <v>293185</v>
      </c>
      <c r="AU542" s="31"/>
      <c r="AV542" s="31" t="n">
        <v>25517</v>
      </c>
      <c r="AW542" s="31"/>
      <c r="AX542" s="31" t="n">
        <v>1</v>
      </c>
      <c r="AY542" s="31" t="n">
        <f aca="false">IF($G542="",AN542,O542)</f>
        <v>0</v>
      </c>
      <c r="AZ542" s="31" t="n">
        <f aca="false">IF($G542="",AO542,P542)</f>
        <v>0</v>
      </c>
      <c r="BA542" s="31" t="n">
        <f aca="false">IF($G542="",AP542,T542)</f>
        <v>477630</v>
      </c>
      <c r="BB542" s="31" t="n">
        <f aca="false">IF($G542="",AQ542,U542)</f>
        <v>39150</v>
      </c>
      <c r="BC542" s="31" t="n">
        <f aca="false">IF($G542="",AR542,V542)</f>
        <v>490</v>
      </c>
      <c r="BD542" s="31" t="n">
        <f aca="false">IF($G542="",AS542,Q542)</f>
        <v>0</v>
      </c>
      <c r="BE542" s="31" t="n">
        <f aca="false">IF($G542="",AT542,W542)</f>
        <v>293185</v>
      </c>
      <c r="BF542" s="31" t="n">
        <f aca="false">IF($G542="",AU542,R542)</f>
        <v>0</v>
      </c>
      <c r="BG542" s="31" t="n">
        <f aca="false">IF($G542="",AV542,X542)</f>
        <v>25517</v>
      </c>
      <c r="BH542" s="31" t="n">
        <f aca="false">IF($G542="",AW542,S542)</f>
        <v>0</v>
      </c>
      <c r="BI542" s="31" t="n">
        <f aca="false">IF($G542="",AX542,Y542)</f>
        <v>1</v>
      </c>
      <c r="BJ542" s="31" t="n">
        <f aca="false">IF(CK542="N",BR542,ROUNDDOWN((I542-L542)*設定!$B$10/1000,0)+ROUNDDOWN((I542-L542)*設定!$B$11/1000,0))</f>
        <v>0</v>
      </c>
      <c r="BK542" s="31" t="n">
        <f aca="false">ROUNDDOWN((I542-L542)*設定!$C$10/1000,0)+ROUNDDOWN((I542-L542)*設定!$C$11/1000,0)+ROUNDDOWN(I542*設定!$C$12/1000,0)+IF(CL542="市局型",ROUNDDOWN(I542*設定!$C$16/1000,0),0)</f>
        <v>0</v>
      </c>
      <c r="BL542" s="31" t="n">
        <f aca="false">IF(CK542="N",BT542,ROUNDDOWN((J542-M542)*設定!$B$13/1000,0))</f>
        <v>0</v>
      </c>
      <c r="BM542" s="31" t="n">
        <f aca="false">ROUNDDOWN((J542-M542)*設定!$C$13/1000,0)+IF(CL542="市局型",ROUNDDOWN(J542*設定!$C$17/1000,0),0)</f>
        <v>0</v>
      </c>
      <c r="BN542" s="31" t="n">
        <f aca="false">IF(CK542="N",BV542,ROUNDDOWN((K542-N542)*設定!$B$14/1000,0))</f>
        <v>0</v>
      </c>
      <c r="BO542" s="31" t="n">
        <f aca="false">ROUNDDOWN((K542-N542)*設定!$C$14/1000,0)</f>
        <v>0</v>
      </c>
      <c r="BP542" s="31" t="n">
        <f aca="false">IF(CK542="N",BX542,ROUNDDOWN((J542-M542)*設定!$B$15/1000,0))</f>
        <v>0</v>
      </c>
      <c r="BQ542" s="31" t="n">
        <f aca="false">ROUNDDOWN((J542-M542)*設定!$C$15/1000,0)</f>
        <v>0</v>
      </c>
      <c r="BR542" s="31" t="n">
        <f aca="false">O542+P542</f>
        <v>0</v>
      </c>
      <c r="BS542" s="31" t="n">
        <f aca="false">T542+U542+V542</f>
        <v>0</v>
      </c>
      <c r="BT542" s="31" t="n">
        <f aca="false">Q542</f>
        <v>0</v>
      </c>
      <c r="BU542" s="31" t="n">
        <f aca="false">W542</f>
        <v>0</v>
      </c>
      <c r="BV542" s="31" t="n">
        <f aca="false">R542</f>
        <v>0</v>
      </c>
      <c r="BW542" s="31" t="n">
        <f aca="false">X542</f>
        <v>0</v>
      </c>
      <c r="BX542" s="31" t="n">
        <f aca="false">S542</f>
        <v>0</v>
      </c>
      <c r="BY542" s="31" t="n">
        <f aca="false">Y542</f>
        <v>0</v>
      </c>
      <c r="BZ542" s="32" t="n">
        <f aca="false">IF(BJ542=0,IF(BR542=0,0,1),(BR542-BJ542)/BJ542)</f>
        <v>0</v>
      </c>
      <c r="CA542" s="32" t="n">
        <f aca="false">IF(BK542=0,IF(BS542=0,0,1),(BS542-BK542)/BK542)</f>
        <v>0</v>
      </c>
      <c r="CB542" s="32" t="n">
        <f aca="false">IF(BL542=0,IF(BT542=0,0,1),(BT542-BL542)/BL542)</f>
        <v>0</v>
      </c>
      <c r="CC542" s="32" t="n">
        <f aca="false">IF(BM542=0,IF(BU542=0,0,1),(BU542-BM542)/BM542)</f>
        <v>0</v>
      </c>
      <c r="CD542" s="32" t="n">
        <f aca="false">IF(BN542=0,IF(BV542=0,0,1),(BV542-BN542)/BN542)</f>
        <v>0</v>
      </c>
      <c r="CE542" s="32" t="n">
        <f aca="false">IF(BO542=0,IF(BW542=0,0,1),(BW542-BO542)/BO542)</f>
        <v>0</v>
      </c>
      <c r="CF542" s="32" t="n">
        <f aca="false">IF(BP542=0,IF(BX542=0,0,1),(BX542-BP542)/BP542)</f>
        <v>0</v>
      </c>
      <c r="CG542" s="32" t="n">
        <f aca="false">IF(BQ542=0,IF(BY542=0,0,1),(BY542-BQ542)/BQ542)</f>
        <v>0</v>
      </c>
      <c r="CH542" s="32" t="n">
        <f aca="false">MAX(MAX(BZ542:CG542),-MIN(BZ542:CG542))</f>
        <v>-0</v>
      </c>
      <c r="CI542" s="31" t="n">
        <f aca="false">IF(CO542="","",SUMIFS($CJ$7:$CJ$696,$A$7:$A$696,CO542,$B$7:$B$696,B542))</f>
        <v>826720</v>
      </c>
      <c r="CJ542" s="31" t="n">
        <f aca="false">SUM(AY542:BI542)</f>
        <v>835973</v>
      </c>
      <c r="CK542" s="31" t="str">
        <f aca="false">IFERROR(INDEX(設定!$F$61:$F$106,MATCH(B542,設定!$B$61:$B$106,0)),"Y")</f>
        <v>N</v>
      </c>
      <c r="CL542" s="31" t="str">
        <f aca="false">IFERROR(INDEX(設定!$G$61:$G$106,MATCH(B542,設定!$B$61:$B$106,0)),"外郭型")</f>
        <v>外郭型</v>
      </c>
      <c r="CM542" s="36" t="str">
        <f aca="false">A542&amp;"|"&amp;B542</f>
        <v>2027-01 月例|バス協調・共創
プラットフォーム</v>
      </c>
      <c r="CN542" s="34" t="str">
        <f aca="false">IFERROR(INDEX(設定!$D$61:$D$106,MATCH(B542,設定!$B$61:$B$106,0)),"Y")</f>
        <v>Y</v>
      </c>
      <c r="CO542" s="34" t="str">
        <f aca="false">IFERROR(INDEX(設定!$D$20:$D$34,MATCH(A542,設定!$A$20:$A$34,0))&amp;"","")</f>
        <v>2026-12 月例</v>
      </c>
    </row>
    <row r="543" customFormat="false" ht="15" hidden="true" customHeight="false" outlineLevel="0" collapsed="false">
      <c r="A543" s="22" t="s">
        <v>227</v>
      </c>
      <c r="B543" s="23" t="s">
        <v>199</v>
      </c>
      <c r="C543" s="10" t="str">
        <f aca="false">IF(G543="","未受領",IF(G543="なし","報告なし",IF(AL543="○","起票済",IF(OR(AK543="○",F543="一致",F543="入金不要"),"入金確認済","受領済"))))</f>
        <v>未受領</v>
      </c>
      <c r="D543" s="10" t="str">
        <f aca="false">IF(OR(G543="",G543="なし"),"―",IF(CN543="N","対象外",IF(AND(I543="",J543="",K543=""),"標報未入力",IF(CH543&gt;=設定!$B$4,"要確認","問題なし"))))</f>
        <v>―</v>
      </c>
      <c r="E543" s="24" t="str">
        <f aca="false">IF(OR(G543="",G543="なし",CI543="",CJ543=0),"―",IF(CJ543=CI543,"前月同額",IF(CI543=0,"―",IF(ABS(CJ543/CI543-1)&gt;=設定!$B$5,"変動大 "&amp;TEXT(CJ543/CI543-1,"+0%;-0%"),"〇"))))</f>
        <v>―</v>
      </c>
      <c r="F543" s="10" t="str">
        <f aca="false">IF(OR(G543="",G543="なし"),"―",IF(CJ543=0,"入金不要",IF(COUNT(AD543,AF543,AH543,AJ543)=0,IF(AK543="○","手動確認","未入金"),IF(AND(N(AD543)=AC543,IF(AE543="",TRUE(),N(AF543)=AE543),IF(AG543="",TRUE(),N(AH543)=AG543),IF(AI543="",TRUE(),N(AJ543)=AI543)),"一致","不一致"))))</f>
        <v>―</v>
      </c>
      <c r="G543" s="25"/>
      <c r="H543" s="26"/>
      <c r="I543" s="27"/>
      <c r="J543" s="27"/>
      <c r="K543" s="27"/>
      <c r="L543" s="27"/>
      <c r="M543" s="27"/>
      <c r="N543" s="27"/>
      <c r="O543" s="27"/>
      <c r="P543" s="27"/>
      <c r="Q543" s="27"/>
      <c r="R543" s="27"/>
      <c r="S543" s="27"/>
      <c r="T543" s="27"/>
      <c r="U543" s="27"/>
      <c r="V543" s="27"/>
      <c r="W543" s="27"/>
      <c r="X543" s="27"/>
      <c r="Y543" s="27"/>
      <c r="Z543" s="27"/>
      <c r="AA543" s="10" t="str">
        <f aca="false">IFERROR(INDEX(設定!$E$61:$E$106,MATCH(B543,設定!$B$61:$B$106,0)),"合算")</f>
        <v>合算</v>
      </c>
      <c r="AB543" s="28"/>
      <c r="AC543" s="29" t="str">
        <f aca="false">IF(OR(G543="",G543="なし"),"",IF(AA543="合算",CJ543+N(Z543),IF(AA543="掛金・負担金別",(AY543+AZ543+BD543+BF543+BH543),SUM(AY543:BC543))))</f>
        <v/>
      </c>
      <c r="AD543" s="27"/>
      <c r="AE543" s="29" t="str">
        <f aca="false">IF(OR(G543="",G543="なし"),"",IF(AA543="掛金・負担金別",(BA543+BB543+BC543+BE543+BG543+BI543+N(Z543)),IF(AA543="経理区分別",BD543+BE543,"")))</f>
        <v/>
      </c>
      <c r="AF543" s="27"/>
      <c r="AG543" s="29" t="str">
        <f aca="false">IF(OR(G543="",G543="なし"),"",IF(AA543="経理区分別",BF543+BG543,""))</f>
        <v/>
      </c>
      <c r="AH543" s="27"/>
      <c r="AI543" s="29" t="str">
        <f aca="false">IF(OR(G543="",G543="なし"),"",IF(AA543="経理区分別",BH543+BI543+N(Z543),""))</f>
        <v/>
      </c>
      <c r="AJ543" s="27"/>
      <c r="AK543" s="26"/>
      <c r="AL543" s="26"/>
      <c r="AM543" s="30"/>
      <c r="AN543" s="31" t="n">
        <v>56730</v>
      </c>
      <c r="AO543" s="31" t="n">
        <v>4650</v>
      </c>
      <c r="AP543" s="31" t="n">
        <v>56730</v>
      </c>
      <c r="AQ543" s="31" t="n">
        <v>4650</v>
      </c>
      <c r="AR543" s="31" t="n">
        <v>58</v>
      </c>
      <c r="AS543" s="31" t="n">
        <v>34106</v>
      </c>
      <c r="AT543" s="31" t="n">
        <v>34168</v>
      </c>
      <c r="AU543" s="31" t="n">
        <v>4898</v>
      </c>
      <c r="AV543" s="31" t="n">
        <v>4898</v>
      </c>
      <c r="AW543" s="31" t="n">
        <v>1</v>
      </c>
      <c r="AX543" s="31" t="n">
        <v>1</v>
      </c>
      <c r="AY543" s="31" t="n">
        <f aca="false">IF($G543="",AN543,O543)</f>
        <v>56730</v>
      </c>
      <c r="AZ543" s="31" t="n">
        <f aca="false">IF($G543="",AO543,P543)</f>
        <v>4650</v>
      </c>
      <c r="BA543" s="31" t="n">
        <f aca="false">IF($G543="",AP543,T543)</f>
        <v>56730</v>
      </c>
      <c r="BB543" s="31" t="n">
        <f aca="false">IF($G543="",AQ543,U543)</f>
        <v>4650</v>
      </c>
      <c r="BC543" s="31" t="n">
        <f aca="false">IF($G543="",AR543,V543)</f>
        <v>58</v>
      </c>
      <c r="BD543" s="31" t="n">
        <f aca="false">IF($G543="",AS543,Q543)</f>
        <v>34106</v>
      </c>
      <c r="BE543" s="31" t="n">
        <f aca="false">IF($G543="",AT543,W543)</f>
        <v>34168</v>
      </c>
      <c r="BF543" s="31" t="n">
        <f aca="false">IF($G543="",AU543,R543)</f>
        <v>4898</v>
      </c>
      <c r="BG543" s="31" t="n">
        <f aca="false">IF($G543="",AV543,X543)</f>
        <v>4898</v>
      </c>
      <c r="BH543" s="31" t="n">
        <f aca="false">IF($G543="",AW543,S543)</f>
        <v>1</v>
      </c>
      <c r="BI543" s="31" t="n">
        <f aca="false">IF($G543="",AX543,Y543)</f>
        <v>1</v>
      </c>
      <c r="BJ543" s="31" t="n">
        <f aca="false">IF(CK543="N",BR543,ROUNDDOWN((I543-L543)*設定!$B$10/1000,0)+ROUNDDOWN((I543-L543)*設定!$B$11/1000,0))</f>
        <v>0</v>
      </c>
      <c r="BK543" s="31" t="n">
        <f aca="false">ROUNDDOWN((I543-L543)*設定!$C$10/1000,0)+ROUNDDOWN((I543-L543)*設定!$C$11/1000,0)+ROUNDDOWN(I543*設定!$C$12/1000,0)+IF(CL543="市局型",ROUNDDOWN(I543*設定!$C$16/1000,0),0)</f>
        <v>0</v>
      </c>
      <c r="BL543" s="31" t="n">
        <f aca="false">IF(CK543="N",BT543,ROUNDDOWN((J543-M543)*設定!$B$13/1000,0))</f>
        <v>0</v>
      </c>
      <c r="BM543" s="31" t="n">
        <f aca="false">ROUNDDOWN((J543-M543)*設定!$C$13/1000,0)+IF(CL543="市局型",ROUNDDOWN(J543*設定!$C$17/1000,0),0)</f>
        <v>0</v>
      </c>
      <c r="BN543" s="31" t="n">
        <f aca="false">IF(CK543="N",BV543,ROUNDDOWN((K543-N543)*設定!$B$14/1000,0))</f>
        <v>0</v>
      </c>
      <c r="BO543" s="31" t="n">
        <f aca="false">ROUNDDOWN((K543-N543)*設定!$C$14/1000,0)</f>
        <v>0</v>
      </c>
      <c r="BP543" s="31" t="n">
        <f aca="false">IF(CK543="N",BX543,ROUNDDOWN((J543-M543)*設定!$B$15/1000,0))</f>
        <v>0</v>
      </c>
      <c r="BQ543" s="31" t="n">
        <f aca="false">ROUNDDOWN((J543-M543)*設定!$C$15/1000,0)</f>
        <v>0</v>
      </c>
      <c r="BR543" s="31" t="n">
        <f aca="false">O543+P543</f>
        <v>0</v>
      </c>
      <c r="BS543" s="31" t="n">
        <f aca="false">T543+U543+V543</f>
        <v>0</v>
      </c>
      <c r="BT543" s="31" t="n">
        <f aca="false">Q543</f>
        <v>0</v>
      </c>
      <c r="BU543" s="31" t="n">
        <f aca="false">W543</f>
        <v>0</v>
      </c>
      <c r="BV543" s="31" t="n">
        <f aca="false">R543</f>
        <v>0</v>
      </c>
      <c r="BW543" s="31" t="n">
        <f aca="false">X543</f>
        <v>0</v>
      </c>
      <c r="BX543" s="31" t="n">
        <f aca="false">S543</f>
        <v>0</v>
      </c>
      <c r="BY543" s="31" t="n">
        <f aca="false">Y543</f>
        <v>0</v>
      </c>
      <c r="BZ543" s="32" t="n">
        <f aca="false">IF(BJ543=0,IF(BR543=0,0,1),(BR543-BJ543)/BJ543)</f>
        <v>0</v>
      </c>
      <c r="CA543" s="32" t="n">
        <f aca="false">IF(BK543=0,IF(BS543=0,0,1),(BS543-BK543)/BK543)</f>
        <v>0</v>
      </c>
      <c r="CB543" s="32" t="n">
        <f aca="false">IF(BL543=0,IF(BT543=0,0,1),(BT543-BL543)/BL543)</f>
        <v>0</v>
      </c>
      <c r="CC543" s="32" t="n">
        <f aca="false">IF(BM543=0,IF(BU543=0,0,1),(BU543-BM543)/BM543)</f>
        <v>0</v>
      </c>
      <c r="CD543" s="32" t="n">
        <f aca="false">IF(BN543=0,IF(BV543=0,0,1),(BV543-BN543)/BN543)</f>
        <v>0</v>
      </c>
      <c r="CE543" s="32" t="n">
        <f aca="false">IF(BO543=0,IF(BW543=0,0,1),(BW543-BO543)/BO543)</f>
        <v>0</v>
      </c>
      <c r="CF543" s="32" t="n">
        <f aca="false">IF(BP543=0,IF(BX543=0,0,1),(BX543-BP543)/BP543)</f>
        <v>0</v>
      </c>
      <c r="CG543" s="32" t="n">
        <f aca="false">IF(BQ543=0,IF(BY543=0,0,1),(BY543-BQ543)/BQ543)</f>
        <v>0</v>
      </c>
      <c r="CH543" s="32" t="n">
        <f aca="false">MAX(MAX(BZ543:CG543),-MIN(BZ543:CG543))</f>
        <v>-0</v>
      </c>
      <c r="CI543" s="31" t="n">
        <f aca="false">IF(CO543="","",SUMIFS($CJ$7:$CJ$696,$A$7:$A$696,CO543,$B$7:$B$696,B543))</f>
        <v>200890</v>
      </c>
      <c r="CJ543" s="31" t="n">
        <f aca="false">SUM(AY543:BI543)</f>
        <v>200890</v>
      </c>
      <c r="CK543" s="31" t="str">
        <f aca="false">IFERROR(INDEX(設定!$F$61:$F$106,MATCH(B543,設定!$B$61:$B$106,0)),"Y")</f>
        <v>Y</v>
      </c>
      <c r="CL543" s="31" t="str">
        <f aca="false">IFERROR(INDEX(設定!$G$61:$G$106,MATCH(B543,設定!$B$61:$B$106,0)),"外郭型")</f>
        <v>外郭型</v>
      </c>
      <c r="CM543" s="33" t="str">
        <f aca="false">A543&amp;"|"&amp;B543</f>
        <v>2027-01 月例|広島県市長会</v>
      </c>
      <c r="CN543" s="34" t="str">
        <f aca="false">IFERROR(INDEX(設定!$D$61:$D$106,MATCH(B543,設定!$B$61:$B$106,0)),"Y")</f>
        <v>Y</v>
      </c>
      <c r="CO543" s="34" t="str">
        <f aca="false">IFERROR(INDEX(設定!$D$20:$D$34,MATCH(A543,設定!$A$20:$A$34,0))&amp;"","")</f>
        <v>2026-12 月例</v>
      </c>
    </row>
    <row r="544" customFormat="false" ht="15" hidden="true" customHeight="false" outlineLevel="0" collapsed="false">
      <c r="A544" s="22" t="s">
        <v>227</v>
      </c>
      <c r="B544" s="23" t="s">
        <v>200</v>
      </c>
      <c r="C544" s="10" t="str">
        <f aca="false">IF(G544="","未受領",IF(G544="なし","報告なし",IF(AL544="○","起票済",IF(OR(AK544="○",F544="一致",F544="入金不要"),"入金確認済","受領済"))))</f>
        <v>未受領</v>
      </c>
      <c r="D544" s="10" t="str">
        <f aca="false">IF(OR(G544="",G544="なし"),"―",IF(CN544="N","対象外",IF(AND(I544="",J544="",K544=""),"標報未入力",IF(CH544&gt;=設定!$B$4,"要確認","問題なし"))))</f>
        <v>―</v>
      </c>
      <c r="E544" s="24" t="str">
        <f aca="false">IF(OR(G544="",G544="なし",CI544="",CJ544=0),"―",IF(CJ544=CI544,"前月同額",IF(CI544=0,"―",IF(ABS(CJ544/CI544-1)&gt;=設定!$B$5,"変動大 "&amp;TEXT(CJ544/CI544-1,"+0%;-0%"),"〇"))))</f>
        <v>―</v>
      </c>
      <c r="F544" s="10" t="str">
        <f aca="false">IF(OR(G544="",G544="なし"),"―",IF(CJ544=0,"入金不要",IF(COUNT(AD544,AF544,AH544,AJ544)=0,IF(AK544="○","手動確認","未入金"),IF(AND(N(AD544)=AC544,IF(AE544="",TRUE(),N(AF544)=AE544),IF(AG544="",TRUE(),N(AH544)=AG544),IF(AI544="",TRUE(),N(AJ544)=AI544)),"一致","不一致"))))</f>
        <v>―</v>
      </c>
      <c r="G544" s="25"/>
      <c r="H544" s="26"/>
      <c r="I544" s="27"/>
      <c r="J544" s="27"/>
      <c r="K544" s="27"/>
      <c r="L544" s="27"/>
      <c r="M544" s="27"/>
      <c r="N544" s="27"/>
      <c r="O544" s="27"/>
      <c r="P544" s="27"/>
      <c r="Q544" s="27"/>
      <c r="R544" s="27"/>
      <c r="S544" s="27"/>
      <c r="T544" s="27"/>
      <c r="U544" s="27"/>
      <c r="V544" s="27"/>
      <c r="W544" s="27"/>
      <c r="X544" s="27"/>
      <c r="Y544" s="27"/>
      <c r="Z544" s="27"/>
      <c r="AA544" s="10" t="str">
        <f aca="false">IFERROR(INDEX(設定!$E$61:$E$106,MATCH(B544,設定!$B$61:$B$106,0)),"合算")</f>
        <v>合算</v>
      </c>
      <c r="AB544" s="28"/>
      <c r="AC544" s="29" t="str">
        <f aca="false">IF(OR(G544="",G544="なし"),"",IF(AA544="合算",CJ544+N(Z544),IF(AA544="掛金・負担金別",(AY544+AZ544+BD544+BF544+BH544),SUM(AY544:BC544))))</f>
        <v/>
      </c>
      <c r="AD544" s="27"/>
      <c r="AE544" s="29" t="str">
        <f aca="false">IF(OR(G544="",G544="なし"),"",IF(AA544="掛金・負担金別",(BA544+BB544+BC544+BE544+BG544+BI544+N(Z544)),IF(AA544="経理区分別",BD544+BE544,"")))</f>
        <v/>
      </c>
      <c r="AF544" s="27"/>
      <c r="AG544" s="29" t="str">
        <f aca="false">IF(OR(G544="",G544="なし"),"",IF(AA544="経理区分別",BF544+BG544,""))</f>
        <v/>
      </c>
      <c r="AH544" s="27"/>
      <c r="AI544" s="29" t="str">
        <f aca="false">IF(OR(G544="",G544="なし"),"",IF(AA544="経理区分別",BH544+BI544+N(Z544),""))</f>
        <v/>
      </c>
      <c r="AJ544" s="27"/>
      <c r="AK544" s="26"/>
      <c r="AL544" s="26"/>
      <c r="AM544" s="30"/>
      <c r="AN544" s="31" t="n">
        <v>59475</v>
      </c>
      <c r="AO544" s="31" t="n">
        <v>4875</v>
      </c>
      <c r="AP544" s="31" t="n">
        <v>59475</v>
      </c>
      <c r="AQ544" s="31" t="n">
        <v>4875</v>
      </c>
      <c r="AR544" s="31" t="n">
        <v>61</v>
      </c>
      <c r="AS544" s="31" t="n">
        <v>41257</v>
      </c>
      <c r="AT544" s="31" t="n">
        <v>41332</v>
      </c>
      <c r="AU544" s="31" t="n">
        <v>5925</v>
      </c>
      <c r="AV544" s="31" t="n">
        <v>5925</v>
      </c>
      <c r="AW544" s="31" t="n">
        <v>1</v>
      </c>
      <c r="AX544" s="31" t="n">
        <v>1</v>
      </c>
      <c r="AY544" s="31" t="n">
        <f aca="false">IF($G544="",AN544,O544)</f>
        <v>59475</v>
      </c>
      <c r="AZ544" s="31" t="n">
        <f aca="false">IF($G544="",AO544,P544)</f>
        <v>4875</v>
      </c>
      <c r="BA544" s="31" t="n">
        <f aca="false">IF($G544="",AP544,T544)</f>
        <v>59475</v>
      </c>
      <c r="BB544" s="31" t="n">
        <f aca="false">IF($G544="",AQ544,U544)</f>
        <v>4875</v>
      </c>
      <c r="BC544" s="31" t="n">
        <f aca="false">IF($G544="",AR544,V544)</f>
        <v>61</v>
      </c>
      <c r="BD544" s="31" t="n">
        <f aca="false">IF($G544="",AS544,Q544)</f>
        <v>41257</v>
      </c>
      <c r="BE544" s="31" t="n">
        <f aca="false">IF($G544="",AT544,W544)</f>
        <v>41332</v>
      </c>
      <c r="BF544" s="31" t="n">
        <f aca="false">IF($G544="",AU544,R544)</f>
        <v>5925</v>
      </c>
      <c r="BG544" s="31" t="n">
        <f aca="false">IF($G544="",AV544,X544)</f>
        <v>5925</v>
      </c>
      <c r="BH544" s="31" t="n">
        <f aca="false">IF($G544="",AW544,S544)</f>
        <v>1</v>
      </c>
      <c r="BI544" s="31" t="n">
        <f aca="false">IF($G544="",AX544,Y544)</f>
        <v>1</v>
      </c>
      <c r="BJ544" s="31" t="n">
        <f aca="false">IF(CK544="N",BR544,ROUNDDOWN((I544-L544)*設定!$B$10/1000,0)+ROUNDDOWN((I544-L544)*設定!$B$11/1000,0))</f>
        <v>0</v>
      </c>
      <c r="BK544" s="31" t="n">
        <f aca="false">ROUNDDOWN((I544-L544)*設定!$C$10/1000,0)+ROUNDDOWN((I544-L544)*設定!$C$11/1000,0)+ROUNDDOWN(I544*設定!$C$12/1000,0)+IF(CL544="市局型",ROUNDDOWN(I544*設定!$C$16/1000,0),0)</f>
        <v>0</v>
      </c>
      <c r="BL544" s="31" t="n">
        <f aca="false">IF(CK544="N",BT544,ROUNDDOWN((J544-M544)*設定!$B$13/1000,0))</f>
        <v>0</v>
      </c>
      <c r="BM544" s="31" t="n">
        <f aca="false">ROUNDDOWN((J544-M544)*設定!$C$13/1000,0)+IF(CL544="市局型",ROUNDDOWN(J544*設定!$C$17/1000,0),0)</f>
        <v>0</v>
      </c>
      <c r="BN544" s="31" t="n">
        <f aca="false">IF(CK544="N",BV544,ROUNDDOWN((K544-N544)*設定!$B$14/1000,0))</f>
        <v>0</v>
      </c>
      <c r="BO544" s="31" t="n">
        <f aca="false">ROUNDDOWN((K544-N544)*設定!$C$14/1000,0)</f>
        <v>0</v>
      </c>
      <c r="BP544" s="31" t="n">
        <f aca="false">IF(CK544="N",BX544,ROUNDDOWN((J544-M544)*設定!$B$15/1000,0))</f>
        <v>0</v>
      </c>
      <c r="BQ544" s="31" t="n">
        <f aca="false">ROUNDDOWN((J544-M544)*設定!$C$15/1000,0)</f>
        <v>0</v>
      </c>
      <c r="BR544" s="31" t="n">
        <f aca="false">O544+P544</f>
        <v>0</v>
      </c>
      <c r="BS544" s="31" t="n">
        <f aca="false">T544+U544+V544</f>
        <v>0</v>
      </c>
      <c r="BT544" s="31" t="n">
        <f aca="false">Q544</f>
        <v>0</v>
      </c>
      <c r="BU544" s="31" t="n">
        <f aca="false">W544</f>
        <v>0</v>
      </c>
      <c r="BV544" s="31" t="n">
        <f aca="false">R544</f>
        <v>0</v>
      </c>
      <c r="BW544" s="31" t="n">
        <f aca="false">X544</f>
        <v>0</v>
      </c>
      <c r="BX544" s="31" t="n">
        <f aca="false">S544</f>
        <v>0</v>
      </c>
      <c r="BY544" s="31" t="n">
        <f aca="false">Y544</f>
        <v>0</v>
      </c>
      <c r="BZ544" s="32" t="n">
        <f aca="false">IF(BJ544=0,IF(BR544=0,0,1),(BR544-BJ544)/BJ544)</f>
        <v>0</v>
      </c>
      <c r="CA544" s="32" t="n">
        <f aca="false">IF(BK544=0,IF(BS544=0,0,1),(BS544-BK544)/BK544)</f>
        <v>0</v>
      </c>
      <c r="CB544" s="32" t="n">
        <f aca="false">IF(BL544=0,IF(BT544=0,0,1),(BT544-BL544)/BL544)</f>
        <v>0</v>
      </c>
      <c r="CC544" s="32" t="n">
        <f aca="false">IF(BM544=0,IF(BU544=0,0,1),(BU544-BM544)/BM544)</f>
        <v>0</v>
      </c>
      <c r="CD544" s="32" t="n">
        <f aca="false">IF(BN544=0,IF(BV544=0,0,1),(BV544-BN544)/BN544)</f>
        <v>0</v>
      </c>
      <c r="CE544" s="32" t="n">
        <f aca="false">IF(BO544=0,IF(BW544=0,0,1),(BW544-BO544)/BO544)</f>
        <v>0</v>
      </c>
      <c r="CF544" s="32" t="n">
        <f aca="false">IF(BP544=0,IF(BX544=0,0,1),(BX544-BP544)/BP544)</f>
        <v>0</v>
      </c>
      <c r="CG544" s="32" t="n">
        <f aca="false">IF(BQ544=0,IF(BY544=0,0,1),(BY544-BQ544)/BQ544)</f>
        <v>0</v>
      </c>
      <c r="CH544" s="32" t="n">
        <f aca="false">MAX(MAX(BZ544:CG544),-MIN(BZ544:CG544))</f>
        <v>-0</v>
      </c>
      <c r="CI544" s="31" t="n">
        <f aca="false">IF(CO544="","",SUMIFS($CJ$7:$CJ$696,$A$7:$A$696,CO544,$B$7:$B$696,B544))</f>
        <v>223202</v>
      </c>
      <c r="CJ544" s="31" t="n">
        <f aca="false">SUM(AY544:BI544)</f>
        <v>223202</v>
      </c>
      <c r="CK544" s="31" t="str">
        <f aca="false">IFERROR(INDEX(設定!$F$61:$F$106,MATCH(B544,設定!$B$61:$B$106,0)),"Y")</f>
        <v>Y</v>
      </c>
      <c r="CL544" s="31" t="str">
        <f aca="false">IFERROR(INDEX(設定!$G$61:$G$106,MATCH(B544,設定!$B$61:$B$106,0)),"外郭型")</f>
        <v>外郭型</v>
      </c>
      <c r="CM544" s="33" t="str">
        <f aca="false">A544&amp;"|"&amp;B544</f>
        <v>2027-01 月例|全国市町村研修財団</v>
      </c>
      <c r="CN544" s="34" t="str">
        <f aca="false">IFERROR(INDEX(設定!$D$61:$D$106,MATCH(B544,設定!$B$61:$B$106,0)),"Y")</f>
        <v>Y</v>
      </c>
      <c r="CO544" s="34" t="str">
        <f aca="false">IFERROR(INDEX(設定!$D$20:$D$34,MATCH(A544,設定!$A$20:$A$34,0))&amp;"","")</f>
        <v>2026-12 月例</v>
      </c>
    </row>
    <row r="545" customFormat="false" ht="15" hidden="true" customHeight="false" outlineLevel="0" collapsed="false">
      <c r="A545" s="22" t="s">
        <v>227</v>
      </c>
      <c r="B545" s="23" t="s">
        <v>201</v>
      </c>
      <c r="C545" s="10" t="str">
        <f aca="false">IF(G545="","未受領",IF(G545="なし","報告なし",IF(AL545="○","起票済",IF(OR(AK545="○",F545="一致",F545="入金不要"),"入金確認済","受領済"))))</f>
        <v>未受領</v>
      </c>
      <c r="D545" s="10" t="str">
        <f aca="false">IF(OR(G545="",G545="なし"),"―",IF(CN545="N","対象外",IF(AND(I545="",J545="",K545=""),"標報未入力",IF(CH545&gt;=設定!$B$4,"要確認","問題なし"))))</f>
        <v>―</v>
      </c>
      <c r="E545" s="24" t="str">
        <f aca="false">IF(OR(G545="",G545="なし",CI545="",CJ545=0),"―",IF(CJ545=CI545,"前月同額",IF(CI545=0,"―",IF(ABS(CJ545/CI545-1)&gt;=設定!$B$5,"変動大 "&amp;TEXT(CJ545/CI545-1,"+0%;-0%"),"〇"))))</f>
        <v>―</v>
      </c>
      <c r="F545" s="10" t="str">
        <f aca="false">IF(OR(G545="",G545="なし"),"―",IF(CJ545=0,"入金不要",IF(COUNT(AD545,AF545,AH545,AJ545)=0,IF(AK545="○","手動確認","未入金"),IF(AND(N(AD545)=AC545,IF(AE545="",TRUE(),N(AF545)=AE545),IF(AG545="",TRUE(),N(AH545)=AG545),IF(AI545="",TRUE(),N(AJ545)=AI545)),"一致","不一致"))))</f>
        <v>―</v>
      </c>
      <c r="G545" s="25"/>
      <c r="H545" s="26"/>
      <c r="I545" s="27"/>
      <c r="J545" s="27"/>
      <c r="K545" s="27"/>
      <c r="L545" s="27"/>
      <c r="M545" s="27"/>
      <c r="N545" s="27"/>
      <c r="O545" s="27"/>
      <c r="P545" s="27"/>
      <c r="Q545" s="27"/>
      <c r="R545" s="27"/>
      <c r="S545" s="27"/>
      <c r="T545" s="27"/>
      <c r="U545" s="27"/>
      <c r="V545" s="27"/>
      <c r="W545" s="27"/>
      <c r="X545" s="27"/>
      <c r="Y545" s="27"/>
      <c r="Z545" s="27"/>
      <c r="AA545" s="10" t="str">
        <f aca="false">IFERROR(INDEX(設定!$E$61:$E$106,MATCH(B545,設定!$B$61:$B$106,0)),"合算")</f>
        <v>合算</v>
      </c>
      <c r="AB545" s="28"/>
      <c r="AC545" s="29" t="str">
        <f aca="false">IF(OR(G545="",G545="なし"),"",IF(AA545="合算",CJ545+N(Z545),IF(AA545="掛金・負担金別",(AY545+AZ545+BD545+BF545+BH545),SUM(AY545:BC545))))</f>
        <v/>
      </c>
      <c r="AD545" s="27"/>
      <c r="AE545" s="29" t="str">
        <f aca="false">IF(OR(G545="",G545="なし"),"",IF(AA545="掛金・負担金別",(BA545+BB545+BC545+BE545+BG545+BI545+N(Z545)),IF(AA545="経理区分別",BD545+BE545,"")))</f>
        <v/>
      </c>
      <c r="AF545" s="27"/>
      <c r="AG545" s="29" t="str">
        <f aca="false">IF(OR(G545="",G545="なし"),"",IF(AA545="経理区分別",BF545+BG545,""))</f>
        <v/>
      </c>
      <c r="AH545" s="27"/>
      <c r="AI545" s="29" t="str">
        <f aca="false">IF(OR(G545="",G545="なし"),"",IF(AA545="経理区分別",BH545+BI545+N(Z545),""))</f>
        <v/>
      </c>
      <c r="AJ545" s="27"/>
      <c r="AK545" s="26"/>
      <c r="AL545" s="26"/>
      <c r="AM545" s="30"/>
      <c r="AN545" s="31" t="n">
        <v>53985</v>
      </c>
      <c r="AO545" s="31" t="n">
        <v>4425</v>
      </c>
      <c r="AP545" s="31" t="n">
        <v>53985</v>
      </c>
      <c r="AQ545" s="31" t="n">
        <v>4425</v>
      </c>
      <c r="AR545" s="31" t="n">
        <v>55</v>
      </c>
      <c r="AS545" s="31" t="n">
        <v>32455</v>
      </c>
      <c r="AT545" s="31" t="n">
        <v>32514</v>
      </c>
      <c r="AU545" s="31" t="n">
        <v>0</v>
      </c>
      <c r="AV545" s="31" t="n">
        <v>0</v>
      </c>
      <c r="AW545" s="31" t="n">
        <v>1</v>
      </c>
      <c r="AX545" s="31" t="n">
        <v>1</v>
      </c>
      <c r="AY545" s="31" t="n">
        <f aca="false">IF($G545="",AN545,O545)</f>
        <v>53985</v>
      </c>
      <c r="AZ545" s="31" t="n">
        <f aca="false">IF($G545="",AO545,P545)</f>
        <v>4425</v>
      </c>
      <c r="BA545" s="31" t="n">
        <f aca="false">IF($G545="",AP545,T545)</f>
        <v>53985</v>
      </c>
      <c r="BB545" s="31" t="n">
        <f aca="false">IF($G545="",AQ545,U545)</f>
        <v>4425</v>
      </c>
      <c r="BC545" s="31" t="n">
        <f aca="false">IF($G545="",AR545,V545)</f>
        <v>55</v>
      </c>
      <c r="BD545" s="31" t="n">
        <f aca="false">IF($G545="",AS545,Q545)</f>
        <v>32455</v>
      </c>
      <c r="BE545" s="31" t="n">
        <f aca="false">IF($G545="",AT545,W545)</f>
        <v>32514</v>
      </c>
      <c r="BF545" s="31" t="n">
        <f aca="false">IF($G545="",AU545,R545)</f>
        <v>0</v>
      </c>
      <c r="BG545" s="31" t="n">
        <f aca="false">IF($G545="",AV545,X545)</f>
        <v>0</v>
      </c>
      <c r="BH545" s="31" t="n">
        <f aca="false">IF($G545="",AW545,S545)</f>
        <v>1</v>
      </c>
      <c r="BI545" s="31" t="n">
        <f aca="false">IF($G545="",AX545,Y545)</f>
        <v>1</v>
      </c>
      <c r="BJ545" s="31" t="n">
        <f aca="false">IF(CK545="N",BR545,ROUNDDOWN((I545-L545)*設定!$B$10/1000,0)+ROUNDDOWN((I545-L545)*設定!$B$11/1000,0))</f>
        <v>0</v>
      </c>
      <c r="BK545" s="31" t="n">
        <f aca="false">ROUNDDOWN((I545-L545)*設定!$C$10/1000,0)+ROUNDDOWN((I545-L545)*設定!$C$11/1000,0)+ROUNDDOWN(I545*設定!$C$12/1000,0)+IF(CL545="市局型",ROUNDDOWN(I545*設定!$C$16/1000,0),0)</f>
        <v>0</v>
      </c>
      <c r="BL545" s="31" t="n">
        <f aca="false">IF(CK545="N",BT545,ROUNDDOWN((J545-M545)*設定!$B$13/1000,0))</f>
        <v>0</v>
      </c>
      <c r="BM545" s="31" t="n">
        <f aca="false">ROUNDDOWN((J545-M545)*設定!$C$13/1000,0)+IF(CL545="市局型",ROUNDDOWN(J545*設定!$C$17/1000,0),0)</f>
        <v>0</v>
      </c>
      <c r="BN545" s="31" t="n">
        <f aca="false">IF(CK545="N",BV545,ROUNDDOWN((K545-N545)*設定!$B$14/1000,0))</f>
        <v>0</v>
      </c>
      <c r="BO545" s="31" t="n">
        <f aca="false">ROUNDDOWN((K545-N545)*設定!$C$14/1000,0)</f>
        <v>0</v>
      </c>
      <c r="BP545" s="31" t="n">
        <f aca="false">IF(CK545="N",BX545,ROUNDDOWN((J545-M545)*設定!$B$15/1000,0))</f>
        <v>0</v>
      </c>
      <c r="BQ545" s="31" t="n">
        <f aca="false">ROUNDDOWN((J545-M545)*設定!$C$15/1000,0)</f>
        <v>0</v>
      </c>
      <c r="BR545" s="31" t="n">
        <f aca="false">O545+P545</f>
        <v>0</v>
      </c>
      <c r="BS545" s="31" t="n">
        <f aca="false">T545+U545+V545</f>
        <v>0</v>
      </c>
      <c r="BT545" s="31" t="n">
        <f aca="false">Q545</f>
        <v>0</v>
      </c>
      <c r="BU545" s="31" t="n">
        <f aca="false">W545</f>
        <v>0</v>
      </c>
      <c r="BV545" s="31" t="n">
        <f aca="false">R545</f>
        <v>0</v>
      </c>
      <c r="BW545" s="31" t="n">
        <f aca="false">X545</f>
        <v>0</v>
      </c>
      <c r="BX545" s="31" t="n">
        <f aca="false">S545</f>
        <v>0</v>
      </c>
      <c r="BY545" s="31" t="n">
        <f aca="false">Y545</f>
        <v>0</v>
      </c>
      <c r="BZ545" s="32" t="n">
        <f aca="false">IF(BJ545=0,IF(BR545=0,0,1),(BR545-BJ545)/BJ545)</f>
        <v>0</v>
      </c>
      <c r="CA545" s="32" t="n">
        <f aca="false">IF(BK545=0,IF(BS545=0,0,1),(BS545-BK545)/BK545)</f>
        <v>0</v>
      </c>
      <c r="CB545" s="32" t="n">
        <f aca="false">IF(BL545=0,IF(BT545=0,0,1),(BT545-BL545)/BL545)</f>
        <v>0</v>
      </c>
      <c r="CC545" s="32" t="n">
        <f aca="false">IF(BM545=0,IF(BU545=0,0,1),(BU545-BM545)/BM545)</f>
        <v>0</v>
      </c>
      <c r="CD545" s="32" t="n">
        <f aca="false">IF(BN545=0,IF(BV545=0,0,1),(BV545-BN545)/BN545)</f>
        <v>0</v>
      </c>
      <c r="CE545" s="32" t="n">
        <f aca="false">IF(BO545=0,IF(BW545=0,0,1),(BW545-BO545)/BO545)</f>
        <v>0</v>
      </c>
      <c r="CF545" s="32" t="n">
        <f aca="false">IF(BP545=0,IF(BX545=0,0,1),(BX545-BP545)/BP545)</f>
        <v>0</v>
      </c>
      <c r="CG545" s="32" t="n">
        <f aca="false">IF(BQ545=0,IF(BY545=0,0,1),(BY545-BQ545)/BQ545)</f>
        <v>0</v>
      </c>
      <c r="CH545" s="32" t="n">
        <f aca="false">MAX(MAX(BZ545:CG545),-MIN(BZ545:CG545))</f>
        <v>-0</v>
      </c>
      <c r="CI545" s="31" t="n">
        <f aca="false">IF(CO545="","",SUMIFS($CJ$7:$CJ$696,$A$7:$A$696,CO545,$B$7:$B$696,B545))</f>
        <v>163354</v>
      </c>
      <c r="CJ545" s="31" t="n">
        <f aca="false">SUM(AY545:BI545)</f>
        <v>181846</v>
      </c>
      <c r="CK545" s="31" t="str">
        <f aca="false">IFERROR(INDEX(設定!$F$61:$F$106,MATCH(B545,設定!$B$61:$B$106,0)),"Y")</f>
        <v>Y</v>
      </c>
      <c r="CL545" s="31" t="str">
        <f aca="false">IFERROR(INDEX(設定!$G$61:$G$106,MATCH(B545,設定!$B$61:$B$106,0)),"外郭型")</f>
        <v>外郭型</v>
      </c>
      <c r="CM545" s="33" t="str">
        <f aca="false">A545&amp;"|"&amp;B545</f>
        <v>2027-01 月例|都市再生機構</v>
      </c>
      <c r="CN545" s="34" t="str">
        <f aca="false">IFERROR(INDEX(設定!$D$61:$D$106,MATCH(B545,設定!$B$61:$B$106,0)),"Y")</f>
        <v>Y</v>
      </c>
      <c r="CO545" s="34" t="str">
        <f aca="false">IFERROR(INDEX(設定!$D$20:$D$34,MATCH(A545,設定!$A$20:$A$34,0))&amp;"","")</f>
        <v>2026-12 月例</v>
      </c>
    </row>
    <row r="546" customFormat="false" ht="15" hidden="true" customHeight="false" outlineLevel="0" collapsed="false">
      <c r="A546" s="22" t="s">
        <v>227</v>
      </c>
      <c r="B546" s="23" t="s">
        <v>202</v>
      </c>
      <c r="C546" s="10" t="str">
        <f aca="false">IF(G546="","未受領",IF(G546="なし","報告なし",IF(AL546="○","起票済",IF(OR(AK546="○",F546="一致",F546="入金不要"),"入金確認済","受領済"))))</f>
        <v>未受領</v>
      </c>
      <c r="D546" s="10" t="str">
        <f aca="false">IF(OR(G546="",G546="なし"),"―",IF(CN546="N","対象外",IF(AND(I546="",J546="",K546=""),"標報未入力",IF(CH546&gt;=設定!$B$4,"要確認","問題なし"))))</f>
        <v>―</v>
      </c>
      <c r="E546" s="24" t="str">
        <f aca="false">IF(OR(G546="",G546="なし",CI546="",CJ546=0),"―",IF(CJ546=CI546,"前月同額",IF(CI546=0,"―",IF(ABS(CJ546/CI546-1)&gt;=設定!$B$5,"変動大 "&amp;TEXT(CJ546/CI546-1,"+0%;-0%"),"〇"))))</f>
        <v>―</v>
      </c>
      <c r="F546" s="10" t="str">
        <f aca="false">IF(OR(G546="",G546="なし"),"―",IF(CJ546=0,"入金不要",IF(COUNT(AD546,AF546,AH546,AJ546)=0,IF(AK546="○","手動確認","未入金"),IF(AND(N(AD546)=AC546,IF(AE546="",TRUE(),N(AF546)=AE546),IF(AG546="",TRUE(),N(AH546)=AG546),IF(AI546="",TRUE(),N(AJ546)=AI546)),"一致","不一致"))))</f>
        <v>―</v>
      </c>
      <c r="G546" s="25"/>
      <c r="H546" s="26"/>
      <c r="I546" s="27"/>
      <c r="J546" s="27"/>
      <c r="K546" s="27"/>
      <c r="L546" s="27"/>
      <c r="M546" s="27"/>
      <c r="N546" s="27"/>
      <c r="O546" s="27"/>
      <c r="P546" s="27"/>
      <c r="Q546" s="27"/>
      <c r="R546" s="27"/>
      <c r="S546" s="27"/>
      <c r="T546" s="27"/>
      <c r="U546" s="27"/>
      <c r="V546" s="27"/>
      <c r="W546" s="27"/>
      <c r="X546" s="27"/>
      <c r="Y546" s="27"/>
      <c r="Z546" s="27"/>
      <c r="AA546" s="10" t="str">
        <f aca="false">IFERROR(INDEX(設定!$E$61:$E$106,MATCH(B546,設定!$B$61:$B$106,0)),"合算")</f>
        <v>合算</v>
      </c>
      <c r="AB546" s="28"/>
      <c r="AC546" s="29" t="str">
        <f aca="false">IF(OR(G546="",G546="なし"),"",IF(AA546="合算",CJ546+N(Z546),IF(AA546="掛金・負担金別",(AY546+AZ546+BD546+BF546+BH546),SUM(AY546:BC546))))</f>
        <v/>
      </c>
      <c r="AD546" s="27"/>
      <c r="AE546" s="29" t="str">
        <f aca="false">IF(OR(G546="",G546="なし"),"",IF(AA546="掛金・負担金別",(BA546+BB546+BC546+BE546+BG546+BI546+N(Z546)),IF(AA546="経理区分別",BD546+BE546,"")))</f>
        <v/>
      </c>
      <c r="AF546" s="27"/>
      <c r="AG546" s="29" t="str">
        <f aca="false">IF(OR(G546="",G546="なし"),"",IF(AA546="経理区分別",BF546+BG546,""))</f>
        <v/>
      </c>
      <c r="AH546" s="27"/>
      <c r="AI546" s="29" t="str">
        <f aca="false">IF(OR(G546="",G546="なし"),"",IF(AA546="経理区分別",BH546+BI546+N(Z546),""))</f>
        <v/>
      </c>
      <c r="AJ546" s="27"/>
      <c r="AK546" s="26"/>
      <c r="AL546" s="26"/>
      <c r="AM546" s="30"/>
      <c r="AN546" s="31" t="n">
        <v>1197735</v>
      </c>
      <c r="AO546" s="31" t="n">
        <v>98175</v>
      </c>
      <c r="AP546" s="31" t="n">
        <v>1197735</v>
      </c>
      <c r="AQ546" s="31" t="n">
        <v>98175</v>
      </c>
      <c r="AR546" s="31" t="n">
        <v>1340</v>
      </c>
      <c r="AS546" s="31" t="n">
        <v>720070</v>
      </c>
      <c r="AT546" s="31" t="n">
        <v>721509</v>
      </c>
      <c r="AU546" s="31" t="n">
        <v>67940</v>
      </c>
      <c r="AV546" s="31" t="n">
        <v>67940</v>
      </c>
      <c r="AW546" s="31" t="n">
        <v>1</v>
      </c>
      <c r="AX546" s="31" t="n">
        <v>1</v>
      </c>
      <c r="AY546" s="31" t="n">
        <f aca="false">IF($G546="",AN546,O546)</f>
        <v>1197735</v>
      </c>
      <c r="AZ546" s="31" t="n">
        <f aca="false">IF($G546="",AO546,P546)</f>
        <v>98175</v>
      </c>
      <c r="BA546" s="31" t="n">
        <f aca="false">IF($G546="",AP546,T546)</f>
        <v>1197735</v>
      </c>
      <c r="BB546" s="31" t="n">
        <f aca="false">IF($G546="",AQ546,U546)</f>
        <v>98175</v>
      </c>
      <c r="BC546" s="31" t="n">
        <f aca="false">IF($G546="",AR546,V546)</f>
        <v>1340</v>
      </c>
      <c r="BD546" s="31" t="n">
        <f aca="false">IF($G546="",AS546,Q546)</f>
        <v>720070</v>
      </c>
      <c r="BE546" s="31" t="n">
        <f aca="false">IF($G546="",AT546,W546)</f>
        <v>721509</v>
      </c>
      <c r="BF546" s="31" t="n">
        <f aca="false">IF($G546="",AU546,R546)</f>
        <v>67940</v>
      </c>
      <c r="BG546" s="31" t="n">
        <f aca="false">IF($G546="",AV546,X546)</f>
        <v>67940</v>
      </c>
      <c r="BH546" s="31" t="n">
        <f aca="false">IF($G546="",AW546,S546)</f>
        <v>1</v>
      </c>
      <c r="BI546" s="31" t="n">
        <f aca="false">IF($G546="",AX546,Y546)</f>
        <v>1</v>
      </c>
      <c r="BJ546" s="31" t="n">
        <f aca="false">IF(CK546="N",BR546,ROUNDDOWN((I546-L546)*設定!$B$10/1000,0)+ROUNDDOWN((I546-L546)*設定!$B$11/1000,0))</f>
        <v>0</v>
      </c>
      <c r="BK546" s="31" t="n">
        <f aca="false">ROUNDDOWN((I546-L546)*設定!$C$10/1000,0)+ROUNDDOWN((I546-L546)*設定!$C$11/1000,0)+ROUNDDOWN(I546*設定!$C$12/1000,0)+IF(CL546="市局型",ROUNDDOWN(I546*設定!$C$16/1000,0),0)</f>
        <v>0</v>
      </c>
      <c r="BL546" s="31" t="n">
        <f aca="false">IF(CK546="N",BT546,ROUNDDOWN((J546-M546)*設定!$B$13/1000,0))</f>
        <v>0</v>
      </c>
      <c r="BM546" s="31" t="n">
        <f aca="false">ROUNDDOWN((J546-M546)*設定!$C$13/1000,0)+IF(CL546="市局型",ROUNDDOWN(J546*設定!$C$17/1000,0),0)</f>
        <v>0</v>
      </c>
      <c r="BN546" s="31" t="n">
        <f aca="false">IF(CK546="N",BV546,ROUNDDOWN((K546-N546)*設定!$B$14/1000,0))</f>
        <v>0</v>
      </c>
      <c r="BO546" s="31" t="n">
        <f aca="false">ROUNDDOWN((K546-N546)*設定!$C$14/1000,0)</f>
        <v>0</v>
      </c>
      <c r="BP546" s="31" t="n">
        <f aca="false">IF(CK546="N",BX546,ROUNDDOWN((J546-M546)*設定!$B$15/1000,0))</f>
        <v>0</v>
      </c>
      <c r="BQ546" s="31" t="n">
        <f aca="false">ROUNDDOWN((J546-M546)*設定!$C$15/1000,0)</f>
        <v>0</v>
      </c>
      <c r="BR546" s="31" t="n">
        <f aca="false">O546+P546</f>
        <v>0</v>
      </c>
      <c r="BS546" s="31" t="n">
        <f aca="false">T546+U546+V546</f>
        <v>0</v>
      </c>
      <c r="BT546" s="31" t="n">
        <f aca="false">Q546</f>
        <v>0</v>
      </c>
      <c r="BU546" s="31" t="n">
        <f aca="false">W546</f>
        <v>0</v>
      </c>
      <c r="BV546" s="31" t="n">
        <f aca="false">R546</f>
        <v>0</v>
      </c>
      <c r="BW546" s="31" t="n">
        <f aca="false">X546</f>
        <v>0</v>
      </c>
      <c r="BX546" s="31" t="n">
        <f aca="false">S546</f>
        <v>0</v>
      </c>
      <c r="BY546" s="31" t="n">
        <f aca="false">Y546</f>
        <v>0</v>
      </c>
      <c r="BZ546" s="32" t="n">
        <f aca="false">IF(BJ546=0,IF(BR546=0,0,1),(BR546-BJ546)/BJ546)</f>
        <v>0</v>
      </c>
      <c r="CA546" s="32" t="n">
        <f aca="false">IF(BK546=0,IF(BS546=0,0,1),(BS546-BK546)/BK546)</f>
        <v>0</v>
      </c>
      <c r="CB546" s="32" t="n">
        <f aca="false">IF(BL546=0,IF(BT546=0,0,1),(BT546-BL546)/BL546)</f>
        <v>0</v>
      </c>
      <c r="CC546" s="32" t="n">
        <f aca="false">IF(BM546=0,IF(BU546=0,0,1),(BU546-BM546)/BM546)</f>
        <v>0</v>
      </c>
      <c r="CD546" s="32" t="n">
        <f aca="false">IF(BN546=0,IF(BV546=0,0,1),(BV546-BN546)/BN546)</f>
        <v>0</v>
      </c>
      <c r="CE546" s="32" t="n">
        <f aca="false">IF(BO546=0,IF(BW546=0,0,1),(BW546-BO546)/BO546)</f>
        <v>0</v>
      </c>
      <c r="CF546" s="32" t="n">
        <f aca="false">IF(BP546=0,IF(BX546=0,0,1),(BX546-BP546)/BP546)</f>
        <v>0</v>
      </c>
      <c r="CG546" s="32" t="n">
        <f aca="false">IF(BQ546=0,IF(BY546=0,0,1),(BY546-BQ546)/BQ546)</f>
        <v>0</v>
      </c>
      <c r="CH546" s="32" t="n">
        <f aca="false">MAX(MAX(BZ546:CG546),-MIN(BZ546:CG546))</f>
        <v>-0</v>
      </c>
      <c r="CI546" s="31" t="n">
        <f aca="false">IF(CO546="","",SUMIFS($CJ$7:$CJ$696,$A$7:$A$696,CO546,$B$7:$B$696,B546))</f>
        <v>4150868</v>
      </c>
      <c r="CJ546" s="31" t="n">
        <f aca="false">SUM(AY546:BI546)</f>
        <v>4170621</v>
      </c>
      <c r="CK546" s="31" t="str">
        <f aca="false">IFERROR(INDEX(設定!$F$61:$F$106,MATCH(B546,設定!$B$61:$B$106,0)),"Y")</f>
        <v>Y</v>
      </c>
      <c r="CL546" s="31" t="str">
        <f aca="false">IFERROR(INDEX(設定!$G$61:$G$106,MATCH(B546,設定!$B$61:$B$106,0)),"外郭型")</f>
        <v>外郭型</v>
      </c>
      <c r="CM546" s="33" t="str">
        <f aca="false">A546&amp;"|"&amp;B546</f>
        <v>2027-01 月例|広島市立大学</v>
      </c>
      <c r="CN546" s="34" t="str">
        <f aca="false">IFERROR(INDEX(設定!$D$61:$D$106,MATCH(B546,設定!$B$61:$B$106,0)),"Y")</f>
        <v>Y</v>
      </c>
      <c r="CO546" s="34" t="str">
        <f aca="false">IFERROR(INDEX(設定!$D$20:$D$34,MATCH(A546,設定!$A$20:$A$34,0))&amp;"","")</f>
        <v>2026-12 月例</v>
      </c>
    </row>
    <row r="547" customFormat="false" ht="15" hidden="true" customHeight="false" outlineLevel="0" collapsed="false">
      <c r="A547" s="22" t="s">
        <v>227</v>
      </c>
      <c r="B547" s="23" t="s">
        <v>203</v>
      </c>
      <c r="C547" s="10" t="str">
        <f aca="false">IF(G547="","未受領",IF(G547="なし","報告なし",IF(AL547="○","起票済",IF(OR(AK547="○",F547="一致",F547="入金不要"),"入金確認済","受領済"))))</f>
        <v>未受領</v>
      </c>
      <c r="D547" s="10" t="str">
        <f aca="false">IF(OR(G547="",G547="なし"),"―",IF(CN547="N","対象外",IF(AND(I547="",J547="",K547=""),"標報未入力",IF(CH547&gt;=設定!$B$4,"要確認","問題なし"))))</f>
        <v>―</v>
      </c>
      <c r="E547" s="24" t="str">
        <f aca="false">IF(OR(G547="",G547="なし",CI547="",CJ547=0),"―",IF(CJ547=CI547,"前月同額",IF(CI547=0,"―",IF(ABS(CJ547/CI547-1)&gt;=設定!$B$5,"変動大 "&amp;TEXT(CJ547/CI547-1,"+0%;-0%"),"〇"))))</f>
        <v>―</v>
      </c>
      <c r="F547" s="10" t="str">
        <f aca="false">IF(OR(G547="",G547="なし"),"―",IF(CJ547=0,"入金不要",IF(COUNT(AD547,AF547,AH547,AJ547)=0,IF(AK547="○","手動確認","未入金"),IF(AND(N(AD547)=AC547,IF(AE547="",TRUE(),N(AF547)=AE547),IF(AG547="",TRUE(),N(AH547)=AG547),IF(AI547="",TRUE(),N(AJ547)=AI547)),"一致","不一致"))))</f>
        <v>―</v>
      </c>
      <c r="G547" s="25"/>
      <c r="H547" s="26"/>
      <c r="I547" s="27"/>
      <c r="J547" s="27"/>
      <c r="K547" s="27"/>
      <c r="L547" s="27"/>
      <c r="M547" s="27"/>
      <c r="N547" s="27"/>
      <c r="O547" s="27"/>
      <c r="P547" s="27"/>
      <c r="Q547" s="27"/>
      <c r="R547" s="27"/>
      <c r="S547" s="27"/>
      <c r="T547" s="27"/>
      <c r="U547" s="27"/>
      <c r="V547" s="27"/>
      <c r="W547" s="27"/>
      <c r="X547" s="27"/>
      <c r="Y547" s="27"/>
      <c r="Z547" s="27"/>
      <c r="AA547" s="10" t="str">
        <f aca="false">IFERROR(INDEX(設定!$E$61:$E$106,MATCH(B547,設定!$B$61:$B$106,0)),"合算")</f>
        <v>合算</v>
      </c>
      <c r="AB547" s="28"/>
      <c r="AC547" s="29" t="str">
        <f aca="false">IF(OR(G547="",G547="なし"),"",IF(AA547="合算",CJ547+N(Z547),IF(AA547="掛金・負担金別",(AY547+AZ547+BD547+BF547+BH547),SUM(AY547:BC547))))</f>
        <v/>
      </c>
      <c r="AD547" s="27"/>
      <c r="AE547" s="29" t="str">
        <f aca="false">IF(OR(G547="",G547="なし"),"",IF(AA547="掛金・負担金別",(BA547+BB547+BC547+BE547+BG547+BI547+N(Z547)),IF(AA547="経理区分別",BD547+BE547,"")))</f>
        <v/>
      </c>
      <c r="AF547" s="27"/>
      <c r="AG547" s="29" t="str">
        <f aca="false">IF(OR(G547="",G547="なし"),"",IF(AA547="経理区分別",BF547+BG547,""))</f>
        <v/>
      </c>
      <c r="AH547" s="27"/>
      <c r="AI547" s="29" t="str">
        <f aca="false">IF(OR(G547="",G547="なし"),"",IF(AA547="経理区分別",BH547+BI547+N(Z547),""))</f>
        <v/>
      </c>
      <c r="AJ547" s="27"/>
      <c r="AK547" s="26"/>
      <c r="AL547" s="26"/>
      <c r="AM547" s="30"/>
      <c r="AN547" s="31"/>
      <c r="AO547" s="31"/>
      <c r="AP547" s="31" t="n">
        <v>245220</v>
      </c>
      <c r="AQ547" s="31" t="n">
        <v>20100</v>
      </c>
      <c r="AR547" s="31" t="n">
        <v>251</v>
      </c>
      <c r="AS547" s="31"/>
      <c r="AT547" s="31" t="n">
        <v>151001</v>
      </c>
      <c r="AU547" s="31"/>
      <c r="AV547" s="31" t="n">
        <v>10744</v>
      </c>
      <c r="AW547" s="31"/>
      <c r="AX547" s="31" t="n">
        <v>1</v>
      </c>
      <c r="AY547" s="31" t="n">
        <f aca="false">IF($G547="",AN547,O547)</f>
        <v>0</v>
      </c>
      <c r="AZ547" s="31" t="n">
        <f aca="false">IF($G547="",AO547,P547)</f>
        <v>0</v>
      </c>
      <c r="BA547" s="31" t="n">
        <f aca="false">IF($G547="",AP547,T547)</f>
        <v>245220</v>
      </c>
      <c r="BB547" s="31" t="n">
        <f aca="false">IF($G547="",AQ547,U547)</f>
        <v>20100</v>
      </c>
      <c r="BC547" s="31" t="n">
        <f aca="false">IF($G547="",AR547,V547)</f>
        <v>251</v>
      </c>
      <c r="BD547" s="31" t="n">
        <f aca="false">IF($G547="",AS547,Q547)</f>
        <v>0</v>
      </c>
      <c r="BE547" s="31" t="n">
        <f aca="false">IF($G547="",AT547,W547)</f>
        <v>151001</v>
      </c>
      <c r="BF547" s="31" t="n">
        <f aca="false">IF($G547="",AU547,R547)</f>
        <v>0</v>
      </c>
      <c r="BG547" s="31" t="n">
        <f aca="false">IF($G547="",AV547,X547)</f>
        <v>10744</v>
      </c>
      <c r="BH547" s="31" t="n">
        <f aca="false">IF($G547="",AW547,S547)</f>
        <v>0</v>
      </c>
      <c r="BI547" s="31" t="n">
        <f aca="false">IF($G547="",AX547,Y547)</f>
        <v>1</v>
      </c>
      <c r="BJ547" s="31" t="n">
        <f aca="false">IF(CK547="N",BR547,ROUNDDOWN((I547-L547)*設定!$B$10/1000,0)+ROUNDDOWN((I547-L547)*設定!$B$11/1000,0))</f>
        <v>0</v>
      </c>
      <c r="BK547" s="31" t="n">
        <f aca="false">ROUNDDOWN((I547-L547)*設定!$C$10/1000,0)+ROUNDDOWN((I547-L547)*設定!$C$11/1000,0)+ROUNDDOWN(I547*設定!$C$12/1000,0)+IF(CL547="市局型",ROUNDDOWN(I547*設定!$C$16/1000,0),0)</f>
        <v>0</v>
      </c>
      <c r="BL547" s="31" t="n">
        <f aca="false">IF(CK547="N",BT547,ROUNDDOWN((J547-M547)*設定!$B$13/1000,0))</f>
        <v>0</v>
      </c>
      <c r="BM547" s="31" t="n">
        <f aca="false">ROUNDDOWN((J547-M547)*設定!$C$13/1000,0)+IF(CL547="市局型",ROUNDDOWN(J547*設定!$C$17/1000,0),0)</f>
        <v>0</v>
      </c>
      <c r="BN547" s="31" t="n">
        <f aca="false">IF(CK547="N",BV547,ROUNDDOWN((K547-N547)*設定!$B$14/1000,0))</f>
        <v>0</v>
      </c>
      <c r="BO547" s="31" t="n">
        <f aca="false">ROUNDDOWN((K547-N547)*設定!$C$14/1000,0)</f>
        <v>0</v>
      </c>
      <c r="BP547" s="31" t="n">
        <f aca="false">IF(CK547="N",BX547,ROUNDDOWN((J547-M547)*設定!$B$15/1000,0))</f>
        <v>0</v>
      </c>
      <c r="BQ547" s="31" t="n">
        <f aca="false">ROUNDDOWN((J547-M547)*設定!$C$15/1000,0)</f>
        <v>0</v>
      </c>
      <c r="BR547" s="31" t="n">
        <f aca="false">O547+P547</f>
        <v>0</v>
      </c>
      <c r="BS547" s="31" t="n">
        <f aca="false">T547+U547+V547</f>
        <v>0</v>
      </c>
      <c r="BT547" s="31" t="n">
        <f aca="false">Q547</f>
        <v>0</v>
      </c>
      <c r="BU547" s="31" t="n">
        <f aca="false">W547</f>
        <v>0</v>
      </c>
      <c r="BV547" s="31" t="n">
        <f aca="false">R547</f>
        <v>0</v>
      </c>
      <c r="BW547" s="31" t="n">
        <f aca="false">X547</f>
        <v>0</v>
      </c>
      <c r="BX547" s="31" t="n">
        <f aca="false">S547</f>
        <v>0</v>
      </c>
      <c r="BY547" s="31" t="n">
        <f aca="false">Y547</f>
        <v>0</v>
      </c>
      <c r="BZ547" s="32" t="n">
        <f aca="false">IF(BJ547=0,IF(BR547=0,0,1),(BR547-BJ547)/BJ547)</f>
        <v>0</v>
      </c>
      <c r="CA547" s="32" t="n">
        <f aca="false">IF(BK547=0,IF(BS547=0,0,1),(BS547-BK547)/BK547)</f>
        <v>0</v>
      </c>
      <c r="CB547" s="32" t="n">
        <f aca="false">IF(BL547=0,IF(BT547=0,0,1),(BT547-BL547)/BL547)</f>
        <v>0</v>
      </c>
      <c r="CC547" s="32" t="n">
        <f aca="false">IF(BM547=0,IF(BU547=0,0,1),(BU547-BM547)/BM547)</f>
        <v>0</v>
      </c>
      <c r="CD547" s="32" t="n">
        <f aca="false">IF(BN547=0,IF(BV547=0,0,1),(BV547-BN547)/BN547)</f>
        <v>0</v>
      </c>
      <c r="CE547" s="32" t="n">
        <f aca="false">IF(BO547=0,IF(BW547=0,0,1),(BW547-BO547)/BO547)</f>
        <v>0</v>
      </c>
      <c r="CF547" s="32" t="n">
        <f aca="false">IF(BP547=0,IF(BX547=0,0,1),(BX547-BP547)/BP547)</f>
        <v>0</v>
      </c>
      <c r="CG547" s="32" t="n">
        <f aca="false">IF(BQ547=0,IF(BY547=0,0,1),(BY547-BQ547)/BQ547)</f>
        <v>0</v>
      </c>
      <c r="CH547" s="32" t="n">
        <f aca="false">MAX(MAX(BZ547:CG547),-MIN(BZ547:CG547))</f>
        <v>-0</v>
      </c>
      <c r="CI547" s="31" t="n">
        <f aca="false">IF(CO547="","",SUMIFS($CJ$7:$CJ$696,$A$7:$A$696,CO547,$B$7:$B$696,B547))</f>
        <v>427317</v>
      </c>
      <c r="CJ547" s="31" t="n">
        <f aca="false">SUM(AY547:BI547)</f>
        <v>427317</v>
      </c>
      <c r="CK547" s="31" t="str">
        <f aca="false">IFERROR(INDEX(設定!$F$61:$F$106,MATCH(B547,設定!$B$61:$B$106,0)),"Y")</f>
        <v>N</v>
      </c>
      <c r="CL547" s="31" t="str">
        <f aca="false">IFERROR(INDEX(設定!$G$61:$G$106,MATCH(B547,設定!$B$61:$B$106,0)),"外郭型")</f>
        <v>外郭型</v>
      </c>
      <c r="CM547" s="33" t="str">
        <f aca="false">A547&amp;"|"&amp;B547</f>
        <v>2027-01 月例|社会福祉協議会</v>
      </c>
      <c r="CN547" s="34" t="str">
        <f aca="false">IFERROR(INDEX(設定!$D$61:$D$106,MATCH(B547,設定!$B$61:$B$106,0)),"Y")</f>
        <v>Y</v>
      </c>
      <c r="CO547" s="34" t="str">
        <f aca="false">IFERROR(INDEX(設定!$D$20:$D$34,MATCH(A547,設定!$A$20:$A$34,0))&amp;"","")</f>
        <v>2026-12 月例</v>
      </c>
    </row>
    <row r="548" customFormat="false" ht="15" hidden="true" customHeight="false" outlineLevel="0" collapsed="false">
      <c r="A548" s="22" t="s">
        <v>227</v>
      </c>
      <c r="B548" s="23" t="s">
        <v>204</v>
      </c>
      <c r="C548" s="10" t="str">
        <f aca="false">IF(G548="","未受領",IF(G548="なし","報告なし",IF(AL548="○","起票済",IF(OR(AK548="○",F548="一致",F548="入金不要"),"入金確認済","受領済"))))</f>
        <v>未受領</v>
      </c>
      <c r="D548" s="10" t="str">
        <f aca="false">IF(OR(G548="",G548="なし"),"―",IF(CN548="N","対象外",IF(AND(I548="",J548="",K548=""),"標報未入力",IF(CH548&gt;=設定!$B$4,"要確認","問題なし"))))</f>
        <v>―</v>
      </c>
      <c r="E548" s="24" t="str">
        <f aca="false">IF(OR(G548="",G548="なし",CI548="",CJ548=0),"―",IF(CJ548=CI548,"前月同額",IF(CI548=0,"―",IF(ABS(CJ548/CI548-1)&gt;=設定!$B$5,"変動大 "&amp;TEXT(CJ548/CI548-1,"+0%;-0%"),"〇"))))</f>
        <v>―</v>
      </c>
      <c r="F548" s="10" t="str">
        <f aca="false">IF(OR(G548="",G548="なし"),"―",IF(CJ548=0,"入金不要",IF(COUNT(AD548,AF548,AH548,AJ548)=0,IF(AK548="○","手動確認","未入金"),IF(AND(N(AD548)=AC548,IF(AE548="",TRUE(),N(AF548)=AE548),IF(AG548="",TRUE(),N(AH548)=AG548),IF(AI548="",TRUE(),N(AJ548)=AI548)),"一致","不一致"))))</f>
        <v>―</v>
      </c>
      <c r="G548" s="25"/>
      <c r="H548" s="26"/>
      <c r="I548" s="27"/>
      <c r="J548" s="27"/>
      <c r="K548" s="27"/>
      <c r="L548" s="27"/>
      <c r="M548" s="27"/>
      <c r="N548" s="27"/>
      <c r="O548" s="27"/>
      <c r="P548" s="27"/>
      <c r="Q548" s="27"/>
      <c r="R548" s="27"/>
      <c r="S548" s="27"/>
      <c r="T548" s="27"/>
      <c r="U548" s="27"/>
      <c r="V548" s="27"/>
      <c r="W548" s="27"/>
      <c r="X548" s="27"/>
      <c r="Y548" s="27"/>
      <c r="Z548" s="27"/>
      <c r="AA548" s="10" t="str">
        <f aca="false">IFERROR(INDEX(設定!$E$61:$E$106,MATCH(B548,設定!$B$61:$B$106,0)),"合算")</f>
        <v>合算</v>
      </c>
      <c r="AB548" s="28"/>
      <c r="AC548" s="29" t="str">
        <f aca="false">IF(OR(G548="",G548="なし"),"",IF(AA548="合算",CJ548+N(Z548),IF(AA548="掛金・負担金別",(AY548+AZ548+BD548+BF548+BH548),SUM(AY548:BC548))))</f>
        <v/>
      </c>
      <c r="AD548" s="27"/>
      <c r="AE548" s="29" t="str">
        <f aca="false">IF(OR(G548="",G548="なし"),"",IF(AA548="掛金・負担金別",(BA548+BB548+BC548+BE548+BG548+BI548+N(Z548)),IF(AA548="経理区分別",BD548+BE548,"")))</f>
        <v/>
      </c>
      <c r="AF548" s="27"/>
      <c r="AG548" s="29" t="str">
        <f aca="false">IF(OR(G548="",G548="なし"),"",IF(AA548="経理区分別",BF548+BG548,""))</f>
        <v/>
      </c>
      <c r="AH548" s="27"/>
      <c r="AI548" s="29" t="str">
        <f aca="false">IF(OR(G548="",G548="なし"),"",IF(AA548="経理区分別",BH548+BI548+N(Z548),""))</f>
        <v/>
      </c>
      <c r="AJ548" s="27"/>
      <c r="AK548" s="26"/>
      <c r="AL548" s="26"/>
      <c r="AM548" s="30"/>
      <c r="AN548" s="31" t="n">
        <v>124182702</v>
      </c>
      <c r="AO548" s="31" t="n">
        <v>10170060</v>
      </c>
      <c r="AP548" s="31" t="n">
        <v>183964729</v>
      </c>
      <c r="AQ548" s="31" t="n">
        <v>10170060</v>
      </c>
      <c r="AR548" s="31" t="n">
        <v>135218</v>
      </c>
      <c r="AS548" s="31" t="n">
        <v>96575695</v>
      </c>
      <c r="AT548" s="31" t="n">
        <v>96764159</v>
      </c>
      <c r="AU548" s="31" t="n">
        <v>7824224</v>
      </c>
      <c r="AV548" s="31" t="n">
        <v>7824224</v>
      </c>
      <c r="AW548" s="31" t="n">
        <v>1</v>
      </c>
      <c r="AX548" s="31" t="n">
        <v>1</v>
      </c>
      <c r="AY548" s="31" t="n">
        <f aca="false">IF($G548="",AN548,O548)</f>
        <v>124182702</v>
      </c>
      <c r="AZ548" s="31" t="n">
        <f aca="false">IF($G548="",AO548,P548)</f>
        <v>10170060</v>
      </c>
      <c r="BA548" s="31" t="n">
        <f aca="false">IF($G548="",AP548,T548)</f>
        <v>183964729</v>
      </c>
      <c r="BB548" s="31" t="n">
        <f aca="false">IF($G548="",AQ548,U548)</f>
        <v>10170060</v>
      </c>
      <c r="BC548" s="31" t="n">
        <f aca="false">IF($G548="",AR548,V548)</f>
        <v>135218</v>
      </c>
      <c r="BD548" s="31" t="n">
        <f aca="false">IF($G548="",AS548,Q548)</f>
        <v>96575695</v>
      </c>
      <c r="BE548" s="31" t="n">
        <f aca="false">IF($G548="",AT548,W548)</f>
        <v>96764159</v>
      </c>
      <c r="BF548" s="31" t="n">
        <f aca="false">IF($G548="",AU548,R548)</f>
        <v>7824224</v>
      </c>
      <c r="BG548" s="31" t="n">
        <f aca="false">IF($G548="",AV548,X548)</f>
        <v>7824224</v>
      </c>
      <c r="BH548" s="31" t="n">
        <f aca="false">IF($G548="",AW548,S548)</f>
        <v>1</v>
      </c>
      <c r="BI548" s="31" t="n">
        <f aca="false">IF($G548="",AX548,Y548)</f>
        <v>1</v>
      </c>
      <c r="BJ548" s="31" t="n">
        <f aca="false">IF(CK548="N",BR548,ROUNDDOWN((I548-L548)*設定!$B$10/1000,0)+ROUNDDOWN((I548-L548)*設定!$B$11/1000,0))</f>
        <v>0</v>
      </c>
      <c r="BK548" s="31" t="n">
        <f aca="false">ROUNDDOWN((I548-L548)*設定!$C$10/1000,0)+ROUNDDOWN((I548-L548)*設定!$C$11/1000,0)+ROUNDDOWN(I548*設定!$C$12/1000,0)+IF(CL548="市局型",ROUNDDOWN(I548*設定!$C$16/1000,0),0)</f>
        <v>0</v>
      </c>
      <c r="BL548" s="31" t="n">
        <f aca="false">IF(CK548="N",BT548,ROUNDDOWN((J548-M548)*設定!$B$13/1000,0))</f>
        <v>0</v>
      </c>
      <c r="BM548" s="31" t="n">
        <f aca="false">ROUNDDOWN((J548-M548)*設定!$C$13/1000,0)+IF(CL548="市局型",ROUNDDOWN(J548*設定!$C$17/1000,0),0)</f>
        <v>0</v>
      </c>
      <c r="BN548" s="31" t="n">
        <f aca="false">IF(CK548="N",BV548,ROUNDDOWN((K548-N548)*設定!$B$14/1000,0))</f>
        <v>0</v>
      </c>
      <c r="BO548" s="31" t="n">
        <f aca="false">ROUNDDOWN((K548-N548)*設定!$C$14/1000,0)</f>
        <v>0</v>
      </c>
      <c r="BP548" s="31" t="n">
        <f aca="false">IF(CK548="N",BX548,ROUNDDOWN((J548-M548)*設定!$B$15/1000,0))</f>
        <v>0</v>
      </c>
      <c r="BQ548" s="31" t="n">
        <f aca="false">ROUNDDOWN((J548-M548)*設定!$C$15/1000,0)</f>
        <v>0</v>
      </c>
      <c r="BR548" s="31" t="n">
        <f aca="false">O548+P548</f>
        <v>0</v>
      </c>
      <c r="BS548" s="31" t="n">
        <f aca="false">T548+U548+V548</f>
        <v>0</v>
      </c>
      <c r="BT548" s="31" t="n">
        <f aca="false">Q548</f>
        <v>0</v>
      </c>
      <c r="BU548" s="31" t="n">
        <f aca="false">W548</f>
        <v>0</v>
      </c>
      <c r="BV548" s="31" t="n">
        <f aca="false">R548</f>
        <v>0</v>
      </c>
      <c r="BW548" s="31" t="n">
        <f aca="false">X548</f>
        <v>0</v>
      </c>
      <c r="BX548" s="31" t="n">
        <f aca="false">S548</f>
        <v>0</v>
      </c>
      <c r="BY548" s="31" t="n">
        <f aca="false">Y548</f>
        <v>0</v>
      </c>
      <c r="BZ548" s="32" t="n">
        <f aca="false">IF(BJ548=0,IF(BR548=0,0,1),(BR548-BJ548)/BJ548)</f>
        <v>0</v>
      </c>
      <c r="CA548" s="32" t="n">
        <f aca="false">IF(BK548=0,IF(BS548=0,0,1),(BS548-BK548)/BK548)</f>
        <v>0</v>
      </c>
      <c r="CB548" s="32" t="n">
        <f aca="false">IF(BL548=0,IF(BT548=0,0,1),(BT548-BL548)/BL548)</f>
        <v>0</v>
      </c>
      <c r="CC548" s="32" t="n">
        <f aca="false">IF(BM548=0,IF(BU548=0,0,1),(BU548-BM548)/BM548)</f>
        <v>0</v>
      </c>
      <c r="CD548" s="32" t="n">
        <f aca="false">IF(BN548=0,IF(BV548=0,0,1),(BV548-BN548)/BN548)</f>
        <v>0</v>
      </c>
      <c r="CE548" s="32" t="n">
        <f aca="false">IF(BO548=0,IF(BW548=0,0,1),(BW548-BO548)/BO548)</f>
        <v>0</v>
      </c>
      <c r="CF548" s="32" t="n">
        <f aca="false">IF(BP548=0,IF(BX548=0,0,1),(BX548-BP548)/BP548)</f>
        <v>0</v>
      </c>
      <c r="CG548" s="32" t="n">
        <f aca="false">IF(BQ548=0,IF(BY548=0,0,1),(BY548-BQ548)/BQ548)</f>
        <v>0</v>
      </c>
      <c r="CH548" s="32" t="n">
        <f aca="false">MAX(MAX(BZ548:CG548),-MIN(BZ548:CG548))</f>
        <v>-0</v>
      </c>
      <c r="CI548" s="31" t="n">
        <f aca="false">IF(CO548="","",SUMIFS($CJ$7:$CJ$696,$A$7:$A$696,CO548,$B$7:$B$696,B548))</f>
        <v>534795571</v>
      </c>
      <c r="CJ548" s="31" t="n">
        <f aca="false">SUM(AY548:BI548)</f>
        <v>537611073</v>
      </c>
      <c r="CK548" s="31" t="str">
        <f aca="false">IFERROR(INDEX(設定!$F$61:$F$106,MATCH(B548,設定!$B$61:$B$106,0)),"Y")</f>
        <v>Y</v>
      </c>
      <c r="CL548" s="31" t="str">
        <f aca="false">IFERROR(INDEX(設定!$G$61:$G$106,MATCH(B548,設定!$B$61:$B$106,0)),"外郭型")</f>
        <v>外郭型</v>
      </c>
      <c r="CM548" s="33" t="str">
        <f aca="false">A548&amp;"|"&amp;B548</f>
        <v>2027-01 月例|市立病院機構</v>
      </c>
      <c r="CN548" s="34" t="str">
        <f aca="false">IFERROR(INDEX(設定!$D$61:$D$106,MATCH(B548,設定!$B$61:$B$106,0)),"Y")</f>
        <v>N</v>
      </c>
      <c r="CO548" s="34" t="str">
        <f aca="false">IFERROR(INDEX(設定!$D$20:$D$34,MATCH(A548,設定!$A$20:$A$34,0))&amp;"","")</f>
        <v>2026-12 月例</v>
      </c>
    </row>
    <row r="549" customFormat="false" ht="15" hidden="true" customHeight="false" outlineLevel="0" collapsed="false">
      <c r="A549" s="22" t="s">
        <v>227</v>
      </c>
      <c r="B549" s="23" t="s">
        <v>205</v>
      </c>
      <c r="C549" s="10" t="str">
        <f aca="false">IF(G549="","未受領",IF(G549="なし","報告なし",IF(AL549="○","起票済",IF(OR(AK549="○",F549="一致",F549="入金不要"),"入金確認済","受領済"))))</f>
        <v>未受領</v>
      </c>
      <c r="D549" s="10" t="str">
        <f aca="false">IF(OR(G549="",G549="なし"),"―",IF(CN549="N","対象外",IF(AND(I549="",J549="",K549=""),"標報未入力",IF(CH549&gt;=設定!$B$4,"要確認","問題なし"))))</f>
        <v>―</v>
      </c>
      <c r="E549" s="24" t="str">
        <f aca="false">IF(OR(G549="",G549="なし",CI549="",CJ549=0),"―",IF(CJ549=CI549,"前月同額",IF(CI549=0,"―",IF(ABS(CJ549/CI549-1)&gt;=設定!$B$5,"変動大 "&amp;TEXT(CJ549/CI549-1,"+0%;-0%"),"〇"))))</f>
        <v>―</v>
      </c>
      <c r="F549" s="10" t="str">
        <f aca="false">IF(OR(G549="",G549="なし"),"―",IF(CJ549=0,"入金不要",IF(COUNT(AD549,AF549,AH549,AJ549)=0,IF(AK549="○","手動確認","未入金"),IF(AND(N(AD549)=AC549,IF(AE549="",TRUE(),N(AF549)=AE549),IF(AG549="",TRUE(),N(AH549)=AG549),IF(AI549="",TRUE(),N(AJ549)=AI549)),"一致","不一致"))))</f>
        <v>―</v>
      </c>
      <c r="G549" s="25"/>
      <c r="H549" s="26"/>
      <c r="I549" s="27"/>
      <c r="J549" s="27"/>
      <c r="K549" s="27"/>
      <c r="L549" s="27"/>
      <c r="M549" s="27"/>
      <c r="N549" s="27"/>
      <c r="O549" s="27"/>
      <c r="P549" s="27"/>
      <c r="Q549" s="27"/>
      <c r="R549" s="27"/>
      <c r="S549" s="27"/>
      <c r="T549" s="27"/>
      <c r="U549" s="27"/>
      <c r="V549" s="27"/>
      <c r="W549" s="27"/>
      <c r="X549" s="27"/>
      <c r="Y549" s="27"/>
      <c r="Z549" s="27"/>
      <c r="AA549" s="10" t="str">
        <f aca="false">IFERROR(INDEX(設定!$E$61:$E$106,MATCH(B549,設定!$B$61:$B$106,0)),"合算")</f>
        <v>合算</v>
      </c>
      <c r="AB549" s="28"/>
      <c r="AC549" s="29" t="str">
        <f aca="false">IF(OR(G549="",G549="なし"),"",IF(AA549="合算",CJ549+N(Z549),IF(AA549="掛金・負担金別",(AY549+AZ549+BD549+BF549+BH549),SUM(AY549:BC549))))</f>
        <v/>
      </c>
      <c r="AD549" s="27"/>
      <c r="AE549" s="29" t="str">
        <f aca="false">IF(OR(G549="",G549="なし"),"",IF(AA549="掛金・負担金別",(BA549+BB549+BC549+BE549+BG549+BI549+N(Z549)),IF(AA549="経理区分別",BD549+BE549,"")))</f>
        <v/>
      </c>
      <c r="AF549" s="27"/>
      <c r="AG549" s="29" t="str">
        <f aca="false">IF(OR(G549="",G549="なし"),"",IF(AA549="経理区分別",BF549+BG549,""))</f>
        <v/>
      </c>
      <c r="AH549" s="27"/>
      <c r="AI549" s="29" t="str">
        <f aca="false">IF(OR(G549="",G549="なし"),"",IF(AA549="経理区分別",BH549+BI549+N(Z549),""))</f>
        <v/>
      </c>
      <c r="AJ549" s="27"/>
      <c r="AK549" s="26"/>
      <c r="AL549" s="26"/>
      <c r="AM549" s="30"/>
      <c r="AN549" s="31"/>
      <c r="AO549" s="31"/>
      <c r="AP549" s="31"/>
      <c r="AQ549" s="31"/>
      <c r="AR549" s="31"/>
      <c r="AS549" s="31" t="n">
        <v>108364</v>
      </c>
      <c r="AT549" s="31" t="n">
        <v>108566</v>
      </c>
      <c r="AU549" s="31" t="n">
        <v>12245</v>
      </c>
      <c r="AV549" s="31" t="n">
        <v>12245</v>
      </c>
      <c r="AW549" s="31" t="n">
        <v>1</v>
      </c>
      <c r="AX549" s="31" t="n">
        <v>1</v>
      </c>
      <c r="AY549" s="31" t="n">
        <f aca="false">IF($G549="",AN549,O549)</f>
        <v>0</v>
      </c>
      <c r="AZ549" s="31" t="n">
        <f aca="false">IF($G549="",AO549,P549)</f>
        <v>0</v>
      </c>
      <c r="BA549" s="31" t="n">
        <f aca="false">IF($G549="",AP549,T549)</f>
        <v>0</v>
      </c>
      <c r="BB549" s="31" t="n">
        <f aca="false">IF($G549="",AQ549,U549)</f>
        <v>0</v>
      </c>
      <c r="BC549" s="31" t="n">
        <f aca="false">IF($G549="",AR549,V549)</f>
        <v>0</v>
      </c>
      <c r="BD549" s="31" t="n">
        <f aca="false">IF($G549="",AS549,Q549)</f>
        <v>108364</v>
      </c>
      <c r="BE549" s="31" t="n">
        <f aca="false">IF($G549="",AT549,W549)</f>
        <v>108566</v>
      </c>
      <c r="BF549" s="31" t="n">
        <f aca="false">IF($G549="",AU549,R549)</f>
        <v>12245</v>
      </c>
      <c r="BG549" s="31" t="n">
        <f aca="false">IF($G549="",AV549,X549)</f>
        <v>12245</v>
      </c>
      <c r="BH549" s="31" t="n">
        <f aca="false">IF($G549="",AW549,S549)</f>
        <v>1</v>
      </c>
      <c r="BI549" s="31" t="n">
        <f aca="false">IF($G549="",AX549,Y549)</f>
        <v>1</v>
      </c>
      <c r="BJ549" s="31" t="n">
        <f aca="false">IF(CK549="N",BR549,ROUNDDOWN((I549-L549)*設定!$B$10/1000,0)+ROUNDDOWN((I549-L549)*設定!$B$11/1000,0))</f>
        <v>0</v>
      </c>
      <c r="BK549" s="31" t="n">
        <f aca="false">ROUNDDOWN((I549-L549)*設定!$C$10/1000,0)+ROUNDDOWN((I549-L549)*設定!$C$11/1000,0)+ROUNDDOWN(I549*設定!$C$12/1000,0)+IF(CL549="市局型",ROUNDDOWN(I549*設定!$C$16/1000,0),0)</f>
        <v>0</v>
      </c>
      <c r="BL549" s="31" t="n">
        <f aca="false">IF(CK549="N",BT549,ROUNDDOWN((J549-M549)*設定!$B$13/1000,0))</f>
        <v>0</v>
      </c>
      <c r="BM549" s="31" t="n">
        <f aca="false">ROUNDDOWN((J549-M549)*設定!$C$13/1000,0)+IF(CL549="市局型",ROUNDDOWN(J549*設定!$C$17/1000,0),0)</f>
        <v>0</v>
      </c>
      <c r="BN549" s="31" t="n">
        <f aca="false">IF(CK549="N",BV549,ROUNDDOWN((K549-N549)*設定!$B$14/1000,0))</f>
        <v>0</v>
      </c>
      <c r="BO549" s="31" t="n">
        <f aca="false">ROUNDDOWN((K549-N549)*設定!$C$14/1000,0)</f>
        <v>0</v>
      </c>
      <c r="BP549" s="31" t="n">
        <f aca="false">IF(CK549="N",BX549,ROUNDDOWN((J549-M549)*設定!$B$15/1000,0))</f>
        <v>0</v>
      </c>
      <c r="BQ549" s="31" t="n">
        <f aca="false">ROUNDDOWN((J549-M549)*設定!$C$15/1000,0)</f>
        <v>0</v>
      </c>
      <c r="BR549" s="31" t="n">
        <f aca="false">O549+P549</f>
        <v>0</v>
      </c>
      <c r="BS549" s="31" t="n">
        <f aca="false">T549+U549+V549</f>
        <v>0</v>
      </c>
      <c r="BT549" s="31" t="n">
        <f aca="false">Q549</f>
        <v>0</v>
      </c>
      <c r="BU549" s="31" t="n">
        <f aca="false">W549</f>
        <v>0</v>
      </c>
      <c r="BV549" s="31" t="n">
        <f aca="false">R549</f>
        <v>0</v>
      </c>
      <c r="BW549" s="31" t="n">
        <f aca="false">X549</f>
        <v>0</v>
      </c>
      <c r="BX549" s="31" t="n">
        <f aca="false">S549</f>
        <v>0</v>
      </c>
      <c r="BY549" s="31" t="n">
        <f aca="false">Y549</f>
        <v>0</v>
      </c>
      <c r="BZ549" s="32" t="n">
        <f aca="false">IF(BJ549=0,IF(BR549=0,0,1),(BR549-BJ549)/BJ549)</f>
        <v>0</v>
      </c>
      <c r="CA549" s="32" t="n">
        <f aca="false">IF(BK549=0,IF(BS549=0,0,1),(BS549-BK549)/BK549)</f>
        <v>0</v>
      </c>
      <c r="CB549" s="32" t="n">
        <f aca="false">IF(BL549=0,IF(BT549=0,0,1),(BT549-BL549)/BL549)</f>
        <v>0</v>
      </c>
      <c r="CC549" s="32" t="n">
        <f aca="false">IF(BM549=0,IF(BU549=0,0,1),(BU549-BM549)/BM549)</f>
        <v>0</v>
      </c>
      <c r="CD549" s="32" t="n">
        <f aca="false">IF(BN549=0,IF(BV549=0,0,1),(BV549-BN549)/BN549)</f>
        <v>0</v>
      </c>
      <c r="CE549" s="32" t="n">
        <f aca="false">IF(BO549=0,IF(BW549=0,0,1),(BW549-BO549)/BO549)</f>
        <v>0</v>
      </c>
      <c r="CF549" s="32" t="n">
        <f aca="false">IF(BP549=0,IF(BX549=0,0,1),(BX549-BP549)/BP549)</f>
        <v>0</v>
      </c>
      <c r="CG549" s="32" t="n">
        <f aca="false">IF(BQ549=0,IF(BY549=0,0,1),(BY549-BQ549)/BQ549)</f>
        <v>0</v>
      </c>
      <c r="CH549" s="32" t="n">
        <f aca="false">MAX(MAX(BZ549:CG549),-MIN(BZ549:CG549))</f>
        <v>-0</v>
      </c>
      <c r="CI549" s="31" t="n">
        <f aca="false">IF(CO549="","",SUMIFS($CJ$7:$CJ$696,$A$7:$A$696,CO549,$B$7:$B$696,B549))</f>
        <v>241422</v>
      </c>
      <c r="CJ549" s="31" t="n">
        <f aca="false">SUM(AY549:BI549)</f>
        <v>241422</v>
      </c>
      <c r="CK549" s="31" t="str">
        <f aca="false">IFERROR(INDEX(設定!$F$61:$F$106,MATCH(B549,設定!$B$61:$B$106,0)),"Y")</f>
        <v>Y</v>
      </c>
      <c r="CL549" s="31" t="str">
        <f aca="false">IFERROR(INDEX(設定!$G$61:$G$106,MATCH(B549,設定!$B$61:$B$106,0)),"外郭型")</f>
        <v>外郭型</v>
      </c>
      <c r="CM549" s="33" t="str">
        <f aca="false">A549&amp;"|"&amp;B549</f>
        <v>2027-01 月例|職員共済組合</v>
      </c>
      <c r="CN549" s="34" t="str">
        <f aca="false">IFERROR(INDEX(設定!$D$61:$D$106,MATCH(B549,設定!$B$61:$B$106,0)),"Y")</f>
        <v>N</v>
      </c>
      <c r="CO549" s="34" t="str">
        <f aca="false">IFERROR(INDEX(設定!$D$20:$D$34,MATCH(A549,設定!$A$20:$A$34,0))&amp;"","")</f>
        <v>2026-12 月例</v>
      </c>
    </row>
    <row r="550" customFormat="false" ht="26.85" hidden="true" customHeight="false" outlineLevel="0" collapsed="false">
      <c r="A550" s="22" t="s">
        <v>227</v>
      </c>
      <c r="B550" s="35" t="s">
        <v>216</v>
      </c>
      <c r="C550" s="10" t="str">
        <f aca="false">IF(G550="","未受領",IF(G550="なし","報告なし",IF(AL550="○","起票済",IF(OR(AK550="○",F550="一致",F550="入金不要"),"入金確認済","受領済"))))</f>
        <v>報告なし</v>
      </c>
      <c r="D550" s="10" t="str">
        <f aca="false">IF(OR(G550="",G550="なし"),"―",IF(CN550="N","対象外",IF(AND(I550="",J550="",K550=""),"標報未入力",IF(CH550&gt;=設定!$B$4,"要確認","問題なし"))))</f>
        <v>―</v>
      </c>
      <c r="E550" s="24" t="str">
        <f aca="false">IF(OR(G550="",G550="なし",CI550="",CJ550=0),"―",IF(CJ550=CI550,"前月同額",IF(CI550=0,"―",IF(ABS(CJ550/CI550-1)&gt;=設定!$B$5,"変動大 "&amp;TEXT(CJ550/CI550-1,"+0%;-0%"),"〇"))))</f>
        <v>―</v>
      </c>
      <c r="F550" s="10" t="str">
        <f aca="false">IF(OR(G550="",G550="なし"),"―",IF(CJ550=0,"入金不要",IF(COUNT(AD550,AF550,AH550,AJ550)=0,IF(AK550="○","手動確認","未入金"),IF(AND(N(AD550)=AC550,IF(AE550="",TRUE(),N(AF550)=AE550),IF(AG550="",TRUE(),N(AH550)=AG550),IF(AI550="",TRUE(),N(AJ550)=AI550)),"一致","不一致"))))</f>
        <v>―</v>
      </c>
      <c r="G550" s="25" t="s">
        <v>181</v>
      </c>
      <c r="H550" s="26"/>
      <c r="I550" s="27"/>
      <c r="J550" s="27"/>
      <c r="K550" s="27"/>
      <c r="L550" s="27"/>
      <c r="M550" s="27"/>
      <c r="N550" s="27"/>
      <c r="O550" s="27"/>
      <c r="P550" s="27"/>
      <c r="Q550" s="27"/>
      <c r="R550" s="27"/>
      <c r="S550" s="27"/>
      <c r="T550" s="27"/>
      <c r="U550" s="27"/>
      <c r="V550" s="27"/>
      <c r="W550" s="27"/>
      <c r="X550" s="27"/>
      <c r="Y550" s="27"/>
      <c r="Z550" s="27"/>
      <c r="AA550" s="10" t="str">
        <f aca="false">IFERROR(INDEX(設定!$E$61:$E$106,MATCH(B550,設定!$B$61:$B$106,0)),"合算")</f>
        <v>合算</v>
      </c>
      <c r="AB550" s="28"/>
      <c r="AC550" s="29" t="str">
        <f aca="false">IF(OR(G550="",G550="なし"),"",IF(AA550="合算",CJ550+N(Z550),IF(AA550="掛金・負担金別",(AY550+AZ550+BD550+BF550+BH550),SUM(AY550:BC550))))</f>
        <v/>
      </c>
      <c r="AD550" s="27"/>
      <c r="AE550" s="29" t="str">
        <f aca="false">IF(OR(G550="",G550="なし"),"",IF(AA550="掛金・負担金別",(BA550+BB550+BC550+BE550+BG550+BI550+N(Z550)),IF(AA550="経理区分別",BD550+BE550,"")))</f>
        <v/>
      </c>
      <c r="AF550" s="27"/>
      <c r="AG550" s="29" t="str">
        <f aca="false">IF(OR(G550="",G550="なし"),"",IF(AA550="経理区分別",BF550+BG550,""))</f>
        <v/>
      </c>
      <c r="AH550" s="27"/>
      <c r="AI550" s="29" t="str">
        <f aca="false">IF(OR(G550="",G550="なし"),"",IF(AA550="経理区分別",BH550+BI550+N(Z550),""))</f>
        <v/>
      </c>
      <c r="AJ550" s="27"/>
      <c r="AK550" s="26"/>
      <c r="AL550" s="26"/>
      <c r="AM550" s="30"/>
      <c r="AN550" s="31"/>
      <c r="AO550" s="31"/>
      <c r="AP550" s="31"/>
      <c r="AQ550" s="31"/>
      <c r="AR550" s="31"/>
      <c r="AS550" s="31"/>
      <c r="AT550" s="31"/>
      <c r="AU550" s="31"/>
      <c r="AV550" s="31"/>
      <c r="AW550" s="31"/>
      <c r="AX550" s="31"/>
      <c r="AY550" s="31" t="n">
        <f aca="false">IF($G550="",AN550,O550)</f>
        <v>0</v>
      </c>
      <c r="AZ550" s="31" t="n">
        <f aca="false">IF($G550="",AO550,P550)</f>
        <v>0</v>
      </c>
      <c r="BA550" s="31" t="n">
        <f aca="false">IF($G550="",AP550,T550)</f>
        <v>0</v>
      </c>
      <c r="BB550" s="31" t="n">
        <f aca="false">IF($G550="",AQ550,U550)</f>
        <v>0</v>
      </c>
      <c r="BC550" s="31" t="n">
        <f aca="false">IF($G550="",AR550,V550)</f>
        <v>0</v>
      </c>
      <c r="BD550" s="31" t="n">
        <f aca="false">IF($G550="",AS550,Q550)</f>
        <v>0</v>
      </c>
      <c r="BE550" s="31" t="n">
        <f aca="false">IF($G550="",AT550,W550)</f>
        <v>0</v>
      </c>
      <c r="BF550" s="31" t="n">
        <f aca="false">IF($G550="",AU550,R550)</f>
        <v>0</v>
      </c>
      <c r="BG550" s="31" t="n">
        <f aca="false">IF($G550="",AV550,X550)</f>
        <v>0</v>
      </c>
      <c r="BH550" s="31" t="n">
        <f aca="false">IF($G550="",AW550,S550)</f>
        <v>0</v>
      </c>
      <c r="BI550" s="31" t="n">
        <f aca="false">IF($G550="",AX550,Y550)</f>
        <v>0</v>
      </c>
      <c r="BJ550" s="31" t="n">
        <f aca="false">IF(CK550="N",BR550,ROUNDDOWN((I550-L550)*設定!$B$10/1000,0)+ROUNDDOWN((I550-L550)*設定!$B$11/1000,0))</f>
        <v>0</v>
      </c>
      <c r="BK550" s="31" t="n">
        <f aca="false">ROUNDDOWN((I550-L550)*設定!$C$10/1000,0)+ROUNDDOWN((I550-L550)*設定!$C$11/1000,0)+ROUNDDOWN(I550*設定!$C$12/1000,0)+IF(CL550="市局型",ROUNDDOWN(I550*設定!$C$16/1000,0),0)</f>
        <v>0</v>
      </c>
      <c r="BL550" s="31" t="n">
        <f aca="false">IF(CK550="N",BT550,ROUNDDOWN((J550-M550)*設定!$B$13/1000,0))</f>
        <v>0</v>
      </c>
      <c r="BM550" s="31" t="n">
        <f aca="false">ROUNDDOWN((J550-M550)*設定!$C$13/1000,0)+IF(CL550="市局型",ROUNDDOWN(J550*設定!$C$17/1000,0),0)</f>
        <v>0</v>
      </c>
      <c r="BN550" s="31" t="n">
        <f aca="false">IF(CK550="N",BV550,ROUNDDOWN((K550-N550)*設定!$B$14/1000,0))</f>
        <v>0</v>
      </c>
      <c r="BO550" s="31" t="n">
        <f aca="false">ROUNDDOWN((K550-N550)*設定!$C$14/1000,0)</f>
        <v>0</v>
      </c>
      <c r="BP550" s="31" t="n">
        <f aca="false">IF(CK550="N",BX550,ROUNDDOWN((J550-M550)*設定!$B$15/1000,0))</f>
        <v>0</v>
      </c>
      <c r="BQ550" s="31" t="n">
        <f aca="false">ROUNDDOWN((J550-M550)*設定!$C$15/1000,0)</f>
        <v>0</v>
      </c>
      <c r="BR550" s="31" t="n">
        <f aca="false">O550+P550</f>
        <v>0</v>
      </c>
      <c r="BS550" s="31" t="n">
        <f aca="false">T550+U550+V550</f>
        <v>0</v>
      </c>
      <c r="BT550" s="31" t="n">
        <f aca="false">Q550</f>
        <v>0</v>
      </c>
      <c r="BU550" s="31" t="n">
        <f aca="false">W550</f>
        <v>0</v>
      </c>
      <c r="BV550" s="31" t="n">
        <f aca="false">R550</f>
        <v>0</v>
      </c>
      <c r="BW550" s="31" t="n">
        <f aca="false">X550</f>
        <v>0</v>
      </c>
      <c r="BX550" s="31" t="n">
        <f aca="false">S550</f>
        <v>0</v>
      </c>
      <c r="BY550" s="31" t="n">
        <f aca="false">Y550</f>
        <v>0</v>
      </c>
      <c r="BZ550" s="32" t="n">
        <f aca="false">IF(BJ550=0,IF(BR550=0,0,1),(BR550-BJ550)/BJ550)</f>
        <v>0</v>
      </c>
      <c r="CA550" s="32" t="n">
        <f aca="false">IF(BK550=0,IF(BS550=0,0,1),(BS550-BK550)/BK550)</f>
        <v>0</v>
      </c>
      <c r="CB550" s="32" t="n">
        <f aca="false">IF(BL550=0,IF(BT550=0,0,1),(BT550-BL550)/BL550)</f>
        <v>0</v>
      </c>
      <c r="CC550" s="32" t="n">
        <f aca="false">IF(BM550=0,IF(BU550=0,0,1),(BU550-BM550)/BM550)</f>
        <v>0</v>
      </c>
      <c r="CD550" s="32" t="n">
        <f aca="false">IF(BN550=0,IF(BV550=0,0,1),(BV550-BN550)/BN550)</f>
        <v>0</v>
      </c>
      <c r="CE550" s="32" t="n">
        <f aca="false">IF(BO550=0,IF(BW550=0,0,1),(BW550-BO550)/BO550)</f>
        <v>0</v>
      </c>
      <c r="CF550" s="32" t="n">
        <f aca="false">IF(BP550=0,IF(BX550=0,0,1),(BX550-BP550)/BP550)</f>
        <v>0</v>
      </c>
      <c r="CG550" s="32" t="n">
        <f aca="false">IF(BQ550=0,IF(BY550=0,0,1),(BY550-BQ550)/BQ550)</f>
        <v>0</v>
      </c>
      <c r="CH550" s="32" t="n">
        <f aca="false">MAX(MAX(BZ550:CG550),-MIN(BZ550:CG550))</f>
        <v>-0</v>
      </c>
      <c r="CI550" s="31" t="n">
        <f aca="false">IF(CO550="","",SUMIFS($CJ$7:$CJ$696,$A$7:$A$696,CO550,$B$7:$B$696,B550))</f>
        <v>0</v>
      </c>
      <c r="CJ550" s="31" t="n">
        <f aca="false">SUM(AY550:BI550)</f>
        <v>0</v>
      </c>
      <c r="CK550" s="31" t="str">
        <f aca="false">IFERROR(INDEX(設定!$F$61:$F$106,MATCH(B550,設定!$B$61:$B$106,0)),"Y")</f>
        <v>N</v>
      </c>
      <c r="CL550" s="31" t="str">
        <f aca="false">IFERROR(INDEX(設定!$G$61:$G$106,MATCH(B550,設定!$B$61:$B$106,0)),"外郭型")</f>
        <v>外郭型</v>
      </c>
      <c r="CM550" s="36" t="str">
        <f aca="false">A550&amp;"|"&amp;B550</f>
        <v>2027-01 月例|地方公共団体
情報システム機構</v>
      </c>
      <c r="CN550" s="34" t="str">
        <f aca="false">IFERROR(INDEX(設定!$D$61:$D$106,MATCH(B550,設定!$B$61:$B$106,0)),"Y")</f>
        <v>Y</v>
      </c>
      <c r="CO550" s="34" t="str">
        <f aca="false">IFERROR(INDEX(設定!$D$20:$D$34,MATCH(A550,設定!$A$20:$A$34,0))&amp;"","")</f>
        <v>2026-12 月例</v>
      </c>
    </row>
    <row r="551" customFormat="false" ht="15" hidden="true" customHeight="false" outlineLevel="0" collapsed="false">
      <c r="A551" s="22" t="s">
        <v>227</v>
      </c>
      <c r="B551" s="23" t="s">
        <v>207</v>
      </c>
      <c r="C551" s="10" t="str">
        <f aca="false">IF(G551="","未受領",IF(G551="なし","報告なし",IF(AL551="○","起票済",IF(OR(AK551="○",F551="一致",F551="入金不要"),"入金確認済","受領済"))))</f>
        <v>未受領</v>
      </c>
      <c r="D551" s="10" t="str">
        <f aca="false">IF(OR(G551="",G551="なし"),"―",IF(CN551="N","対象外",IF(AND(I551="",J551="",K551=""),"標報未入力",IF(CH551&gt;=設定!$B$4,"要確認","問題なし"))))</f>
        <v>―</v>
      </c>
      <c r="E551" s="24" t="str">
        <f aca="false">IF(OR(G551="",G551="なし",CI551="",CJ551=0),"―",IF(CJ551=CI551,"前月同額",IF(CI551=0,"―",IF(ABS(CJ551/CI551-1)&gt;=設定!$B$5,"変動大 "&amp;TEXT(CJ551/CI551-1,"+0%;-0%"),"〇"))))</f>
        <v>―</v>
      </c>
      <c r="F551" s="10" t="str">
        <f aca="false">IF(OR(G551="",G551="なし"),"―",IF(CJ551=0,"入金不要",IF(COUNT(AD551,AF551,AH551,AJ551)=0,IF(AK551="○","手動確認","未入金"),IF(AND(N(AD551)=AC551,IF(AE551="",TRUE(),N(AF551)=AE551),IF(AG551="",TRUE(),N(AH551)=AG551),IF(AI551="",TRUE(),N(AJ551)=AI551)),"一致","不一致"))))</f>
        <v>―</v>
      </c>
      <c r="G551" s="25"/>
      <c r="H551" s="26"/>
      <c r="I551" s="27"/>
      <c r="J551" s="27"/>
      <c r="K551" s="27"/>
      <c r="L551" s="27"/>
      <c r="M551" s="27"/>
      <c r="N551" s="27"/>
      <c r="O551" s="27"/>
      <c r="P551" s="27"/>
      <c r="Q551" s="27"/>
      <c r="R551" s="27"/>
      <c r="S551" s="27"/>
      <c r="T551" s="27"/>
      <c r="U551" s="27"/>
      <c r="V551" s="27"/>
      <c r="W551" s="27"/>
      <c r="X551" s="27"/>
      <c r="Y551" s="27"/>
      <c r="Z551" s="27"/>
      <c r="AA551" s="10" t="str">
        <f aca="false">IFERROR(INDEX(設定!$E$61:$E$106,MATCH(B551,設定!$B$61:$B$106,0)),"合算")</f>
        <v>合算</v>
      </c>
      <c r="AB551" s="28"/>
      <c r="AC551" s="29" t="str">
        <f aca="false">IF(OR(G551="",G551="なし"),"",IF(AA551="合算",CJ551+N(Z551),IF(AA551="掛金・負担金別",(AY551+AZ551+BD551+BF551+BH551),SUM(AY551:BC551))))</f>
        <v/>
      </c>
      <c r="AD551" s="27"/>
      <c r="AE551" s="29" t="str">
        <f aca="false">IF(OR(G551="",G551="なし"),"",IF(AA551="掛金・負担金別",(BA551+BB551+BC551+BE551+BG551+BI551+N(Z551)),IF(AA551="経理区分別",BD551+BE551,"")))</f>
        <v/>
      </c>
      <c r="AF551" s="27"/>
      <c r="AG551" s="29" t="str">
        <f aca="false">IF(OR(G551="",G551="なし"),"",IF(AA551="経理区分別",BF551+BG551,""))</f>
        <v/>
      </c>
      <c r="AH551" s="27"/>
      <c r="AI551" s="29" t="str">
        <f aca="false">IF(OR(G551="",G551="なし"),"",IF(AA551="経理区分別",BH551+BI551+N(Z551),""))</f>
        <v/>
      </c>
      <c r="AJ551" s="27"/>
      <c r="AK551" s="26"/>
      <c r="AL551" s="26"/>
      <c r="AM551" s="30"/>
      <c r="AN551" s="31" t="n">
        <v>59475</v>
      </c>
      <c r="AO551" s="31" t="n">
        <v>4875</v>
      </c>
      <c r="AP551" s="31" t="n">
        <v>59475</v>
      </c>
      <c r="AQ551" s="31" t="n">
        <v>4875</v>
      </c>
      <c r="AR551" s="31" t="n">
        <v>61</v>
      </c>
      <c r="AS551" s="31" t="n">
        <v>41257</v>
      </c>
      <c r="AT551" s="31" t="n">
        <v>41332</v>
      </c>
      <c r="AU551" s="31" t="n">
        <v>5925</v>
      </c>
      <c r="AV551" s="31" t="n">
        <v>5925</v>
      </c>
      <c r="AW551" s="31" t="n">
        <v>1</v>
      </c>
      <c r="AX551" s="31" t="n">
        <v>1</v>
      </c>
      <c r="AY551" s="31" t="n">
        <f aca="false">IF($G551="",AN551,O551)</f>
        <v>59475</v>
      </c>
      <c r="AZ551" s="31" t="n">
        <f aca="false">IF($G551="",AO551,P551)</f>
        <v>4875</v>
      </c>
      <c r="BA551" s="31" t="n">
        <f aca="false">IF($G551="",AP551,T551)</f>
        <v>59475</v>
      </c>
      <c r="BB551" s="31" t="n">
        <f aca="false">IF($G551="",AQ551,U551)</f>
        <v>4875</v>
      </c>
      <c r="BC551" s="31" t="n">
        <f aca="false">IF($G551="",AR551,V551)</f>
        <v>61</v>
      </c>
      <c r="BD551" s="31" t="n">
        <f aca="false">IF($G551="",AS551,Q551)</f>
        <v>41257</v>
      </c>
      <c r="BE551" s="31" t="n">
        <f aca="false">IF($G551="",AT551,W551)</f>
        <v>41332</v>
      </c>
      <c r="BF551" s="31" t="n">
        <f aca="false">IF($G551="",AU551,R551)</f>
        <v>5925</v>
      </c>
      <c r="BG551" s="31" t="n">
        <f aca="false">IF($G551="",AV551,X551)</f>
        <v>5925</v>
      </c>
      <c r="BH551" s="31" t="n">
        <f aca="false">IF($G551="",AW551,S551)</f>
        <v>1</v>
      </c>
      <c r="BI551" s="31" t="n">
        <f aca="false">IF($G551="",AX551,Y551)</f>
        <v>1</v>
      </c>
      <c r="BJ551" s="31" t="n">
        <f aca="false">IF(CK551="N",BR551,ROUNDDOWN((I551-L551)*設定!$B$10/1000,0)+ROUNDDOWN((I551-L551)*設定!$B$11/1000,0))</f>
        <v>0</v>
      </c>
      <c r="BK551" s="31" t="n">
        <f aca="false">ROUNDDOWN((I551-L551)*設定!$C$10/1000,0)+ROUNDDOWN((I551-L551)*設定!$C$11/1000,0)+ROUNDDOWN(I551*設定!$C$12/1000,0)+IF(CL551="市局型",ROUNDDOWN(I551*設定!$C$16/1000,0),0)</f>
        <v>0</v>
      </c>
      <c r="BL551" s="31" t="n">
        <f aca="false">IF(CK551="N",BT551,ROUNDDOWN((J551-M551)*設定!$B$13/1000,0))</f>
        <v>0</v>
      </c>
      <c r="BM551" s="31" t="n">
        <f aca="false">ROUNDDOWN((J551-M551)*設定!$C$13/1000,0)+IF(CL551="市局型",ROUNDDOWN(J551*設定!$C$17/1000,0),0)</f>
        <v>0</v>
      </c>
      <c r="BN551" s="31" t="n">
        <f aca="false">IF(CK551="N",BV551,ROUNDDOWN((K551-N551)*設定!$B$14/1000,0))</f>
        <v>0</v>
      </c>
      <c r="BO551" s="31" t="n">
        <f aca="false">ROUNDDOWN((K551-N551)*設定!$C$14/1000,0)</f>
        <v>0</v>
      </c>
      <c r="BP551" s="31" t="n">
        <f aca="false">IF(CK551="N",BX551,ROUNDDOWN((J551-M551)*設定!$B$15/1000,0))</f>
        <v>0</v>
      </c>
      <c r="BQ551" s="31" t="n">
        <f aca="false">ROUNDDOWN((J551-M551)*設定!$C$15/1000,0)</f>
        <v>0</v>
      </c>
      <c r="BR551" s="31" t="n">
        <f aca="false">O551+P551</f>
        <v>0</v>
      </c>
      <c r="BS551" s="31" t="n">
        <f aca="false">T551+U551+V551</f>
        <v>0</v>
      </c>
      <c r="BT551" s="31" t="n">
        <f aca="false">Q551</f>
        <v>0</v>
      </c>
      <c r="BU551" s="31" t="n">
        <f aca="false">W551</f>
        <v>0</v>
      </c>
      <c r="BV551" s="31" t="n">
        <f aca="false">R551</f>
        <v>0</v>
      </c>
      <c r="BW551" s="31" t="n">
        <f aca="false">X551</f>
        <v>0</v>
      </c>
      <c r="BX551" s="31" t="n">
        <f aca="false">S551</f>
        <v>0</v>
      </c>
      <c r="BY551" s="31" t="n">
        <f aca="false">Y551</f>
        <v>0</v>
      </c>
      <c r="BZ551" s="32" t="n">
        <f aca="false">IF(BJ551=0,IF(BR551=0,0,1),(BR551-BJ551)/BJ551)</f>
        <v>0</v>
      </c>
      <c r="CA551" s="32" t="n">
        <f aca="false">IF(BK551=0,IF(BS551=0,0,1),(BS551-BK551)/BK551)</f>
        <v>0</v>
      </c>
      <c r="CB551" s="32" t="n">
        <f aca="false">IF(BL551=0,IF(BT551=0,0,1),(BT551-BL551)/BL551)</f>
        <v>0</v>
      </c>
      <c r="CC551" s="32" t="n">
        <f aca="false">IF(BM551=0,IF(BU551=0,0,1),(BU551-BM551)/BM551)</f>
        <v>0</v>
      </c>
      <c r="CD551" s="32" t="n">
        <f aca="false">IF(BN551=0,IF(BV551=0,0,1),(BV551-BN551)/BN551)</f>
        <v>0</v>
      </c>
      <c r="CE551" s="32" t="n">
        <f aca="false">IF(BO551=0,IF(BW551=0,0,1),(BW551-BO551)/BO551)</f>
        <v>0</v>
      </c>
      <c r="CF551" s="32" t="n">
        <f aca="false">IF(BP551=0,IF(BX551=0,0,1),(BX551-BP551)/BP551)</f>
        <v>0</v>
      </c>
      <c r="CG551" s="32" t="n">
        <f aca="false">IF(BQ551=0,IF(BY551=0,0,1),(BY551-BQ551)/BQ551)</f>
        <v>0</v>
      </c>
      <c r="CH551" s="32" t="n">
        <f aca="false">MAX(MAX(BZ551:CG551),-MIN(BZ551:CG551))</f>
        <v>-0</v>
      </c>
      <c r="CI551" s="31" t="n">
        <f aca="false">IF(CO551="","",SUMIFS($CJ$7:$CJ$696,$A$7:$A$696,CO551,$B$7:$B$696,B551))</f>
        <v>223202</v>
      </c>
      <c r="CJ551" s="31" t="n">
        <f aca="false">SUM(AY551:BI551)</f>
        <v>223202</v>
      </c>
      <c r="CK551" s="31" t="str">
        <f aca="false">IFERROR(INDEX(設定!$F$61:$F$106,MATCH(B551,設定!$B$61:$B$106,0)),"Y")</f>
        <v>Y</v>
      </c>
      <c r="CL551" s="31" t="str">
        <f aca="false">IFERROR(INDEX(設定!$G$61:$G$106,MATCH(B551,設定!$B$61:$B$106,0)),"外郭型")</f>
        <v>外郭型</v>
      </c>
      <c r="CM551" s="33" t="str">
        <f aca="false">A551&amp;"|"&amp;B551</f>
        <v>2027-01 月例|全国市長会</v>
      </c>
      <c r="CN551" s="34" t="str">
        <f aca="false">IFERROR(INDEX(設定!$D$61:$D$106,MATCH(B551,設定!$B$61:$B$106,0)),"Y")</f>
        <v>Y</v>
      </c>
      <c r="CO551" s="34" t="str">
        <f aca="false">IFERROR(INDEX(設定!$D$20:$D$34,MATCH(A551,設定!$A$20:$A$34,0))&amp;"","")</f>
        <v>2026-12 月例</v>
      </c>
    </row>
    <row r="552" customFormat="false" ht="15" hidden="true" customHeight="false" outlineLevel="0" collapsed="false">
      <c r="A552" s="22" t="s">
        <v>227</v>
      </c>
      <c r="B552" s="23" t="s">
        <v>208</v>
      </c>
      <c r="C552" s="10" t="str">
        <f aca="false">IF(G552="","未受領",IF(G552="なし","報告なし",IF(AL552="○","起票済",IF(OR(AK552="○",F552="一致",F552="入金不要"),"入金確認済","受領済"))))</f>
        <v>未受領</v>
      </c>
      <c r="D552" s="10" t="str">
        <f aca="false">IF(OR(G552="",G552="なし"),"―",IF(CN552="N","対象外",IF(AND(I552="",J552="",K552=""),"標報未入力",IF(CH552&gt;=設定!$B$4,"要確認","問題なし"))))</f>
        <v>―</v>
      </c>
      <c r="E552" s="24" t="str">
        <f aca="false">IF(OR(G552="",G552="なし",CI552="",CJ552=0),"―",IF(CJ552=CI552,"前月同額",IF(CI552=0,"―",IF(ABS(CJ552/CI552-1)&gt;=設定!$B$5,"変動大 "&amp;TEXT(CJ552/CI552-1,"+0%;-0%"),"〇"))))</f>
        <v>―</v>
      </c>
      <c r="F552" s="10" t="str">
        <f aca="false">IF(OR(G552="",G552="なし"),"―",IF(CJ552=0,"入金不要",IF(COUNT(AD552,AF552,AH552,AJ552)=0,IF(AK552="○","手動確認","未入金"),IF(AND(N(AD552)=AC552,IF(AE552="",TRUE(),N(AF552)=AE552),IF(AG552="",TRUE(),N(AH552)=AG552),IF(AI552="",TRUE(),N(AJ552)=AI552)),"一致","不一致"))))</f>
        <v>―</v>
      </c>
      <c r="G552" s="25"/>
      <c r="H552" s="26"/>
      <c r="I552" s="27"/>
      <c r="J552" s="27"/>
      <c r="K552" s="27"/>
      <c r="L552" s="27"/>
      <c r="M552" s="27"/>
      <c r="N552" s="27"/>
      <c r="O552" s="27"/>
      <c r="P552" s="27"/>
      <c r="Q552" s="27"/>
      <c r="R552" s="27"/>
      <c r="S552" s="27"/>
      <c r="T552" s="27"/>
      <c r="U552" s="27"/>
      <c r="V552" s="27"/>
      <c r="W552" s="27"/>
      <c r="X552" s="27"/>
      <c r="Y552" s="27"/>
      <c r="Z552" s="27"/>
      <c r="AA552" s="10" t="str">
        <f aca="false">IFERROR(INDEX(設定!$E$61:$E$106,MATCH(B552,設定!$B$61:$B$106,0)),"合算")</f>
        <v>合算</v>
      </c>
      <c r="AB552" s="28"/>
      <c r="AC552" s="29" t="str">
        <f aca="false">IF(OR(G552="",G552="なし"),"",IF(AA552="合算",CJ552+N(Z552),IF(AA552="掛金・負担金別",(AY552+AZ552+BD552+BF552+BH552),SUM(AY552:BC552))))</f>
        <v/>
      </c>
      <c r="AD552" s="27"/>
      <c r="AE552" s="29" t="str">
        <f aca="false">IF(OR(G552="",G552="なし"),"",IF(AA552="掛金・負担金別",(BA552+BB552+BC552+BE552+BG552+BI552+N(Z552)),IF(AA552="経理区分別",BD552+BE552,"")))</f>
        <v/>
      </c>
      <c r="AF552" s="27"/>
      <c r="AG552" s="29" t="str">
        <f aca="false">IF(OR(G552="",G552="なし"),"",IF(AA552="経理区分別",BF552+BG552,""))</f>
        <v/>
      </c>
      <c r="AH552" s="27"/>
      <c r="AI552" s="29" t="str">
        <f aca="false">IF(OR(G552="",G552="なし"),"",IF(AA552="経理区分別",BH552+BI552+N(Z552),""))</f>
        <v/>
      </c>
      <c r="AJ552" s="27"/>
      <c r="AK552" s="26"/>
      <c r="AL552" s="26"/>
      <c r="AM552" s="30"/>
      <c r="AN552" s="31" t="n">
        <v>145485</v>
      </c>
      <c r="AO552" s="31" t="n">
        <v>11925</v>
      </c>
      <c r="AP552" s="31" t="n">
        <v>145485</v>
      </c>
      <c r="AQ552" s="31" t="n">
        <v>11925</v>
      </c>
      <c r="AR552" s="31" t="n">
        <v>149</v>
      </c>
      <c r="AS552" s="31"/>
      <c r="AT552" s="31"/>
      <c r="AU552" s="31"/>
      <c r="AV552" s="31"/>
      <c r="AW552" s="31"/>
      <c r="AX552" s="31"/>
      <c r="AY552" s="31" t="n">
        <f aca="false">IF($G552="",AN552,O552)</f>
        <v>145485</v>
      </c>
      <c r="AZ552" s="31" t="n">
        <f aca="false">IF($G552="",AO552,P552)</f>
        <v>11925</v>
      </c>
      <c r="BA552" s="31" t="n">
        <f aca="false">IF($G552="",AP552,T552)</f>
        <v>145485</v>
      </c>
      <c r="BB552" s="31" t="n">
        <f aca="false">IF($G552="",AQ552,U552)</f>
        <v>11925</v>
      </c>
      <c r="BC552" s="31" t="n">
        <f aca="false">IF($G552="",AR552,V552)</f>
        <v>149</v>
      </c>
      <c r="BD552" s="31" t="n">
        <f aca="false">IF($G552="",AS552,Q552)</f>
        <v>0</v>
      </c>
      <c r="BE552" s="31" t="n">
        <f aca="false">IF($G552="",AT552,W552)</f>
        <v>0</v>
      </c>
      <c r="BF552" s="31" t="n">
        <f aca="false">IF($G552="",AU552,R552)</f>
        <v>0</v>
      </c>
      <c r="BG552" s="31" t="n">
        <f aca="false">IF($G552="",AV552,X552)</f>
        <v>0</v>
      </c>
      <c r="BH552" s="31" t="n">
        <f aca="false">IF($G552="",AW552,S552)</f>
        <v>0</v>
      </c>
      <c r="BI552" s="31" t="n">
        <f aca="false">IF($G552="",AX552,Y552)</f>
        <v>0</v>
      </c>
      <c r="BJ552" s="31" t="n">
        <f aca="false">IF(CK552="N",BR552,ROUNDDOWN((I552-L552)*設定!$B$10/1000,0)+ROUNDDOWN((I552-L552)*設定!$B$11/1000,0))</f>
        <v>0</v>
      </c>
      <c r="BK552" s="31" t="n">
        <f aca="false">ROUNDDOWN((I552-L552)*設定!$C$10/1000,0)+ROUNDDOWN((I552-L552)*設定!$C$11/1000,0)+ROUNDDOWN(I552*設定!$C$12/1000,0)+IF(CL552="市局型",ROUNDDOWN(I552*設定!$C$16/1000,0),0)</f>
        <v>0</v>
      </c>
      <c r="BL552" s="31" t="n">
        <f aca="false">IF(CK552="N",BT552,ROUNDDOWN((J552-M552)*設定!$B$13/1000,0))</f>
        <v>0</v>
      </c>
      <c r="BM552" s="31" t="n">
        <f aca="false">ROUNDDOWN((J552-M552)*設定!$C$13/1000,0)+IF(CL552="市局型",ROUNDDOWN(J552*設定!$C$17/1000,0),0)</f>
        <v>0</v>
      </c>
      <c r="BN552" s="31" t="n">
        <f aca="false">IF(CK552="N",BV552,ROUNDDOWN((K552-N552)*設定!$B$14/1000,0))</f>
        <v>0</v>
      </c>
      <c r="BO552" s="31" t="n">
        <f aca="false">ROUNDDOWN((K552-N552)*設定!$C$14/1000,0)</f>
        <v>0</v>
      </c>
      <c r="BP552" s="31" t="n">
        <f aca="false">IF(CK552="N",BX552,ROUNDDOWN((J552-M552)*設定!$B$15/1000,0))</f>
        <v>0</v>
      </c>
      <c r="BQ552" s="31" t="n">
        <f aca="false">ROUNDDOWN((J552-M552)*設定!$C$15/1000,0)</f>
        <v>0</v>
      </c>
      <c r="BR552" s="31" t="n">
        <f aca="false">O552+P552</f>
        <v>0</v>
      </c>
      <c r="BS552" s="31" t="n">
        <f aca="false">T552+U552+V552</f>
        <v>0</v>
      </c>
      <c r="BT552" s="31" t="n">
        <f aca="false">Q552</f>
        <v>0</v>
      </c>
      <c r="BU552" s="31" t="n">
        <f aca="false">W552</f>
        <v>0</v>
      </c>
      <c r="BV552" s="31" t="n">
        <f aca="false">R552</f>
        <v>0</v>
      </c>
      <c r="BW552" s="31" t="n">
        <f aca="false">X552</f>
        <v>0</v>
      </c>
      <c r="BX552" s="31" t="n">
        <f aca="false">S552</f>
        <v>0</v>
      </c>
      <c r="BY552" s="31" t="n">
        <f aca="false">Y552</f>
        <v>0</v>
      </c>
      <c r="BZ552" s="32" t="n">
        <f aca="false">IF(BJ552=0,IF(BR552=0,0,1),(BR552-BJ552)/BJ552)</f>
        <v>0</v>
      </c>
      <c r="CA552" s="32" t="n">
        <f aca="false">IF(BK552=0,IF(BS552=0,0,1),(BS552-BK552)/BK552)</f>
        <v>0</v>
      </c>
      <c r="CB552" s="32" t="n">
        <f aca="false">IF(BL552=0,IF(BT552=0,0,1),(BT552-BL552)/BL552)</f>
        <v>0</v>
      </c>
      <c r="CC552" s="32" t="n">
        <f aca="false">IF(BM552=0,IF(BU552=0,0,1),(BU552-BM552)/BM552)</f>
        <v>0</v>
      </c>
      <c r="CD552" s="32" t="n">
        <f aca="false">IF(BN552=0,IF(BV552=0,0,1),(BV552-BN552)/BN552)</f>
        <v>0</v>
      </c>
      <c r="CE552" s="32" t="n">
        <f aca="false">IF(BO552=0,IF(BW552=0,0,1),(BW552-BO552)/BO552)</f>
        <v>0</v>
      </c>
      <c r="CF552" s="32" t="n">
        <f aca="false">IF(BP552=0,IF(BX552=0,0,1),(BX552-BP552)/BP552)</f>
        <v>0</v>
      </c>
      <c r="CG552" s="32" t="n">
        <f aca="false">IF(BQ552=0,IF(BY552=0,0,1),(BY552-BQ552)/BQ552)</f>
        <v>0</v>
      </c>
      <c r="CH552" s="32" t="n">
        <f aca="false">MAX(MAX(BZ552:CG552),-MIN(BZ552:CG552))</f>
        <v>-0</v>
      </c>
      <c r="CI552" s="31" t="n">
        <f aca="false">IF(CO552="","",SUMIFS($CJ$7:$CJ$696,$A$7:$A$696,CO552,$B$7:$B$696,B552))</f>
        <v>314969</v>
      </c>
      <c r="CJ552" s="31" t="n">
        <f aca="false">SUM(AY552:BI552)</f>
        <v>314969</v>
      </c>
      <c r="CK552" s="31" t="str">
        <f aca="false">IFERROR(INDEX(設定!$F$61:$F$106,MATCH(B552,設定!$B$61:$B$106,0)),"Y")</f>
        <v>Y</v>
      </c>
      <c r="CL552" s="31" t="str">
        <f aca="false">IFERROR(INDEX(設定!$G$61:$G$106,MATCH(B552,設定!$B$61:$B$106,0)),"外郭型")</f>
        <v>外郭型</v>
      </c>
      <c r="CM552" s="33" t="str">
        <f aca="false">A552&amp;"|"&amp;B552</f>
        <v>2027-01 月例|高速交通（株）</v>
      </c>
      <c r="CN552" s="34" t="str">
        <f aca="false">IFERROR(INDEX(設定!$D$61:$D$106,MATCH(B552,設定!$B$61:$B$106,0)),"Y")</f>
        <v>Y</v>
      </c>
      <c r="CO552" s="34" t="str">
        <f aca="false">IFERROR(INDEX(設定!$D$20:$D$34,MATCH(A552,設定!$A$20:$A$34,0))&amp;"","")</f>
        <v>2026-12 月例</v>
      </c>
    </row>
    <row r="553" customFormat="false" ht="15" hidden="true" customHeight="false" outlineLevel="0" collapsed="false">
      <c r="A553" s="22" t="s">
        <v>227</v>
      </c>
      <c r="B553" s="23" t="s">
        <v>209</v>
      </c>
      <c r="C553" s="10" t="str">
        <f aca="false">IF(G553="","未受領",IF(G553="なし","報告なし",IF(AL553="○","起票済",IF(OR(AK553="○",F553="一致",F553="入金不要"),"入金確認済","受領済"))))</f>
        <v>未受領</v>
      </c>
      <c r="D553" s="10" t="str">
        <f aca="false">IF(OR(G553="",G553="なし"),"―",IF(CN553="N","対象外",IF(AND(I553="",J553="",K553=""),"標報未入力",IF(CH553&gt;=設定!$B$4,"要確認","問題なし"))))</f>
        <v>―</v>
      </c>
      <c r="E553" s="24" t="str">
        <f aca="false">IF(OR(G553="",G553="なし",CI553="",CJ553=0),"―",IF(CJ553=CI553,"前月同額",IF(CI553=0,"―",IF(ABS(CJ553/CI553-1)&gt;=設定!$B$5,"変動大 "&amp;TEXT(CJ553/CI553-1,"+0%;-0%"),"〇"))))</f>
        <v>―</v>
      </c>
      <c r="F553" s="10" t="str">
        <f aca="false">IF(OR(G553="",G553="なし"),"―",IF(CJ553=0,"入金不要",IF(COUNT(AD553,AF553,AH553,AJ553)=0,IF(AK553="○","手動確認","未入金"),IF(AND(N(AD553)=AC553,IF(AE553="",TRUE(),N(AF553)=AE553),IF(AG553="",TRUE(),N(AH553)=AG553),IF(AI553="",TRUE(),N(AJ553)=AI553)),"一致","不一致"))))</f>
        <v>―</v>
      </c>
      <c r="G553" s="25"/>
      <c r="H553" s="26"/>
      <c r="I553" s="27"/>
      <c r="J553" s="27"/>
      <c r="K553" s="27"/>
      <c r="L553" s="27"/>
      <c r="M553" s="27"/>
      <c r="N553" s="27"/>
      <c r="O553" s="27"/>
      <c r="P553" s="27"/>
      <c r="Q553" s="27"/>
      <c r="R553" s="27"/>
      <c r="S553" s="27"/>
      <c r="T553" s="27"/>
      <c r="U553" s="27"/>
      <c r="V553" s="27"/>
      <c r="W553" s="27"/>
      <c r="X553" s="27"/>
      <c r="Y553" s="27"/>
      <c r="Z553" s="27"/>
      <c r="AA553" s="10" t="str">
        <f aca="false">IFERROR(INDEX(設定!$E$61:$E$106,MATCH(B553,設定!$B$61:$B$106,0)),"合算")</f>
        <v>合算</v>
      </c>
      <c r="AB553" s="28"/>
      <c r="AC553" s="29" t="str">
        <f aca="false">IF(OR(G553="",G553="なし"),"",IF(AA553="合算",CJ553+N(Z553),IF(AA553="掛金・負担金別",(AY553+AZ553+BD553+BF553+BH553),SUM(AY553:BC553))))</f>
        <v/>
      </c>
      <c r="AD553" s="27"/>
      <c r="AE553" s="29" t="str">
        <f aca="false">IF(OR(G553="",G553="なし"),"",IF(AA553="掛金・負担金別",(BA553+BB553+BC553+BE553+BG553+BI553+N(Z553)),IF(AA553="経理区分別",BD553+BE553,"")))</f>
        <v/>
      </c>
      <c r="AF553" s="27"/>
      <c r="AG553" s="29" t="str">
        <f aca="false">IF(OR(G553="",G553="なし"),"",IF(AA553="経理区分別",BF553+BG553,""))</f>
        <v/>
      </c>
      <c r="AH553" s="27"/>
      <c r="AI553" s="29" t="str">
        <f aca="false">IF(OR(G553="",G553="なし"),"",IF(AA553="経理区分別",BH553+BI553+N(Z553),""))</f>
        <v/>
      </c>
      <c r="AJ553" s="27"/>
      <c r="AK553" s="26"/>
      <c r="AL553" s="26"/>
      <c r="AM553" s="30"/>
      <c r="AN553" s="31" t="n">
        <v>53985</v>
      </c>
      <c r="AO553" s="31" t="n">
        <v>4425</v>
      </c>
      <c r="AP553" s="31" t="n">
        <v>53985</v>
      </c>
      <c r="AQ553" s="31" t="n">
        <v>4425</v>
      </c>
      <c r="AR553" s="31" t="n">
        <v>55</v>
      </c>
      <c r="AS553" s="31"/>
      <c r="AT553" s="31"/>
      <c r="AU553" s="31"/>
      <c r="AV553" s="31"/>
      <c r="AW553" s="31"/>
      <c r="AX553" s="31"/>
      <c r="AY553" s="31" t="n">
        <f aca="false">IF($G553="",AN553,O553)</f>
        <v>53985</v>
      </c>
      <c r="AZ553" s="31" t="n">
        <f aca="false">IF($G553="",AO553,P553)</f>
        <v>4425</v>
      </c>
      <c r="BA553" s="31" t="n">
        <f aca="false">IF($G553="",AP553,T553)</f>
        <v>53985</v>
      </c>
      <c r="BB553" s="31" t="n">
        <f aca="false">IF($G553="",AQ553,U553)</f>
        <v>4425</v>
      </c>
      <c r="BC553" s="31" t="n">
        <f aca="false">IF($G553="",AR553,V553)</f>
        <v>55</v>
      </c>
      <c r="BD553" s="31" t="n">
        <f aca="false">IF($G553="",AS553,Q553)</f>
        <v>0</v>
      </c>
      <c r="BE553" s="31" t="n">
        <f aca="false">IF($G553="",AT553,W553)</f>
        <v>0</v>
      </c>
      <c r="BF553" s="31" t="n">
        <f aca="false">IF($G553="",AU553,R553)</f>
        <v>0</v>
      </c>
      <c r="BG553" s="31" t="n">
        <f aca="false">IF($G553="",AV553,X553)</f>
        <v>0</v>
      </c>
      <c r="BH553" s="31" t="n">
        <f aca="false">IF($G553="",AW553,S553)</f>
        <v>0</v>
      </c>
      <c r="BI553" s="31" t="n">
        <f aca="false">IF($G553="",AX553,Y553)</f>
        <v>0</v>
      </c>
      <c r="BJ553" s="31" t="n">
        <f aca="false">IF(CK553="N",BR553,ROUNDDOWN((I553-L553)*設定!$B$10/1000,0)+ROUNDDOWN((I553-L553)*設定!$B$11/1000,0))</f>
        <v>0</v>
      </c>
      <c r="BK553" s="31" t="n">
        <f aca="false">ROUNDDOWN((I553-L553)*設定!$C$10/1000,0)+ROUNDDOWN((I553-L553)*設定!$C$11/1000,0)+ROUNDDOWN(I553*設定!$C$12/1000,0)+IF(CL553="市局型",ROUNDDOWN(I553*設定!$C$16/1000,0),0)</f>
        <v>0</v>
      </c>
      <c r="BL553" s="31" t="n">
        <f aca="false">IF(CK553="N",BT553,ROUNDDOWN((J553-M553)*設定!$B$13/1000,0))</f>
        <v>0</v>
      </c>
      <c r="BM553" s="31" t="n">
        <f aca="false">ROUNDDOWN((J553-M553)*設定!$C$13/1000,0)+IF(CL553="市局型",ROUNDDOWN(J553*設定!$C$17/1000,0),0)</f>
        <v>0</v>
      </c>
      <c r="BN553" s="31" t="n">
        <f aca="false">IF(CK553="N",BV553,ROUNDDOWN((K553-N553)*設定!$B$14/1000,0))</f>
        <v>0</v>
      </c>
      <c r="BO553" s="31" t="n">
        <f aca="false">ROUNDDOWN((K553-N553)*設定!$C$14/1000,0)</f>
        <v>0</v>
      </c>
      <c r="BP553" s="31" t="n">
        <f aca="false">IF(CK553="N",BX553,ROUNDDOWN((J553-M553)*設定!$B$15/1000,0))</f>
        <v>0</v>
      </c>
      <c r="BQ553" s="31" t="n">
        <f aca="false">ROUNDDOWN((J553-M553)*設定!$C$15/1000,0)</f>
        <v>0</v>
      </c>
      <c r="BR553" s="31" t="n">
        <f aca="false">O553+P553</f>
        <v>0</v>
      </c>
      <c r="BS553" s="31" t="n">
        <f aca="false">T553+U553+V553</f>
        <v>0</v>
      </c>
      <c r="BT553" s="31" t="n">
        <f aca="false">Q553</f>
        <v>0</v>
      </c>
      <c r="BU553" s="31" t="n">
        <f aca="false">W553</f>
        <v>0</v>
      </c>
      <c r="BV553" s="31" t="n">
        <f aca="false">R553</f>
        <v>0</v>
      </c>
      <c r="BW553" s="31" t="n">
        <f aca="false">X553</f>
        <v>0</v>
      </c>
      <c r="BX553" s="31" t="n">
        <f aca="false">S553</f>
        <v>0</v>
      </c>
      <c r="BY553" s="31" t="n">
        <f aca="false">Y553</f>
        <v>0</v>
      </c>
      <c r="BZ553" s="32" t="n">
        <f aca="false">IF(BJ553=0,IF(BR553=0,0,1),(BR553-BJ553)/BJ553)</f>
        <v>0</v>
      </c>
      <c r="CA553" s="32" t="n">
        <f aca="false">IF(BK553=0,IF(BS553=0,0,1),(BS553-BK553)/BK553)</f>
        <v>0</v>
      </c>
      <c r="CB553" s="32" t="n">
        <f aca="false">IF(BL553=0,IF(BT553=0,0,1),(BT553-BL553)/BL553)</f>
        <v>0</v>
      </c>
      <c r="CC553" s="32" t="n">
        <f aca="false">IF(BM553=0,IF(BU553=0,0,1),(BU553-BM553)/BM553)</f>
        <v>0</v>
      </c>
      <c r="CD553" s="32" t="n">
        <f aca="false">IF(BN553=0,IF(BV553=0,0,1),(BV553-BN553)/BN553)</f>
        <v>0</v>
      </c>
      <c r="CE553" s="32" t="n">
        <f aca="false">IF(BO553=0,IF(BW553=0,0,1),(BW553-BO553)/BO553)</f>
        <v>0</v>
      </c>
      <c r="CF553" s="32" t="n">
        <f aca="false">IF(BP553=0,IF(BX553=0,0,1),(BX553-BP553)/BP553)</f>
        <v>0</v>
      </c>
      <c r="CG553" s="32" t="n">
        <f aca="false">IF(BQ553=0,IF(BY553=0,0,1),(BY553-BQ553)/BQ553)</f>
        <v>0</v>
      </c>
      <c r="CH553" s="32" t="n">
        <f aca="false">MAX(MAX(BZ553:CG553),-MIN(BZ553:CG553))</f>
        <v>-0</v>
      </c>
      <c r="CI553" s="31" t="n">
        <f aca="false">IF(CO553="","",SUMIFS($CJ$7:$CJ$696,$A$7:$A$696,CO553,$B$7:$B$696,B553))</f>
        <v>116875</v>
      </c>
      <c r="CJ553" s="31" t="n">
        <f aca="false">SUM(AY553:BI553)</f>
        <v>116875</v>
      </c>
      <c r="CK553" s="31" t="str">
        <f aca="false">IFERROR(INDEX(設定!$F$61:$F$106,MATCH(B553,設定!$B$61:$B$106,0)),"Y")</f>
        <v>Y</v>
      </c>
      <c r="CL553" s="31" t="str">
        <f aca="false">IFERROR(INDEX(設定!$G$61:$G$106,MATCH(B553,設定!$B$61:$B$106,0)),"外郭型")</f>
        <v>外郭型</v>
      </c>
      <c r="CM553" s="33" t="str">
        <f aca="false">A553&amp;"|"&amp;B553</f>
        <v>2027-01 月例|広島駅南口開発（株）</v>
      </c>
      <c r="CN553" s="34" t="str">
        <f aca="false">IFERROR(INDEX(設定!$D$61:$D$106,MATCH(B553,設定!$B$61:$B$106,0)),"Y")</f>
        <v>Y</v>
      </c>
      <c r="CO553" s="34" t="str">
        <f aca="false">IFERROR(INDEX(設定!$D$20:$D$34,MATCH(A553,設定!$A$20:$A$34,0))&amp;"","")</f>
        <v>2026-12 月例</v>
      </c>
    </row>
    <row r="554" customFormat="false" ht="15" hidden="true" customHeight="false" outlineLevel="0" collapsed="false">
      <c r="A554" s="22" t="s">
        <v>227</v>
      </c>
      <c r="B554" s="23" t="s">
        <v>210</v>
      </c>
      <c r="C554" s="10" t="str">
        <f aca="false">IF(G554="","未受領",IF(G554="なし","報告なし",IF(AL554="○","起票済",IF(OR(AK554="○",F554="一致",F554="入金不要"),"入金確認済","受領済"))))</f>
        <v>未受領</v>
      </c>
      <c r="D554" s="10" t="str">
        <f aca="false">IF(OR(G554="",G554="なし"),"―",IF(CN554="N","対象外",IF(AND(I554="",J554="",K554=""),"標報未入力",IF(CH554&gt;=設定!$B$4,"要確認","問題なし"))))</f>
        <v>―</v>
      </c>
      <c r="E554" s="24" t="str">
        <f aca="false">IF(OR(G554="",G554="なし",CI554="",CJ554=0),"―",IF(CJ554=CI554,"前月同額",IF(CI554=0,"―",IF(ABS(CJ554/CI554-1)&gt;=設定!$B$5,"変動大 "&amp;TEXT(CJ554/CI554-1,"+0%;-0%"),"〇"))))</f>
        <v>―</v>
      </c>
      <c r="F554" s="10" t="str">
        <f aca="false">IF(OR(G554="",G554="なし"),"―",IF(CJ554=0,"入金不要",IF(COUNT(AD554,AF554,AH554,AJ554)=0,IF(AK554="○","手動確認","未入金"),IF(AND(N(AD554)=AC554,IF(AE554="",TRUE(),N(AF554)=AE554),IF(AG554="",TRUE(),N(AH554)=AG554),IF(AI554="",TRUE(),N(AJ554)=AI554)),"一致","不一致"))))</f>
        <v>―</v>
      </c>
      <c r="G554" s="25"/>
      <c r="H554" s="26"/>
      <c r="I554" s="27"/>
      <c r="J554" s="27"/>
      <c r="K554" s="27"/>
      <c r="L554" s="27"/>
      <c r="M554" s="27"/>
      <c r="N554" s="27"/>
      <c r="O554" s="27"/>
      <c r="P554" s="27"/>
      <c r="Q554" s="27"/>
      <c r="R554" s="27"/>
      <c r="S554" s="27"/>
      <c r="T554" s="27"/>
      <c r="U554" s="27"/>
      <c r="V554" s="27"/>
      <c r="W554" s="27"/>
      <c r="X554" s="27"/>
      <c r="Y554" s="27"/>
      <c r="Z554" s="27"/>
      <c r="AA554" s="10" t="str">
        <f aca="false">IFERROR(INDEX(設定!$E$61:$E$106,MATCH(B554,設定!$B$61:$B$106,0)),"合算")</f>
        <v>合算</v>
      </c>
      <c r="AB554" s="28"/>
      <c r="AC554" s="29" t="str">
        <f aca="false">IF(OR(G554="",G554="なし"),"",IF(AA554="合算",CJ554+N(Z554),IF(AA554="掛金・負担金別",(AY554+AZ554+BD554+BF554+BH554),SUM(AY554:BC554))))</f>
        <v/>
      </c>
      <c r="AD554" s="27"/>
      <c r="AE554" s="29" t="str">
        <f aca="false">IF(OR(G554="",G554="なし"),"",IF(AA554="掛金・負担金別",(BA554+BB554+BC554+BE554+BG554+BI554+N(Z554)),IF(AA554="経理区分別",BD554+BE554,"")))</f>
        <v/>
      </c>
      <c r="AF554" s="27"/>
      <c r="AG554" s="29" t="str">
        <f aca="false">IF(OR(G554="",G554="なし"),"",IF(AA554="経理区分別",BF554+BG554,""))</f>
        <v/>
      </c>
      <c r="AH554" s="27"/>
      <c r="AI554" s="29" t="str">
        <f aca="false">IF(OR(G554="",G554="なし"),"",IF(AA554="経理区分別",BH554+BI554+N(Z554),""))</f>
        <v/>
      </c>
      <c r="AJ554" s="27"/>
      <c r="AK554" s="26"/>
      <c r="AL554" s="26"/>
      <c r="AM554" s="30"/>
      <c r="AN554" s="31" t="n">
        <v>29280</v>
      </c>
      <c r="AO554" s="31" t="n">
        <v>2400</v>
      </c>
      <c r="AP554" s="31" t="n">
        <v>29280</v>
      </c>
      <c r="AQ554" s="31" t="n">
        <v>2400</v>
      </c>
      <c r="AR554" s="31"/>
      <c r="AS554" s="31" t="n">
        <v>17603</v>
      </c>
      <c r="AT554" s="31" t="n">
        <v>17635</v>
      </c>
      <c r="AU554" s="31" t="n">
        <v>2528</v>
      </c>
      <c r="AV554" s="31" t="n">
        <v>2528</v>
      </c>
      <c r="AW554" s="31" t="n">
        <v>1</v>
      </c>
      <c r="AX554" s="31" t="n">
        <v>1</v>
      </c>
      <c r="AY554" s="31" t="n">
        <f aca="false">IF($G554="",AN554,O554)</f>
        <v>29280</v>
      </c>
      <c r="AZ554" s="31" t="n">
        <f aca="false">IF($G554="",AO554,P554)</f>
        <v>2400</v>
      </c>
      <c r="BA554" s="31" t="n">
        <f aca="false">IF($G554="",AP554,T554)</f>
        <v>29280</v>
      </c>
      <c r="BB554" s="31" t="n">
        <f aca="false">IF($G554="",AQ554,U554)</f>
        <v>2400</v>
      </c>
      <c r="BC554" s="31" t="n">
        <f aca="false">IF($G554="",AR554,V554)</f>
        <v>0</v>
      </c>
      <c r="BD554" s="31" t="n">
        <f aca="false">IF($G554="",AS554,Q554)</f>
        <v>17603</v>
      </c>
      <c r="BE554" s="31" t="n">
        <f aca="false">IF($G554="",AT554,W554)</f>
        <v>17635</v>
      </c>
      <c r="BF554" s="31" t="n">
        <f aca="false">IF($G554="",AU554,R554)</f>
        <v>2528</v>
      </c>
      <c r="BG554" s="31" t="n">
        <f aca="false">IF($G554="",AV554,X554)</f>
        <v>2528</v>
      </c>
      <c r="BH554" s="31" t="n">
        <f aca="false">IF($G554="",AW554,S554)</f>
        <v>1</v>
      </c>
      <c r="BI554" s="31" t="n">
        <f aca="false">IF($G554="",AX554,Y554)</f>
        <v>1</v>
      </c>
      <c r="BJ554" s="31" t="n">
        <f aca="false">IF(CK554="N",BR554,ROUNDDOWN((I554-L554)*設定!$B$10/1000,0)+ROUNDDOWN((I554-L554)*設定!$B$11/1000,0))</f>
        <v>0</v>
      </c>
      <c r="BK554" s="31" t="n">
        <f aca="false">ROUNDDOWN((I554-L554)*設定!$C$10/1000,0)+ROUNDDOWN((I554-L554)*設定!$C$11/1000,0)+ROUNDDOWN(I554*設定!$C$12/1000,0)+IF(CL554="市局型",ROUNDDOWN(I554*設定!$C$16/1000,0),0)</f>
        <v>0</v>
      </c>
      <c r="BL554" s="31" t="n">
        <f aca="false">IF(CK554="N",BT554,ROUNDDOWN((J554-M554)*設定!$B$13/1000,0))</f>
        <v>0</v>
      </c>
      <c r="BM554" s="31" t="n">
        <f aca="false">ROUNDDOWN((J554-M554)*設定!$C$13/1000,0)+IF(CL554="市局型",ROUNDDOWN(J554*設定!$C$17/1000,0),0)</f>
        <v>0</v>
      </c>
      <c r="BN554" s="31" t="n">
        <f aca="false">IF(CK554="N",BV554,ROUNDDOWN((K554-N554)*設定!$B$14/1000,0))</f>
        <v>0</v>
      </c>
      <c r="BO554" s="31" t="n">
        <f aca="false">ROUNDDOWN((K554-N554)*設定!$C$14/1000,0)</f>
        <v>0</v>
      </c>
      <c r="BP554" s="31" t="n">
        <f aca="false">IF(CK554="N",BX554,ROUNDDOWN((J554-M554)*設定!$B$15/1000,0))</f>
        <v>0</v>
      </c>
      <c r="BQ554" s="31" t="n">
        <f aca="false">ROUNDDOWN((J554-M554)*設定!$C$15/1000,0)</f>
        <v>0</v>
      </c>
      <c r="BR554" s="31" t="n">
        <f aca="false">O554+P554</f>
        <v>0</v>
      </c>
      <c r="BS554" s="31" t="n">
        <f aca="false">T554+U554+V554</f>
        <v>0</v>
      </c>
      <c r="BT554" s="31" t="n">
        <f aca="false">Q554</f>
        <v>0</v>
      </c>
      <c r="BU554" s="31" t="n">
        <f aca="false">W554</f>
        <v>0</v>
      </c>
      <c r="BV554" s="31" t="n">
        <f aca="false">R554</f>
        <v>0</v>
      </c>
      <c r="BW554" s="31" t="n">
        <f aca="false">X554</f>
        <v>0</v>
      </c>
      <c r="BX554" s="31" t="n">
        <f aca="false">S554</f>
        <v>0</v>
      </c>
      <c r="BY554" s="31" t="n">
        <f aca="false">Y554</f>
        <v>0</v>
      </c>
      <c r="BZ554" s="32" t="n">
        <f aca="false">IF(BJ554=0,IF(BR554=0,0,1),(BR554-BJ554)/BJ554)</f>
        <v>0</v>
      </c>
      <c r="CA554" s="32" t="n">
        <f aca="false">IF(BK554=0,IF(BS554=0,0,1),(BS554-BK554)/BK554)</f>
        <v>0</v>
      </c>
      <c r="CB554" s="32" t="n">
        <f aca="false">IF(BL554=0,IF(BT554=0,0,1),(BT554-BL554)/BL554)</f>
        <v>0</v>
      </c>
      <c r="CC554" s="32" t="n">
        <f aca="false">IF(BM554=0,IF(BU554=0,0,1),(BU554-BM554)/BM554)</f>
        <v>0</v>
      </c>
      <c r="CD554" s="32" t="n">
        <f aca="false">IF(BN554=0,IF(BV554=0,0,1),(BV554-BN554)/BN554)</f>
        <v>0</v>
      </c>
      <c r="CE554" s="32" t="n">
        <f aca="false">IF(BO554=0,IF(BW554=0,0,1),(BW554-BO554)/BO554)</f>
        <v>0</v>
      </c>
      <c r="CF554" s="32" t="n">
        <f aca="false">IF(BP554=0,IF(BX554=0,0,1),(BX554-BP554)/BP554)</f>
        <v>0</v>
      </c>
      <c r="CG554" s="32" t="n">
        <f aca="false">IF(BQ554=0,IF(BY554=0,0,1),(BY554-BQ554)/BQ554)</f>
        <v>0</v>
      </c>
      <c r="CH554" s="32" t="n">
        <f aca="false">MAX(MAX(BZ554:CG554),-MIN(BZ554:CG554))</f>
        <v>-0</v>
      </c>
      <c r="CI554" s="31" t="n">
        <f aca="false">IF(CO554="","",SUMIFS($CJ$7:$CJ$696,$A$7:$A$696,CO554,$B$7:$B$696,B554))</f>
        <v>103656</v>
      </c>
      <c r="CJ554" s="31" t="n">
        <f aca="false">SUM(AY554:BI554)</f>
        <v>103656</v>
      </c>
      <c r="CK554" s="31" t="str">
        <f aca="false">IFERROR(INDEX(設定!$F$61:$F$106,MATCH(B554,設定!$B$61:$B$106,0)),"Y")</f>
        <v>Y</v>
      </c>
      <c r="CL554" s="31" t="str">
        <f aca="false">IFERROR(INDEX(設定!$G$61:$G$106,MATCH(B554,設定!$B$61:$B$106,0)),"外郭型")</f>
        <v>外郭型</v>
      </c>
      <c r="CM554" s="33" t="str">
        <f aca="false">A554&amp;"|"&amp;B554</f>
        <v>2027-01 月例|市職員労働組合</v>
      </c>
      <c r="CN554" s="34" t="str">
        <f aca="false">IFERROR(INDEX(設定!$D$61:$D$106,MATCH(B554,設定!$B$61:$B$106,0)),"Y")</f>
        <v>Y</v>
      </c>
      <c r="CO554" s="34" t="str">
        <f aca="false">IFERROR(INDEX(設定!$D$20:$D$34,MATCH(A554,設定!$A$20:$A$34,0))&amp;"","")</f>
        <v>2026-12 月例</v>
      </c>
    </row>
    <row r="555" customFormat="false" ht="15" hidden="true" customHeight="false" outlineLevel="0" collapsed="false">
      <c r="A555" s="22" t="s">
        <v>227</v>
      </c>
      <c r="B555" s="23" t="s">
        <v>211</v>
      </c>
      <c r="C555" s="10" t="str">
        <f aca="false">IF(G555="","未受領",IF(G555="なし","報告なし",IF(AL555="○","起票済",IF(OR(AK555="○",F555="一致",F555="入金不要"),"入金確認済","受領済"))))</f>
        <v>報告なし</v>
      </c>
      <c r="D555" s="10" t="str">
        <f aca="false">IF(OR(G555="",G555="なし"),"―",IF(CN555="N","対象外",IF(AND(I555="",J555="",K555=""),"標報未入力",IF(CH555&gt;=設定!$B$4,"要確認","問題なし"))))</f>
        <v>―</v>
      </c>
      <c r="E555" s="24" t="str">
        <f aca="false">IF(OR(G555="",G555="なし",CI555="",CJ555=0),"―",IF(CJ555=CI555,"前月同額",IF(CI555=0,"―",IF(ABS(CJ555/CI555-1)&gt;=設定!$B$5,"変動大 "&amp;TEXT(CJ555/CI555-1,"+0%;-0%"),"〇"))))</f>
        <v>―</v>
      </c>
      <c r="F555" s="10" t="str">
        <f aca="false">IF(OR(G555="",G555="なし"),"―",IF(CJ555=0,"入金不要",IF(COUNT(AD555,AF555,AH555,AJ555)=0,IF(AK555="○","手動確認","未入金"),IF(AND(N(AD555)=AC555,IF(AE555="",TRUE(),N(AF555)=AE555),IF(AG555="",TRUE(),N(AH555)=AG555),IF(AI555="",TRUE(),N(AJ555)=AI555)),"一致","不一致"))))</f>
        <v>―</v>
      </c>
      <c r="G555" s="25" t="s">
        <v>181</v>
      </c>
      <c r="H555" s="26"/>
      <c r="I555" s="27"/>
      <c r="J555" s="27"/>
      <c r="K555" s="27"/>
      <c r="L555" s="27"/>
      <c r="M555" s="27"/>
      <c r="N555" s="27"/>
      <c r="O555" s="27"/>
      <c r="P555" s="27"/>
      <c r="Q555" s="27"/>
      <c r="R555" s="27"/>
      <c r="S555" s="27"/>
      <c r="T555" s="27"/>
      <c r="U555" s="27"/>
      <c r="V555" s="27"/>
      <c r="W555" s="27"/>
      <c r="X555" s="27"/>
      <c r="Y555" s="27"/>
      <c r="Z555" s="27"/>
      <c r="AA555" s="10" t="str">
        <f aca="false">IFERROR(INDEX(設定!$E$61:$E$106,MATCH(B555,設定!$B$61:$B$106,0)),"合算")</f>
        <v>合算</v>
      </c>
      <c r="AB555" s="28"/>
      <c r="AC555" s="29" t="str">
        <f aca="false">IF(OR(G555="",G555="なし"),"",IF(AA555="合算",CJ555+N(Z555),IF(AA555="掛金・負担金別",(AY555+AZ555+BD555+BF555+BH555),SUM(AY555:BC555))))</f>
        <v/>
      </c>
      <c r="AD555" s="27"/>
      <c r="AE555" s="29" t="str">
        <f aca="false">IF(OR(G555="",G555="なし"),"",IF(AA555="掛金・負担金別",(BA555+BB555+BC555+BE555+BG555+BI555+N(Z555)),IF(AA555="経理区分別",BD555+BE555,"")))</f>
        <v/>
      </c>
      <c r="AF555" s="27"/>
      <c r="AG555" s="29" t="str">
        <f aca="false">IF(OR(G555="",G555="なし"),"",IF(AA555="経理区分別",BF555+BG555,""))</f>
        <v/>
      </c>
      <c r="AH555" s="27"/>
      <c r="AI555" s="29" t="str">
        <f aca="false">IF(OR(G555="",G555="なし"),"",IF(AA555="経理区分別",BH555+BI555+N(Z555),""))</f>
        <v/>
      </c>
      <c r="AJ555" s="27"/>
      <c r="AK555" s="26"/>
      <c r="AL555" s="26"/>
      <c r="AM555" s="30"/>
      <c r="AN555" s="31"/>
      <c r="AO555" s="31"/>
      <c r="AP555" s="31"/>
      <c r="AQ555" s="31"/>
      <c r="AR555" s="31"/>
      <c r="AS555" s="31"/>
      <c r="AT555" s="31"/>
      <c r="AU555" s="31"/>
      <c r="AV555" s="31"/>
      <c r="AW555" s="31"/>
      <c r="AX555" s="31"/>
      <c r="AY555" s="31" t="n">
        <f aca="false">IF($G555="",AN555,O555)</f>
        <v>0</v>
      </c>
      <c r="AZ555" s="31" t="n">
        <f aca="false">IF($G555="",AO555,P555)</f>
        <v>0</v>
      </c>
      <c r="BA555" s="31" t="n">
        <f aca="false">IF($G555="",AP555,T555)</f>
        <v>0</v>
      </c>
      <c r="BB555" s="31" t="n">
        <f aca="false">IF($G555="",AQ555,U555)</f>
        <v>0</v>
      </c>
      <c r="BC555" s="31" t="n">
        <f aca="false">IF($G555="",AR555,V555)</f>
        <v>0</v>
      </c>
      <c r="BD555" s="31" t="n">
        <f aca="false">IF($G555="",AS555,Q555)</f>
        <v>0</v>
      </c>
      <c r="BE555" s="31" t="n">
        <f aca="false">IF($G555="",AT555,W555)</f>
        <v>0</v>
      </c>
      <c r="BF555" s="31" t="n">
        <f aca="false">IF($G555="",AU555,R555)</f>
        <v>0</v>
      </c>
      <c r="BG555" s="31" t="n">
        <f aca="false">IF($G555="",AV555,X555)</f>
        <v>0</v>
      </c>
      <c r="BH555" s="31" t="n">
        <f aca="false">IF($G555="",AW555,S555)</f>
        <v>0</v>
      </c>
      <c r="BI555" s="31" t="n">
        <f aca="false">IF($G555="",AX555,Y555)</f>
        <v>0</v>
      </c>
      <c r="BJ555" s="31" t="n">
        <f aca="false">IF(CK555="N",BR555,ROUNDDOWN((I555-L555)*設定!$B$10/1000,0)+ROUNDDOWN((I555-L555)*設定!$B$11/1000,0))</f>
        <v>0</v>
      </c>
      <c r="BK555" s="31" t="n">
        <f aca="false">ROUNDDOWN((I555-L555)*設定!$C$10/1000,0)+ROUNDDOWN((I555-L555)*設定!$C$11/1000,0)+ROUNDDOWN(I555*設定!$C$12/1000,0)+IF(CL555="市局型",ROUNDDOWN(I555*設定!$C$16/1000,0),0)</f>
        <v>0</v>
      </c>
      <c r="BL555" s="31" t="n">
        <f aca="false">IF(CK555="N",BT555,ROUNDDOWN((J555-M555)*設定!$B$13/1000,0))</f>
        <v>0</v>
      </c>
      <c r="BM555" s="31" t="n">
        <f aca="false">ROUNDDOWN((J555-M555)*設定!$C$13/1000,0)+IF(CL555="市局型",ROUNDDOWN(J555*設定!$C$17/1000,0),0)</f>
        <v>0</v>
      </c>
      <c r="BN555" s="31" t="n">
        <f aca="false">IF(CK555="N",BV555,ROUNDDOWN((K555-N555)*設定!$B$14/1000,0))</f>
        <v>0</v>
      </c>
      <c r="BO555" s="31" t="n">
        <f aca="false">ROUNDDOWN((K555-N555)*設定!$C$14/1000,0)</f>
        <v>0</v>
      </c>
      <c r="BP555" s="31" t="n">
        <f aca="false">IF(CK555="N",BX555,ROUNDDOWN((J555-M555)*設定!$B$15/1000,0))</f>
        <v>0</v>
      </c>
      <c r="BQ555" s="31" t="n">
        <f aca="false">ROUNDDOWN((J555-M555)*設定!$C$15/1000,0)</f>
        <v>0</v>
      </c>
      <c r="BR555" s="31" t="n">
        <f aca="false">O555+P555</f>
        <v>0</v>
      </c>
      <c r="BS555" s="31" t="n">
        <f aca="false">T555+U555+V555</f>
        <v>0</v>
      </c>
      <c r="BT555" s="31" t="n">
        <f aca="false">Q555</f>
        <v>0</v>
      </c>
      <c r="BU555" s="31" t="n">
        <f aca="false">W555</f>
        <v>0</v>
      </c>
      <c r="BV555" s="31" t="n">
        <f aca="false">R555</f>
        <v>0</v>
      </c>
      <c r="BW555" s="31" t="n">
        <f aca="false">X555</f>
        <v>0</v>
      </c>
      <c r="BX555" s="31" t="n">
        <f aca="false">S555</f>
        <v>0</v>
      </c>
      <c r="BY555" s="31" t="n">
        <f aca="false">Y555</f>
        <v>0</v>
      </c>
      <c r="BZ555" s="32" t="n">
        <f aca="false">IF(BJ555=0,IF(BR555=0,0,1),(BR555-BJ555)/BJ555)</f>
        <v>0</v>
      </c>
      <c r="CA555" s="32" t="n">
        <f aca="false">IF(BK555=0,IF(BS555=0,0,1),(BS555-BK555)/BK555)</f>
        <v>0</v>
      </c>
      <c r="CB555" s="32" t="n">
        <f aca="false">IF(BL555=0,IF(BT555=0,0,1),(BT555-BL555)/BL555)</f>
        <v>0</v>
      </c>
      <c r="CC555" s="32" t="n">
        <f aca="false">IF(BM555=0,IF(BU555=0,0,1),(BU555-BM555)/BM555)</f>
        <v>0</v>
      </c>
      <c r="CD555" s="32" t="n">
        <f aca="false">IF(BN555=0,IF(BV555=0,0,1),(BV555-BN555)/BN555)</f>
        <v>0</v>
      </c>
      <c r="CE555" s="32" t="n">
        <f aca="false">IF(BO555=0,IF(BW555=0,0,1),(BW555-BO555)/BO555)</f>
        <v>0</v>
      </c>
      <c r="CF555" s="32" t="n">
        <f aca="false">IF(BP555=0,IF(BX555=0,0,1),(BX555-BP555)/BP555)</f>
        <v>0</v>
      </c>
      <c r="CG555" s="32" t="n">
        <f aca="false">IF(BQ555=0,IF(BY555=0,0,1),(BY555-BQ555)/BQ555)</f>
        <v>0</v>
      </c>
      <c r="CH555" s="32" t="n">
        <f aca="false">MAX(MAX(BZ555:CG555),-MIN(BZ555:CG555))</f>
        <v>-0</v>
      </c>
      <c r="CI555" s="31" t="n">
        <f aca="false">IF(CO555="","",SUMIFS($CJ$7:$CJ$696,$A$7:$A$696,CO555,$B$7:$B$696,B555))</f>
        <v>0</v>
      </c>
      <c r="CJ555" s="31" t="n">
        <f aca="false">SUM(AY555:BI555)</f>
        <v>0</v>
      </c>
      <c r="CK555" s="31" t="str">
        <f aca="false">IFERROR(INDEX(設定!$F$61:$F$106,MATCH(B555,設定!$B$61:$B$106,0)),"Y")</f>
        <v>N</v>
      </c>
      <c r="CL555" s="31" t="str">
        <f aca="false">IFERROR(INDEX(設定!$G$61:$G$106,MATCH(B555,設定!$B$61:$B$106,0)),"外郭型")</f>
        <v>外郭型</v>
      </c>
      <c r="CM555" s="33" t="str">
        <f aca="false">A555&amp;"|"&amp;B555</f>
        <v>2027-01 月例|自治労労働組合</v>
      </c>
      <c r="CN555" s="34" t="str">
        <f aca="false">IFERROR(INDEX(設定!$D$61:$D$106,MATCH(B555,設定!$B$61:$B$106,0)),"Y")</f>
        <v>Y</v>
      </c>
      <c r="CO555" s="34" t="str">
        <f aca="false">IFERROR(INDEX(設定!$D$20:$D$34,MATCH(A555,設定!$A$20:$A$34,0))&amp;"","")</f>
        <v>2026-12 月例</v>
      </c>
    </row>
    <row r="556" customFormat="false" ht="15" hidden="true" customHeight="false" outlineLevel="0" collapsed="false">
      <c r="A556" s="22" t="s">
        <v>227</v>
      </c>
      <c r="B556" s="23" t="s">
        <v>212</v>
      </c>
      <c r="C556" s="10" t="str">
        <f aca="false">IF(G556="","未受領",IF(G556="なし","報告なし",IF(AL556="○","起票済",IF(OR(AK556="○",F556="一致",F556="入金不要"),"入金確認済","受領済"))))</f>
        <v>未受領</v>
      </c>
      <c r="D556" s="10" t="str">
        <f aca="false">IF(OR(G556="",G556="なし"),"―",IF(CN556="N","対象外",IF(AND(I556="",J556="",K556=""),"標報未入力",IF(CH556&gt;=設定!$B$4,"要確認","問題なし"))))</f>
        <v>―</v>
      </c>
      <c r="E556" s="24" t="str">
        <f aca="false">IF(OR(G556="",G556="なし",CI556="",CJ556=0),"―",IF(CJ556=CI556,"前月同額",IF(CI556=0,"―",IF(ABS(CJ556/CI556-1)&gt;=設定!$B$5,"変動大 "&amp;TEXT(CJ556/CI556-1,"+0%;-0%"),"〇"))))</f>
        <v>―</v>
      </c>
      <c r="F556" s="10" t="str">
        <f aca="false">IF(OR(G556="",G556="なし"),"―",IF(CJ556=0,"入金不要",IF(COUNT(AD556,AF556,AH556,AJ556)=0,IF(AK556="○","手動確認","未入金"),IF(AND(N(AD556)=AC556,IF(AE556="",TRUE(),N(AF556)=AE556),IF(AG556="",TRUE(),N(AH556)=AG556),IF(AI556="",TRUE(),N(AJ556)=AI556)),"一致","不一致"))))</f>
        <v>―</v>
      </c>
      <c r="G556" s="25"/>
      <c r="H556" s="26"/>
      <c r="I556" s="27"/>
      <c r="J556" s="27"/>
      <c r="K556" s="27"/>
      <c r="L556" s="27"/>
      <c r="M556" s="27"/>
      <c r="N556" s="27"/>
      <c r="O556" s="27"/>
      <c r="P556" s="27"/>
      <c r="Q556" s="27"/>
      <c r="R556" s="27"/>
      <c r="S556" s="27"/>
      <c r="T556" s="27"/>
      <c r="U556" s="27"/>
      <c r="V556" s="27"/>
      <c r="W556" s="27"/>
      <c r="X556" s="27"/>
      <c r="Y556" s="27"/>
      <c r="Z556" s="27"/>
      <c r="AA556" s="10" t="str">
        <f aca="false">IFERROR(INDEX(設定!$E$61:$E$106,MATCH(B556,設定!$B$61:$B$106,0)),"合算")</f>
        <v>合算</v>
      </c>
      <c r="AB556" s="28"/>
      <c r="AC556" s="29" t="str">
        <f aca="false">IF(OR(G556="",G556="なし"),"",IF(AA556="合算",CJ556+N(Z556),IF(AA556="掛金・負担金別",(AY556+AZ556+BD556+BF556+BH556),SUM(AY556:BC556))))</f>
        <v/>
      </c>
      <c r="AD556" s="27"/>
      <c r="AE556" s="29" t="str">
        <f aca="false">IF(OR(G556="",G556="なし"),"",IF(AA556="掛金・負担金別",(BA556+BB556+BC556+BE556+BG556+BI556+N(Z556)),IF(AA556="経理区分別",BD556+BE556,"")))</f>
        <v/>
      </c>
      <c r="AF556" s="27"/>
      <c r="AG556" s="29" t="str">
        <f aca="false">IF(OR(G556="",G556="なし"),"",IF(AA556="経理区分別",BF556+BG556,""))</f>
        <v/>
      </c>
      <c r="AH556" s="27"/>
      <c r="AI556" s="29" t="str">
        <f aca="false">IF(OR(G556="",G556="なし"),"",IF(AA556="経理区分別",BH556+BI556+N(Z556),""))</f>
        <v/>
      </c>
      <c r="AJ556" s="27"/>
      <c r="AK556" s="26"/>
      <c r="AL556" s="26"/>
      <c r="AM556" s="30"/>
      <c r="AN556" s="31" t="n">
        <v>27450</v>
      </c>
      <c r="AO556" s="31" t="n">
        <v>2250</v>
      </c>
      <c r="AP556" s="31" t="n">
        <v>27450</v>
      </c>
      <c r="AQ556" s="31" t="n">
        <v>2250</v>
      </c>
      <c r="AR556" s="31"/>
      <c r="AS556" s="31" t="n">
        <v>33006</v>
      </c>
      <c r="AT556" s="31" t="n">
        <v>33066</v>
      </c>
      <c r="AU556" s="31" t="n">
        <v>2370</v>
      </c>
      <c r="AV556" s="31" t="n">
        <v>2370</v>
      </c>
      <c r="AW556" s="31" t="n">
        <v>1</v>
      </c>
      <c r="AX556" s="31" t="n">
        <v>1</v>
      </c>
      <c r="AY556" s="31" t="n">
        <f aca="false">IF($G556="",AN556,O556)</f>
        <v>27450</v>
      </c>
      <c r="AZ556" s="31" t="n">
        <f aca="false">IF($G556="",AO556,P556)</f>
        <v>2250</v>
      </c>
      <c r="BA556" s="31" t="n">
        <f aca="false">IF($G556="",AP556,T556)</f>
        <v>27450</v>
      </c>
      <c r="BB556" s="31" t="n">
        <f aca="false">IF($G556="",AQ556,U556)</f>
        <v>2250</v>
      </c>
      <c r="BC556" s="31" t="n">
        <f aca="false">IF($G556="",AR556,V556)</f>
        <v>0</v>
      </c>
      <c r="BD556" s="31" t="n">
        <f aca="false">IF($G556="",AS556,Q556)</f>
        <v>33006</v>
      </c>
      <c r="BE556" s="31" t="n">
        <f aca="false">IF($G556="",AT556,W556)</f>
        <v>33066</v>
      </c>
      <c r="BF556" s="31" t="n">
        <f aca="false">IF($G556="",AU556,R556)</f>
        <v>2370</v>
      </c>
      <c r="BG556" s="31" t="n">
        <f aca="false">IF($G556="",AV556,X556)</f>
        <v>2370</v>
      </c>
      <c r="BH556" s="31" t="n">
        <f aca="false">IF($G556="",AW556,S556)</f>
        <v>1</v>
      </c>
      <c r="BI556" s="31" t="n">
        <f aca="false">IF($G556="",AX556,Y556)</f>
        <v>1</v>
      </c>
      <c r="BJ556" s="31" t="n">
        <f aca="false">IF(CK556="N",BR556,ROUNDDOWN((I556-L556)*設定!$B$10/1000,0)+ROUNDDOWN((I556-L556)*設定!$B$11/1000,0))</f>
        <v>0</v>
      </c>
      <c r="BK556" s="31" t="n">
        <f aca="false">ROUNDDOWN((I556-L556)*設定!$C$10/1000,0)+ROUNDDOWN((I556-L556)*設定!$C$11/1000,0)+ROUNDDOWN(I556*設定!$C$12/1000,0)+IF(CL556="市局型",ROUNDDOWN(I556*設定!$C$16/1000,0),0)</f>
        <v>0</v>
      </c>
      <c r="BL556" s="31" t="n">
        <f aca="false">IF(CK556="N",BT556,ROUNDDOWN((J556-M556)*設定!$B$13/1000,0))</f>
        <v>0</v>
      </c>
      <c r="BM556" s="31" t="n">
        <f aca="false">ROUNDDOWN((J556-M556)*設定!$C$13/1000,0)+IF(CL556="市局型",ROUNDDOWN(J556*設定!$C$17/1000,0),0)</f>
        <v>0</v>
      </c>
      <c r="BN556" s="31" t="n">
        <f aca="false">IF(CK556="N",BV556,ROUNDDOWN((K556-N556)*設定!$B$14/1000,0))</f>
        <v>0</v>
      </c>
      <c r="BO556" s="31" t="n">
        <f aca="false">ROUNDDOWN((K556-N556)*設定!$C$14/1000,0)</f>
        <v>0</v>
      </c>
      <c r="BP556" s="31" t="n">
        <f aca="false">IF(CK556="N",BX556,ROUNDDOWN((J556-M556)*設定!$B$15/1000,0))</f>
        <v>0</v>
      </c>
      <c r="BQ556" s="31" t="n">
        <f aca="false">ROUNDDOWN((J556-M556)*設定!$C$15/1000,0)</f>
        <v>0</v>
      </c>
      <c r="BR556" s="31" t="n">
        <f aca="false">O556+P556</f>
        <v>0</v>
      </c>
      <c r="BS556" s="31" t="n">
        <f aca="false">T556+U556+V556</f>
        <v>0</v>
      </c>
      <c r="BT556" s="31" t="n">
        <f aca="false">Q556</f>
        <v>0</v>
      </c>
      <c r="BU556" s="31" t="n">
        <f aca="false">W556</f>
        <v>0</v>
      </c>
      <c r="BV556" s="31" t="n">
        <f aca="false">R556</f>
        <v>0</v>
      </c>
      <c r="BW556" s="31" t="n">
        <f aca="false">X556</f>
        <v>0</v>
      </c>
      <c r="BX556" s="31" t="n">
        <f aca="false">S556</f>
        <v>0</v>
      </c>
      <c r="BY556" s="31" t="n">
        <f aca="false">Y556</f>
        <v>0</v>
      </c>
      <c r="BZ556" s="32" t="n">
        <f aca="false">IF(BJ556=0,IF(BR556=0,0,1),(BR556-BJ556)/BJ556)</f>
        <v>0</v>
      </c>
      <c r="CA556" s="32" t="n">
        <f aca="false">IF(BK556=0,IF(BS556=0,0,1),(BS556-BK556)/BK556)</f>
        <v>0</v>
      </c>
      <c r="CB556" s="32" t="n">
        <f aca="false">IF(BL556=0,IF(BT556=0,0,1),(BT556-BL556)/BL556)</f>
        <v>0</v>
      </c>
      <c r="CC556" s="32" t="n">
        <f aca="false">IF(BM556=0,IF(BU556=0,0,1),(BU556-BM556)/BM556)</f>
        <v>0</v>
      </c>
      <c r="CD556" s="32" t="n">
        <f aca="false">IF(BN556=0,IF(BV556=0,0,1),(BV556-BN556)/BN556)</f>
        <v>0</v>
      </c>
      <c r="CE556" s="32" t="n">
        <f aca="false">IF(BO556=0,IF(BW556=0,0,1),(BW556-BO556)/BO556)</f>
        <v>0</v>
      </c>
      <c r="CF556" s="32" t="n">
        <f aca="false">IF(BP556=0,IF(BX556=0,0,1),(BX556-BP556)/BP556)</f>
        <v>0</v>
      </c>
      <c r="CG556" s="32" t="n">
        <f aca="false">IF(BQ556=0,IF(BY556=0,0,1),(BY556-BQ556)/BQ556)</f>
        <v>0</v>
      </c>
      <c r="CH556" s="32" t="n">
        <f aca="false">MAX(MAX(BZ556:CG556),-MIN(BZ556:CG556))</f>
        <v>-0</v>
      </c>
      <c r="CI556" s="31" t="n">
        <f aca="false">IF(CO556="","",SUMIFS($CJ$7:$CJ$696,$A$7:$A$696,CO556,$B$7:$B$696,B556))</f>
        <v>117888</v>
      </c>
      <c r="CJ556" s="31" t="n">
        <f aca="false">SUM(AY556:BI556)</f>
        <v>130214</v>
      </c>
      <c r="CK556" s="31" t="str">
        <f aca="false">IFERROR(INDEX(設定!$F$61:$F$106,MATCH(B556,設定!$B$61:$B$106,0)),"Y")</f>
        <v>Y</v>
      </c>
      <c r="CL556" s="31" t="str">
        <f aca="false">IFERROR(INDEX(設定!$G$61:$G$106,MATCH(B556,設定!$B$61:$B$106,0)),"外郭型")</f>
        <v>外郭型</v>
      </c>
      <c r="CM556" s="33" t="str">
        <f aca="false">A556&amp;"|"&amp;B556</f>
        <v>2027-01 月例|病院労働組合</v>
      </c>
      <c r="CN556" s="34" t="str">
        <f aca="false">IFERROR(INDEX(設定!$D$61:$D$106,MATCH(B556,設定!$B$61:$B$106,0)),"Y")</f>
        <v>Y</v>
      </c>
      <c r="CO556" s="34" t="str">
        <f aca="false">IFERROR(INDEX(設定!$D$20:$D$34,MATCH(A556,設定!$A$20:$A$34,0))&amp;"","")</f>
        <v>2026-12 月例</v>
      </c>
    </row>
    <row r="557" customFormat="false" ht="15" hidden="true" customHeight="false" outlineLevel="0" collapsed="false">
      <c r="A557" s="22" t="s">
        <v>227</v>
      </c>
      <c r="B557" s="23" t="s">
        <v>213</v>
      </c>
      <c r="C557" s="10" t="str">
        <f aca="false">IF(G557="","未受領",IF(G557="なし","報告なし",IF(AL557="○","起票済",IF(OR(AK557="○",F557="一致",F557="入金不要"),"入金確認済","受領済"))))</f>
        <v>報告なし</v>
      </c>
      <c r="D557" s="10" t="str">
        <f aca="false">IF(OR(G557="",G557="なし"),"―",IF(CN557="N","対象外",IF(AND(I557="",J557="",K557=""),"標報未入力",IF(CH557&gt;=設定!$B$4,"要確認","問題なし"))))</f>
        <v>―</v>
      </c>
      <c r="E557" s="24" t="str">
        <f aca="false">IF(OR(G557="",G557="なし",CI557="",CJ557=0),"―",IF(CJ557=CI557,"前月同額",IF(CI557=0,"―",IF(ABS(CJ557/CI557-1)&gt;=設定!$B$5,"変動大 "&amp;TEXT(CJ557/CI557-1,"+0%;-0%"),"〇"))))</f>
        <v>―</v>
      </c>
      <c r="F557" s="10" t="str">
        <f aca="false">IF(OR(G557="",G557="なし"),"―",IF(CJ557=0,"入金不要",IF(COUNT(AD557,AF557,AH557,AJ557)=0,IF(AK557="○","手動確認","未入金"),IF(AND(N(AD557)=AC557,IF(AE557="",TRUE(),N(AF557)=AE557),IF(AG557="",TRUE(),N(AH557)=AG557),IF(AI557="",TRUE(),N(AJ557)=AI557)),"一致","不一致"))))</f>
        <v>―</v>
      </c>
      <c r="G557" s="25" t="s">
        <v>181</v>
      </c>
      <c r="H557" s="26"/>
      <c r="I557" s="27"/>
      <c r="J557" s="27"/>
      <c r="K557" s="27"/>
      <c r="L557" s="27"/>
      <c r="M557" s="27"/>
      <c r="N557" s="27"/>
      <c r="O557" s="27"/>
      <c r="P557" s="27"/>
      <c r="Q557" s="27"/>
      <c r="R557" s="27"/>
      <c r="S557" s="27"/>
      <c r="T557" s="27"/>
      <c r="U557" s="27"/>
      <c r="V557" s="27"/>
      <c r="W557" s="27"/>
      <c r="X557" s="27"/>
      <c r="Y557" s="27"/>
      <c r="Z557" s="27"/>
      <c r="AA557" s="10" t="str">
        <f aca="false">IFERROR(INDEX(設定!$E$61:$E$106,MATCH(B557,設定!$B$61:$B$106,0)),"合算")</f>
        <v>合算</v>
      </c>
      <c r="AB557" s="28"/>
      <c r="AC557" s="29" t="str">
        <f aca="false">IF(OR(G557="",G557="なし"),"",IF(AA557="合算",CJ557+N(Z557),IF(AA557="掛金・負担金別",(AY557+AZ557+BD557+BF557+BH557),SUM(AY557:BC557))))</f>
        <v/>
      </c>
      <c r="AD557" s="27"/>
      <c r="AE557" s="29" t="str">
        <f aca="false">IF(OR(G557="",G557="なし"),"",IF(AA557="掛金・負担金別",(BA557+BB557+BC557+BE557+BG557+BI557+N(Z557)),IF(AA557="経理区分別",BD557+BE557,"")))</f>
        <v/>
      </c>
      <c r="AF557" s="27"/>
      <c r="AG557" s="29" t="str">
        <f aca="false">IF(OR(G557="",G557="なし"),"",IF(AA557="経理区分別",BF557+BG557,""))</f>
        <v/>
      </c>
      <c r="AH557" s="27"/>
      <c r="AI557" s="29" t="str">
        <f aca="false">IF(OR(G557="",G557="なし"),"",IF(AA557="経理区分別",BH557+BI557+N(Z557),""))</f>
        <v/>
      </c>
      <c r="AJ557" s="27"/>
      <c r="AK557" s="26"/>
      <c r="AL557" s="26"/>
      <c r="AM557" s="30"/>
      <c r="AN557" s="31"/>
      <c r="AO557" s="31"/>
      <c r="AP557" s="31"/>
      <c r="AQ557" s="31"/>
      <c r="AR557" s="31"/>
      <c r="AS557" s="31"/>
      <c r="AT557" s="31"/>
      <c r="AU557" s="31"/>
      <c r="AV557" s="31"/>
      <c r="AW557" s="31"/>
      <c r="AX557" s="31"/>
      <c r="AY557" s="31" t="n">
        <f aca="false">IF($G557="",AN557,O557)</f>
        <v>0</v>
      </c>
      <c r="AZ557" s="31" t="n">
        <f aca="false">IF($G557="",AO557,P557)</f>
        <v>0</v>
      </c>
      <c r="BA557" s="31" t="n">
        <f aca="false">IF($G557="",AP557,T557)</f>
        <v>0</v>
      </c>
      <c r="BB557" s="31" t="n">
        <f aca="false">IF($G557="",AQ557,U557)</f>
        <v>0</v>
      </c>
      <c r="BC557" s="31" t="n">
        <f aca="false">IF($G557="",AR557,V557)</f>
        <v>0</v>
      </c>
      <c r="BD557" s="31" t="n">
        <f aca="false">IF($G557="",AS557,Q557)</f>
        <v>0</v>
      </c>
      <c r="BE557" s="31" t="n">
        <f aca="false">IF($G557="",AT557,W557)</f>
        <v>0</v>
      </c>
      <c r="BF557" s="31" t="n">
        <f aca="false">IF($G557="",AU557,R557)</f>
        <v>0</v>
      </c>
      <c r="BG557" s="31" t="n">
        <f aca="false">IF($G557="",AV557,X557)</f>
        <v>0</v>
      </c>
      <c r="BH557" s="31" t="n">
        <f aca="false">IF($G557="",AW557,S557)</f>
        <v>0</v>
      </c>
      <c r="BI557" s="31" t="n">
        <f aca="false">IF($G557="",AX557,Y557)</f>
        <v>0</v>
      </c>
      <c r="BJ557" s="31" t="n">
        <f aca="false">IF(CK557="N",BR557,ROUNDDOWN((I557-L557)*設定!$B$10/1000,0)+ROUNDDOWN((I557-L557)*設定!$B$11/1000,0))</f>
        <v>0</v>
      </c>
      <c r="BK557" s="31" t="n">
        <f aca="false">ROUNDDOWN((I557-L557)*設定!$C$10/1000,0)+ROUNDDOWN((I557-L557)*設定!$C$11/1000,0)+ROUNDDOWN(I557*設定!$C$12/1000,0)+IF(CL557="市局型",ROUNDDOWN(I557*設定!$C$16/1000,0),0)</f>
        <v>0</v>
      </c>
      <c r="BL557" s="31" t="n">
        <f aca="false">IF(CK557="N",BT557,ROUNDDOWN((J557-M557)*設定!$B$13/1000,0))</f>
        <v>0</v>
      </c>
      <c r="BM557" s="31" t="n">
        <f aca="false">ROUNDDOWN((J557-M557)*設定!$C$13/1000,0)+IF(CL557="市局型",ROUNDDOWN(J557*設定!$C$17/1000,0),0)</f>
        <v>0</v>
      </c>
      <c r="BN557" s="31" t="n">
        <f aca="false">IF(CK557="N",BV557,ROUNDDOWN((K557-N557)*設定!$B$14/1000,0))</f>
        <v>0</v>
      </c>
      <c r="BO557" s="31" t="n">
        <f aca="false">ROUNDDOWN((K557-N557)*設定!$C$14/1000,0)</f>
        <v>0</v>
      </c>
      <c r="BP557" s="31" t="n">
        <f aca="false">IF(CK557="N",BX557,ROUNDDOWN((J557-M557)*設定!$B$15/1000,0))</f>
        <v>0</v>
      </c>
      <c r="BQ557" s="31" t="n">
        <f aca="false">ROUNDDOWN((J557-M557)*設定!$C$15/1000,0)</f>
        <v>0</v>
      </c>
      <c r="BR557" s="31" t="n">
        <f aca="false">O557+P557</f>
        <v>0</v>
      </c>
      <c r="BS557" s="31" t="n">
        <f aca="false">T557+U557+V557</f>
        <v>0</v>
      </c>
      <c r="BT557" s="31" t="n">
        <f aca="false">Q557</f>
        <v>0</v>
      </c>
      <c r="BU557" s="31" t="n">
        <f aca="false">W557</f>
        <v>0</v>
      </c>
      <c r="BV557" s="31" t="n">
        <f aca="false">R557</f>
        <v>0</v>
      </c>
      <c r="BW557" s="31" t="n">
        <f aca="false">X557</f>
        <v>0</v>
      </c>
      <c r="BX557" s="31" t="n">
        <f aca="false">S557</f>
        <v>0</v>
      </c>
      <c r="BY557" s="31" t="n">
        <f aca="false">Y557</f>
        <v>0</v>
      </c>
      <c r="BZ557" s="32" t="n">
        <f aca="false">IF(BJ557=0,IF(BR557=0,0,1),(BR557-BJ557)/BJ557)</f>
        <v>0</v>
      </c>
      <c r="CA557" s="32" t="n">
        <f aca="false">IF(BK557=0,IF(BS557=0,0,1),(BS557-BK557)/BK557)</f>
        <v>0</v>
      </c>
      <c r="CB557" s="32" t="n">
        <f aca="false">IF(BL557=0,IF(BT557=0,0,1),(BT557-BL557)/BL557)</f>
        <v>0</v>
      </c>
      <c r="CC557" s="32" t="n">
        <f aca="false">IF(BM557=0,IF(BU557=0,0,1),(BU557-BM557)/BM557)</f>
        <v>0</v>
      </c>
      <c r="CD557" s="32" t="n">
        <f aca="false">IF(BN557=0,IF(BV557=0,0,1),(BV557-BN557)/BN557)</f>
        <v>0</v>
      </c>
      <c r="CE557" s="32" t="n">
        <f aca="false">IF(BO557=0,IF(BW557=0,0,1),(BW557-BO557)/BO557)</f>
        <v>0</v>
      </c>
      <c r="CF557" s="32" t="n">
        <f aca="false">IF(BP557=0,IF(BX557=0,0,1),(BX557-BP557)/BP557)</f>
        <v>0</v>
      </c>
      <c r="CG557" s="32" t="n">
        <f aca="false">IF(BQ557=0,IF(BY557=0,0,1),(BY557-BQ557)/BQ557)</f>
        <v>0</v>
      </c>
      <c r="CH557" s="32" t="n">
        <f aca="false">MAX(MAX(BZ557:CG557),-MIN(BZ557:CG557))</f>
        <v>-0</v>
      </c>
      <c r="CI557" s="31" t="n">
        <f aca="false">IF(CO557="","",SUMIFS($CJ$7:$CJ$696,$A$7:$A$696,CO557,$B$7:$B$696,B557))</f>
        <v>0</v>
      </c>
      <c r="CJ557" s="31" t="n">
        <f aca="false">SUM(AY557:BI557)</f>
        <v>0</v>
      </c>
      <c r="CK557" s="31" t="str">
        <f aca="false">IFERROR(INDEX(設定!$F$61:$F$106,MATCH(B557,設定!$B$61:$B$106,0)),"Y")</f>
        <v>N</v>
      </c>
      <c r="CL557" s="31" t="str">
        <f aca="false">IFERROR(INDEX(設定!$G$61:$G$106,MATCH(B557,設定!$B$61:$B$106,0)),"外郭型")</f>
        <v>外郭型</v>
      </c>
      <c r="CM557" s="33" t="str">
        <f aca="false">A557&amp;"|"&amp;B557</f>
        <v>2027-01 月例|水道労働組合</v>
      </c>
      <c r="CN557" s="34" t="str">
        <f aca="false">IFERROR(INDEX(設定!$D$61:$D$106,MATCH(B557,設定!$B$61:$B$106,0)),"Y")</f>
        <v>Y</v>
      </c>
      <c r="CO557" s="34" t="str">
        <f aca="false">IFERROR(INDEX(設定!$D$20:$D$34,MATCH(A557,設定!$A$20:$A$34,0))&amp;"","")</f>
        <v>2026-12 月例</v>
      </c>
    </row>
    <row r="558" customFormat="false" ht="15" hidden="true" customHeight="false" outlineLevel="0" collapsed="false">
      <c r="A558" s="22" t="s">
        <v>227</v>
      </c>
      <c r="B558" s="23" t="s">
        <v>214</v>
      </c>
      <c r="C558" s="10" t="str">
        <f aca="false">IF(G558="","未受領",IF(G558="なし","報告なし",IF(AL558="○","起票済",IF(OR(AK558="○",F558="一致",F558="入金不要"),"入金確認済","受領済"))))</f>
        <v>未受領</v>
      </c>
      <c r="D558" s="10" t="str">
        <f aca="false">IF(OR(G558="",G558="なし"),"―",IF(CN558="N","対象外",IF(AND(I558="",J558="",K558=""),"標報未入力",IF(CH558&gt;=設定!$B$4,"要確認","問題なし"))))</f>
        <v>―</v>
      </c>
      <c r="E558" s="24" t="str">
        <f aca="false">IF(OR(G558="",G558="なし",CI558="",CJ558=0),"―",IF(CJ558=CI558,"前月同額",IF(CI558=0,"―",IF(ABS(CJ558/CI558-1)&gt;=設定!$B$5,"変動大 "&amp;TEXT(CJ558/CI558-1,"+0%;-0%"),"〇"))))</f>
        <v>―</v>
      </c>
      <c r="F558" s="10" t="str">
        <f aca="false">IF(OR(G558="",G558="なし"),"―",IF(CJ558=0,"入金不要",IF(COUNT(AD558,AF558,AH558,AJ558)=0,IF(AK558="○","手動確認","未入金"),IF(AND(N(AD558)=AC558,IF(AE558="",TRUE(),N(AF558)=AE558),IF(AG558="",TRUE(),N(AH558)=AG558),IF(AI558="",TRUE(),N(AJ558)=AI558)),"一致","不一致"))))</f>
        <v>―</v>
      </c>
      <c r="G558" s="25"/>
      <c r="H558" s="26"/>
      <c r="I558" s="27"/>
      <c r="J558" s="27"/>
      <c r="K558" s="27"/>
      <c r="L558" s="27"/>
      <c r="M558" s="27"/>
      <c r="N558" s="27"/>
      <c r="O558" s="27"/>
      <c r="P558" s="27"/>
      <c r="Q558" s="27"/>
      <c r="R558" s="27"/>
      <c r="S558" s="27"/>
      <c r="T558" s="27"/>
      <c r="U558" s="27"/>
      <c r="V558" s="27"/>
      <c r="W558" s="27"/>
      <c r="X558" s="27"/>
      <c r="Y558" s="27"/>
      <c r="Z558" s="27"/>
      <c r="AA558" s="10" t="str">
        <f aca="false">IFERROR(INDEX(設定!$E$61:$E$106,MATCH(B558,設定!$B$61:$B$106,0)),"合算")</f>
        <v>合算</v>
      </c>
      <c r="AB558" s="28"/>
      <c r="AC558" s="29" t="str">
        <f aca="false">IF(OR(G558="",G558="なし"),"",IF(AA558="合算",CJ558+N(Z558),IF(AA558="掛金・負担金別",(AY558+AZ558+BD558+BF558+BH558),SUM(AY558:BC558))))</f>
        <v/>
      </c>
      <c r="AD558" s="27"/>
      <c r="AE558" s="29" t="str">
        <f aca="false">IF(OR(G558="",G558="なし"),"",IF(AA558="掛金・負担金別",(BA558+BB558+BC558+BE558+BG558+BI558+N(Z558)),IF(AA558="経理区分別",BD558+BE558,"")))</f>
        <v/>
      </c>
      <c r="AF558" s="27"/>
      <c r="AG558" s="29" t="str">
        <f aca="false">IF(OR(G558="",G558="なし"),"",IF(AA558="経理区分別",BF558+BG558,""))</f>
        <v/>
      </c>
      <c r="AH558" s="27"/>
      <c r="AI558" s="29" t="str">
        <f aca="false">IF(OR(G558="",G558="なし"),"",IF(AA558="経理区分別",BH558+BI558+N(Z558),""))</f>
        <v/>
      </c>
      <c r="AJ558" s="27"/>
      <c r="AK558" s="26"/>
      <c r="AL558" s="26"/>
      <c r="AM558" s="30"/>
      <c r="AN558" s="31"/>
      <c r="AO558" s="31"/>
      <c r="AP558" s="31"/>
      <c r="AQ558" s="31"/>
      <c r="AR558" s="31"/>
      <c r="AS558" s="31" t="n">
        <v>1487293</v>
      </c>
      <c r="AT558" s="31"/>
      <c r="AU558" s="31" t="n">
        <v>75931</v>
      </c>
      <c r="AV558" s="31"/>
      <c r="AW558" s="31" t="n">
        <v>1</v>
      </c>
      <c r="AX558" s="31"/>
      <c r="AY558" s="31" t="n">
        <f aca="false">IF($G558="",AN558,O558)</f>
        <v>0</v>
      </c>
      <c r="AZ558" s="31" t="n">
        <f aca="false">IF($G558="",AO558,P558)</f>
        <v>0</v>
      </c>
      <c r="BA558" s="31" t="n">
        <f aca="false">IF($G558="",AP558,T558)</f>
        <v>0</v>
      </c>
      <c r="BB558" s="31" t="n">
        <f aca="false">IF($G558="",AQ558,U558)</f>
        <v>0</v>
      </c>
      <c r="BC558" s="31" t="n">
        <f aca="false">IF($G558="",AR558,V558)</f>
        <v>0</v>
      </c>
      <c r="BD558" s="31" t="n">
        <f aca="false">IF($G558="",AS558,Q558)</f>
        <v>1487293</v>
      </c>
      <c r="BE558" s="31" t="n">
        <f aca="false">IF($G558="",AT558,W558)</f>
        <v>0</v>
      </c>
      <c r="BF558" s="31" t="n">
        <f aca="false">IF($G558="",AU558,R558)</f>
        <v>75931</v>
      </c>
      <c r="BG558" s="31" t="n">
        <f aca="false">IF($G558="",AV558,X558)</f>
        <v>0</v>
      </c>
      <c r="BH558" s="31" t="n">
        <f aca="false">IF($G558="",AW558,S558)</f>
        <v>1</v>
      </c>
      <c r="BI558" s="31" t="n">
        <f aca="false">IF($G558="",AX558,Y558)</f>
        <v>0</v>
      </c>
      <c r="BJ558" s="31" t="n">
        <f aca="false">IF(CK558="N",BR558,ROUNDDOWN((I558-L558)*設定!$B$10/1000,0)+ROUNDDOWN((I558-L558)*設定!$B$11/1000,0))</f>
        <v>0</v>
      </c>
      <c r="BK558" s="31" t="n">
        <f aca="false">ROUNDDOWN((I558-L558)*設定!$C$10/1000,0)+ROUNDDOWN((I558-L558)*設定!$C$11/1000,0)+ROUNDDOWN(I558*設定!$C$12/1000,0)+IF(CL558="市局型",ROUNDDOWN(I558*設定!$C$16/1000,0),0)</f>
        <v>0</v>
      </c>
      <c r="BL558" s="31" t="n">
        <f aca="false">IF(CK558="N",BT558,ROUNDDOWN((J558-M558)*設定!$B$13/1000,0))</f>
        <v>0</v>
      </c>
      <c r="BM558" s="31" t="n">
        <f aca="false">ROUNDDOWN((J558-M558)*設定!$C$13/1000,0)+IF(CL558="市局型",ROUNDDOWN(J558*設定!$C$17/1000,0),0)</f>
        <v>0</v>
      </c>
      <c r="BN558" s="31" t="n">
        <f aca="false">IF(CK558="N",BV558,ROUNDDOWN((K558-N558)*設定!$B$14/1000,0))</f>
        <v>0</v>
      </c>
      <c r="BO558" s="31" t="n">
        <f aca="false">ROUNDDOWN((K558-N558)*設定!$C$14/1000,0)</f>
        <v>0</v>
      </c>
      <c r="BP558" s="31" t="n">
        <f aca="false">IF(CK558="N",BX558,ROUNDDOWN((J558-M558)*設定!$B$15/1000,0))</f>
        <v>0</v>
      </c>
      <c r="BQ558" s="31" t="n">
        <f aca="false">ROUNDDOWN((J558-M558)*設定!$C$15/1000,0)</f>
        <v>0</v>
      </c>
      <c r="BR558" s="31" t="n">
        <f aca="false">O558+P558</f>
        <v>0</v>
      </c>
      <c r="BS558" s="31" t="n">
        <f aca="false">T558+U558+V558</f>
        <v>0</v>
      </c>
      <c r="BT558" s="31" t="n">
        <f aca="false">Q558</f>
        <v>0</v>
      </c>
      <c r="BU558" s="31" t="n">
        <f aca="false">W558</f>
        <v>0</v>
      </c>
      <c r="BV558" s="31" t="n">
        <f aca="false">R558</f>
        <v>0</v>
      </c>
      <c r="BW558" s="31" t="n">
        <f aca="false">X558</f>
        <v>0</v>
      </c>
      <c r="BX558" s="31" t="n">
        <f aca="false">S558</f>
        <v>0</v>
      </c>
      <c r="BY558" s="31" t="n">
        <f aca="false">Y558</f>
        <v>0</v>
      </c>
      <c r="BZ558" s="32" t="n">
        <f aca="false">IF(BJ558=0,IF(BR558=0,0,1),(BR558-BJ558)/BJ558)</f>
        <v>0</v>
      </c>
      <c r="CA558" s="32" t="n">
        <f aca="false">IF(BK558=0,IF(BS558=0,0,1),(BS558-BK558)/BK558)</f>
        <v>0</v>
      </c>
      <c r="CB558" s="32" t="n">
        <f aca="false">IF(BL558=0,IF(BT558=0,0,1),(BT558-BL558)/BL558)</f>
        <v>0</v>
      </c>
      <c r="CC558" s="32" t="n">
        <f aca="false">IF(BM558=0,IF(BU558=0,0,1),(BU558-BM558)/BM558)</f>
        <v>0</v>
      </c>
      <c r="CD558" s="32" t="n">
        <f aca="false">IF(BN558=0,IF(BV558=0,0,1),(BV558-BN558)/BN558)</f>
        <v>0</v>
      </c>
      <c r="CE558" s="32" t="n">
        <f aca="false">IF(BO558=0,IF(BW558=0,0,1),(BW558-BO558)/BO558)</f>
        <v>0</v>
      </c>
      <c r="CF558" s="32" t="n">
        <f aca="false">IF(BP558=0,IF(BX558=0,0,1),(BX558-BP558)/BP558)</f>
        <v>0</v>
      </c>
      <c r="CG558" s="32" t="n">
        <f aca="false">IF(BQ558=0,IF(BY558=0,0,1),(BY558-BQ558)/BQ558)</f>
        <v>0</v>
      </c>
      <c r="CH558" s="32" t="n">
        <f aca="false">MAX(MAX(BZ558:CG558),-MIN(BZ558:CG558))</f>
        <v>-0</v>
      </c>
      <c r="CI558" s="31" t="n">
        <f aca="false">IF(CO558="","",SUMIFS($CJ$7:$CJ$696,$A$7:$A$696,CO558,$B$7:$B$696,B558))</f>
        <v>1347304</v>
      </c>
      <c r="CJ558" s="31" t="n">
        <f aca="false">SUM(AY558:BI558)</f>
        <v>1563225</v>
      </c>
      <c r="CK558" s="31" t="str">
        <f aca="false">IFERROR(INDEX(設定!$F$61:$F$106,MATCH(B558,設定!$B$61:$B$106,0)),"Y")</f>
        <v>Y</v>
      </c>
      <c r="CL558" s="31" t="str">
        <f aca="false">IFERROR(INDEX(設定!$G$61:$G$106,MATCH(B558,設定!$B$61:$B$106,0)),"外郭型")</f>
        <v>外郭型</v>
      </c>
      <c r="CM558" s="33" t="str">
        <f aca="false">A558&amp;"|"&amp;B558</f>
        <v>2027-01 月例|任意継続組合員</v>
      </c>
      <c r="CN558" s="34" t="str">
        <f aca="false">IFERROR(INDEX(設定!$D$61:$D$106,MATCH(B558,設定!$B$61:$B$106,0)),"Y")</f>
        <v>N</v>
      </c>
      <c r="CO558" s="34" t="str">
        <f aca="false">IFERROR(INDEX(設定!$D$20:$D$34,MATCH(A558,設定!$A$20:$A$34,0))&amp;"","")</f>
        <v>2026-12 月例</v>
      </c>
    </row>
    <row r="559" customFormat="false" ht="15" hidden="true" customHeight="false" outlineLevel="0" collapsed="false">
      <c r="A559" s="22" t="s">
        <v>228</v>
      </c>
      <c r="B559" s="23" t="s">
        <v>166</v>
      </c>
      <c r="C559" s="10" t="str">
        <f aca="false">IF(G559="","未受領",IF(G559="なし","報告なし",IF(AL559="○","起票済",IF(OR(AK559="○",F559="一致",F559="入金不要"),"入金確認済","受領済"))))</f>
        <v>未受領</v>
      </c>
      <c r="D559" s="10" t="str">
        <f aca="false">IF(OR(G559="",G559="なし"),"―",IF(CN559="N","対象外",IF(AND(I559="",J559="",K559=""),"標報未入力",IF(CH559&gt;=設定!$B$4,"要確認","問題なし"))))</f>
        <v>―</v>
      </c>
      <c r="E559" s="24" t="str">
        <f aca="false">IF(OR(G559="",G559="なし",CI559="",CJ559=0),"―",IF(CJ559=CI559,"前月同額",IF(CI559=0,"―",IF(ABS(CJ559/CI559-1)&gt;=設定!$B$5,"変動大 "&amp;TEXT(CJ559/CI559-1,"+0%;-0%"),"〇"))))</f>
        <v>―</v>
      </c>
      <c r="F559" s="10" t="str">
        <f aca="false">IF(OR(G559="",G559="なし"),"―",IF(CJ559=0,"入金不要",IF(COUNT(AD559,AF559,AH559,AJ559)=0,IF(AK559="○","手動確認","未入金"),IF(AND(N(AD559)=AC559,IF(AE559="",TRUE(),N(AF559)=AE559),IF(AG559="",TRUE(),N(AH559)=AG559),IF(AI559="",TRUE(),N(AJ559)=AI559)),"一致","不一致"))))</f>
        <v>―</v>
      </c>
      <c r="G559" s="25"/>
      <c r="H559" s="26"/>
      <c r="I559" s="27"/>
      <c r="J559" s="27"/>
      <c r="K559" s="27"/>
      <c r="L559" s="27"/>
      <c r="M559" s="27"/>
      <c r="N559" s="27"/>
      <c r="O559" s="27"/>
      <c r="P559" s="27"/>
      <c r="Q559" s="27"/>
      <c r="R559" s="27"/>
      <c r="S559" s="27"/>
      <c r="T559" s="27"/>
      <c r="U559" s="27"/>
      <c r="V559" s="27"/>
      <c r="W559" s="27"/>
      <c r="X559" s="27"/>
      <c r="Y559" s="27"/>
      <c r="Z559" s="27"/>
      <c r="AA559" s="10" t="str">
        <f aca="false">IFERROR(INDEX(設定!$E$61:$E$106,MATCH(B559,設定!$B$61:$B$106,0)),"合算")</f>
        <v>合算</v>
      </c>
      <c r="AB559" s="28"/>
      <c r="AC559" s="29" t="str">
        <f aca="false">IF(OR(G559="",G559="なし"),"",IF(AA559="合算",CJ559+N(Z559),IF(AA559="掛金・負担金別",(AY559+AZ559+BD559+BF559+BH559),SUM(AY559:BC559))))</f>
        <v/>
      </c>
      <c r="AD559" s="27"/>
      <c r="AE559" s="29" t="str">
        <f aca="false">IF(OR(G559="",G559="なし"),"",IF(AA559="掛金・負担金別",(BA559+BB559+BC559+BE559+BG559+BI559+N(Z559)),IF(AA559="経理区分別",BD559+BE559,"")))</f>
        <v/>
      </c>
      <c r="AF559" s="27"/>
      <c r="AG559" s="29" t="str">
        <f aca="false">IF(OR(G559="",G559="なし"),"",IF(AA559="経理区分別",BF559+BG559,""))</f>
        <v/>
      </c>
      <c r="AH559" s="27"/>
      <c r="AI559" s="29" t="str">
        <f aca="false">IF(OR(G559="",G559="なし"),"",IF(AA559="経理区分別",BH559+BI559+N(Z559),""))</f>
        <v/>
      </c>
      <c r="AJ559" s="27"/>
      <c r="AK559" s="26"/>
      <c r="AL559" s="26"/>
      <c r="AM559" s="30"/>
      <c r="AN559" s="31" t="n">
        <v>232963119</v>
      </c>
      <c r="AO559" s="31" t="n">
        <v>19100214</v>
      </c>
      <c r="AP559" s="31" t="n">
        <v>339759219</v>
      </c>
      <c r="AQ559" s="31" t="n">
        <v>18607559</v>
      </c>
      <c r="AR559" s="31" t="n">
        <v>245654</v>
      </c>
      <c r="AS559" s="31" t="n">
        <v>180228959</v>
      </c>
      <c r="AT559" s="31" t="n">
        <v>179795878</v>
      </c>
      <c r="AU559" s="31" t="n">
        <v>15863531</v>
      </c>
      <c r="AV559" s="31" t="n">
        <v>15423045</v>
      </c>
      <c r="AW559" s="31" t="n">
        <v>1</v>
      </c>
      <c r="AX559" s="31" t="n">
        <v>1</v>
      </c>
      <c r="AY559" s="31" t="n">
        <f aca="false">IF($G559="",AN559,O559)</f>
        <v>232963119</v>
      </c>
      <c r="AZ559" s="31" t="n">
        <f aca="false">IF($G559="",AO559,P559)</f>
        <v>19100214</v>
      </c>
      <c r="BA559" s="31" t="n">
        <f aca="false">IF($G559="",AP559,T559)</f>
        <v>339759219</v>
      </c>
      <c r="BB559" s="31" t="n">
        <f aca="false">IF($G559="",AQ559,U559)</f>
        <v>18607559</v>
      </c>
      <c r="BC559" s="31" t="n">
        <f aca="false">IF($G559="",AR559,V559)</f>
        <v>245654</v>
      </c>
      <c r="BD559" s="31" t="n">
        <f aca="false">IF($G559="",AS559,Q559)</f>
        <v>180228959</v>
      </c>
      <c r="BE559" s="31" t="n">
        <f aca="false">IF($G559="",AT559,W559)</f>
        <v>179795878</v>
      </c>
      <c r="BF559" s="31" t="n">
        <f aca="false">IF($G559="",AU559,R559)</f>
        <v>15863531</v>
      </c>
      <c r="BG559" s="31" t="n">
        <f aca="false">IF($G559="",AV559,X559)</f>
        <v>15423045</v>
      </c>
      <c r="BH559" s="31" t="n">
        <f aca="false">IF($G559="",AW559,S559)</f>
        <v>1</v>
      </c>
      <c r="BI559" s="31" t="n">
        <f aca="false">IF($G559="",AX559,Y559)</f>
        <v>1</v>
      </c>
      <c r="BJ559" s="31" t="n">
        <f aca="false">IF(CK559="N",BR559,ROUNDDOWN((I559-L559)*設定!$B$10/1000,0)+ROUNDDOWN((I559-L559)*設定!$B$11/1000,0))</f>
        <v>0</v>
      </c>
      <c r="BK559" s="31" t="n">
        <f aca="false">ROUNDDOWN((I559-L559)*設定!$C$10/1000,0)+ROUNDDOWN((I559-L559)*設定!$C$11/1000,0)+ROUNDDOWN(I559*設定!$C$12/1000,0)+IF(CL559="市局型",ROUNDDOWN(I559*設定!$C$16/1000,0),0)</f>
        <v>0</v>
      </c>
      <c r="BL559" s="31" t="n">
        <f aca="false">IF(CK559="N",BT559,ROUNDDOWN((J559-M559)*設定!$B$13/1000,0))</f>
        <v>0</v>
      </c>
      <c r="BM559" s="31" t="n">
        <f aca="false">ROUNDDOWN((J559-M559)*設定!$C$13/1000,0)+IF(CL559="市局型",ROUNDDOWN(J559*設定!$C$17/1000,0),0)</f>
        <v>0</v>
      </c>
      <c r="BN559" s="31" t="n">
        <f aca="false">IF(CK559="N",BV559,ROUNDDOWN((K559-N559)*設定!$B$14/1000,0))</f>
        <v>0</v>
      </c>
      <c r="BO559" s="31" t="n">
        <f aca="false">ROUNDDOWN((K559-N559)*設定!$C$14/1000,0)</f>
        <v>0</v>
      </c>
      <c r="BP559" s="31" t="n">
        <f aca="false">IF(CK559="N",BX559,ROUNDDOWN((J559-M559)*設定!$B$15/1000,0))</f>
        <v>0</v>
      </c>
      <c r="BQ559" s="31" t="n">
        <f aca="false">ROUNDDOWN((J559-M559)*設定!$C$15/1000,0)</f>
        <v>0</v>
      </c>
      <c r="BR559" s="31" t="n">
        <f aca="false">O559+P559</f>
        <v>0</v>
      </c>
      <c r="BS559" s="31" t="n">
        <f aca="false">T559+U559+V559</f>
        <v>0</v>
      </c>
      <c r="BT559" s="31" t="n">
        <f aca="false">Q559</f>
        <v>0</v>
      </c>
      <c r="BU559" s="31" t="n">
        <f aca="false">W559</f>
        <v>0</v>
      </c>
      <c r="BV559" s="31" t="n">
        <f aca="false">R559</f>
        <v>0</v>
      </c>
      <c r="BW559" s="31" t="n">
        <f aca="false">X559</f>
        <v>0</v>
      </c>
      <c r="BX559" s="31" t="n">
        <f aca="false">S559</f>
        <v>0</v>
      </c>
      <c r="BY559" s="31" t="n">
        <f aca="false">Y559</f>
        <v>0</v>
      </c>
      <c r="BZ559" s="32" t="n">
        <f aca="false">IF(BJ559=0,IF(BR559=0,0,1),(BR559-BJ559)/BJ559)</f>
        <v>0</v>
      </c>
      <c r="CA559" s="32" t="n">
        <f aca="false">IF(BK559=0,IF(BS559=0,0,1),(BS559-BK559)/BK559)</f>
        <v>0</v>
      </c>
      <c r="CB559" s="32" t="n">
        <f aca="false">IF(BL559=0,IF(BT559=0,0,1),(BT559-BL559)/BL559)</f>
        <v>0</v>
      </c>
      <c r="CC559" s="32" t="n">
        <f aca="false">IF(BM559=0,IF(BU559=0,0,1),(BU559-BM559)/BM559)</f>
        <v>0</v>
      </c>
      <c r="CD559" s="32" t="n">
        <f aca="false">IF(BN559=0,IF(BV559=0,0,1),(BV559-BN559)/BN559)</f>
        <v>0</v>
      </c>
      <c r="CE559" s="32" t="n">
        <f aca="false">IF(BO559=0,IF(BW559=0,0,1),(BW559-BO559)/BO559)</f>
        <v>0</v>
      </c>
      <c r="CF559" s="32" t="n">
        <f aca="false">IF(BP559=0,IF(BX559=0,0,1),(BX559-BP559)/BP559)</f>
        <v>0</v>
      </c>
      <c r="CG559" s="32" t="n">
        <f aca="false">IF(BQ559=0,IF(BY559=0,0,1),(BY559-BQ559)/BQ559)</f>
        <v>0</v>
      </c>
      <c r="CH559" s="32" t="n">
        <f aca="false">MAX(MAX(BZ559:CG559),-MIN(BZ559:CG559))</f>
        <v>-0</v>
      </c>
      <c r="CI559" s="31" t="n">
        <f aca="false">IF(CO559="","",SUMIFS($CJ$7:$CJ$696,$A$7:$A$696,CO559,$B$7:$B$696,B559))</f>
        <v>1003147862</v>
      </c>
      <c r="CJ559" s="31" t="n">
        <f aca="false">SUM(AY559:BI559)</f>
        <v>1001987180</v>
      </c>
      <c r="CK559" s="31" t="str">
        <f aca="false">IFERROR(INDEX(設定!$F$61:$F$106,MATCH(B559,設定!$B$61:$B$106,0)),"Y")</f>
        <v>Y</v>
      </c>
      <c r="CL559" s="31" t="str">
        <f aca="false">IFERROR(INDEX(設定!$G$61:$G$106,MATCH(B559,設定!$B$61:$B$106,0)),"外郭型")</f>
        <v>市局型</v>
      </c>
      <c r="CM559" s="33" t="str">
        <f aca="false">A559&amp;"|"&amp;B559</f>
        <v>2027-02 月例|市長部局</v>
      </c>
      <c r="CN559" s="34" t="str">
        <f aca="false">IFERROR(INDEX(設定!$D$61:$D$106,MATCH(B559,設定!$B$61:$B$106,0)),"Y")</f>
        <v>N</v>
      </c>
      <c r="CO559" s="34" t="str">
        <f aca="false">IFERROR(INDEX(設定!$D$20:$D$34,MATCH(A559,設定!$A$20:$A$34,0))&amp;"","")</f>
        <v>2027-01 月例</v>
      </c>
    </row>
    <row r="560" customFormat="false" ht="15" hidden="true" customHeight="false" outlineLevel="0" collapsed="false">
      <c r="A560" s="22" t="s">
        <v>228</v>
      </c>
      <c r="B560" s="23" t="s">
        <v>169</v>
      </c>
      <c r="C560" s="10" t="str">
        <f aca="false">IF(G560="","未受領",IF(G560="なし","報告なし",IF(AL560="○","起票済",IF(OR(AK560="○",F560="一致",F560="入金不要"),"入金確認済","受領済"))))</f>
        <v>未受領</v>
      </c>
      <c r="D560" s="10" t="str">
        <f aca="false">IF(OR(G560="",G560="なし"),"―",IF(CN560="N","対象外",IF(AND(I560="",J560="",K560=""),"標報未入力",IF(CH560&gt;=設定!$B$4,"要確認","問題なし"))))</f>
        <v>―</v>
      </c>
      <c r="E560" s="24" t="str">
        <f aca="false">IF(OR(G560="",G560="なし",CI560="",CJ560=0),"―",IF(CJ560=CI560,"前月同額",IF(CI560=0,"―",IF(ABS(CJ560/CI560-1)&gt;=設定!$B$5,"変動大 "&amp;TEXT(CJ560/CI560-1,"+0%;-0%"),"〇"))))</f>
        <v>―</v>
      </c>
      <c r="F560" s="10" t="str">
        <f aca="false">IF(OR(G560="",G560="なし"),"―",IF(CJ560=0,"入金不要",IF(COUNT(AD560,AF560,AH560,AJ560)=0,IF(AK560="○","手動確認","未入金"),IF(AND(N(AD560)=AC560,IF(AE560="",TRUE(),N(AF560)=AE560),IF(AG560="",TRUE(),N(AH560)=AG560),IF(AI560="",TRUE(),N(AJ560)=AI560)),"一致","不一致"))))</f>
        <v>―</v>
      </c>
      <c r="G560" s="25"/>
      <c r="H560" s="26"/>
      <c r="I560" s="27"/>
      <c r="J560" s="27"/>
      <c r="K560" s="27"/>
      <c r="L560" s="27"/>
      <c r="M560" s="27"/>
      <c r="N560" s="27"/>
      <c r="O560" s="27"/>
      <c r="P560" s="27"/>
      <c r="Q560" s="27"/>
      <c r="R560" s="27"/>
      <c r="S560" s="27"/>
      <c r="T560" s="27"/>
      <c r="U560" s="27"/>
      <c r="V560" s="27"/>
      <c r="W560" s="27"/>
      <c r="X560" s="27"/>
      <c r="Y560" s="27"/>
      <c r="Z560" s="27"/>
      <c r="AA560" s="10" t="str">
        <f aca="false">IFERROR(INDEX(設定!$E$61:$E$106,MATCH(B560,設定!$B$61:$B$106,0)),"合算")</f>
        <v>合算</v>
      </c>
      <c r="AB560" s="28"/>
      <c r="AC560" s="29" t="str">
        <f aca="false">IF(OR(G560="",G560="なし"),"",IF(AA560="合算",CJ560+N(Z560),IF(AA560="掛金・負担金別",(AY560+AZ560+BD560+BF560+BH560),SUM(AY560:BC560))))</f>
        <v/>
      </c>
      <c r="AD560" s="27"/>
      <c r="AE560" s="29" t="str">
        <f aca="false">IF(OR(G560="",G560="なし"),"",IF(AA560="掛金・負担金別",(BA560+BB560+BC560+BE560+BG560+BI560+N(Z560)),IF(AA560="経理区分別",BD560+BE560,"")))</f>
        <v/>
      </c>
      <c r="AF560" s="27"/>
      <c r="AG560" s="29" t="str">
        <f aca="false">IF(OR(G560="",G560="なし"),"",IF(AA560="経理区分別",BF560+BG560,""))</f>
        <v/>
      </c>
      <c r="AH560" s="27"/>
      <c r="AI560" s="29" t="str">
        <f aca="false">IF(OR(G560="",G560="なし"),"",IF(AA560="経理区分別",BH560+BI560+N(Z560),""))</f>
        <v/>
      </c>
      <c r="AJ560" s="27"/>
      <c r="AK560" s="26"/>
      <c r="AL560" s="26"/>
      <c r="AM560" s="30"/>
      <c r="AN560" s="31" t="n">
        <v>16581906</v>
      </c>
      <c r="AO560" s="31" t="n">
        <v>1359174</v>
      </c>
      <c r="AP560" s="31" t="n">
        <v>24091980</v>
      </c>
      <c r="AQ560" s="31" t="n">
        <v>1353375</v>
      </c>
      <c r="AR560" s="31" t="n">
        <v>17146</v>
      </c>
      <c r="AS560" s="31" t="n">
        <v>10386132</v>
      </c>
      <c r="AT560" s="31" t="n">
        <v>10528288</v>
      </c>
      <c r="AU560" s="31" t="n">
        <v>1033192</v>
      </c>
      <c r="AV560" s="31" t="n">
        <v>1025529</v>
      </c>
      <c r="AW560" s="31" t="n">
        <v>1</v>
      </c>
      <c r="AX560" s="31" t="n">
        <v>1</v>
      </c>
      <c r="AY560" s="31" t="n">
        <f aca="false">IF($G560="",AN560,O560)</f>
        <v>16581906</v>
      </c>
      <c r="AZ560" s="31" t="n">
        <f aca="false">IF($G560="",AO560,P560)</f>
        <v>1359174</v>
      </c>
      <c r="BA560" s="31" t="n">
        <f aca="false">IF($G560="",AP560,T560)</f>
        <v>24091980</v>
      </c>
      <c r="BB560" s="31" t="n">
        <f aca="false">IF($G560="",AQ560,U560)</f>
        <v>1353375</v>
      </c>
      <c r="BC560" s="31" t="n">
        <f aca="false">IF($G560="",AR560,V560)</f>
        <v>17146</v>
      </c>
      <c r="BD560" s="31" t="n">
        <f aca="false">IF($G560="",AS560,Q560)</f>
        <v>10386132</v>
      </c>
      <c r="BE560" s="31" t="n">
        <f aca="false">IF($G560="",AT560,W560)</f>
        <v>10528288</v>
      </c>
      <c r="BF560" s="31" t="n">
        <f aca="false">IF($G560="",AU560,R560)</f>
        <v>1033192</v>
      </c>
      <c r="BG560" s="31" t="n">
        <f aca="false">IF($G560="",AV560,X560)</f>
        <v>1025529</v>
      </c>
      <c r="BH560" s="31" t="n">
        <f aca="false">IF($G560="",AW560,S560)</f>
        <v>1</v>
      </c>
      <c r="BI560" s="31" t="n">
        <f aca="false">IF($G560="",AX560,Y560)</f>
        <v>1</v>
      </c>
      <c r="BJ560" s="31" t="n">
        <f aca="false">IF(CK560="N",BR560,ROUNDDOWN((I560-L560)*設定!$B$10/1000,0)+ROUNDDOWN((I560-L560)*設定!$B$11/1000,0))</f>
        <v>0</v>
      </c>
      <c r="BK560" s="31" t="n">
        <f aca="false">ROUNDDOWN((I560-L560)*設定!$C$10/1000,0)+ROUNDDOWN((I560-L560)*設定!$C$11/1000,0)+ROUNDDOWN(I560*設定!$C$12/1000,0)+IF(CL560="市局型",ROUNDDOWN(I560*設定!$C$16/1000,0),0)</f>
        <v>0</v>
      </c>
      <c r="BL560" s="31" t="n">
        <f aca="false">IF(CK560="N",BT560,ROUNDDOWN((J560-M560)*設定!$B$13/1000,0))</f>
        <v>0</v>
      </c>
      <c r="BM560" s="31" t="n">
        <f aca="false">ROUNDDOWN((J560-M560)*設定!$C$13/1000,0)+IF(CL560="市局型",ROUNDDOWN(J560*設定!$C$17/1000,0),0)</f>
        <v>0</v>
      </c>
      <c r="BN560" s="31" t="n">
        <f aca="false">IF(CK560="N",BV560,ROUNDDOWN((K560-N560)*設定!$B$14/1000,0))</f>
        <v>0</v>
      </c>
      <c r="BO560" s="31" t="n">
        <f aca="false">ROUNDDOWN((K560-N560)*設定!$C$14/1000,0)</f>
        <v>0</v>
      </c>
      <c r="BP560" s="31" t="n">
        <f aca="false">IF(CK560="N",BX560,ROUNDDOWN((J560-M560)*設定!$B$15/1000,0))</f>
        <v>0</v>
      </c>
      <c r="BQ560" s="31" t="n">
        <f aca="false">ROUNDDOWN((J560-M560)*設定!$C$15/1000,0)</f>
        <v>0</v>
      </c>
      <c r="BR560" s="31" t="n">
        <f aca="false">O560+P560</f>
        <v>0</v>
      </c>
      <c r="BS560" s="31" t="n">
        <f aca="false">T560+U560+V560</f>
        <v>0</v>
      </c>
      <c r="BT560" s="31" t="n">
        <f aca="false">Q560</f>
        <v>0</v>
      </c>
      <c r="BU560" s="31" t="n">
        <f aca="false">W560</f>
        <v>0</v>
      </c>
      <c r="BV560" s="31" t="n">
        <f aca="false">R560</f>
        <v>0</v>
      </c>
      <c r="BW560" s="31" t="n">
        <f aca="false">X560</f>
        <v>0</v>
      </c>
      <c r="BX560" s="31" t="n">
        <f aca="false">S560</f>
        <v>0</v>
      </c>
      <c r="BY560" s="31" t="n">
        <f aca="false">Y560</f>
        <v>0</v>
      </c>
      <c r="BZ560" s="32" t="n">
        <f aca="false">IF(BJ560=0,IF(BR560=0,0,1),(BR560-BJ560)/BJ560)</f>
        <v>0</v>
      </c>
      <c r="CA560" s="32" t="n">
        <f aca="false">IF(BK560=0,IF(BS560=0,0,1),(BS560-BK560)/BK560)</f>
        <v>0</v>
      </c>
      <c r="CB560" s="32" t="n">
        <f aca="false">IF(BL560=0,IF(BT560=0,0,1),(BT560-BL560)/BL560)</f>
        <v>0</v>
      </c>
      <c r="CC560" s="32" t="n">
        <f aca="false">IF(BM560=0,IF(BU560=0,0,1),(BU560-BM560)/BM560)</f>
        <v>0</v>
      </c>
      <c r="CD560" s="32" t="n">
        <f aca="false">IF(BN560=0,IF(BV560=0,0,1),(BV560-BN560)/BN560)</f>
        <v>0</v>
      </c>
      <c r="CE560" s="32" t="n">
        <f aca="false">IF(BO560=0,IF(BW560=0,0,1),(BW560-BO560)/BO560)</f>
        <v>0</v>
      </c>
      <c r="CF560" s="32" t="n">
        <f aca="false">IF(BP560=0,IF(BX560=0,0,1),(BX560-BP560)/BP560)</f>
        <v>0</v>
      </c>
      <c r="CG560" s="32" t="n">
        <f aca="false">IF(BQ560=0,IF(BY560=0,0,1),(BY560-BQ560)/BQ560)</f>
        <v>0</v>
      </c>
      <c r="CH560" s="32" t="n">
        <f aca="false">MAX(MAX(BZ560:CG560),-MIN(BZ560:CG560))</f>
        <v>-0</v>
      </c>
      <c r="CI560" s="31" t="n">
        <f aca="false">IF(CO560="","",SUMIFS($CJ$7:$CJ$696,$A$7:$A$696,CO560,$B$7:$B$696,B560))</f>
        <v>66565472</v>
      </c>
      <c r="CJ560" s="31" t="n">
        <f aca="false">SUM(AY560:BI560)</f>
        <v>66376724</v>
      </c>
      <c r="CK560" s="31" t="str">
        <f aca="false">IFERROR(INDEX(設定!$F$61:$F$106,MATCH(B560,設定!$B$61:$B$106,0)),"Y")</f>
        <v>Y</v>
      </c>
      <c r="CL560" s="31" t="str">
        <f aca="false">IFERROR(INDEX(設定!$G$61:$G$106,MATCH(B560,設定!$B$61:$B$106,0)),"外郭型")</f>
        <v>市局型</v>
      </c>
      <c r="CM560" s="33" t="str">
        <f aca="false">A560&amp;"|"&amp;B560</f>
        <v>2027-02 月例|下水道局</v>
      </c>
      <c r="CN560" s="34" t="str">
        <f aca="false">IFERROR(INDEX(設定!$D$61:$D$106,MATCH(B560,設定!$B$61:$B$106,0)),"Y")</f>
        <v>Y</v>
      </c>
      <c r="CO560" s="34" t="str">
        <f aca="false">IFERROR(INDEX(設定!$D$20:$D$34,MATCH(A560,設定!$A$20:$A$34,0))&amp;"","")</f>
        <v>2027-01 月例</v>
      </c>
    </row>
    <row r="561" customFormat="false" ht="15" hidden="true" customHeight="false" outlineLevel="0" collapsed="false">
      <c r="A561" s="22" t="s">
        <v>228</v>
      </c>
      <c r="B561" s="23" t="s">
        <v>170</v>
      </c>
      <c r="C561" s="10" t="str">
        <f aca="false">IF(G561="","未受領",IF(G561="なし","報告なし",IF(AL561="○","起票済",IF(OR(AK561="○",F561="一致",F561="入金不要"),"入金確認済","受領済"))))</f>
        <v>未受領</v>
      </c>
      <c r="D561" s="10" t="str">
        <f aca="false">IF(OR(G561="",G561="なし"),"―",IF(CN561="N","対象外",IF(AND(I561="",J561="",K561=""),"標報未入力",IF(CH561&gt;=設定!$B$4,"要確認","問題なし"))))</f>
        <v>―</v>
      </c>
      <c r="E561" s="24" t="str">
        <f aca="false">IF(OR(G561="",G561="なし",CI561="",CJ561=0),"―",IF(CJ561=CI561,"前月同額",IF(CI561=0,"―",IF(ABS(CJ561/CI561-1)&gt;=設定!$B$5,"変動大 "&amp;TEXT(CJ561/CI561-1,"+0%;-0%"),"〇"))))</f>
        <v>―</v>
      </c>
      <c r="F561" s="10" t="str">
        <f aca="false">IF(OR(G561="",G561="なし"),"―",IF(CJ561=0,"入金不要",IF(COUNT(AD561,AF561,AH561,AJ561)=0,IF(AK561="○","手動確認","未入金"),IF(AND(N(AD561)=AC561,IF(AE561="",TRUE(),N(AF561)=AE561),IF(AG561="",TRUE(),N(AH561)=AG561),IF(AI561="",TRUE(),N(AJ561)=AI561)),"一致","不一致"))))</f>
        <v>―</v>
      </c>
      <c r="G561" s="25"/>
      <c r="H561" s="26"/>
      <c r="I561" s="27"/>
      <c r="J561" s="27"/>
      <c r="K561" s="27"/>
      <c r="L561" s="27"/>
      <c r="M561" s="27"/>
      <c r="N561" s="27"/>
      <c r="O561" s="27"/>
      <c r="P561" s="27"/>
      <c r="Q561" s="27"/>
      <c r="R561" s="27"/>
      <c r="S561" s="27"/>
      <c r="T561" s="27"/>
      <c r="U561" s="27"/>
      <c r="V561" s="27"/>
      <c r="W561" s="27"/>
      <c r="X561" s="27"/>
      <c r="Y561" s="27"/>
      <c r="Z561" s="27"/>
      <c r="AA561" s="10" t="str">
        <f aca="false">IFERROR(INDEX(設定!$E$61:$E$106,MATCH(B561,設定!$B$61:$B$106,0)),"合算")</f>
        <v>合算</v>
      </c>
      <c r="AB561" s="28"/>
      <c r="AC561" s="29" t="str">
        <f aca="false">IF(OR(G561="",G561="なし"),"",IF(AA561="合算",CJ561+N(Z561),IF(AA561="掛金・負担金別",(AY561+AZ561+BD561+BF561+BH561),SUM(AY561:BC561))))</f>
        <v/>
      </c>
      <c r="AD561" s="27"/>
      <c r="AE561" s="29" t="str">
        <f aca="false">IF(OR(G561="",G561="なし"),"",IF(AA561="掛金・負担金別",(BA561+BB561+BC561+BE561+BG561+BI561+N(Z561)),IF(AA561="経理区分別",BD561+BE561,"")))</f>
        <v/>
      </c>
      <c r="AF561" s="27"/>
      <c r="AG561" s="29" t="str">
        <f aca="false">IF(OR(G561="",G561="なし"),"",IF(AA561="経理区分別",BF561+BG561,""))</f>
        <v/>
      </c>
      <c r="AH561" s="27"/>
      <c r="AI561" s="29" t="str">
        <f aca="false">IF(OR(G561="",G561="なし"),"",IF(AA561="経理区分別",BH561+BI561+N(Z561),""))</f>
        <v/>
      </c>
      <c r="AJ561" s="27"/>
      <c r="AK561" s="26"/>
      <c r="AL561" s="26"/>
      <c r="AM561" s="30"/>
      <c r="AN561" s="31" t="n">
        <v>53727793</v>
      </c>
      <c r="AO561" s="31" t="n">
        <v>4403917</v>
      </c>
      <c r="AP561" s="31" t="n">
        <v>78203593</v>
      </c>
      <c r="AQ561" s="31" t="n">
        <v>4396568</v>
      </c>
      <c r="AR561" s="31" t="n">
        <v>55349</v>
      </c>
      <c r="AS561" s="31" t="n">
        <v>33001840</v>
      </c>
      <c r="AT561" s="31" t="n">
        <v>33534812</v>
      </c>
      <c r="AU561" s="31" t="n">
        <v>2001660</v>
      </c>
      <c r="AV561" s="31" t="n">
        <v>1994631</v>
      </c>
      <c r="AW561" s="31" t="n">
        <v>1</v>
      </c>
      <c r="AX561" s="31" t="n">
        <v>1</v>
      </c>
      <c r="AY561" s="31" t="n">
        <f aca="false">IF($G561="",AN561,O561)</f>
        <v>53727793</v>
      </c>
      <c r="AZ561" s="31" t="n">
        <f aca="false">IF($G561="",AO561,P561)</f>
        <v>4403917</v>
      </c>
      <c r="BA561" s="31" t="n">
        <f aca="false">IF($G561="",AP561,T561)</f>
        <v>78203593</v>
      </c>
      <c r="BB561" s="31" t="n">
        <f aca="false">IF($G561="",AQ561,U561)</f>
        <v>4396568</v>
      </c>
      <c r="BC561" s="31" t="n">
        <f aca="false">IF($G561="",AR561,V561)</f>
        <v>55349</v>
      </c>
      <c r="BD561" s="31" t="n">
        <f aca="false">IF($G561="",AS561,Q561)</f>
        <v>33001840</v>
      </c>
      <c r="BE561" s="31" t="n">
        <f aca="false">IF($G561="",AT561,W561)</f>
        <v>33534812</v>
      </c>
      <c r="BF561" s="31" t="n">
        <f aca="false">IF($G561="",AU561,R561)</f>
        <v>2001660</v>
      </c>
      <c r="BG561" s="31" t="n">
        <f aca="false">IF($G561="",AV561,X561)</f>
        <v>1994631</v>
      </c>
      <c r="BH561" s="31" t="n">
        <f aca="false">IF($G561="",AW561,S561)</f>
        <v>1</v>
      </c>
      <c r="BI561" s="31" t="n">
        <f aca="false">IF($G561="",AX561,Y561)</f>
        <v>1</v>
      </c>
      <c r="BJ561" s="31" t="n">
        <f aca="false">IF(CK561="N",BR561,ROUNDDOWN((I561-L561)*設定!$B$10/1000,0)+ROUNDDOWN((I561-L561)*設定!$B$11/1000,0))</f>
        <v>0</v>
      </c>
      <c r="BK561" s="31" t="n">
        <f aca="false">ROUNDDOWN((I561-L561)*設定!$C$10/1000,0)+ROUNDDOWN((I561-L561)*設定!$C$11/1000,0)+ROUNDDOWN(I561*設定!$C$12/1000,0)+IF(CL561="市局型",ROUNDDOWN(I561*設定!$C$16/1000,0),0)</f>
        <v>0</v>
      </c>
      <c r="BL561" s="31" t="n">
        <f aca="false">IF(CK561="N",BT561,ROUNDDOWN((J561-M561)*設定!$B$13/1000,0))</f>
        <v>0</v>
      </c>
      <c r="BM561" s="31" t="n">
        <f aca="false">ROUNDDOWN((J561-M561)*設定!$C$13/1000,0)+IF(CL561="市局型",ROUNDDOWN(J561*設定!$C$17/1000,0),0)</f>
        <v>0</v>
      </c>
      <c r="BN561" s="31" t="n">
        <f aca="false">IF(CK561="N",BV561,ROUNDDOWN((K561-N561)*設定!$B$14/1000,0))</f>
        <v>0</v>
      </c>
      <c r="BO561" s="31" t="n">
        <f aca="false">ROUNDDOWN((K561-N561)*設定!$C$14/1000,0)</f>
        <v>0</v>
      </c>
      <c r="BP561" s="31" t="n">
        <f aca="false">IF(CK561="N",BX561,ROUNDDOWN((J561-M561)*設定!$B$15/1000,0))</f>
        <v>0</v>
      </c>
      <c r="BQ561" s="31" t="n">
        <f aca="false">ROUNDDOWN((J561-M561)*設定!$C$15/1000,0)</f>
        <v>0</v>
      </c>
      <c r="BR561" s="31" t="n">
        <f aca="false">O561+P561</f>
        <v>0</v>
      </c>
      <c r="BS561" s="31" t="n">
        <f aca="false">T561+U561+V561</f>
        <v>0</v>
      </c>
      <c r="BT561" s="31" t="n">
        <f aca="false">Q561</f>
        <v>0</v>
      </c>
      <c r="BU561" s="31" t="n">
        <f aca="false">W561</f>
        <v>0</v>
      </c>
      <c r="BV561" s="31" t="n">
        <f aca="false">R561</f>
        <v>0</v>
      </c>
      <c r="BW561" s="31" t="n">
        <f aca="false">X561</f>
        <v>0</v>
      </c>
      <c r="BX561" s="31" t="n">
        <f aca="false">S561</f>
        <v>0</v>
      </c>
      <c r="BY561" s="31" t="n">
        <f aca="false">Y561</f>
        <v>0</v>
      </c>
      <c r="BZ561" s="32" t="n">
        <f aca="false">IF(BJ561=0,IF(BR561=0,0,1),(BR561-BJ561)/BJ561)</f>
        <v>0</v>
      </c>
      <c r="CA561" s="32" t="n">
        <f aca="false">IF(BK561=0,IF(BS561=0,0,1),(BS561-BK561)/BK561)</f>
        <v>0</v>
      </c>
      <c r="CB561" s="32" t="n">
        <f aca="false">IF(BL561=0,IF(BT561=0,0,1),(BT561-BL561)/BL561)</f>
        <v>0</v>
      </c>
      <c r="CC561" s="32" t="n">
        <f aca="false">IF(BM561=0,IF(BU561=0,0,1),(BU561-BM561)/BM561)</f>
        <v>0</v>
      </c>
      <c r="CD561" s="32" t="n">
        <f aca="false">IF(BN561=0,IF(BV561=0,0,1),(BV561-BN561)/BN561)</f>
        <v>0</v>
      </c>
      <c r="CE561" s="32" t="n">
        <f aca="false">IF(BO561=0,IF(BW561=0,0,1),(BW561-BO561)/BO561)</f>
        <v>0</v>
      </c>
      <c r="CF561" s="32" t="n">
        <f aca="false">IF(BP561=0,IF(BX561=0,0,1),(BX561-BP561)/BP561)</f>
        <v>0</v>
      </c>
      <c r="CG561" s="32" t="n">
        <f aca="false">IF(BQ561=0,IF(BY561=0,0,1),(BY561-BQ561)/BQ561)</f>
        <v>0</v>
      </c>
      <c r="CH561" s="32" t="n">
        <f aca="false">MAX(MAX(BZ561:CG561),-MIN(BZ561:CG561))</f>
        <v>-0</v>
      </c>
      <c r="CI561" s="31" t="n">
        <f aca="false">IF(CO561="","",SUMIFS($CJ$7:$CJ$696,$A$7:$A$696,CO561,$B$7:$B$696,B561))</f>
        <v>211153119</v>
      </c>
      <c r="CJ561" s="31" t="n">
        <f aca="false">SUM(AY561:BI561)</f>
        <v>211320165</v>
      </c>
      <c r="CK561" s="31" t="str">
        <f aca="false">IFERROR(INDEX(設定!$F$61:$F$106,MATCH(B561,設定!$B$61:$B$106,0)),"Y")</f>
        <v>Y</v>
      </c>
      <c r="CL561" s="31" t="str">
        <f aca="false">IFERROR(INDEX(設定!$G$61:$G$106,MATCH(B561,設定!$B$61:$B$106,0)),"外郭型")</f>
        <v>市局型</v>
      </c>
      <c r="CM561" s="33" t="str">
        <f aca="false">A561&amp;"|"&amp;B561</f>
        <v>2027-02 月例|消防局</v>
      </c>
      <c r="CN561" s="34" t="str">
        <f aca="false">IFERROR(INDEX(設定!$D$61:$D$106,MATCH(B561,設定!$B$61:$B$106,0)),"Y")</f>
        <v>N</v>
      </c>
      <c r="CO561" s="34" t="str">
        <f aca="false">IFERROR(INDEX(設定!$D$20:$D$34,MATCH(A561,設定!$A$20:$A$34,0))&amp;"","")</f>
        <v>2027-01 月例</v>
      </c>
    </row>
    <row r="562" customFormat="false" ht="15" hidden="true" customHeight="false" outlineLevel="0" collapsed="false">
      <c r="A562" s="22" t="s">
        <v>228</v>
      </c>
      <c r="B562" s="23" t="s">
        <v>171</v>
      </c>
      <c r="C562" s="10" t="str">
        <f aca="false">IF(G562="","未受領",IF(G562="なし","報告なし",IF(AL562="○","起票済",IF(OR(AK562="○",F562="一致",F562="入金不要"),"入金確認済","受領済"))))</f>
        <v>未受領</v>
      </c>
      <c r="D562" s="10" t="str">
        <f aca="false">IF(OR(G562="",G562="なし"),"―",IF(CN562="N","対象外",IF(AND(I562="",J562="",K562=""),"標報未入力",IF(CH562&gt;=設定!$B$4,"要確認","問題なし"))))</f>
        <v>―</v>
      </c>
      <c r="E562" s="24" t="str">
        <f aca="false">IF(OR(G562="",G562="なし",CI562="",CJ562=0),"―",IF(CJ562=CI562,"前月同額",IF(CI562=0,"―",IF(ABS(CJ562/CI562-1)&gt;=設定!$B$5,"変動大 "&amp;TEXT(CJ562/CI562-1,"+0%;-0%"),"〇"))))</f>
        <v>―</v>
      </c>
      <c r="F562" s="10" t="str">
        <f aca="false">IF(OR(G562="",G562="なし"),"―",IF(CJ562=0,"入金不要",IF(COUNT(AD562,AF562,AH562,AJ562)=0,IF(AK562="○","手動確認","未入金"),IF(AND(N(AD562)=AC562,IF(AE562="",TRUE(),N(AF562)=AE562),IF(AG562="",TRUE(),N(AH562)=AG562),IF(AI562="",TRUE(),N(AJ562)=AI562)),"一致","不一致"))))</f>
        <v>―</v>
      </c>
      <c r="G562" s="25"/>
      <c r="H562" s="26"/>
      <c r="I562" s="27"/>
      <c r="J562" s="27"/>
      <c r="K562" s="27"/>
      <c r="L562" s="27"/>
      <c r="M562" s="27"/>
      <c r="N562" s="27"/>
      <c r="O562" s="27"/>
      <c r="P562" s="27"/>
      <c r="Q562" s="27"/>
      <c r="R562" s="27"/>
      <c r="S562" s="27"/>
      <c r="T562" s="27"/>
      <c r="U562" s="27"/>
      <c r="V562" s="27"/>
      <c r="W562" s="27"/>
      <c r="X562" s="27"/>
      <c r="Y562" s="27"/>
      <c r="Z562" s="27"/>
      <c r="AA562" s="10" t="str">
        <f aca="false">IFERROR(INDEX(設定!$E$61:$E$106,MATCH(B562,設定!$B$61:$B$106,0)),"合算")</f>
        <v>合算</v>
      </c>
      <c r="AB562" s="28"/>
      <c r="AC562" s="29" t="str">
        <f aca="false">IF(OR(G562="",G562="なし"),"",IF(AA562="合算",CJ562+N(Z562),IF(AA562="掛金・負担金別",(AY562+AZ562+BD562+BF562+BH562),SUM(AY562:BC562))))</f>
        <v/>
      </c>
      <c r="AD562" s="27"/>
      <c r="AE562" s="29" t="str">
        <f aca="false">IF(OR(G562="",G562="なし"),"",IF(AA562="掛金・負担金別",(BA562+BB562+BC562+BE562+BG562+BI562+N(Z562)),IF(AA562="経理区分別",BD562+BE562,"")))</f>
        <v/>
      </c>
      <c r="AF562" s="27"/>
      <c r="AG562" s="29" t="str">
        <f aca="false">IF(OR(G562="",G562="なし"),"",IF(AA562="経理区分別",BF562+BG562,""))</f>
        <v/>
      </c>
      <c r="AH562" s="27"/>
      <c r="AI562" s="29" t="str">
        <f aca="false">IF(OR(G562="",G562="なし"),"",IF(AA562="経理区分別",BH562+BI562+N(Z562),""))</f>
        <v/>
      </c>
      <c r="AJ562" s="27"/>
      <c r="AK562" s="26"/>
      <c r="AL562" s="26"/>
      <c r="AM562" s="30"/>
      <c r="AN562" s="31" t="n">
        <v>1740330</v>
      </c>
      <c r="AO562" s="31" t="n">
        <v>142650</v>
      </c>
      <c r="AP562" s="31" t="n">
        <v>2539620</v>
      </c>
      <c r="AQ562" s="31" t="n">
        <v>142650</v>
      </c>
      <c r="AR562" s="31" t="n">
        <v>1808</v>
      </c>
      <c r="AS562" s="31" t="n">
        <v>1055074</v>
      </c>
      <c r="AT562" s="31" t="n">
        <v>1073929</v>
      </c>
      <c r="AU562" s="31" t="n">
        <v>99935</v>
      </c>
      <c r="AV562" s="31" t="n">
        <v>99935</v>
      </c>
      <c r="AW562" s="31" t="n">
        <v>1</v>
      </c>
      <c r="AX562" s="31" t="n">
        <v>1</v>
      </c>
      <c r="AY562" s="31" t="n">
        <f aca="false">IF($G562="",AN562,O562)</f>
        <v>1740330</v>
      </c>
      <c r="AZ562" s="31" t="n">
        <f aca="false">IF($G562="",AO562,P562)</f>
        <v>142650</v>
      </c>
      <c r="BA562" s="31" t="n">
        <f aca="false">IF($G562="",AP562,T562)</f>
        <v>2539620</v>
      </c>
      <c r="BB562" s="31" t="n">
        <f aca="false">IF($G562="",AQ562,U562)</f>
        <v>142650</v>
      </c>
      <c r="BC562" s="31" t="n">
        <f aca="false">IF($G562="",AR562,V562)</f>
        <v>1808</v>
      </c>
      <c r="BD562" s="31" t="n">
        <f aca="false">IF($G562="",AS562,Q562)</f>
        <v>1055074</v>
      </c>
      <c r="BE562" s="31" t="n">
        <f aca="false">IF($G562="",AT562,W562)</f>
        <v>1073929</v>
      </c>
      <c r="BF562" s="31" t="n">
        <f aca="false">IF($G562="",AU562,R562)</f>
        <v>99935</v>
      </c>
      <c r="BG562" s="31" t="n">
        <f aca="false">IF($G562="",AV562,X562)</f>
        <v>99935</v>
      </c>
      <c r="BH562" s="31" t="n">
        <f aca="false">IF($G562="",AW562,S562)</f>
        <v>1</v>
      </c>
      <c r="BI562" s="31" t="n">
        <f aca="false">IF($G562="",AX562,Y562)</f>
        <v>1</v>
      </c>
      <c r="BJ562" s="31" t="n">
        <f aca="false">IF(CK562="N",BR562,ROUNDDOWN((I562-L562)*設定!$B$10/1000,0)+ROUNDDOWN((I562-L562)*設定!$B$11/1000,0))</f>
        <v>0</v>
      </c>
      <c r="BK562" s="31" t="n">
        <f aca="false">ROUNDDOWN((I562-L562)*設定!$C$10/1000,0)+ROUNDDOWN((I562-L562)*設定!$C$11/1000,0)+ROUNDDOWN(I562*設定!$C$12/1000,0)+IF(CL562="市局型",ROUNDDOWN(I562*設定!$C$16/1000,0),0)</f>
        <v>0</v>
      </c>
      <c r="BL562" s="31" t="n">
        <f aca="false">IF(CK562="N",BT562,ROUNDDOWN((J562-M562)*設定!$B$13/1000,0))</f>
        <v>0</v>
      </c>
      <c r="BM562" s="31" t="n">
        <f aca="false">ROUNDDOWN((J562-M562)*設定!$C$13/1000,0)+IF(CL562="市局型",ROUNDDOWN(J562*設定!$C$17/1000,0),0)</f>
        <v>0</v>
      </c>
      <c r="BN562" s="31" t="n">
        <f aca="false">IF(CK562="N",BV562,ROUNDDOWN((K562-N562)*設定!$B$14/1000,0))</f>
        <v>0</v>
      </c>
      <c r="BO562" s="31" t="n">
        <f aca="false">ROUNDDOWN((K562-N562)*設定!$C$14/1000,0)</f>
        <v>0</v>
      </c>
      <c r="BP562" s="31" t="n">
        <f aca="false">IF(CK562="N",BX562,ROUNDDOWN((J562-M562)*設定!$B$15/1000,0))</f>
        <v>0</v>
      </c>
      <c r="BQ562" s="31" t="n">
        <f aca="false">ROUNDDOWN((J562-M562)*設定!$C$15/1000,0)</f>
        <v>0</v>
      </c>
      <c r="BR562" s="31" t="n">
        <f aca="false">O562+P562</f>
        <v>0</v>
      </c>
      <c r="BS562" s="31" t="n">
        <f aca="false">T562+U562+V562</f>
        <v>0</v>
      </c>
      <c r="BT562" s="31" t="n">
        <f aca="false">Q562</f>
        <v>0</v>
      </c>
      <c r="BU562" s="31" t="n">
        <f aca="false">W562</f>
        <v>0</v>
      </c>
      <c r="BV562" s="31" t="n">
        <f aca="false">R562</f>
        <v>0</v>
      </c>
      <c r="BW562" s="31" t="n">
        <f aca="false">X562</f>
        <v>0</v>
      </c>
      <c r="BX562" s="31" t="n">
        <f aca="false">S562</f>
        <v>0</v>
      </c>
      <c r="BY562" s="31" t="n">
        <f aca="false">Y562</f>
        <v>0</v>
      </c>
      <c r="BZ562" s="32" t="n">
        <f aca="false">IF(BJ562=0,IF(BR562=0,0,1),(BR562-BJ562)/BJ562)</f>
        <v>0</v>
      </c>
      <c r="CA562" s="32" t="n">
        <f aca="false">IF(BK562=0,IF(BS562=0,0,1),(BS562-BK562)/BK562)</f>
        <v>0</v>
      </c>
      <c r="CB562" s="32" t="n">
        <f aca="false">IF(BL562=0,IF(BT562=0,0,1),(BT562-BL562)/BL562)</f>
        <v>0</v>
      </c>
      <c r="CC562" s="32" t="n">
        <f aca="false">IF(BM562=0,IF(BU562=0,0,1),(BU562-BM562)/BM562)</f>
        <v>0</v>
      </c>
      <c r="CD562" s="32" t="n">
        <f aca="false">IF(BN562=0,IF(BV562=0,0,1),(BV562-BN562)/BN562)</f>
        <v>0</v>
      </c>
      <c r="CE562" s="32" t="n">
        <f aca="false">IF(BO562=0,IF(BW562=0,0,1),(BW562-BO562)/BO562)</f>
        <v>0</v>
      </c>
      <c r="CF562" s="32" t="n">
        <f aca="false">IF(BP562=0,IF(BX562=0,0,1),(BX562-BP562)/BP562)</f>
        <v>0</v>
      </c>
      <c r="CG562" s="32" t="n">
        <f aca="false">IF(BQ562=0,IF(BY562=0,0,1),(BY562-BQ562)/BQ562)</f>
        <v>0</v>
      </c>
      <c r="CH562" s="32" t="n">
        <f aca="false">MAX(MAX(BZ562:CG562),-MIN(BZ562:CG562))</f>
        <v>-0</v>
      </c>
      <c r="CI562" s="31" t="n">
        <f aca="false">IF(CO562="","",SUMIFS($CJ$7:$CJ$696,$A$7:$A$696,CO562,$B$7:$B$696,B562))</f>
        <v>6895933</v>
      </c>
      <c r="CJ562" s="31" t="n">
        <f aca="false">SUM(AY562:BI562)</f>
        <v>6895933</v>
      </c>
      <c r="CK562" s="31" t="str">
        <f aca="false">IFERROR(INDEX(設定!$F$61:$F$106,MATCH(B562,設定!$B$61:$B$106,0)),"Y")</f>
        <v>Y</v>
      </c>
      <c r="CL562" s="31" t="str">
        <f aca="false">IFERROR(INDEX(設定!$G$61:$G$106,MATCH(B562,設定!$B$61:$B$106,0)),"外郭型")</f>
        <v>市局型</v>
      </c>
      <c r="CM562" s="33" t="str">
        <f aca="false">A562&amp;"|"&amp;B562</f>
        <v>2027-02 月例|議会事務局</v>
      </c>
      <c r="CN562" s="34" t="str">
        <f aca="false">IFERROR(INDEX(設定!$D$61:$D$106,MATCH(B562,設定!$B$61:$B$106,0)),"Y")</f>
        <v>Y</v>
      </c>
      <c r="CO562" s="34" t="str">
        <f aca="false">IFERROR(INDEX(設定!$D$20:$D$34,MATCH(A562,設定!$A$20:$A$34,0))&amp;"","")</f>
        <v>2027-01 月例</v>
      </c>
    </row>
    <row r="563" customFormat="false" ht="15" hidden="true" customHeight="false" outlineLevel="0" collapsed="false">
      <c r="A563" s="22" t="s">
        <v>228</v>
      </c>
      <c r="B563" s="23" t="s">
        <v>172</v>
      </c>
      <c r="C563" s="10" t="str">
        <f aca="false">IF(G563="","未受領",IF(G563="なし","報告なし",IF(AL563="○","起票済",IF(OR(AK563="○",F563="一致",F563="入金不要"),"入金確認済","受領済"))))</f>
        <v>未受領</v>
      </c>
      <c r="D563" s="10" t="str">
        <f aca="false">IF(OR(G563="",G563="なし"),"―",IF(CN563="N","対象外",IF(AND(I563="",J563="",K563=""),"標報未入力",IF(CH563&gt;=設定!$B$4,"要確認","問題なし"))))</f>
        <v>―</v>
      </c>
      <c r="E563" s="24" t="str">
        <f aca="false">IF(OR(G563="",G563="なし",CI563="",CJ563=0),"―",IF(CJ563=CI563,"前月同額",IF(CI563=0,"―",IF(ABS(CJ563/CI563-1)&gt;=設定!$B$5,"変動大 "&amp;TEXT(CJ563/CI563-1,"+0%;-0%"),"〇"))))</f>
        <v>―</v>
      </c>
      <c r="F563" s="10" t="str">
        <f aca="false">IF(OR(G563="",G563="なし"),"―",IF(CJ563=0,"入金不要",IF(COUNT(AD563,AF563,AH563,AJ563)=0,IF(AK563="○","手動確認","未入金"),IF(AND(N(AD563)=AC563,IF(AE563="",TRUE(),N(AF563)=AE563),IF(AG563="",TRUE(),N(AH563)=AG563),IF(AI563="",TRUE(),N(AJ563)=AI563)),"一致","不一致"))))</f>
        <v>―</v>
      </c>
      <c r="G563" s="25"/>
      <c r="H563" s="26"/>
      <c r="I563" s="27"/>
      <c r="J563" s="27"/>
      <c r="K563" s="27"/>
      <c r="L563" s="27"/>
      <c r="M563" s="27"/>
      <c r="N563" s="27"/>
      <c r="O563" s="27"/>
      <c r="P563" s="27"/>
      <c r="Q563" s="27"/>
      <c r="R563" s="27"/>
      <c r="S563" s="27"/>
      <c r="T563" s="27"/>
      <c r="U563" s="27"/>
      <c r="V563" s="27"/>
      <c r="W563" s="27"/>
      <c r="X563" s="27"/>
      <c r="Y563" s="27"/>
      <c r="Z563" s="27"/>
      <c r="AA563" s="10" t="str">
        <f aca="false">IFERROR(INDEX(設定!$E$61:$E$106,MATCH(B563,設定!$B$61:$B$106,0)),"合算")</f>
        <v>合算</v>
      </c>
      <c r="AB563" s="28"/>
      <c r="AC563" s="29" t="str">
        <f aca="false">IF(OR(G563="",G563="なし"),"",IF(AA563="合算",CJ563+N(Z563),IF(AA563="掛金・負担金別",(AY563+AZ563+BD563+BF563+BH563),SUM(AY563:BC563))))</f>
        <v/>
      </c>
      <c r="AD563" s="27"/>
      <c r="AE563" s="29" t="str">
        <f aca="false">IF(OR(G563="",G563="なし"),"",IF(AA563="掛金・負担金別",(BA563+BB563+BC563+BE563+BG563+BI563+N(Z563)),IF(AA563="経理区分別",BD563+BE563,"")))</f>
        <v/>
      </c>
      <c r="AF563" s="27"/>
      <c r="AG563" s="29" t="str">
        <f aca="false">IF(OR(G563="",G563="なし"),"",IF(AA563="経理区分別",BF563+BG563,""))</f>
        <v/>
      </c>
      <c r="AH563" s="27"/>
      <c r="AI563" s="29" t="str">
        <f aca="false">IF(OR(G563="",G563="なし"),"",IF(AA563="経理区分別",BH563+BI563+N(Z563),""))</f>
        <v/>
      </c>
      <c r="AJ563" s="27"/>
      <c r="AK563" s="26"/>
      <c r="AL563" s="26"/>
      <c r="AM563" s="30"/>
      <c r="AN563" s="31" t="n">
        <v>24150144</v>
      </c>
      <c r="AO563" s="31" t="n">
        <v>1979520</v>
      </c>
      <c r="AP563" s="31" t="n">
        <v>35247213</v>
      </c>
      <c r="AQ563" s="31" t="n">
        <v>1981470</v>
      </c>
      <c r="AR563" s="31" t="n">
        <v>25050</v>
      </c>
      <c r="AS563" s="31" t="n">
        <v>25548768</v>
      </c>
      <c r="AT563" s="31" t="n">
        <v>25995220</v>
      </c>
      <c r="AU563" s="31" t="n">
        <v>2774507</v>
      </c>
      <c r="AV563" s="31" t="n">
        <v>2772516</v>
      </c>
      <c r="AW563" s="31" t="n">
        <v>1</v>
      </c>
      <c r="AX563" s="31" t="n">
        <v>1</v>
      </c>
      <c r="AY563" s="31" t="n">
        <f aca="false">IF($G563="",AN563,O563)</f>
        <v>24150144</v>
      </c>
      <c r="AZ563" s="31" t="n">
        <f aca="false">IF($G563="",AO563,P563)</f>
        <v>1979520</v>
      </c>
      <c r="BA563" s="31" t="n">
        <f aca="false">IF($G563="",AP563,T563)</f>
        <v>35247213</v>
      </c>
      <c r="BB563" s="31" t="n">
        <f aca="false">IF($G563="",AQ563,U563)</f>
        <v>1981470</v>
      </c>
      <c r="BC563" s="31" t="n">
        <f aca="false">IF($G563="",AR563,V563)</f>
        <v>25050</v>
      </c>
      <c r="BD563" s="31" t="n">
        <f aca="false">IF($G563="",AS563,Q563)</f>
        <v>25548768</v>
      </c>
      <c r="BE563" s="31" t="n">
        <f aca="false">IF($G563="",AT563,W563)</f>
        <v>25995220</v>
      </c>
      <c r="BF563" s="31" t="n">
        <f aca="false">IF($G563="",AU563,R563)</f>
        <v>2774507</v>
      </c>
      <c r="BG563" s="31" t="n">
        <f aca="false">IF($G563="",AV563,X563)</f>
        <v>2772516</v>
      </c>
      <c r="BH563" s="31" t="n">
        <f aca="false">IF($G563="",AW563,S563)</f>
        <v>1</v>
      </c>
      <c r="BI563" s="31" t="n">
        <f aca="false">IF($G563="",AX563,Y563)</f>
        <v>1</v>
      </c>
      <c r="BJ563" s="31" t="n">
        <f aca="false">IF(CK563="N",BR563,ROUNDDOWN((I563-L563)*設定!$B$10/1000,0)+ROUNDDOWN((I563-L563)*設定!$B$11/1000,0))</f>
        <v>0</v>
      </c>
      <c r="BK563" s="31" t="n">
        <f aca="false">ROUNDDOWN((I563-L563)*設定!$C$10/1000,0)+ROUNDDOWN((I563-L563)*設定!$C$11/1000,0)+ROUNDDOWN(I563*設定!$C$12/1000,0)+IF(CL563="市局型",ROUNDDOWN(I563*設定!$C$16/1000,0),0)</f>
        <v>0</v>
      </c>
      <c r="BL563" s="31" t="n">
        <f aca="false">IF(CK563="N",BT563,ROUNDDOWN((J563-M563)*設定!$B$13/1000,0))</f>
        <v>0</v>
      </c>
      <c r="BM563" s="31" t="n">
        <f aca="false">ROUNDDOWN((J563-M563)*設定!$C$13/1000,0)+IF(CL563="市局型",ROUNDDOWN(J563*設定!$C$17/1000,0),0)</f>
        <v>0</v>
      </c>
      <c r="BN563" s="31" t="n">
        <f aca="false">IF(CK563="N",BV563,ROUNDDOWN((K563-N563)*設定!$B$14/1000,0))</f>
        <v>0</v>
      </c>
      <c r="BO563" s="31" t="n">
        <f aca="false">ROUNDDOWN((K563-N563)*設定!$C$14/1000,0)</f>
        <v>0</v>
      </c>
      <c r="BP563" s="31" t="n">
        <f aca="false">IF(CK563="N",BX563,ROUNDDOWN((J563-M563)*設定!$B$15/1000,0))</f>
        <v>0</v>
      </c>
      <c r="BQ563" s="31" t="n">
        <f aca="false">ROUNDDOWN((J563-M563)*設定!$C$15/1000,0)</f>
        <v>0</v>
      </c>
      <c r="BR563" s="31" t="n">
        <f aca="false">O563+P563</f>
        <v>0</v>
      </c>
      <c r="BS563" s="31" t="n">
        <f aca="false">T563+U563+V563</f>
        <v>0</v>
      </c>
      <c r="BT563" s="31" t="n">
        <f aca="false">Q563</f>
        <v>0</v>
      </c>
      <c r="BU563" s="31" t="n">
        <f aca="false">W563</f>
        <v>0</v>
      </c>
      <c r="BV563" s="31" t="n">
        <f aca="false">R563</f>
        <v>0</v>
      </c>
      <c r="BW563" s="31" t="n">
        <f aca="false">X563</f>
        <v>0</v>
      </c>
      <c r="BX563" s="31" t="n">
        <f aca="false">S563</f>
        <v>0</v>
      </c>
      <c r="BY563" s="31" t="n">
        <f aca="false">Y563</f>
        <v>0</v>
      </c>
      <c r="BZ563" s="32" t="n">
        <f aca="false">IF(BJ563=0,IF(BR563=0,0,1),(BR563-BJ563)/BJ563)</f>
        <v>0</v>
      </c>
      <c r="CA563" s="32" t="n">
        <f aca="false">IF(BK563=0,IF(BS563=0,0,1),(BS563-BK563)/BK563)</f>
        <v>0</v>
      </c>
      <c r="CB563" s="32" t="n">
        <f aca="false">IF(BL563=0,IF(BT563=0,0,1),(BT563-BL563)/BL563)</f>
        <v>0</v>
      </c>
      <c r="CC563" s="32" t="n">
        <f aca="false">IF(BM563=0,IF(BU563=0,0,1),(BU563-BM563)/BM563)</f>
        <v>0</v>
      </c>
      <c r="CD563" s="32" t="n">
        <f aca="false">IF(BN563=0,IF(BV563=0,0,1),(BV563-BN563)/BN563)</f>
        <v>0</v>
      </c>
      <c r="CE563" s="32" t="n">
        <f aca="false">IF(BO563=0,IF(BW563=0,0,1),(BW563-BO563)/BO563)</f>
        <v>0</v>
      </c>
      <c r="CF563" s="32" t="n">
        <f aca="false">IF(BP563=0,IF(BX563=0,0,1),(BX563-BP563)/BP563)</f>
        <v>0</v>
      </c>
      <c r="CG563" s="32" t="n">
        <f aca="false">IF(BQ563=0,IF(BY563=0,0,1),(BY563-BQ563)/BQ563)</f>
        <v>0</v>
      </c>
      <c r="CH563" s="32" t="n">
        <f aca="false">MAX(MAX(BZ563:CG563),-MIN(BZ563:CG563))</f>
        <v>-0</v>
      </c>
      <c r="CI563" s="31" t="n">
        <f aca="false">IF(CO563="","",SUMIFS($CJ$7:$CJ$696,$A$7:$A$696,CO563,$B$7:$B$696,B563))</f>
        <v>119246845</v>
      </c>
      <c r="CJ563" s="31" t="n">
        <f aca="false">SUM(AY563:BI563)</f>
        <v>120474410</v>
      </c>
      <c r="CK563" s="31" t="str">
        <f aca="false">IFERROR(INDEX(設定!$F$61:$F$106,MATCH(B563,設定!$B$61:$B$106,0)),"Y")</f>
        <v>Y</v>
      </c>
      <c r="CL563" s="31" t="str">
        <f aca="false">IFERROR(INDEX(設定!$G$61:$G$106,MATCH(B563,設定!$B$61:$B$106,0)),"外郭型")</f>
        <v>市局型</v>
      </c>
      <c r="CM563" s="33" t="str">
        <f aca="false">A563&amp;"|"&amp;B563</f>
        <v>2027-02 月例|教育委員会（総務課）</v>
      </c>
      <c r="CN563" s="34" t="str">
        <f aca="false">IFERROR(INDEX(設定!$D$61:$D$106,MATCH(B563,設定!$B$61:$B$106,0)),"Y")</f>
        <v>N</v>
      </c>
      <c r="CO563" s="34" t="str">
        <f aca="false">IFERROR(INDEX(設定!$D$20:$D$34,MATCH(A563,設定!$A$20:$A$34,0))&amp;"","")</f>
        <v>2027-01 月例</v>
      </c>
    </row>
    <row r="564" customFormat="false" ht="15" hidden="true" customHeight="false" outlineLevel="0" collapsed="false">
      <c r="A564" s="22" t="s">
        <v>228</v>
      </c>
      <c r="B564" s="23" t="s">
        <v>173</v>
      </c>
      <c r="C564" s="10" t="str">
        <f aca="false">IF(G564="","未受領",IF(G564="なし","報告なし",IF(AL564="○","起票済",IF(OR(AK564="○",F564="一致",F564="入金不要"),"入金確認済","受領済"))))</f>
        <v>未受領</v>
      </c>
      <c r="D564" s="10" t="str">
        <f aca="false">IF(OR(G564="",G564="なし"),"―",IF(CN564="N","対象外",IF(AND(I564="",J564="",K564=""),"標報未入力",IF(CH564&gt;=設定!$B$4,"要確認","問題なし"))))</f>
        <v>―</v>
      </c>
      <c r="E564" s="24" t="str">
        <f aca="false">IF(OR(G564="",G564="なし",CI564="",CJ564=0),"―",IF(CJ564=CI564,"前月同額",IF(CI564=0,"―",IF(ABS(CJ564/CI564-1)&gt;=設定!$B$5,"変動大 "&amp;TEXT(CJ564/CI564-1,"+0%;-0%"),"〇"))))</f>
        <v>―</v>
      </c>
      <c r="F564" s="10" t="str">
        <f aca="false">IF(OR(G564="",G564="なし"),"―",IF(CJ564=0,"入金不要",IF(COUNT(AD564,AF564,AH564,AJ564)=0,IF(AK564="○","手動確認","未入金"),IF(AND(N(AD564)=AC564,IF(AE564="",TRUE(),N(AF564)=AE564),IF(AG564="",TRUE(),N(AH564)=AG564),IF(AI564="",TRUE(),N(AJ564)=AI564)),"一致","不一致"))))</f>
        <v>―</v>
      </c>
      <c r="G564" s="25"/>
      <c r="H564" s="26"/>
      <c r="I564" s="27"/>
      <c r="J564" s="27"/>
      <c r="K564" s="27"/>
      <c r="L564" s="27"/>
      <c r="M564" s="27"/>
      <c r="N564" s="27"/>
      <c r="O564" s="27"/>
      <c r="P564" s="27"/>
      <c r="Q564" s="27"/>
      <c r="R564" s="27"/>
      <c r="S564" s="27"/>
      <c r="T564" s="27"/>
      <c r="U564" s="27"/>
      <c r="V564" s="27"/>
      <c r="W564" s="27"/>
      <c r="X564" s="27"/>
      <c r="Y564" s="27"/>
      <c r="Z564" s="27"/>
      <c r="AA564" s="10" t="str">
        <f aca="false">IFERROR(INDEX(設定!$E$61:$E$106,MATCH(B564,設定!$B$61:$B$106,0)),"合算")</f>
        <v>合算</v>
      </c>
      <c r="AB564" s="28"/>
      <c r="AC564" s="29" t="str">
        <f aca="false">IF(OR(G564="",G564="なし"),"",IF(AA564="合算",CJ564+N(Z564),IF(AA564="掛金・負担金別",(AY564+AZ564+BD564+BF564+BH564),SUM(AY564:BC564))))</f>
        <v/>
      </c>
      <c r="AD564" s="27"/>
      <c r="AE564" s="29" t="str">
        <f aca="false">IF(OR(G564="",G564="なし"),"",IF(AA564="掛金・負担金別",(BA564+BB564+BC564+BE564+BG564+BI564+N(Z564)),IF(AA564="経理区分別",BD564+BE564,"")))</f>
        <v/>
      </c>
      <c r="AF564" s="27"/>
      <c r="AG564" s="29" t="str">
        <f aca="false">IF(OR(G564="",G564="なし"),"",IF(AA564="経理区分別",BF564+BG564,""))</f>
        <v/>
      </c>
      <c r="AH564" s="27"/>
      <c r="AI564" s="29" t="str">
        <f aca="false">IF(OR(G564="",G564="なし"),"",IF(AA564="経理区分別",BH564+BI564+N(Z564),""))</f>
        <v/>
      </c>
      <c r="AJ564" s="27"/>
      <c r="AK564" s="26"/>
      <c r="AL564" s="26"/>
      <c r="AM564" s="30"/>
      <c r="AN564" s="31" t="n">
        <v>253455</v>
      </c>
      <c r="AO564" s="31" t="n">
        <v>20775</v>
      </c>
      <c r="AP564" s="31" t="n">
        <v>368410</v>
      </c>
      <c r="AQ564" s="31" t="n">
        <v>20775</v>
      </c>
      <c r="AR564" s="31" t="n">
        <v>260</v>
      </c>
      <c r="AS564" s="31" t="n">
        <v>173828</v>
      </c>
      <c r="AT564" s="31" t="n">
        <v>176896</v>
      </c>
      <c r="AU564" s="31" t="n">
        <v>15326</v>
      </c>
      <c r="AV564" s="31" t="n">
        <v>15326</v>
      </c>
      <c r="AW564" s="31" t="n">
        <v>1</v>
      </c>
      <c r="AX564" s="31" t="n">
        <v>1</v>
      </c>
      <c r="AY564" s="31" t="n">
        <f aca="false">IF($G564="",AN564,O564)</f>
        <v>253455</v>
      </c>
      <c r="AZ564" s="31" t="n">
        <f aca="false">IF($G564="",AO564,P564)</f>
        <v>20775</v>
      </c>
      <c r="BA564" s="31" t="n">
        <f aca="false">IF($G564="",AP564,T564)</f>
        <v>368410</v>
      </c>
      <c r="BB564" s="31" t="n">
        <f aca="false">IF($G564="",AQ564,U564)</f>
        <v>20775</v>
      </c>
      <c r="BC564" s="31" t="n">
        <f aca="false">IF($G564="",AR564,V564)</f>
        <v>260</v>
      </c>
      <c r="BD564" s="31" t="n">
        <f aca="false">IF($G564="",AS564,Q564)</f>
        <v>173828</v>
      </c>
      <c r="BE564" s="31" t="n">
        <f aca="false">IF($G564="",AT564,W564)</f>
        <v>176896</v>
      </c>
      <c r="BF564" s="31" t="n">
        <f aca="false">IF($G564="",AU564,R564)</f>
        <v>15326</v>
      </c>
      <c r="BG564" s="31" t="n">
        <f aca="false">IF($G564="",AV564,X564)</f>
        <v>15326</v>
      </c>
      <c r="BH564" s="31" t="n">
        <f aca="false">IF($G564="",AW564,S564)</f>
        <v>1</v>
      </c>
      <c r="BI564" s="31" t="n">
        <f aca="false">IF($G564="",AX564,Y564)</f>
        <v>1</v>
      </c>
      <c r="BJ564" s="31" t="n">
        <f aca="false">IF(CK564="N",BR564,ROUNDDOWN((I564-L564)*設定!$B$10/1000,0)+ROUNDDOWN((I564-L564)*設定!$B$11/1000,0))</f>
        <v>0</v>
      </c>
      <c r="BK564" s="31" t="n">
        <f aca="false">ROUNDDOWN((I564-L564)*設定!$C$10/1000,0)+ROUNDDOWN((I564-L564)*設定!$C$11/1000,0)+ROUNDDOWN(I564*設定!$C$12/1000,0)+IF(CL564="市局型",ROUNDDOWN(I564*設定!$C$16/1000,0),0)</f>
        <v>0</v>
      </c>
      <c r="BL564" s="31" t="n">
        <f aca="false">IF(CK564="N",BT564,ROUNDDOWN((J564-M564)*設定!$B$13/1000,0))</f>
        <v>0</v>
      </c>
      <c r="BM564" s="31" t="n">
        <f aca="false">ROUNDDOWN((J564-M564)*設定!$C$13/1000,0)+IF(CL564="市局型",ROUNDDOWN(J564*設定!$C$17/1000,0),0)</f>
        <v>0</v>
      </c>
      <c r="BN564" s="31" t="n">
        <f aca="false">IF(CK564="N",BV564,ROUNDDOWN((K564-N564)*設定!$B$14/1000,0))</f>
        <v>0</v>
      </c>
      <c r="BO564" s="31" t="n">
        <f aca="false">ROUNDDOWN((K564-N564)*設定!$C$14/1000,0)</f>
        <v>0</v>
      </c>
      <c r="BP564" s="31" t="n">
        <f aca="false">IF(CK564="N",BX564,ROUNDDOWN((J564-M564)*設定!$B$15/1000,0))</f>
        <v>0</v>
      </c>
      <c r="BQ564" s="31" t="n">
        <f aca="false">ROUNDDOWN((J564-M564)*設定!$C$15/1000,0)</f>
        <v>0</v>
      </c>
      <c r="BR564" s="31" t="n">
        <f aca="false">O564+P564</f>
        <v>0</v>
      </c>
      <c r="BS564" s="31" t="n">
        <f aca="false">T564+U564+V564</f>
        <v>0</v>
      </c>
      <c r="BT564" s="31" t="n">
        <f aca="false">Q564</f>
        <v>0</v>
      </c>
      <c r="BU564" s="31" t="n">
        <f aca="false">W564</f>
        <v>0</v>
      </c>
      <c r="BV564" s="31" t="n">
        <f aca="false">R564</f>
        <v>0</v>
      </c>
      <c r="BW564" s="31" t="n">
        <f aca="false">X564</f>
        <v>0</v>
      </c>
      <c r="BX564" s="31" t="n">
        <f aca="false">S564</f>
        <v>0</v>
      </c>
      <c r="BY564" s="31" t="n">
        <f aca="false">Y564</f>
        <v>0</v>
      </c>
      <c r="BZ564" s="32" t="n">
        <f aca="false">IF(BJ564=0,IF(BR564=0,0,1),(BR564-BJ564)/BJ564)</f>
        <v>0</v>
      </c>
      <c r="CA564" s="32" t="n">
        <f aca="false">IF(BK564=0,IF(BS564=0,0,1),(BS564-BK564)/BK564)</f>
        <v>0</v>
      </c>
      <c r="CB564" s="32" t="n">
        <f aca="false">IF(BL564=0,IF(BT564=0,0,1),(BT564-BL564)/BL564)</f>
        <v>0</v>
      </c>
      <c r="CC564" s="32" t="n">
        <f aca="false">IF(BM564=0,IF(BU564=0,0,1),(BU564-BM564)/BM564)</f>
        <v>0</v>
      </c>
      <c r="CD564" s="32" t="n">
        <f aca="false">IF(BN564=0,IF(BV564=0,0,1),(BV564-BN564)/BN564)</f>
        <v>0</v>
      </c>
      <c r="CE564" s="32" t="n">
        <f aca="false">IF(BO564=0,IF(BW564=0,0,1),(BW564-BO564)/BO564)</f>
        <v>0</v>
      </c>
      <c r="CF564" s="32" t="n">
        <f aca="false">IF(BP564=0,IF(BX564=0,0,1),(BX564-BP564)/BP564)</f>
        <v>0</v>
      </c>
      <c r="CG564" s="32" t="n">
        <f aca="false">IF(BQ564=0,IF(BY564=0,0,1),(BY564-BQ564)/BQ564)</f>
        <v>0</v>
      </c>
      <c r="CH564" s="32" t="n">
        <f aca="false">MAX(MAX(BZ564:CG564),-MIN(BZ564:CG564))</f>
        <v>-0</v>
      </c>
      <c r="CI564" s="31" t="n">
        <f aca="false">IF(CO564="","",SUMIFS($CJ$7:$CJ$696,$A$7:$A$696,CO564,$B$7:$B$696,B564))</f>
        <v>1171262</v>
      </c>
      <c r="CJ564" s="31" t="n">
        <f aca="false">SUM(AY564:BI564)</f>
        <v>1045053</v>
      </c>
      <c r="CK564" s="31" t="str">
        <f aca="false">IFERROR(INDEX(設定!$F$61:$F$106,MATCH(B564,設定!$B$61:$B$106,0)),"Y")</f>
        <v>Y</v>
      </c>
      <c r="CL564" s="31" t="str">
        <f aca="false">IFERROR(INDEX(設定!$G$61:$G$106,MATCH(B564,設定!$B$61:$B$106,0)),"外郭型")</f>
        <v>市局型</v>
      </c>
      <c r="CM564" s="33" t="str">
        <f aca="false">A564&amp;"|"&amp;B564</f>
        <v>2027-02 月例|選挙管理委員会</v>
      </c>
      <c r="CN564" s="34" t="str">
        <f aca="false">IFERROR(INDEX(設定!$D$61:$D$106,MATCH(B564,設定!$B$61:$B$106,0)),"Y")</f>
        <v>Y</v>
      </c>
      <c r="CO564" s="34" t="str">
        <f aca="false">IFERROR(INDEX(設定!$D$20:$D$34,MATCH(A564,設定!$A$20:$A$34,0))&amp;"","")</f>
        <v>2027-01 月例</v>
      </c>
    </row>
    <row r="565" customFormat="false" ht="15" hidden="true" customHeight="false" outlineLevel="0" collapsed="false">
      <c r="A565" s="22" t="s">
        <v>228</v>
      </c>
      <c r="B565" s="23" t="s">
        <v>174</v>
      </c>
      <c r="C565" s="10" t="str">
        <f aca="false">IF(G565="","未受領",IF(G565="なし","報告なし",IF(AL565="○","起票済",IF(OR(AK565="○",F565="一致",F565="入金不要"),"入金確認済","受領済"))))</f>
        <v>未受領</v>
      </c>
      <c r="D565" s="10" t="str">
        <f aca="false">IF(OR(G565="",G565="なし"),"―",IF(CN565="N","対象外",IF(AND(I565="",J565="",K565=""),"標報未入力",IF(CH565&gt;=設定!$B$4,"要確認","問題なし"))))</f>
        <v>―</v>
      </c>
      <c r="E565" s="24" t="str">
        <f aca="false">IF(OR(G565="",G565="なし",CI565="",CJ565=0),"―",IF(CJ565=CI565,"前月同額",IF(CI565=0,"―",IF(ABS(CJ565/CI565-1)&gt;=設定!$B$5,"変動大 "&amp;TEXT(CJ565/CI565-1,"+0%;-0%"),"〇"))))</f>
        <v>―</v>
      </c>
      <c r="F565" s="10" t="str">
        <f aca="false">IF(OR(G565="",G565="なし"),"―",IF(CJ565=0,"入金不要",IF(COUNT(AD565,AF565,AH565,AJ565)=0,IF(AK565="○","手動確認","未入金"),IF(AND(N(AD565)=AC565,IF(AE565="",TRUE(),N(AF565)=AE565),IF(AG565="",TRUE(),N(AH565)=AG565),IF(AI565="",TRUE(),N(AJ565)=AI565)),"一致","不一致"))))</f>
        <v>―</v>
      </c>
      <c r="G565" s="25"/>
      <c r="H565" s="26"/>
      <c r="I565" s="27"/>
      <c r="J565" s="27"/>
      <c r="K565" s="27"/>
      <c r="L565" s="27"/>
      <c r="M565" s="27"/>
      <c r="N565" s="27"/>
      <c r="O565" s="27"/>
      <c r="P565" s="27"/>
      <c r="Q565" s="27"/>
      <c r="R565" s="27"/>
      <c r="S565" s="27"/>
      <c r="T565" s="27"/>
      <c r="U565" s="27"/>
      <c r="V565" s="27"/>
      <c r="W565" s="27"/>
      <c r="X565" s="27"/>
      <c r="Y565" s="27"/>
      <c r="Z565" s="27"/>
      <c r="AA565" s="10" t="str">
        <f aca="false">IFERROR(INDEX(設定!$E$61:$E$106,MATCH(B565,設定!$B$61:$B$106,0)),"合算")</f>
        <v>合算</v>
      </c>
      <c r="AB565" s="28"/>
      <c r="AC565" s="29" t="str">
        <f aca="false">IF(OR(G565="",G565="なし"),"",IF(AA565="合算",CJ565+N(Z565),IF(AA565="掛金・負担金別",(AY565+AZ565+BD565+BF565+BH565),SUM(AY565:BC565))))</f>
        <v/>
      </c>
      <c r="AD565" s="27"/>
      <c r="AE565" s="29" t="str">
        <f aca="false">IF(OR(G565="",G565="なし"),"",IF(AA565="掛金・負担金別",(BA565+BB565+BC565+BE565+BG565+BI565+N(Z565)),IF(AA565="経理区分別",BD565+BE565,"")))</f>
        <v/>
      </c>
      <c r="AF565" s="27"/>
      <c r="AG565" s="29" t="str">
        <f aca="false">IF(OR(G565="",G565="なし"),"",IF(AA565="経理区分別",BF565+BG565,""))</f>
        <v/>
      </c>
      <c r="AH565" s="27"/>
      <c r="AI565" s="29" t="str">
        <f aca="false">IF(OR(G565="",G565="なし"),"",IF(AA565="経理区分別",BH565+BI565+N(Z565),""))</f>
        <v/>
      </c>
      <c r="AJ565" s="27"/>
      <c r="AK565" s="26"/>
      <c r="AL565" s="26"/>
      <c r="AM565" s="30"/>
      <c r="AN565" s="31" t="n">
        <v>561810</v>
      </c>
      <c r="AO565" s="31" t="n">
        <v>46050</v>
      </c>
      <c r="AP565" s="31" t="n">
        <v>816620</v>
      </c>
      <c r="AQ565" s="31" t="n">
        <v>46050</v>
      </c>
      <c r="AR565" s="31" t="n">
        <v>576</v>
      </c>
      <c r="AS565" s="31" t="n">
        <v>343259</v>
      </c>
      <c r="AT565" s="31" t="n">
        <v>349315</v>
      </c>
      <c r="AU565" s="31" t="n">
        <v>32232</v>
      </c>
      <c r="AV565" s="31" t="n">
        <v>32232</v>
      </c>
      <c r="AW565" s="31" t="n">
        <v>1</v>
      </c>
      <c r="AX565" s="31" t="n">
        <v>1</v>
      </c>
      <c r="AY565" s="31" t="n">
        <f aca="false">IF($G565="",AN565,O565)</f>
        <v>561810</v>
      </c>
      <c r="AZ565" s="31" t="n">
        <f aca="false">IF($G565="",AO565,P565)</f>
        <v>46050</v>
      </c>
      <c r="BA565" s="31" t="n">
        <f aca="false">IF($G565="",AP565,T565)</f>
        <v>816620</v>
      </c>
      <c r="BB565" s="31" t="n">
        <f aca="false">IF($G565="",AQ565,U565)</f>
        <v>46050</v>
      </c>
      <c r="BC565" s="31" t="n">
        <f aca="false">IF($G565="",AR565,V565)</f>
        <v>576</v>
      </c>
      <c r="BD565" s="31" t="n">
        <f aca="false">IF($G565="",AS565,Q565)</f>
        <v>343259</v>
      </c>
      <c r="BE565" s="31" t="n">
        <f aca="false">IF($G565="",AT565,W565)</f>
        <v>349315</v>
      </c>
      <c r="BF565" s="31" t="n">
        <f aca="false">IF($G565="",AU565,R565)</f>
        <v>32232</v>
      </c>
      <c r="BG565" s="31" t="n">
        <f aca="false">IF($G565="",AV565,X565)</f>
        <v>32232</v>
      </c>
      <c r="BH565" s="31" t="n">
        <f aca="false">IF($G565="",AW565,S565)</f>
        <v>1</v>
      </c>
      <c r="BI565" s="31" t="n">
        <f aca="false">IF($G565="",AX565,Y565)</f>
        <v>1</v>
      </c>
      <c r="BJ565" s="31" t="n">
        <f aca="false">IF(CK565="N",BR565,ROUNDDOWN((I565-L565)*設定!$B$10/1000,0)+ROUNDDOWN((I565-L565)*設定!$B$11/1000,0))</f>
        <v>0</v>
      </c>
      <c r="BK565" s="31" t="n">
        <f aca="false">ROUNDDOWN((I565-L565)*設定!$C$10/1000,0)+ROUNDDOWN((I565-L565)*設定!$C$11/1000,0)+ROUNDDOWN(I565*設定!$C$12/1000,0)+IF(CL565="市局型",ROUNDDOWN(I565*設定!$C$16/1000,0),0)</f>
        <v>0</v>
      </c>
      <c r="BL565" s="31" t="n">
        <f aca="false">IF(CK565="N",BT565,ROUNDDOWN((J565-M565)*設定!$B$13/1000,0))</f>
        <v>0</v>
      </c>
      <c r="BM565" s="31" t="n">
        <f aca="false">ROUNDDOWN((J565-M565)*設定!$C$13/1000,0)+IF(CL565="市局型",ROUNDDOWN(J565*設定!$C$17/1000,0),0)</f>
        <v>0</v>
      </c>
      <c r="BN565" s="31" t="n">
        <f aca="false">IF(CK565="N",BV565,ROUNDDOWN((K565-N565)*設定!$B$14/1000,0))</f>
        <v>0</v>
      </c>
      <c r="BO565" s="31" t="n">
        <f aca="false">ROUNDDOWN((K565-N565)*設定!$C$14/1000,0)</f>
        <v>0</v>
      </c>
      <c r="BP565" s="31" t="n">
        <f aca="false">IF(CK565="N",BX565,ROUNDDOWN((J565-M565)*設定!$B$15/1000,0))</f>
        <v>0</v>
      </c>
      <c r="BQ565" s="31" t="n">
        <f aca="false">ROUNDDOWN((J565-M565)*設定!$C$15/1000,0)</f>
        <v>0</v>
      </c>
      <c r="BR565" s="31" t="n">
        <f aca="false">O565+P565</f>
        <v>0</v>
      </c>
      <c r="BS565" s="31" t="n">
        <f aca="false">T565+U565+V565</f>
        <v>0</v>
      </c>
      <c r="BT565" s="31" t="n">
        <f aca="false">Q565</f>
        <v>0</v>
      </c>
      <c r="BU565" s="31" t="n">
        <f aca="false">W565</f>
        <v>0</v>
      </c>
      <c r="BV565" s="31" t="n">
        <f aca="false">R565</f>
        <v>0</v>
      </c>
      <c r="BW565" s="31" t="n">
        <f aca="false">X565</f>
        <v>0</v>
      </c>
      <c r="BX565" s="31" t="n">
        <f aca="false">S565</f>
        <v>0</v>
      </c>
      <c r="BY565" s="31" t="n">
        <f aca="false">Y565</f>
        <v>0</v>
      </c>
      <c r="BZ565" s="32" t="n">
        <f aca="false">IF(BJ565=0,IF(BR565=0,0,1),(BR565-BJ565)/BJ565)</f>
        <v>0</v>
      </c>
      <c r="CA565" s="32" t="n">
        <f aca="false">IF(BK565=0,IF(BS565=0,0,1),(BS565-BK565)/BK565)</f>
        <v>0</v>
      </c>
      <c r="CB565" s="32" t="n">
        <f aca="false">IF(BL565=0,IF(BT565=0,0,1),(BT565-BL565)/BL565)</f>
        <v>0</v>
      </c>
      <c r="CC565" s="32" t="n">
        <f aca="false">IF(BM565=0,IF(BU565=0,0,1),(BU565-BM565)/BM565)</f>
        <v>0</v>
      </c>
      <c r="CD565" s="32" t="n">
        <f aca="false">IF(BN565=0,IF(BV565=0,0,1),(BV565-BN565)/BN565)</f>
        <v>0</v>
      </c>
      <c r="CE565" s="32" t="n">
        <f aca="false">IF(BO565=0,IF(BW565=0,0,1),(BW565-BO565)/BO565)</f>
        <v>0</v>
      </c>
      <c r="CF565" s="32" t="n">
        <f aca="false">IF(BP565=0,IF(BX565=0,0,1),(BX565-BP565)/BP565)</f>
        <v>0</v>
      </c>
      <c r="CG565" s="32" t="n">
        <f aca="false">IF(BQ565=0,IF(BY565=0,0,1),(BY565-BQ565)/BQ565)</f>
        <v>0</v>
      </c>
      <c r="CH565" s="32" t="n">
        <f aca="false">MAX(MAX(BZ565:CG565),-MIN(BZ565:CG565))</f>
        <v>-0</v>
      </c>
      <c r="CI565" s="31" t="n">
        <f aca="false">IF(CO565="","",SUMIFS($CJ$7:$CJ$696,$A$7:$A$696,CO565,$B$7:$B$696,B565))</f>
        <v>2228146</v>
      </c>
      <c r="CJ565" s="31" t="n">
        <f aca="false">SUM(AY565:BI565)</f>
        <v>2228146</v>
      </c>
      <c r="CK565" s="31" t="str">
        <f aca="false">IFERROR(INDEX(設定!$F$61:$F$106,MATCH(B565,設定!$B$61:$B$106,0)),"Y")</f>
        <v>Y</v>
      </c>
      <c r="CL565" s="31" t="str">
        <f aca="false">IFERROR(INDEX(設定!$G$61:$G$106,MATCH(B565,設定!$B$61:$B$106,0)),"外郭型")</f>
        <v>市局型</v>
      </c>
      <c r="CM565" s="33" t="str">
        <f aca="false">A565&amp;"|"&amp;B565</f>
        <v>2027-02 月例|人事委員会</v>
      </c>
      <c r="CN565" s="34" t="str">
        <f aca="false">IFERROR(INDEX(設定!$D$61:$D$106,MATCH(B565,設定!$B$61:$B$106,0)),"Y")</f>
        <v>Y</v>
      </c>
      <c r="CO565" s="34" t="str">
        <f aca="false">IFERROR(INDEX(設定!$D$20:$D$34,MATCH(A565,設定!$A$20:$A$34,0))&amp;"","")</f>
        <v>2027-01 月例</v>
      </c>
    </row>
    <row r="566" customFormat="false" ht="15" hidden="true" customHeight="false" outlineLevel="0" collapsed="false">
      <c r="A566" s="22" t="s">
        <v>228</v>
      </c>
      <c r="B566" s="23" t="s">
        <v>175</v>
      </c>
      <c r="C566" s="10" t="str">
        <f aca="false">IF(G566="","未受領",IF(G566="なし","報告なし",IF(AL566="○","起票済",IF(OR(AK566="○",F566="一致",F566="入金不要"),"入金確認済","受領済"))))</f>
        <v>未受領</v>
      </c>
      <c r="D566" s="10" t="str">
        <f aca="false">IF(OR(G566="",G566="なし"),"―",IF(CN566="N","対象外",IF(AND(I566="",J566="",K566=""),"標報未入力",IF(CH566&gt;=設定!$B$4,"要確認","問題なし"))))</f>
        <v>―</v>
      </c>
      <c r="E566" s="24" t="str">
        <f aca="false">IF(OR(G566="",G566="なし",CI566="",CJ566=0),"―",IF(CJ566=CI566,"前月同額",IF(CI566=0,"―",IF(ABS(CJ566/CI566-1)&gt;=設定!$B$5,"変動大 "&amp;TEXT(CJ566/CI566-1,"+0%;-0%"),"〇"))))</f>
        <v>―</v>
      </c>
      <c r="F566" s="10" t="str">
        <f aca="false">IF(OR(G566="",G566="なし"),"―",IF(CJ566=0,"入金不要",IF(COUNT(AD566,AF566,AH566,AJ566)=0,IF(AK566="○","手動確認","未入金"),IF(AND(N(AD566)=AC566,IF(AE566="",TRUE(),N(AF566)=AE566),IF(AG566="",TRUE(),N(AH566)=AG566),IF(AI566="",TRUE(),N(AJ566)=AI566)),"一致","不一致"))))</f>
        <v>―</v>
      </c>
      <c r="G566" s="25"/>
      <c r="H566" s="26"/>
      <c r="I566" s="27"/>
      <c r="J566" s="27"/>
      <c r="K566" s="27"/>
      <c r="L566" s="27"/>
      <c r="M566" s="27"/>
      <c r="N566" s="27"/>
      <c r="O566" s="27"/>
      <c r="P566" s="27"/>
      <c r="Q566" s="27"/>
      <c r="R566" s="27"/>
      <c r="S566" s="27"/>
      <c r="T566" s="27"/>
      <c r="U566" s="27"/>
      <c r="V566" s="27"/>
      <c r="W566" s="27"/>
      <c r="X566" s="27"/>
      <c r="Y566" s="27"/>
      <c r="Z566" s="27"/>
      <c r="AA566" s="10" t="str">
        <f aca="false">IFERROR(INDEX(設定!$E$61:$E$106,MATCH(B566,設定!$B$61:$B$106,0)),"合算")</f>
        <v>合算</v>
      </c>
      <c r="AB566" s="28"/>
      <c r="AC566" s="29" t="str">
        <f aca="false">IF(OR(G566="",G566="なし"),"",IF(AA566="合算",CJ566+N(Z566),IF(AA566="掛金・負担金別",(AY566+AZ566+BD566+BF566+BH566),SUM(AY566:BC566))))</f>
        <v/>
      </c>
      <c r="AD566" s="27"/>
      <c r="AE566" s="29" t="str">
        <f aca="false">IF(OR(G566="",G566="なし"),"",IF(AA566="掛金・負担金別",(BA566+BB566+BC566+BE566+BG566+BI566+N(Z566)),IF(AA566="経理区分別",BD566+BE566,"")))</f>
        <v/>
      </c>
      <c r="AF566" s="27"/>
      <c r="AG566" s="29" t="str">
        <f aca="false">IF(OR(G566="",G566="なし"),"",IF(AA566="経理区分別",BF566+BG566,""))</f>
        <v/>
      </c>
      <c r="AH566" s="27"/>
      <c r="AI566" s="29" t="str">
        <f aca="false">IF(OR(G566="",G566="なし"),"",IF(AA566="経理区分別",BH566+BI566+N(Z566),""))</f>
        <v/>
      </c>
      <c r="AJ566" s="27"/>
      <c r="AK566" s="26"/>
      <c r="AL566" s="26"/>
      <c r="AM566" s="30"/>
      <c r="AN566" s="31" t="n">
        <v>1344135</v>
      </c>
      <c r="AO566" s="31" t="n">
        <v>110175</v>
      </c>
      <c r="AP566" s="31" t="n">
        <v>1965390</v>
      </c>
      <c r="AQ566" s="31" t="n">
        <v>110175</v>
      </c>
      <c r="AR566" s="31" t="n">
        <v>1405</v>
      </c>
      <c r="AS566" s="31" t="n">
        <v>836690</v>
      </c>
      <c r="AT566" s="31" t="n">
        <v>851727</v>
      </c>
      <c r="AU566" s="31" t="n">
        <v>108309</v>
      </c>
      <c r="AV566" s="31" t="n">
        <v>108309</v>
      </c>
      <c r="AW566" s="31" t="n">
        <v>1</v>
      </c>
      <c r="AX566" s="31" t="n">
        <v>1</v>
      </c>
      <c r="AY566" s="31" t="n">
        <f aca="false">IF($G566="",AN566,O566)</f>
        <v>1344135</v>
      </c>
      <c r="AZ566" s="31" t="n">
        <f aca="false">IF($G566="",AO566,P566)</f>
        <v>110175</v>
      </c>
      <c r="BA566" s="31" t="n">
        <f aca="false">IF($G566="",AP566,T566)</f>
        <v>1965390</v>
      </c>
      <c r="BB566" s="31" t="n">
        <f aca="false">IF($G566="",AQ566,U566)</f>
        <v>110175</v>
      </c>
      <c r="BC566" s="31" t="n">
        <f aca="false">IF($G566="",AR566,V566)</f>
        <v>1405</v>
      </c>
      <c r="BD566" s="31" t="n">
        <f aca="false">IF($G566="",AS566,Q566)</f>
        <v>836690</v>
      </c>
      <c r="BE566" s="31" t="n">
        <f aca="false">IF($G566="",AT566,W566)</f>
        <v>851727</v>
      </c>
      <c r="BF566" s="31" t="n">
        <f aca="false">IF($G566="",AU566,R566)</f>
        <v>108309</v>
      </c>
      <c r="BG566" s="31" t="n">
        <f aca="false">IF($G566="",AV566,X566)</f>
        <v>108309</v>
      </c>
      <c r="BH566" s="31" t="n">
        <f aca="false">IF($G566="",AW566,S566)</f>
        <v>1</v>
      </c>
      <c r="BI566" s="31" t="n">
        <f aca="false">IF($G566="",AX566,Y566)</f>
        <v>1</v>
      </c>
      <c r="BJ566" s="31" t="n">
        <f aca="false">IF(CK566="N",BR566,ROUNDDOWN((I566-L566)*設定!$B$10/1000,0)+ROUNDDOWN((I566-L566)*設定!$B$11/1000,0))</f>
        <v>0</v>
      </c>
      <c r="BK566" s="31" t="n">
        <f aca="false">ROUNDDOWN((I566-L566)*設定!$C$10/1000,0)+ROUNDDOWN((I566-L566)*設定!$C$11/1000,0)+ROUNDDOWN(I566*設定!$C$12/1000,0)+IF(CL566="市局型",ROUNDDOWN(I566*設定!$C$16/1000,0),0)</f>
        <v>0</v>
      </c>
      <c r="BL566" s="31" t="n">
        <f aca="false">IF(CK566="N",BT566,ROUNDDOWN((J566-M566)*設定!$B$13/1000,0))</f>
        <v>0</v>
      </c>
      <c r="BM566" s="31" t="n">
        <f aca="false">ROUNDDOWN((J566-M566)*設定!$C$13/1000,0)+IF(CL566="市局型",ROUNDDOWN(J566*設定!$C$17/1000,0),0)</f>
        <v>0</v>
      </c>
      <c r="BN566" s="31" t="n">
        <f aca="false">IF(CK566="N",BV566,ROUNDDOWN((K566-N566)*設定!$B$14/1000,0))</f>
        <v>0</v>
      </c>
      <c r="BO566" s="31" t="n">
        <f aca="false">ROUNDDOWN((K566-N566)*設定!$C$14/1000,0)</f>
        <v>0</v>
      </c>
      <c r="BP566" s="31" t="n">
        <f aca="false">IF(CK566="N",BX566,ROUNDDOWN((J566-M566)*設定!$B$15/1000,0))</f>
        <v>0</v>
      </c>
      <c r="BQ566" s="31" t="n">
        <f aca="false">ROUNDDOWN((J566-M566)*設定!$C$15/1000,0)</f>
        <v>0</v>
      </c>
      <c r="BR566" s="31" t="n">
        <f aca="false">O566+P566</f>
        <v>0</v>
      </c>
      <c r="BS566" s="31" t="n">
        <f aca="false">T566+U566+V566</f>
        <v>0</v>
      </c>
      <c r="BT566" s="31" t="n">
        <f aca="false">Q566</f>
        <v>0</v>
      </c>
      <c r="BU566" s="31" t="n">
        <f aca="false">W566</f>
        <v>0</v>
      </c>
      <c r="BV566" s="31" t="n">
        <f aca="false">R566</f>
        <v>0</v>
      </c>
      <c r="BW566" s="31" t="n">
        <f aca="false">X566</f>
        <v>0</v>
      </c>
      <c r="BX566" s="31" t="n">
        <f aca="false">S566</f>
        <v>0</v>
      </c>
      <c r="BY566" s="31" t="n">
        <f aca="false">Y566</f>
        <v>0</v>
      </c>
      <c r="BZ566" s="32" t="n">
        <f aca="false">IF(BJ566=0,IF(BR566=0,0,1),(BR566-BJ566)/BJ566)</f>
        <v>0</v>
      </c>
      <c r="CA566" s="32" t="n">
        <f aca="false">IF(BK566=0,IF(BS566=0,0,1),(BS566-BK566)/BK566)</f>
        <v>0</v>
      </c>
      <c r="CB566" s="32" t="n">
        <f aca="false">IF(BL566=0,IF(BT566=0,0,1),(BT566-BL566)/BL566)</f>
        <v>0</v>
      </c>
      <c r="CC566" s="32" t="n">
        <f aca="false">IF(BM566=0,IF(BU566=0,0,1),(BU566-BM566)/BM566)</f>
        <v>0</v>
      </c>
      <c r="CD566" s="32" t="n">
        <f aca="false">IF(BN566=0,IF(BV566=0,0,1),(BV566-BN566)/BN566)</f>
        <v>0</v>
      </c>
      <c r="CE566" s="32" t="n">
        <f aca="false">IF(BO566=0,IF(BW566=0,0,1),(BW566-BO566)/BO566)</f>
        <v>0</v>
      </c>
      <c r="CF566" s="32" t="n">
        <f aca="false">IF(BP566=0,IF(BX566=0,0,1),(BX566-BP566)/BP566)</f>
        <v>0</v>
      </c>
      <c r="CG566" s="32" t="n">
        <f aca="false">IF(BQ566=0,IF(BY566=0,0,1),(BY566-BQ566)/BQ566)</f>
        <v>0</v>
      </c>
      <c r="CH566" s="32" t="n">
        <f aca="false">MAX(MAX(BZ566:CG566),-MIN(BZ566:CG566))</f>
        <v>-0</v>
      </c>
      <c r="CI566" s="31" t="n">
        <f aca="false">IF(CO566="","",SUMIFS($CJ$7:$CJ$696,$A$7:$A$696,CO566,$B$7:$B$696,B566))</f>
        <v>5436317</v>
      </c>
      <c r="CJ566" s="31" t="n">
        <f aca="false">SUM(AY566:BI566)</f>
        <v>5436317</v>
      </c>
      <c r="CK566" s="31" t="str">
        <f aca="false">IFERROR(INDEX(設定!$F$61:$F$106,MATCH(B566,設定!$B$61:$B$106,0)),"Y")</f>
        <v>Y</v>
      </c>
      <c r="CL566" s="31" t="str">
        <f aca="false">IFERROR(INDEX(設定!$G$61:$G$106,MATCH(B566,設定!$B$61:$B$106,0)),"外郭型")</f>
        <v>市局型</v>
      </c>
      <c r="CM566" s="33" t="str">
        <f aca="false">A566&amp;"|"&amp;B566</f>
        <v>2027-02 月例|監査事務局</v>
      </c>
      <c r="CN566" s="34" t="str">
        <f aca="false">IFERROR(INDEX(設定!$D$61:$D$106,MATCH(B566,設定!$B$61:$B$106,0)),"Y")</f>
        <v>Y</v>
      </c>
      <c r="CO566" s="34" t="str">
        <f aca="false">IFERROR(INDEX(設定!$D$20:$D$34,MATCH(A566,設定!$A$20:$A$34,0))&amp;"","")</f>
        <v>2027-01 月例</v>
      </c>
    </row>
    <row r="567" customFormat="false" ht="15" hidden="true" customHeight="false" outlineLevel="0" collapsed="false">
      <c r="A567" s="22" t="s">
        <v>228</v>
      </c>
      <c r="B567" s="23" t="s">
        <v>176</v>
      </c>
      <c r="C567" s="10" t="str">
        <f aca="false">IF(G567="","未受領",IF(G567="なし","報告なし",IF(AL567="○","起票済",IF(OR(AK567="○",F567="一致",F567="入金不要"),"入金確認済","受領済"))))</f>
        <v>未受領</v>
      </c>
      <c r="D567" s="10" t="str">
        <f aca="false">IF(OR(G567="",G567="なし"),"―",IF(CN567="N","対象外",IF(AND(I567="",J567="",K567=""),"標報未入力",IF(CH567&gt;=設定!$B$4,"要確認","問題なし"))))</f>
        <v>―</v>
      </c>
      <c r="E567" s="24" t="str">
        <f aca="false">IF(OR(G567="",G567="なし",CI567="",CJ567=0),"―",IF(CJ567=CI567,"前月同額",IF(CI567=0,"―",IF(ABS(CJ567/CI567-1)&gt;=設定!$B$5,"変動大 "&amp;TEXT(CJ567/CI567-1,"+0%;-0%"),"〇"))))</f>
        <v>―</v>
      </c>
      <c r="F567" s="10" t="str">
        <f aca="false">IF(OR(G567="",G567="なし"),"―",IF(CJ567=0,"入金不要",IF(COUNT(AD567,AF567,AH567,AJ567)=0,IF(AK567="○","手動確認","未入金"),IF(AND(N(AD567)=AC567,IF(AE567="",TRUE(),N(AF567)=AE567),IF(AG567="",TRUE(),N(AH567)=AG567),IF(AI567="",TRUE(),N(AJ567)=AI567)),"一致","不一致"))))</f>
        <v>―</v>
      </c>
      <c r="G567" s="25"/>
      <c r="H567" s="26"/>
      <c r="I567" s="27"/>
      <c r="J567" s="27"/>
      <c r="K567" s="27"/>
      <c r="L567" s="27"/>
      <c r="M567" s="27"/>
      <c r="N567" s="27"/>
      <c r="O567" s="27"/>
      <c r="P567" s="27"/>
      <c r="Q567" s="27"/>
      <c r="R567" s="27"/>
      <c r="S567" s="27"/>
      <c r="T567" s="27"/>
      <c r="U567" s="27"/>
      <c r="V567" s="27"/>
      <c r="W567" s="27"/>
      <c r="X567" s="27"/>
      <c r="Y567" s="27"/>
      <c r="Z567" s="27"/>
      <c r="AA567" s="10" t="str">
        <f aca="false">IFERROR(INDEX(設定!$E$61:$E$106,MATCH(B567,設定!$B$61:$B$106,0)),"合算")</f>
        <v>合算</v>
      </c>
      <c r="AB567" s="28"/>
      <c r="AC567" s="29" t="str">
        <f aca="false">IF(OR(G567="",G567="なし"),"",IF(AA567="合算",CJ567+N(Z567),IF(AA567="掛金・負担金別",(AY567+AZ567+BD567+BF567+BH567),SUM(AY567:BC567))))</f>
        <v/>
      </c>
      <c r="AD567" s="27"/>
      <c r="AE567" s="29" t="str">
        <f aca="false">IF(OR(G567="",G567="なし"),"",IF(AA567="掛金・負担金別",(BA567+BB567+BC567+BE567+BG567+BI567+N(Z567)),IF(AA567="経理区分別",BD567+BE567,"")))</f>
        <v/>
      </c>
      <c r="AF567" s="27"/>
      <c r="AG567" s="29" t="str">
        <f aca="false">IF(OR(G567="",G567="なし"),"",IF(AA567="経理区分別",BF567+BG567,""))</f>
        <v/>
      </c>
      <c r="AH567" s="27"/>
      <c r="AI567" s="29" t="str">
        <f aca="false">IF(OR(G567="",G567="なし"),"",IF(AA567="経理区分別",BH567+BI567+N(Z567),""))</f>
        <v/>
      </c>
      <c r="AJ567" s="27"/>
      <c r="AK567" s="26"/>
      <c r="AL567" s="26"/>
      <c r="AM567" s="30"/>
      <c r="AN567" s="31" t="n">
        <v>382470</v>
      </c>
      <c r="AO567" s="31" t="n">
        <v>31350</v>
      </c>
      <c r="AP567" s="31" t="n">
        <v>555940</v>
      </c>
      <c r="AQ567" s="31" t="n">
        <v>31350</v>
      </c>
      <c r="AR567" s="31" t="n">
        <v>392</v>
      </c>
      <c r="AS567" s="31" t="n">
        <v>308930</v>
      </c>
      <c r="AT567" s="31" t="n">
        <v>314382</v>
      </c>
      <c r="AU567" s="31" t="n">
        <v>32672</v>
      </c>
      <c r="AV567" s="31" t="n">
        <v>32674</v>
      </c>
      <c r="AW567" s="31" t="n">
        <v>1</v>
      </c>
      <c r="AX567" s="31" t="n">
        <v>1</v>
      </c>
      <c r="AY567" s="31" t="n">
        <f aca="false">IF($G567="",AN567,O567)</f>
        <v>382470</v>
      </c>
      <c r="AZ567" s="31" t="n">
        <f aca="false">IF($G567="",AO567,P567)</f>
        <v>31350</v>
      </c>
      <c r="BA567" s="31" t="n">
        <f aca="false">IF($G567="",AP567,T567)</f>
        <v>555940</v>
      </c>
      <c r="BB567" s="31" t="n">
        <f aca="false">IF($G567="",AQ567,U567)</f>
        <v>31350</v>
      </c>
      <c r="BC567" s="31" t="n">
        <f aca="false">IF($G567="",AR567,V567)</f>
        <v>392</v>
      </c>
      <c r="BD567" s="31" t="n">
        <f aca="false">IF($G567="",AS567,Q567)</f>
        <v>308930</v>
      </c>
      <c r="BE567" s="31" t="n">
        <f aca="false">IF($G567="",AT567,W567)</f>
        <v>314382</v>
      </c>
      <c r="BF567" s="31" t="n">
        <f aca="false">IF($G567="",AU567,R567)</f>
        <v>32672</v>
      </c>
      <c r="BG567" s="31" t="n">
        <f aca="false">IF($G567="",AV567,X567)</f>
        <v>32674</v>
      </c>
      <c r="BH567" s="31" t="n">
        <f aca="false">IF($G567="",AW567,S567)</f>
        <v>1</v>
      </c>
      <c r="BI567" s="31" t="n">
        <f aca="false">IF($G567="",AX567,Y567)</f>
        <v>1</v>
      </c>
      <c r="BJ567" s="31" t="n">
        <f aca="false">IF(CK567="N",BR567,ROUNDDOWN((I567-L567)*設定!$B$10/1000,0)+ROUNDDOWN((I567-L567)*設定!$B$11/1000,0))</f>
        <v>0</v>
      </c>
      <c r="BK567" s="31" t="n">
        <f aca="false">ROUNDDOWN((I567-L567)*設定!$C$10/1000,0)+ROUNDDOWN((I567-L567)*設定!$C$11/1000,0)+ROUNDDOWN(I567*設定!$C$12/1000,0)+IF(CL567="市局型",ROUNDDOWN(I567*設定!$C$16/1000,0),0)</f>
        <v>0</v>
      </c>
      <c r="BL567" s="31" t="n">
        <f aca="false">IF(CK567="N",BT567,ROUNDDOWN((J567-M567)*設定!$B$13/1000,0))</f>
        <v>0</v>
      </c>
      <c r="BM567" s="31" t="n">
        <f aca="false">ROUNDDOWN((J567-M567)*設定!$C$13/1000,0)+IF(CL567="市局型",ROUNDDOWN(J567*設定!$C$17/1000,0),0)</f>
        <v>0</v>
      </c>
      <c r="BN567" s="31" t="n">
        <f aca="false">IF(CK567="N",BV567,ROUNDDOWN((K567-N567)*設定!$B$14/1000,0))</f>
        <v>0</v>
      </c>
      <c r="BO567" s="31" t="n">
        <f aca="false">ROUNDDOWN((K567-N567)*設定!$C$14/1000,0)</f>
        <v>0</v>
      </c>
      <c r="BP567" s="31" t="n">
        <f aca="false">IF(CK567="N",BX567,ROUNDDOWN((J567-M567)*設定!$B$15/1000,0))</f>
        <v>0</v>
      </c>
      <c r="BQ567" s="31" t="n">
        <f aca="false">ROUNDDOWN((J567-M567)*設定!$C$15/1000,0)</f>
        <v>0</v>
      </c>
      <c r="BR567" s="31" t="n">
        <f aca="false">O567+P567</f>
        <v>0</v>
      </c>
      <c r="BS567" s="31" t="n">
        <f aca="false">T567+U567+V567</f>
        <v>0</v>
      </c>
      <c r="BT567" s="31" t="n">
        <f aca="false">Q567</f>
        <v>0</v>
      </c>
      <c r="BU567" s="31" t="n">
        <f aca="false">W567</f>
        <v>0</v>
      </c>
      <c r="BV567" s="31" t="n">
        <f aca="false">R567</f>
        <v>0</v>
      </c>
      <c r="BW567" s="31" t="n">
        <f aca="false">X567</f>
        <v>0</v>
      </c>
      <c r="BX567" s="31" t="n">
        <f aca="false">S567</f>
        <v>0</v>
      </c>
      <c r="BY567" s="31" t="n">
        <f aca="false">Y567</f>
        <v>0</v>
      </c>
      <c r="BZ567" s="32" t="n">
        <f aca="false">IF(BJ567=0,IF(BR567=0,0,1),(BR567-BJ567)/BJ567)</f>
        <v>0</v>
      </c>
      <c r="CA567" s="32" t="n">
        <f aca="false">IF(BK567=0,IF(BS567=0,0,1),(BS567-BK567)/BK567)</f>
        <v>0</v>
      </c>
      <c r="CB567" s="32" t="n">
        <f aca="false">IF(BL567=0,IF(BT567=0,0,1),(BT567-BL567)/BL567)</f>
        <v>0</v>
      </c>
      <c r="CC567" s="32" t="n">
        <f aca="false">IF(BM567=0,IF(BU567=0,0,1),(BU567-BM567)/BM567)</f>
        <v>0</v>
      </c>
      <c r="CD567" s="32" t="n">
        <f aca="false">IF(BN567=0,IF(BV567=0,0,1),(BV567-BN567)/BN567)</f>
        <v>0</v>
      </c>
      <c r="CE567" s="32" t="n">
        <f aca="false">IF(BO567=0,IF(BW567=0,0,1),(BW567-BO567)/BO567)</f>
        <v>0</v>
      </c>
      <c r="CF567" s="32" t="n">
        <f aca="false">IF(BP567=0,IF(BX567=0,0,1),(BX567-BP567)/BP567)</f>
        <v>0</v>
      </c>
      <c r="CG567" s="32" t="n">
        <f aca="false">IF(BQ567=0,IF(BY567=0,0,1),(BY567-BQ567)/BQ567)</f>
        <v>0</v>
      </c>
      <c r="CH567" s="32" t="n">
        <f aca="false">MAX(MAX(BZ567:CG567),-MIN(BZ567:CG567))</f>
        <v>-0</v>
      </c>
      <c r="CI567" s="31" t="n">
        <f aca="false">IF(CO567="","",SUMIFS($CJ$7:$CJ$696,$A$7:$A$696,CO567,$B$7:$B$696,B567))</f>
        <v>1690162</v>
      </c>
      <c r="CJ567" s="31" t="n">
        <f aca="false">SUM(AY567:BI567)</f>
        <v>1690162</v>
      </c>
      <c r="CK567" s="31" t="str">
        <f aca="false">IFERROR(INDEX(設定!$F$61:$F$106,MATCH(B567,設定!$B$61:$B$106,0)),"Y")</f>
        <v>Y</v>
      </c>
      <c r="CL567" s="31" t="str">
        <f aca="false">IFERROR(INDEX(設定!$G$61:$G$106,MATCH(B567,設定!$B$61:$B$106,0)),"外郭型")</f>
        <v>市局型</v>
      </c>
      <c r="CM567" s="33" t="str">
        <f aca="false">A567&amp;"|"&amp;B567</f>
        <v>2027-02 月例|農業委員会</v>
      </c>
      <c r="CN567" s="34" t="str">
        <f aca="false">IFERROR(INDEX(設定!$D$61:$D$106,MATCH(B567,設定!$B$61:$B$106,0)),"Y")</f>
        <v>Y</v>
      </c>
      <c r="CO567" s="34" t="str">
        <f aca="false">IFERROR(INDEX(設定!$D$20:$D$34,MATCH(A567,設定!$A$20:$A$34,0))&amp;"","")</f>
        <v>2027-01 月例</v>
      </c>
    </row>
    <row r="568" customFormat="false" ht="15" hidden="true" customHeight="false" outlineLevel="0" collapsed="false">
      <c r="A568" s="22" t="s">
        <v>228</v>
      </c>
      <c r="B568" s="23" t="s">
        <v>177</v>
      </c>
      <c r="C568" s="10" t="str">
        <f aca="false">IF(G568="","未受領",IF(G568="なし","報告なし",IF(AL568="○","起票済",IF(OR(AK568="○",F568="一致",F568="入金不要"),"入金確認済","受領済"))))</f>
        <v>未受領</v>
      </c>
      <c r="D568" s="10" t="str">
        <f aca="false">IF(OR(G568="",G568="なし"),"―",IF(CN568="N","対象外",IF(AND(I568="",J568="",K568=""),"標報未入力",IF(CH568&gt;=設定!$B$4,"要確認","問題なし"))))</f>
        <v>―</v>
      </c>
      <c r="E568" s="24" t="str">
        <f aca="false">IF(OR(G568="",G568="なし",CI568="",CJ568=0),"―",IF(CJ568=CI568,"前月同額",IF(CI568=0,"―",IF(ABS(CJ568/CI568-1)&gt;=設定!$B$5,"変動大 "&amp;TEXT(CJ568/CI568-1,"+0%;-0%"),"〇"))))</f>
        <v>―</v>
      </c>
      <c r="F568" s="10" t="str">
        <f aca="false">IF(OR(G568="",G568="なし"),"―",IF(CJ568=0,"入金不要",IF(COUNT(AD568,AF568,AH568,AJ568)=0,IF(AK568="○","手動確認","未入金"),IF(AND(N(AD568)=AC568,IF(AE568="",TRUE(),N(AF568)=AE568),IF(AG568="",TRUE(),N(AH568)=AG568),IF(AI568="",TRUE(),N(AJ568)=AI568)),"一致","不一致"))))</f>
        <v>―</v>
      </c>
      <c r="G568" s="25"/>
      <c r="H568" s="26"/>
      <c r="I568" s="27"/>
      <c r="J568" s="27"/>
      <c r="K568" s="27"/>
      <c r="L568" s="27"/>
      <c r="M568" s="27"/>
      <c r="N568" s="27"/>
      <c r="O568" s="27"/>
      <c r="P568" s="27"/>
      <c r="Q568" s="27"/>
      <c r="R568" s="27"/>
      <c r="S568" s="27"/>
      <c r="T568" s="27"/>
      <c r="U568" s="27"/>
      <c r="V568" s="27"/>
      <c r="W568" s="27"/>
      <c r="X568" s="27"/>
      <c r="Y568" s="27"/>
      <c r="Z568" s="27"/>
      <c r="AA568" s="10" t="str">
        <f aca="false">IFERROR(INDEX(設定!$E$61:$E$106,MATCH(B568,設定!$B$61:$B$106,0)),"合算")</f>
        <v>合算</v>
      </c>
      <c r="AB568" s="28"/>
      <c r="AC568" s="29" t="str">
        <f aca="false">IF(OR(G568="",G568="なし"),"",IF(AA568="合算",CJ568+N(Z568),IF(AA568="掛金・負担金別",(AY568+AZ568+BD568+BF568+BH568),SUM(AY568:BC568))))</f>
        <v/>
      </c>
      <c r="AD568" s="27"/>
      <c r="AE568" s="29" t="str">
        <f aca="false">IF(OR(G568="",G568="なし"),"",IF(AA568="掛金・負担金別",(BA568+BB568+BC568+BE568+BG568+BI568+N(Z568)),IF(AA568="経理区分別",BD568+BE568,"")))</f>
        <v/>
      </c>
      <c r="AF568" s="27"/>
      <c r="AG568" s="29" t="str">
        <f aca="false">IF(OR(G568="",G568="なし"),"",IF(AA568="経理区分別",BF568+BG568,""))</f>
        <v/>
      </c>
      <c r="AH568" s="27"/>
      <c r="AI568" s="29" t="str">
        <f aca="false">IF(OR(G568="",G568="なし"),"",IF(AA568="経理区分別",BH568+BI568+N(Z568),""))</f>
        <v/>
      </c>
      <c r="AJ568" s="27"/>
      <c r="AK568" s="26"/>
      <c r="AL568" s="26"/>
      <c r="AM568" s="30"/>
      <c r="AN568" s="31" t="n">
        <v>22497105</v>
      </c>
      <c r="AO568" s="31" t="n">
        <v>1844025</v>
      </c>
      <c r="AP568" s="31" t="n">
        <v>32830605</v>
      </c>
      <c r="AQ568" s="31" t="n">
        <v>1844025</v>
      </c>
      <c r="AR568" s="31" t="n">
        <v>23375</v>
      </c>
      <c r="AS568" s="31" t="n">
        <v>14250081</v>
      </c>
      <c r="AT568" s="31" t="n">
        <v>14504654</v>
      </c>
      <c r="AU568" s="31" t="n">
        <v>1332730</v>
      </c>
      <c r="AV568" s="31" t="n">
        <v>1332730</v>
      </c>
      <c r="AW568" s="31" t="n">
        <v>1</v>
      </c>
      <c r="AX568" s="31" t="n">
        <v>1</v>
      </c>
      <c r="AY568" s="31" t="n">
        <f aca="false">IF($G568="",AN568,O568)</f>
        <v>22497105</v>
      </c>
      <c r="AZ568" s="31" t="n">
        <f aca="false">IF($G568="",AO568,P568)</f>
        <v>1844025</v>
      </c>
      <c r="BA568" s="31" t="n">
        <f aca="false">IF($G568="",AP568,T568)</f>
        <v>32830605</v>
      </c>
      <c r="BB568" s="31" t="n">
        <f aca="false">IF($G568="",AQ568,U568)</f>
        <v>1844025</v>
      </c>
      <c r="BC568" s="31" t="n">
        <f aca="false">IF($G568="",AR568,V568)</f>
        <v>23375</v>
      </c>
      <c r="BD568" s="31" t="n">
        <f aca="false">IF($G568="",AS568,Q568)</f>
        <v>14250081</v>
      </c>
      <c r="BE568" s="31" t="n">
        <f aca="false">IF($G568="",AT568,W568)</f>
        <v>14504654</v>
      </c>
      <c r="BF568" s="31" t="n">
        <f aca="false">IF($G568="",AU568,R568)</f>
        <v>1332730</v>
      </c>
      <c r="BG568" s="31" t="n">
        <f aca="false">IF($G568="",AV568,X568)</f>
        <v>1332730</v>
      </c>
      <c r="BH568" s="31" t="n">
        <f aca="false">IF($G568="",AW568,S568)</f>
        <v>1</v>
      </c>
      <c r="BI568" s="31" t="n">
        <f aca="false">IF($G568="",AX568,Y568)</f>
        <v>1</v>
      </c>
      <c r="BJ568" s="31" t="n">
        <f aca="false">IF(CK568="N",BR568,ROUNDDOWN((I568-L568)*設定!$B$10/1000,0)+ROUNDDOWN((I568-L568)*設定!$B$11/1000,0))</f>
        <v>0</v>
      </c>
      <c r="BK568" s="31" t="n">
        <f aca="false">ROUNDDOWN((I568-L568)*設定!$C$10/1000,0)+ROUNDDOWN((I568-L568)*設定!$C$11/1000,0)+ROUNDDOWN(I568*設定!$C$12/1000,0)+IF(CL568="市局型",ROUNDDOWN(I568*設定!$C$16/1000,0),0)</f>
        <v>0</v>
      </c>
      <c r="BL568" s="31" t="n">
        <f aca="false">IF(CK568="N",BT568,ROUNDDOWN((J568-M568)*設定!$B$13/1000,0))</f>
        <v>0</v>
      </c>
      <c r="BM568" s="31" t="n">
        <f aca="false">ROUNDDOWN((J568-M568)*設定!$C$13/1000,0)+IF(CL568="市局型",ROUNDDOWN(J568*設定!$C$17/1000,0),0)</f>
        <v>0</v>
      </c>
      <c r="BN568" s="31" t="n">
        <f aca="false">IF(CK568="N",BV568,ROUNDDOWN((K568-N568)*設定!$B$14/1000,0))</f>
        <v>0</v>
      </c>
      <c r="BO568" s="31" t="n">
        <f aca="false">ROUNDDOWN((K568-N568)*設定!$C$14/1000,0)</f>
        <v>0</v>
      </c>
      <c r="BP568" s="31" t="n">
        <f aca="false">IF(CK568="N",BX568,ROUNDDOWN((J568-M568)*設定!$B$15/1000,0))</f>
        <v>0</v>
      </c>
      <c r="BQ568" s="31" t="n">
        <f aca="false">ROUNDDOWN((J568-M568)*設定!$C$15/1000,0)</f>
        <v>0</v>
      </c>
      <c r="BR568" s="31" t="n">
        <f aca="false">O568+P568</f>
        <v>0</v>
      </c>
      <c r="BS568" s="31" t="n">
        <f aca="false">T568+U568+V568</f>
        <v>0</v>
      </c>
      <c r="BT568" s="31" t="n">
        <f aca="false">Q568</f>
        <v>0</v>
      </c>
      <c r="BU568" s="31" t="n">
        <f aca="false">W568</f>
        <v>0</v>
      </c>
      <c r="BV568" s="31" t="n">
        <f aca="false">R568</f>
        <v>0</v>
      </c>
      <c r="BW568" s="31" t="n">
        <f aca="false">X568</f>
        <v>0</v>
      </c>
      <c r="BX568" s="31" t="n">
        <f aca="false">S568</f>
        <v>0</v>
      </c>
      <c r="BY568" s="31" t="n">
        <f aca="false">Y568</f>
        <v>0</v>
      </c>
      <c r="BZ568" s="32" t="n">
        <f aca="false">IF(BJ568=0,IF(BR568=0,0,1),(BR568-BJ568)/BJ568)</f>
        <v>0</v>
      </c>
      <c r="CA568" s="32" t="n">
        <f aca="false">IF(BK568=0,IF(BS568=0,0,1),(BS568-BK568)/BK568)</f>
        <v>0</v>
      </c>
      <c r="CB568" s="32" t="n">
        <f aca="false">IF(BL568=0,IF(BT568=0,0,1),(BT568-BL568)/BL568)</f>
        <v>0</v>
      </c>
      <c r="CC568" s="32" t="n">
        <f aca="false">IF(BM568=0,IF(BU568=0,0,1),(BU568-BM568)/BM568)</f>
        <v>0</v>
      </c>
      <c r="CD568" s="32" t="n">
        <f aca="false">IF(BN568=0,IF(BV568=0,0,1),(BV568-BN568)/BN568)</f>
        <v>0</v>
      </c>
      <c r="CE568" s="32" t="n">
        <f aca="false">IF(BO568=0,IF(BW568=0,0,1),(BW568-BO568)/BO568)</f>
        <v>0</v>
      </c>
      <c r="CF568" s="32" t="n">
        <f aca="false">IF(BP568=0,IF(BX568=0,0,1),(BX568-BP568)/BP568)</f>
        <v>0</v>
      </c>
      <c r="CG568" s="32" t="n">
        <f aca="false">IF(BQ568=0,IF(BY568=0,0,1),(BY568-BQ568)/BQ568)</f>
        <v>0</v>
      </c>
      <c r="CH568" s="32" t="n">
        <f aca="false">MAX(MAX(BZ568:CG568),-MIN(BZ568:CG568))</f>
        <v>-0</v>
      </c>
      <c r="CI568" s="31" t="n">
        <f aca="false">IF(CO568="","",SUMIFS($CJ$7:$CJ$696,$A$7:$A$696,CO568,$B$7:$B$696,B568))</f>
        <v>90202820</v>
      </c>
      <c r="CJ568" s="31" t="n">
        <f aca="false">SUM(AY568:BI568)</f>
        <v>90459332</v>
      </c>
      <c r="CK568" s="31" t="str">
        <f aca="false">IFERROR(INDEX(設定!$F$61:$F$106,MATCH(B568,設定!$B$61:$B$106,0)),"Y")</f>
        <v>Y</v>
      </c>
      <c r="CL568" s="31" t="str">
        <f aca="false">IFERROR(INDEX(設定!$G$61:$G$106,MATCH(B568,設定!$B$61:$B$106,0)),"外郭型")</f>
        <v>市局型</v>
      </c>
      <c r="CM568" s="33" t="str">
        <f aca="false">A568&amp;"|"&amp;B568</f>
        <v>2027-02 月例|水道局</v>
      </c>
      <c r="CN568" s="34" t="str">
        <f aca="false">IFERROR(INDEX(設定!$D$61:$D$106,MATCH(B568,設定!$B$61:$B$106,0)),"Y")</f>
        <v>N</v>
      </c>
      <c r="CO568" s="34" t="str">
        <f aca="false">IFERROR(INDEX(設定!$D$20:$D$34,MATCH(A568,設定!$A$20:$A$34,0))&amp;"","")</f>
        <v>2027-01 月例</v>
      </c>
    </row>
    <row r="569" customFormat="false" ht="15" hidden="true" customHeight="false" outlineLevel="0" collapsed="false">
      <c r="A569" s="22" t="s">
        <v>228</v>
      </c>
      <c r="B569" s="23" t="s">
        <v>178</v>
      </c>
      <c r="C569" s="10" t="str">
        <f aca="false">IF(G569="","未受領",IF(G569="なし","報告なし",IF(AL569="○","起票済",IF(OR(AK569="○",F569="一致",F569="入金不要"),"入金確認済","受領済"))))</f>
        <v>未受領</v>
      </c>
      <c r="D569" s="10" t="str">
        <f aca="false">IF(OR(G569="",G569="なし"),"―",IF(CN569="N","対象外",IF(AND(I569="",J569="",K569=""),"標報未入力",IF(CH569&gt;=設定!$B$4,"要確認","問題なし"))))</f>
        <v>―</v>
      </c>
      <c r="E569" s="24" t="str">
        <f aca="false">IF(OR(G569="",G569="なし",CI569="",CJ569=0),"―",IF(CJ569=CI569,"前月同額",IF(CI569=0,"―",IF(ABS(CJ569/CI569-1)&gt;=設定!$B$5,"変動大 "&amp;TEXT(CJ569/CI569-1,"+0%;-0%"),"〇"))))</f>
        <v>―</v>
      </c>
      <c r="F569" s="10" t="str">
        <f aca="false">IF(OR(G569="",G569="なし"),"―",IF(CJ569=0,"入金不要",IF(COUNT(AD569,AF569,AH569,AJ569)=0,IF(AK569="○","手動確認","未入金"),IF(AND(N(AD569)=AC569,IF(AE569="",TRUE(),N(AF569)=AE569),IF(AG569="",TRUE(),N(AH569)=AG569),IF(AI569="",TRUE(),N(AJ569)=AI569)),"一致","不一致"))))</f>
        <v>―</v>
      </c>
      <c r="G569" s="25"/>
      <c r="H569" s="26"/>
      <c r="I569" s="27"/>
      <c r="J569" s="27"/>
      <c r="K569" s="27"/>
      <c r="L569" s="27"/>
      <c r="M569" s="27"/>
      <c r="N569" s="27"/>
      <c r="O569" s="27"/>
      <c r="P569" s="27"/>
      <c r="Q569" s="27"/>
      <c r="R569" s="27"/>
      <c r="S569" s="27"/>
      <c r="T569" s="27"/>
      <c r="U569" s="27"/>
      <c r="V569" s="27"/>
      <c r="W569" s="27"/>
      <c r="X569" s="27"/>
      <c r="Y569" s="27"/>
      <c r="Z569" s="27"/>
      <c r="AA569" s="10" t="str">
        <f aca="false">IFERROR(INDEX(設定!$E$61:$E$106,MATCH(B569,設定!$B$61:$B$106,0)),"合算")</f>
        <v>合算</v>
      </c>
      <c r="AB569" s="28"/>
      <c r="AC569" s="29" t="str">
        <f aca="false">IF(OR(G569="",G569="なし"),"",IF(AA569="合算",CJ569+N(Z569),IF(AA569="掛金・負担金別",(AY569+AZ569+BD569+BF569+BH569),SUM(AY569:BC569))))</f>
        <v/>
      </c>
      <c r="AD569" s="27"/>
      <c r="AE569" s="29" t="str">
        <f aca="false">IF(OR(G569="",G569="なし"),"",IF(AA569="掛金・負担金別",(BA569+BB569+BC569+BE569+BG569+BI569+N(Z569)),IF(AA569="経理区分別",BD569+BE569,"")))</f>
        <v/>
      </c>
      <c r="AF569" s="27"/>
      <c r="AG569" s="29" t="str">
        <f aca="false">IF(OR(G569="",G569="なし"),"",IF(AA569="経理区分別",BF569+BG569,""))</f>
        <v/>
      </c>
      <c r="AH569" s="27"/>
      <c r="AI569" s="29" t="str">
        <f aca="false">IF(OR(G569="",G569="なし"),"",IF(AA569="経理区分別",BH569+BI569+N(Z569),""))</f>
        <v/>
      </c>
      <c r="AJ569" s="27"/>
      <c r="AK569" s="26"/>
      <c r="AL569" s="26"/>
      <c r="AM569" s="30"/>
      <c r="AN569" s="31" t="n">
        <v>48495</v>
      </c>
      <c r="AO569" s="31" t="n">
        <v>3975</v>
      </c>
      <c r="AP569" s="31" t="n">
        <v>70490</v>
      </c>
      <c r="AQ569" s="31" t="n">
        <v>3975</v>
      </c>
      <c r="AR569" s="31" t="n">
        <v>49</v>
      </c>
      <c r="AS569" s="31" t="n">
        <v>29155</v>
      </c>
      <c r="AT569" s="31" t="n">
        <v>29669</v>
      </c>
      <c r="AU569" s="31" t="n">
        <v>4187</v>
      </c>
      <c r="AV569" s="31" t="n">
        <v>4187</v>
      </c>
      <c r="AW569" s="31" t="n">
        <v>1</v>
      </c>
      <c r="AX569" s="31" t="n">
        <v>1</v>
      </c>
      <c r="AY569" s="31" t="n">
        <f aca="false">IF($G569="",AN569,O569)</f>
        <v>48495</v>
      </c>
      <c r="AZ569" s="31" t="n">
        <f aca="false">IF($G569="",AO569,P569)</f>
        <v>3975</v>
      </c>
      <c r="BA569" s="31" t="n">
        <f aca="false">IF($G569="",AP569,T569)</f>
        <v>70490</v>
      </c>
      <c r="BB569" s="31" t="n">
        <f aca="false">IF($G569="",AQ569,U569)</f>
        <v>3975</v>
      </c>
      <c r="BC569" s="31" t="n">
        <f aca="false">IF($G569="",AR569,V569)</f>
        <v>49</v>
      </c>
      <c r="BD569" s="31" t="n">
        <f aca="false">IF($G569="",AS569,Q569)</f>
        <v>29155</v>
      </c>
      <c r="BE569" s="31" t="n">
        <f aca="false">IF($G569="",AT569,W569)</f>
        <v>29669</v>
      </c>
      <c r="BF569" s="31" t="n">
        <f aca="false">IF($G569="",AU569,R569)</f>
        <v>4187</v>
      </c>
      <c r="BG569" s="31" t="n">
        <f aca="false">IF($G569="",AV569,X569)</f>
        <v>4187</v>
      </c>
      <c r="BH569" s="31" t="n">
        <f aca="false">IF($G569="",AW569,S569)</f>
        <v>1</v>
      </c>
      <c r="BI569" s="31" t="n">
        <f aca="false">IF($G569="",AX569,Y569)</f>
        <v>1</v>
      </c>
      <c r="BJ569" s="31" t="n">
        <f aca="false">IF(CK569="N",BR569,ROUNDDOWN((I569-L569)*設定!$B$10/1000,0)+ROUNDDOWN((I569-L569)*設定!$B$11/1000,0))</f>
        <v>0</v>
      </c>
      <c r="BK569" s="31" t="n">
        <f aca="false">ROUNDDOWN((I569-L569)*設定!$C$10/1000,0)+ROUNDDOWN((I569-L569)*設定!$C$11/1000,0)+ROUNDDOWN(I569*設定!$C$12/1000,0)+IF(CL569="市局型",ROUNDDOWN(I569*設定!$C$16/1000,0),0)</f>
        <v>0</v>
      </c>
      <c r="BL569" s="31" t="n">
        <f aca="false">IF(CK569="N",BT569,ROUNDDOWN((J569-M569)*設定!$B$13/1000,0))</f>
        <v>0</v>
      </c>
      <c r="BM569" s="31" t="n">
        <f aca="false">ROUNDDOWN((J569-M569)*設定!$C$13/1000,0)+IF(CL569="市局型",ROUNDDOWN(J569*設定!$C$17/1000,0),0)</f>
        <v>0</v>
      </c>
      <c r="BN569" s="31" t="n">
        <f aca="false">IF(CK569="N",BV569,ROUNDDOWN((K569-N569)*設定!$B$14/1000,0))</f>
        <v>0</v>
      </c>
      <c r="BO569" s="31" t="n">
        <f aca="false">ROUNDDOWN((K569-N569)*設定!$C$14/1000,0)</f>
        <v>0</v>
      </c>
      <c r="BP569" s="31" t="n">
        <f aca="false">IF(CK569="N",BX569,ROUNDDOWN((J569-M569)*設定!$B$15/1000,0))</f>
        <v>0</v>
      </c>
      <c r="BQ569" s="31" t="n">
        <f aca="false">ROUNDDOWN((J569-M569)*設定!$C$15/1000,0)</f>
        <v>0</v>
      </c>
      <c r="BR569" s="31" t="n">
        <f aca="false">O569+P569</f>
        <v>0</v>
      </c>
      <c r="BS569" s="31" t="n">
        <f aca="false">T569+U569+V569</f>
        <v>0</v>
      </c>
      <c r="BT569" s="31" t="n">
        <f aca="false">Q569</f>
        <v>0</v>
      </c>
      <c r="BU569" s="31" t="n">
        <f aca="false">W569</f>
        <v>0</v>
      </c>
      <c r="BV569" s="31" t="n">
        <f aca="false">R569</f>
        <v>0</v>
      </c>
      <c r="BW569" s="31" t="n">
        <f aca="false">X569</f>
        <v>0</v>
      </c>
      <c r="BX569" s="31" t="n">
        <f aca="false">S569</f>
        <v>0</v>
      </c>
      <c r="BY569" s="31" t="n">
        <f aca="false">Y569</f>
        <v>0</v>
      </c>
      <c r="BZ569" s="32" t="n">
        <f aca="false">IF(BJ569=0,IF(BR569=0,0,1),(BR569-BJ569)/BJ569)</f>
        <v>0</v>
      </c>
      <c r="CA569" s="32" t="n">
        <f aca="false">IF(BK569=0,IF(BS569=0,0,1),(BS569-BK569)/BK569)</f>
        <v>0</v>
      </c>
      <c r="CB569" s="32" t="n">
        <f aca="false">IF(BL569=0,IF(BT569=0,0,1),(BT569-BL569)/BL569)</f>
        <v>0</v>
      </c>
      <c r="CC569" s="32" t="n">
        <f aca="false">IF(BM569=0,IF(BU569=0,0,1),(BU569-BM569)/BM569)</f>
        <v>0</v>
      </c>
      <c r="CD569" s="32" t="n">
        <f aca="false">IF(BN569=0,IF(BV569=0,0,1),(BV569-BN569)/BN569)</f>
        <v>0</v>
      </c>
      <c r="CE569" s="32" t="n">
        <f aca="false">IF(BO569=0,IF(BW569=0,0,1),(BW569-BO569)/BO569)</f>
        <v>0</v>
      </c>
      <c r="CF569" s="32" t="n">
        <f aca="false">IF(BP569=0,IF(BX569=0,0,1),(BX569-BP569)/BP569)</f>
        <v>0</v>
      </c>
      <c r="CG569" s="32" t="n">
        <f aca="false">IF(BQ569=0,IF(BY569=0,0,1),(BY569-BQ569)/BQ569)</f>
        <v>0</v>
      </c>
      <c r="CH569" s="32" t="n">
        <f aca="false">MAX(MAX(BZ569:CG569),-MIN(BZ569:CG569))</f>
        <v>-0</v>
      </c>
      <c r="CI569" s="31" t="n">
        <f aca="false">IF(CO569="","",SUMIFS($CJ$7:$CJ$696,$A$7:$A$696,CO569,$B$7:$B$696,B569))</f>
        <v>194184</v>
      </c>
      <c r="CJ569" s="31" t="n">
        <f aca="false">SUM(AY569:BI569)</f>
        <v>194184</v>
      </c>
      <c r="CK569" s="31" t="str">
        <f aca="false">IFERROR(INDEX(設定!$F$61:$F$106,MATCH(B569,設定!$B$61:$B$106,0)),"Y")</f>
        <v>Y</v>
      </c>
      <c r="CL569" s="31" t="str">
        <f aca="false">IFERROR(INDEX(設定!$G$61:$G$106,MATCH(B569,設定!$B$61:$B$106,0)),"外郭型")</f>
        <v>市局型</v>
      </c>
      <c r="CM569" s="33" t="str">
        <f aca="false">A569&amp;"|"&amp;B569</f>
        <v>2027-02 月例|医療政策課(安芸市民)</v>
      </c>
      <c r="CN569" s="34" t="str">
        <f aca="false">IFERROR(INDEX(設定!$D$61:$D$106,MATCH(B569,設定!$B$61:$B$106,0)),"Y")</f>
        <v>Y</v>
      </c>
      <c r="CO569" s="34" t="str">
        <f aca="false">IFERROR(INDEX(設定!$D$20:$D$34,MATCH(A569,設定!$A$20:$A$34,0))&amp;"","")</f>
        <v>2027-01 月例</v>
      </c>
    </row>
    <row r="570" customFormat="false" ht="15" hidden="true" customHeight="false" outlineLevel="0" collapsed="false">
      <c r="A570" s="22" t="s">
        <v>228</v>
      </c>
      <c r="B570" s="23" t="s">
        <v>179</v>
      </c>
      <c r="C570" s="10" t="str">
        <f aca="false">IF(G570="","未受領",IF(G570="なし","報告なし",IF(AL570="○","起票済",IF(OR(AK570="○",F570="一致",F570="入金不要"),"入金確認済","受領済"))))</f>
        <v>未受領</v>
      </c>
      <c r="D570" s="10" t="str">
        <f aca="false">IF(OR(G570="",G570="なし"),"―",IF(CN570="N","対象外",IF(AND(I570="",J570="",K570=""),"標報未入力",IF(CH570&gt;=設定!$B$4,"要確認","問題なし"))))</f>
        <v>―</v>
      </c>
      <c r="E570" s="24" t="str">
        <f aca="false">IF(OR(G570="",G570="なし",CI570="",CJ570=0),"―",IF(CJ570=CI570,"前月同額",IF(CI570=0,"―",IF(ABS(CJ570/CI570-1)&gt;=設定!$B$5,"変動大 "&amp;TEXT(CJ570/CI570-1,"+0%;-0%"),"〇"))))</f>
        <v>―</v>
      </c>
      <c r="F570" s="10" t="str">
        <f aca="false">IF(OR(G570="",G570="なし"),"―",IF(CJ570=0,"入金不要",IF(COUNT(AD570,AF570,AH570,AJ570)=0,IF(AK570="○","手動確認","未入金"),IF(AND(N(AD570)=AC570,IF(AE570="",TRUE(),N(AF570)=AE570),IF(AG570="",TRUE(),N(AH570)=AG570),IF(AI570="",TRUE(),N(AJ570)=AI570)),"一致","不一致"))))</f>
        <v>―</v>
      </c>
      <c r="G570" s="25"/>
      <c r="H570" s="26"/>
      <c r="I570" s="27"/>
      <c r="J570" s="27"/>
      <c r="K570" s="27"/>
      <c r="L570" s="27"/>
      <c r="M570" s="27"/>
      <c r="N570" s="27"/>
      <c r="O570" s="27"/>
      <c r="P570" s="27"/>
      <c r="Q570" s="27"/>
      <c r="R570" s="27"/>
      <c r="S570" s="27"/>
      <c r="T570" s="27"/>
      <c r="U570" s="27"/>
      <c r="V570" s="27"/>
      <c r="W570" s="27"/>
      <c r="X570" s="27"/>
      <c r="Y570" s="27"/>
      <c r="Z570" s="27"/>
      <c r="AA570" s="10" t="str">
        <f aca="false">IFERROR(INDEX(設定!$E$61:$E$106,MATCH(B570,設定!$B$61:$B$106,0)),"合算")</f>
        <v>合算</v>
      </c>
      <c r="AB570" s="28"/>
      <c r="AC570" s="29" t="str">
        <f aca="false">IF(OR(G570="",G570="なし"),"",IF(AA570="合算",CJ570+N(Z570),IF(AA570="掛金・負担金別",(AY570+AZ570+BD570+BF570+BH570),SUM(AY570:BC570))))</f>
        <v/>
      </c>
      <c r="AD570" s="27"/>
      <c r="AE570" s="29" t="str">
        <f aca="false">IF(OR(G570="",G570="なし"),"",IF(AA570="掛金・負担金別",(BA570+BB570+BC570+BE570+BG570+BI570+N(Z570)),IF(AA570="経理区分別",BD570+BE570,"")))</f>
        <v/>
      </c>
      <c r="AF570" s="27"/>
      <c r="AG570" s="29" t="str">
        <f aca="false">IF(OR(G570="",G570="なし"),"",IF(AA570="経理区分別",BF570+BG570,""))</f>
        <v/>
      </c>
      <c r="AH570" s="27"/>
      <c r="AI570" s="29" t="str">
        <f aca="false">IF(OR(G570="",G570="なし"),"",IF(AA570="経理区分別",BH570+BI570+N(Z570),""))</f>
        <v/>
      </c>
      <c r="AJ570" s="27"/>
      <c r="AK570" s="26"/>
      <c r="AL570" s="26"/>
      <c r="AM570" s="30"/>
      <c r="AN570" s="31" t="n">
        <v>0</v>
      </c>
      <c r="AO570" s="31" t="n">
        <v>0</v>
      </c>
      <c r="AP570" s="31"/>
      <c r="AQ570" s="31"/>
      <c r="AR570" s="31" t="n">
        <v>0</v>
      </c>
      <c r="AS570" s="31" t="n">
        <v>248959</v>
      </c>
      <c r="AT570" s="31" t="n">
        <v>253575</v>
      </c>
      <c r="AU570" s="31" t="n">
        <v>7441</v>
      </c>
      <c r="AV570" s="31" t="n">
        <v>7441</v>
      </c>
      <c r="AW570" s="31" t="n">
        <v>1</v>
      </c>
      <c r="AX570" s="31" t="n">
        <v>1</v>
      </c>
      <c r="AY570" s="31" t="n">
        <f aca="false">IF($G570="",AN570,O570)</f>
        <v>0</v>
      </c>
      <c r="AZ570" s="31" t="n">
        <f aca="false">IF($G570="",AO570,P570)</f>
        <v>0</v>
      </c>
      <c r="BA570" s="31" t="n">
        <f aca="false">IF($G570="",AP570,T570)</f>
        <v>0</v>
      </c>
      <c r="BB570" s="31" t="n">
        <f aca="false">IF($G570="",AQ570,U570)</f>
        <v>0</v>
      </c>
      <c r="BC570" s="31" t="n">
        <f aca="false">IF($G570="",AR570,V570)</f>
        <v>0</v>
      </c>
      <c r="BD570" s="31" t="n">
        <f aca="false">IF($G570="",AS570,Q570)</f>
        <v>248959</v>
      </c>
      <c r="BE570" s="31" t="n">
        <f aca="false">IF($G570="",AT570,W570)</f>
        <v>253575</v>
      </c>
      <c r="BF570" s="31" t="n">
        <f aca="false">IF($G570="",AU570,R570)</f>
        <v>7441</v>
      </c>
      <c r="BG570" s="31" t="n">
        <f aca="false">IF($G570="",AV570,X570)</f>
        <v>7441</v>
      </c>
      <c r="BH570" s="31" t="n">
        <f aca="false">IF($G570="",AW570,S570)</f>
        <v>1</v>
      </c>
      <c r="BI570" s="31" t="n">
        <f aca="false">IF($G570="",AX570,Y570)</f>
        <v>1</v>
      </c>
      <c r="BJ570" s="31" t="n">
        <f aca="false">IF(CK570="N",BR570,ROUNDDOWN((I570-L570)*設定!$B$10/1000,0)+ROUNDDOWN((I570-L570)*設定!$B$11/1000,0))</f>
        <v>0</v>
      </c>
      <c r="BK570" s="31" t="n">
        <f aca="false">ROUNDDOWN((I570-L570)*設定!$C$10/1000,0)+ROUNDDOWN((I570-L570)*設定!$C$11/1000,0)+ROUNDDOWN(I570*設定!$C$12/1000,0)+IF(CL570="市局型",ROUNDDOWN(I570*設定!$C$16/1000,0),0)</f>
        <v>0</v>
      </c>
      <c r="BL570" s="31" t="n">
        <f aca="false">IF(CK570="N",BT570,ROUNDDOWN((J570-M570)*設定!$B$13/1000,0))</f>
        <v>0</v>
      </c>
      <c r="BM570" s="31" t="n">
        <f aca="false">ROUNDDOWN((J570-M570)*設定!$C$13/1000,0)+IF(CL570="市局型",ROUNDDOWN(J570*設定!$C$17/1000,0),0)</f>
        <v>0</v>
      </c>
      <c r="BN570" s="31" t="n">
        <f aca="false">IF(CK570="N",BV570,ROUNDDOWN((K570-N570)*設定!$B$14/1000,0))</f>
        <v>0</v>
      </c>
      <c r="BO570" s="31" t="n">
        <f aca="false">ROUNDDOWN((K570-N570)*設定!$C$14/1000,0)</f>
        <v>0</v>
      </c>
      <c r="BP570" s="31" t="n">
        <f aca="false">IF(CK570="N",BX570,ROUNDDOWN((J570-M570)*設定!$B$15/1000,0))</f>
        <v>0</v>
      </c>
      <c r="BQ570" s="31" t="n">
        <f aca="false">ROUNDDOWN((J570-M570)*設定!$C$15/1000,0)</f>
        <v>0</v>
      </c>
      <c r="BR570" s="31" t="n">
        <f aca="false">O570+P570</f>
        <v>0</v>
      </c>
      <c r="BS570" s="31" t="n">
        <f aca="false">T570+U570+V570</f>
        <v>0</v>
      </c>
      <c r="BT570" s="31" t="n">
        <f aca="false">Q570</f>
        <v>0</v>
      </c>
      <c r="BU570" s="31" t="n">
        <f aca="false">W570</f>
        <v>0</v>
      </c>
      <c r="BV570" s="31" t="n">
        <f aca="false">R570</f>
        <v>0</v>
      </c>
      <c r="BW570" s="31" t="n">
        <f aca="false">X570</f>
        <v>0</v>
      </c>
      <c r="BX570" s="31" t="n">
        <f aca="false">S570</f>
        <v>0</v>
      </c>
      <c r="BY570" s="31" t="n">
        <f aca="false">Y570</f>
        <v>0</v>
      </c>
      <c r="BZ570" s="32" t="n">
        <f aca="false">IF(BJ570=0,IF(BR570=0,0,1),(BR570-BJ570)/BJ570)</f>
        <v>0</v>
      </c>
      <c r="CA570" s="32" t="n">
        <f aca="false">IF(BK570=0,IF(BS570=0,0,1),(BS570-BK570)/BK570)</f>
        <v>0</v>
      </c>
      <c r="CB570" s="32" t="n">
        <f aca="false">IF(BL570=0,IF(BT570=0,0,1),(BT570-BL570)/BL570)</f>
        <v>0</v>
      </c>
      <c r="CC570" s="32" t="n">
        <f aca="false">IF(BM570=0,IF(BU570=0,0,1),(BU570-BM570)/BM570)</f>
        <v>0</v>
      </c>
      <c r="CD570" s="32" t="n">
        <f aca="false">IF(BN570=0,IF(BV570=0,0,1),(BV570-BN570)/BN570)</f>
        <v>0</v>
      </c>
      <c r="CE570" s="32" t="n">
        <f aca="false">IF(BO570=0,IF(BW570=0,0,1),(BW570-BO570)/BO570)</f>
        <v>0</v>
      </c>
      <c r="CF570" s="32" t="n">
        <f aca="false">IF(BP570=0,IF(BX570=0,0,1),(BX570-BP570)/BP570)</f>
        <v>0</v>
      </c>
      <c r="CG570" s="32" t="n">
        <f aca="false">IF(BQ570=0,IF(BY570=0,0,1),(BY570-BQ570)/BQ570)</f>
        <v>0</v>
      </c>
      <c r="CH570" s="32" t="n">
        <f aca="false">MAX(MAX(BZ570:CG570),-MIN(BZ570:CG570))</f>
        <v>-0</v>
      </c>
      <c r="CI570" s="31" t="n">
        <f aca="false">IF(CO570="","",SUMIFS($CJ$7:$CJ$696,$A$7:$A$696,CO570,$B$7:$B$696,B570))</f>
        <v>524823</v>
      </c>
      <c r="CJ570" s="31" t="n">
        <f aca="false">SUM(AY570:BI570)</f>
        <v>517418</v>
      </c>
      <c r="CK570" s="31" t="str">
        <f aca="false">IFERROR(INDEX(設定!$F$61:$F$106,MATCH(B570,設定!$B$61:$B$106,0)),"Y")</f>
        <v>Y</v>
      </c>
      <c r="CL570" s="31" t="str">
        <f aca="false">IFERROR(INDEX(設定!$G$61:$G$106,MATCH(B570,設定!$B$61:$B$106,0)),"外郭型")</f>
        <v>市局型</v>
      </c>
      <c r="CM570" s="33" t="str">
        <f aca="false">A570&amp;"|"&amp;B570</f>
        <v>2027-02 月例|教育委員会（教育給与課）</v>
      </c>
      <c r="CN570" s="34" t="str">
        <f aca="false">IFERROR(INDEX(設定!$D$61:$D$106,MATCH(B570,設定!$B$61:$B$106,0)),"Y")</f>
        <v>Y</v>
      </c>
      <c r="CO570" s="34" t="str">
        <f aca="false">IFERROR(INDEX(設定!$D$20:$D$34,MATCH(A570,設定!$A$20:$A$34,0))&amp;"","")</f>
        <v>2027-01 月例</v>
      </c>
    </row>
    <row r="571" customFormat="false" ht="15" hidden="true" customHeight="false" outlineLevel="0" collapsed="false">
      <c r="A571" s="22" t="s">
        <v>228</v>
      </c>
      <c r="B571" s="23" t="s">
        <v>180</v>
      </c>
      <c r="C571" s="10" t="str">
        <f aca="false">IF(G571="","未受領",IF(G571="なし","報告なし",IF(AL571="○","起票済",IF(OR(AK571="○",F571="一致",F571="入金不要"),"入金確認済","受領済"))))</f>
        <v>報告なし</v>
      </c>
      <c r="D571" s="10" t="str">
        <f aca="false">IF(OR(G571="",G571="なし"),"―",IF(CN571="N","対象外",IF(AND(I571="",J571="",K571=""),"標報未入力",IF(CH571&gt;=設定!$B$4,"要確認","問題なし"))))</f>
        <v>―</v>
      </c>
      <c r="E571" s="24" t="str">
        <f aca="false">IF(OR(G571="",G571="なし",CI571="",CJ571=0),"―",IF(CJ571=CI571,"前月同額",IF(CI571=0,"―",IF(ABS(CJ571/CI571-1)&gt;=設定!$B$5,"変動大 "&amp;TEXT(CJ571/CI571-1,"+0%;-0%"),"〇"))))</f>
        <v>―</v>
      </c>
      <c r="F571" s="10" t="str">
        <f aca="false">IF(OR(G571="",G571="なし"),"―",IF(CJ571=0,"入金不要",IF(COUNT(AD571,AF571,AH571,AJ571)=0,IF(AK571="○","手動確認","未入金"),IF(AND(N(AD571)=AC571,IF(AE571="",TRUE(),N(AF571)=AE571),IF(AG571="",TRUE(),N(AH571)=AG571),IF(AI571="",TRUE(),N(AJ571)=AI571)),"一致","不一致"))))</f>
        <v>―</v>
      </c>
      <c r="G571" s="25" t="s">
        <v>181</v>
      </c>
      <c r="H571" s="26"/>
      <c r="I571" s="27"/>
      <c r="J571" s="27"/>
      <c r="K571" s="27"/>
      <c r="L571" s="27"/>
      <c r="M571" s="27"/>
      <c r="N571" s="27"/>
      <c r="O571" s="27"/>
      <c r="P571" s="27"/>
      <c r="Q571" s="27"/>
      <c r="R571" s="27"/>
      <c r="S571" s="27"/>
      <c r="T571" s="27"/>
      <c r="U571" s="27"/>
      <c r="V571" s="27"/>
      <c r="W571" s="27"/>
      <c r="X571" s="27"/>
      <c r="Y571" s="27"/>
      <c r="Z571" s="27"/>
      <c r="AA571" s="10" t="str">
        <f aca="false">IFERROR(INDEX(設定!$E$61:$E$106,MATCH(B571,設定!$B$61:$B$106,0)),"合算")</f>
        <v>合算</v>
      </c>
      <c r="AB571" s="28"/>
      <c r="AC571" s="29" t="str">
        <f aca="false">IF(OR(G571="",G571="なし"),"",IF(AA571="合算",CJ571+N(Z571),IF(AA571="掛金・負担金別",(AY571+AZ571+BD571+BF571+BH571),SUM(AY571:BC571))))</f>
        <v/>
      </c>
      <c r="AD571" s="27"/>
      <c r="AE571" s="29" t="str">
        <f aca="false">IF(OR(G571="",G571="なし"),"",IF(AA571="掛金・負担金別",(BA571+BB571+BC571+BE571+BG571+BI571+N(Z571)),IF(AA571="経理区分別",BD571+BE571,"")))</f>
        <v/>
      </c>
      <c r="AF571" s="27"/>
      <c r="AG571" s="29" t="str">
        <f aca="false">IF(OR(G571="",G571="なし"),"",IF(AA571="経理区分別",BF571+BG571,""))</f>
        <v/>
      </c>
      <c r="AH571" s="27"/>
      <c r="AI571" s="29" t="str">
        <f aca="false">IF(OR(G571="",G571="なし"),"",IF(AA571="経理区分別",BH571+BI571+N(Z571),""))</f>
        <v/>
      </c>
      <c r="AJ571" s="27"/>
      <c r="AK571" s="26"/>
      <c r="AL571" s="26"/>
      <c r="AM571" s="30"/>
      <c r="AN571" s="31"/>
      <c r="AO571" s="31"/>
      <c r="AP571" s="31"/>
      <c r="AQ571" s="31"/>
      <c r="AR571" s="31"/>
      <c r="AS571" s="31"/>
      <c r="AT571" s="31"/>
      <c r="AU571" s="31"/>
      <c r="AV571" s="31"/>
      <c r="AW571" s="31"/>
      <c r="AX571" s="31"/>
      <c r="AY571" s="31" t="n">
        <f aca="false">IF($G571="",AN571,O571)</f>
        <v>0</v>
      </c>
      <c r="AZ571" s="31" t="n">
        <f aca="false">IF($G571="",AO571,P571)</f>
        <v>0</v>
      </c>
      <c r="BA571" s="31" t="n">
        <f aca="false">IF($G571="",AP571,T571)</f>
        <v>0</v>
      </c>
      <c r="BB571" s="31" t="n">
        <f aca="false">IF($G571="",AQ571,U571)</f>
        <v>0</v>
      </c>
      <c r="BC571" s="31" t="n">
        <f aca="false">IF($G571="",AR571,V571)</f>
        <v>0</v>
      </c>
      <c r="BD571" s="31" t="n">
        <f aca="false">IF($G571="",AS571,Q571)</f>
        <v>0</v>
      </c>
      <c r="BE571" s="31" t="n">
        <f aca="false">IF($G571="",AT571,W571)</f>
        <v>0</v>
      </c>
      <c r="BF571" s="31" t="n">
        <f aca="false">IF($G571="",AU571,R571)</f>
        <v>0</v>
      </c>
      <c r="BG571" s="31" t="n">
        <f aca="false">IF($G571="",AV571,X571)</f>
        <v>0</v>
      </c>
      <c r="BH571" s="31" t="n">
        <f aca="false">IF($G571="",AW571,S571)</f>
        <v>0</v>
      </c>
      <c r="BI571" s="31" t="n">
        <f aca="false">IF($G571="",AX571,Y571)</f>
        <v>0</v>
      </c>
      <c r="BJ571" s="31" t="n">
        <f aca="false">IF(CK571="N",BR571,ROUNDDOWN((I571-L571)*設定!$B$10/1000,0)+ROUNDDOWN((I571-L571)*設定!$B$11/1000,0))</f>
        <v>0</v>
      </c>
      <c r="BK571" s="31" t="n">
        <f aca="false">ROUNDDOWN((I571-L571)*設定!$C$10/1000,0)+ROUNDDOWN((I571-L571)*設定!$C$11/1000,0)+ROUNDDOWN(I571*設定!$C$12/1000,0)+IF(CL571="市局型",ROUNDDOWN(I571*設定!$C$16/1000,0),0)</f>
        <v>0</v>
      </c>
      <c r="BL571" s="31" t="n">
        <f aca="false">IF(CK571="N",BT571,ROUNDDOWN((J571-M571)*設定!$B$13/1000,0))</f>
        <v>0</v>
      </c>
      <c r="BM571" s="31" t="n">
        <f aca="false">ROUNDDOWN((J571-M571)*設定!$C$13/1000,0)+IF(CL571="市局型",ROUNDDOWN(J571*設定!$C$17/1000,0),0)</f>
        <v>0</v>
      </c>
      <c r="BN571" s="31" t="n">
        <f aca="false">IF(CK571="N",BV571,ROUNDDOWN((K571-N571)*設定!$B$14/1000,0))</f>
        <v>0</v>
      </c>
      <c r="BO571" s="31" t="n">
        <f aca="false">ROUNDDOWN((K571-N571)*設定!$C$14/1000,0)</f>
        <v>0</v>
      </c>
      <c r="BP571" s="31" t="n">
        <f aca="false">IF(CK571="N",BX571,ROUNDDOWN((J571-M571)*設定!$B$15/1000,0))</f>
        <v>0</v>
      </c>
      <c r="BQ571" s="31" t="n">
        <f aca="false">ROUNDDOWN((J571-M571)*設定!$C$15/1000,0)</f>
        <v>0</v>
      </c>
      <c r="BR571" s="31" t="n">
        <f aca="false">O571+P571</f>
        <v>0</v>
      </c>
      <c r="BS571" s="31" t="n">
        <f aca="false">T571+U571+V571</f>
        <v>0</v>
      </c>
      <c r="BT571" s="31" t="n">
        <f aca="false">Q571</f>
        <v>0</v>
      </c>
      <c r="BU571" s="31" t="n">
        <f aca="false">W571</f>
        <v>0</v>
      </c>
      <c r="BV571" s="31" t="n">
        <f aca="false">R571</f>
        <v>0</v>
      </c>
      <c r="BW571" s="31" t="n">
        <f aca="false">X571</f>
        <v>0</v>
      </c>
      <c r="BX571" s="31" t="n">
        <f aca="false">S571</f>
        <v>0</v>
      </c>
      <c r="BY571" s="31" t="n">
        <f aca="false">Y571</f>
        <v>0</v>
      </c>
      <c r="BZ571" s="32" t="n">
        <f aca="false">IF(BJ571=0,IF(BR571=0,0,1),(BR571-BJ571)/BJ571)</f>
        <v>0</v>
      </c>
      <c r="CA571" s="32" t="n">
        <f aca="false">IF(BK571=0,IF(BS571=0,0,1),(BS571-BK571)/BK571)</f>
        <v>0</v>
      </c>
      <c r="CB571" s="32" t="n">
        <f aca="false">IF(BL571=0,IF(BT571=0,0,1),(BT571-BL571)/BL571)</f>
        <v>0</v>
      </c>
      <c r="CC571" s="32" t="n">
        <f aca="false">IF(BM571=0,IF(BU571=0,0,1),(BU571-BM571)/BM571)</f>
        <v>0</v>
      </c>
      <c r="CD571" s="32" t="n">
        <f aca="false">IF(BN571=0,IF(BV571=0,0,1),(BV571-BN571)/BN571)</f>
        <v>0</v>
      </c>
      <c r="CE571" s="32" t="n">
        <f aca="false">IF(BO571=0,IF(BW571=0,0,1),(BW571-BO571)/BO571)</f>
        <v>0</v>
      </c>
      <c r="CF571" s="32" t="n">
        <f aca="false">IF(BP571=0,IF(BX571=0,0,1),(BX571-BP571)/BP571)</f>
        <v>0</v>
      </c>
      <c r="CG571" s="32" t="n">
        <f aca="false">IF(BQ571=0,IF(BY571=0,0,1),(BY571-BQ571)/BQ571)</f>
        <v>0</v>
      </c>
      <c r="CH571" s="32" t="n">
        <f aca="false">MAX(MAX(BZ571:CG571),-MIN(BZ571:CG571))</f>
        <v>-0</v>
      </c>
      <c r="CI571" s="31" t="n">
        <f aca="false">IF(CO571="","",SUMIFS($CJ$7:$CJ$696,$A$7:$A$696,CO571,$B$7:$B$696,B571))</f>
        <v>0</v>
      </c>
      <c r="CJ571" s="31" t="n">
        <f aca="false">SUM(AY571:BI571)</f>
        <v>0</v>
      </c>
      <c r="CK571" s="31" t="str">
        <f aca="false">IFERROR(INDEX(設定!$F$61:$F$106,MATCH(B571,設定!$B$61:$B$106,0)),"Y")</f>
        <v>N</v>
      </c>
      <c r="CL571" s="31" t="str">
        <f aca="false">IFERROR(INDEX(設定!$G$61:$G$106,MATCH(B571,設定!$B$61:$B$106,0)),"外郭型")</f>
        <v>外郭型</v>
      </c>
      <c r="CM571" s="33" t="str">
        <f aca="false">A571&amp;"|"&amp;B571</f>
        <v>2027-02 月例|地方税共同機構</v>
      </c>
      <c r="CN571" s="34" t="str">
        <f aca="false">IFERROR(INDEX(設定!$D$61:$D$106,MATCH(B571,設定!$B$61:$B$106,0)),"Y")</f>
        <v>Y</v>
      </c>
      <c r="CO571" s="34" t="str">
        <f aca="false">IFERROR(INDEX(設定!$D$20:$D$34,MATCH(A571,設定!$A$20:$A$34,0))&amp;"","")</f>
        <v>2027-01 月例</v>
      </c>
    </row>
    <row r="572" customFormat="false" ht="15" hidden="true" customHeight="false" outlineLevel="0" collapsed="false">
      <c r="A572" s="22" t="s">
        <v>228</v>
      </c>
      <c r="B572" s="23" t="s">
        <v>182</v>
      </c>
      <c r="C572" s="10" t="str">
        <f aca="false">IF(G572="","未受領",IF(G572="なし","報告なし",IF(AL572="○","起票済",IF(OR(AK572="○",F572="一致",F572="入金不要"),"入金確認済","受領済"))))</f>
        <v>未受領</v>
      </c>
      <c r="D572" s="10" t="str">
        <f aca="false">IF(OR(G572="",G572="なし"),"―",IF(CN572="N","対象外",IF(AND(I572="",J572="",K572=""),"標報未入力",IF(CH572&gt;=設定!$B$4,"要確認","問題なし"))))</f>
        <v>―</v>
      </c>
      <c r="E572" s="24" t="str">
        <f aca="false">IF(OR(G572="",G572="なし",CI572="",CJ572=0),"―",IF(CJ572=CI572,"前月同額",IF(CI572=0,"―",IF(ABS(CJ572/CI572-1)&gt;=設定!$B$5,"変動大 "&amp;TEXT(CJ572/CI572-1,"+0%;-0%"),"〇"))))</f>
        <v>―</v>
      </c>
      <c r="F572" s="10" t="str">
        <f aca="false">IF(OR(G572="",G572="なし"),"―",IF(CJ572=0,"入金不要",IF(COUNT(AD572,AF572,AH572,AJ572)=0,IF(AK572="○","手動確認","未入金"),IF(AND(N(AD572)=AC572,IF(AE572="",TRUE(),N(AF572)=AE572),IF(AG572="",TRUE(),N(AH572)=AG572),IF(AI572="",TRUE(),N(AJ572)=AI572)),"一致","不一致"))))</f>
        <v>―</v>
      </c>
      <c r="G572" s="25"/>
      <c r="H572" s="26"/>
      <c r="I572" s="27"/>
      <c r="J572" s="27"/>
      <c r="K572" s="27"/>
      <c r="L572" s="27"/>
      <c r="M572" s="27"/>
      <c r="N572" s="27"/>
      <c r="O572" s="27"/>
      <c r="P572" s="27"/>
      <c r="Q572" s="27"/>
      <c r="R572" s="27"/>
      <c r="S572" s="27"/>
      <c r="T572" s="27"/>
      <c r="U572" s="27"/>
      <c r="V572" s="27"/>
      <c r="W572" s="27"/>
      <c r="X572" s="27"/>
      <c r="Y572" s="27"/>
      <c r="Z572" s="27"/>
      <c r="AA572" s="10" t="str">
        <f aca="false">IFERROR(INDEX(設定!$E$61:$E$106,MATCH(B572,設定!$B$61:$B$106,0)),"合算")</f>
        <v>合算</v>
      </c>
      <c r="AB572" s="28"/>
      <c r="AC572" s="29" t="str">
        <f aca="false">IF(OR(G572="",G572="なし"),"",IF(AA572="合算",CJ572+N(Z572),IF(AA572="掛金・負担金別",(AY572+AZ572+BD572+BF572+BH572),SUM(AY572:BC572))))</f>
        <v/>
      </c>
      <c r="AD572" s="27"/>
      <c r="AE572" s="29" t="str">
        <f aca="false">IF(OR(G572="",G572="なし"),"",IF(AA572="掛金・負担金別",(BA572+BB572+BC572+BE572+BG572+BI572+N(Z572)),IF(AA572="経理区分別",BD572+BE572,"")))</f>
        <v/>
      </c>
      <c r="AF572" s="27"/>
      <c r="AG572" s="29" t="str">
        <f aca="false">IF(OR(G572="",G572="なし"),"",IF(AA572="経理区分別",BF572+BG572,""))</f>
        <v/>
      </c>
      <c r="AH572" s="27"/>
      <c r="AI572" s="29" t="str">
        <f aca="false">IF(OR(G572="",G572="なし"),"",IF(AA572="経理区分別",BH572+BI572+N(Z572),""))</f>
        <v/>
      </c>
      <c r="AJ572" s="27"/>
      <c r="AK572" s="26"/>
      <c r="AL572" s="26"/>
      <c r="AM572" s="30"/>
      <c r="AN572" s="31" t="n">
        <v>0</v>
      </c>
      <c r="AO572" s="31" t="n">
        <v>0</v>
      </c>
      <c r="AP572" s="31" t="n">
        <v>673440</v>
      </c>
      <c r="AQ572" s="31" t="n">
        <v>55200</v>
      </c>
      <c r="AR572" s="31" t="n">
        <v>758</v>
      </c>
      <c r="AS572" s="31" t="n">
        <v>0</v>
      </c>
      <c r="AT572" s="31" t="n">
        <v>407262</v>
      </c>
      <c r="AU572" s="31" t="n">
        <v>0</v>
      </c>
      <c r="AV572" s="31" t="n">
        <v>52377</v>
      </c>
      <c r="AW572" s="31" t="n">
        <v>0</v>
      </c>
      <c r="AX572" s="31" t="n">
        <v>1</v>
      </c>
      <c r="AY572" s="31" t="n">
        <f aca="false">IF($G572="",AN572,O572)</f>
        <v>0</v>
      </c>
      <c r="AZ572" s="31" t="n">
        <f aca="false">IF($G572="",AO572,P572)</f>
        <v>0</v>
      </c>
      <c r="BA572" s="31" t="n">
        <f aca="false">IF($G572="",AP572,T572)</f>
        <v>673440</v>
      </c>
      <c r="BB572" s="31" t="n">
        <f aca="false">IF($G572="",AQ572,U572)</f>
        <v>55200</v>
      </c>
      <c r="BC572" s="31" t="n">
        <f aca="false">IF($G572="",AR572,V572)</f>
        <v>758</v>
      </c>
      <c r="BD572" s="31" t="n">
        <f aca="false">IF($G572="",AS572,Q572)</f>
        <v>0</v>
      </c>
      <c r="BE572" s="31" t="n">
        <f aca="false">IF($G572="",AT572,W572)</f>
        <v>407262</v>
      </c>
      <c r="BF572" s="31" t="n">
        <f aca="false">IF($G572="",AU572,R572)</f>
        <v>0</v>
      </c>
      <c r="BG572" s="31" t="n">
        <f aca="false">IF($G572="",AV572,X572)</f>
        <v>52377</v>
      </c>
      <c r="BH572" s="31" t="n">
        <f aca="false">IF($G572="",AW572,S572)</f>
        <v>0</v>
      </c>
      <c r="BI572" s="31" t="n">
        <f aca="false">IF($G572="",AX572,Y572)</f>
        <v>1</v>
      </c>
      <c r="BJ572" s="31" t="n">
        <f aca="false">IF(CK572="N",BR572,ROUNDDOWN((I572-L572)*設定!$B$10/1000,0)+ROUNDDOWN((I572-L572)*設定!$B$11/1000,0))</f>
        <v>0</v>
      </c>
      <c r="BK572" s="31" t="n">
        <f aca="false">ROUNDDOWN((I572-L572)*設定!$C$10/1000,0)+ROUNDDOWN((I572-L572)*設定!$C$11/1000,0)+ROUNDDOWN(I572*設定!$C$12/1000,0)+IF(CL572="市局型",ROUNDDOWN(I572*設定!$C$16/1000,0),0)</f>
        <v>0</v>
      </c>
      <c r="BL572" s="31" t="n">
        <f aca="false">IF(CK572="N",BT572,ROUNDDOWN((J572-M572)*設定!$B$13/1000,0))</f>
        <v>0</v>
      </c>
      <c r="BM572" s="31" t="n">
        <f aca="false">ROUNDDOWN((J572-M572)*設定!$C$13/1000,0)+IF(CL572="市局型",ROUNDDOWN(J572*設定!$C$17/1000,0),0)</f>
        <v>0</v>
      </c>
      <c r="BN572" s="31" t="n">
        <f aca="false">IF(CK572="N",BV572,ROUNDDOWN((K572-N572)*設定!$B$14/1000,0))</f>
        <v>0</v>
      </c>
      <c r="BO572" s="31" t="n">
        <f aca="false">ROUNDDOWN((K572-N572)*設定!$C$14/1000,0)</f>
        <v>0</v>
      </c>
      <c r="BP572" s="31" t="n">
        <f aca="false">IF(CK572="N",BX572,ROUNDDOWN((J572-M572)*設定!$B$15/1000,0))</f>
        <v>0</v>
      </c>
      <c r="BQ572" s="31" t="n">
        <f aca="false">ROUNDDOWN((J572-M572)*設定!$C$15/1000,0)</f>
        <v>0</v>
      </c>
      <c r="BR572" s="31" t="n">
        <f aca="false">O572+P572</f>
        <v>0</v>
      </c>
      <c r="BS572" s="31" t="n">
        <f aca="false">T572+U572+V572</f>
        <v>0</v>
      </c>
      <c r="BT572" s="31" t="n">
        <f aca="false">Q572</f>
        <v>0</v>
      </c>
      <c r="BU572" s="31" t="n">
        <f aca="false">W572</f>
        <v>0</v>
      </c>
      <c r="BV572" s="31" t="n">
        <f aca="false">R572</f>
        <v>0</v>
      </c>
      <c r="BW572" s="31" t="n">
        <f aca="false">X572</f>
        <v>0</v>
      </c>
      <c r="BX572" s="31" t="n">
        <f aca="false">S572</f>
        <v>0</v>
      </c>
      <c r="BY572" s="31" t="n">
        <f aca="false">Y572</f>
        <v>0</v>
      </c>
      <c r="BZ572" s="32" t="n">
        <f aca="false">IF(BJ572=0,IF(BR572=0,0,1),(BR572-BJ572)/BJ572)</f>
        <v>0</v>
      </c>
      <c r="CA572" s="32" t="n">
        <f aca="false">IF(BK572=0,IF(BS572=0,0,1),(BS572-BK572)/BK572)</f>
        <v>0</v>
      </c>
      <c r="CB572" s="32" t="n">
        <f aca="false">IF(BL572=0,IF(BT572=0,0,1),(BT572-BL572)/BL572)</f>
        <v>0</v>
      </c>
      <c r="CC572" s="32" t="n">
        <f aca="false">IF(BM572=0,IF(BU572=0,0,1),(BU572-BM572)/BM572)</f>
        <v>0</v>
      </c>
      <c r="CD572" s="32" t="n">
        <f aca="false">IF(BN572=0,IF(BV572=0,0,1),(BV572-BN572)/BN572)</f>
        <v>0</v>
      </c>
      <c r="CE572" s="32" t="n">
        <f aca="false">IF(BO572=0,IF(BW572=0,0,1),(BW572-BO572)/BO572)</f>
        <v>0</v>
      </c>
      <c r="CF572" s="32" t="n">
        <f aca="false">IF(BP572=0,IF(BX572=0,0,1),(BX572-BP572)/BP572)</f>
        <v>0</v>
      </c>
      <c r="CG572" s="32" t="n">
        <f aca="false">IF(BQ572=0,IF(BY572=0,0,1),(BY572-BQ572)/BQ572)</f>
        <v>0</v>
      </c>
      <c r="CH572" s="32" t="n">
        <f aca="false">MAX(MAX(BZ572:CG572),-MIN(BZ572:CG572))</f>
        <v>-0</v>
      </c>
      <c r="CI572" s="31" t="n">
        <f aca="false">IF(CO572="","",SUMIFS($CJ$7:$CJ$696,$A$7:$A$696,CO572,$B$7:$B$696,B572))</f>
        <v>1130441</v>
      </c>
      <c r="CJ572" s="31" t="n">
        <f aca="false">SUM(AY572:BI572)</f>
        <v>1189038</v>
      </c>
      <c r="CK572" s="31" t="str">
        <f aca="false">IFERROR(INDEX(設定!$F$61:$F$106,MATCH(B572,設定!$B$61:$B$106,0)),"Y")</f>
        <v>Y</v>
      </c>
      <c r="CL572" s="31" t="str">
        <f aca="false">IFERROR(INDEX(設定!$G$61:$G$106,MATCH(B572,設定!$B$61:$B$106,0)),"外郭型")</f>
        <v>外郭型</v>
      </c>
      <c r="CM572" s="33" t="str">
        <f aca="false">A572&amp;"|"&amp;B572</f>
        <v>2027-02 月例|平和文化センター</v>
      </c>
      <c r="CN572" s="34" t="str">
        <f aca="false">IFERROR(INDEX(設定!$D$61:$D$106,MATCH(B572,設定!$B$61:$B$106,0)),"Y")</f>
        <v>Y</v>
      </c>
      <c r="CO572" s="34" t="str">
        <f aca="false">IFERROR(INDEX(設定!$D$20:$D$34,MATCH(A572,設定!$A$20:$A$34,0))&amp;"","")</f>
        <v>2027-01 月例</v>
      </c>
    </row>
    <row r="573" customFormat="false" ht="15" hidden="true" customHeight="false" outlineLevel="0" collapsed="false">
      <c r="A573" s="22" t="s">
        <v>228</v>
      </c>
      <c r="B573" s="23" t="s">
        <v>183</v>
      </c>
      <c r="C573" s="10" t="str">
        <f aca="false">IF(G573="","未受領",IF(G573="なし","報告なし",IF(AL573="○","起票済",IF(OR(AK573="○",F573="一致",F573="入金不要"),"入金確認済","受領済"))))</f>
        <v>未受領</v>
      </c>
      <c r="D573" s="10" t="str">
        <f aca="false">IF(OR(G573="",G573="なし"),"―",IF(CN573="N","対象外",IF(AND(I573="",J573="",K573=""),"標報未入力",IF(CH573&gt;=設定!$B$4,"要確認","問題なし"))))</f>
        <v>―</v>
      </c>
      <c r="E573" s="24" t="str">
        <f aca="false">IF(OR(G573="",G573="なし",CI573="",CJ573=0),"―",IF(CJ573=CI573,"前月同額",IF(CI573=0,"―",IF(ABS(CJ573/CI573-1)&gt;=設定!$B$5,"変動大 "&amp;TEXT(CJ573/CI573-1,"+0%;-0%"),"〇"))))</f>
        <v>―</v>
      </c>
      <c r="F573" s="10" t="str">
        <f aca="false">IF(OR(G573="",G573="なし"),"―",IF(CJ573=0,"入金不要",IF(COUNT(AD573,AF573,AH573,AJ573)=0,IF(AK573="○","手動確認","未入金"),IF(AND(N(AD573)=AC573,IF(AE573="",TRUE(),N(AF573)=AE573),IF(AG573="",TRUE(),N(AH573)=AG573),IF(AI573="",TRUE(),N(AJ573)=AI573)),"一致","不一致"))))</f>
        <v>―</v>
      </c>
      <c r="G573" s="25"/>
      <c r="H573" s="26"/>
      <c r="I573" s="27"/>
      <c r="J573" s="27"/>
      <c r="K573" s="27"/>
      <c r="L573" s="27"/>
      <c r="M573" s="27"/>
      <c r="N573" s="27"/>
      <c r="O573" s="27"/>
      <c r="P573" s="27"/>
      <c r="Q573" s="27"/>
      <c r="R573" s="27"/>
      <c r="S573" s="27"/>
      <c r="T573" s="27"/>
      <c r="U573" s="27"/>
      <c r="V573" s="27"/>
      <c r="W573" s="27"/>
      <c r="X573" s="27"/>
      <c r="Y573" s="27"/>
      <c r="Z573" s="27"/>
      <c r="AA573" s="10" t="str">
        <f aca="false">IFERROR(INDEX(設定!$E$61:$E$106,MATCH(B573,設定!$B$61:$B$106,0)),"合算")</f>
        <v>合算</v>
      </c>
      <c r="AB573" s="28"/>
      <c r="AC573" s="29" t="str">
        <f aca="false">IF(OR(G573="",G573="なし"),"",IF(AA573="合算",CJ573+N(Z573),IF(AA573="掛金・負担金別",(AY573+AZ573+BD573+BF573+BH573),SUM(AY573:BC573))))</f>
        <v/>
      </c>
      <c r="AD573" s="27"/>
      <c r="AE573" s="29" t="str">
        <f aca="false">IF(OR(G573="",G573="なし"),"",IF(AA573="掛金・負担金別",(BA573+BB573+BC573+BE573+BG573+BI573+N(Z573)),IF(AA573="経理区分別",BD573+BE573,"")))</f>
        <v/>
      </c>
      <c r="AF573" s="27"/>
      <c r="AG573" s="29" t="str">
        <f aca="false">IF(OR(G573="",G573="なし"),"",IF(AA573="経理区分別",BF573+BG573,""))</f>
        <v/>
      </c>
      <c r="AH573" s="27"/>
      <c r="AI573" s="29" t="str">
        <f aca="false">IF(OR(G573="",G573="なし"),"",IF(AA573="経理区分別",BH573+BI573+N(Z573),""))</f>
        <v/>
      </c>
      <c r="AJ573" s="27"/>
      <c r="AK573" s="26"/>
      <c r="AL573" s="26"/>
      <c r="AM573" s="30"/>
      <c r="AN573" s="31"/>
      <c r="AO573" s="31"/>
      <c r="AP573" s="31" t="n">
        <v>1886730</v>
      </c>
      <c r="AQ573" s="31" t="n">
        <v>154650</v>
      </c>
      <c r="AR573" s="31" t="n">
        <v>1988</v>
      </c>
      <c r="AS573" s="31"/>
      <c r="AT573" s="31" t="n">
        <v>1275306</v>
      </c>
      <c r="AU573" s="31"/>
      <c r="AV573" s="31" t="n">
        <v>141252</v>
      </c>
      <c r="AW573" s="31"/>
      <c r="AX573" s="31" t="n">
        <v>1</v>
      </c>
      <c r="AY573" s="31" t="n">
        <f aca="false">IF($G573="",AN573,O573)</f>
        <v>0</v>
      </c>
      <c r="AZ573" s="31" t="n">
        <f aca="false">IF($G573="",AO573,P573)</f>
        <v>0</v>
      </c>
      <c r="BA573" s="31" t="n">
        <f aca="false">IF($G573="",AP573,T573)</f>
        <v>1886730</v>
      </c>
      <c r="BB573" s="31" t="n">
        <f aca="false">IF($G573="",AQ573,U573)</f>
        <v>154650</v>
      </c>
      <c r="BC573" s="31" t="n">
        <f aca="false">IF($G573="",AR573,V573)</f>
        <v>1988</v>
      </c>
      <c r="BD573" s="31" t="n">
        <f aca="false">IF($G573="",AS573,Q573)</f>
        <v>0</v>
      </c>
      <c r="BE573" s="31" t="n">
        <f aca="false">IF($G573="",AT573,W573)</f>
        <v>1275306</v>
      </c>
      <c r="BF573" s="31" t="n">
        <f aca="false">IF($G573="",AU573,R573)</f>
        <v>0</v>
      </c>
      <c r="BG573" s="31" t="n">
        <f aca="false">IF($G573="",AV573,X573)</f>
        <v>141252</v>
      </c>
      <c r="BH573" s="31" t="n">
        <f aca="false">IF($G573="",AW573,S573)</f>
        <v>0</v>
      </c>
      <c r="BI573" s="31" t="n">
        <f aca="false">IF($G573="",AX573,Y573)</f>
        <v>1</v>
      </c>
      <c r="BJ573" s="31" t="n">
        <f aca="false">IF(CK573="N",BR573,ROUNDDOWN((I573-L573)*設定!$B$10/1000,0)+ROUNDDOWN((I573-L573)*設定!$B$11/1000,0))</f>
        <v>0</v>
      </c>
      <c r="BK573" s="31" t="n">
        <f aca="false">ROUNDDOWN((I573-L573)*設定!$C$10/1000,0)+ROUNDDOWN((I573-L573)*設定!$C$11/1000,0)+ROUNDDOWN(I573*設定!$C$12/1000,0)+IF(CL573="市局型",ROUNDDOWN(I573*設定!$C$16/1000,0),0)</f>
        <v>0</v>
      </c>
      <c r="BL573" s="31" t="n">
        <f aca="false">IF(CK573="N",BT573,ROUNDDOWN((J573-M573)*設定!$B$13/1000,0))</f>
        <v>0</v>
      </c>
      <c r="BM573" s="31" t="n">
        <f aca="false">ROUNDDOWN((J573-M573)*設定!$C$13/1000,0)+IF(CL573="市局型",ROUNDDOWN(J573*設定!$C$17/1000,0),0)</f>
        <v>0</v>
      </c>
      <c r="BN573" s="31" t="n">
        <f aca="false">IF(CK573="N",BV573,ROUNDDOWN((K573-N573)*設定!$B$14/1000,0))</f>
        <v>0</v>
      </c>
      <c r="BO573" s="31" t="n">
        <f aca="false">ROUNDDOWN((K573-N573)*設定!$C$14/1000,0)</f>
        <v>0</v>
      </c>
      <c r="BP573" s="31" t="n">
        <f aca="false">IF(CK573="N",BX573,ROUNDDOWN((J573-M573)*設定!$B$15/1000,0))</f>
        <v>0</v>
      </c>
      <c r="BQ573" s="31" t="n">
        <f aca="false">ROUNDDOWN((J573-M573)*設定!$C$15/1000,0)</f>
        <v>0</v>
      </c>
      <c r="BR573" s="31" t="n">
        <f aca="false">O573+P573</f>
        <v>0</v>
      </c>
      <c r="BS573" s="31" t="n">
        <f aca="false">T573+U573+V573</f>
        <v>0</v>
      </c>
      <c r="BT573" s="31" t="n">
        <f aca="false">Q573</f>
        <v>0</v>
      </c>
      <c r="BU573" s="31" t="n">
        <f aca="false">W573</f>
        <v>0</v>
      </c>
      <c r="BV573" s="31" t="n">
        <f aca="false">R573</f>
        <v>0</v>
      </c>
      <c r="BW573" s="31" t="n">
        <f aca="false">X573</f>
        <v>0</v>
      </c>
      <c r="BX573" s="31" t="n">
        <f aca="false">S573</f>
        <v>0</v>
      </c>
      <c r="BY573" s="31" t="n">
        <f aca="false">Y573</f>
        <v>0</v>
      </c>
      <c r="BZ573" s="32" t="n">
        <f aca="false">IF(BJ573=0,IF(BR573=0,0,1),(BR573-BJ573)/BJ573)</f>
        <v>0</v>
      </c>
      <c r="CA573" s="32" t="n">
        <f aca="false">IF(BK573=0,IF(BS573=0,0,1),(BS573-BK573)/BK573)</f>
        <v>0</v>
      </c>
      <c r="CB573" s="32" t="n">
        <f aca="false">IF(BL573=0,IF(BT573=0,0,1),(BT573-BL573)/BL573)</f>
        <v>0</v>
      </c>
      <c r="CC573" s="32" t="n">
        <f aca="false">IF(BM573=0,IF(BU573=0,0,1),(BU573-BM573)/BM573)</f>
        <v>0</v>
      </c>
      <c r="CD573" s="32" t="n">
        <f aca="false">IF(BN573=0,IF(BV573=0,0,1),(BV573-BN573)/BN573)</f>
        <v>0</v>
      </c>
      <c r="CE573" s="32" t="n">
        <f aca="false">IF(BO573=0,IF(BW573=0,0,1),(BW573-BO573)/BO573)</f>
        <v>0</v>
      </c>
      <c r="CF573" s="32" t="n">
        <f aca="false">IF(BP573=0,IF(BX573=0,0,1),(BX573-BP573)/BP573)</f>
        <v>0</v>
      </c>
      <c r="CG573" s="32" t="n">
        <f aca="false">IF(BQ573=0,IF(BY573=0,0,1),(BY573-BQ573)/BQ573)</f>
        <v>0</v>
      </c>
      <c r="CH573" s="32" t="n">
        <f aca="false">MAX(MAX(BZ573:CG573),-MIN(BZ573:CG573))</f>
        <v>-0</v>
      </c>
      <c r="CI573" s="31" t="n">
        <f aca="false">IF(CO573="","",SUMIFS($CJ$7:$CJ$696,$A$7:$A$696,CO573,$B$7:$B$696,B573))</f>
        <v>3459927</v>
      </c>
      <c r="CJ573" s="31" t="n">
        <f aca="false">SUM(AY573:BI573)</f>
        <v>3459927</v>
      </c>
      <c r="CK573" s="31" t="str">
        <f aca="false">IFERROR(INDEX(設定!$F$61:$F$106,MATCH(B573,設定!$B$61:$B$106,0)),"Y")</f>
        <v>N</v>
      </c>
      <c r="CL573" s="31" t="str">
        <f aca="false">IFERROR(INDEX(設定!$G$61:$G$106,MATCH(B573,設定!$B$61:$B$106,0)),"外郭型")</f>
        <v>外郭型</v>
      </c>
      <c r="CM573" s="33" t="str">
        <f aca="false">A573&amp;"|"&amp;B573</f>
        <v>2027-02 月例|社会福祉事業団</v>
      </c>
      <c r="CN573" s="34" t="str">
        <f aca="false">IFERROR(INDEX(設定!$D$61:$D$106,MATCH(B573,設定!$B$61:$B$106,0)),"Y")</f>
        <v>Y</v>
      </c>
      <c r="CO573" s="34" t="str">
        <f aca="false">IFERROR(INDEX(設定!$D$20:$D$34,MATCH(A573,設定!$A$20:$A$34,0))&amp;"","")</f>
        <v>2027-01 月例</v>
      </c>
    </row>
    <row r="574" customFormat="false" ht="15" hidden="true" customHeight="false" outlineLevel="0" collapsed="false">
      <c r="A574" s="22" t="s">
        <v>228</v>
      </c>
      <c r="B574" s="23" t="s">
        <v>184</v>
      </c>
      <c r="C574" s="10" t="str">
        <f aca="false">IF(G574="","未受領",IF(G574="なし","報告なし",IF(AL574="○","起票済",IF(OR(AK574="○",F574="一致",F574="入金不要"),"入金確認済","受領済"))))</f>
        <v>未受領</v>
      </c>
      <c r="D574" s="10" t="str">
        <f aca="false">IF(OR(G574="",G574="なし"),"―",IF(CN574="N","対象外",IF(AND(I574="",J574="",K574=""),"標報未入力",IF(CH574&gt;=設定!$B$4,"要確認","問題なし"))))</f>
        <v>―</v>
      </c>
      <c r="E574" s="24" t="str">
        <f aca="false">IF(OR(G574="",G574="なし",CI574="",CJ574=0),"―",IF(CJ574=CI574,"前月同額",IF(CI574=0,"―",IF(ABS(CJ574/CI574-1)&gt;=設定!$B$5,"変動大 "&amp;TEXT(CJ574/CI574-1,"+0%;-0%"),"〇"))))</f>
        <v>―</v>
      </c>
      <c r="F574" s="10" t="str">
        <f aca="false">IF(OR(G574="",G574="なし"),"―",IF(CJ574=0,"入金不要",IF(COUNT(AD574,AF574,AH574,AJ574)=0,IF(AK574="○","手動確認","未入金"),IF(AND(N(AD574)=AC574,IF(AE574="",TRUE(),N(AF574)=AE574),IF(AG574="",TRUE(),N(AH574)=AG574),IF(AI574="",TRUE(),N(AJ574)=AI574)),"一致","不一致"))))</f>
        <v>―</v>
      </c>
      <c r="G574" s="25"/>
      <c r="H574" s="26"/>
      <c r="I574" s="27"/>
      <c r="J574" s="27"/>
      <c r="K574" s="27"/>
      <c r="L574" s="27"/>
      <c r="M574" s="27"/>
      <c r="N574" s="27"/>
      <c r="O574" s="27"/>
      <c r="P574" s="27"/>
      <c r="Q574" s="27"/>
      <c r="R574" s="27"/>
      <c r="S574" s="27"/>
      <c r="T574" s="27"/>
      <c r="U574" s="27"/>
      <c r="V574" s="27"/>
      <c r="W574" s="27"/>
      <c r="X574" s="27"/>
      <c r="Y574" s="27"/>
      <c r="Z574" s="27"/>
      <c r="AA574" s="10" t="str">
        <f aca="false">IFERROR(INDEX(設定!$E$61:$E$106,MATCH(B574,設定!$B$61:$B$106,0)),"合算")</f>
        <v>合算</v>
      </c>
      <c r="AB574" s="28"/>
      <c r="AC574" s="29" t="str">
        <f aca="false">IF(OR(G574="",G574="なし"),"",IF(AA574="合算",CJ574+N(Z574),IF(AA574="掛金・負担金別",(AY574+AZ574+BD574+BF574+BH574),SUM(AY574:BC574))))</f>
        <v/>
      </c>
      <c r="AD574" s="27"/>
      <c r="AE574" s="29" t="str">
        <f aca="false">IF(OR(G574="",G574="なし"),"",IF(AA574="掛金・負担金別",(BA574+BB574+BC574+BE574+BG574+BI574+N(Z574)),IF(AA574="経理区分別",BD574+BE574,"")))</f>
        <v/>
      </c>
      <c r="AF574" s="27"/>
      <c r="AG574" s="29" t="str">
        <f aca="false">IF(OR(G574="",G574="なし"),"",IF(AA574="経理区分別",BF574+BG574,""))</f>
        <v/>
      </c>
      <c r="AH574" s="27"/>
      <c r="AI574" s="29" t="str">
        <f aca="false">IF(OR(G574="",G574="なし"),"",IF(AA574="経理区分別",BH574+BI574+N(Z574),""))</f>
        <v/>
      </c>
      <c r="AJ574" s="27"/>
      <c r="AK574" s="26"/>
      <c r="AL574" s="26"/>
      <c r="AM574" s="30"/>
      <c r="AN574" s="31"/>
      <c r="AO574" s="31"/>
      <c r="AP574" s="31" t="n">
        <v>48495</v>
      </c>
      <c r="AQ574" s="31" t="n">
        <v>3975</v>
      </c>
      <c r="AR574" s="31" t="n">
        <v>49</v>
      </c>
      <c r="AS574" s="31"/>
      <c r="AT574" s="31" t="n">
        <v>29208</v>
      </c>
      <c r="AU574" s="31"/>
      <c r="AV574" s="31" t="n">
        <v>4187</v>
      </c>
      <c r="AW574" s="31"/>
      <c r="AX574" s="31" t="n">
        <v>1</v>
      </c>
      <c r="AY574" s="31" t="n">
        <f aca="false">IF($G574="",AN574,O574)</f>
        <v>0</v>
      </c>
      <c r="AZ574" s="31" t="n">
        <f aca="false">IF($G574="",AO574,P574)</f>
        <v>0</v>
      </c>
      <c r="BA574" s="31" t="n">
        <f aca="false">IF($G574="",AP574,T574)</f>
        <v>48495</v>
      </c>
      <c r="BB574" s="31" t="n">
        <f aca="false">IF($G574="",AQ574,U574)</f>
        <v>3975</v>
      </c>
      <c r="BC574" s="31" t="n">
        <f aca="false">IF($G574="",AR574,V574)</f>
        <v>49</v>
      </c>
      <c r="BD574" s="31" t="n">
        <f aca="false">IF($G574="",AS574,Q574)</f>
        <v>0</v>
      </c>
      <c r="BE574" s="31" t="n">
        <f aca="false">IF($G574="",AT574,W574)</f>
        <v>29208</v>
      </c>
      <c r="BF574" s="31" t="n">
        <f aca="false">IF($G574="",AU574,R574)</f>
        <v>0</v>
      </c>
      <c r="BG574" s="31" t="n">
        <f aca="false">IF($G574="",AV574,X574)</f>
        <v>4187</v>
      </c>
      <c r="BH574" s="31" t="n">
        <f aca="false">IF($G574="",AW574,S574)</f>
        <v>0</v>
      </c>
      <c r="BI574" s="31" t="n">
        <f aca="false">IF($G574="",AX574,Y574)</f>
        <v>1</v>
      </c>
      <c r="BJ574" s="31" t="n">
        <f aca="false">IF(CK574="N",BR574,ROUNDDOWN((I574-L574)*設定!$B$10/1000,0)+ROUNDDOWN((I574-L574)*設定!$B$11/1000,0))</f>
        <v>0</v>
      </c>
      <c r="BK574" s="31" t="n">
        <f aca="false">ROUNDDOWN((I574-L574)*設定!$C$10/1000,0)+ROUNDDOWN((I574-L574)*設定!$C$11/1000,0)+ROUNDDOWN(I574*設定!$C$12/1000,0)+IF(CL574="市局型",ROUNDDOWN(I574*設定!$C$16/1000,0),0)</f>
        <v>0</v>
      </c>
      <c r="BL574" s="31" t="n">
        <f aca="false">IF(CK574="N",BT574,ROUNDDOWN((J574-M574)*設定!$B$13/1000,0))</f>
        <v>0</v>
      </c>
      <c r="BM574" s="31" t="n">
        <f aca="false">ROUNDDOWN((J574-M574)*設定!$C$13/1000,0)+IF(CL574="市局型",ROUNDDOWN(J574*設定!$C$17/1000,0),0)</f>
        <v>0</v>
      </c>
      <c r="BN574" s="31" t="n">
        <f aca="false">IF(CK574="N",BV574,ROUNDDOWN((K574-N574)*設定!$B$14/1000,0))</f>
        <v>0</v>
      </c>
      <c r="BO574" s="31" t="n">
        <f aca="false">ROUNDDOWN((K574-N574)*設定!$C$14/1000,0)</f>
        <v>0</v>
      </c>
      <c r="BP574" s="31" t="n">
        <f aca="false">IF(CK574="N",BX574,ROUNDDOWN((J574-M574)*設定!$B$15/1000,0))</f>
        <v>0</v>
      </c>
      <c r="BQ574" s="31" t="n">
        <f aca="false">ROUNDDOWN((J574-M574)*設定!$C$15/1000,0)</f>
        <v>0</v>
      </c>
      <c r="BR574" s="31" t="n">
        <f aca="false">O574+P574</f>
        <v>0</v>
      </c>
      <c r="BS574" s="31" t="n">
        <f aca="false">T574+U574+V574</f>
        <v>0</v>
      </c>
      <c r="BT574" s="31" t="n">
        <f aca="false">Q574</f>
        <v>0</v>
      </c>
      <c r="BU574" s="31" t="n">
        <f aca="false">W574</f>
        <v>0</v>
      </c>
      <c r="BV574" s="31" t="n">
        <f aca="false">R574</f>
        <v>0</v>
      </c>
      <c r="BW574" s="31" t="n">
        <f aca="false">X574</f>
        <v>0</v>
      </c>
      <c r="BX574" s="31" t="n">
        <f aca="false">S574</f>
        <v>0</v>
      </c>
      <c r="BY574" s="31" t="n">
        <f aca="false">Y574</f>
        <v>0</v>
      </c>
      <c r="BZ574" s="32" t="n">
        <f aca="false">IF(BJ574=0,IF(BR574=0,0,1),(BR574-BJ574)/BJ574)</f>
        <v>0</v>
      </c>
      <c r="CA574" s="32" t="n">
        <f aca="false">IF(BK574=0,IF(BS574=0,0,1),(BS574-BK574)/BK574)</f>
        <v>0</v>
      </c>
      <c r="CB574" s="32" t="n">
        <f aca="false">IF(BL574=0,IF(BT574=0,0,1),(BT574-BL574)/BL574)</f>
        <v>0</v>
      </c>
      <c r="CC574" s="32" t="n">
        <f aca="false">IF(BM574=0,IF(BU574=0,0,1),(BU574-BM574)/BM574)</f>
        <v>0</v>
      </c>
      <c r="CD574" s="32" t="n">
        <f aca="false">IF(BN574=0,IF(BV574=0,0,1),(BV574-BN574)/BN574)</f>
        <v>0</v>
      </c>
      <c r="CE574" s="32" t="n">
        <f aca="false">IF(BO574=0,IF(BW574=0,0,1),(BW574-BO574)/BO574)</f>
        <v>0</v>
      </c>
      <c r="CF574" s="32" t="n">
        <f aca="false">IF(BP574=0,IF(BX574=0,0,1),(BX574-BP574)/BP574)</f>
        <v>0</v>
      </c>
      <c r="CG574" s="32" t="n">
        <f aca="false">IF(BQ574=0,IF(BY574=0,0,1),(BY574-BQ574)/BQ574)</f>
        <v>0</v>
      </c>
      <c r="CH574" s="32" t="n">
        <f aca="false">MAX(MAX(BZ574:CG574),-MIN(BZ574:CG574))</f>
        <v>-0</v>
      </c>
      <c r="CI574" s="31" t="n">
        <f aca="false">IF(CO574="","",SUMIFS($CJ$7:$CJ$696,$A$7:$A$696,CO574,$B$7:$B$696,B574))</f>
        <v>85915</v>
      </c>
      <c r="CJ574" s="31" t="n">
        <f aca="false">SUM(AY574:BI574)</f>
        <v>85915</v>
      </c>
      <c r="CK574" s="31" t="str">
        <f aca="false">IFERROR(INDEX(設定!$F$61:$F$106,MATCH(B574,設定!$B$61:$B$106,0)),"Y")</f>
        <v>N</v>
      </c>
      <c r="CL574" s="31" t="str">
        <f aca="false">IFERROR(INDEX(設定!$G$61:$G$106,MATCH(B574,設定!$B$61:$B$106,0)),"外郭型")</f>
        <v>外郭型</v>
      </c>
      <c r="CM574" s="33" t="str">
        <f aca="false">A574&amp;"|"&amp;B574</f>
        <v>2027-02 月例|原爆障害対策協議会</v>
      </c>
      <c r="CN574" s="34" t="str">
        <f aca="false">IFERROR(INDEX(設定!$D$61:$D$106,MATCH(B574,設定!$B$61:$B$106,0)),"Y")</f>
        <v>Y</v>
      </c>
      <c r="CO574" s="34" t="str">
        <f aca="false">IFERROR(INDEX(設定!$D$20:$D$34,MATCH(A574,設定!$A$20:$A$34,0))&amp;"","")</f>
        <v>2027-01 月例</v>
      </c>
    </row>
    <row r="575" customFormat="false" ht="15" hidden="true" customHeight="false" outlineLevel="0" collapsed="false">
      <c r="A575" s="22" t="s">
        <v>228</v>
      </c>
      <c r="B575" s="23" t="s">
        <v>185</v>
      </c>
      <c r="C575" s="10" t="str">
        <f aca="false">IF(G575="","未受領",IF(G575="なし","報告なし",IF(AL575="○","起票済",IF(OR(AK575="○",F575="一致",F575="入金不要"),"入金確認済","受領済"))))</f>
        <v>未受領</v>
      </c>
      <c r="D575" s="10" t="str">
        <f aca="false">IF(OR(G575="",G575="なし"),"―",IF(CN575="N","対象外",IF(AND(I575="",J575="",K575=""),"標報未入力",IF(CH575&gt;=設定!$B$4,"要確認","問題なし"))))</f>
        <v>―</v>
      </c>
      <c r="E575" s="24" t="str">
        <f aca="false">IF(OR(G575="",G575="なし",CI575="",CJ575=0),"―",IF(CJ575=CI575,"前月同額",IF(CI575=0,"―",IF(ABS(CJ575/CI575-1)&gt;=設定!$B$5,"変動大 "&amp;TEXT(CJ575/CI575-1,"+0%;-0%"),"〇"))))</f>
        <v>―</v>
      </c>
      <c r="F575" s="10" t="str">
        <f aca="false">IF(OR(G575="",G575="なし"),"―",IF(CJ575=0,"入金不要",IF(COUNT(AD575,AF575,AH575,AJ575)=0,IF(AK575="○","手動確認","未入金"),IF(AND(N(AD575)=AC575,IF(AE575="",TRUE(),N(AF575)=AE575),IF(AG575="",TRUE(),N(AH575)=AG575),IF(AI575="",TRUE(),N(AJ575)=AI575)),"一致","不一致"))))</f>
        <v>―</v>
      </c>
      <c r="G575" s="25"/>
      <c r="H575" s="26"/>
      <c r="I575" s="27"/>
      <c r="J575" s="27"/>
      <c r="K575" s="27"/>
      <c r="L575" s="27"/>
      <c r="M575" s="27"/>
      <c r="N575" s="27"/>
      <c r="O575" s="27"/>
      <c r="P575" s="27"/>
      <c r="Q575" s="27"/>
      <c r="R575" s="27"/>
      <c r="S575" s="27"/>
      <c r="T575" s="27"/>
      <c r="U575" s="27"/>
      <c r="V575" s="27"/>
      <c r="W575" s="27"/>
      <c r="X575" s="27"/>
      <c r="Y575" s="27"/>
      <c r="Z575" s="27"/>
      <c r="AA575" s="10" t="str">
        <f aca="false">IFERROR(INDEX(設定!$E$61:$E$106,MATCH(B575,設定!$B$61:$B$106,0)),"合算")</f>
        <v>合算</v>
      </c>
      <c r="AB575" s="28"/>
      <c r="AC575" s="29" t="str">
        <f aca="false">IF(OR(G575="",G575="なし"),"",IF(AA575="合算",CJ575+N(Z575),IF(AA575="掛金・負担金別",(AY575+AZ575+BD575+BF575+BH575),SUM(AY575:BC575))))</f>
        <v/>
      </c>
      <c r="AD575" s="27"/>
      <c r="AE575" s="29" t="str">
        <f aca="false">IF(OR(G575="",G575="なし"),"",IF(AA575="掛金・負担金別",(BA575+BB575+BC575+BE575+BG575+BI575+N(Z575)),IF(AA575="経理区分別",BD575+BE575,"")))</f>
        <v/>
      </c>
      <c r="AF575" s="27"/>
      <c r="AG575" s="29" t="str">
        <f aca="false">IF(OR(G575="",G575="なし"),"",IF(AA575="経理区分別",BF575+BG575,""))</f>
        <v/>
      </c>
      <c r="AH575" s="27"/>
      <c r="AI575" s="29" t="str">
        <f aca="false">IF(OR(G575="",G575="なし"),"",IF(AA575="経理区分別",BH575+BI575+N(Z575),""))</f>
        <v/>
      </c>
      <c r="AJ575" s="27"/>
      <c r="AK575" s="26"/>
      <c r="AL575" s="26"/>
      <c r="AM575" s="30"/>
      <c r="AN575" s="31"/>
      <c r="AO575" s="31"/>
      <c r="AP575" s="31" t="n">
        <v>425475</v>
      </c>
      <c r="AQ575" s="31" t="n">
        <v>34875</v>
      </c>
      <c r="AR575" s="31" t="n">
        <v>435</v>
      </c>
      <c r="AS575" s="31"/>
      <c r="AT575" s="31" t="n">
        <v>256260</v>
      </c>
      <c r="AU575" s="31"/>
      <c r="AV575" s="31" t="n">
        <v>34207</v>
      </c>
      <c r="AW575" s="31"/>
      <c r="AX575" s="31" t="n">
        <v>1</v>
      </c>
      <c r="AY575" s="31" t="n">
        <f aca="false">IF($G575="",AN575,O575)</f>
        <v>0</v>
      </c>
      <c r="AZ575" s="31" t="n">
        <f aca="false">IF($G575="",AO575,P575)</f>
        <v>0</v>
      </c>
      <c r="BA575" s="31" t="n">
        <f aca="false">IF($G575="",AP575,T575)</f>
        <v>425475</v>
      </c>
      <c r="BB575" s="31" t="n">
        <f aca="false">IF($G575="",AQ575,U575)</f>
        <v>34875</v>
      </c>
      <c r="BC575" s="31" t="n">
        <f aca="false">IF($G575="",AR575,V575)</f>
        <v>435</v>
      </c>
      <c r="BD575" s="31" t="n">
        <f aca="false">IF($G575="",AS575,Q575)</f>
        <v>0</v>
      </c>
      <c r="BE575" s="31" t="n">
        <f aca="false">IF($G575="",AT575,W575)</f>
        <v>256260</v>
      </c>
      <c r="BF575" s="31" t="n">
        <f aca="false">IF($G575="",AU575,R575)</f>
        <v>0</v>
      </c>
      <c r="BG575" s="31" t="n">
        <f aca="false">IF($G575="",AV575,X575)</f>
        <v>34207</v>
      </c>
      <c r="BH575" s="31" t="n">
        <f aca="false">IF($G575="",AW575,S575)</f>
        <v>0</v>
      </c>
      <c r="BI575" s="31" t="n">
        <f aca="false">IF($G575="",AX575,Y575)</f>
        <v>1</v>
      </c>
      <c r="BJ575" s="31" t="n">
        <f aca="false">IF(CK575="N",BR575,ROUNDDOWN((I575-L575)*設定!$B$10/1000,0)+ROUNDDOWN((I575-L575)*設定!$B$11/1000,0))</f>
        <v>0</v>
      </c>
      <c r="BK575" s="31" t="n">
        <f aca="false">ROUNDDOWN((I575-L575)*設定!$C$10/1000,0)+ROUNDDOWN((I575-L575)*設定!$C$11/1000,0)+ROUNDDOWN(I575*設定!$C$12/1000,0)+IF(CL575="市局型",ROUNDDOWN(I575*設定!$C$16/1000,0),0)</f>
        <v>0</v>
      </c>
      <c r="BL575" s="31" t="n">
        <f aca="false">IF(CK575="N",BT575,ROUNDDOWN((J575-M575)*設定!$B$13/1000,0))</f>
        <v>0</v>
      </c>
      <c r="BM575" s="31" t="n">
        <f aca="false">ROUNDDOWN((J575-M575)*設定!$C$13/1000,0)+IF(CL575="市局型",ROUNDDOWN(J575*設定!$C$17/1000,0),0)</f>
        <v>0</v>
      </c>
      <c r="BN575" s="31" t="n">
        <f aca="false">IF(CK575="N",BV575,ROUNDDOWN((K575-N575)*設定!$B$14/1000,0))</f>
        <v>0</v>
      </c>
      <c r="BO575" s="31" t="n">
        <f aca="false">ROUNDDOWN((K575-N575)*設定!$C$14/1000,0)</f>
        <v>0</v>
      </c>
      <c r="BP575" s="31" t="n">
        <f aca="false">IF(CK575="N",BX575,ROUNDDOWN((J575-M575)*設定!$B$15/1000,0))</f>
        <v>0</v>
      </c>
      <c r="BQ575" s="31" t="n">
        <f aca="false">ROUNDDOWN((J575-M575)*設定!$C$15/1000,0)</f>
        <v>0</v>
      </c>
      <c r="BR575" s="31" t="n">
        <f aca="false">O575+P575</f>
        <v>0</v>
      </c>
      <c r="BS575" s="31" t="n">
        <f aca="false">T575+U575+V575</f>
        <v>0</v>
      </c>
      <c r="BT575" s="31" t="n">
        <f aca="false">Q575</f>
        <v>0</v>
      </c>
      <c r="BU575" s="31" t="n">
        <f aca="false">W575</f>
        <v>0</v>
      </c>
      <c r="BV575" s="31" t="n">
        <f aca="false">R575</f>
        <v>0</v>
      </c>
      <c r="BW575" s="31" t="n">
        <f aca="false">X575</f>
        <v>0</v>
      </c>
      <c r="BX575" s="31" t="n">
        <f aca="false">S575</f>
        <v>0</v>
      </c>
      <c r="BY575" s="31" t="n">
        <f aca="false">Y575</f>
        <v>0</v>
      </c>
      <c r="BZ575" s="32" t="n">
        <f aca="false">IF(BJ575=0,IF(BR575=0,0,1),(BR575-BJ575)/BJ575)</f>
        <v>0</v>
      </c>
      <c r="CA575" s="32" t="n">
        <f aca="false">IF(BK575=0,IF(BS575=0,0,1),(BS575-BK575)/BK575)</f>
        <v>0</v>
      </c>
      <c r="CB575" s="32" t="n">
        <f aca="false">IF(BL575=0,IF(BT575=0,0,1),(BT575-BL575)/BL575)</f>
        <v>0</v>
      </c>
      <c r="CC575" s="32" t="n">
        <f aca="false">IF(BM575=0,IF(BU575=0,0,1),(BU575-BM575)/BM575)</f>
        <v>0</v>
      </c>
      <c r="CD575" s="32" t="n">
        <f aca="false">IF(BN575=0,IF(BV575=0,0,1),(BV575-BN575)/BN575)</f>
        <v>0</v>
      </c>
      <c r="CE575" s="32" t="n">
        <f aca="false">IF(BO575=0,IF(BW575=0,0,1),(BW575-BO575)/BO575)</f>
        <v>0</v>
      </c>
      <c r="CF575" s="32" t="n">
        <f aca="false">IF(BP575=0,IF(BX575=0,0,1),(BX575-BP575)/BP575)</f>
        <v>0</v>
      </c>
      <c r="CG575" s="32" t="n">
        <f aca="false">IF(BQ575=0,IF(BY575=0,0,1),(BY575-BQ575)/BQ575)</f>
        <v>0</v>
      </c>
      <c r="CH575" s="32" t="n">
        <f aca="false">MAX(MAX(BZ575:CG575),-MIN(BZ575:CG575))</f>
        <v>-0</v>
      </c>
      <c r="CI575" s="31" t="n">
        <f aca="false">IF(CO575="","",SUMIFS($CJ$7:$CJ$696,$A$7:$A$696,CO575,$B$7:$B$696,B575))</f>
        <v>751253</v>
      </c>
      <c r="CJ575" s="31" t="n">
        <f aca="false">SUM(AY575:BI575)</f>
        <v>751253</v>
      </c>
      <c r="CK575" s="31" t="str">
        <f aca="false">IFERROR(INDEX(設定!$F$61:$F$106,MATCH(B575,設定!$B$61:$B$106,0)),"Y")</f>
        <v>N</v>
      </c>
      <c r="CL575" s="31" t="str">
        <f aca="false">IFERROR(INDEX(設定!$G$61:$G$106,MATCH(B575,設定!$B$61:$B$106,0)),"外郭型")</f>
        <v>外郭型</v>
      </c>
      <c r="CM575" s="33" t="str">
        <f aca="false">A575&amp;"|"&amp;B575</f>
        <v>2027-02 月例|産業振興センター</v>
      </c>
      <c r="CN575" s="34" t="str">
        <f aca="false">IFERROR(INDEX(設定!$D$61:$D$106,MATCH(B575,設定!$B$61:$B$106,0)),"Y")</f>
        <v>Y</v>
      </c>
      <c r="CO575" s="34" t="str">
        <f aca="false">IFERROR(INDEX(設定!$D$20:$D$34,MATCH(A575,設定!$A$20:$A$34,0))&amp;"","")</f>
        <v>2027-01 月例</v>
      </c>
    </row>
    <row r="576" customFormat="false" ht="15" hidden="true" customHeight="false" outlineLevel="0" collapsed="false">
      <c r="A576" s="22" t="s">
        <v>228</v>
      </c>
      <c r="B576" s="23" t="s">
        <v>186</v>
      </c>
      <c r="C576" s="10" t="str">
        <f aca="false">IF(G576="","未受領",IF(G576="なし","報告なし",IF(AL576="○","起票済",IF(OR(AK576="○",F576="一致",F576="入金不要"),"入金確認済","受領済"))))</f>
        <v>未受領</v>
      </c>
      <c r="D576" s="10" t="str">
        <f aca="false">IF(OR(G576="",G576="なし"),"―",IF(CN576="N","対象外",IF(AND(I576="",J576="",K576=""),"標報未入力",IF(CH576&gt;=設定!$B$4,"要確認","問題なし"))))</f>
        <v>―</v>
      </c>
      <c r="E576" s="24" t="str">
        <f aca="false">IF(OR(G576="",G576="なし",CI576="",CJ576=0),"―",IF(CJ576=CI576,"前月同額",IF(CI576=0,"―",IF(ABS(CJ576/CI576-1)&gt;=設定!$B$5,"変動大 "&amp;TEXT(CJ576/CI576-1,"+0%;-0%"),"〇"))))</f>
        <v>―</v>
      </c>
      <c r="F576" s="10" t="str">
        <f aca="false">IF(OR(G576="",G576="なし"),"―",IF(CJ576=0,"入金不要",IF(COUNT(AD576,AF576,AH576,AJ576)=0,IF(AK576="○","手動確認","未入金"),IF(AND(N(AD576)=AC576,IF(AE576="",TRUE(),N(AF576)=AE576),IF(AG576="",TRUE(),N(AH576)=AG576),IF(AI576="",TRUE(),N(AJ576)=AI576)),"一致","不一致"))))</f>
        <v>―</v>
      </c>
      <c r="G576" s="25"/>
      <c r="H576" s="26"/>
      <c r="I576" s="27"/>
      <c r="J576" s="27"/>
      <c r="K576" s="27"/>
      <c r="L576" s="27"/>
      <c r="M576" s="27"/>
      <c r="N576" s="27"/>
      <c r="O576" s="27"/>
      <c r="P576" s="27"/>
      <c r="Q576" s="27"/>
      <c r="R576" s="27"/>
      <c r="S576" s="27"/>
      <c r="T576" s="27"/>
      <c r="U576" s="27"/>
      <c r="V576" s="27"/>
      <c r="W576" s="27"/>
      <c r="X576" s="27"/>
      <c r="Y576" s="27"/>
      <c r="Z576" s="27"/>
      <c r="AA576" s="10" t="str">
        <f aca="false">IFERROR(INDEX(設定!$E$61:$E$106,MATCH(B576,設定!$B$61:$B$106,0)),"合算")</f>
        <v>合算</v>
      </c>
      <c r="AB576" s="28"/>
      <c r="AC576" s="29" t="str">
        <f aca="false">IF(OR(G576="",G576="なし"),"",IF(AA576="合算",CJ576+N(Z576),IF(AA576="掛金・負担金別",(AY576+AZ576+BD576+BF576+BH576),SUM(AY576:BC576))))</f>
        <v/>
      </c>
      <c r="AD576" s="27"/>
      <c r="AE576" s="29" t="str">
        <f aca="false">IF(OR(G576="",G576="なし"),"",IF(AA576="掛金・負担金別",(BA576+BB576+BC576+BE576+BG576+BI576+N(Z576)),IF(AA576="経理区分別",BD576+BE576,"")))</f>
        <v/>
      </c>
      <c r="AF576" s="27"/>
      <c r="AG576" s="29" t="str">
        <f aca="false">IF(OR(G576="",G576="なし"),"",IF(AA576="経理区分別",BF576+BG576,""))</f>
        <v/>
      </c>
      <c r="AH576" s="27"/>
      <c r="AI576" s="29" t="str">
        <f aca="false">IF(OR(G576="",G576="なし"),"",IF(AA576="経理区分別",BH576+BI576+N(Z576),""))</f>
        <v/>
      </c>
      <c r="AJ576" s="27"/>
      <c r="AK576" s="26"/>
      <c r="AL576" s="26"/>
      <c r="AM576" s="30"/>
      <c r="AN576" s="31"/>
      <c r="AO576" s="31"/>
      <c r="AP576" s="31" t="n">
        <v>86010</v>
      </c>
      <c r="AQ576" s="31" t="n">
        <v>7050</v>
      </c>
      <c r="AR576" s="31" t="n">
        <v>88</v>
      </c>
      <c r="AS576" s="31"/>
      <c r="AT576" s="31" t="n">
        <v>51803</v>
      </c>
      <c r="AU576" s="31"/>
      <c r="AV576" s="31" t="n">
        <v>7426</v>
      </c>
      <c r="AW576" s="31"/>
      <c r="AX576" s="31" t="n">
        <v>1</v>
      </c>
      <c r="AY576" s="31" t="n">
        <f aca="false">IF($G576="",AN576,O576)</f>
        <v>0</v>
      </c>
      <c r="AZ576" s="31" t="n">
        <f aca="false">IF($G576="",AO576,P576)</f>
        <v>0</v>
      </c>
      <c r="BA576" s="31" t="n">
        <f aca="false">IF($G576="",AP576,T576)</f>
        <v>86010</v>
      </c>
      <c r="BB576" s="31" t="n">
        <f aca="false">IF($G576="",AQ576,U576)</f>
        <v>7050</v>
      </c>
      <c r="BC576" s="31" t="n">
        <f aca="false">IF($G576="",AR576,V576)</f>
        <v>88</v>
      </c>
      <c r="BD576" s="31" t="n">
        <f aca="false">IF($G576="",AS576,Q576)</f>
        <v>0</v>
      </c>
      <c r="BE576" s="31" t="n">
        <f aca="false">IF($G576="",AT576,W576)</f>
        <v>51803</v>
      </c>
      <c r="BF576" s="31" t="n">
        <f aca="false">IF($G576="",AU576,R576)</f>
        <v>0</v>
      </c>
      <c r="BG576" s="31" t="n">
        <f aca="false">IF($G576="",AV576,X576)</f>
        <v>7426</v>
      </c>
      <c r="BH576" s="31" t="n">
        <f aca="false">IF($G576="",AW576,S576)</f>
        <v>0</v>
      </c>
      <c r="BI576" s="31" t="n">
        <f aca="false">IF($G576="",AX576,Y576)</f>
        <v>1</v>
      </c>
      <c r="BJ576" s="31" t="n">
        <f aca="false">IF(CK576="N",BR576,ROUNDDOWN((I576-L576)*設定!$B$10/1000,0)+ROUNDDOWN((I576-L576)*設定!$B$11/1000,0))</f>
        <v>0</v>
      </c>
      <c r="BK576" s="31" t="n">
        <f aca="false">ROUNDDOWN((I576-L576)*設定!$C$10/1000,0)+ROUNDDOWN((I576-L576)*設定!$C$11/1000,0)+ROUNDDOWN(I576*設定!$C$12/1000,0)+IF(CL576="市局型",ROUNDDOWN(I576*設定!$C$16/1000,0),0)</f>
        <v>0</v>
      </c>
      <c r="BL576" s="31" t="n">
        <f aca="false">IF(CK576="N",BT576,ROUNDDOWN((J576-M576)*設定!$B$13/1000,0))</f>
        <v>0</v>
      </c>
      <c r="BM576" s="31" t="n">
        <f aca="false">ROUNDDOWN((J576-M576)*設定!$C$13/1000,0)+IF(CL576="市局型",ROUNDDOWN(J576*設定!$C$17/1000,0),0)</f>
        <v>0</v>
      </c>
      <c r="BN576" s="31" t="n">
        <f aca="false">IF(CK576="N",BV576,ROUNDDOWN((K576-N576)*設定!$B$14/1000,0))</f>
        <v>0</v>
      </c>
      <c r="BO576" s="31" t="n">
        <f aca="false">ROUNDDOWN((K576-N576)*設定!$C$14/1000,0)</f>
        <v>0</v>
      </c>
      <c r="BP576" s="31" t="n">
        <f aca="false">IF(CK576="N",BX576,ROUNDDOWN((J576-M576)*設定!$B$15/1000,0))</f>
        <v>0</v>
      </c>
      <c r="BQ576" s="31" t="n">
        <f aca="false">ROUNDDOWN((J576-M576)*設定!$C$15/1000,0)</f>
        <v>0</v>
      </c>
      <c r="BR576" s="31" t="n">
        <f aca="false">O576+P576</f>
        <v>0</v>
      </c>
      <c r="BS576" s="31" t="n">
        <f aca="false">T576+U576+V576</f>
        <v>0</v>
      </c>
      <c r="BT576" s="31" t="n">
        <f aca="false">Q576</f>
        <v>0</v>
      </c>
      <c r="BU576" s="31" t="n">
        <f aca="false">W576</f>
        <v>0</v>
      </c>
      <c r="BV576" s="31" t="n">
        <f aca="false">R576</f>
        <v>0</v>
      </c>
      <c r="BW576" s="31" t="n">
        <f aca="false">X576</f>
        <v>0</v>
      </c>
      <c r="BX576" s="31" t="n">
        <f aca="false">S576</f>
        <v>0</v>
      </c>
      <c r="BY576" s="31" t="n">
        <f aca="false">Y576</f>
        <v>0</v>
      </c>
      <c r="BZ576" s="32" t="n">
        <f aca="false">IF(BJ576=0,IF(BR576=0,0,1),(BR576-BJ576)/BJ576)</f>
        <v>0</v>
      </c>
      <c r="CA576" s="32" t="n">
        <f aca="false">IF(BK576=0,IF(BS576=0,0,1),(BS576-BK576)/BK576)</f>
        <v>0</v>
      </c>
      <c r="CB576" s="32" t="n">
        <f aca="false">IF(BL576=0,IF(BT576=0,0,1),(BT576-BL576)/BL576)</f>
        <v>0</v>
      </c>
      <c r="CC576" s="32" t="n">
        <f aca="false">IF(BM576=0,IF(BU576=0,0,1),(BU576-BM576)/BM576)</f>
        <v>0</v>
      </c>
      <c r="CD576" s="32" t="n">
        <f aca="false">IF(BN576=0,IF(BV576=0,0,1),(BV576-BN576)/BN576)</f>
        <v>0</v>
      </c>
      <c r="CE576" s="32" t="n">
        <f aca="false">IF(BO576=0,IF(BW576=0,0,1),(BW576-BO576)/BO576)</f>
        <v>0</v>
      </c>
      <c r="CF576" s="32" t="n">
        <f aca="false">IF(BP576=0,IF(BX576=0,0,1),(BX576-BP576)/BP576)</f>
        <v>0</v>
      </c>
      <c r="CG576" s="32" t="n">
        <f aca="false">IF(BQ576=0,IF(BY576=0,0,1),(BY576-BQ576)/BQ576)</f>
        <v>0</v>
      </c>
      <c r="CH576" s="32" t="n">
        <f aca="false">MAX(MAX(BZ576:CG576),-MIN(BZ576:CG576))</f>
        <v>-0</v>
      </c>
      <c r="CI576" s="31" t="n">
        <f aca="false">IF(CO576="","",SUMIFS($CJ$7:$CJ$696,$A$7:$A$696,CO576,$B$7:$B$696,B576))</f>
        <v>152378</v>
      </c>
      <c r="CJ576" s="31" t="n">
        <f aca="false">SUM(AY576:BI576)</f>
        <v>152378</v>
      </c>
      <c r="CK576" s="31" t="str">
        <f aca="false">IFERROR(INDEX(設定!$F$61:$F$106,MATCH(B576,設定!$B$61:$B$106,0)),"Y")</f>
        <v>N</v>
      </c>
      <c r="CL576" s="31" t="str">
        <f aca="false">IFERROR(INDEX(設定!$G$61:$G$106,MATCH(B576,設定!$B$61:$B$106,0)),"外郭型")</f>
        <v>外郭型</v>
      </c>
      <c r="CM576" s="33" t="str">
        <f aca="false">A576&amp;"|"&amp;B576</f>
        <v>2027-02 月例|ひろしま産業振興</v>
      </c>
      <c r="CN576" s="34" t="str">
        <f aca="false">IFERROR(INDEX(設定!$D$61:$D$106,MATCH(B576,設定!$B$61:$B$106,0)),"Y")</f>
        <v>Y</v>
      </c>
      <c r="CO576" s="34" t="str">
        <f aca="false">IFERROR(INDEX(設定!$D$20:$D$34,MATCH(A576,設定!$A$20:$A$34,0))&amp;"","")</f>
        <v>2027-01 月例</v>
      </c>
    </row>
    <row r="577" customFormat="false" ht="15" hidden="true" customHeight="false" outlineLevel="0" collapsed="false">
      <c r="A577" s="22" t="s">
        <v>228</v>
      </c>
      <c r="B577" s="23" t="s">
        <v>187</v>
      </c>
      <c r="C577" s="10" t="str">
        <f aca="false">IF(G577="","未受領",IF(G577="なし","報告なし",IF(AL577="○","起票済",IF(OR(AK577="○",F577="一致",F577="入金不要"),"入金確認済","受領済"))))</f>
        <v>未受領</v>
      </c>
      <c r="D577" s="10" t="str">
        <f aca="false">IF(OR(G577="",G577="なし"),"―",IF(CN577="N","対象外",IF(AND(I577="",J577="",K577=""),"標報未入力",IF(CH577&gt;=設定!$B$4,"要確認","問題なし"))))</f>
        <v>―</v>
      </c>
      <c r="E577" s="24" t="str">
        <f aca="false">IF(OR(G577="",G577="なし",CI577="",CJ577=0),"―",IF(CJ577=CI577,"前月同額",IF(CI577=0,"―",IF(ABS(CJ577/CI577-1)&gt;=設定!$B$5,"変動大 "&amp;TEXT(CJ577/CI577-1,"+0%;-0%"),"〇"))))</f>
        <v>―</v>
      </c>
      <c r="F577" s="10" t="str">
        <f aca="false">IF(OR(G577="",G577="なし"),"―",IF(CJ577=0,"入金不要",IF(COUNT(AD577,AF577,AH577,AJ577)=0,IF(AK577="○","手動確認","未入金"),IF(AND(N(AD577)=AC577,IF(AE577="",TRUE(),N(AF577)=AE577),IF(AG577="",TRUE(),N(AH577)=AG577),IF(AI577="",TRUE(),N(AJ577)=AI577)),"一致","不一致"))))</f>
        <v>―</v>
      </c>
      <c r="G577" s="25"/>
      <c r="H577" s="26"/>
      <c r="I577" s="27"/>
      <c r="J577" s="27"/>
      <c r="K577" s="27"/>
      <c r="L577" s="27"/>
      <c r="M577" s="27"/>
      <c r="N577" s="27"/>
      <c r="O577" s="27"/>
      <c r="P577" s="27"/>
      <c r="Q577" s="27"/>
      <c r="R577" s="27"/>
      <c r="S577" s="27"/>
      <c r="T577" s="27"/>
      <c r="U577" s="27"/>
      <c r="V577" s="27"/>
      <c r="W577" s="27"/>
      <c r="X577" s="27"/>
      <c r="Y577" s="27"/>
      <c r="Z577" s="27"/>
      <c r="AA577" s="10" t="str">
        <f aca="false">IFERROR(INDEX(設定!$E$61:$E$106,MATCH(B577,設定!$B$61:$B$106,0)),"合算")</f>
        <v>合算</v>
      </c>
      <c r="AB577" s="28"/>
      <c r="AC577" s="29" t="str">
        <f aca="false">IF(OR(G577="",G577="なし"),"",IF(AA577="合算",CJ577+N(Z577),IF(AA577="掛金・負担金別",(AY577+AZ577+BD577+BF577+BH577),SUM(AY577:BC577))))</f>
        <v/>
      </c>
      <c r="AD577" s="27"/>
      <c r="AE577" s="29" t="str">
        <f aca="false">IF(OR(G577="",G577="なし"),"",IF(AA577="掛金・負担金別",(BA577+BB577+BC577+BE577+BG577+BI577+N(Z577)),IF(AA577="経理区分別",BD577+BE577,"")))</f>
        <v/>
      </c>
      <c r="AF577" s="27"/>
      <c r="AG577" s="29" t="str">
        <f aca="false">IF(OR(G577="",G577="なし"),"",IF(AA577="経理区分別",BF577+BG577,""))</f>
        <v/>
      </c>
      <c r="AH577" s="27"/>
      <c r="AI577" s="29" t="str">
        <f aca="false">IF(OR(G577="",G577="なし"),"",IF(AA577="経理区分別",BH577+BI577+N(Z577),""))</f>
        <v/>
      </c>
      <c r="AJ577" s="27"/>
      <c r="AK577" s="26"/>
      <c r="AL577" s="26"/>
      <c r="AM577" s="30"/>
      <c r="AN577" s="31"/>
      <c r="AO577" s="31"/>
      <c r="AP577" s="31" t="n">
        <v>48495</v>
      </c>
      <c r="AQ577" s="31" t="n">
        <v>3975</v>
      </c>
      <c r="AR577" s="31" t="n">
        <v>49</v>
      </c>
      <c r="AS577" s="31"/>
      <c r="AT577" s="31" t="n">
        <v>29208</v>
      </c>
      <c r="AU577" s="31"/>
      <c r="AV577" s="31" t="n">
        <v>4187</v>
      </c>
      <c r="AW577" s="31"/>
      <c r="AX577" s="31" t="n">
        <v>1</v>
      </c>
      <c r="AY577" s="31" t="n">
        <f aca="false">IF($G577="",AN577,O577)</f>
        <v>0</v>
      </c>
      <c r="AZ577" s="31" t="n">
        <f aca="false">IF($G577="",AO577,P577)</f>
        <v>0</v>
      </c>
      <c r="BA577" s="31" t="n">
        <f aca="false">IF($G577="",AP577,T577)</f>
        <v>48495</v>
      </c>
      <c r="BB577" s="31" t="n">
        <f aca="false">IF($G577="",AQ577,U577)</f>
        <v>3975</v>
      </c>
      <c r="BC577" s="31" t="n">
        <f aca="false">IF($G577="",AR577,V577)</f>
        <v>49</v>
      </c>
      <c r="BD577" s="31" t="n">
        <f aca="false">IF($G577="",AS577,Q577)</f>
        <v>0</v>
      </c>
      <c r="BE577" s="31" t="n">
        <f aca="false">IF($G577="",AT577,W577)</f>
        <v>29208</v>
      </c>
      <c r="BF577" s="31" t="n">
        <f aca="false">IF($G577="",AU577,R577)</f>
        <v>0</v>
      </c>
      <c r="BG577" s="31" t="n">
        <f aca="false">IF($G577="",AV577,X577)</f>
        <v>4187</v>
      </c>
      <c r="BH577" s="31" t="n">
        <f aca="false">IF($G577="",AW577,S577)</f>
        <v>0</v>
      </c>
      <c r="BI577" s="31" t="n">
        <f aca="false">IF($G577="",AX577,Y577)</f>
        <v>1</v>
      </c>
      <c r="BJ577" s="31" t="n">
        <f aca="false">IF(CK577="N",BR577,ROUNDDOWN((I577-L577)*設定!$B$10/1000,0)+ROUNDDOWN((I577-L577)*設定!$B$11/1000,0))</f>
        <v>0</v>
      </c>
      <c r="BK577" s="31" t="n">
        <f aca="false">ROUNDDOWN((I577-L577)*設定!$C$10/1000,0)+ROUNDDOWN((I577-L577)*設定!$C$11/1000,0)+ROUNDDOWN(I577*設定!$C$12/1000,0)+IF(CL577="市局型",ROUNDDOWN(I577*設定!$C$16/1000,0),0)</f>
        <v>0</v>
      </c>
      <c r="BL577" s="31" t="n">
        <f aca="false">IF(CK577="N",BT577,ROUNDDOWN((J577-M577)*設定!$B$13/1000,0))</f>
        <v>0</v>
      </c>
      <c r="BM577" s="31" t="n">
        <f aca="false">ROUNDDOWN((J577-M577)*設定!$C$13/1000,0)+IF(CL577="市局型",ROUNDDOWN(J577*設定!$C$17/1000,0),0)</f>
        <v>0</v>
      </c>
      <c r="BN577" s="31" t="n">
        <f aca="false">IF(CK577="N",BV577,ROUNDDOWN((K577-N577)*設定!$B$14/1000,0))</f>
        <v>0</v>
      </c>
      <c r="BO577" s="31" t="n">
        <f aca="false">ROUNDDOWN((K577-N577)*設定!$C$14/1000,0)</f>
        <v>0</v>
      </c>
      <c r="BP577" s="31" t="n">
        <f aca="false">IF(CK577="N",BX577,ROUNDDOWN((J577-M577)*設定!$B$15/1000,0))</f>
        <v>0</v>
      </c>
      <c r="BQ577" s="31" t="n">
        <f aca="false">ROUNDDOWN((J577-M577)*設定!$C$15/1000,0)</f>
        <v>0</v>
      </c>
      <c r="BR577" s="31" t="n">
        <f aca="false">O577+P577</f>
        <v>0</v>
      </c>
      <c r="BS577" s="31" t="n">
        <f aca="false">T577+U577+V577</f>
        <v>0</v>
      </c>
      <c r="BT577" s="31" t="n">
        <f aca="false">Q577</f>
        <v>0</v>
      </c>
      <c r="BU577" s="31" t="n">
        <f aca="false">W577</f>
        <v>0</v>
      </c>
      <c r="BV577" s="31" t="n">
        <f aca="false">R577</f>
        <v>0</v>
      </c>
      <c r="BW577" s="31" t="n">
        <f aca="false">X577</f>
        <v>0</v>
      </c>
      <c r="BX577" s="31" t="n">
        <f aca="false">S577</f>
        <v>0</v>
      </c>
      <c r="BY577" s="31" t="n">
        <f aca="false">Y577</f>
        <v>0</v>
      </c>
      <c r="BZ577" s="32" t="n">
        <f aca="false">IF(BJ577=0,IF(BR577=0,0,1),(BR577-BJ577)/BJ577)</f>
        <v>0</v>
      </c>
      <c r="CA577" s="32" t="n">
        <f aca="false">IF(BK577=0,IF(BS577=0,0,1),(BS577-BK577)/BK577)</f>
        <v>0</v>
      </c>
      <c r="CB577" s="32" t="n">
        <f aca="false">IF(BL577=0,IF(BT577=0,0,1),(BT577-BL577)/BL577)</f>
        <v>0</v>
      </c>
      <c r="CC577" s="32" t="n">
        <f aca="false">IF(BM577=0,IF(BU577=0,0,1),(BU577-BM577)/BM577)</f>
        <v>0</v>
      </c>
      <c r="CD577" s="32" t="n">
        <f aca="false">IF(BN577=0,IF(BV577=0,0,1),(BV577-BN577)/BN577)</f>
        <v>0</v>
      </c>
      <c r="CE577" s="32" t="n">
        <f aca="false">IF(BO577=0,IF(BW577=0,0,1),(BW577-BO577)/BO577)</f>
        <v>0</v>
      </c>
      <c r="CF577" s="32" t="n">
        <f aca="false">IF(BP577=0,IF(BX577=0,0,1),(BX577-BP577)/BP577)</f>
        <v>0</v>
      </c>
      <c r="CG577" s="32" t="n">
        <f aca="false">IF(BQ577=0,IF(BY577=0,0,1),(BY577-BQ577)/BQ577)</f>
        <v>0</v>
      </c>
      <c r="CH577" s="32" t="n">
        <f aca="false">MAX(MAX(BZ577:CG577),-MIN(BZ577:CG577))</f>
        <v>-0</v>
      </c>
      <c r="CI577" s="31" t="n">
        <f aca="false">IF(CO577="","",SUMIFS($CJ$7:$CJ$696,$A$7:$A$696,CO577,$B$7:$B$696,B577))</f>
        <v>85915</v>
      </c>
      <c r="CJ577" s="31" t="n">
        <f aca="false">SUM(AY577:BI577)</f>
        <v>85915</v>
      </c>
      <c r="CK577" s="31" t="str">
        <f aca="false">IFERROR(INDEX(設定!$F$61:$F$106,MATCH(B577,設定!$B$61:$B$106,0)),"Y")</f>
        <v>N</v>
      </c>
      <c r="CL577" s="31" t="str">
        <f aca="false">IFERROR(INDEX(設定!$G$61:$G$106,MATCH(B577,設定!$B$61:$B$106,0)),"外郭型")</f>
        <v>外郭型</v>
      </c>
      <c r="CM577" s="33" t="str">
        <f aca="false">A577&amp;"|"&amp;B577</f>
        <v>2027-02 月例|都市整備公社　市</v>
      </c>
      <c r="CN577" s="34" t="str">
        <f aca="false">IFERROR(INDEX(設定!$D$61:$D$106,MATCH(B577,設定!$B$61:$B$106,0)),"Y")</f>
        <v>Y</v>
      </c>
      <c r="CO577" s="34" t="str">
        <f aca="false">IFERROR(INDEX(設定!$D$20:$D$34,MATCH(A577,設定!$A$20:$A$34,0))&amp;"","")</f>
        <v>2027-01 月例</v>
      </c>
    </row>
    <row r="578" customFormat="false" ht="15" hidden="true" customHeight="false" outlineLevel="0" collapsed="false">
      <c r="A578" s="22" t="s">
        <v>228</v>
      </c>
      <c r="B578" s="23" t="s">
        <v>188</v>
      </c>
      <c r="C578" s="10" t="str">
        <f aca="false">IF(G578="","未受領",IF(G578="なし","報告なし",IF(AL578="○","起票済",IF(OR(AK578="○",F578="一致",F578="入金不要"),"入金確認済","受領済"))))</f>
        <v>未受領</v>
      </c>
      <c r="D578" s="10" t="str">
        <f aca="false">IF(OR(G578="",G578="なし"),"―",IF(CN578="N","対象外",IF(AND(I578="",J578="",K578=""),"標報未入力",IF(CH578&gt;=設定!$B$4,"要確認","問題なし"))))</f>
        <v>―</v>
      </c>
      <c r="E578" s="24" t="str">
        <f aca="false">IF(OR(G578="",G578="なし",CI578="",CJ578=0),"―",IF(CJ578=CI578,"前月同額",IF(CI578=0,"―",IF(ABS(CJ578/CI578-1)&gt;=設定!$B$5,"変動大 "&amp;TEXT(CJ578/CI578-1,"+0%;-0%"),"〇"))))</f>
        <v>―</v>
      </c>
      <c r="F578" s="10" t="str">
        <f aca="false">IF(OR(G578="",G578="なし"),"―",IF(CJ578=0,"入金不要",IF(COUNT(AD578,AF578,AH578,AJ578)=0,IF(AK578="○","手動確認","未入金"),IF(AND(N(AD578)=AC578,IF(AE578="",TRUE(),N(AF578)=AE578),IF(AG578="",TRUE(),N(AH578)=AG578),IF(AI578="",TRUE(),N(AJ578)=AI578)),"一致","不一致"))))</f>
        <v>―</v>
      </c>
      <c r="G578" s="25"/>
      <c r="H578" s="26"/>
      <c r="I578" s="27"/>
      <c r="J578" s="27"/>
      <c r="K578" s="27"/>
      <c r="L578" s="27"/>
      <c r="M578" s="27"/>
      <c r="N578" s="27"/>
      <c r="O578" s="27"/>
      <c r="P578" s="27"/>
      <c r="Q578" s="27"/>
      <c r="R578" s="27"/>
      <c r="S578" s="27"/>
      <c r="T578" s="27"/>
      <c r="U578" s="27"/>
      <c r="V578" s="27"/>
      <c r="W578" s="27"/>
      <c r="X578" s="27"/>
      <c r="Y578" s="27"/>
      <c r="Z578" s="27"/>
      <c r="AA578" s="10" t="str">
        <f aca="false">IFERROR(INDEX(設定!$E$61:$E$106,MATCH(B578,設定!$B$61:$B$106,0)),"合算")</f>
        <v>合算</v>
      </c>
      <c r="AB578" s="28"/>
      <c r="AC578" s="29" t="str">
        <f aca="false">IF(OR(G578="",G578="なし"),"",IF(AA578="合算",CJ578+N(Z578),IF(AA578="掛金・負担金別",(AY578+AZ578+BD578+BF578+BH578),SUM(AY578:BC578))))</f>
        <v/>
      </c>
      <c r="AD578" s="27"/>
      <c r="AE578" s="29" t="str">
        <f aca="false">IF(OR(G578="",G578="なし"),"",IF(AA578="掛金・負担金別",(BA578+BB578+BC578+BE578+BG578+BI578+N(Z578)),IF(AA578="経理区分別",BD578+BE578,"")))</f>
        <v/>
      </c>
      <c r="AF578" s="27"/>
      <c r="AG578" s="29" t="str">
        <f aca="false">IF(OR(G578="",G578="なし"),"",IF(AA578="経理区分別",BF578+BG578,""))</f>
        <v/>
      </c>
      <c r="AH578" s="27"/>
      <c r="AI578" s="29" t="str">
        <f aca="false">IF(OR(G578="",G578="なし"),"",IF(AA578="経理区分別",BH578+BI578+N(Z578),""))</f>
        <v/>
      </c>
      <c r="AJ578" s="27"/>
      <c r="AK578" s="26"/>
      <c r="AL578" s="26"/>
      <c r="AM578" s="30"/>
      <c r="AN578" s="31"/>
      <c r="AO578" s="31"/>
      <c r="AP578" s="31" t="n">
        <v>122428</v>
      </c>
      <c r="AQ578" s="31" t="n">
        <v>10034</v>
      </c>
      <c r="AR578" s="31" t="n">
        <v>125</v>
      </c>
      <c r="AS578" s="31"/>
      <c r="AT578" s="31" t="n">
        <v>73737</v>
      </c>
      <c r="AU578" s="31"/>
      <c r="AV578" s="31" t="n">
        <v>7031</v>
      </c>
      <c r="AW578" s="31"/>
      <c r="AX578" s="31" t="n">
        <v>1</v>
      </c>
      <c r="AY578" s="31" t="n">
        <f aca="false">IF($G578="",AN578,O578)</f>
        <v>0</v>
      </c>
      <c r="AZ578" s="31" t="n">
        <f aca="false">IF($G578="",AO578,P578)</f>
        <v>0</v>
      </c>
      <c r="BA578" s="31" t="n">
        <f aca="false">IF($G578="",AP578,T578)</f>
        <v>122428</v>
      </c>
      <c r="BB578" s="31" t="n">
        <f aca="false">IF($G578="",AQ578,U578)</f>
        <v>10034</v>
      </c>
      <c r="BC578" s="31" t="n">
        <f aca="false">IF($G578="",AR578,V578)</f>
        <v>125</v>
      </c>
      <c r="BD578" s="31" t="n">
        <f aca="false">IF($G578="",AS578,Q578)</f>
        <v>0</v>
      </c>
      <c r="BE578" s="31" t="n">
        <f aca="false">IF($G578="",AT578,W578)</f>
        <v>73737</v>
      </c>
      <c r="BF578" s="31" t="n">
        <f aca="false">IF($G578="",AU578,R578)</f>
        <v>0</v>
      </c>
      <c r="BG578" s="31" t="n">
        <f aca="false">IF($G578="",AV578,X578)</f>
        <v>7031</v>
      </c>
      <c r="BH578" s="31" t="n">
        <f aca="false">IF($G578="",AW578,S578)</f>
        <v>0</v>
      </c>
      <c r="BI578" s="31" t="n">
        <f aca="false">IF($G578="",AX578,Y578)</f>
        <v>1</v>
      </c>
      <c r="BJ578" s="31" t="n">
        <f aca="false">IF(CK578="N",BR578,ROUNDDOWN((I578-L578)*設定!$B$10/1000,0)+ROUNDDOWN((I578-L578)*設定!$B$11/1000,0))</f>
        <v>0</v>
      </c>
      <c r="BK578" s="31" t="n">
        <f aca="false">ROUNDDOWN((I578-L578)*設定!$C$10/1000,0)+ROUNDDOWN((I578-L578)*設定!$C$11/1000,0)+ROUNDDOWN(I578*設定!$C$12/1000,0)+IF(CL578="市局型",ROUNDDOWN(I578*設定!$C$16/1000,0),0)</f>
        <v>0</v>
      </c>
      <c r="BL578" s="31" t="n">
        <f aca="false">IF(CK578="N",BT578,ROUNDDOWN((J578-M578)*設定!$B$13/1000,0))</f>
        <v>0</v>
      </c>
      <c r="BM578" s="31" t="n">
        <f aca="false">ROUNDDOWN((J578-M578)*設定!$C$13/1000,0)+IF(CL578="市局型",ROUNDDOWN(J578*設定!$C$17/1000,0),0)</f>
        <v>0</v>
      </c>
      <c r="BN578" s="31" t="n">
        <f aca="false">IF(CK578="N",BV578,ROUNDDOWN((K578-N578)*設定!$B$14/1000,0))</f>
        <v>0</v>
      </c>
      <c r="BO578" s="31" t="n">
        <f aca="false">ROUNDDOWN((K578-N578)*設定!$C$14/1000,0)</f>
        <v>0</v>
      </c>
      <c r="BP578" s="31" t="n">
        <f aca="false">IF(CK578="N",BX578,ROUNDDOWN((J578-M578)*設定!$B$15/1000,0))</f>
        <v>0</v>
      </c>
      <c r="BQ578" s="31" t="n">
        <f aca="false">ROUNDDOWN((J578-M578)*設定!$C$15/1000,0)</f>
        <v>0</v>
      </c>
      <c r="BR578" s="31" t="n">
        <f aca="false">O578+P578</f>
        <v>0</v>
      </c>
      <c r="BS578" s="31" t="n">
        <f aca="false">T578+U578+V578</f>
        <v>0</v>
      </c>
      <c r="BT578" s="31" t="n">
        <f aca="false">Q578</f>
        <v>0</v>
      </c>
      <c r="BU578" s="31" t="n">
        <f aca="false">W578</f>
        <v>0</v>
      </c>
      <c r="BV578" s="31" t="n">
        <f aca="false">R578</f>
        <v>0</v>
      </c>
      <c r="BW578" s="31" t="n">
        <f aca="false">X578</f>
        <v>0</v>
      </c>
      <c r="BX578" s="31" t="n">
        <f aca="false">S578</f>
        <v>0</v>
      </c>
      <c r="BY578" s="31" t="n">
        <f aca="false">Y578</f>
        <v>0</v>
      </c>
      <c r="BZ578" s="32" t="n">
        <f aca="false">IF(BJ578=0,IF(BR578=0,0,1),(BR578-BJ578)/BJ578)</f>
        <v>0</v>
      </c>
      <c r="CA578" s="32" t="n">
        <f aca="false">IF(BK578=0,IF(BS578=0,0,1),(BS578-BK578)/BK578)</f>
        <v>0</v>
      </c>
      <c r="CB578" s="32" t="n">
        <f aca="false">IF(BL578=0,IF(BT578=0,0,1),(BT578-BL578)/BL578)</f>
        <v>0</v>
      </c>
      <c r="CC578" s="32" t="n">
        <f aca="false">IF(BM578=0,IF(BU578=0,0,1),(BU578-BM578)/BM578)</f>
        <v>0</v>
      </c>
      <c r="CD578" s="32" t="n">
        <f aca="false">IF(BN578=0,IF(BV578=0,0,1),(BV578-BN578)/BN578)</f>
        <v>0</v>
      </c>
      <c r="CE578" s="32" t="n">
        <f aca="false">IF(BO578=0,IF(BW578=0,0,1),(BW578-BO578)/BO578)</f>
        <v>0</v>
      </c>
      <c r="CF578" s="32" t="n">
        <f aca="false">IF(BP578=0,IF(BX578=0,0,1),(BX578-BP578)/BP578)</f>
        <v>0</v>
      </c>
      <c r="CG578" s="32" t="n">
        <f aca="false">IF(BQ578=0,IF(BY578=0,0,1),(BY578-BQ578)/BQ578)</f>
        <v>0</v>
      </c>
      <c r="CH578" s="32" t="n">
        <f aca="false">MAX(MAX(BZ578:CG578),-MIN(BZ578:CG578))</f>
        <v>-0</v>
      </c>
      <c r="CI578" s="31" t="n">
        <f aca="false">IF(CO578="","",SUMIFS($CJ$7:$CJ$696,$A$7:$A$696,CO578,$B$7:$B$696,B578))</f>
        <v>216748</v>
      </c>
      <c r="CJ578" s="31" t="n">
        <f aca="false">SUM(AY578:BI578)</f>
        <v>213356</v>
      </c>
      <c r="CK578" s="31" t="str">
        <f aca="false">IFERROR(INDEX(設定!$F$61:$F$106,MATCH(B578,設定!$B$61:$B$106,0)),"Y")</f>
        <v>N</v>
      </c>
      <c r="CL578" s="31" t="str">
        <f aca="false">IFERROR(INDEX(設定!$G$61:$G$106,MATCH(B578,設定!$B$61:$B$106,0)),"外郭型")</f>
        <v>外郭型</v>
      </c>
      <c r="CM578" s="33" t="str">
        <f aca="false">A578&amp;"|"&amp;B578</f>
        <v>2027-02 月例|都市整備公社　消防</v>
      </c>
      <c r="CN578" s="34" t="str">
        <f aca="false">IFERROR(INDEX(設定!$D$61:$D$106,MATCH(B578,設定!$B$61:$B$106,0)),"Y")</f>
        <v>Y</v>
      </c>
      <c r="CO578" s="34" t="str">
        <f aca="false">IFERROR(INDEX(設定!$D$20:$D$34,MATCH(A578,設定!$A$20:$A$34,0))&amp;"","")</f>
        <v>2027-01 月例</v>
      </c>
    </row>
    <row r="579" customFormat="false" ht="15" hidden="true" customHeight="false" outlineLevel="0" collapsed="false">
      <c r="A579" s="22" t="s">
        <v>228</v>
      </c>
      <c r="B579" s="23" t="s">
        <v>189</v>
      </c>
      <c r="C579" s="10" t="str">
        <f aca="false">IF(G579="","未受領",IF(G579="なし","報告なし",IF(AL579="○","起票済",IF(OR(AK579="○",F579="一致",F579="入金不要"),"入金確認済","受領済"))))</f>
        <v>未受領</v>
      </c>
      <c r="D579" s="10" t="str">
        <f aca="false">IF(OR(G579="",G579="なし"),"―",IF(CN579="N","対象外",IF(AND(I579="",J579="",K579=""),"標報未入力",IF(CH579&gt;=設定!$B$4,"要確認","問題なし"))))</f>
        <v>―</v>
      </c>
      <c r="E579" s="24" t="str">
        <f aca="false">IF(OR(G579="",G579="なし",CI579="",CJ579=0),"―",IF(CJ579=CI579,"前月同額",IF(CI579=0,"―",IF(ABS(CJ579/CI579-1)&gt;=設定!$B$5,"変動大 "&amp;TEXT(CJ579/CI579-1,"+0%;-0%"),"〇"))))</f>
        <v>―</v>
      </c>
      <c r="F579" s="10" t="str">
        <f aca="false">IF(OR(G579="",G579="なし"),"―",IF(CJ579=0,"入金不要",IF(COUNT(AD579,AF579,AH579,AJ579)=0,IF(AK579="○","手動確認","未入金"),IF(AND(N(AD579)=AC579,IF(AE579="",TRUE(),N(AF579)=AE579),IF(AG579="",TRUE(),N(AH579)=AG579),IF(AI579="",TRUE(),N(AJ579)=AI579)),"一致","不一致"))))</f>
        <v>―</v>
      </c>
      <c r="G579" s="25"/>
      <c r="H579" s="26"/>
      <c r="I579" s="27"/>
      <c r="J579" s="27"/>
      <c r="K579" s="27"/>
      <c r="L579" s="27"/>
      <c r="M579" s="27"/>
      <c r="N579" s="27"/>
      <c r="O579" s="27"/>
      <c r="P579" s="27"/>
      <c r="Q579" s="27"/>
      <c r="R579" s="27"/>
      <c r="S579" s="27"/>
      <c r="T579" s="27"/>
      <c r="U579" s="27"/>
      <c r="V579" s="27"/>
      <c r="W579" s="27"/>
      <c r="X579" s="27"/>
      <c r="Y579" s="27"/>
      <c r="Z579" s="27"/>
      <c r="AA579" s="10" t="str">
        <f aca="false">IFERROR(INDEX(設定!$E$61:$E$106,MATCH(B579,設定!$B$61:$B$106,0)),"合算")</f>
        <v>合算</v>
      </c>
      <c r="AB579" s="28"/>
      <c r="AC579" s="29" t="str">
        <f aca="false">IF(OR(G579="",G579="なし"),"",IF(AA579="合算",CJ579+N(Z579),IF(AA579="掛金・負担金別",(AY579+AZ579+BD579+BF579+BH579),SUM(AY579:BC579))))</f>
        <v/>
      </c>
      <c r="AD579" s="27"/>
      <c r="AE579" s="29" t="str">
        <f aca="false">IF(OR(G579="",G579="なし"),"",IF(AA579="掛金・負担金別",(BA579+BB579+BC579+BE579+BG579+BI579+N(Z579)),IF(AA579="経理区分別",BD579+BE579,"")))</f>
        <v/>
      </c>
      <c r="AF579" s="27"/>
      <c r="AG579" s="29" t="str">
        <f aca="false">IF(OR(G579="",G579="なし"),"",IF(AA579="経理区分別",BF579+BG579,""))</f>
        <v/>
      </c>
      <c r="AH579" s="27"/>
      <c r="AI579" s="29" t="str">
        <f aca="false">IF(OR(G579="",G579="なし"),"",IF(AA579="経理区分別",BH579+BI579+N(Z579),""))</f>
        <v/>
      </c>
      <c r="AJ579" s="27"/>
      <c r="AK579" s="26"/>
      <c r="AL579" s="26"/>
      <c r="AM579" s="30"/>
      <c r="AN579" s="31" t="n">
        <v>245220</v>
      </c>
      <c r="AO579" s="31" t="n">
        <v>20100</v>
      </c>
      <c r="AP579" s="31" t="n">
        <v>245220</v>
      </c>
      <c r="AQ579" s="31" t="n">
        <v>20100</v>
      </c>
      <c r="AR579" s="31" t="n">
        <v>251</v>
      </c>
      <c r="AS579" s="31" t="n">
        <v>147425</v>
      </c>
      <c r="AT579" s="31" t="n">
        <v>147694</v>
      </c>
      <c r="AU579" s="31" t="n">
        <v>9559</v>
      </c>
      <c r="AV579" s="31" t="n">
        <v>9559</v>
      </c>
      <c r="AW579" s="31" t="n">
        <v>1</v>
      </c>
      <c r="AX579" s="31" t="n">
        <v>1</v>
      </c>
      <c r="AY579" s="31" t="n">
        <f aca="false">IF($G579="",AN579,O579)</f>
        <v>245220</v>
      </c>
      <c r="AZ579" s="31" t="n">
        <f aca="false">IF($G579="",AO579,P579)</f>
        <v>20100</v>
      </c>
      <c r="BA579" s="31" t="n">
        <f aca="false">IF($G579="",AP579,T579)</f>
        <v>245220</v>
      </c>
      <c r="BB579" s="31" t="n">
        <f aca="false">IF($G579="",AQ579,U579)</f>
        <v>20100</v>
      </c>
      <c r="BC579" s="31" t="n">
        <f aca="false">IF($G579="",AR579,V579)</f>
        <v>251</v>
      </c>
      <c r="BD579" s="31" t="n">
        <f aca="false">IF($G579="",AS579,Q579)</f>
        <v>147425</v>
      </c>
      <c r="BE579" s="31" t="n">
        <f aca="false">IF($G579="",AT579,W579)</f>
        <v>147694</v>
      </c>
      <c r="BF579" s="31" t="n">
        <f aca="false">IF($G579="",AU579,R579)</f>
        <v>9559</v>
      </c>
      <c r="BG579" s="31" t="n">
        <f aca="false">IF($G579="",AV579,X579)</f>
        <v>9559</v>
      </c>
      <c r="BH579" s="31" t="n">
        <f aca="false">IF($G579="",AW579,S579)</f>
        <v>1</v>
      </c>
      <c r="BI579" s="31" t="n">
        <f aca="false">IF($G579="",AX579,Y579)</f>
        <v>1</v>
      </c>
      <c r="BJ579" s="31" t="n">
        <f aca="false">IF(CK579="N",BR579,ROUNDDOWN((I579-L579)*設定!$B$10/1000,0)+ROUNDDOWN((I579-L579)*設定!$B$11/1000,0))</f>
        <v>0</v>
      </c>
      <c r="BK579" s="31" t="n">
        <f aca="false">ROUNDDOWN((I579-L579)*設定!$C$10/1000,0)+ROUNDDOWN((I579-L579)*設定!$C$11/1000,0)+ROUNDDOWN(I579*設定!$C$12/1000,0)+IF(CL579="市局型",ROUNDDOWN(I579*設定!$C$16/1000,0),0)</f>
        <v>0</v>
      </c>
      <c r="BL579" s="31" t="n">
        <f aca="false">IF(CK579="N",BT579,ROUNDDOWN((J579-M579)*設定!$B$13/1000,0))</f>
        <v>0</v>
      </c>
      <c r="BM579" s="31" t="n">
        <f aca="false">ROUNDDOWN((J579-M579)*設定!$C$13/1000,0)+IF(CL579="市局型",ROUNDDOWN(J579*設定!$C$17/1000,0),0)</f>
        <v>0</v>
      </c>
      <c r="BN579" s="31" t="n">
        <f aca="false">IF(CK579="N",BV579,ROUNDDOWN((K579-N579)*設定!$B$14/1000,0))</f>
        <v>0</v>
      </c>
      <c r="BO579" s="31" t="n">
        <f aca="false">ROUNDDOWN((K579-N579)*設定!$C$14/1000,0)</f>
        <v>0</v>
      </c>
      <c r="BP579" s="31" t="n">
        <f aca="false">IF(CK579="N",BX579,ROUNDDOWN((J579-M579)*設定!$B$15/1000,0))</f>
        <v>0</v>
      </c>
      <c r="BQ579" s="31" t="n">
        <f aca="false">ROUNDDOWN((J579-M579)*設定!$C$15/1000,0)</f>
        <v>0</v>
      </c>
      <c r="BR579" s="31" t="n">
        <f aca="false">O579+P579</f>
        <v>0</v>
      </c>
      <c r="BS579" s="31" t="n">
        <f aca="false">T579+U579+V579</f>
        <v>0</v>
      </c>
      <c r="BT579" s="31" t="n">
        <f aca="false">Q579</f>
        <v>0</v>
      </c>
      <c r="BU579" s="31" t="n">
        <f aca="false">W579</f>
        <v>0</v>
      </c>
      <c r="BV579" s="31" t="n">
        <f aca="false">R579</f>
        <v>0</v>
      </c>
      <c r="BW579" s="31" t="n">
        <f aca="false">X579</f>
        <v>0</v>
      </c>
      <c r="BX579" s="31" t="n">
        <f aca="false">S579</f>
        <v>0</v>
      </c>
      <c r="BY579" s="31" t="n">
        <f aca="false">Y579</f>
        <v>0</v>
      </c>
      <c r="BZ579" s="32" t="n">
        <f aca="false">IF(BJ579=0,IF(BR579=0,0,1),(BR579-BJ579)/BJ579)</f>
        <v>0</v>
      </c>
      <c r="CA579" s="32" t="n">
        <f aca="false">IF(BK579=0,IF(BS579=0,0,1),(BS579-BK579)/BK579)</f>
        <v>0</v>
      </c>
      <c r="CB579" s="32" t="n">
        <f aca="false">IF(BL579=0,IF(BT579=0,0,1),(BT579-BL579)/BL579)</f>
        <v>0</v>
      </c>
      <c r="CC579" s="32" t="n">
        <f aca="false">IF(BM579=0,IF(BU579=0,0,1),(BU579-BM579)/BM579)</f>
        <v>0</v>
      </c>
      <c r="CD579" s="32" t="n">
        <f aca="false">IF(BN579=0,IF(BV579=0,0,1),(BV579-BN579)/BN579)</f>
        <v>0</v>
      </c>
      <c r="CE579" s="32" t="n">
        <f aca="false">IF(BO579=0,IF(BW579=0,0,1),(BW579-BO579)/BO579)</f>
        <v>0</v>
      </c>
      <c r="CF579" s="32" t="n">
        <f aca="false">IF(BP579=0,IF(BX579=0,0,1),(BX579-BP579)/BP579)</f>
        <v>0</v>
      </c>
      <c r="CG579" s="32" t="n">
        <f aca="false">IF(BQ579=0,IF(BY579=0,0,1),(BY579-BQ579)/BQ579)</f>
        <v>0</v>
      </c>
      <c r="CH579" s="32" t="n">
        <f aca="false">MAX(MAX(BZ579:CG579),-MIN(BZ579:CG579))</f>
        <v>-0</v>
      </c>
      <c r="CI579" s="31" t="n">
        <f aca="false">IF(CO579="","",SUMIFS($CJ$7:$CJ$696,$A$7:$A$696,CO579,$B$7:$B$696,B579))</f>
        <v>845130</v>
      </c>
      <c r="CJ579" s="31" t="n">
        <f aca="false">SUM(AY579:BI579)</f>
        <v>845130</v>
      </c>
      <c r="CK579" s="31" t="str">
        <f aca="false">IFERROR(INDEX(設定!$F$61:$F$106,MATCH(B579,設定!$B$61:$B$106,0)),"Y")</f>
        <v>Y</v>
      </c>
      <c r="CL579" s="31" t="str">
        <f aca="false">IFERROR(INDEX(設定!$G$61:$G$106,MATCH(B579,設定!$B$61:$B$106,0)),"外郭型")</f>
        <v>外郭型</v>
      </c>
      <c r="CM579" s="33" t="str">
        <f aca="false">A579&amp;"|"&amp;B579</f>
        <v>2027-02 月例|日本下水道事業団</v>
      </c>
      <c r="CN579" s="34" t="str">
        <f aca="false">IFERROR(INDEX(設定!$D$61:$D$106,MATCH(B579,設定!$B$61:$B$106,0)),"Y")</f>
        <v>Y</v>
      </c>
      <c r="CO579" s="34" t="str">
        <f aca="false">IFERROR(INDEX(設定!$D$20:$D$34,MATCH(A579,設定!$A$20:$A$34,0))&amp;"","")</f>
        <v>2027-01 月例</v>
      </c>
    </row>
    <row r="580" customFormat="false" ht="15" hidden="true" customHeight="false" outlineLevel="0" collapsed="false">
      <c r="A580" s="22" t="s">
        <v>228</v>
      </c>
      <c r="B580" s="23" t="s">
        <v>190</v>
      </c>
      <c r="C580" s="10" t="str">
        <f aca="false">IF(G580="","未受領",IF(G580="なし","報告なし",IF(AL580="○","起票済",IF(OR(AK580="○",F580="一致",F580="入金不要"),"入金確認済","受領済"))))</f>
        <v>未受領</v>
      </c>
      <c r="D580" s="10" t="str">
        <f aca="false">IF(OR(G580="",G580="なし"),"―",IF(CN580="N","対象外",IF(AND(I580="",J580="",K580=""),"標報未入力",IF(CH580&gt;=設定!$B$4,"要確認","問題なし"))))</f>
        <v>―</v>
      </c>
      <c r="E580" s="24" t="str">
        <f aca="false">IF(OR(G580="",G580="なし",CI580="",CJ580=0),"―",IF(CJ580=CI580,"前月同額",IF(CI580=0,"―",IF(ABS(CJ580/CI580-1)&gt;=設定!$B$5,"変動大 "&amp;TEXT(CJ580/CI580-1,"+0%;-0%"),"〇"))))</f>
        <v>―</v>
      </c>
      <c r="F580" s="10" t="str">
        <f aca="false">IF(OR(G580="",G580="なし"),"―",IF(CJ580=0,"入金不要",IF(COUNT(AD580,AF580,AH580,AJ580)=0,IF(AK580="○","手動確認","未入金"),IF(AND(N(AD580)=AC580,IF(AE580="",TRUE(),N(AF580)=AE580),IF(AG580="",TRUE(),N(AH580)=AG580),IF(AI580="",TRUE(),N(AJ580)=AI580)),"一致","不一致"))))</f>
        <v>―</v>
      </c>
      <c r="G580" s="25"/>
      <c r="H580" s="26"/>
      <c r="I580" s="27"/>
      <c r="J580" s="27"/>
      <c r="K580" s="27"/>
      <c r="L580" s="27"/>
      <c r="M580" s="27"/>
      <c r="N580" s="27"/>
      <c r="O580" s="27"/>
      <c r="P580" s="27"/>
      <c r="Q580" s="27"/>
      <c r="R580" s="27"/>
      <c r="S580" s="27"/>
      <c r="T580" s="27"/>
      <c r="U580" s="27"/>
      <c r="V580" s="27"/>
      <c r="W580" s="27"/>
      <c r="X580" s="27"/>
      <c r="Y580" s="27"/>
      <c r="Z580" s="27"/>
      <c r="AA580" s="10" t="str">
        <f aca="false">IFERROR(INDEX(設定!$E$61:$E$106,MATCH(B580,設定!$B$61:$B$106,0)),"合算")</f>
        <v>合算</v>
      </c>
      <c r="AB580" s="28"/>
      <c r="AC580" s="29" t="str">
        <f aca="false">IF(OR(G580="",G580="なし"),"",IF(AA580="合算",CJ580+N(Z580),IF(AA580="掛金・負担金別",(AY580+AZ580+BD580+BF580+BH580),SUM(AY580:BC580))))</f>
        <v/>
      </c>
      <c r="AD580" s="27"/>
      <c r="AE580" s="29" t="str">
        <f aca="false">IF(OR(G580="",G580="なし"),"",IF(AA580="掛金・負担金別",(BA580+BB580+BC580+BE580+BG580+BI580+N(Z580)),IF(AA580="経理区分別",BD580+BE580,"")))</f>
        <v/>
      </c>
      <c r="AF580" s="27"/>
      <c r="AG580" s="29" t="str">
        <f aca="false">IF(OR(G580="",G580="なし"),"",IF(AA580="経理区分別",BF580+BG580,""))</f>
        <v/>
      </c>
      <c r="AH580" s="27"/>
      <c r="AI580" s="29" t="str">
        <f aca="false">IF(OR(G580="",G580="なし"),"",IF(AA580="経理区分別",BH580+BI580+N(Z580),""))</f>
        <v/>
      </c>
      <c r="AJ580" s="27"/>
      <c r="AK580" s="26"/>
      <c r="AL580" s="26"/>
      <c r="AM580" s="30"/>
      <c r="AN580" s="31" t="n">
        <v>40260</v>
      </c>
      <c r="AO580" s="31" t="n">
        <v>3300</v>
      </c>
      <c r="AP580" s="31" t="n">
        <v>40260</v>
      </c>
      <c r="AQ580" s="31" t="n">
        <v>3300</v>
      </c>
      <c r="AR580" s="31" t="n">
        <v>41</v>
      </c>
      <c r="AS580" s="31" t="n">
        <v>24204</v>
      </c>
      <c r="AT580" s="31" t="n">
        <v>24248</v>
      </c>
      <c r="AU580" s="31" t="n">
        <v>0</v>
      </c>
      <c r="AV580" s="31" t="n">
        <v>0</v>
      </c>
      <c r="AW580" s="31" t="n">
        <v>1</v>
      </c>
      <c r="AX580" s="31" t="n">
        <v>1</v>
      </c>
      <c r="AY580" s="31" t="n">
        <f aca="false">IF($G580="",AN580,O580)</f>
        <v>40260</v>
      </c>
      <c r="AZ580" s="31" t="n">
        <f aca="false">IF($G580="",AO580,P580)</f>
        <v>3300</v>
      </c>
      <c r="BA580" s="31" t="n">
        <f aca="false">IF($G580="",AP580,T580)</f>
        <v>40260</v>
      </c>
      <c r="BB580" s="31" t="n">
        <f aca="false">IF($G580="",AQ580,U580)</f>
        <v>3300</v>
      </c>
      <c r="BC580" s="31" t="n">
        <f aca="false">IF($G580="",AR580,V580)</f>
        <v>41</v>
      </c>
      <c r="BD580" s="31" t="n">
        <f aca="false">IF($G580="",AS580,Q580)</f>
        <v>24204</v>
      </c>
      <c r="BE580" s="31" t="n">
        <f aca="false">IF($G580="",AT580,W580)</f>
        <v>24248</v>
      </c>
      <c r="BF580" s="31" t="n">
        <f aca="false">IF($G580="",AU580,R580)</f>
        <v>0</v>
      </c>
      <c r="BG580" s="31" t="n">
        <f aca="false">IF($G580="",AV580,X580)</f>
        <v>0</v>
      </c>
      <c r="BH580" s="31" t="n">
        <f aca="false">IF($G580="",AW580,S580)</f>
        <v>1</v>
      </c>
      <c r="BI580" s="31" t="n">
        <f aca="false">IF($G580="",AX580,Y580)</f>
        <v>1</v>
      </c>
      <c r="BJ580" s="31" t="n">
        <f aca="false">IF(CK580="N",BR580,ROUNDDOWN((I580-L580)*設定!$B$10/1000,0)+ROUNDDOWN((I580-L580)*設定!$B$11/1000,0))</f>
        <v>0</v>
      </c>
      <c r="BK580" s="31" t="n">
        <f aca="false">ROUNDDOWN((I580-L580)*設定!$C$10/1000,0)+ROUNDDOWN((I580-L580)*設定!$C$11/1000,0)+ROUNDDOWN(I580*設定!$C$12/1000,0)+IF(CL580="市局型",ROUNDDOWN(I580*設定!$C$16/1000,0),0)</f>
        <v>0</v>
      </c>
      <c r="BL580" s="31" t="n">
        <f aca="false">IF(CK580="N",BT580,ROUNDDOWN((J580-M580)*設定!$B$13/1000,0))</f>
        <v>0</v>
      </c>
      <c r="BM580" s="31" t="n">
        <f aca="false">ROUNDDOWN((J580-M580)*設定!$C$13/1000,0)+IF(CL580="市局型",ROUNDDOWN(J580*設定!$C$17/1000,0),0)</f>
        <v>0</v>
      </c>
      <c r="BN580" s="31" t="n">
        <f aca="false">IF(CK580="N",BV580,ROUNDDOWN((K580-N580)*設定!$B$14/1000,0))</f>
        <v>0</v>
      </c>
      <c r="BO580" s="31" t="n">
        <f aca="false">ROUNDDOWN((K580-N580)*設定!$C$14/1000,0)</f>
        <v>0</v>
      </c>
      <c r="BP580" s="31" t="n">
        <f aca="false">IF(CK580="N",BX580,ROUNDDOWN((J580-M580)*設定!$B$15/1000,0))</f>
        <v>0</v>
      </c>
      <c r="BQ580" s="31" t="n">
        <f aca="false">ROUNDDOWN((J580-M580)*設定!$C$15/1000,0)</f>
        <v>0</v>
      </c>
      <c r="BR580" s="31" t="n">
        <f aca="false">O580+P580</f>
        <v>0</v>
      </c>
      <c r="BS580" s="31" t="n">
        <f aca="false">T580+U580+V580</f>
        <v>0</v>
      </c>
      <c r="BT580" s="31" t="n">
        <f aca="false">Q580</f>
        <v>0</v>
      </c>
      <c r="BU580" s="31" t="n">
        <f aca="false">W580</f>
        <v>0</v>
      </c>
      <c r="BV580" s="31" t="n">
        <f aca="false">R580</f>
        <v>0</v>
      </c>
      <c r="BW580" s="31" t="n">
        <f aca="false">X580</f>
        <v>0</v>
      </c>
      <c r="BX580" s="31" t="n">
        <f aca="false">S580</f>
        <v>0</v>
      </c>
      <c r="BY580" s="31" t="n">
        <f aca="false">Y580</f>
        <v>0</v>
      </c>
      <c r="BZ580" s="32" t="n">
        <f aca="false">IF(BJ580=0,IF(BR580=0,0,1),(BR580-BJ580)/BJ580)</f>
        <v>0</v>
      </c>
      <c r="CA580" s="32" t="n">
        <f aca="false">IF(BK580=0,IF(BS580=0,0,1),(BS580-BK580)/BK580)</f>
        <v>0</v>
      </c>
      <c r="CB580" s="32" t="n">
        <f aca="false">IF(BL580=0,IF(BT580=0,0,1),(BT580-BL580)/BL580)</f>
        <v>0</v>
      </c>
      <c r="CC580" s="32" t="n">
        <f aca="false">IF(BM580=0,IF(BU580=0,0,1),(BU580-BM580)/BM580)</f>
        <v>0</v>
      </c>
      <c r="CD580" s="32" t="n">
        <f aca="false">IF(BN580=0,IF(BV580=0,0,1),(BV580-BN580)/BN580)</f>
        <v>0</v>
      </c>
      <c r="CE580" s="32" t="n">
        <f aca="false">IF(BO580=0,IF(BW580=0,0,1),(BW580-BO580)/BO580)</f>
        <v>0</v>
      </c>
      <c r="CF580" s="32" t="n">
        <f aca="false">IF(BP580=0,IF(BX580=0,0,1),(BX580-BP580)/BP580)</f>
        <v>0</v>
      </c>
      <c r="CG580" s="32" t="n">
        <f aca="false">IF(BQ580=0,IF(BY580=0,0,1),(BY580-BQ580)/BQ580)</f>
        <v>0</v>
      </c>
      <c r="CH580" s="32" t="n">
        <f aca="false">MAX(MAX(BZ580:CG580),-MIN(BZ580:CG580))</f>
        <v>-0</v>
      </c>
      <c r="CI580" s="31" t="n">
        <f aca="false">IF(CO580="","",SUMIFS($CJ$7:$CJ$696,$A$7:$A$696,CO580,$B$7:$B$696,B580))</f>
        <v>135615</v>
      </c>
      <c r="CJ580" s="31" t="n">
        <f aca="false">SUM(AY580:BI580)</f>
        <v>135615</v>
      </c>
      <c r="CK580" s="31" t="str">
        <f aca="false">IFERROR(INDEX(設定!$F$61:$F$106,MATCH(B580,設定!$B$61:$B$106,0)),"Y")</f>
        <v>Y</v>
      </c>
      <c r="CL580" s="31" t="str">
        <f aca="false">IFERROR(INDEX(設定!$G$61:$G$106,MATCH(B580,設定!$B$61:$B$106,0)),"外郭型")</f>
        <v>外郭型</v>
      </c>
      <c r="CM580" s="33" t="str">
        <f aca="false">A580&amp;"|"&amp;B580</f>
        <v>2027-02 月例|地方公務員災害補償基金本部</v>
      </c>
      <c r="CN580" s="34" t="str">
        <f aca="false">IFERROR(INDEX(設定!$D$61:$D$106,MATCH(B580,設定!$B$61:$B$106,0)),"Y")</f>
        <v>Y</v>
      </c>
      <c r="CO580" s="34" t="str">
        <f aca="false">IFERROR(INDEX(設定!$D$20:$D$34,MATCH(A580,設定!$A$20:$A$34,0))&amp;"","")</f>
        <v>2027-01 月例</v>
      </c>
    </row>
    <row r="581" customFormat="false" ht="15" hidden="true" customHeight="false" outlineLevel="0" collapsed="false">
      <c r="A581" s="22" t="s">
        <v>228</v>
      </c>
      <c r="B581" s="23" t="s">
        <v>191</v>
      </c>
      <c r="C581" s="10" t="str">
        <f aca="false">IF(G581="","未受領",IF(G581="なし","報告なし",IF(AL581="○","起票済",IF(OR(AK581="○",F581="一致",F581="入金不要"),"入金確認済","受領済"))))</f>
        <v>未受領</v>
      </c>
      <c r="D581" s="10" t="str">
        <f aca="false">IF(OR(G581="",G581="なし"),"―",IF(CN581="N","対象外",IF(AND(I581="",J581="",K581=""),"標報未入力",IF(CH581&gt;=設定!$B$4,"要確認","問題なし"))))</f>
        <v>―</v>
      </c>
      <c r="E581" s="24" t="str">
        <f aca="false">IF(OR(G581="",G581="なし",CI581="",CJ581=0),"―",IF(CJ581=CI581,"前月同額",IF(CI581=0,"―",IF(ABS(CJ581/CI581-1)&gt;=設定!$B$5,"変動大 "&amp;TEXT(CJ581/CI581-1,"+0%;-0%"),"〇"))))</f>
        <v>―</v>
      </c>
      <c r="F581" s="10" t="str">
        <f aca="false">IF(OR(G581="",G581="なし"),"―",IF(CJ581=0,"入金不要",IF(COUNT(AD581,AF581,AH581,AJ581)=0,IF(AK581="○","手動確認","未入金"),IF(AND(N(AD581)=AC581,IF(AE581="",TRUE(),N(AF581)=AE581),IF(AG581="",TRUE(),N(AH581)=AG581),IF(AI581="",TRUE(),N(AJ581)=AI581)),"一致","不一致"))))</f>
        <v>―</v>
      </c>
      <c r="G581" s="25"/>
      <c r="H581" s="26"/>
      <c r="I581" s="27"/>
      <c r="J581" s="27"/>
      <c r="K581" s="27"/>
      <c r="L581" s="27"/>
      <c r="M581" s="27"/>
      <c r="N581" s="27"/>
      <c r="O581" s="27"/>
      <c r="P581" s="27"/>
      <c r="Q581" s="27"/>
      <c r="R581" s="27"/>
      <c r="S581" s="27"/>
      <c r="T581" s="27"/>
      <c r="U581" s="27"/>
      <c r="V581" s="27"/>
      <c r="W581" s="27"/>
      <c r="X581" s="27"/>
      <c r="Y581" s="27"/>
      <c r="Z581" s="27"/>
      <c r="AA581" s="10" t="str">
        <f aca="false">IFERROR(INDEX(設定!$E$61:$E$106,MATCH(B581,設定!$B$61:$B$106,0)),"合算")</f>
        <v>合算</v>
      </c>
      <c r="AB581" s="28"/>
      <c r="AC581" s="29" t="str">
        <f aca="false">IF(OR(G581="",G581="なし"),"",IF(AA581="合算",CJ581+N(Z581),IF(AA581="掛金・負担金別",(AY581+AZ581+BD581+BF581+BH581),SUM(AY581:BC581))))</f>
        <v/>
      </c>
      <c r="AD581" s="27"/>
      <c r="AE581" s="29" t="str">
        <f aca="false">IF(OR(G581="",G581="なし"),"",IF(AA581="掛金・負担金別",(BA581+BB581+BC581+BE581+BG581+BI581+N(Z581)),IF(AA581="経理区分別",BD581+BE581,"")))</f>
        <v/>
      </c>
      <c r="AF581" s="27"/>
      <c r="AG581" s="29" t="str">
        <f aca="false">IF(OR(G581="",G581="なし"),"",IF(AA581="経理区分別",BF581+BG581,""))</f>
        <v/>
      </c>
      <c r="AH581" s="27"/>
      <c r="AI581" s="29" t="str">
        <f aca="false">IF(OR(G581="",G581="なし"),"",IF(AA581="経理区分別",BH581+BI581+N(Z581),""))</f>
        <v/>
      </c>
      <c r="AJ581" s="27"/>
      <c r="AK581" s="26"/>
      <c r="AL581" s="26"/>
      <c r="AM581" s="30"/>
      <c r="AN581" s="31" t="n">
        <v>102480</v>
      </c>
      <c r="AO581" s="31" t="n">
        <v>8400</v>
      </c>
      <c r="AP581" s="31" t="n">
        <v>102480</v>
      </c>
      <c r="AQ581" s="31" t="n">
        <v>8400</v>
      </c>
      <c r="AR581" s="31" t="n">
        <v>105</v>
      </c>
      <c r="AS581" s="31" t="n">
        <v>61610</v>
      </c>
      <c r="AT581" s="31" t="n">
        <v>61723</v>
      </c>
      <c r="AU581" s="31" t="n">
        <v>4661</v>
      </c>
      <c r="AV581" s="31" t="n">
        <v>4661</v>
      </c>
      <c r="AW581" s="31" t="n">
        <v>1</v>
      </c>
      <c r="AX581" s="31" t="n">
        <v>1</v>
      </c>
      <c r="AY581" s="31" t="n">
        <f aca="false">IF($G581="",AN581,O581)</f>
        <v>102480</v>
      </c>
      <c r="AZ581" s="31" t="n">
        <f aca="false">IF($G581="",AO581,P581)</f>
        <v>8400</v>
      </c>
      <c r="BA581" s="31" t="n">
        <f aca="false">IF($G581="",AP581,T581)</f>
        <v>102480</v>
      </c>
      <c r="BB581" s="31" t="n">
        <f aca="false">IF($G581="",AQ581,U581)</f>
        <v>8400</v>
      </c>
      <c r="BC581" s="31" t="n">
        <f aca="false">IF($G581="",AR581,V581)</f>
        <v>105</v>
      </c>
      <c r="BD581" s="31" t="n">
        <f aca="false">IF($G581="",AS581,Q581)</f>
        <v>61610</v>
      </c>
      <c r="BE581" s="31" t="n">
        <f aca="false">IF($G581="",AT581,W581)</f>
        <v>61723</v>
      </c>
      <c r="BF581" s="31" t="n">
        <f aca="false">IF($G581="",AU581,R581)</f>
        <v>4661</v>
      </c>
      <c r="BG581" s="31" t="n">
        <f aca="false">IF($G581="",AV581,X581)</f>
        <v>4661</v>
      </c>
      <c r="BH581" s="31" t="n">
        <f aca="false">IF($G581="",AW581,S581)</f>
        <v>1</v>
      </c>
      <c r="BI581" s="31" t="n">
        <f aca="false">IF($G581="",AX581,Y581)</f>
        <v>1</v>
      </c>
      <c r="BJ581" s="31" t="n">
        <f aca="false">IF(CK581="N",BR581,ROUNDDOWN((I581-L581)*設定!$B$10/1000,0)+ROUNDDOWN((I581-L581)*設定!$B$11/1000,0))</f>
        <v>0</v>
      </c>
      <c r="BK581" s="31" t="n">
        <f aca="false">ROUNDDOWN((I581-L581)*設定!$C$10/1000,0)+ROUNDDOWN((I581-L581)*設定!$C$11/1000,0)+ROUNDDOWN(I581*設定!$C$12/1000,0)+IF(CL581="市局型",ROUNDDOWN(I581*設定!$C$16/1000,0),0)</f>
        <v>0</v>
      </c>
      <c r="BL581" s="31" t="n">
        <f aca="false">IF(CK581="N",BT581,ROUNDDOWN((J581-M581)*設定!$B$13/1000,0))</f>
        <v>0</v>
      </c>
      <c r="BM581" s="31" t="n">
        <f aca="false">ROUNDDOWN((J581-M581)*設定!$C$13/1000,0)+IF(CL581="市局型",ROUNDDOWN(J581*設定!$C$17/1000,0),0)</f>
        <v>0</v>
      </c>
      <c r="BN581" s="31" t="n">
        <f aca="false">IF(CK581="N",BV581,ROUNDDOWN((K581-N581)*設定!$B$14/1000,0))</f>
        <v>0</v>
      </c>
      <c r="BO581" s="31" t="n">
        <f aca="false">ROUNDDOWN((K581-N581)*設定!$C$14/1000,0)</f>
        <v>0</v>
      </c>
      <c r="BP581" s="31" t="n">
        <f aca="false">IF(CK581="N",BX581,ROUNDDOWN((J581-M581)*設定!$B$15/1000,0))</f>
        <v>0</v>
      </c>
      <c r="BQ581" s="31" t="n">
        <f aca="false">ROUNDDOWN((J581-M581)*設定!$C$15/1000,0)</f>
        <v>0</v>
      </c>
      <c r="BR581" s="31" t="n">
        <f aca="false">O581+P581</f>
        <v>0</v>
      </c>
      <c r="BS581" s="31" t="n">
        <f aca="false">T581+U581+V581</f>
        <v>0</v>
      </c>
      <c r="BT581" s="31" t="n">
        <f aca="false">Q581</f>
        <v>0</v>
      </c>
      <c r="BU581" s="31" t="n">
        <f aca="false">W581</f>
        <v>0</v>
      </c>
      <c r="BV581" s="31" t="n">
        <f aca="false">R581</f>
        <v>0</v>
      </c>
      <c r="BW581" s="31" t="n">
        <f aca="false">X581</f>
        <v>0</v>
      </c>
      <c r="BX581" s="31" t="n">
        <f aca="false">S581</f>
        <v>0</v>
      </c>
      <c r="BY581" s="31" t="n">
        <f aca="false">Y581</f>
        <v>0</v>
      </c>
      <c r="BZ581" s="32" t="n">
        <f aca="false">IF(BJ581=0,IF(BR581=0,0,1),(BR581-BJ581)/BJ581)</f>
        <v>0</v>
      </c>
      <c r="CA581" s="32" t="n">
        <f aca="false">IF(BK581=0,IF(BS581=0,0,1),(BS581-BK581)/BK581)</f>
        <v>0</v>
      </c>
      <c r="CB581" s="32" t="n">
        <f aca="false">IF(BL581=0,IF(BT581=0,0,1),(BT581-BL581)/BL581)</f>
        <v>0</v>
      </c>
      <c r="CC581" s="32" t="n">
        <f aca="false">IF(BM581=0,IF(BU581=0,0,1),(BU581-BM581)/BM581)</f>
        <v>0</v>
      </c>
      <c r="CD581" s="32" t="n">
        <f aca="false">IF(BN581=0,IF(BV581=0,0,1),(BV581-BN581)/BN581)</f>
        <v>0</v>
      </c>
      <c r="CE581" s="32" t="n">
        <f aca="false">IF(BO581=0,IF(BW581=0,0,1),(BW581-BO581)/BO581)</f>
        <v>0</v>
      </c>
      <c r="CF581" s="32" t="n">
        <f aca="false">IF(BP581=0,IF(BX581=0,0,1),(BX581-BP581)/BP581)</f>
        <v>0</v>
      </c>
      <c r="CG581" s="32" t="n">
        <f aca="false">IF(BQ581=0,IF(BY581=0,0,1),(BY581-BQ581)/BQ581)</f>
        <v>0</v>
      </c>
      <c r="CH581" s="32" t="n">
        <f aca="false">MAX(MAX(BZ581:CG581),-MIN(BZ581:CG581))</f>
        <v>-0</v>
      </c>
      <c r="CI581" s="31" t="n">
        <f aca="false">IF(CO581="","",SUMIFS($CJ$7:$CJ$696,$A$7:$A$696,CO581,$B$7:$B$696,B581))</f>
        <v>354522</v>
      </c>
      <c r="CJ581" s="31" t="n">
        <f aca="false">SUM(AY581:BI581)</f>
        <v>354522</v>
      </c>
      <c r="CK581" s="31" t="str">
        <f aca="false">IFERROR(INDEX(設定!$F$61:$F$106,MATCH(B581,設定!$B$61:$B$106,0)),"Y")</f>
        <v>Y</v>
      </c>
      <c r="CL581" s="31" t="str">
        <f aca="false">IFERROR(INDEX(設定!$G$61:$G$106,MATCH(B581,設定!$B$61:$B$106,0)),"外郭型")</f>
        <v>外郭型</v>
      </c>
      <c r="CM581" s="33" t="str">
        <f aca="false">A581&amp;"|"&amp;B581</f>
        <v>2027-02 月例|救急振興財団</v>
      </c>
      <c r="CN581" s="34" t="str">
        <f aca="false">IFERROR(INDEX(設定!$D$61:$D$106,MATCH(B581,設定!$B$61:$B$106,0)),"Y")</f>
        <v>Y</v>
      </c>
      <c r="CO581" s="34" t="str">
        <f aca="false">IFERROR(INDEX(設定!$D$20:$D$34,MATCH(A581,設定!$A$20:$A$34,0))&amp;"","")</f>
        <v>2027-01 月例</v>
      </c>
    </row>
    <row r="582" customFormat="false" ht="15" hidden="true" customHeight="false" outlineLevel="0" collapsed="false">
      <c r="A582" s="22" t="s">
        <v>228</v>
      </c>
      <c r="B582" s="23" t="s">
        <v>192</v>
      </c>
      <c r="C582" s="10" t="str">
        <f aca="false">IF(G582="","未受領",IF(G582="なし","報告なし",IF(AL582="○","起票済",IF(OR(AK582="○",F582="一致",F582="入金不要"),"入金確認済","受領済"))))</f>
        <v>未受領</v>
      </c>
      <c r="D582" s="10" t="str">
        <f aca="false">IF(OR(G582="",G582="なし"),"―",IF(CN582="N","対象外",IF(AND(I582="",J582="",K582=""),"標報未入力",IF(CH582&gt;=設定!$B$4,"要確認","問題なし"))))</f>
        <v>―</v>
      </c>
      <c r="E582" s="24" t="str">
        <f aca="false">IF(OR(G582="",G582="なし",CI582="",CJ582=0),"―",IF(CJ582=CI582,"前月同額",IF(CI582=0,"―",IF(ABS(CJ582/CI582-1)&gt;=設定!$B$5,"変動大 "&amp;TEXT(CJ582/CI582-1,"+0%;-0%"),"〇"))))</f>
        <v>―</v>
      </c>
      <c r="F582" s="10" t="str">
        <f aca="false">IF(OR(G582="",G582="なし"),"―",IF(CJ582=0,"入金不要",IF(COUNT(AD582,AF582,AH582,AJ582)=0,IF(AK582="○","手動確認","未入金"),IF(AND(N(AD582)=AC582,IF(AE582="",TRUE(),N(AF582)=AE582),IF(AG582="",TRUE(),N(AH582)=AG582),IF(AI582="",TRUE(),N(AJ582)=AI582)),"一致","不一致"))))</f>
        <v>―</v>
      </c>
      <c r="G582" s="25"/>
      <c r="H582" s="26"/>
      <c r="I582" s="27"/>
      <c r="J582" s="27"/>
      <c r="K582" s="27"/>
      <c r="L582" s="27"/>
      <c r="M582" s="27"/>
      <c r="N582" s="27"/>
      <c r="O582" s="27"/>
      <c r="P582" s="27"/>
      <c r="Q582" s="27"/>
      <c r="R582" s="27"/>
      <c r="S582" s="27"/>
      <c r="T582" s="27"/>
      <c r="U582" s="27"/>
      <c r="V582" s="27"/>
      <c r="W582" s="27"/>
      <c r="X582" s="27"/>
      <c r="Y582" s="27"/>
      <c r="Z582" s="27"/>
      <c r="AA582" s="10" t="str">
        <f aca="false">IFERROR(INDEX(設定!$E$61:$E$106,MATCH(B582,設定!$B$61:$B$106,0)),"合算")</f>
        <v>合算</v>
      </c>
      <c r="AB582" s="28"/>
      <c r="AC582" s="29" t="str">
        <f aca="false">IF(OR(G582="",G582="なし"),"",IF(AA582="合算",CJ582+N(Z582),IF(AA582="掛金・負担金別",(AY582+AZ582+BD582+BF582+BH582),SUM(AY582:BC582))))</f>
        <v/>
      </c>
      <c r="AD582" s="27"/>
      <c r="AE582" s="29" t="str">
        <f aca="false">IF(OR(G582="",G582="なし"),"",IF(AA582="掛金・負担金別",(BA582+BB582+BC582+BE582+BG582+BI582+N(Z582)),IF(AA582="経理区分別",BD582+BE582,"")))</f>
        <v/>
      </c>
      <c r="AF582" s="27"/>
      <c r="AG582" s="29" t="str">
        <f aca="false">IF(OR(G582="",G582="なし"),"",IF(AA582="経理区分別",BF582+BG582,""))</f>
        <v/>
      </c>
      <c r="AH582" s="27"/>
      <c r="AI582" s="29" t="str">
        <f aca="false">IF(OR(G582="",G582="なし"),"",IF(AA582="経理区分別",BH582+BI582+N(Z582),""))</f>
        <v/>
      </c>
      <c r="AJ582" s="27"/>
      <c r="AK582" s="26"/>
      <c r="AL582" s="26"/>
      <c r="AM582" s="30"/>
      <c r="AN582" s="31" t="n">
        <v>923235</v>
      </c>
      <c r="AO582" s="31" t="n">
        <v>75675</v>
      </c>
      <c r="AP582" s="31" t="n">
        <v>923235</v>
      </c>
      <c r="AQ582" s="31" t="n">
        <v>75675</v>
      </c>
      <c r="AR582" s="31" t="n">
        <v>947</v>
      </c>
      <c r="AS582" s="31" t="n">
        <v>556693</v>
      </c>
      <c r="AT582" s="31" t="n">
        <v>557713</v>
      </c>
      <c r="AU582" s="31" t="n">
        <v>54747</v>
      </c>
      <c r="AV582" s="31" t="n">
        <v>54747</v>
      </c>
      <c r="AW582" s="31" t="n">
        <v>1</v>
      </c>
      <c r="AX582" s="31" t="n">
        <v>1</v>
      </c>
      <c r="AY582" s="31" t="n">
        <f aca="false">IF($G582="",AN582,O582)</f>
        <v>923235</v>
      </c>
      <c r="AZ582" s="31" t="n">
        <f aca="false">IF($G582="",AO582,P582)</f>
        <v>75675</v>
      </c>
      <c r="BA582" s="31" t="n">
        <f aca="false">IF($G582="",AP582,T582)</f>
        <v>923235</v>
      </c>
      <c r="BB582" s="31" t="n">
        <f aca="false">IF($G582="",AQ582,U582)</f>
        <v>75675</v>
      </c>
      <c r="BC582" s="31" t="n">
        <f aca="false">IF($G582="",AR582,V582)</f>
        <v>947</v>
      </c>
      <c r="BD582" s="31" t="n">
        <f aca="false">IF($G582="",AS582,Q582)</f>
        <v>556693</v>
      </c>
      <c r="BE582" s="31" t="n">
        <f aca="false">IF($G582="",AT582,W582)</f>
        <v>557713</v>
      </c>
      <c r="BF582" s="31" t="n">
        <f aca="false">IF($G582="",AU582,R582)</f>
        <v>54747</v>
      </c>
      <c r="BG582" s="31" t="n">
        <f aca="false">IF($G582="",AV582,X582)</f>
        <v>54747</v>
      </c>
      <c r="BH582" s="31" t="n">
        <f aca="false">IF($G582="",AW582,S582)</f>
        <v>1</v>
      </c>
      <c r="BI582" s="31" t="n">
        <f aca="false">IF($G582="",AX582,Y582)</f>
        <v>1</v>
      </c>
      <c r="BJ582" s="31" t="n">
        <f aca="false">IF(CK582="N",BR582,ROUNDDOWN((I582-L582)*設定!$B$10/1000,0)+ROUNDDOWN((I582-L582)*設定!$B$11/1000,0))</f>
        <v>0</v>
      </c>
      <c r="BK582" s="31" t="n">
        <f aca="false">ROUNDDOWN((I582-L582)*設定!$C$10/1000,0)+ROUNDDOWN((I582-L582)*設定!$C$11/1000,0)+ROUNDDOWN(I582*設定!$C$12/1000,0)+IF(CL582="市局型",ROUNDDOWN(I582*設定!$C$16/1000,0),0)</f>
        <v>0</v>
      </c>
      <c r="BL582" s="31" t="n">
        <f aca="false">IF(CK582="N",BT582,ROUNDDOWN((J582-M582)*設定!$B$13/1000,0))</f>
        <v>0</v>
      </c>
      <c r="BM582" s="31" t="n">
        <f aca="false">ROUNDDOWN((J582-M582)*設定!$C$13/1000,0)+IF(CL582="市局型",ROUNDDOWN(J582*設定!$C$17/1000,0),0)</f>
        <v>0</v>
      </c>
      <c r="BN582" s="31" t="n">
        <f aca="false">IF(CK582="N",BV582,ROUNDDOWN((K582-N582)*設定!$B$14/1000,0))</f>
        <v>0</v>
      </c>
      <c r="BO582" s="31" t="n">
        <f aca="false">ROUNDDOWN((K582-N582)*設定!$C$14/1000,0)</f>
        <v>0</v>
      </c>
      <c r="BP582" s="31" t="n">
        <f aca="false">IF(CK582="N",BX582,ROUNDDOWN((J582-M582)*設定!$B$15/1000,0))</f>
        <v>0</v>
      </c>
      <c r="BQ582" s="31" t="n">
        <f aca="false">ROUNDDOWN((J582-M582)*設定!$C$15/1000,0)</f>
        <v>0</v>
      </c>
      <c r="BR582" s="31" t="n">
        <f aca="false">O582+P582</f>
        <v>0</v>
      </c>
      <c r="BS582" s="31" t="n">
        <f aca="false">T582+U582+V582</f>
        <v>0</v>
      </c>
      <c r="BT582" s="31" t="n">
        <f aca="false">Q582</f>
        <v>0</v>
      </c>
      <c r="BU582" s="31" t="n">
        <f aca="false">W582</f>
        <v>0</v>
      </c>
      <c r="BV582" s="31" t="n">
        <f aca="false">R582</f>
        <v>0</v>
      </c>
      <c r="BW582" s="31" t="n">
        <f aca="false">X582</f>
        <v>0</v>
      </c>
      <c r="BX582" s="31" t="n">
        <f aca="false">S582</f>
        <v>0</v>
      </c>
      <c r="BY582" s="31" t="n">
        <f aca="false">Y582</f>
        <v>0</v>
      </c>
      <c r="BZ582" s="32" t="n">
        <f aca="false">IF(BJ582=0,IF(BR582=0,0,1),(BR582-BJ582)/BJ582)</f>
        <v>0</v>
      </c>
      <c r="CA582" s="32" t="n">
        <f aca="false">IF(BK582=0,IF(BS582=0,0,1),(BS582-BK582)/BK582)</f>
        <v>0</v>
      </c>
      <c r="CB582" s="32" t="n">
        <f aca="false">IF(BL582=0,IF(BT582=0,0,1),(BT582-BL582)/BL582)</f>
        <v>0</v>
      </c>
      <c r="CC582" s="32" t="n">
        <f aca="false">IF(BM582=0,IF(BU582=0,0,1),(BU582-BM582)/BM582)</f>
        <v>0</v>
      </c>
      <c r="CD582" s="32" t="n">
        <f aca="false">IF(BN582=0,IF(BV582=0,0,1),(BV582-BN582)/BN582)</f>
        <v>0</v>
      </c>
      <c r="CE582" s="32" t="n">
        <f aca="false">IF(BO582=0,IF(BW582=0,0,1),(BW582-BO582)/BO582)</f>
        <v>0</v>
      </c>
      <c r="CF582" s="32" t="n">
        <f aca="false">IF(BP582=0,IF(BX582=0,0,1),(BX582-BP582)/BP582)</f>
        <v>0</v>
      </c>
      <c r="CG582" s="32" t="n">
        <f aca="false">IF(BQ582=0,IF(BY582=0,0,1),(BY582-BQ582)/BQ582)</f>
        <v>0</v>
      </c>
      <c r="CH582" s="32" t="n">
        <f aca="false">MAX(MAX(BZ582:CG582),-MIN(BZ582:CG582))</f>
        <v>-0</v>
      </c>
      <c r="CI582" s="31" t="n">
        <f aca="false">IF(CO582="","",SUMIFS($CJ$7:$CJ$696,$A$7:$A$696,CO582,$B$7:$B$696,B582))</f>
        <v>3214769</v>
      </c>
      <c r="CJ582" s="31" t="n">
        <f aca="false">SUM(AY582:BI582)</f>
        <v>3222669</v>
      </c>
      <c r="CK582" s="31" t="str">
        <f aca="false">IFERROR(INDEX(設定!$F$61:$F$106,MATCH(B582,設定!$B$61:$B$106,0)),"Y")</f>
        <v>Y</v>
      </c>
      <c r="CL582" s="31" t="str">
        <f aca="false">IFERROR(INDEX(設定!$G$61:$G$106,MATCH(B582,設定!$B$61:$B$106,0)),"外郭型")</f>
        <v>外郭型</v>
      </c>
      <c r="CM582" s="33" t="str">
        <f aca="false">A582&amp;"|"&amp;B582</f>
        <v>2027-02 月例|高速道路公社</v>
      </c>
      <c r="CN582" s="34" t="str">
        <f aca="false">IFERROR(INDEX(設定!$D$61:$D$106,MATCH(B582,設定!$B$61:$B$106,0)),"Y")</f>
        <v>Y</v>
      </c>
      <c r="CO582" s="34" t="str">
        <f aca="false">IFERROR(INDEX(設定!$D$20:$D$34,MATCH(A582,設定!$A$20:$A$34,0))&amp;"","")</f>
        <v>2027-01 月例</v>
      </c>
    </row>
    <row r="583" customFormat="false" ht="15" hidden="true" customHeight="false" outlineLevel="0" collapsed="false">
      <c r="A583" s="22" t="s">
        <v>228</v>
      </c>
      <c r="B583" s="23" t="s">
        <v>193</v>
      </c>
      <c r="C583" s="10" t="str">
        <f aca="false">IF(G583="","未受領",IF(G583="なし","報告なし",IF(AL583="○","起票済",IF(OR(AK583="○",F583="一致",F583="入金不要"),"入金確認済","受領済"))))</f>
        <v>未受領</v>
      </c>
      <c r="D583" s="10" t="str">
        <f aca="false">IF(OR(G583="",G583="なし"),"―",IF(CN583="N","対象外",IF(AND(I583="",J583="",K583=""),"標報未入力",IF(CH583&gt;=設定!$B$4,"要確認","問題なし"))))</f>
        <v>―</v>
      </c>
      <c r="E583" s="24" t="str">
        <f aca="false">IF(OR(G583="",G583="なし",CI583="",CJ583=0),"―",IF(CJ583=CI583,"前月同額",IF(CI583=0,"―",IF(ABS(CJ583/CI583-1)&gt;=設定!$B$5,"変動大 "&amp;TEXT(CJ583/CI583-1,"+0%;-0%"),"〇"))))</f>
        <v>―</v>
      </c>
      <c r="F583" s="10" t="str">
        <f aca="false">IF(OR(G583="",G583="なし"),"―",IF(CJ583=0,"入金不要",IF(COUNT(AD583,AF583,AH583,AJ583)=0,IF(AK583="○","手動確認","未入金"),IF(AND(N(AD583)=AC583,IF(AE583="",TRUE(),N(AF583)=AE583),IF(AG583="",TRUE(),N(AH583)=AG583),IF(AI583="",TRUE(),N(AJ583)=AI583)),"一致","不一致"))))</f>
        <v>―</v>
      </c>
      <c r="G583" s="25"/>
      <c r="H583" s="26"/>
      <c r="I583" s="27"/>
      <c r="J583" s="27"/>
      <c r="K583" s="27"/>
      <c r="L583" s="27"/>
      <c r="M583" s="27"/>
      <c r="N583" s="27"/>
      <c r="O583" s="27"/>
      <c r="P583" s="27"/>
      <c r="Q583" s="27"/>
      <c r="R583" s="27"/>
      <c r="S583" s="27"/>
      <c r="T583" s="27"/>
      <c r="U583" s="27"/>
      <c r="V583" s="27"/>
      <c r="W583" s="27"/>
      <c r="X583" s="27"/>
      <c r="Y583" s="27"/>
      <c r="Z583" s="27"/>
      <c r="AA583" s="10" t="str">
        <f aca="false">IFERROR(INDEX(設定!$E$61:$E$106,MATCH(B583,設定!$B$61:$B$106,0)),"合算")</f>
        <v>合算</v>
      </c>
      <c r="AB583" s="28"/>
      <c r="AC583" s="29" t="str">
        <f aca="false">IF(OR(G583="",G583="なし"),"",IF(AA583="合算",CJ583+N(Z583),IF(AA583="掛金・負担金別",(AY583+AZ583+BD583+BF583+BH583),SUM(AY583:BC583))))</f>
        <v/>
      </c>
      <c r="AD583" s="27"/>
      <c r="AE583" s="29" t="str">
        <f aca="false">IF(OR(G583="",G583="なし"),"",IF(AA583="掛金・負担金別",(BA583+BB583+BC583+BE583+BG583+BI583+N(Z583)),IF(AA583="経理区分別",BD583+BE583,"")))</f>
        <v/>
      </c>
      <c r="AF583" s="27"/>
      <c r="AG583" s="29" t="str">
        <f aca="false">IF(OR(G583="",G583="なし"),"",IF(AA583="経理区分別",BF583+BG583,""))</f>
        <v/>
      </c>
      <c r="AH583" s="27"/>
      <c r="AI583" s="29" t="str">
        <f aca="false">IF(OR(G583="",G583="なし"),"",IF(AA583="経理区分別",BH583+BI583+N(Z583),""))</f>
        <v/>
      </c>
      <c r="AJ583" s="27"/>
      <c r="AK583" s="26"/>
      <c r="AL583" s="26"/>
      <c r="AM583" s="30"/>
      <c r="AN583" s="31"/>
      <c r="AO583" s="31"/>
      <c r="AP583" s="31" t="n">
        <v>571875</v>
      </c>
      <c r="AQ583" s="31" t="n">
        <v>46875</v>
      </c>
      <c r="AR583" s="31" t="n">
        <v>613</v>
      </c>
      <c r="AS583" s="31"/>
      <c r="AT583" s="31" t="n">
        <v>344467</v>
      </c>
      <c r="AU583" s="31"/>
      <c r="AV583" s="31" t="n">
        <v>27255</v>
      </c>
      <c r="AW583" s="31"/>
      <c r="AX583" s="31" t="n">
        <v>1</v>
      </c>
      <c r="AY583" s="31" t="n">
        <f aca="false">IF($G583="",AN583,O583)</f>
        <v>0</v>
      </c>
      <c r="AZ583" s="31" t="n">
        <f aca="false">IF($G583="",AO583,P583)</f>
        <v>0</v>
      </c>
      <c r="BA583" s="31" t="n">
        <f aca="false">IF($G583="",AP583,T583)</f>
        <v>571875</v>
      </c>
      <c r="BB583" s="31" t="n">
        <f aca="false">IF($G583="",AQ583,U583)</f>
        <v>46875</v>
      </c>
      <c r="BC583" s="31" t="n">
        <f aca="false">IF($G583="",AR583,V583)</f>
        <v>613</v>
      </c>
      <c r="BD583" s="31" t="n">
        <f aca="false">IF($G583="",AS583,Q583)</f>
        <v>0</v>
      </c>
      <c r="BE583" s="31" t="n">
        <f aca="false">IF($G583="",AT583,W583)</f>
        <v>344467</v>
      </c>
      <c r="BF583" s="31" t="n">
        <f aca="false">IF($G583="",AU583,R583)</f>
        <v>0</v>
      </c>
      <c r="BG583" s="31" t="n">
        <f aca="false">IF($G583="",AV583,X583)</f>
        <v>27255</v>
      </c>
      <c r="BH583" s="31" t="n">
        <f aca="false">IF($G583="",AW583,S583)</f>
        <v>0</v>
      </c>
      <c r="BI583" s="31" t="n">
        <f aca="false">IF($G583="",AX583,Y583)</f>
        <v>1</v>
      </c>
      <c r="BJ583" s="31" t="n">
        <f aca="false">IF(CK583="N",BR583,ROUNDDOWN((I583-L583)*設定!$B$10/1000,0)+ROUNDDOWN((I583-L583)*設定!$B$11/1000,0))</f>
        <v>0</v>
      </c>
      <c r="BK583" s="31" t="n">
        <f aca="false">ROUNDDOWN((I583-L583)*設定!$C$10/1000,0)+ROUNDDOWN((I583-L583)*設定!$C$11/1000,0)+ROUNDDOWN(I583*設定!$C$12/1000,0)+IF(CL583="市局型",ROUNDDOWN(I583*設定!$C$16/1000,0),0)</f>
        <v>0</v>
      </c>
      <c r="BL583" s="31" t="n">
        <f aca="false">IF(CK583="N",BT583,ROUNDDOWN((J583-M583)*設定!$B$13/1000,0))</f>
        <v>0</v>
      </c>
      <c r="BM583" s="31" t="n">
        <f aca="false">ROUNDDOWN((J583-M583)*設定!$C$13/1000,0)+IF(CL583="市局型",ROUNDDOWN(J583*設定!$C$17/1000,0),0)</f>
        <v>0</v>
      </c>
      <c r="BN583" s="31" t="n">
        <f aca="false">IF(CK583="N",BV583,ROUNDDOWN((K583-N583)*設定!$B$14/1000,0))</f>
        <v>0</v>
      </c>
      <c r="BO583" s="31" t="n">
        <f aca="false">ROUNDDOWN((K583-N583)*設定!$C$14/1000,0)</f>
        <v>0</v>
      </c>
      <c r="BP583" s="31" t="n">
        <f aca="false">IF(CK583="N",BX583,ROUNDDOWN((J583-M583)*設定!$B$15/1000,0))</f>
        <v>0</v>
      </c>
      <c r="BQ583" s="31" t="n">
        <f aca="false">ROUNDDOWN((J583-M583)*設定!$C$15/1000,0)</f>
        <v>0</v>
      </c>
      <c r="BR583" s="31" t="n">
        <f aca="false">O583+P583</f>
        <v>0</v>
      </c>
      <c r="BS583" s="31" t="n">
        <f aca="false">T583+U583+V583</f>
        <v>0</v>
      </c>
      <c r="BT583" s="31" t="n">
        <f aca="false">Q583</f>
        <v>0</v>
      </c>
      <c r="BU583" s="31" t="n">
        <f aca="false">W583</f>
        <v>0</v>
      </c>
      <c r="BV583" s="31" t="n">
        <f aca="false">R583</f>
        <v>0</v>
      </c>
      <c r="BW583" s="31" t="n">
        <f aca="false">X583</f>
        <v>0</v>
      </c>
      <c r="BX583" s="31" t="n">
        <f aca="false">S583</f>
        <v>0</v>
      </c>
      <c r="BY583" s="31" t="n">
        <f aca="false">Y583</f>
        <v>0</v>
      </c>
      <c r="BZ583" s="32" t="n">
        <f aca="false">IF(BJ583=0,IF(BR583=0,0,1),(BR583-BJ583)/BJ583)</f>
        <v>0</v>
      </c>
      <c r="CA583" s="32" t="n">
        <f aca="false">IF(BK583=0,IF(BS583=0,0,1),(BS583-BK583)/BK583)</f>
        <v>0</v>
      </c>
      <c r="CB583" s="32" t="n">
        <f aca="false">IF(BL583=0,IF(BT583=0,0,1),(BT583-BL583)/BL583)</f>
        <v>0</v>
      </c>
      <c r="CC583" s="32" t="n">
        <f aca="false">IF(BM583=0,IF(BU583=0,0,1),(BU583-BM583)/BM583)</f>
        <v>0</v>
      </c>
      <c r="CD583" s="32" t="n">
        <f aca="false">IF(BN583=0,IF(BV583=0,0,1),(BV583-BN583)/BN583)</f>
        <v>0</v>
      </c>
      <c r="CE583" s="32" t="n">
        <f aca="false">IF(BO583=0,IF(BW583=0,0,1),(BW583-BO583)/BO583)</f>
        <v>0</v>
      </c>
      <c r="CF583" s="32" t="n">
        <f aca="false">IF(BP583=0,IF(BX583=0,0,1),(BX583-BP583)/BP583)</f>
        <v>0</v>
      </c>
      <c r="CG583" s="32" t="n">
        <f aca="false">IF(BQ583=0,IF(BY583=0,0,1),(BY583-BQ583)/BQ583)</f>
        <v>0</v>
      </c>
      <c r="CH583" s="32" t="n">
        <f aca="false">MAX(MAX(BZ583:CG583),-MIN(BZ583:CG583))</f>
        <v>-0</v>
      </c>
      <c r="CI583" s="31" t="n">
        <f aca="false">IF(CO583="","",SUMIFS($CJ$7:$CJ$696,$A$7:$A$696,CO583,$B$7:$B$696,B583))</f>
        <v>991086</v>
      </c>
      <c r="CJ583" s="31" t="n">
        <f aca="false">SUM(AY583:BI583)</f>
        <v>991086</v>
      </c>
      <c r="CK583" s="31" t="str">
        <f aca="false">IFERROR(INDEX(設定!$F$61:$F$106,MATCH(B583,設定!$B$61:$B$106,0)),"Y")</f>
        <v>N</v>
      </c>
      <c r="CL583" s="31" t="str">
        <f aca="false">IFERROR(INDEX(設定!$G$61:$G$106,MATCH(B583,設定!$B$61:$B$106,0)),"外郭型")</f>
        <v>外郭型</v>
      </c>
      <c r="CM583" s="33" t="str">
        <f aca="false">A583&amp;"|"&amp;B583</f>
        <v>2027-02 月例|農林水産振興センタ</v>
      </c>
      <c r="CN583" s="34" t="str">
        <f aca="false">IFERROR(INDEX(設定!$D$61:$D$106,MATCH(B583,設定!$B$61:$B$106,0)),"Y")</f>
        <v>Y</v>
      </c>
      <c r="CO583" s="34" t="str">
        <f aca="false">IFERROR(INDEX(設定!$D$20:$D$34,MATCH(A583,設定!$A$20:$A$34,0))&amp;"","")</f>
        <v>2027-01 月例</v>
      </c>
    </row>
    <row r="584" customFormat="false" ht="15" hidden="true" customHeight="false" outlineLevel="0" collapsed="false">
      <c r="A584" s="22" t="s">
        <v>228</v>
      </c>
      <c r="B584" s="23" t="s">
        <v>194</v>
      </c>
      <c r="C584" s="10" t="str">
        <f aca="false">IF(G584="","未受領",IF(G584="なし","報告なし",IF(AL584="○","起票済",IF(OR(AK584="○",F584="一致",F584="入金不要"),"入金確認済","受領済"))))</f>
        <v>未受領</v>
      </c>
      <c r="D584" s="10" t="str">
        <f aca="false">IF(OR(G584="",G584="なし"),"―",IF(CN584="N","対象外",IF(AND(I584="",J584="",K584=""),"標報未入力",IF(CH584&gt;=設定!$B$4,"要確認","問題なし"))))</f>
        <v>―</v>
      </c>
      <c r="E584" s="24" t="str">
        <f aca="false">IF(OR(G584="",G584="なし",CI584="",CJ584=0),"―",IF(CJ584=CI584,"前月同額",IF(CI584=0,"―",IF(ABS(CJ584/CI584-1)&gt;=設定!$B$5,"変動大 "&amp;TEXT(CJ584/CI584-1,"+0%;-0%"),"〇"))))</f>
        <v>―</v>
      </c>
      <c r="F584" s="10" t="str">
        <f aca="false">IF(OR(G584="",G584="なし"),"―",IF(CJ584=0,"入金不要",IF(COUNT(AD584,AF584,AH584,AJ584)=0,IF(AK584="○","手動確認","未入金"),IF(AND(N(AD584)=AC584,IF(AE584="",TRUE(),N(AF584)=AE584),IF(AG584="",TRUE(),N(AH584)=AG584),IF(AI584="",TRUE(),N(AJ584)=AI584)),"一致","不一致"))))</f>
        <v>―</v>
      </c>
      <c r="G584" s="25"/>
      <c r="H584" s="26"/>
      <c r="I584" s="27"/>
      <c r="J584" s="27"/>
      <c r="K584" s="27"/>
      <c r="L584" s="27"/>
      <c r="M584" s="27"/>
      <c r="N584" s="27"/>
      <c r="O584" s="27"/>
      <c r="P584" s="27"/>
      <c r="Q584" s="27"/>
      <c r="R584" s="27"/>
      <c r="S584" s="27"/>
      <c r="T584" s="27"/>
      <c r="U584" s="27"/>
      <c r="V584" s="27"/>
      <c r="W584" s="27"/>
      <c r="X584" s="27"/>
      <c r="Y584" s="27"/>
      <c r="Z584" s="27"/>
      <c r="AA584" s="10" t="str">
        <f aca="false">IFERROR(INDEX(設定!$E$61:$E$106,MATCH(B584,設定!$B$61:$B$106,0)),"合算")</f>
        <v>合算</v>
      </c>
      <c r="AB584" s="28"/>
      <c r="AC584" s="29" t="str">
        <f aca="false">IF(OR(G584="",G584="なし"),"",IF(AA584="合算",CJ584+N(Z584),IF(AA584="掛金・負担金別",(AY584+AZ584+BD584+BF584+BH584),SUM(AY584:BC584))))</f>
        <v/>
      </c>
      <c r="AD584" s="27"/>
      <c r="AE584" s="29" t="str">
        <f aca="false">IF(OR(G584="",G584="なし"),"",IF(AA584="掛金・負担金別",(BA584+BB584+BC584+BE584+BG584+BI584+N(Z584)),IF(AA584="経理区分別",BD584+BE584,"")))</f>
        <v/>
      </c>
      <c r="AF584" s="27"/>
      <c r="AG584" s="29" t="str">
        <f aca="false">IF(OR(G584="",G584="なし"),"",IF(AA584="経理区分別",BF584+BG584,""))</f>
        <v/>
      </c>
      <c r="AH584" s="27"/>
      <c r="AI584" s="29" t="str">
        <f aca="false">IF(OR(G584="",G584="なし"),"",IF(AA584="経理区分別",BH584+BI584+N(Z584),""))</f>
        <v/>
      </c>
      <c r="AJ584" s="27"/>
      <c r="AK584" s="26"/>
      <c r="AL584" s="26"/>
      <c r="AM584" s="30"/>
      <c r="AN584" s="31"/>
      <c r="AO584" s="31"/>
      <c r="AP584" s="31" t="n">
        <v>1160220</v>
      </c>
      <c r="AQ584" s="31" t="n">
        <v>95100</v>
      </c>
      <c r="AR584" s="31" t="n">
        <v>1185</v>
      </c>
      <c r="AS584" s="31"/>
      <c r="AT584" s="31" t="n">
        <v>698790</v>
      </c>
      <c r="AU584" s="31"/>
      <c r="AV584" s="31" t="n">
        <v>94721</v>
      </c>
      <c r="AW584" s="31"/>
      <c r="AX584" s="31" t="n">
        <v>1</v>
      </c>
      <c r="AY584" s="31" t="n">
        <f aca="false">IF($G584="",AN584,O584)</f>
        <v>0</v>
      </c>
      <c r="AZ584" s="31" t="n">
        <f aca="false">IF($G584="",AO584,P584)</f>
        <v>0</v>
      </c>
      <c r="BA584" s="31" t="n">
        <f aca="false">IF($G584="",AP584,T584)</f>
        <v>1160220</v>
      </c>
      <c r="BB584" s="31" t="n">
        <f aca="false">IF($G584="",AQ584,U584)</f>
        <v>95100</v>
      </c>
      <c r="BC584" s="31" t="n">
        <f aca="false">IF($G584="",AR584,V584)</f>
        <v>1185</v>
      </c>
      <c r="BD584" s="31" t="n">
        <f aca="false">IF($G584="",AS584,Q584)</f>
        <v>0</v>
      </c>
      <c r="BE584" s="31" t="n">
        <f aca="false">IF($G584="",AT584,W584)</f>
        <v>698790</v>
      </c>
      <c r="BF584" s="31" t="n">
        <f aca="false">IF($G584="",AU584,R584)</f>
        <v>0</v>
      </c>
      <c r="BG584" s="31" t="n">
        <f aca="false">IF($G584="",AV584,X584)</f>
        <v>94721</v>
      </c>
      <c r="BH584" s="31" t="n">
        <f aca="false">IF($G584="",AW584,S584)</f>
        <v>0</v>
      </c>
      <c r="BI584" s="31" t="n">
        <f aca="false">IF($G584="",AX584,Y584)</f>
        <v>1</v>
      </c>
      <c r="BJ584" s="31" t="n">
        <f aca="false">IF(CK584="N",BR584,ROUNDDOWN((I584-L584)*設定!$B$10/1000,0)+ROUNDDOWN((I584-L584)*設定!$B$11/1000,0))</f>
        <v>0</v>
      </c>
      <c r="BK584" s="31" t="n">
        <f aca="false">ROUNDDOWN((I584-L584)*設定!$C$10/1000,0)+ROUNDDOWN((I584-L584)*設定!$C$11/1000,0)+ROUNDDOWN(I584*設定!$C$12/1000,0)+IF(CL584="市局型",ROUNDDOWN(I584*設定!$C$16/1000,0),0)</f>
        <v>0</v>
      </c>
      <c r="BL584" s="31" t="n">
        <f aca="false">IF(CK584="N",BT584,ROUNDDOWN((J584-M584)*設定!$B$13/1000,0))</f>
        <v>0</v>
      </c>
      <c r="BM584" s="31" t="n">
        <f aca="false">ROUNDDOWN((J584-M584)*設定!$C$13/1000,0)+IF(CL584="市局型",ROUNDDOWN(J584*設定!$C$17/1000,0),0)</f>
        <v>0</v>
      </c>
      <c r="BN584" s="31" t="n">
        <f aca="false">IF(CK584="N",BV584,ROUNDDOWN((K584-N584)*設定!$B$14/1000,0))</f>
        <v>0</v>
      </c>
      <c r="BO584" s="31" t="n">
        <f aca="false">ROUNDDOWN((K584-N584)*設定!$C$14/1000,0)</f>
        <v>0</v>
      </c>
      <c r="BP584" s="31" t="n">
        <f aca="false">IF(CK584="N",BX584,ROUNDDOWN((J584-M584)*設定!$B$15/1000,0))</f>
        <v>0</v>
      </c>
      <c r="BQ584" s="31" t="n">
        <f aca="false">ROUNDDOWN((J584-M584)*設定!$C$15/1000,0)</f>
        <v>0</v>
      </c>
      <c r="BR584" s="31" t="n">
        <f aca="false">O584+P584</f>
        <v>0</v>
      </c>
      <c r="BS584" s="31" t="n">
        <f aca="false">T584+U584+V584</f>
        <v>0</v>
      </c>
      <c r="BT584" s="31" t="n">
        <f aca="false">Q584</f>
        <v>0</v>
      </c>
      <c r="BU584" s="31" t="n">
        <f aca="false">W584</f>
        <v>0</v>
      </c>
      <c r="BV584" s="31" t="n">
        <f aca="false">R584</f>
        <v>0</v>
      </c>
      <c r="BW584" s="31" t="n">
        <f aca="false">X584</f>
        <v>0</v>
      </c>
      <c r="BX584" s="31" t="n">
        <f aca="false">S584</f>
        <v>0</v>
      </c>
      <c r="BY584" s="31" t="n">
        <f aca="false">Y584</f>
        <v>0</v>
      </c>
      <c r="BZ584" s="32" t="n">
        <f aca="false">IF(BJ584=0,IF(BR584=0,0,1),(BR584-BJ584)/BJ584)</f>
        <v>0</v>
      </c>
      <c r="CA584" s="32" t="n">
        <f aca="false">IF(BK584=0,IF(BS584=0,0,1),(BS584-BK584)/BK584)</f>
        <v>0</v>
      </c>
      <c r="CB584" s="32" t="n">
        <f aca="false">IF(BL584=0,IF(BT584=0,0,1),(BT584-BL584)/BL584)</f>
        <v>0</v>
      </c>
      <c r="CC584" s="32" t="n">
        <f aca="false">IF(BM584=0,IF(BU584=0,0,1),(BU584-BM584)/BM584)</f>
        <v>0</v>
      </c>
      <c r="CD584" s="32" t="n">
        <f aca="false">IF(BN584=0,IF(BV584=0,0,1),(BV584-BN584)/BN584)</f>
        <v>0</v>
      </c>
      <c r="CE584" s="32" t="n">
        <f aca="false">IF(BO584=0,IF(BW584=0,0,1),(BW584-BO584)/BO584)</f>
        <v>0</v>
      </c>
      <c r="CF584" s="32" t="n">
        <f aca="false">IF(BP584=0,IF(BX584=0,0,1),(BX584-BP584)/BP584)</f>
        <v>0</v>
      </c>
      <c r="CG584" s="32" t="n">
        <f aca="false">IF(BQ584=0,IF(BY584=0,0,1),(BY584-BQ584)/BQ584)</f>
        <v>0</v>
      </c>
      <c r="CH584" s="32" t="n">
        <f aca="false">MAX(MAX(BZ584:CG584),-MIN(BZ584:CG584))</f>
        <v>-0</v>
      </c>
      <c r="CI584" s="31" t="n">
        <f aca="false">IF(CO584="","",SUMIFS($CJ$7:$CJ$696,$A$7:$A$696,CO584,$B$7:$B$696,B584))</f>
        <v>2050017</v>
      </c>
      <c r="CJ584" s="31" t="n">
        <f aca="false">SUM(AY584:BI584)</f>
        <v>2050017</v>
      </c>
      <c r="CK584" s="31" t="str">
        <f aca="false">IFERROR(INDEX(設定!$F$61:$F$106,MATCH(B584,設定!$B$61:$B$106,0)),"Y")</f>
        <v>N</v>
      </c>
      <c r="CL584" s="31" t="str">
        <f aca="false">IFERROR(INDEX(設定!$G$61:$G$106,MATCH(B584,設定!$B$61:$B$106,0)),"外郭型")</f>
        <v>外郭型</v>
      </c>
      <c r="CM584" s="33" t="str">
        <f aca="false">A584&amp;"|"&amp;B584</f>
        <v>2027-02 月例|文化財団　市長部局</v>
      </c>
      <c r="CN584" s="34" t="str">
        <f aca="false">IFERROR(INDEX(設定!$D$61:$D$106,MATCH(B584,設定!$B$61:$B$106,0)),"Y")</f>
        <v>Y</v>
      </c>
      <c r="CO584" s="34" t="str">
        <f aca="false">IFERROR(INDEX(設定!$D$20:$D$34,MATCH(A584,設定!$A$20:$A$34,0))&amp;"","")</f>
        <v>2027-01 月例</v>
      </c>
    </row>
    <row r="585" customFormat="false" ht="15" hidden="true" customHeight="false" outlineLevel="0" collapsed="false">
      <c r="A585" s="22" t="s">
        <v>228</v>
      </c>
      <c r="B585" s="23" t="s">
        <v>195</v>
      </c>
      <c r="C585" s="10" t="str">
        <f aca="false">IF(G585="","未受領",IF(G585="なし","報告なし",IF(AL585="○","起票済",IF(OR(AK585="○",F585="一致",F585="入金不要"),"入金確認済","受領済"))))</f>
        <v>未受領</v>
      </c>
      <c r="D585" s="10" t="str">
        <f aca="false">IF(OR(G585="",G585="なし"),"―",IF(CN585="N","対象外",IF(AND(I585="",J585="",K585=""),"標報未入力",IF(CH585&gt;=設定!$B$4,"要確認","問題なし"))))</f>
        <v>―</v>
      </c>
      <c r="E585" s="24" t="str">
        <f aca="false">IF(OR(G585="",G585="なし",CI585="",CJ585=0),"―",IF(CJ585=CI585,"前月同額",IF(CI585=0,"―",IF(ABS(CJ585/CI585-1)&gt;=設定!$B$5,"変動大 "&amp;TEXT(CJ585/CI585-1,"+0%;-0%"),"〇"))))</f>
        <v>―</v>
      </c>
      <c r="F585" s="10" t="str">
        <f aca="false">IF(OR(G585="",G585="なし"),"―",IF(CJ585=0,"入金不要",IF(COUNT(AD585,AF585,AH585,AJ585)=0,IF(AK585="○","手動確認","未入金"),IF(AND(N(AD585)=AC585,IF(AE585="",TRUE(),N(AF585)=AE585),IF(AG585="",TRUE(),N(AH585)=AG585),IF(AI585="",TRUE(),N(AJ585)=AI585)),"一致","不一致"))))</f>
        <v>―</v>
      </c>
      <c r="G585" s="25"/>
      <c r="H585" s="26"/>
      <c r="I585" s="27"/>
      <c r="J585" s="27"/>
      <c r="K585" s="27"/>
      <c r="L585" s="27"/>
      <c r="M585" s="27"/>
      <c r="N585" s="27"/>
      <c r="O585" s="27"/>
      <c r="P585" s="27"/>
      <c r="Q585" s="27"/>
      <c r="R585" s="27"/>
      <c r="S585" s="27"/>
      <c r="T585" s="27"/>
      <c r="U585" s="27"/>
      <c r="V585" s="27"/>
      <c r="W585" s="27"/>
      <c r="X585" s="27"/>
      <c r="Y585" s="27"/>
      <c r="Z585" s="27"/>
      <c r="AA585" s="10" t="str">
        <f aca="false">IFERROR(INDEX(設定!$E$61:$E$106,MATCH(B585,設定!$B$61:$B$106,0)),"合算")</f>
        <v>合算</v>
      </c>
      <c r="AB585" s="28"/>
      <c r="AC585" s="29" t="str">
        <f aca="false">IF(OR(G585="",G585="なし"),"",IF(AA585="合算",CJ585+N(Z585),IF(AA585="掛金・負担金別",(AY585+AZ585+BD585+BF585+BH585),SUM(AY585:BC585))))</f>
        <v/>
      </c>
      <c r="AD585" s="27"/>
      <c r="AE585" s="29" t="str">
        <f aca="false">IF(OR(G585="",G585="なし"),"",IF(AA585="掛金・負担金別",(BA585+BB585+BC585+BE585+BG585+BI585+N(Z585)),IF(AA585="経理区分別",BD585+BE585,"")))</f>
        <v/>
      </c>
      <c r="AF585" s="27"/>
      <c r="AG585" s="29" t="str">
        <f aca="false">IF(OR(G585="",G585="なし"),"",IF(AA585="経理区分別",BF585+BG585,""))</f>
        <v/>
      </c>
      <c r="AH585" s="27"/>
      <c r="AI585" s="29" t="str">
        <f aca="false">IF(OR(G585="",G585="なし"),"",IF(AA585="経理区分別",BH585+BI585+N(Z585),""))</f>
        <v/>
      </c>
      <c r="AJ585" s="27"/>
      <c r="AK585" s="26"/>
      <c r="AL585" s="26"/>
      <c r="AM585" s="30"/>
      <c r="AN585" s="31"/>
      <c r="AO585" s="31"/>
      <c r="AP585" s="31" t="n">
        <v>0</v>
      </c>
      <c r="AQ585" s="31" t="n">
        <v>0</v>
      </c>
      <c r="AR585" s="31" t="n">
        <v>0</v>
      </c>
      <c r="AS585" s="31"/>
      <c r="AT585" s="31" t="n">
        <v>0</v>
      </c>
      <c r="AU585" s="31"/>
      <c r="AV585" s="31" t="n">
        <v>0</v>
      </c>
      <c r="AW585" s="31"/>
      <c r="AX585" s="31" t="n">
        <v>0</v>
      </c>
      <c r="AY585" s="31" t="n">
        <f aca="false">IF($G585="",AN585,O585)</f>
        <v>0</v>
      </c>
      <c r="AZ585" s="31" t="n">
        <f aca="false">IF($G585="",AO585,P585)</f>
        <v>0</v>
      </c>
      <c r="BA585" s="31" t="n">
        <f aca="false">IF($G585="",AP585,T585)</f>
        <v>0</v>
      </c>
      <c r="BB585" s="31" t="n">
        <f aca="false">IF($G585="",AQ585,U585)</f>
        <v>0</v>
      </c>
      <c r="BC585" s="31" t="n">
        <f aca="false">IF($G585="",AR585,V585)</f>
        <v>0</v>
      </c>
      <c r="BD585" s="31" t="n">
        <f aca="false">IF($G585="",AS585,Q585)</f>
        <v>0</v>
      </c>
      <c r="BE585" s="31" t="n">
        <f aca="false">IF($G585="",AT585,W585)</f>
        <v>0</v>
      </c>
      <c r="BF585" s="31" t="n">
        <f aca="false">IF($G585="",AU585,R585)</f>
        <v>0</v>
      </c>
      <c r="BG585" s="31" t="n">
        <f aca="false">IF($G585="",AV585,X585)</f>
        <v>0</v>
      </c>
      <c r="BH585" s="31" t="n">
        <f aca="false">IF($G585="",AW585,S585)</f>
        <v>0</v>
      </c>
      <c r="BI585" s="31" t="n">
        <f aca="false">IF($G585="",AX585,Y585)</f>
        <v>0</v>
      </c>
      <c r="BJ585" s="31" t="n">
        <f aca="false">IF(CK585="N",BR585,ROUNDDOWN((I585-L585)*設定!$B$10/1000,0)+ROUNDDOWN((I585-L585)*設定!$B$11/1000,0))</f>
        <v>0</v>
      </c>
      <c r="BK585" s="31" t="n">
        <f aca="false">ROUNDDOWN((I585-L585)*設定!$C$10/1000,0)+ROUNDDOWN((I585-L585)*設定!$C$11/1000,0)+ROUNDDOWN(I585*設定!$C$12/1000,0)+IF(CL585="市局型",ROUNDDOWN(I585*設定!$C$16/1000,0),0)</f>
        <v>0</v>
      </c>
      <c r="BL585" s="31" t="n">
        <f aca="false">IF(CK585="N",BT585,ROUNDDOWN((J585-M585)*設定!$B$13/1000,0))</f>
        <v>0</v>
      </c>
      <c r="BM585" s="31" t="n">
        <f aca="false">ROUNDDOWN((J585-M585)*設定!$C$13/1000,0)+IF(CL585="市局型",ROUNDDOWN(J585*設定!$C$17/1000,0),0)</f>
        <v>0</v>
      </c>
      <c r="BN585" s="31" t="n">
        <f aca="false">IF(CK585="N",BV585,ROUNDDOWN((K585-N585)*設定!$B$14/1000,0))</f>
        <v>0</v>
      </c>
      <c r="BO585" s="31" t="n">
        <f aca="false">ROUNDDOWN((K585-N585)*設定!$C$14/1000,0)</f>
        <v>0</v>
      </c>
      <c r="BP585" s="31" t="n">
        <f aca="false">IF(CK585="N",BX585,ROUNDDOWN((J585-M585)*設定!$B$15/1000,0))</f>
        <v>0</v>
      </c>
      <c r="BQ585" s="31" t="n">
        <f aca="false">ROUNDDOWN((J585-M585)*設定!$C$15/1000,0)</f>
        <v>0</v>
      </c>
      <c r="BR585" s="31" t="n">
        <f aca="false">O585+P585</f>
        <v>0</v>
      </c>
      <c r="BS585" s="31" t="n">
        <f aca="false">T585+U585+V585</f>
        <v>0</v>
      </c>
      <c r="BT585" s="31" t="n">
        <f aca="false">Q585</f>
        <v>0</v>
      </c>
      <c r="BU585" s="31" t="n">
        <f aca="false">W585</f>
        <v>0</v>
      </c>
      <c r="BV585" s="31" t="n">
        <f aca="false">R585</f>
        <v>0</v>
      </c>
      <c r="BW585" s="31" t="n">
        <f aca="false">X585</f>
        <v>0</v>
      </c>
      <c r="BX585" s="31" t="n">
        <f aca="false">S585</f>
        <v>0</v>
      </c>
      <c r="BY585" s="31" t="n">
        <f aca="false">Y585</f>
        <v>0</v>
      </c>
      <c r="BZ585" s="32" t="n">
        <f aca="false">IF(BJ585=0,IF(BR585=0,0,1),(BR585-BJ585)/BJ585)</f>
        <v>0</v>
      </c>
      <c r="CA585" s="32" t="n">
        <f aca="false">IF(BK585=0,IF(BS585=0,0,1),(BS585-BK585)/BK585)</f>
        <v>0</v>
      </c>
      <c r="CB585" s="32" t="n">
        <f aca="false">IF(BL585=0,IF(BT585=0,0,1),(BT585-BL585)/BL585)</f>
        <v>0</v>
      </c>
      <c r="CC585" s="32" t="n">
        <f aca="false">IF(BM585=0,IF(BU585=0,0,1),(BU585-BM585)/BM585)</f>
        <v>0</v>
      </c>
      <c r="CD585" s="32" t="n">
        <f aca="false">IF(BN585=0,IF(BV585=0,0,1),(BV585-BN585)/BN585)</f>
        <v>0</v>
      </c>
      <c r="CE585" s="32" t="n">
        <f aca="false">IF(BO585=0,IF(BW585=0,0,1),(BW585-BO585)/BO585)</f>
        <v>0</v>
      </c>
      <c r="CF585" s="32" t="n">
        <f aca="false">IF(BP585=0,IF(BX585=0,0,1),(BX585-BP585)/BP585)</f>
        <v>0</v>
      </c>
      <c r="CG585" s="32" t="n">
        <f aca="false">IF(BQ585=0,IF(BY585=0,0,1),(BY585-BQ585)/BQ585)</f>
        <v>0</v>
      </c>
      <c r="CH585" s="32" t="n">
        <f aca="false">MAX(MAX(BZ585:CG585),-MIN(BZ585:CG585))</f>
        <v>-0</v>
      </c>
      <c r="CI585" s="31" t="n">
        <f aca="false">IF(CO585="","",SUMIFS($CJ$7:$CJ$696,$A$7:$A$696,CO585,$B$7:$B$696,B585))</f>
        <v>0</v>
      </c>
      <c r="CJ585" s="31" t="n">
        <f aca="false">SUM(AY585:BI585)</f>
        <v>0</v>
      </c>
      <c r="CK585" s="31" t="str">
        <f aca="false">IFERROR(INDEX(設定!$F$61:$F$106,MATCH(B585,設定!$B$61:$B$106,0)),"Y")</f>
        <v>N</v>
      </c>
      <c r="CL585" s="31" t="str">
        <f aca="false">IFERROR(INDEX(設定!$G$61:$G$106,MATCH(B585,設定!$B$61:$B$106,0)),"外郭型")</f>
        <v>外郭型</v>
      </c>
      <c r="CM585" s="33" t="str">
        <f aca="false">A585&amp;"|"&amp;B585</f>
        <v>2027-02 月例|文化財団　教育委員会</v>
      </c>
      <c r="CN585" s="34" t="str">
        <f aca="false">IFERROR(INDEX(設定!$D$61:$D$106,MATCH(B585,設定!$B$61:$B$106,0)),"Y")</f>
        <v>Y</v>
      </c>
      <c r="CO585" s="34" t="str">
        <f aca="false">IFERROR(INDEX(設定!$D$20:$D$34,MATCH(A585,設定!$A$20:$A$34,0))&amp;"","")</f>
        <v>2027-01 月例</v>
      </c>
    </row>
    <row r="586" customFormat="false" ht="15" hidden="true" customHeight="false" outlineLevel="0" collapsed="false">
      <c r="A586" s="22" t="s">
        <v>228</v>
      </c>
      <c r="B586" s="23" t="s">
        <v>196</v>
      </c>
      <c r="C586" s="10" t="str">
        <f aca="false">IF(G586="","未受領",IF(G586="なし","報告なし",IF(AL586="○","起票済",IF(OR(AK586="○",F586="一致",F586="入金不要"),"入金確認済","受領済"))))</f>
        <v>未受領</v>
      </c>
      <c r="D586" s="10" t="str">
        <f aca="false">IF(OR(G586="",G586="なし"),"―",IF(CN586="N","対象外",IF(AND(I586="",J586="",K586=""),"標報未入力",IF(CH586&gt;=設定!$B$4,"要確認","問題なし"))))</f>
        <v>―</v>
      </c>
      <c r="E586" s="24" t="str">
        <f aca="false">IF(OR(G586="",G586="なし",CI586="",CJ586=0),"―",IF(CJ586=CI586,"前月同額",IF(CI586=0,"―",IF(ABS(CJ586/CI586-1)&gt;=設定!$B$5,"変動大 "&amp;TEXT(CJ586/CI586-1,"+0%;-0%"),"〇"))))</f>
        <v>―</v>
      </c>
      <c r="F586" s="10" t="str">
        <f aca="false">IF(OR(G586="",G586="なし"),"―",IF(CJ586=0,"入金不要",IF(COUNT(AD586,AF586,AH586,AJ586)=0,IF(AK586="○","手動確認","未入金"),IF(AND(N(AD586)=AC586,IF(AE586="",TRUE(),N(AF586)=AE586),IF(AG586="",TRUE(),N(AH586)=AG586),IF(AI586="",TRUE(),N(AJ586)=AI586)),"一致","不一致"))))</f>
        <v>―</v>
      </c>
      <c r="G586" s="25"/>
      <c r="H586" s="26"/>
      <c r="I586" s="27"/>
      <c r="J586" s="27"/>
      <c r="K586" s="27"/>
      <c r="L586" s="27"/>
      <c r="M586" s="27"/>
      <c r="N586" s="27"/>
      <c r="O586" s="27"/>
      <c r="P586" s="27"/>
      <c r="Q586" s="27"/>
      <c r="R586" s="27"/>
      <c r="S586" s="27"/>
      <c r="T586" s="27"/>
      <c r="U586" s="27"/>
      <c r="V586" s="27"/>
      <c r="W586" s="27"/>
      <c r="X586" s="27"/>
      <c r="Y586" s="27"/>
      <c r="Z586" s="27"/>
      <c r="AA586" s="10" t="str">
        <f aca="false">IFERROR(INDEX(設定!$E$61:$E$106,MATCH(B586,設定!$B$61:$B$106,0)),"合算")</f>
        <v>合算</v>
      </c>
      <c r="AB586" s="28"/>
      <c r="AC586" s="29" t="str">
        <f aca="false">IF(OR(G586="",G586="なし"),"",IF(AA586="合算",CJ586+N(Z586),IF(AA586="掛金・負担金別",(AY586+AZ586+BD586+BF586+BH586),SUM(AY586:BC586))))</f>
        <v/>
      </c>
      <c r="AD586" s="27"/>
      <c r="AE586" s="29" t="str">
        <f aca="false">IF(OR(G586="",G586="なし"),"",IF(AA586="掛金・負担金別",(BA586+BB586+BC586+BE586+BG586+BI586+N(Z586)),IF(AA586="経理区分別",BD586+BE586,"")))</f>
        <v/>
      </c>
      <c r="AF586" s="27"/>
      <c r="AG586" s="29" t="str">
        <f aca="false">IF(OR(G586="",G586="なし"),"",IF(AA586="経理区分別",BF586+BG586,""))</f>
        <v/>
      </c>
      <c r="AH586" s="27"/>
      <c r="AI586" s="29" t="str">
        <f aca="false">IF(OR(G586="",G586="なし"),"",IF(AA586="経理区分別",BH586+BI586+N(Z586),""))</f>
        <v/>
      </c>
      <c r="AJ586" s="27"/>
      <c r="AK586" s="26"/>
      <c r="AL586" s="26"/>
      <c r="AM586" s="30"/>
      <c r="AN586" s="31"/>
      <c r="AO586" s="31"/>
      <c r="AP586" s="31" t="n">
        <v>402600</v>
      </c>
      <c r="AQ586" s="31" t="n">
        <v>33000</v>
      </c>
      <c r="AR586" s="31" t="n">
        <v>412</v>
      </c>
      <c r="AS586" s="31"/>
      <c r="AT586" s="31" t="n">
        <v>242482</v>
      </c>
      <c r="AU586" s="31"/>
      <c r="AV586" s="31" t="n">
        <v>34760</v>
      </c>
      <c r="AW586" s="31"/>
      <c r="AX586" s="31" t="n">
        <v>1</v>
      </c>
      <c r="AY586" s="31" t="n">
        <f aca="false">IF($G586="",AN586,O586)</f>
        <v>0</v>
      </c>
      <c r="AZ586" s="31" t="n">
        <f aca="false">IF($G586="",AO586,P586)</f>
        <v>0</v>
      </c>
      <c r="BA586" s="31" t="n">
        <f aca="false">IF($G586="",AP586,T586)</f>
        <v>402600</v>
      </c>
      <c r="BB586" s="31" t="n">
        <f aca="false">IF($G586="",AQ586,U586)</f>
        <v>33000</v>
      </c>
      <c r="BC586" s="31" t="n">
        <f aca="false">IF($G586="",AR586,V586)</f>
        <v>412</v>
      </c>
      <c r="BD586" s="31" t="n">
        <f aca="false">IF($G586="",AS586,Q586)</f>
        <v>0</v>
      </c>
      <c r="BE586" s="31" t="n">
        <f aca="false">IF($G586="",AT586,W586)</f>
        <v>242482</v>
      </c>
      <c r="BF586" s="31" t="n">
        <f aca="false">IF($G586="",AU586,R586)</f>
        <v>0</v>
      </c>
      <c r="BG586" s="31" t="n">
        <f aca="false">IF($G586="",AV586,X586)</f>
        <v>34760</v>
      </c>
      <c r="BH586" s="31" t="n">
        <f aca="false">IF($G586="",AW586,S586)</f>
        <v>0</v>
      </c>
      <c r="BI586" s="31" t="n">
        <f aca="false">IF($G586="",AX586,Y586)</f>
        <v>1</v>
      </c>
      <c r="BJ586" s="31" t="n">
        <f aca="false">IF(CK586="N",BR586,ROUNDDOWN((I586-L586)*設定!$B$10/1000,0)+ROUNDDOWN((I586-L586)*設定!$B$11/1000,0))</f>
        <v>0</v>
      </c>
      <c r="BK586" s="31" t="n">
        <f aca="false">ROUNDDOWN((I586-L586)*設定!$C$10/1000,0)+ROUNDDOWN((I586-L586)*設定!$C$11/1000,0)+ROUNDDOWN(I586*設定!$C$12/1000,0)+IF(CL586="市局型",ROUNDDOWN(I586*設定!$C$16/1000,0),0)</f>
        <v>0</v>
      </c>
      <c r="BL586" s="31" t="n">
        <f aca="false">IF(CK586="N",BT586,ROUNDDOWN((J586-M586)*設定!$B$13/1000,0))</f>
        <v>0</v>
      </c>
      <c r="BM586" s="31" t="n">
        <f aca="false">ROUNDDOWN((J586-M586)*設定!$C$13/1000,0)+IF(CL586="市局型",ROUNDDOWN(J586*設定!$C$17/1000,0),0)</f>
        <v>0</v>
      </c>
      <c r="BN586" s="31" t="n">
        <f aca="false">IF(CK586="N",BV586,ROUNDDOWN((K586-N586)*設定!$B$14/1000,0))</f>
        <v>0</v>
      </c>
      <c r="BO586" s="31" t="n">
        <f aca="false">ROUNDDOWN((K586-N586)*設定!$C$14/1000,0)</f>
        <v>0</v>
      </c>
      <c r="BP586" s="31" t="n">
        <f aca="false">IF(CK586="N",BX586,ROUNDDOWN((J586-M586)*設定!$B$15/1000,0))</f>
        <v>0</v>
      </c>
      <c r="BQ586" s="31" t="n">
        <f aca="false">ROUNDDOWN((J586-M586)*設定!$C$15/1000,0)</f>
        <v>0</v>
      </c>
      <c r="BR586" s="31" t="n">
        <f aca="false">O586+P586</f>
        <v>0</v>
      </c>
      <c r="BS586" s="31" t="n">
        <f aca="false">T586+U586+V586</f>
        <v>0</v>
      </c>
      <c r="BT586" s="31" t="n">
        <f aca="false">Q586</f>
        <v>0</v>
      </c>
      <c r="BU586" s="31" t="n">
        <f aca="false">W586</f>
        <v>0</v>
      </c>
      <c r="BV586" s="31" t="n">
        <f aca="false">R586</f>
        <v>0</v>
      </c>
      <c r="BW586" s="31" t="n">
        <f aca="false">X586</f>
        <v>0</v>
      </c>
      <c r="BX586" s="31" t="n">
        <f aca="false">S586</f>
        <v>0</v>
      </c>
      <c r="BY586" s="31" t="n">
        <f aca="false">Y586</f>
        <v>0</v>
      </c>
      <c r="BZ586" s="32" t="n">
        <f aca="false">IF(BJ586=0,IF(BR586=0,0,1),(BR586-BJ586)/BJ586)</f>
        <v>0</v>
      </c>
      <c r="CA586" s="32" t="n">
        <f aca="false">IF(BK586=0,IF(BS586=0,0,1),(BS586-BK586)/BK586)</f>
        <v>0</v>
      </c>
      <c r="CB586" s="32" t="n">
        <f aca="false">IF(BL586=0,IF(BT586=0,0,1),(BT586-BL586)/BL586)</f>
        <v>0</v>
      </c>
      <c r="CC586" s="32" t="n">
        <f aca="false">IF(BM586=0,IF(BU586=0,0,1),(BU586-BM586)/BM586)</f>
        <v>0</v>
      </c>
      <c r="CD586" s="32" t="n">
        <f aca="false">IF(BN586=0,IF(BV586=0,0,1),(BV586-BN586)/BN586)</f>
        <v>0</v>
      </c>
      <c r="CE586" s="32" t="n">
        <f aca="false">IF(BO586=0,IF(BW586=0,0,1),(BW586-BO586)/BO586)</f>
        <v>0</v>
      </c>
      <c r="CF586" s="32" t="n">
        <f aca="false">IF(BP586=0,IF(BX586=0,0,1),(BX586-BP586)/BP586)</f>
        <v>0</v>
      </c>
      <c r="CG586" s="32" t="n">
        <f aca="false">IF(BQ586=0,IF(BY586=0,0,1),(BY586-BQ586)/BQ586)</f>
        <v>0</v>
      </c>
      <c r="CH586" s="32" t="n">
        <f aca="false">MAX(MAX(BZ586:CG586),-MIN(BZ586:CG586))</f>
        <v>-0</v>
      </c>
      <c r="CI586" s="31" t="n">
        <f aca="false">IF(CO586="","",SUMIFS($CJ$7:$CJ$696,$A$7:$A$696,CO586,$B$7:$B$696,B586))</f>
        <v>713255</v>
      </c>
      <c r="CJ586" s="31" t="n">
        <f aca="false">SUM(AY586:BI586)</f>
        <v>713255</v>
      </c>
      <c r="CK586" s="31" t="str">
        <f aca="false">IFERROR(INDEX(設定!$F$61:$F$106,MATCH(B586,設定!$B$61:$B$106,0)),"Y")</f>
        <v>N</v>
      </c>
      <c r="CL586" s="31" t="str">
        <f aca="false">IFERROR(INDEX(設定!$G$61:$G$106,MATCH(B586,設定!$B$61:$B$106,0)),"外郭型")</f>
        <v>外郭型</v>
      </c>
      <c r="CM586" s="33" t="str">
        <f aca="false">A586&amp;"|"&amp;B586</f>
        <v>2027-02 月例|みどり生きもの協会</v>
      </c>
      <c r="CN586" s="34" t="str">
        <f aca="false">IFERROR(INDEX(設定!$D$61:$D$106,MATCH(B586,設定!$B$61:$B$106,0)),"Y")</f>
        <v>Y</v>
      </c>
      <c r="CO586" s="34" t="str">
        <f aca="false">IFERROR(INDEX(設定!$D$20:$D$34,MATCH(A586,設定!$A$20:$A$34,0))&amp;"","")</f>
        <v>2027-01 月例</v>
      </c>
    </row>
    <row r="587" customFormat="false" ht="15" hidden="true" customHeight="false" outlineLevel="0" collapsed="false">
      <c r="A587" s="22" t="s">
        <v>228</v>
      </c>
      <c r="B587" s="23" t="s">
        <v>197</v>
      </c>
      <c r="C587" s="10" t="str">
        <f aca="false">IF(G587="","未受領",IF(G587="なし","報告なし",IF(AL587="○","起票済",IF(OR(AK587="○",F587="一致",F587="入金不要"),"入金確認済","受領済"))))</f>
        <v>未受領</v>
      </c>
      <c r="D587" s="10" t="str">
        <f aca="false">IF(OR(G587="",G587="なし"),"―",IF(CN587="N","対象外",IF(AND(I587="",J587="",K587=""),"標報未入力",IF(CH587&gt;=設定!$B$4,"要確認","問題なし"))))</f>
        <v>―</v>
      </c>
      <c r="E587" s="24" t="str">
        <f aca="false">IF(OR(G587="",G587="なし",CI587="",CJ587=0),"―",IF(CJ587=CI587,"前月同額",IF(CI587=0,"―",IF(ABS(CJ587/CI587-1)&gt;=設定!$B$5,"変動大 "&amp;TEXT(CJ587/CI587-1,"+0%;-0%"),"〇"))))</f>
        <v>―</v>
      </c>
      <c r="F587" s="10" t="str">
        <f aca="false">IF(OR(G587="",G587="なし"),"―",IF(CJ587=0,"入金不要",IF(COUNT(AD587,AF587,AH587,AJ587)=0,IF(AK587="○","手動確認","未入金"),IF(AND(N(AD587)=AC587,IF(AE587="",TRUE(),N(AF587)=AE587),IF(AG587="",TRUE(),N(AH587)=AG587),IF(AI587="",TRUE(),N(AJ587)=AI587)),"一致","不一致"))))</f>
        <v>―</v>
      </c>
      <c r="G587" s="25"/>
      <c r="H587" s="26"/>
      <c r="I587" s="27"/>
      <c r="J587" s="27"/>
      <c r="K587" s="27"/>
      <c r="L587" s="27"/>
      <c r="M587" s="27"/>
      <c r="N587" s="27"/>
      <c r="O587" s="27"/>
      <c r="P587" s="27"/>
      <c r="Q587" s="27"/>
      <c r="R587" s="27"/>
      <c r="S587" s="27"/>
      <c r="T587" s="27"/>
      <c r="U587" s="27"/>
      <c r="V587" s="27"/>
      <c r="W587" s="27"/>
      <c r="X587" s="27"/>
      <c r="Y587" s="27"/>
      <c r="Z587" s="27"/>
      <c r="AA587" s="10" t="str">
        <f aca="false">IFERROR(INDEX(設定!$E$61:$E$106,MATCH(B587,設定!$B$61:$B$106,0)),"合算")</f>
        <v>合算</v>
      </c>
      <c r="AB587" s="28"/>
      <c r="AC587" s="29" t="str">
        <f aca="false">IF(OR(G587="",G587="なし"),"",IF(AA587="合算",CJ587+N(Z587),IF(AA587="掛金・負担金別",(AY587+AZ587+BD587+BF587+BH587),SUM(AY587:BC587))))</f>
        <v/>
      </c>
      <c r="AD587" s="27"/>
      <c r="AE587" s="29" t="str">
        <f aca="false">IF(OR(G587="",G587="なし"),"",IF(AA587="掛金・負担金別",(BA587+BB587+BC587+BE587+BG587+BI587+N(Z587)),IF(AA587="経理区分別",BD587+BE587,"")))</f>
        <v/>
      </c>
      <c r="AF587" s="27"/>
      <c r="AG587" s="29" t="str">
        <f aca="false">IF(OR(G587="",G587="なし"),"",IF(AA587="経理区分別",BF587+BG587,""))</f>
        <v/>
      </c>
      <c r="AH587" s="27"/>
      <c r="AI587" s="29" t="str">
        <f aca="false">IF(OR(G587="",G587="なし"),"",IF(AA587="経理区分別",BH587+BI587+N(Z587),""))</f>
        <v/>
      </c>
      <c r="AJ587" s="27"/>
      <c r="AK587" s="26"/>
      <c r="AL587" s="26"/>
      <c r="AM587" s="30"/>
      <c r="AN587" s="31" t="n">
        <v>137250</v>
      </c>
      <c r="AO587" s="31" t="n">
        <v>11250</v>
      </c>
      <c r="AP587" s="31" t="n">
        <v>137250</v>
      </c>
      <c r="AQ587" s="31" t="n">
        <v>11250</v>
      </c>
      <c r="AR587" s="31" t="n">
        <v>140</v>
      </c>
      <c r="AS587" s="31" t="n">
        <v>82514</v>
      </c>
      <c r="AT587" s="31" t="n">
        <v>82665</v>
      </c>
      <c r="AU587" s="31" t="n">
        <v>8611</v>
      </c>
      <c r="AV587" s="31" t="n">
        <v>8611</v>
      </c>
      <c r="AW587" s="31" t="n">
        <v>1</v>
      </c>
      <c r="AX587" s="31" t="n">
        <v>1</v>
      </c>
      <c r="AY587" s="31" t="n">
        <f aca="false">IF($G587="",AN587,O587)</f>
        <v>137250</v>
      </c>
      <c r="AZ587" s="31" t="n">
        <f aca="false">IF($G587="",AO587,P587)</f>
        <v>11250</v>
      </c>
      <c r="BA587" s="31" t="n">
        <f aca="false">IF($G587="",AP587,T587)</f>
        <v>137250</v>
      </c>
      <c r="BB587" s="31" t="n">
        <f aca="false">IF($G587="",AQ587,U587)</f>
        <v>11250</v>
      </c>
      <c r="BC587" s="31" t="n">
        <f aca="false">IF($G587="",AR587,V587)</f>
        <v>140</v>
      </c>
      <c r="BD587" s="31" t="n">
        <f aca="false">IF($G587="",AS587,Q587)</f>
        <v>82514</v>
      </c>
      <c r="BE587" s="31" t="n">
        <f aca="false">IF($G587="",AT587,W587)</f>
        <v>82665</v>
      </c>
      <c r="BF587" s="31" t="n">
        <f aca="false">IF($G587="",AU587,R587)</f>
        <v>8611</v>
      </c>
      <c r="BG587" s="31" t="n">
        <f aca="false">IF($G587="",AV587,X587)</f>
        <v>8611</v>
      </c>
      <c r="BH587" s="31" t="n">
        <f aca="false">IF($G587="",AW587,S587)</f>
        <v>1</v>
      </c>
      <c r="BI587" s="31" t="n">
        <f aca="false">IF($G587="",AX587,Y587)</f>
        <v>1</v>
      </c>
      <c r="BJ587" s="31" t="n">
        <f aca="false">IF(CK587="N",BR587,ROUNDDOWN((I587-L587)*設定!$B$10/1000,0)+ROUNDDOWN((I587-L587)*設定!$B$11/1000,0))</f>
        <v>0</v>
      </c>
      <c r="BK587" s="31" t="n">
        <f aca="false">ROUNDDOWN((I587-L587)*設定!$C$10/1000,0)+ROUNDDOWN((I587-L587)*設定!$C$11/1000,0)+ROUNDDOWN(I587*設定!$C$12/1000,0)+IF(CL587="市局型",ROUNDDOWN(I587*設定!$C$16/1000,0),0)</f>
        <v>0</v>
      </c>
      <c r="BL587" s="31" t="n">
        <f aca="false">IF(CK587="N",BT587,ROUNDDOWN((J587-M587)*設定!$B$13/1000,0))</f>
        <v>0</v>
      </c>
      <c r="BM587" s="31" t="n">
        <f aca="false">ROUNDDOWN((J587-M587)*設定!$C$13/1000,0)+IF(CL587="市局型",ROUNDDOWN(J587*設定!$C$17/1000,0),0)</f>
        <v>0</v>
      </c>
      <c r="BN587" s="31" t="n">
        <f aca="false">IF(CK587="N",BV587,ROUNDDOWN((K587-N587)*設定!$B$14/1000,0))</f>
        <v>0</v>
      </c>
      <c r="BO587" s="31" t="n">
        <f aca="false">ROUNDDOWN((K587-N587)*設定!$C$14/1000,0)</f>
        <v>0</v>
      </c>
      <c r="BP587" s="31" t="n">
        <f aca="false">IF(CK587="N",BX587,ROUNDDOWN((J587-M587)*設定!$B$15/1000,0))</f>
        <v>0</v>
      </c>
      <c r="BQ587" s="31" t="n">
        <f aca="false">ROUNDDOWN((J587-M587)*設定!$C$15/1000,0)</f>
        <v>0</v>
      </c>
      <c r="BR587" s="31" t="n">
        <f aca="false">O587+P587</f>
        <v>0</v>
      </c>
      <c r="BS587" s="31" t="n">
        <f aca="false">T587+U587+V587</f>
        <v>0</v>
      </c>
      <c r="BT587" s="31" t="n">
        <f aca="false">Q587</f>
        <v>0</v>
      </c>
      <c r="BU587" s="31" t="n">
        <f aca="false">W587</f>
        <v>0</v>
      </c>
      <c r="BV587" s="31" t="n">
        <f aca="false">R587</f>
        <v>0</v>
      </c>
      <c r="BW587" s="31" t="n">
        <f aca="false">X587</f>
        <v>0</v>
      </c>
      <c r="BX587" s="31" t="n">
        <f aca="false">S587</f>
        <v>0</v>
      </c>
      <c r="BY587" s="31" t="n">
        <f aca="false">Y587</f>
        <v>0</v>
      </c>
      <c r="BZ587" s="32" t="n">
        <f aca="false">IF(BJ587=0,IF(BR587=0,0,1),(BR587-BJ587)/BJ587)</f>
        <v>0</v>
      </c>
      <c r="CA587" s="32" t="n">
        <f aca="false">IF(BK587=0,IF(BS587=0,0,1),(BS587-BK587)/BK587)</f>
        <v>0</v>
      </c>
      <c r="CB587" s="32" t="n">
        <f aca="false">IF(BL587=0,IF(BT587=0,0,1),(BT587-BL587)/BL587)</f>
        <v>0</v>
      </c>
      <c r="CC587" s="32" t="n">
        <f aca="false">IF(BM587=0,IF(BU587=0,0,1),(BU587-BM587)/BM587)</f>
        <v>0</v>
      </c>
      <c r="CD587" s="32" t="n">
        <f aca="false">IF(BN587=0,IF(BV587=0,0,1),(BV587-BN587)/BN587)</f>
        <v>0</v>
      </c>
      <c r="CE587" s="32" t="n">
        <f aca="false">IF(BO587=0,IF(BW587=0,0,1),(BW587-BO587)/BO587)</f>
        <v>0</v>
      </c>
      <c r="CF587" s="32" t="n">
        <f aca="false">IF(BP587=0,IF(BX587=0,0,1),(BX587-BP587)/BP587)</f>
        <v>0</v>
      </c>
      <c r="CG587" s="32" t="n">
        <f aca="false">IF(BQ587=0,IF(BY587=0,0,1),(BY587-BQ587)/BQ587)</f>
        <v>0</v>
      </c>
      <c r="CH587" s="32" t="n">
        <f aca="false">MAX(MAX(BZ587:CG587),-MIN(BZ587:CG587))</f>
        <v>-0</v>
      </c>
      <c r="CI587" s="31" t="n">
        <f aca="false">IF(CO587="","",SUMIFS($CJ$7:$CJ$696,$A$7:$A$696,CO587,$B$7:$B$696,B587))</f>
        <v>479543</v>
      </c>
      <c r="CJ587" s="31" t="n">
        <f aca="false">SUM(AY587:BI587)</f>
        <v>479543</v>
      </c>
      <c r="CK587" s="31" t="str">
        <f aca="false">IFERROR(INDEX(設定!$F$61:$F$106,MATCH(B587,設定!$B$61:$B$106,0)),"Y")</f>
        <v>Y</v>
      </c>
      <c r="CL587" s="31" t="str">
        <f aca="false">IFERROR(INDEX(設定!$G$61:$G$106,MATCH(B587,設定!$B$61:$B$106,0)),"外郭型")</f>
        <v>外郭型</v>
      </c>
      <c r="CM587" s="33" t="str">
        <f aca="false">A587&amp;"|"&amp;B587</f>
        <v>2027-02 月例|県下水道公社</v>
      </c>
      <c r="CN587" s="34" t="str">
        <f aca="false">IFERROR(INDEX(設定!$D$61:$D$106,MATCH(B587,設定!$B$61:$B$106,0)),"Y")</f>
        <v>Y</v>
      </c>
      <c r="CO587" s="34" t="str">
        <f aca="false">IFERROR(INDEX(設定!$D$20:$D$34,MATCH(A587,設定!$A$20:$A$34,0))&amp;"","")</f>
        <v>2027-01 月例</v>
      </c>
    </row>
    <row r="588" customFormat="false" ht="26.85" hidden="true" customHeight="false" outlineLevel="0" collapsed="false">
      <c r="A588" s="22" t="s">
        <v>228</v>
      </c>
      <c r="B588" s="35" t="s">
        <v>219</v>
      </c>
      <c r="C588" s="10" t="str">
        <f aca="false">IF(G588="","未受領",IF(G588="なし","報告なし",IF(AL588="○","起票済",IF(OR(AK588="○",F588="一致",F588="入金不要"),"入金確認済","受領済"))))</f>
        <v>受領済</v>
      </c>
      <c r="D588" s="10" t="str">
        <f aca="false">IF(OR(G588="",G588="なし"),"―",IF(CN588="N","対象外",IF(AND(I588="",J588="",K588=""),"標報未入力",IF(CH588&gt;=設定!$B$4,"要確認","問題なし"))))</f>
        <v>標報未入力</v>
      </c>
      <c r="E588" s="24" t="str">
        <f aca="false">IF(OR(G588="",G588="なし",CI588="",CJ588=0),"―",IF(CJ588=CI588,"前月同額",IF(CI588=0,"―",IF(ABS(CJ588/CI588-1)&gt;=設定!$B$5,"変動大 "&amp;TEXT(CJ588/CI588-1,"+0%;-0%"),"〇"))))</f>
        <v>前月同額</v>
      </c>
      <c r="F588" s="10" t="str">
        <f aca="false">IF(OR(G588="",G588="なし"),"―",IF(CJ588=0,"入金不要",IF(COUNT(AD588,AF588,AH588,AJ588)=0,IF(AK588="○","手動確認","未入金"),IF(AND(N(AD588)=AC588,IF(AE588="",TRUE(),N(AF588)=AE588),IF(AG588="",TRUE(),N(AH588)=AG588),IF(AI588="",TRUE(),N(AJ588)=AI588)),"一致","不一致"))))</f>
        <v>未入金</v>
      </c>
      <c r="G588" s="25" t="s">
        <v>167</v>
      </c>
      <c r="H588" s="26"/>
      <c r="I588" s="27"/>
      <c r="J588" s="27"/>
      <c r="K588" s="27"/>
      <c r="L588" s="27"/>
      <c r="M588" s="27"/>
      <c r="N588" s="27"/>
      <c r="O588" s="27"/>
      <c r="P588" s="27"/>
      <c r="Q588" s="27"/>
      <c r="R588" s="27"/>
      <c r="S588" s="27"/>
      <c r="T588" s="27" t="n">
        <v>477630</v>
      </c>
      <c r="U588" s="27" t="n">
        <v>39150</v>
      </c>
      <c r="V588" s="27" t="n">
        <v>490</v>
      </c>
      <c r="W588" s="27" t="n">
        <v>293185</v>
      </c>
      <c r="X588" s="27" t="n">
        <v>25517</v>
      </c>
      <c r="Y588" s="27" t="n">
        <v>1</v>
      </c>
      <c r="Z588" s="27"/>
      <c r="AA588" s="10" t="str">
        <f aca="false">IFERROR(INDEX(設定!$E$61:$E$106,MATCH(B588,設定!$B$61:$B$106,0)),"合算")</f>
        <v>合算</v>
      </c>
      <c r="AB588" s="28"/>
      <c r="AC588" s="29" t="n">
        <f aca="false">IF(OR(G588="",G588="なし"),"",IF(AA588="合算",CJ588+N(Z588),IF(AA588="掛金・負担金別",(AY588+AZ588+BD588+BF588+BH588),SUM(AY588:BC588))))</f>
        <v>835973</v>
      </c>
      <c r="AD588" s="27"/>
      <c r="AE588" s="29" t="str">
        <f aca="false">IF(OR(G588="",G588="なし"),"",IF(AA588="掛金・負担金別",(BA588+BB588+BC588+BE588+BG588+BI588+N(Z588)),IF(AA588="経理区分別",BD588+BE588,"")))</f>
        <v/>
      </c>
      <c r="AF588" s="27"/>
      <c r="AG588" s="29" t="str">
        <f aca="false">IF(OR(G588="",G588="なし"),"",IF(AA588="経理区分別",BF588+BG588,""))</f>
        <v/>
      </c>
      <c r="AH588" s="27"/>
      <c r="AI588" s="29" t="str">
        <f aca="false">IF(OR(G588="",G588="なし"),"",IF(AA588="経理区分別",BH588+BI588+N(Z588),""))</f>
        <v/>
      </c>
      <c r="AJ588" s="27"/>
      <c r="AK588" s="26"/>
      <c r="AL588" s="26"/>
      <c r="AM588" s="30"/>
      <c r="AN588" s="31"/>
      <c r="AO588" s="31"/>
      <c r="AP588" s="31"/>
      <c r="AQ588" s="31"/>
      <c r="AR588" s="31"/>
      <c r="AS588" s="31"/>
      <c r="AT588" s="31"/>
      <c r="AU588" s="31"/>
      <c r="AV588" s="31"/>
      <c r="AW588" s="31"/>
      <c r="AX588" s="31"/>
      <c r="AY588" s="31" t="n">
        <f aca="false">IF($G588="",AN588,O588)</f>
        <v>0</v>
      </c>
      <c r="AZ588" s="31" t="n">
        <f aca="false">IF($G588="",AO588,P588)</f>
        <v>0</v>
      </c>
      <c r="BA588" s="31" t="n">
        <f aca="false">IF($G588="",AP588,T588)</f>
        <v>477630</v>
      </c>
      <c r="BB588" s="31" t="n">
        <f aca="false">IF($G588="",AQ588,U588)</f>
        <v>39150</v>
      </c>
      <c r="BC588" s="31" t="n">
        <f aca="false">IF($G588="",AR588,V588)</f>
        <v>490</v>
      </c>
      <c r="BD588" s="31" t="n">
        <f aca="false">IF($G588="",AS588,Q588)</f>
        <v>0</v>
      </c>
      <c r="BE588" s="31" t="n">
        <f aca="false">IF($G588="",AT588,W588)</f>
        <v>293185</v>
      </c>
      <c r="BF588" s="31" t="n">
        <f aca="false">IF($G588="",AU588,R588)</f>
        <v>0</v>
      </c>
      <c r="BG588" s="31" t="n">
        <f aca="false">IF($G588="",AV588,X588)</f>
        <v>25517</v>
      </c>
      <c r="BH588" s="31" t="n">
        <f aca="false">IF($G588="",AW588,S588)</f>
        <v>0</v>
      </c>
      <c r="BI588" s="31" t="n">
        <f aca="false">IF($G588="",AX588,Y588)</f>
        <v>1</v>
      </c>
      <c r="BJ588" s="31" t="n">
        <f aca="false">IF(CK588="N",BR588,ROUNDDOWN((I588-L588)*設定!$B$10/1000,0)+ROUNDDOWN((I588-L588)*設定!$B$11/1000,0))</f>
        <v>0</v>
      </c>
      <c r="BK588" s="31" t="n">
        <f aca="false">ROUNDDOWN((I588-L588)*設定!$C$10/1000,0)+ROUNDDOWN((I588-L588)*設定!$C$11/1000,0)+ROUNDDOWN(I588*設定!$C$12/1000,0)+IF(CL588="市局型",ROUNDDOWN(I588*設定!$C$16/1000,0),0)</f>
        <v>0</v>
      </c>
      <c r="BL588" s="31" t="n">
        <f aca="false">IF(CK588="N",BT588,ROUNDDOWN((J588-M588)*設定!$B$13/1000,0))</f>
        <v>0</v>
      </c>
      <c r="BM588" s="31" t="n">
        <f aca="false">ROUNDDOWN((J588-M588)*設定!$C$13/1000,0)+IF(CL588="市局型",ROUNDDOWN(J588*設定!$C$17/1000,0),0)</f>
        <v>0</v>
      </c>
      <c r="BN588" s="31" t="n">
        <f aca="false">IF(CK588="N",BV588,ROUNDDOWN((K588-N588)*設定!$B$14/1000,0))</f>
        <v>0</v>
      </c>
      <c r="BO588" s="31" t="n">
        <f aca="false">ROUNDDOWN((K588-N588)*設定!$C$14/1000,0)</f>
        <v>0</v>
      </c>
      <c r="BP588" s="31" t="n">
        <f aca="false">IF(CK588="N",BX588,ROUNDDOWN((J588-M588)*設定!$B$15/1000,0))</f>
        <v>0</v>
      </c>
      <c r="BQ588" s="31" t="n">
        <f aca="false">ROUNDDOWN((J588-M588)*設定!$C$15/1000,0)</f>
        <v>0</v>
      </c>
      <c r="BR588" s="31" t="n">
        <f aca="false">O588+P588</f>
        <v>0</v>
      </c>
      <c r="BS588" s="31" t="n">
        <f aca="false">T588+U588+V588</f>
        <v>517270</v>
      </c>
      <c r="BT588" s="31" t="n">
        <f aca="false">Q588</f>
        <v>0</v>
      </c>
      <c r="BU588" s="31" t="n">
        <f aca="false">W588</f>
        <v>293185</v>
      </c>
      <c r="BV588" s="31" t="n">
        <f aca="false">R588</f>
        <v>0</v>
      </c>
      <c r="BW588" s="31" t="n">
        <f aca="false">X588</f>
        <v>25517</v>
      </c>
      <c r="BX588" s="31" t="n">
        <f aca="false">S588</f>
        <v>0</v>
      </c>
      <c r="BY588" s="31" t="n">
        <f aca="false">Y588</f>
        <v>1</v>
      </c>
      <c r="BZ588" s="32" t="n">
        <f aca="false">IF(BJ588=0,IF(BR588=0,0,1),(BR588-BJ588)/BJ588)</f>
        <v>0</v>
      </c>
      <c r="CA588" s="32" t="n">
        <f aca="false">IF(BK588=0,IF(BS588=0,0,1),(BS588-BK588)/BK588)</f>
        <v>1</v>
      </c>
      <c r="CB588" s="32" t="n">
        <f aca="false">IF(BL588=0,IF(BT588=0,0,1),(BT588-BL588)/BL588)</f>
        <v>0</v>
      </c>
      <c r="CC588" s="32" t="n">
        <f aca="false">IF(BM588=0,IF(BU588=0,0,1),(BU588-BM588)/BM588)</f>
        <v>1</v>
      </c>
      <c r="CD588" s="32" t="n">
        <f aca="false">IF(BN588=0,IF(BV588=0,0,1),(BV588-BN588)/BN588)</f>
        <v>0</v>
      </c>
      <c r="CE588" s="32" t="n">
        <f aca="false">IF(BO588=0,IF(BW588=0,0,1),(BW588-BO588)/BO588)</f>
        <v>1</v>
      </c>
      <c r="CF588" s="32" t="n">
        <f aca="false">IF(BP588=0,IF(BX588=0,0,1),(BX588-BP588)/BP588)</f>
        <v>0</v>
      </c>
      <c r="CG588" s="32" t="n">
        <f aca="false">IF(BQ588=0,IF(BY588=0,0,1),(BY588-BQ588)/BQ588)</f>
        <v>1</v>
      </c>
      <c r="CH588" s="32" t="n">
        <f aca="false">MAX(MAX(BZ588:CG588),-MIN(BZ588:CG588))</f>
        <v>1</v>
      </c>
      <c r="CI588" s="31" t="n">
        <f aca="false">IF(CO588="","",SUMIFS($CJ$7:$CJ$696,$A$7:$A$696,CO588,$B$7:$B$696,B588))</f>
        <v>835973</v>
      </c>
      <c r="CJ588" s="31" t="n">
        <f aca="false">SUM(AY588:BI588)</f>
        <v>835973</v>
      </c>
      <c r="CK588" s="31" t="str">
        <f aca="false">IFERROR(INDEX(設定!$F$61:$F$106,MATCH(B588,設定!$B$61:$B$106,0)),"Y")</f>
        <v>N</v>
      </c>
      <c r="CL588" s="31" t="str">
        <f aca="false">IFERROR(INDEX(設定!$G$61:$G$106,MATCH(B588,設定!$B$61:$B$106,0)),"外郭型")</f>
        <v>外郭型</v>
      </c>
      <c r="CM588" s="36" t="str">
        <f aca="false">A588&amp;"|"&amp;B588</f>
        <v>2027-02 月例|バス協調・共創
プラットフォーム</v>
      </c>
      <c r="CN588" s="34" t="str">
        <f aca="false">IFERROR(INDEX(設定!$D$61:$D$106,MATCH(B588,設定!$B$61:$B$106,0)),"Y")</f>
        <v>Y</v>
      </c>
      <c r="CO588" s="34" t="str">
        <f aca="false">IFERROR(INDEX(設定!$D$20:$D$34,MATCH(A588,設定!$A$20:$A$34,0))&amp;"","")</f>
        <v>2027-01 月例</v>
      </c>
    </row>
    <row r="589" customFormat="false" ht="15" hidden="true" customHeight="false" outlineLevel="0" collapsed="false">
      <c r="A589" s="22" t="s">
        <v>228</v>
      </c>
      <c r="B589" s="23" t="s">
        <v>199</v>
      </c>
      <c r="C589" s="10" t="str">
        <f aca="false">IF(G589="","未受領",IF(G589="なし","報告なし",IF(AL589="○","起票済",IF(OR(AK589="○",F589="一致",F589="入金不要"),"入金確認済","受領済"))))</f>
        <v>未受領</v>
      </c>
      <c r="D589" s="10" t="str">
        <f aca="false">IF(OR(G589="",G589="なし"),"―",IF(CN589="N","対象外",IF(AND(I589="",J589="",K589=""),"標報未入力",IF(CH589&gt;=設定!$B$4,"要確認","問題なし"))))</f>
        <v>―</v>
      </c>
      <c r="E589" s="24" t="str">
        <f aca="false">IF(OR(G589="",G589="なし",CI589="",CJ589=0),"―",IF(CJ589=CI589,"前月同額",IF(CI589=0,"―",IF(ABS(CJ589/CI589-1)&gt;=設定!$B$5,"変動大 "&amp;TEXT(CJ589/CI589-1,"+0%;-0%"),"〇"))))</f>
        <v>―</v>
      </c>
      <c r="F589" s="10" t="str">
        <f aca="false">IF(OR(G589="",G589="なし"),"―",IF(CJ589=0,"入金不要",IF(COUNT(AD589,AF589,AH589,AJ589)=0,IF(AK589="○","手動確認","未入金"),IF(AND(N(AD589)=AC589,IF(AE589="",TRUE(),N(AF589)=AE589),IF(AG589="",TRUE(),N(AH589)=AG589),IF(AI589="",TRUE(),N(AJ589)=AI589)),"一致","不一致"))))</f>
        <v>―</v>
      </c>
      <c r="G589" s="25"/>
      <c r="H589" s="26"/>
      <c r="I589" s="27"/>
      <c r="J589" s="27"/>
      <c r="K589" s="27"/>
      <c r="L589" s="27"/>
      <c r="M589" s="27"/>
      <c r="N589" s="27"/>
      <c r="O589" s="27"/>
      <c r="P589" s="27"/>
      <c r="Q589" s="27"/>
      <c r="R589" s="27"/>
      <c r="S589" s="27"/>
      <c r="T589" s="27"/>
      <c r="U589" s="27"/>
      <c r="V589" s="27"/>
      <c r="W589" s="27"/>
      <c r="X589" s="27"/>
      <c r="Y589" s="27"/>
      <c r="Z589" s="27"/>
      <c r="AA589" s="10" t="str">
        <f aca="false">IFERROR(INDEX(設定!$E$61:$E$106,MATCH(B589,設定!$B$61:$B$106,0)),"合算")</f>
        <v>合算</v>
      </c>
      <c r="AB589" s="28"/>
      <c r="AC589" s="29" t="str">
        <f aca="false">IF(OR(G589="",G589="なし"),"",IF(AA589="合算",CJ589+N(Z589),IF(AA589="掛金・負担金別",(AY589+AZ589+BD589+BF589+BH589),SUM(AY589:BC589))))</f>
        <v/>
      </c>
      <c r="AD589" s="27"/>
      <c r="AE589" s="29" t="str">
        <f aca="false">IF(OR(G589="",G589="なし"),"",IF(AA589="掛金・負担金別",(BA589+BB589+BC589+BE589+BG589+BI589+N(Z589)),IF(AA589="経理区分別",BD589+BE589,"")))</f>
        <v/>
      </c>
      <c r="AF589" s="27"/>
      <c r="AG589" s="29" t="str">
        <f aca="false">IF(OR(G589="",G589="なし"),"",IF(AA589="経理区分別",BF589+BG589,""))</f>
        <v/>
      </c>
      <c r="AH589" s="27"/>
      <c r="AI589" s="29" t="str">
        <f aca="false">IF(OR(G589="",G589="なし"),"",IF(AA589="経理区分別",BH589+BI589+N(Z589),""))</f>
        <v/>
      </c>
      <c r="AJ589" s="27"/>
      <c r="AK589" s="26"/>
      <c r="AL589" s="26"/>
      <c r="AM589" s="30"/>
      <c r="AN589" s="31" t="n">
        <v>56730</v>
      </c>
      <c r="AO589" s="31" t="n">
        <v>4650</v>
      </c>
      <c r="AP589" s="31" t="n">
        <v>56730</v>
      </c>
      <c r="AQ589" s="31" t="n">
        <v>4650</v>
      </c>
      <c r="AR589" s="31" t="n">
        <v>58</v>
      </c>
      <c r="AS589" s="31" t="n">
        <v>34106</v>
      </c>
      <c r="AT589" s="31" t="n">
        <v>34168</v>
      </c>
      <c r="AU589" s="31" t="n">
        <v>4898</v>
      </c>
      <c r="AV589" s="31" t="n">
        <v>4898</v>
      </c>
      <c r="AW589" s="31" t="n">
        <v>1</v>
      </c>
      <c r="AX589" s="31" t="n">
        <v>1</v>
      </c>
      <c r="AY589" s="31" t="n">
        <f aca="false">IF($G589="",AN589,O589)</f>
        <v>56730</v>
      </c>
      <c r="AZ589" s="31" t="n">
        <f aca="false">IF($G589="",AO589,P589)</f>
        <v>4650</v>
      </c>
      <c r="BA589" s="31" t="n">
        <f aca="false">IF($G589="",AP589,T589)</f>
        <v>56730</v>
      </c>
      <c r="BB589" s="31" t="n">
        <f aca="false">IF($G589="",AQ589,U589)</f>
        <v>4650</v>
      </c>
      <c r="BC589" s="31" t="n">
        <f aca="false">IF($G589="",AR589,V589)</f>
        <v>58</v>
      </c>
      <c r="BD589" s="31" t="n">
        <f aca="false">IF($G589="",AS589,Q589)</f>
        <v>34106</v>
      </c>
      <c r="BE589" s="31" t="n">
        <f aca="false">IF($G589="",AT589,W589)</f>
        <v>34168</v>
      </c>
      <c r="BF589" s="31" t="n">
        <f aca="false">IF($G589="",AU589,R589)</f>
        <v>4898</v>
      </c>
      <c r="BG589" s="31" t="n">
        <f aca="false">IF($G589="",AV589,X589)</f>
        <v>4898</v>
      </c>
      <c r="BH589" s="31" t="n">
        <f aca="false">IF($G589="",AW589,S589)</f>
        <v>1</v>
      </c>
      <c r="BI589" s="31" t="n">
        <f aca="false">IF($G589="",AX589,Y589)</f>
        <v>1</v>
      </c>
      <c r="BJ589" s="31" t="n">
        <f aca="false">IF(CK589="N",BR589,ROUNDDOWN((I589-L589)*設定!$B$10/1000,0)+ROUNDDOWN((I589-L589)*設定!$B$11/1000,0))</f>
        <v>0</v>
      </c>
      <c r="BK589" s="31" t="n">
        <f aca="false">ROUNDDOWN((I589-L589)*設定!$C$10/1000,0)+ROUNDDOWN((I589-L589)*設定!$C$11/1000,0)+ROUNDDOWN(I589*設定!$C$12/1000,0)+IF(CL589="市局型",ROUNDDOWN(I589*設定!$C$16/1000,0),0)</f>
        <v>0</v>
      </c>
      <c r="BL589" s="31" t="n">
        <f aca="false">IF(CK589="N",BT589,ROUNDDOWN((J589-M589)*設定!$B$13/1000,0))</f>
        <v>0</v>
      </c>
      <c r="BM589" s="31" t="n">
        <f aca="false">ROUNDDOWN((J589-M589)*設定!$C$13/1000,0)+IF(CL589="市局型",ROUNDDOWN(J589*設定!$C$17/1000,0),0)</f>
        <v>0</v>
      </c>
      <c r="BN589" s="31" t="n">
        <f aca="false">IF(CK589="N",BV589,ROUNDDOWN((K589-N589)*設定!$B$14/1000,0))</f>
        <v>0</v>
      </c>
      <c r="BO589" s="31" t="n">
        <f aca="false">ROUNDDOWN((K589-N589)*設定!$C$14/1000,0)</f>
        <v>0</v>
      </c>
      <c r="BP589" s="31" t="n">
        <f aca="false">IF(CK589="N",BX589,ROUNDDOWN((J589-M589)*設定!$B$15/1000,0))</f>
        <v>0</v>
      </c>
      <c r="BQ589" s="31" t="n">
        <f aca="false">ROUNDDOWN((J589-M589)*設定!$C$15/1000,0)</f>
        <v>0</v>
      </c>
      <c r="BR589" s="31" t="n">
        <f aca="false">O589+P589</f>
        <v>0</v>
      </c>
      <c r="BS589" s="31" t="n">
        <f aca="false">T589+U589+V589</f>
        <v>0</v>
      </c>
      <c r="BT589" s="31" t="n">
        <f aca="false">Q589</f>
        <v>0</v>
      </c>
      <c r="BU589" s="31" t="n">
        <f aca="false">W589</f>
        <v>0</v>
      </c>
      <c r="BV589" s="31" t="n">
        <f aca="false">R589</f>
        <v>0</v>
      </c>
      <c r="BW589" s="31" t="n">
        <f aca="false">X589</f>
        <v>0</v>
      </c>
      <c r="BX589" s="31" t="n">
        <f aca="false">S589</f>
        <v>0</v>
      </c>
      <c r="BY589" s="31" t="n">
        <f aca="false">Y589</f>
        <v>0</v>
      </c>
      <c r="BZ589" s="32" t="n">
        <f aca="false">IF(BJ589=0,IF(BR589=0,0,1),(BR589-BJ589)/BJ589)</f>
        <v>0</v>
      </c>
      <c r="CA589" s="32" t="n">
        <f aca="false">IF(BK589=0,IF(BS589=0,0,1),(BS589-BK589)/BK589)</f>
        <v>0</v>
      </c>
      <c r="CB589" s="32" t="n">
        <f aca="false">IF(BL589=0,IF(BT589=0,0,1),(BT589-BL589)/BL589)</f>
        <v>0</v>
      </c>
      <c r="CC589" s="32" t="n">
        <f aca="false">IF(BM589=0,IF(BU589=0,0,1),(BU589-BM589)/BM589)</f>
        <v>0</v>
      </c>
      <c r="CD589" s="32" t="n">
        <f aca="false">IF(BN589=0,IF(BV589=0,0,1),(BV589-BN589)/BN589)</f>
        <v>0</v>
      </c>
      <c r="CE589" s="32" t="n">
        <f aca="false">IF(BO589=0,IF(BW589=0,0,1),(BW589-BO589)/BO589)</f>
        <v>0</v>
      </c>
      <c r="CF589" s="32" t="n">
        <f aca="false">IF(BP589=0,IF(BX589=0,0,1),(BX589-BP589)/BP589)</f>
        <v>0</v>
      </c>
      <c r="CG589" s="32" t="n">
        <f aca="false">IF(BQ589=0,IF(BY589=0,0,1),(BY589-BQ589)/BQ589)</f>
        <v>0</v>
      </c>
      <c r="CH589" s="32" t="n">
        <f aca="false">MAX(MAX(BZ589:CG589),-MIN(BZ589:CG589))</f>
        <v>-0</v>
      </c>
      <c r="CI589" s="31" t="n">
        <f aca="false">IF(CO589="","",SUMIFS($CJ$7:$CJ$696,$A$7:$A$696,CO589,$B$7:$B$696,B589))</f>
        <v>200890</v>
      </c>
      <c r="CJ589" s="31" t="n">
        <f aca="false">SUM(AY589:BI589)</f>
        <v>200890</v>
      </c>
      <c r="CK589" s="31" t="str">
        <f aca="false">IFERROR(INDEX(設定!$F$61:$F$106,MATCH(B589,設定!$B$61:$B$106,0)),"Y")</f>
        <v>Y</v>
      </c>
      <c r="CL589" s="31" t="str">
        <f aca="false">IFERROR(INDEX(設定!$G$61:$G$106,MATCH(B589,設定!$B$61:$B$106,0)),"外郭型")</f>
        <v>外郭型</v>
      </c>
      <c r="CM589" s="33" t="str">
        <f aca="false">A589&amp;"|"&amp;B589</f>
        <v>2027-02 月例|広島県市長会</v>
      </c>
      <c r="CN589" s="34" t="str">
        <f aca="false">IFERROR(INDEX(設定!$D$61:$D$106,MATCH(B589,設定!$B$61:$B$106,0)),"Y")</f>
        <v>Y</v>
      </c>
      <c r="CO589" s="34" t="str">
        <f aca="false">IFERROR(INDEX(設定!$D$20:$D$34,MATCH(A589,設定!$A$20:$A$34,0))&amp;"","")</f>
        <v>2027-01 月例</v>
      </c>
    </row>
    <row r="590" customFormat="false" ht="15" hidden="true" customHeight="false" outlineLevel="0" collapsed="false">
      <c r="A590" s="22" t="s">
        <v>228</v>
      </c>
      <c r="B590" s="23" t="s">
        <v>200</v>
      </c>
      <c r="C590" s="10" t="str">
        <f aca="false">IF(G590="","未受領",IF(G590="なし","報告なし",IF(AL590="○","起票済",IF(OR(AK590="○",F590="一致",F590="入金不要"),"入金確認済","受領済"))))</f>
        <v>未受領</v>
      </c>
      <c r="D590" s="10" t="str">
        <f aca="false">IF(OR(G590="",G590="なし"),"―",IF(CN590="N","対象外",IF(AND(I590="",J590="",K590=""),"標報未入力",IF(CH590&gt;=設定!$B$4,"要確認","問題なし"))))</f>
        <v>―</v>
      </c>
      <c r="E590" s="24" t="str">
        <f aca="false">IF(OR(G590="",G590="なし",CI590="",CJ590=0),"―",IF(CJ590=CI590,"前月同額",IF(CI590=0,"―",IF(ABS(CJ590/CI590-1)&gt;=設定!$B$5,"変動大 "&amp;TEXT(CJ590/CI590-1,"+0%;-0%"),"〇"))))</f>
        <v>―</v>
      </c>
      <c r="F590" s="10" t="str">
        <f aca="false">IF(OR(G590="",G590="なし"),"―",IF(CJ590=0,"入金不要",IF(COUNT(AD590,AF590,AH590,AJ590)=0,IF(AK590="○","手動確認","未入金"),IF(AND(N(AD590)=AC590,IF(AE590="",TRUE(),N(AF590)=AE590),IF(AG590="",TRUE(),N(AH590)=AG590),IF(AI590="",TRUE(),N(AJ590)=AI590)),"一致","不一致"))))</f>
        <v>―</v>
      </c>
      <c r="G590" s="25"/>
      <c r="H590" s="26"/>
      <c r="I590" s="27"/>
      <c r="J590" s="27"/>
      <c r="K590" s="27"/>
      <c r="L590" s="27"/>
      <c r="M590" s="27"/>
      <c r="N590" s="27"/>
      <c r="O590" s="27"/>
      <c r="P590" s="27"/>
      <c r="Q590" s="27"/>
      <c r="R590" s="27"/>
      <c r="S590" s="27"/>
      <c r="T590" s="27"/>
      <c r="U590" s="27"/>
      <c r="V590" s="27"/>
      <c r="W590" s="27"/>
      <c r="X590" s="27"/>
      <c r="Y590" s="27"/>
      <c r="Z590" s="27"/>
      <c r="AA590" s="10" t="str">
        <f aca="false">IFERROR(INDEX(設定!$E$61:$E$106,MATCH(B590,設定!$B$61:$B$106,0)),"合算")</f>
        <v>合算</v>
      </c>
      <c r="AB590" s="28"/>
      <c r="AC590" s="29" t="str">
        <f aca="false">IF(OR(G590="",G590="なし"),"",IF(AA590="合算",CJ590+N(Z590),IF(AA590="掛金・負担金別",(AY590+AZ590+BD590+BF590+BH590),SUM(AY590:BC590))))</f>
        <v/>
      </c>
      <c r="AD590" s="27"/>
      <c r="AE590" s="29" t="str">
        <f aca="false">IF(OR(G590="",G590="なし"),"",IF(AA590="掛金・負担金別",(BA590+BB590+BC590+BE590+BG590+BI590+N(Z590)),IF(AA590="経理区分別",BD590+BE590,"")))</f>
        <v/>
      </c>
      <c r="AF590" s="27"/>
      <c r="AG590" s="29" t="str">
        <f aca="false">IF(OR(G590="",G590="なし"),"",IF(AA590="経理区分別",BF590+BG590,""))</f>
        <v/>
      </c>
      <c r="AH590" s="27"/>
      <c r="AI590" s="29" t="str">
        <f aca="false">IF(OR(G590="",G590="なし"),"",IF(AA590="経理区分別",BH590+BI590+N(Z590),""))</f>
        <v/>
      </c>
      <c r="AJ590" s="27"/>
      <c r="AK590" s="26"/>
      <c r="AL590" s="26"/>
      <c r="AM590" s="30"/>
      <c r="AN590" s="31" t="n">
        <v>59475</v>
      </c>
      <c r="AO590" s="31" t="n">
        <v>4875</v>
      </c>
      <c r="AP590" s="31" t="n">
        <v>59475</v>
      </c>
      <c r="AQ590" s="31" t="n">
        <v>4875</v>
      </c>
      <c r="AR590" s="31" t="n">
        <v>61</v>
      </c>
      <c r="AS590" s="31" t="n">
        <v>41257</v>
      </c>
      <c r="AT590" s="31" t="n">
        <v>41332</v>
      </c>
      <c r="AU590" s="31" t="n">
        <v>5925</v>
      </c>
      <c r="AV590" s="31" t="n">
        <v>5925</v>
      </c>
      <c r="AW590" s="31" t="n">
        <v>1</v>
      </c>
      <c r="AX590" s="31" t="n">
        <v>1</v>
      </c>
      <c r="AY590" s="31" t="n">
        <f aca="false">IF($G590="",AN590,O590)</f>
        <v>59475</v>
      </c>
      <c r="AZ590" s="31" t="n">
        <f aca="false">IF($G590="",AO590,P590)</f>
        <v>4875</v>
      </c>
      <c r="BA590" s="31" t="n">
        <f aca="false">IF($G590="",AP590,T590)</f>
        <v>59475</v>
      </c>
      <c r="BB590" s="31" t="n">
        <f aca="false">IF($G590="",AQ590,U590)</f>
        <v>4875</v>
      </c>
      <c r="BC590" s="31" t="n">
        <f aca="false">IF($G590="",AR590,V590)</f>
        <v>61</v>
      </c>
      <c r="BD590" s="31" t="n">
        <f aca="false">IF($G590="",AS590,Q590)</f>
        <v>41257</v>
      </c>
      <c r="BE590" s="31" t="n">
        <f aca="false">IF($G590="",AT590,W590)</f>
        <v>41332</v>
      </c>
      <c r="BF590" s="31" t="n">
        <f aca="false">IF($G590="",AU590,R590)</f>
        <v>5925</v>
      </c>
      <c r="BG590" s="31" t="n">
        <f aca="false">IF($G590="",AV590,X590)</f>
        <v>5925</v>
      </c>
      <c r="BH590" s="31" t="n">
        <f aca="false">IF($G590="",AW590,S590)</f>
        <v>1</v>
      </c>
      <c r="BI590" s="31" t="n">
        <f aca="false">IF($G590="",AX590,Y590)</f>
        <v>1</v>
      </c>
      <c r="BJ590" s="31" t="n">
        <f aca="false">IF(CK590="N",BR590,ROUNDDOWN((I590-L590)*設定!$B$10/1000,0)+ROUNDDOWN((I590-L590)*設定!$B$11/1000,0))</f>
        <v>0</v>
      </c>
      <c r="BK590" s="31" t="n">
        <f aca="false">ROUNDDOWN((I590-L590)*設定!$C$10/1000,0)+ROUNDDOWN((I590-L590)*設定!$C$11/1000,0)+ROUNDDOWN(I590*設定!$C$12/1000,0)+IF(CL590="市局型",ROUNDDOWN(I590*設定!$C$16/1000,0),0)</f>
        <v>0</v>
      </c>
      <c r="BL590" s="31" t="n">
        <f aca="false">IF(CK590="N",BT590,ROUNDDOWN((J590-M590)*設定!$B$13/1000,0))</f>
        <v>0</v>
      </c>
      <c r="BM590" s="31" t="n">
        <f aca="false">ROUNDDOWN((J590-M590)*設定!$C$13/1000,0)+IF(CL590="市局型",ROUNDDOWN(J590*設定!$C$17/1000,0),0)</f>
        <v>0</v>
      </c>
      <c r="BN590" s="31" t="n">
        <f aca="false">IF(CK590="N",BV590,ROUNDDOWN((K590-N590)*設定!$B$14/1000,0))</f>
        <v>0</v>
      </c>
      <c r="BO590" s="31" t="n">
        <f aca="false">ROUNDDOWN((K590-N590)*設定!$C$14/1000,0)</f>
        <v>0</v>
      </c>
      <c r="BP590" s="31" t="n">
        <f aca="false">IF(CK590="N",BX590,ROUNDDOWN((J590-M590)*設定!$B$15/1000,0))</f>
        <v>0</v>
      </c>
      <c r="BQ590" s="31" t="n">
        <f aca="false">ROUNDDOWN((J590-M590)*設定!$C$15/1000,0)</f>
        <v>0</v>
      </c>
      <c r="BR590" s="31" t="n">
        <f aca="false">O590+P590</f>
        <v>0</v>
      </c>
      <c r="BS590" s="31" t="n">
        <f aca="false">T590+U590+V590</f>
        <v>0</v>
      </c>
      <c r="BT590" s="31" t="n">
        <f aca="false">Q590</f>
        <v>0</v>
      </c>
      <c r="BU590" s="31" t="n">
        <f aca="false">W590</f>
        <v>0</v>
      </c>
      <c r="BV590" s="31" t="n">
        <f aca="false">R590</f>
        <v>0</v>
      </c>
      <c r="BW590" s="31" t="n">
        <f aca="false">X590</f>
        <v>0</v>
      </c>
      <c r="BX590" s="31" t="n">
        <f aca="false">S590</f>
        <v>0</v>
      </c>
      <c r="BY590" s="31" t="n">
        <f aca="false">Y590</f>
        <v>0</v>
      </c>
      <c r="BZ590" s="32" t="n">
        <f aca="false">IF(BJ590=0,IF(BR590=0,0,1),(BR590-BJ590)/BJ590)</f>
        <v>0</v>
      </c>
      <c r="CA590" s="32" t="n">
        <f aca="false">IF(BK590=0,IF(BS590=0,0,1),(BS590-BK590)/BK590)</f>
        <v>0</v>
      </c>
      <c r="CB590" s="32" t="n">
        <f aca="false">IF(BL590=0,IF(BT590=0,0,1),(BT590-BL590)/BL590)</f>
        <v>0</v>
      </c>
      <c r="CC590" s="32" t="n">
        <f aca="false">IF(BM590=0,IF(BU590=0,0,1),(BU590-BM590)/BM590)</f>
        <v>0</v>
      </c>
      <c r="CD590" s="32" t="n">
        <f aca="false">IF(BN590=0,IF(BV590=0,0,1),(BV590-BN590)/BN590)</f>
        <v>0</v>
      </c>
      <c r="CE590" s="32" t="n">
        <f aca="false">IF(BO590=0,IF(BW590=0,0,1),(BW590-BO590)/BO590)</f>
        <v>0</v>
      </c>
      <c r="CF590" s="32" t="n">
        <f aca="false">IF(BP590=0,IF(BX590=0,0,1),(BX590-BP590)/BP590)</f>
        <v>0</v>
      </c>
      <c r="CG590" s="32" t="n">
        <f aca="false">IF(BQ590=0,IF(BY590=0,0,1),(BY590-BQ590)/BQ590)</f>
        <v>0</v>
      </c>
      <c r="CH590" s="32" t="n">
        <f aca="false">MAX(MAX(BZ590:CG590),-MIN(BZ590:CG590))</f>
        <v>-0</v>
      </c>
      <c r="CI590" s="31" t="n">
        <f aca="false">IF(CO590="","",SUMIFS($CJ$7:$CJ$696,$A$7:$A$696,CO590,$B$7:$B$696,B590))</f>
        <v>223202</v>
      </c>
      <c r="CJ590" s="31" t="n">
        <f aca="false">SUM(AY590:BI590)</f>
        <v>223202</v>
      </c>
      <c r="CK590" s="31" t="str">
        <f aca="false">IFERROR(INDEX(設定!$F$61:$F$106,MATCH(B590,設定!$B$61:$B$106,0)),"Y")</f>
        <v>Y</v>
      </c>
      <c r="CL590" s="31" t="str">
        <f aca="false">IFERROR(INDEX(設定!$G$61:$G$106,MATCH(B590,設定!$B$61:$B$106,0)),"外郭型")</f>
        <v>外郭型</v>
      </c>
      <c r="CM590" s="33" t="str">
        <f aca="false">A590&amp;"|"&amp;B590</f>
        <v>2027-02 月例|全国市町村研修財団</v>
      </c>
      <c r="CN590" s="34" t="str">
        <f aca="false">IFERROR(INDEX(設定!$D$61:$D$106,MATCH(B590,設定!$B$61:$B$106,0)),"Y")</f>
        <v>Y</v>
      </c>
      <c r="CO590" s="34" t="str">
        <f aca="false">IFERROR(INDEX(設定!$D$20:$D$34,MATCH(A590,設定!$A$20:$A$34,0))&amp;"","")</f>
        <v>2027-01 月例</v>
      </c>
    </row>
    <row r="591" customFormat="false" ht="15" hidden="true" customHeight="false" outlineLevel="0" collapsed="false">
      <c r="A591" s="22" t="s">
        <v>228</v>
      </c>
      <c r="B591" s="23" t="s">
        <v>201</v>
      </c>
      <c r="C591" s="10" t="str">
        <f aca="false">IF(G591="","未受領",IF(G591="なし","報告なし",IF(AL591="○","起票済",IF(OR(AK591="○",F591="一致",F591="入金不要"),"入金確認済","受領済"))))</f>
        <v>未受領</v>
      </c>
      <c r="D591" s="10" t="str">
        <f aca="false">IF(OR(G591="",G591="なし"),"―",IF(CN591="N","対象外",IF(AND(I591="",J591="",K591=""),"標報未入力",IF(CH591&gt;=設定!$B$4,"要確認","問題なし"))))</f>
        <v>―</v>
      </c>
      <c r="E591" s="24" t="str">
        <f aca="false">IF(OR(G591="",G591="なし",CI591="",CJ591=0),"―",IF(CJ591=CI591,"前月同額",IF(CI591=0,"―",IF(ABS(CJ591/CI591-1)&gt;=設定!$B$5,"変動大 "&amp;TEXT(CJ591/CI591-1,"+0%;-0%"),"〇"))))</f>
        <v>―</v>
      </c>
      <c r="F591" s="10" t="str">
        <f aca="false">IF(OR(G591="",G591="なし"),"―",IF(CJ591=0,"入金不要",IF(COUNT(AD591,AF591,AH591,AJ591)=0,IF(AK591="○","手動確認","未入金"),IF(AND(N(AD591)=AC591,IF(AE591="",TRUE(),N(AF591)=AE591),IF(AG591="",TRUE(),N(AH591)=AG591),IF(AI591="",TRUE(),N(AJ591)=AI591)),"一致","不一致"))))</f>
        <v>―</v>
      </c>
      <c r="G591" s="25"/>
      <c r="H591" s="26"/>
      <c r="I591" s="27"/>
      <c r="J591" s="27"/>
      <c r="K591" s="27"/>
      <c r="L591" s="27"/>
      <c r="M591" s="27"/>
      <c r="N591" s="27"/>
      <c r="O591" s="27"/>
      <c r="P591" s="27"/>
      <c r="Q591" s="27"/>
      <c r="R591" s="27"/>
      <c r="S591" s="27"/>
      <c r="T591" s="27"/>
      <c r="U591" s="27"/>
      <c r="V591" s="27"/>
      <c r="W591" s="27"/>
      <c r="X591" s="27"/>
      <c r="Y591" s="27"/>
      <c r="Z591" s="27"/>
      <c r="AA591" s="10" t="str">
        <f aca="false">IFERROR(INDEX(設定!$E$61:$E$106,MATCH(B591,設定!$B$61:$B$106,0)),"合算")</f>
        <v>合算</v>
      </c>
      <c r="AB591" s="28"/>
      <c r="AC591" s="29" t="str">
        <f aca="false">IF(OR(G591="",G591="なし"),"",IF(AA591="合算",CJ591+N(Z591),IF(AA591="掛金・負担金別",(AY591+AZ591+BD591+BF591+BH591),SUM(AY591:BC591))))</f>
        <v/>
      </c>
      <c r="AD591" s="27"/>
      <c r="AE591" s="29" t="str">
        <f aca="false">IF(OR(G591="",G591="なし"),"",IF(AA591="掛金・負担金別",(BA591+BB591+BC591+BE591+BG591+BI591+N(Z591)),IF(AA591="経理区分別",BD591+BE591,"")))</f>
        <v/>
      </c>
      <c r="AF591" s="27"/>
      <c r="AG591" s="29" t="str">
        <f aca="false">IF(OR(G591="",G591="なし"),"",IF(AA591="経理区分別",BF591+BG591,""))</f>
        <v/>
      </c>
      <c r="AH591" s="27"/>
      <c r="AI591" s="29" t="str">
        <f aca="false">IF(OR(G591="",G591="なし"),"",IF(AA591="経理区分別",BH591+BI591+N(Z591),""))</f>
        <v/>
      </c>
      <c r="AJ591" s="27"/>
      <c r="AK591" s="26"/>
      <c r="AL591" s="26"/>
      <c r="AM591" s="30"/>
      <c r="AN591" s="31" t="n">
        <v>53985</v>
      </c>
      <c r="AO591" s="31" t="n">
        <v>4425</v>
      </c>
      <c r="AP591" s="31" t="n">
        <v>53985</v>
      </c>
      <c r="AQ591" s="31" t="n">
        <v>4425</v>
      </c>
      <c r="AR591" s="31" t="n">
        <v>55</v>
      </c>
      <c r="AS591" s="31" t="n">
        <v>32455</v>
      </c>
      <c r="AT591" s="31" t="n">
        <v>32514</v>
      </c>
      <c r="AU591" s="31" t="n">
        <v>0</v>
      </c>
      <c r="AV591" s="31" t="n">
        <v>0</v>
      </c>
      <c r="AW591" s="31" t="n">
        <v>1</v>
      </c>
      <c r="AX591" s="31" t="n">
        <v>1</v>
      </c>
      <c r="AY591" s="31" t="n">
        <f aca="false">IF($G591="",AN591,O591)</f>
        <v>53985</v>
      </c>
      <c r="AZ591" s="31" t="n">
        <f aca="false">IF($G591="",AO591,P591)</f>
        <v>4425</v>
      </c>
      <c r="BA591" s="31" t="n">
        <f aca="false">IF($G591="",AP591,T591)</f>
        <v>53985</v>
      </c>
      <c r="BB591" s="31" t="n">
        <f aca="false">IF($G591="",AQ591,U591)</f>
        <v>4425</v>
      </c>
      <c r="BC591" s="31" t="n">
        <f aca="false">IF($G591="",AR591,V591)</f>
        <v>55</v>
      </c>
      <c r="BD591" s="31" t="n">
        <f aca="false">IF($G591="",AS591,Q591)</f>
        <v>32455</v>
      </c>
      <c r="BE591" s="31" t="n">
        <f aca="false">IF($G591="",AT591,W591)</f>
        <v>32514</v>
      </c>
      <c r="BF591" s="31" t="n">
        <f aca="false">IF($G591="",AU591,R591)</f>
        <v>0</v>
      </c>
      <c r="BG591" s="31" t="n">
        <f aca="false">IF($G591="",AV591,X591)</f>
        <v>0</v>
      </c>
      <c r="BH591" s="31" t="n">
        <f aca="false">IF($G591="",AW591,S591)</f>
        <v>1</v>
      </c>
      <c r="BI591" s="31" t="n">
        <f aca="false">IF($G591="",AX591,Y591)</f>
        <v>1</v>
      </c>
      <c r="BJ591" s="31" t="n">
        <f aca="false">IF(CK591="N",BR591,ROUNDDOWN((I591-L591)*設定!$B$10/1000,0)+ROUNDDOWN((I591-L591)*設定!$B$11/1000,0))</f>
        <v>0</v>
      </c>
      <c r="BK591" s="31" t="n">
        <f aca="false">ROUNDDOWN((I591-L591)*設定!$C$10/1000,0)+ROUNDDOWN((I591-L591)*設定!$C$11/1000,0)+ROUNDDOWN(I591*設定!$C$12/1000,0)+IF(CL591="市局型",ROUNDDOWN(I591*設定!$C$16/1000,0),0)</f>
        <v>0</v>
      </c>
      <c r="BL591" s="31" t="n">
        <f aca="false">IF(CK591="N",BT591,ROUNDDOWN((J591-M591)*設定!$B$13/1000,0))</f>
        <v>0</v>
      </c>
      <c r="BM591" s="31" t="n">
        <f aca="false">ROUNDDOWN((J591-M591)*設定!$C$13/1000,0)+IF(CL591="市局型",ROUNDDOWN(J591*設定!$C$17/1000,0),0)</f>
        <v>0</v>
      </c>
      <c r="BN591" s="31" t="n">
        <f aca="false">IF(CK591="N",BV591,ROUNDDOWN((K591-N591)*設定!$B$14/1000,0))</f>
        <v>0</v>
      </c>
      <c r="BO591" s="31" t="n">
        <f aca="false">ROUNDDOWN((K591-N591)*設定!$C$14/1000,0)</f>
        <v>0</v>
      </c>
      <c r="BP591" s="31" t="n">
        <f aca="false">IF(CK591="N",BX591,ROUNDDOWN((J591-M591)*設定!$B$15/1000,0))</f>
        <v>0</v>
      </c>
      <c r="BQ591" s="31" t="n">
        <f aca="false">ROUNDDOWN((J591-M591)*設定!$C$15/1000,0)</f>
        <v>0</v>
      </c>
      <c r="BR591" s="31" t="n">
        <f aca="false">O591+P591</f>
        <v>0</v>
      </c>
      <c r="BS591" s="31" t="n">
        <f aca="false">T591+U591+V591</f>
        <v>0</v>
      </c>
      <c r="BT591" s="31" t="n">
        <f aca="false">Q591</f>
        <v>0</v>
      </c>
      <c r="BU591" s="31" t="n">
        <f aca="false">W591</f>
        <v>0</v>
      </c>
      <c r="BV591" s="31" t="n">
        <f aca="false">R591</f>
        <v>0</v>
      </c>
      <c r="BW591" s="31" t="n">
        <f aca="false">X591</f>
        <v>0</v>
      </c>
      <c r="BX591" s="31" t="n">
        <f aca="false">S591</f>
        <v>0</v>
      </c>
      <c r="BY591" s="31" t="n">
        <f aca="false">Y591</f>
        <v>0</v>
      </c>
      <c r="BZ591" s="32" t="n">
        <f aca="false">IF(BJ591=0,IF(BR591=0,0,1),(BR591-BJ591)/BJ591)</f>
        <v>0</v>
      </c>
      <c r="CA591" s="32" t="n">
        <f aca="false">IF(BK591=0,IF(BS591=0,0,1),(BS591-BK591)/BK591)</f>
        <v>0</v>
      </c>
      <c r="CB591" s="32" t="n">
        <f aca="false">IF(BL591=0,IF(BT591=0,0,1),(BT591-BL591)/BL591)</f>
        <v>0</v>
      </c>
      <c r="CC591" s="32" t="n">
        <f aca="false">IF(BM591=0,IF(BU591=0,0,1),(BU591-BM591)/BM591)</f>
        <v>0</v>
      </c>
      <c r="CD591" s="32" t="n">
        <f aca="false">IF(BN591=0,IF(BV591=0,0,1),(BV591-BN591)/BN591)</f>
        <v>0</v>
      </c>
      <c r="CE591" s="32" t="n">
        <f aca="false">IF(BO591=0,IF(BW591=0,0,1),(BW591-BO591)/BO591)</f>
        <v>0</v>
      </c>
      <c r="CF591" s="32" t="n">
        <f aca="false">IF(BP591=0,IF(BX591=0,0,1),(BX591-BP591)/BP591)</f>
        <v>0</v>
      </c>
      <c r="CG591" s="32" t="n">
        <f aca="false">IF(BQ591=0,IF(BY591=0,0,1),(BY591-BQ591)/BQ591)</f>
        <v>0</v>
      </c>
      <c r="CH591" s="32" t="n">
        <f aca="false">MAX(MAX(BZ591:CG591),-MIN(BZ591:CG591))</f>
        <v>-0</v>
      </c>
      <c r="CI591" s="31" t="n">
        <f aca="false">IF(CO591="","",SUMIFS($CJ$7:$CJ$696,$A$7:$A$696,CO591,$B$7:$B$696,B591))</f>
        <v>181846</v>
      </c>
      <c r="CJ591" s="31" t="n">
        <f aca="false">SUM(AY591:BI591)</f>
        <v>181846</v>
      </c>
      <c r="CK591" s="31" t="str">
        <f aca="false">IFERROR(INDEX(設定!$F$61:$F$106,MATCH(B591,設定!$B$61:$B$106,0)),"Y")</f>
        <v>Y</v>
      </c>
      <c r="CL591" s="31" t="str">
        <f aca="false">IFERROR(INDEX(設定!$G$61:$G$106,MATCH(B591,設定!$B$61:$B$106,0)),"外郭型")</f>
        <v>外郭型</v>
      </c>
      <c r="CM591" s="33" t="str">
        <f aca="false">A591&amp;"|"&amp;B591</f>
        <v>2027-02 月例|都市再生機構</v>
      </c>
      <c r="CN591" s="34" t="str">
        <f aca="false">IFERROR(INDEX(設定!$D$61:$D$106,MATCH(B591,設定!$B$61:$B$106,0)),"Y")</f>
        <v>Y</v>
      </c>
      <c r="CO591" s="34" t="str">
        <f aca="false">IFERROR(INDEX(設定!$D$20:$D$34,MATCH(A591,設定!$A$20:$A$34,0))&amp;"","")</f>
        <v>2027-01 月例</v>
      </c>
    </row>
    <row r="592" customFormat="false" ht="15" hidden="true" customHeight="false" outlineLevel="0" collapsed="false">
      <c r="A592" s="22" t="s">
        <v>228</v>
      </c>
      <c r="B592" s="23" t="s">
        <v>202</v>
      </c>
      <c r="C592" s="10" t="str">
        <f aca="false">IF(G592="","未受領",IF(G592="なし","報告なし",IF(AL592="○","起票済",IF(OR(AK592="○",F592="一致",F592="入金不要"),"入金確認済","受領済"))))</f>
        <v>未受領</v>
      </c>
      <c r="D592" s="10" t="str">
        <f aca="false">IF(OR(G592="",G592="なし"),"―",IF(CN592="N","対象外",IF(AND(I592="",J592="",K592=""),"標報未入力",IF(CH592&gt;=設定!$B$4,"要確認","問題なし"))))</f>
        <v>―</v>
      </c>
      <c r="E592" s="24" t="str">
        <f aca="false">IF(OR(G592="",G592="なし",CI592="",CJ592=0),"―",IF(CJ592=CI592,"前月同額",IF(CI592=0,"―",IF(ABS(CJ592/CI592-1)&gt;=設定!$B$5,"変動大 "&amp;TEXT(CJ592/CI592-1,"+0%;-0%"),"〇"))))</f>
        <v>―</v>
      </c>
      <c r="F592" s="10" t="str">
        <f aca="false">IF(OR(G592="",G592="なし"),"―",IF(CJ592=0,"入金不要",IF(COUNT(AD592,AF592,AH592,AJ592)=0,IF(AK592="○","手動確認","未入金"),IF(AND(N(AD592)=AC592,IF(AE592="",TRUE(),N(AF592)=AE592),IF(AG592="",TRUE(),N(AH592)=AG592),IF(AI592="",TRUE(),N(AJ592)=AI592)),"一致","不一致"))))</f>
        <v>―</v>
      </c>
      <c r="G592" s="25"/>
      <c r="H592" s="26"/>
      <c r="I592" s="27"/>
      <c r="J592" s="27"/>
      <c r="K592" s="27"/>
      <c r="L592" s="27"/>
      <c r="M592" s="27"/>
      <c r="N592" s="27"/>
      <c r="O592" s="27"/>
      <c r="P592" s="27"/>
      <c r="Q592" s="27"/>
      <c r="R592" s="27"/>
      <c r="S592" s="27"/>
      <c r="T592" s="27"/>
      <c r="U592" s="27"/>
      <c r="V592" s="27"/>
      <c r="W592" s="27"/>
      <c r="X592" s="27"/>
      <c r="Y592" s="27"/>
      <c r="Z592" s="27"/>
      <c r="AA592" s="10" t="str">
        <f aca="false">IFERROR(INDEX(設定!$E$61:$E$106,MATCH(B592,設定!$B$61:$B$106,0)),"合算")</f>
        <v>合算</v>
      </c>
      <c r="AB592" s="28"/>
      <c r="AC592" s="29" t="str">
        <f aca="false">IF(OR(G592="",G592="なし"),"",IF(AA592="合算",CJ592+N(Z592),IF(AA592="掛金・負担金別",(AY592+AZ592+BD592+BF592+BH592),SUM(AY592:BC592))))</f>
        <v/>
      </c>
      <c r="AD592" s="27"/>
      <c r="AE592" s="29" t="str">
        <f aca="false">IF(OR(G592="",G592="なし"),"",IF(AA592="掛金・負担金別",(BA592+BB592+BC592+BE592+BG592+BI592+N(Z592)),IF(AA592="経理区分別",BD592+BE592,"")))</f>
        <v/>
      </c>
      <c r="AF592" s="27"/>
      <c r="AG592" s="29" t="str">
        <f aca="false">IF(OR(G592="",G592="なし"),"",IF(AA592="経理区分別",BF592+BG592,""))</f>
        <v/>
      </c>
      <c r="AH592" s="27"/>
      <c r="AI592" s="29" t="str">
        <f aca="false">IF(OR(G592="",G592="なし"),"",IF(AA592="経理区分別",BH592+BI592+N(Z592),""))</f>
        <v/>
      </c>
      <c r="AJ592" s="27"/>
      <c r="AK592" s="26"/>
      <c r="AL592" s="26"/>
      <c r="AM592" s="30"/>
      <c r="AN592" s="31" t="n">
        <v>1197735</v>
      </c>
      <c r="AO592" s="31" t="n">
        <v>98175</v>
      </c>
      <c r="AP592" s="31" t="n">
        <v>1197735</v>
      </c>
      <c r="AQ592" s="31" t="n">
        <v>98175</v>
      </c>
      <c r="AR592" s="31" t="n">
        <v>1340</v>
      </c>
      <c r="AS592" s="31" t="n">
        <v>720070</v>
      </c>
      <c r="AT592" s="31" t="n">
        <v>721509</v>
      </c>
      <c r="AU592" s="31" t="n">
        <v>67940</v>
      </c>
      <c r="AV592" s="31" t="n">
        <v>67940</v>
      </c>
      <c r="AW592" s="31" t="n">
        <v>1</v>
      </c>
      <c r="AX592" s="31" t="n">
        <v>1</v>
      </c>
      <c r="AY592" s="31" t="n">
        <f aca="false">IF($G592="",AN592,O592)</f>
        <v>1197735</v>
      </c>
      <c r="AZ592" s="31" t="n">
        <f aca="false">IF($G592="",AO592,P592)</f>
        <v>98175</v>
      </c>
      <c r="BA592" s="31" t="n">
        <f aca="false">IF($G592="",AP592,T592)</f>
        <v>1197735</v>
      </c>
      <c r="BB592" s="31" t="n">
        <f aca="false">IF($G592="",AQ592,U592)</f>
        <v>98175</v>
      </c>
      <c r="BC592" s="31" t="n">
        <f aca="false">IF($G592="",AR592,V592)</f>
        <v>1340</v>
      </c>
      <c r="BD592" s="31" t="n">
        <f aca="false">IF($G592="",AS592,Q592)</f>
        <v>720070</v>
      </c>
      <c r="BE592" s="31" t="n">
        <f aca="false">IF($G592="",AT592,W592)</f>
        <v>721509</v>
      </c>
      <c r="BF592" s="31" t="n">
        <f aca="false">IF($G592="",AU592,R592)</f>
        <v>67940</v>
      </c>
      <c r="BG592" s="31" t="n">
        <f aca="false">IF($G592="",AV592,X592)</f>
        <v>67940</v>
      </c>
      <c r="BH592" s="31" t="n">
        <f aca="false">IF($G592="",AW592,S592)</f>
        <v>1</v>
      </c>
      <c r="BI592" s="31" t="n">
        <f aca="false">IF($G592="",AX592,Y592)</f>
        <v>1</v>
      </c>
      <c r="BJ592" s="31" t="n">
        <f aca="false">IF(CK592="N",BR592,ROUNDDOWN((I592-L592)*設定!$B$10/1000,0)+ROUNDDOWN((I592-L592)*設定!$B$11/1000,0))</f>
        <v>0</v>
      </c>
      <c r="BK592" s="31" t="n">
        <f aca="false">ROUNDDOWN((I592-L592)*設定!$C$10/1000,0)+ROUNDDOWN((I592-L592)*設定!$C$11/1000,0)+ROUNDDOWN(I592*設定!$C$12/1000,0)+IF(CL592="市局型",ROUNDDOWN(I592*設定!$C$16/1000,0),0)</f>
        <v>0</v>
      </c>
      <c r="BL592" s="31" t="n">
        <f aca="false">IF(CK592="N",BT592,ROUNDDOWN((J592-M592)*設定!$B$13/1000,0))</f>
        <v>0</v>
      </c>
      <c r="BM592" s="31" t="n">
        <f aca="false">ROUNDDOWN((J592-M592)*設定!$C$13/1000,0)+IF(CL592="市局型",ROUNDDOWN(J592*設定!$C$17/1000,0),0)</f>
        <v>0</v>
      </c>
      <c r="BN592" s="31" t="n">
        <f aca="false">IF(CK592="N",BV592,ROUNDDOWN((K592-N592)*設定!$B$14/1000,0))</f>
        <v>0</v>
      </c>
      <c r="BO592" s="31" t="n">
        <f aca="false">ROUNDDOWN((K592-N592)*設定!$C$14/1000,0)</f>
        <v>0</v>
      </c>
      <c r="BP592" s="31" t="n">
        <f aca="false">IF(CK592="N",BX592,ROUNDDOWN((J592-M592)*設定!$B$15/1000,0))</f>
        <v>0</v>
      </c>
      <c r="BQ592" s="31" t="n">
        <f aca="false">ROUNDDOWN((J592-M592)*設定!$C$15/1000,0)</f>
        <v>0</v>
      </c>
      <c r="BR592" s="31" t="n">
        <f aca="false">O592+P592</f>
        <v>0</v>
      </c>
      <c r="BS592" s="31" t="n">
        <f aca="false">T592+U592+V592</f>
        <v>0</v>
      </c>
      <c r="BT592" s="31" t="n">
        <f aca="false">Q592</f>
        <v>0</v>
      </c>
      <c r="BU592" s="31" t="n">
        <f aca="false">W592</f>
        <v>0</v>
      </c>
      <c r="BV592" s="31" t="n">
        <f aca="false">R592</f>
        <v>0</v>
      </c>
      <c r="BW592" s="31" t="n">
        <f aca="false">X592</f>
        <v>0</v>
      </c>
      <c r="BX592" s="31" t="n">
        <f aca="false">S592</f>
        <v>0</v>
      </c>
      <c r="BY592" s="31" t="n">
        <f aca="false">Y592</f>
        <v>0</v>
      </c>
      <c r="BZ592" s="32" t="n">
        <f aca="false">IF(BJ592=0,IF(BR592=0,0,1),(BR592-BJ592)/BJ592)</f>
        <v>0</v>
      </c>
      <c r="CA592" s="32" t="n">
        <f aca="false">IF(BK592=0,IF(BS592=0,0,1),(BS592-BK592)/BK592)</f>
        <v>0</v>
      </c>
      <c r="CB592" s="32" t="n">
        <f aca="false">IF(BL592=0,IF(BT592=0,0,1),(BT592-BL592)/BL592)</f>
        <v>0</v>
      </c>
      <c r="CC592" s="32" t="n">
        <f aca="false">IF(BM592=0,IF(BU592=0,0,1),(BU592-BM592)/BM592)</f>
        <v>0</v>
      </c>
      <c r="CD592" s="32" t="n">
        <f aca="false">IF(BN592=0,IF(BV592=0,0,1),(BV592-BN592)/BN592)</f>
        <v>0</v>
      </c>
      <c r="CE592" s="32" t="n">
        <f aca="false">IF(BO592=0,IF(BW592=0,0,1),(BW592-BO592)/BO592)</f>
        <v>0</v>
      </c>
      <c r="CF592" s="32" t="n">
        <f aca="false">IF(BP592=0,IF(BX592=0,0,1),(BX592-BP592)/BP592)</f>
        <v>0</v>
      </c>
      <c r="CG592" s="32" t="n">
        <f aca="false">IF(BQ592=0,IF(BY592=0,0,1),(BY592-BQ592)/BQ592)</f>
        <v>0</v>
      </c>
      <c r="CH592" s="32" t="n">
        <f aca="false">MAX(MAX(BZ592:CG592),-MIN(BZ592:CG592))</f>
        <v>-0</v>
      </c>
      <c r="CI592" s="31" t="n">
        <f aca="false">IF(CO592="","",SUMIFS($CJ$7:$CJ$696,$A$7:$A$696,CO592,$B$7:$B$696,B592))</f>
        <v>4170621</v>
      </c>
      <c r="CJ592" s="31" t="n">
        <f aca="false">SUM(AY592:BI592)</f>
        <v>4170621</v>
      </c>
      <c r="CK592" s="31" t="str">
        <f aca="false">IFERROR(INDEX(設定!$F$61:$F$106,MATCH(B592,設定!$B$61:$B$106,0)),"Y")</f>
        <v>Y</v>
      </c>
      <c r="CL592" s="31" t="str">
        <f aca="false">IFERROR(INDEX(設定!$G$61:$G$106,MATCH(B592,設定!$B$61:$B$106,0)),"外郭型")</f>
        <v>外郭型</v>
      </c>
      <c r="CM592" s="33" t="str">
        <f aca="false">A592&amp;"|"&amp;B592</f>
        <v>2027-02 月例|広島市立大学</v>
      </c>
      <c r="CN592" s="34" t="str">
        <f aca="false">IFERROR(INDEX(設定!$D$61:$D$106,MATCH(B592,設定!$B$61:$B$106,0)),"Y")</f>
        <v>Y</v>
      </c>
      <c r="CO592" s="34" t="str">
        <f aca="false">IFERROR(INDEX(設定!$D$20:$D$34,MATCH(A592,設定!$A$20:$A$34,0))&amp;"","")</f>
        <v>2027-01 月例</v>
      </c>
    </row>
    <row r="593" customFormat="false" ht="15" hidden="true" customHeight="false" outlineLevel="0" collapsed="false">
      <c r="A593" s="22" t="s">
        <v>228</v>
      </c>
      <c r="B593" s="23" t="s">
        <v>203</v>
      </c>
      <c r="C593" s="10" t="str">
        <f aca="false">IF(G593="","未受領",IF(G593="なし","報告なし",IF(AL593="○","起票済",IF(OR(AK593="○",F593="一致",F593="入金不要"),"入金確認済","受領済"))))</f>
        <v>未受領</v>
      </c>
      <c r="D593" s="10" t="str">
        <f aca="false">IF(OR(G593="",G593="なし"),"―",IF(CN593="N","対象外",IF(AND(I593="",J593="",K593=""),"標報未入力",IF(CH593&gt;=設定!$B$4,"要確認","問題なし"))))</f>
        <v>―</v>
      </c>
      <c r="E593" s="24" t="str">
        <f aca="false">IF(OR(G593="",G593="なし",CI593="",CJ593=0),"―",IF(CJ593=CI593,"前月同額",IF(CI593=0,"―",IF(ABS(CJ593/CI593-1)&gt;=設定!$B$5,"変動大 "&amp;TEXT(CJ593/CI593-1,"+0%;-0%"),"〇"))))</f>
        <v>―</v>
      </c>
      <c r="F593" s="10" t="str">
        <f aca="false">IF(OR(G593="",G593="なし"),"―",IF(CJ593=0,"入金不要",IF(COUNT(AD593,AF593,AH593,AJ593)=0,IF(AK593="○","手動確認","未入金"),IF(AND(N(AD593)=AC593,IF(AE593="",TRUE(),N(AF593)=AE593),IF(AG593="",TRUE(),N(AH593)=AG593),IF(AI593="",TRUE(),N(AJ593)=AI593)),"一致","不一致"))))</f>
        <v>―</v>
      </c>
      <c r="G593" s="25"/>
      <c r="H593" s="26"/>
      <c r="I593" s="27"/>
      <c r="J593" s="27"/>
      <c r="K593" s="27"/>
      <c r="L593" s="27"/>
      <c r="M593" s="27"/>
      <c r="N593" s="27"/>
      <c r="O593" s="27"/>
      <c r="P593" s="27"/>
      <c r="Q593" s="27"/>
      <c r="R593" s="27"/>
      <c r="S593" s="27"/>
      <c r="T593" s="27"/>
      <c r="U593" s="27"/>
      <c r="V593" s="27"/>
      <c r="W593" s="27"/>
      <c r="X593" s="27"/>
      <c r="Y593" s="27"/>
      <c r="Z593" s="27"/>
      <c r="AA593" s="10" t="str">
        <f aca="false">IFERROR(INDEX(設定!$E$61:$E$106,MATCH(B593,設定!$B$61:$B$106,0)),"合算")</f>
        <v>合算</v>
      </c>
      <c r="AB593" s="28"/>
      <c r="AC593" s="29" t="str">
        <f aca="false">IF(OR(G593="",G593="なし"),"",IF(AA593="合算",CJ593+N(Z593),IF(AA593="掛金・負担金別",(AY593+AZ593+BD593+BF593+BH593),SUM(AY593:BC593))))</f>
        <v/>
      </c>
      <c r="AD593" s="27"/>
      <c r="AE593" s="29" t="str">
        <f aca="false">IF(OR(G593="",G593="なし"),"",IF(AA593="掛金・負担金別",(BA593+BB593+BC593+BE593+BG593+BI593+N(Z593)),IF(AA593="経理区分別",BD593+BE593,"")))</f>
        <v/>
      </c>
      <c r="AF593" s="27"/>
      <c r="AG593" s="29" t="str">
        <f aca="false">IF(OR(G593="",G593="なし"),"",IF(AA593="経理区分別",BF593+BG593,""))</f>
        <v/>
      </c>
      <c r="AH593" s="27"/>
      <c r="AI593" s="29" t="str">
        <f aca="false">IF(OR(G593="",G593="なし"),"",IF(AA593="経理区分別",BH593+BI593+N(Z593),""))</f>
        <v/>
      </c>
      <c r="AJ593" s="27"/>
      <c r="AK593" s="26"/>
      <c r="AL593" s="26"/>
      <c r="AM593" s="30"/>
      <c r="AN593" s="31"/>
      <c r="AO593" s="31"/>
      <c r="AP593" s="31" t="n">
        <v>245220</v>
      </c>
      <c r="AQ593" s="31" t="n">
        <v>20100</v>
      </c>
      <c r="AR593" s="31" t="n">
        <v>251</v>
      </c>
      <c r="AS593" s="31"/>
      <c r="AT593" s="31" t="n">
        <v>151001</v>
      </c>
      <c r="AU593" s="31"/>
      <c r="AV593" s="31" t="n">
        <v>10744</v>
      </c>
      <c r="AW593" s="31"/>
      <c r="AX593" s="31" t="n">
        <v>1</v>
      </c>
      <c r="AY593" s="31" t="n">
        <f aca="false">IF($G593="",AN593,O593)</f>
        <v>0</v>
      </c>
      <c r="AZ593" s="31" t="n">
        <f aca="false">IF($G593="",AO593,P593)</f>
        <v>0</v>
      </c>
      <c r="BA593" s="31" t="n">
        <f aca="false">IF($G593="",AP593,T593)</f>
        <v>245220</v>
      </c>
      <c r="BB593" s="31" t="n">
        <f aca="false">IF($G593="",AQ593,U593)</f>
        <v>20100</v>
      </c>
      <c r="BC593" s="31" t="n">
        <f aca="false">IF($G593="",AR593,V593)</f>
        <v>251</v>
      </c>
      <c r="BD593" s="31" t="n">
        <f aca="false">IF($G593="",AS593,Q593)</f>
        <v>0</v>
      </c>
      <c r="BE593" s="31" t="n">
        <f aca="false">IF($G593="",AT593,W593)</f>
        <v>151001</v>
      </c>
      <c r="BF593" s="31" t="n">
        <f aca="false">IF($G593="",AU593,R593)</f>
        <v>0</v>
      </c>
      <c r="BG593" s="31" t="n">
        <f aca="false">IF($G593="",AV593,X593)</f>
        <v>10744</v>
      </c>
      <c r="BH593" s="31" t="n">
        <f aca="false">IF($G593="",AW593,S593)</f>
        <v>0</v>
      </c>
      <c r="BI593" s="31" t="n">
        <f aca="false">IF($G593="",AX593,Y593)</f>
        <v>1</v>
      </c>
      <c r="BJ593" s="31" t="n">
        <f aca="false">IF(CK593="N",BR593,ROUNDDOWN((I593-L593)*設定!$B$10/1000,0)+ROUNDDOWN((I593-L593)*設定!$B$11/1000,0))</f>
        <v>0</v>
      </c>
      <c r="BK593" s="31" t="n">
        <f aca="false">ROUNDDOWN((I593-L593)*設定!$C$10/1000,0)+ROUNDDOWN((I593-L593)*設定!$C$11/1000,0)+ROUNDDOWN(I593*設定!$C$12/1000,0)+IF(CL593="市局型",ROUNDDOWN(I593*設定!$C$16/1000,0),0)</f>
        <v>0</v>
      </c>
      <c r="BL593" s="31" t="n">
        <f aca="false">IF(CK593="N",BT593,ROUNDDOWN((J593-M593)*設定!$B$13/1000,0))</f>
        <v>0</v>
      </c>
      <c r="BM593" s="31" t="n">
        <f aca="false">ROUNDDOWN((J593-M593)*設定!$C$13/1000,0)+IF(CL593="市局型",ROUNDDOWN(J593*設定!$C$17/1000,0),0)</f>
        <v>0</v>
      </c>
      <c r="BN593" s="31" t="n">
        <f aca="false">IF(CK593="N",BV593,ROUNDDOWN((K593-N593)*設定!$B$14/1000,0))</f>
        <v>0</v>
      </c>
      <c r="BO593" s="31" t="n">
        <f aca="false">ROUNDDOWN((K593-N593)*設定!$C$14/1000,0)</f>
        <v>0</v>
      </c>
      <c r="BP593" s="31" t="n">
        <f aca="false">IF(CK593="N",BX593,ROUNDDOWN((J593-M593)*設定!$B$15/1000,0))</f>
        <v>0</v>
      </c>
      <c r="BQ593" s="31" t="n">
        <f aca="false">ROUNDDOWN((J593-M593)*設定!$C$15/1000,0)</f>
        <v>0</v>
      </c>
      <c r="BR593" s="31" t="n">
        <f aca="false">O593+P593</f>
        <v>0</v>
      </c>
      <c r="BS593" s="31" t="n">
        <f aca="false">T593+U593+V593</f>
        <v>0</v>
      </c>
      <c r="BT593" s="31" t="n">
        <f aca="false">Q593</f>
        <v>0</v>
      </c>
      <c r="BU593" s="31" t="n">
        <f aca="false">W593</f>
        <v>0</v>
      </c>
      <c r="BV593" s="31" t="n">
        <f aca="false">R593</f>
        <v>0</v>
      </c>
      <c r="BW593" s="31" t="n">
        <f aca="false">X593</f>
        <v>0</v>
      </c>
      <c r="BX593" s="31" t="n">
        <f aca="false">S593</f>
        <v>0</v>
      </c>
      <c r="BY593" s="31" t="n">
        <f aca="false">Y593</f>
        <v>0</v>
      </c>
      <c r="BZ593" s="32" t="n">
        <f aca="false">IF(BJ593=0,IF(BR593=0,0,1),(BR593-BJ593)/BJ593)</f>
        <v>0</v>
      </c>
      <c r="CA593" s="32" t="n">
        <f aca="false">IF(BK593=0,IF(BS593=0,0,1),(BS593-BK593)/BK593)</f>
        <v>0</v>
      </c>
      <c r="CB593" s="32" t="n">
        <f aca="false">IF(BL593=0,IF(BT593=0,0,1),(BT593-BL593)/BL593)</f>
        <v>0</v>
      </c>
      <c r="CC593" s="32" t="n">
        <f aca="false">IF(BM593=0,IF(BU593=0,0,1),(BU593-BM593)/BM593)</f>
        <v>0</v>
      </c>
      <c r="CD593" s="32" t="n">
        <f aca="false">IF(BN593=0,IF(BV593=0,0,1),(BV593-BN593)/BN593)</f>
        <v>0</v>
      </c>
      <c r="CE593" s="32" t="n">
        <f aca="false">IF(BO593=0,IF(BW593=0,0,1),(BW593-BO593)/BO593)</f>
        <v>0</v>
      </c>
      <c r="CF593" s="32" t="n">
        <f aca="false">IF(BP593=0,IF(BX593=0,0,1),(BX593-BP593)/BP593)</f>
        <v>0</v>
      </c>
      <c r="CG593" s="32" t="n">
        <f aca="false">IF(BQ593=0,IF(BY593=0,0,1),(BY593-BQ593)/BQ593)</f>
        <v>0</v>
      </c>
      <c r="CH593" s="32" t="n">
        <f aca="false">MAX(MAX(BZ593:CG593),-MIN(BZ593:CG593))</f>
        <v>-0</v>
      </c>
      <c r="CI593" s="31" t="n">
        <f aca="false">IF(CO593="","",SUMIFS($CJ$7:$CJ$696,$A$7:$A$696,CO593,$B$7:$B$696,B593))</f>
        <v>427317</v>
      </c>
      <c r="CJ593" s="31" t="n">
        <f aca="false">SUM(AY593:BI593)</f>
        <v>427317</v>
      </c>
      <c r="CK593" s="31" t="str">
        <f aca="false">IFERROR(INDEX(設定!$F$61:$F$106,MATCH(B593,設定!$B$61:$B$106,0)),"Y")</f>
        <v>N</v>
      </c>
      <c r="CL593" s="31" t="str">
        <f aca="false">IFERROR(INDEX(設定!$G$61:$G$106,MATCH(B593,設定!$B$61:$B$106,0)),"外郭型")</f>
        <v>外郭型</v>
      </c>
      <c r="CM593" s="33" t="str">
        <f aca="false">A593&amp;"|"&amp;B593</f>
        <v>2027-02 月例|社会福祉協議会</v>
      </c>
      <c r="CN593" s="34" t="str">
        <f aca="false">IFERROR(INDEX(設定!$D$61:$D$106,MATCH(B593,設定!$B$61:$B$106,0)),"Y")</f>
        <v>Y</v>
      </c>
      <c r="CO593" s="34" t="str">
        <f aca="false">IFERROR(INDEX(設定!$D$20:$D$34,MATCH(A593,設定!$A$20:$A$34,0))&amp;"","")</f>
        <v>2027-01 月例</v>
      </c>
    </row>
    <row r="594" customFormat="false" ht="15" hidden="true" customHeight="false" outlineLevel="0" collapsed="false">
      <c r="A594" s="22" t="s">
        <v>228</v>
      </c>
      <c r="B594" s="23" t="s">
        <v>204</v>
      </c>
      <c r="C594" s="10" t="str">
        <f aca="false">IF(G594="","未受領",IF(G594="なし","報告なし",IF(AL594="○","起票済",IF(OR(AK594="○",F594="一致",F594="入金不要"),"入金確認済","受領済"))))</f>
        <v>未受領</v>
      </c>
      <c r="D594" s="10" t="str">
        <f aca="false">IF(OR(G594="",G594="なし"),"―",IF(CN594="N","対象外",IF(AND(I594="",J594="",K594=""),"標報未入力",IF(CH594&gt;=設定!$B$4,"要確認","問題なし"))))</f>
        <v>―</v>
      </c>
      <c r="E594" s="24" t="str">
        <f aca="false">IF(OR(G594="",G594="なし",CI594="",CJ594=0),"―",IF(CJ594=CI594,"前月同額",IF(CI594=0,"―",IF(ABS(CJ594/CI594-1)&gt;=設定!$B$5,"変動大 "&amp;TEXT(CJ594/CI594-1,"+0%;-0%"),"〇"))))</f>
        <v>―</v>
      </c>
      <c r="F594" s="10" t="str">
        <f aca="false">IF(OR(G594="",G594="なし"),"―",IF(CJ594=0,"入金不要",IF(COUNT(AD594,AF594,AH594,AJ594)=0,IF(AK594="○","手動確認","未入金"),IF(AND(N(AD594)=AC594,IF(AE594="",TRUE(),N(AF594)=AE594),IF(AG594="",TRUE(),N(AH594)=AG594),IF(AI594="",TRUE(),N(AJ594)=AI594)),"一致","不一致"))))</f>
        <v>―</v>
      </c>
      <c r="G594" s="25"/>
      <c r="H594" s="26"/>
      <c r="I594" s="27"/>
      <c r="J594" s="27"/>
      <c r="K594" s="27"/>
      <c r="L594" s="27"/>
      <c r="M594" s="27"/>
      <c r="N594" s="27"/>
      <c r="O594" s="27"/>
      <c r="P594" s="27"/>
      <c r="Q594" s="27"/>
      <c r="R594" s="27"/>
      <c r="S594" s="27"/>
      <c r="T594" s="27"/>
      <c r="U594" s="27"/>
      <c r="V594" s="27"/>
      <c r="W594" s="27"/>
      <c r="X594" s="27"/>
      <c r="Y594" s="27"/>
      <c r="Z594" s="27"/>
      <c r="AA594" s="10" t="str">
        <f aca="false">IFERROR(INDEX(設定!$E$61:$E$106,MATCH(B594,設定!$B$61:$B$106,0)),"合算")</f>
        <v>合算</v>
      </c>
      <c r="AB594" s="28"/>
      <c r="AC594" s="29" t="str">
        <f aca="false">IF(OR(G594="",G594="なし"),"",IF(AA594="合算",CJ594+N(Z594),IF(AA594="掛金・負担金別",(AY594+AZ594+BD594+BF594+BH594),SUM(AY594:BC594))))</f>
        <v/>
      </c>
      <c r="AD594" s="27"/>
      <c r="AE594" s="29" t="str">
        <f aca="false">IF(OR(G594="",G594="なし"),"",IF(AA594="掛金・負担金別",(BA594+BB594+BC594+BE594+BG594+BI594+N(Z594)),IF(AA594="経理区分別",BD594+BE594,"")))</f>
        <v/>
      </c>
      <c r="AF594" s="27"/>
      <c r="AG594" s="29" t="str">
        <f aca="false">IF(OR(G594="",G594="なし"),"",IF(AA594="経理区分別",BF594+BG594,""))</f>
        <v/>
      </c>
      <c r="AH594" s="27"/>
      <c r="AI594" s="29" t="str">
        <f aca="false">IF(OR(G594="",G594="なし"),"",IF(AA594="経理区分別",BH594+BI594+N(Z594),""))</f>
        <v/>
      </c>
      <c r="AJ594" s="27"/>
      <c r="AK594" s="26"/>
      <c r="AL594" s="26"/>
      <c r="AM594" s="30"/>
      <c r="AN594" s="31" t="n">
        <v>123538633</v>
      </c>
      <c r="AO594" s="31" t="n">
        <v>10126117</v>
      </c>
      <c r="AP594" s="31" t="n">
        <v>183046981</v>
      </c>
      <c r="AQ594" s="31" t="n">
        <v>10126117</v>
      </c>
      <c r="AR594" s="31" t="n">
        <v>134539</v>
      </c>
      <c r="AS594" s="31" t="n">
        <v>96329864</v>
      </c>
      <c r="AT594" s="31" t="n">
        <v>96517913</v>
      </c>
      <c r="AU594" s="31" t="n">
        <v>7858664</v>
      </c>
      <c r="AV594" s="31" t="n">
        <v>7858664</v>
      </c>
      <c r="AW594" s="31" t="n">
        <v>1</v>
      </c>
      <c r="AX594" s="31" t="n">
        <v>1</v>
      </c>
      <c r="AY594" s="31" t="n">
        <f aca="false">IF($G594="",AN594,O594)</f>
        <v>123538633</v>
      </c>
      <c r="AZ594" s="31" t="n">
        <f aca="false">IF($G594="",AO594,P594)</f>
        <v>10126117</v>
      </c>
      <c r="BA594" s="31" t="n">
        <f aca="false">IF($G594="",AP594,T594)</f>
        <v>183046981</v>
      </c>
      <c r="BB594" s="31" t="n">
        <f aca="false">IF($G594="",AQ594,U594)</f>
        <v>10126117</v>
      </c>
      <c r="BC594" s="31" t="n">
        <f aca="false">IF($G594="",AR594,V594)</f>
        <v>134539</v>
      </c>
      <c r="BD594" s="31" t="n">
        <f aca="false">IF($G594="",AS594,Q594)</f>
        <v>96329864</v>
      </c>
      <c r="BE594" s="31" t="n">
        <f aca="false">IF($G594="",AT594,W594)</f>
        <v>96517913</v>
      </c>
      <c r="BF594" s="31" t="n">
        <f aca="false">IF($G594="",AU594,R594)</f>
        <v>7858664</v>
      </c>
      <c r="BG594" s="31" t="n">
        <f aca="false">IF($G594="",AV594,X594)</f>
        <v>7858664</v>
      </c>
      <c r="BH594" s="31" t="n">
        <f aca="false">IF($G594="",AW594,S594)</f>
        <v>1</v>
      </c>
      <c r="BI594" s="31" t="n">
        <f aca="false">IF($G594="",AX594,Y594)</f>
        <v>1</v>
      </c>
      <c r="BJ594" s="31" t="n">
        <f aca="false">IF(CK594="N",BR594,ROUNDDOWN((I594-L594)*設定!$B$10/1000,0)+ROUNDDOWN((I594-L594)*設定!$B$11/1000,0))</f>
        <v>0</v>
      </c>
      <c r="BK594" s="31" t="n">
        <f aca="false">ROUNDDOWN((I594-L594)*設定!$C$10/1000,0)+ROUNDDOWN((I594-L594)*設定!$C$11/1000,0)+ROUNDDOWN(I594*設定!$C$12/1000,0)+IF(CL594="市局型",ROUNDDOWN(I594*設定!$C$16/1000,0),0)</f>
        <v>0</v>
      </c>
      <c r="BL594" s="31" t="n">
        <f aca="false">IF(CK594="N",BT594,ROUNDDOWN((J594-M594)*設定!$B$13/1000,0))</f>
        <v>0</v>
      </c>
      <c r="BM594" s="31" t="n">
        <f aca="false">ROUNDDOWN((J594-M594)*設定!$C$13/1000,0)+IF(CL594="市局型",ROUNDDOWN(J594*設定!$C$17/1000,0),0)</f>
        <v>0</v>
      </c>
      <c r="BN594" s="31" t="n">
        <f aca="false">IF(CK594="N",BV594,ROUNDDOWN((K594-N594)*設定!$B$14/1000,0))</f>
        <v>0</v>
      </c>
      <c r="BO594" s="31" t="n">
        <f aca="false">ROUNDDOWN((K594-N594)*設定!$C$14/1000,0)</f>
        <v>0</v>
      </c>
      <c r="BP594" s="31" t="n">
        <f aca="false">IF(CK594="N",BX594,ROUNDDOWN((J594-M594)*設定!$B$15/1000,0))</f>
        <v>0</v>
      </c>
      <c r="BQ594" s="31" t="n">
        <f aca="false">ROUNDDOWN((J594-M594)*設定!$C$15/1000,0)</f>
        <v>0</v>
      </c>
      <c r="BR594" s="31" t="n">
        <f aca="false">O594+P594</f>
        <v>0</v>
      </c>
      <c r="BS594" s="31" t="n">
        <f aca="false">T594+U594+V594</f>
        <v>0</v>
      </c>
      <c r="BT594" s="31" t="n">
        <f aca="false">Q594</f>
        <v>0</v>
      </c>
      <c r="BU594" s="31" t="n">
        <f aca="false">W594</f>
        <v>0</v>
      </c>
      <c r="BV594" s="31" t="n">
        <f aca="false">R594</f>
        <v>0</v>
      </c>
      <c r="BW594" s="31" t="n">
        <f aca="false">X594</f>
        <v>0</v>
      </c>
      <c r="BX594" s="31" t="n">
        <f aca="false">S594</f>
        <v>0</v>
      </c>
      <c r="BY594" s="31" t="n">
        <f aca="false">Y594</f>
        <v>0</v>
      </c>
      <c r="BZ594" s="32" t="n">
        <f aca="false">IF(BJ594=0,IF(BR594=0,0,1),(BR594-BJ594)/BJ594)</f>
        <v>0</v>
      </c>
      <c r="CA594" s="32" t="n">
        <f aca="false">IF(BK594=0,IF(BS594=0,0,1),(BS594-BK594)/BK594)</f>
        <v>0</v>
      </c>
      <c r="CB594" s="32" t="n">
        <f aca="false">IF(BL594=0,IF(BT594=0,0,1),(BT594-BL594)/BL594)</f>
        <v>0</v>
      </c>
      <c r="CC594" s="32" t="n">
        <f aca="false">IF(BM594=0,IF(BU594=0,0,1),(BU594-BM594)/BM594)</f>
        <v>0</v>
      </c>
      <c r="CD594" s="32" t="n">
        <f aca="false">IF(BN594=0,IF(BV594=0,0,1),(BV594-BN594)/BN594)</f>
        <v>0</v>
      </c>
      <c r="CE594" s="32" t="n">
        <f aca="false">IF(BO594=0,IF(BW594=0,0,1),(BW594-BO594)/BO594)</f>
        <v>0</v>
      </c>
      <c r="CF594" s="32" t="n">
        <f aca="false">IF(BP594=0,IF(BX594=0,0,1),(BX594-BP594)/BP594)</f>
        <v>0</v>
      </c>
      <c r="CG594" s="32" t="n">
        <f aca="false">IF(BQ594=0,IF(BY594=0,0,1),(BY594-BQ594)/BQ594)</f>
        <v>0</v>
      </c>
      <c r="CH594" s="32" t="n">
        <f aca="false">MAX(MAX(BZ594:CG594),-MIN(BZ594:CG594))</f>
        <v>-0</v>
      </c>
      <c r="CI594" s="31" t="n">
        <f aca="false">IF(CO594="","",SUMIFS($CJ$7:$CJ$696,$A$7:$A$696,CO594,$B$7:$B$696,B594))</f>
        <v>537611073</v>
      </c>
      <c r="CJ594" s="31" t="n">
        <f aca="false">SUM(AY594:BI594)</f>
        <v>535537494</v>
      </c>
      <c r="CK594" s="31" t="str">
        <f aca="false">IFERROR(INDEX(設定!$F$61:$F$106,MATCH(B594,設定!$B$61:$B$106,0)),"Y")</f>
        <v>Y</v>
      </c>
      <c r="CL594" s="31" t="str">
        <f aca="false">IFERROR(INDEX(設定!$G$61:$G$106,MATCH(B594,設定!$B$61:$B$106,0)),"外郭型")</f>
        <v>外郭型</v>
      </c>
      <c r="CM594" s="33" t="str">
        <f aca="false">A594&amp;"|"&amp;B594</f>
        <v>2027-02 月例|市立病院機構</v>
      </c>
      <c r="CN594" s="34" t="str">
        <f aca="false">IFERROR(INDEX(設定!$D$61:$D$106,MATCH(B594,設定!$B$61:$B$106,0)),"Y")</f>
        <v>N</v>
      </c>
      <c r="CO594" s="34" t="str">
        <f aca="false">IFERROR(INDEX(設定!$D$20:$D$34,MATCH(A594,設定!$A$20:$A$34,0))&amp;"","")</f>
        <v>2027-01 月例</v>
      </c>
    </row>
    <row r="595" customFormat="false" ht="15" hidden="true" customHeight="false" outlineLevel="0" collapsed="false">
      <c r="A595" s="22" t="s">
        <v>228</v>
      </c>
      <c r="B595" s="23" t="s">
        <v>205</v>
      </c>
      <c r="C595" s="10" t="str">
        <f aca="false">IF(G595="","未受領",IF(G595="なし","報告なし",IF(AL595="○","起票済",IF(OR(AK595="○",F595="一致",F595="入金不要"),"入金確認済","受領済"))))</f>
        <v>未受領</v>
      </c>
      <c r="D595" s="10" t="str">
        <f aca="false">IF(OR(G595="",G595="なし"),"―",IF(CN595="N","対象外",IF(AND(I595="",J595="",K595=""),"標報未入力",IF(CH595&gt;=設定!$B$4,"要確認","問題なし"))))</f>
        <v>―</v>
      </c>
      <c r="E595" s="24" t="str">
        <f aca="false">IF(OR(G595="",G595="なし",CI595="",CJ595=0),"―",IF(CJ595=CI595,"前月同額",IF(CI595=0,"―",IF(ABS(CJ595/CI595-1)&gt;=設定!$B$5,"変動大 "&amp;TEXT(CJ595/CI595-1,"+0%;-0%"),"〇"))))</f>
        <v>―</v>
      </c>
      <c r="F595" s="10" t="str">
        <f aca="false">IF(OR(G595="",G595="なし"),"―",IF(CJ595=0,"入金不要",IF(COUNT(AD595,AF595,AH595,AJ595)=0,IF(AK595="○","手動確認","未入金"),IF(AND(N(AD595)=AC595,IF(AE595="",TRUE(),N(AF595)=AE595),IF(AG595="",TRUE(),N(AH595)=AG595),IF(AI595="",TRUE(),N(AJ595)=AI595)),"一致","不一致"))))</f>
        <v>―</v>
      </c>
      <c r="G595" s="25"/>
      <c r="H595" s="26"/>
      <c r="I595" s="27"/>
      <c r="J595" s="27"/>
      <c r="K595" s="27"/>
      <c r="L595" s="27"/>
      <c r="M595" s="27"/>
      <c r="N595" s="27"/>
      <c r="O595" s="27"/>
      <c r="P595" s="27"/>
      <c r="Q595" s="27"/>
      <c r="R595" s="27"/>
      <c r="S595" s="27"/>
      <c r="T595" s="27"/>
      <c r="U595" s="27"/>
      <c r="V595" s="27"/>
      <c r="W595" s="27"/>
      <c r="X595" s="27"/>
      <c r="Y595" s="27"/>
      <c r="Z595" s="27"/>
      <c r="AA595" s="10" t="str">
        <f aca="false">IFERROR(INDEX(設定!$E$61:$E$106,MATCH(B595,設定!$B$61:$B$106,0)),"合算")</f>
        <v>合算</v>
      </c>
      <c r="AB595" s="28"/>
      <c r="AC595" s="29" t="str">
        <f aca="false">IF(OR(G595="",G595="なし"),"",IF(AA595="合算",CJ595+N(Z595),IF(AA595="掛金・負担金別",(AY595+AZ595+BD595+BF595+BH595),SUM(AY595:BC595))))</f>
        <v/>
      </c>
      <c r="AD595" s="27"/>
      <c r="AE595" s="29" t="str">
        <f aca="false">IF(OR(G595="",G595="なし"),"",IF(AA595="掛金・負担金別",(BA595+BB595+BC595+BE595+BG595+BI595+N(Z595)),IF(AA595="経理区分別",BD595+BE595,"")))</f>
        <v/>
      </c>
      <c r="AF595" s="27"/>
      <c r="AG595" s="29" t="str">
        <f aca="false">IF(OR(G595="",G595="なし"),"",IF(AA595="経理区分別",BF595+BG595,""))</f>
        <v/>
      </c>
      <c r="AH595" s="27"/>
      <c r="AI595" s="29" t="str">
        <f aca="false">IF(OR(G595="",G595="なし"),"",IF(AA595="経理区分別",BH595+BI595+N(Z595),""))</f>
        <v/>
      </c>
      <c r="AJ595" s="27"/>
      <c r="AK595" s="26"/>
      <c r="AL595" s="26"/>
      <c r="AM595" s="30"/>
      <c r="AN595" s="31"/>
      <c r="AO595" s="31"/>
      <c r="AP595" s="31"/>
      <c r="AQ595" s="31"/>
      <c r="AR595" s="31"/>
      <c r="AS595" s="31" t="n">
        <v>108364</v>
      </c>
      <c r="AT595" s="31" t="n">
        <v>108566</v>
      </c>
      <c r="AU595" s="31" t="n">
        <v>12245</v>
      </c>
      <c r="AV595" s="31" t="n">
        <v>12245</v>
      </c>
      <c r="AW595" s="31" t="n">
        <v>1</v>
      </c>
      <c r="AX595" s="31" t="n">
        <v>1</v>
      </c>
      <c r="AY595" s="31" t="n">
        <f aca="false">IF($G595="",AN595,O595)</f>
        <v>0</v>
      </c>
      <c r="AZ595" s="31" t="n">
        <f aca="false">IF($G595="",AO595,P595)</f>
        <v>0</v>
      </c>
      <c r="BA595" s="31" t="n">
        <f aca="false">IF($G595="",AP595,T595)</f>
        <v>0</v>
      </c>
      <c r="BB595" s="31" t="n">
        <f aca="false">IF($G595="",AQ595,U595)</f>
        <v>0</v>
      </c>
      <c r="BC595" s="31" t="n">
        <f aca="false">IF($G595="",AR595,V595)</f>
        <v>0</v>
      </c>
      <c r="BD595" s="31" t="n">
        <f aca="false">IF($G595="",AS595,Q595)</f>
        <v>108364</v>
      </c>
      <c r="BE595" s="31" t="n">
        <f aca="false">IF($G595="",AT595,W595)</f>
        <v>108566</v>
      </c>
      <c r="BF595" s="31" t="n">
        <f aca="false">IF($G595="",AU595,R595)</f>
        <v>12245</v>
      </c>
      <c r="BG595" s="31" t="n">
        <f aca="false">IF($G595="",AV595,X595)</f>
        <v>12245</v>
      </c>
      <c r="BH595" s="31" t="n">
        <f aca="false">IF($G595="",AW595,S595)</f>
        <v>1</v>
      </c>
      <c r="BI595" s="31" t="n">
        <f aca="false">IF($G595="",AX595,Y595)</f>
        <v>1</v>
      </c>
      <c r="BJ595" s="31" t="n">
        <f aca="false">IF(CK595="N",BR595,ROUNDDOWN((I595-L595)*設定!$B$10/1000,0)+ROUNDDOWN((I595-L595)*設定!$B$11/1000,0))</f>
        <v>0</v>
      </c>
      <c r="BK595" s="31" t="n">
        <f aca="false">ROUNDDOWN((I595-L595)*設定!$C$10/1000,0)+ROUNDDOWN((I595-L595)*設定!$C$11/1000,0)+ROUNDDOWN(I595*設定!$C$12/1000,0)+IF(CL595="市局型",ROUNDDOWN(I595*設定!$C$16/1000,0),0)</f>
        <v>0</v>
      </c>
      <c r="BL595" s="31" t="n">
        <f aca="false">IF(CK595="N",BT595,ROUNDDOWN((J595-M595)*設定!$B$13/1000,0))</f>
        <v>0</v>
      </c>
      <c r="BM595" s="31" t="n">
        <f aca="false">ROUNDDOWN((J595-M595)*設定!$C$13/1000,0)+IF(CL595="市局型",ROUNDDOWN(J595*設定!$C$17/1000,0),0)</f>
        <v>0</v>
      </c>
      <c r="BN595" s="31" t="n">
        <f aca="false">IF(CK595="N",BV595,ROUNDDOWN((K595-N595)*設定!$B$14/1000,0))</f>
        <v>0</v>
      </c>
      <c r="BO595" s="31" t="n">
        <f aca="false">ROUNDDOWN((K595-N595)*設定!$C$14/1000,0)</f>
        <v>0</v>
      </c>
      <c r="BP595" s="31" t="n">
        <f aca="false">IF(CK595="N",BX595,ROUNDDOWN((J595-M595)*設定!$B$15/1000,0))</f>
        <v>0</v>
      </c>
      <c r="BQ595" s="31" t="n">
        <f aca="false">ROUNDDOWN((J595-M595)*設定!$C$15/1000,0)</f>
        <v>0</v>
      </c>
      <c r="BR595" s="31" t="n">
        <f aca="false">O595+P595</f>
        <v>0</v>
      </c>
      <c r="BS595" s="31" t="n">
        <f aca="false">T595+U595+V595</f>
        <v>0</v>
      </c>
      <c r="BT595" s="31" t="n">
        <f aca="false">Q595</f>
        <v>0</v>
      </c>
      <c r="BU595" s="31" t="n">
        <f aca="false">W595</f>
        <v>0</v>
      </c>
      <c r="BV595" s="31" t="n">
        <f aca="false">R595</f>
        <v>0</v>
      </c>
      <c r="BW595" s="31" t="n">
        <f aca="false">X595</f>
        <v>0</v>
      </c>
      <c r="BX595" s="31" t="n">
        <f aca="false">S595</f>
        <v>0</v>
      </c>
      <c r="BY595" s="31" t="n">
        <f aca="false">Y595</f>
        <v>0</v>
      </c>
      <c r="BZ595" s="32" t="n">
        <f aca="false">IF(BJ595=0,IF(BR595=0,0,1),(BR595-BJ595)/BJ595)</f>
        <v>0</v>
      </c>
      <c r="CA595" s="32" t="n">
        <f aca="false">IF(BK595=0,IF(BS595=0,0,1),(BS595-BK595)/BK595)</f>
        <v>0</v>
      </c>
      <c r="CB595" s="32" t="n">
        <f aca="false">IF(BL595=0,IF(BT595=0,0,1),(BT595-BL595)/BL595)</f>
        <v>0</v>
      </c>
      <c r="CC595" s="32" t="n">
        <f aca="false">IF(BM595=0,IF(BU595=0,0,1),(BU595-BM595)/BM595)</f>
        <v>0</v>
      </c>
      <c r="CD595" s="32" t="n">
        <f aca="false">IF(BN595=0,IF(BV595=0,0,1),(BV595-BN595)/BN595)</f>
        <v>0</v>
      </c>
      <c r="CE595" s="32" t="n">
        <f aca="false">IF(BO595=0,IF(BW595=0,0,1),(BW595-BO595)/BO595)</f>
        <v>0</v>
      </c>
      <c r="CF595" s="32" t="n">
        <f aca="false">IF(BP595=0,IF(BX595=0,0,1),(BX595-BP595)/BP595)</f>
        <v>0</v>
      </c>
      <c r="CG595" s="32" t="n">
        <f aca="false">IF(BQ595=0,IF(BY595=0,0,1),(BY595-BQ595)/BQ595)</f>
        <v>0</v>
      </c>
      <c r="CH595" s="32" t="n">
        <f aca="false">MAX(MAX(BZ595:CG595),-MIN(BZ595:CG595))</f>
        <v>-0</v>
      </c>
      <c r="CI595" s="31" t="n">
        <f aca="false">IF(CO595="","",SUMIFS($CJ$7:$CJ$696,$A$7:$A$696,CO595,$B$7:$B$696,B595))</f>
        <v>241422</v>
      </c>
      <c r="CJ595" s="31" t="n">
        <f aca="false">SUM(AY595:BI595)</f>
        <v>241422</v>
      </c>
      <c r="CK595" s="31" t="str">
        <f aca="false">IFERROR(INDEX(設定!$F$61:$F$106,MATCH(B595,設定!$B$61:$B$106,0)),"Y")</f>
        <v>Y</v>
      </c>
      <c r="CL595" s="31" t="str">
        <f aca="false">IFERROR(INDEX(設定!$G$61:$G$106,MATCH(B595,設定!$B$61:$B$106,0)),"外郭型")</f>
        <v>外郭型</v>
      </c>
      <c r="CM595" s="33" t="str">
        <f aca="false">A595&amp;"|"&amp;B595</f>
        <v>2027-02 月例|職員共済組合</v>
      </c>
      <c r="CN595" s="34" t="str">
        <f aca="false">IFERROR(INDEX(設定!$D$61:$D$106,MATCH(B595,設定!$B$61:$B$106,0)),"Y")</f>
        <v>N</v>
      </c>
      <c r="CO595" s="34" t="str">
        <f aca="false">IFERROR(INDEX(設定!$D$20:$D$34,MATCH(A595,設定!$A$20:$A$34,0))&amp;"","")</f>
        <v>2027-01 月例</v>
      </c>
    </row>
    <row r="596" customFormat="false" ht="26.85" hidden="true" customHeight="false" outlineLevel="0" collapsed="false">
      <c r="A596" s="22" t="s">
        <v>228</v>
      </c>
      <c r="B596" s="35" t="s">
        <v>216</v>
      </c>
      <c r="C596" s="10" t="str">
        <f aca="false">IF(G596="","未受領",IF(G596="なし","報告なし",IF(AL596="○","起票済",IF(OR(AK596="○",F596="一致",F596="入金不要"),"入金確認済","受領済"))))</f>
        <v>報告なし</v>
      </c>
      <c r="D596" s="10" t="str">
        <f aca="false">IF(OR(G596="",G596="なし"),"―",IF(CN596="N","対象外",IF(AND(I596="",J596="",K596=""),"標報未入力",IF(CH596&gt;=設定!$B$4,"要確認","問題なし"))))</f>
        <v>―</v>
      </c>
      <c r="E596" s="24" t="str">
        <f aca="false">IF(OR(G596="",G596="なし",CI596="",CJ596=0),"―",IF(CJ596=CI596,"前月同額",IF(CI596=0,"―",IF(ABS(CJ596/CI596-1)&gt;=設定!$B$5,"変動大 "&amp;TEXT(CJ596/CI596-1,"+0%;-0%"),"〇"))))</f>
        <v>―</v>
      </c>
      <c r="F596" s="10" t="str">
        <f aca="false">IF(OR(G596="",G596="なし"),"―",IF(CJ596=0,"入金不要",IF(COUNT(AD596,AF596,AH596,AJ596)=0,IF(AK596="○","手動確認","未入金"),IF(AND(N(AD596)=AC596,IF(AE596="",TRUE(),N(AF596)=AE596),IF(AG596="",TRUE(),N(AH596)=AG596),IF(AI596="",TRUE(),N(AJ596)=AI596)),"一致","不一致"))))</f>
        <v>―</v>
      </c>
      <c r="G596" s="25" t="s">
        <v>181</v>
      </c>
      <c r="H596" s="26"/>
      <c r="I596" s="27"/>
      <c r="J596" s="27"/>
      <c r="K596" s="27"/>
      <c r="L596" s="27"/>
      <c r="M596" s="27"/>
      <c r="N596" s="27"/>
      <c r="O596" s="27"/>
      <c r="P596" s="27"/>
      <c r="Q596" s="27"/>
      <c r="R596" s="27"/>
      <c r="S596" s="27"/>
      <c r="T596" s="27"/>
      <c r="U596" s="27"/>
      <c r="V596" s="27"/>
      <c r="W596" s="27"/>
      <c r="X596" s="27"/>
      <c r="Y596" s="27"/>
      <c r="Z596" s="27"/>
      <c r="AA596" s="10" t="str">
        <f aca="false">IFERROR(INDEX(設定!$E$61:$E$106,MATCH(B596,設定!$B$61:$B$106,0)),"合算")</f>
        <v>合算</v>
      </c>
      <c r="AB596" s="28"/>
      <c r="AC596" s="29" t="str">
        <f aca="false">IF(OR(G596="",G596="なし"),"",IF(AA596="合算",CJ596+N(Z596),IF(AA596="掛金・負担金別",(AY596+AZ596+BD596+BF596+BH596),SUM(AY596:BC596))))</f>
        <v/>
      </c>
      <c r="AD596" s="27"/>
      <c r="AE596" s="29" t="str">
        <f aca="false">IF(OR(G596="",G596="なし"),"",IF(AA596="掛金・負担金別",(BA596+BB596+BC596+BE596+BG596+BI596+N(Z596)),IF(AA596="経理区分別",BD596+BE596,"")))</f>
        <v/>
      </c>
      <c r="AF596" s="27"/>
      <c r="AG596" s="29" t="str">
        <f aca="false">IF(OR(G596="",G596="なし"),"",IF(AA596="経理区分別",BF596+BG596,""))</f>
        <v/>
      </c>
      <c r="AH596" s="27"/>
      <c r="AI596" s="29" t="str">
        <f aca="false">IF(OR(G596="",G596="なし"),"",IF(AA596="経理区分別",BH596+BI596+N(Z596),""))</f>
        <v/>
      </c>
      <c r="AJ596" s="27"/>
      <c r="AK596" s="26"/>
      <c r="AL596" s="26"/>
      <c r="AM596" s="30"/>
      <c r="AN596" s="31"/>
      <c r="AO596" s="31"/>
      <c r="AP596" s="31"/>
      <c r="AQ596" s="31"/>
      <c r="AR596" s="31"/>
      <c r="AS596" s="31"/>
      <c r="AT596" s="31"/>
      <c r="AU596" s="31"/>
      <c r="AV596" s="31"/>
      <c r="AW596" s="31"/>
      <c r="AX596" s="31"/>
      <c r="AY596" s="31" t="n">
        <f aca="false">IF($G596="",AN596,O596)</f>
        <v>0</v>
      </c>
      <c r="AZ596" s="31" t="n">
        <f aca="false">IF($G596="",AO596,P596)</f>
        <v>0</v>
      </c>
      <c r="BA596" s="31" t="n">
        <f aca="false">IF($G596="",AP596,T596)</f>
        <v>0</v>
      </c>
      <c r="BB596" s="31" t="n">
        <f aca="false">IF($G596="",AQ596,U596)</f>
        <v>0</v>
      </c>
      <c r="BC596" s="31" t="n">
        <f aca="false">IF($G596="",AR596,V596)</f>
        <v>0</v>
      </c>
      <c r="BD596" s="31" t="n">
        <f aca="false">IF($G596="",AS596,Q596)</f>
        <v>0</v>
      </c>
      <c r="BE596" s="31" t="n">
        <f aca="false">IF($G596="",AT596,W596)</f>
        <v>0</v>
      </c>
      <c r="BF596" s="31" t="n">
        <f aca="false">IF($G596="",AU596,R596)</f>
        <v>0</v>
      </c>
      <c r="BG596" s="31" t="n">
        <f aca="false">IF($G596="",AV596,X596)</f>
        <v>0</v>
      </c>
      <c r="BH596" s="31" t="n">
        <f aca="false">IF($G596="",AW596,S596)</f>
        <v>0</v>
      </c>
      <c r="BI596" s="31" t="n">
        <f aca="false">IF($G596="",AX596,Y596)</f>
        <v>0</v>
      </c>
      <c r="BJ596" s="31" t="n">
        <f aca="false">IF(CK596="N",BR596,ROUNDDOWN((I596-L596)*設定!$B$10/1000,0)+ROUNDDOWN((I596-L596)*設定!$B$11/1000,0))</f>
        <v>0</v>
      </c>
      <c r="BK596" s="31" t="n">
        <f aca="false">ROUNDDOWN((I596-L596)*設定!$C$10/1000,0)+ROUNDDOWN((I596-L596)*設定!$C$11/1000,0)+ROUNDDOWN(I596*設定!$C$12/1000,0)+IF(CL596="市局型",ROUNDDOWN(I596*設定!$C$16/1000,0),0)</f>
        <v>0</v>
      </c>
      <c r="BL596" s="31" t="n">
        <f aca="false">IF(CK596="N",BT596,ROUNDDOWN((J596-M596)*設定!$B$13/1000,0))</f>
        <v>0</v>
      </c>
      <c r="BM596" s="31" t="n">
        <f aca="false">ROUNDDOWN((J596-M596)*設定!$C$13/1000,0)+IF(CL596="市局型",ROUNDDOWN(J596*設定!$C$17/1000,0),0)</f>
        <v>0</v>
      </c>
      <c r="BN596" s="31" t="n">
        <f aca="false">IF(CK596="N",BV596,ROUNDDOWN((K596-N596)*設定!$B$14/1000,0))</f>
        <v>0</v>
      </c>
      <c r="BO596" s="31" t="n">
        <f aca="false">ROUNDDOWN((K596-N596)*設定!$C$14/1000,0)</f>
        <v>0</v>
      </c>
      <c r="BP596" s="31" t="n">
        <f aca="false">IF(CK596="N",BX596,ROUNDDOWN((J596-M596)*設定!$B$15/1000,0))</f>
        <v>0</v>
      </c>
      <c r="BQ596" s="31" t="n">
        <f aca="false">ROUNDDOWN((J596-M596)*設定!$C$15/1000,0)</f>
        <v>0</v>
      </c>
      <c r="BR596" s="31" t="n">
        <f aca="false">O596+P596</f>
        <v>0</v>
      </c>
      <c r="BS596" s="31" t="n">
        <f aca="false">T596+U596+V596</f>
        <v>0</v>
      </c>
      <c r="BT596" s="31" t="n">
        <f aca="false">Q596</f>
        <v>0</v>
      </c>
      <c r="BU596" s="31" t="n">
        <f aca="false">W596</f>
        <v>0</v>
      </c>
      <c r="BV596" s="31" t="n">
        <f aca="false">R596</f>
        <v>0</v>
      </c>
      <c r="BW596" s="31" t="n">
        <f aca="false">X596</f>
        <v>0</v>
      </c>
      <c r="BX596" s="31" t="n">
        <f aca="false">S596</f>
        <v>0</v>
      </c>
      <c r="BY596" s="31" t="n">
        <f aca="false">Y596</f>
        <v>0</v>
      </c>
      <c r="BZ596" s="32" t="n">
        <f aca="false">IF(BJ596=0,IF(BR596=0,0,1),(BR596-BJ596)/BJ596)</f>
        <v>0</v>
      </c>
      <c r="CA596" s="32" t="n">
        <f aca="false">IF(BK596=0,IF(BS596=0,0,1),(BS596-BK596)/BK596)</f>
        <v>0</v>
      </c>
      <c r="CB596" s="32" t="n">
        <f aca="false">IF(BL596=0,IF(BT596=0,0,1),(BT596-BL596)/BL596)</f>
        <v>0</v>
      </c>
      <c r="CC596" s="32" t="n">
        <f aca="false">IF(BM596=0,IF(BU596=0,0,1),(BU596-BM596)/BM596)</f>
        <v>0</v>
      </c>
      <c r="CD596" s="32" t="n">
        <f aca="false">IF(BN596=0,IF(BV596=0,0,1),(BV596-BN596)/BN596)</f>
        <v>0</v>
      </c>
      <c r="CE596" s="32" t="n">
        <f aca="false">IF(BO596=0,IF(BW596=0,0,1),(BW596-BO596)/BO596)</f>
        <v>0</v>
      </c>
      <c r="CF596" s="32" t="n">
        <f aca="false">IF(BP596=0,IF(BX596=0,0,1),(BX596-BP596)/BP596)</f>
        <v>0</v>
      </c>
      <c r="CG596" s="32" t="n">
        <f aca="false">IF(BQ596=0,IF(BY596=0,0,1),(BY596-BQ596)/BQ596)</f>
        <v>0</v>
      </c>
      <c r="CH596" s="32" t="n">
        <f aca="false">MAX(MAX(BZ596:CG596),-MIN(BZ596:CG596))</f>
        <v>-0</v>
      </c>
      <c r="CI596" s="31" t="n">
        <f aca="false">IF(CO596="","",SUMIFS($CJ$7:$CJ$696,$A$7:$A$696,CO596,$B$7:$B$696,B596))</f>
        <v>0</v>
      </c>
      <c r="CJ596" s="31" t="n">
        <f aca="false">SUM(AY596:BI596)</f>
        <v>0</v>
      </c>
      <c r="CK596" s="31" t="str">
        <f aca="false">IFERROR(INDEX(設定!$F$61:$F$106,MATCH(B596,設定!$B$61:$B$106,0)),"Y")</f>
        <v>N</v>
      </c>
      <c r="CL596" s="31" t="str">
        <f aca="false">IFERROR(INDEX(設定!$G$61:$G$106,MATCH(B596,設定!$B$61:$B$106,0)),"外郭型")</f>
        <v>外郭型</v>
      </c>
      <c r="CM596" s="36" t="str">
        <f aca="false">A596&amp;"|"&amp;B596</f>
        <v>2027-02 月例|地方公共団体
情報システム機構</v>
      </c>
      <c r="CN596" s="34" t="str">
        <f aca="false">IFERROR(INDEX(設定!$D$61:$D$106,MATCH(B596,設定!$B$61:$B$106,0)),"Y")</f>
        <v>Y</v>
      </c>
      <c r="CO596" s="34" t="str">
        <f aca="false">IFERROR(INDEX(設定!$D$20:$D$34,MATCH(A596,設定!$A$20:$A$34,0))&amp;"","")</f>
        <v>2027-01 月例</v>
      </c>
    </row>
    <row r="597" customFormat="false" ht="15" hidden="true" customHeight="false" outlineLevel="0" collapsed="false">
      <c r="A597" s="22" t="s">
        <v>228</v>
      </c>
      <c r="B597" s="23" t="s">
        <v>207</v>
      </c>
      <c r="C597" s="10" t="str">
        <f aca="false">IF(G597="","未受領",IF(G597="なし","報告なし",IF(AL597="○","起票済",IF(OR(AK597="○",F597="一致",F597="入金不要"),"入金確認済","受領済"))))</f>
        <v>未受領</v>
      </c>
      <c r="D597" s="10" t="str">
        <f aca="false">IF(OR(G597="",G597="なし"),"―",IF(CN597="N","対象外",IF(AND(I597="",J597="",K597=""),"標報未入力",IF(CH597&gt;=設定!$B$4,"要確認","問題なし"))))</f>
        <v>―</v>
      </c>
      <c r="E597" s="24" t="str">
        <f aca="false">IF(OR(G597="",G597="なし",CI597="",CJ597=0),"―",IF(CJ597=CI597,"前月同額",IF(CI597=0,"―",IF(ABS(CJ597/CI597-1)&gt;=設定!$B$5,"変動大 "&amp;TEXT(CJ597/CI597-1,"+0%;-0%"),"〇"))))</f>
        <v>―</v>
      </c>
      <c r="F597" s="10" t="str">
        <f aca="false">IF(OR(G597="",G597="なし"),"―",IF(CJ597=0,"入金不要",IF(COUNT(AD597,AF597,AH597,AJ597)=0,IF(AK597="○","手動確認","未入金"),IF(AND(N(AD597)=AC597,IF(AE597="",TRUE(),N(AF597)=AE597),IF(AG597="",TRUE(),N(AH597)=AG597),IF(AI597="",TRUE(),N(AJ597)=AI597)),"一致","不一致"))))</f>
        <v>―</v>
      </c>
      <c r="G597" s="25"/>
      <c r="H597" s="26"/>
      <c r="I597" s="27"/>
      <c r="J597" s="27"/>
      <c r="K597" s="27"/>
      <c r="L597" s="27"/>
      <c r="M597" s="27"/>
      <c r="N597" s="27"/>
      <c r="O597" s="27"/>
      <c r="P597" s="27"/>
      <c r="Q597" s="27"/>
      <c r="R597" s="27"/>
      <c r="S597" s="27"/>
      <c r="T597" s="27"/>
      <c r="U597" s="27"/>
      <c r="V597" s="27"/>
      <c r="W597" s="27"/>
      <c r="X597" s="27"/>
      <c r="Y597" s="27"/>
      <c r="Z597" s="27"/>
      <c r="AA597" s="10" t="str">
        <f aca="false">IFERROR(INDEX(設定!$E$61:$E$106,MATCH(B597,設定!$B$61:$B$106,0)),"合算")</f>
        <v>合算</v>
      </c>
      <c r="AB597" s="28"/>
      <c r="AC597" s="29" t="str">
        <f aca="false">IF(OR(G597="",G597="なし"),"",IF(AA597="合算",CJ597+N(Z597),IF(AA597="掛金・負担金別",(AY597+AZ597+BD597+BF597+BH597),SUM(AY597:BC597))))</f>
        <v/>
      </c>
      <c r="AD597" s="27"/>
      <c r="AE597" s="29" t="str">
        <f aca="false">IF(OR(G597="",G597="なし"),"",IF(AA597="掛金・負担金別",(BA597+BB597+BC597+BE597+BG597+BI597+N(Z597)),IF(AA597="経理区分別",BD597+BE597,"")))</f>
        <v/>
      </c>
      <c r="AF597" s="27"/>
      <c r="AG597" s="29" t="str">
        <f aca="false">IF(OR(G597="",G597="なし"),"",IF(AA597="経理区分別",BF597+BG597,""))</f>
        <v/>
      </c>
      <c r="AH597" s="27"/>
      <c r="AI597" s="29" t="str">
        <f aca="false">IF(OR(G597="",G597="なし"),"",IF(AA597="経理区分別",BH597+BI597+N(Z597),""))</f>
        <v/>
      </c>
      <c r="AJ597" s="27"/>
      <c r="AK597" s="26"/>
      <c r="AL597" s="26"/>
      <c r="AM597" s="30"/>
      <c r="AN597" s="31" t="n">
        <v>59475</v>
      </c>
      <c r="AO597" s="31" t="n">
        <v>4875</v>
      </c>
      <c r="AP597" s="31" t="n">
        <v>59475</v>
      </c>
      <c r="AQ597" s="31" t="n">
        <v>4875</v>
      </c>
      <c r="AR597" s="31" t="n">
        <v>61</v>
      </c>
      <c r="AS597" s="31" t="n">
        <v>41257</v>
      </c>
      <c r="AT597" s="31" t="n">
        <v>41332</v>
      </c>
      <c r="AU597" s="31" t="n">
        <v>5925</v>
      </c>
      <c r="AV597" s="31" t="n">
        <v>5925</v>
      </c>
      <c r="AW597" s="31" t="n">
        <v>1</v>
      </c>
      <c r="AX597" s="31" t="n">
        <v>1</v>
      </c>
      <c r="AY597" s="31" t="n">
        <f aca="false">IF($G597="",AN597,O597)</f>
        <v>59475</v>
      </c>
      <c r="AZ597" s="31" t="n">
        <f aca="false">IF($G597="",AO597,P597)</f>
        <v>4875</v>
      </c>
      <c r="BA597" s="31" t="n">
        <f aca="false">IF($G597="",AP597,T597)</f>
        <v>59475</v>
      </c>
      <c r="BB597" s="31" t="n">
        <f aca="false">IF($G597="",AQ597,U597)</f>
        <v>4875</v>
      </c>
      <c r="BC597" s="31" t="n">
        <f aca="false">IF($G597="",AR597,V597)</f>
        <v>61</v>
      </c>
      <c r="BD597" s="31" t="n">
        <f aca="false">IF($G597="",AS597,Q597)</f>
        <v>41257</v>
      </c>
      <c r="BE597" s="31" t="n">
        <f aca="false">IF($G597="",AT597,W597)</f>
        <v>41332</v>
      </c>
      <c r="BF597" s="31" t="n">
        <f aca="false">IF($G597="",AU597,R597)</f>
        <v>5925</v>
      </c>
      <c r="BG597" s="31" t="n">
        <f aca="false">IF($G597="",AV597,X597)</f>
        <v>5925</v>
      </c>
      <c r="BH597" s="31" t="n">
        <f aca="false">IF($G597="",AW597,S597)</f>
        <v>1</v>
      </c>
      <c r="BI597" s="31" t="n">
        <f aca="false">IF($G597="",AX597,Y597)</f>
        <v>1</v>
      </c>
      <c r="BJ597" s="31" t="n">
        <f aca="false">IF(CK597="N",BR597,ROUNDDOWN((I597-L597)*設定!$B$10/1000,0)+ROUNDDOWN((I597-L597)*設定!$B$11/1000,0))</f>
        <v>0</v>
      </c>
      <c r="BK597" s="31" t="n">
        <f aca="false">ROUNDDOWN((I597-L597)*設定!$C$10/1000,0)+ROUNDDOWN((I597-L597)*設定!$C$11/1000,0)+ROUNDDOWN(I597*設定!$C$12/1000,0)+IF(CL597="市局型",ROUNDDOWN(I597*設定!$C$16/1000,0),0)</f>
        <v>0</v>
      </c>
      <c r="BL597" s="31" t="n">
        <f aca="false">IF(CK597="N",BT597,ROUNDDOWN((J597-M597)*設定!$B$13/1000,0))</f>
        <v>0</v>
      </c>
      <c r="BM597" s="31" t="n">
        <f aca="false">ROUNDDOWN((J597-M597)*設定!$C$13/1000,0)+IF(CL597="市局型",ROUNDDOWN(J597*設定!$C$17/1000,0),0)</f>
        <v>0</v>
      </c>
      <c r="BN597" s="31" t="n">
        <f aca="false">IF(CK597="N",BV597,ROUNDDOWN((K597-N597)*設定!$B$14/1000,0))</f>
        <v>0</v>
      </c>
      <c r="BO597" s="31" t="n">
        <f aca="false">ROUNDDOWN((K597-N597)*設定!$C$14/1000,0)</f>
        <v>0</v>
      </c>
      <c r="BP597" s="31" t="n">
        <f aca="false">IF(CK597="N",BX597,ROUNDDOWN((J597-M597)*設定!$B$15/1000,0))</f>
        <v>0</v>
      </c>
      <c r="BQ597" s="31" t="n">
        <f aca="false">ROUNDDOWN((J597-M597)*設定!$C$15/1000,0)</f>
        <v>0</v>
      </c>
      <c r="BR597" s="31" t="n">
        <f aca="false">O597+P597</f>
        <v>0</v>
      </c>
      <c r="BS597" s="31" t="n">
        <f aca="false">T597+U597+V597</f>
        <v>0</v>
      </c>
      <c r="BT597" s="31" t="n">
        <f aca="false">Q597</f>
        <v>0</v>
      </c>
      <c r="BU597" s="31" t="n">
        <f aca="false">W597</f>
        <v>0</v>
      </c>
      <c r="BV597" s="31" t="n">
        <f aca="false">R597</f>
        <v>0</v>
      </c>
      <c r="BW597" s="31" t="n">
        <f aca="false">X597</f>
        <v>0</v>
      </c>
      <c r="BX597" s="31" t="n">
        <f aca="false">S597</f>
        <v>0</v>
      </c>
      <c r="BY597" s="31" t="n">
        <f aca="false">Y597</f>
        <v>0</v>
      </c>
      <c r="BZ597" s="32" t="n">
        <f aca="false">IF(BJ597=0,IF(BR597=0,0,1),(BR597-BJ597)/BJ597)</f>
        <v>0</v>
      </c>
      <c r="CA597" s="32" t="n">
        <f aca="false">IF(BK597=0,IF(BS597=0,0,1),(BS597-BK597)/BK597)</f>
        <v>0</v>
      </c>
      <c r="CB597" s="32" t="n">
        <f aca="false">IF(BL597=0,IF(BT597=0,0,1),(BT597-BL597)/BL597)</f>
        <v>0</v>
      </c>
      <c r="CC597" s="32" t="n">
        <f aca="false">IF(BM597=0,IF(BU597=0,0,1),(BU597-BM597)/BM597)</f>
        <v>0</v>
      </c>
      <c r="CD597" s="32" t="n">
        <f aca="false">IF(BN597=0,IF(BV597=0,0,1),(BV597-BN597)/BN597)</f>
        <v>0</v>
      </c>
      <c r="CE597" s="32" t="n">
        <f aca="false">IF(BO597=0,IF(BW597=0,0,1),(BW597-BO597)/BO597)</f>
        <v>0</v>
      </c>
      <c r="CF597" s="32" t="n">
        <f aca="false">IF(BP597=0,IF(BX597=0,0,1),(BX597-BP597)/BP597)</f>
        <v>0</v>
      </c>
      <c r="CG597" s="32" t="n">
        <f aca="false">IF(BQ597=0,IF(BY597=0,0,1),(BY597-BQ597)/BQ597)</f>
        <v>0</v>
      </c>
      <c r="CH597" s="32" t="n">
        <f aca="false">MAX(MAX(BZ597:CG597),-MIN(BZ597:CG597))</f>
        <v>-0</v>
      </c>
      <c r="CI597" s="31" t="n">
        <f aca="false">IF(CO597="","",SUMIFS($CJ$7:$CJ$696,$A$7:$A$696,CO597,$B$7:$B$696,B597))</f>
        <v>223202</v>
      </c>
      <c r="CJ597" s="31" t="n">
        <f aca="false">SUM(AY597:BI597)</f>
        <v>223202</v>
      </c>
      <c r="CK597" s="31" t="str">
        <f aca="false">IFERROR(INDEX(設定!$F$61:$F$106,MATCH(B597,設定!$B$61:$B$106,0)),"Y")</f>
        <v>Y</v>
      </c>
      <c r="CL597" s="31" t="str">
        <f aca="false">IFERROR(INDEX(設定!$G$61:$G$106,MATCH(B597,設定!$B$61:$B$106,0)),"外郭型")</f>
        <v>外郭型</v>
      </c>
      <c r="CM597" s="33" t="str">
        <f aca="false">A597&amp;"|"&amp;B597</f>
        <v>2027-02 月例|全国市長会</v>
      </c>
      <c r="CN597" s="34" t="str">
        <f aca="false">IFERROR(INDEX(設定!$D$61:$D$106,MATCH(B597,設定!$B$61:$B$106,0)),"Y")</f>
        <v>Y</v>
      </c>
      <c r="CO597" s="34" t="str">
        <f aca="false">IFERROR(INDEX(設定!$D$20:$D$34,MATCH(A597,設定!$A$20:$A$34,0))&amp;"","")</f>
        <v>2027-01 月例</v>
      </c>
    </row>
    <row r="598" customFormat="false" ht="15" hidden="true" customHeight="false" outlineLevel="0" collapsed="false">
      <c r="A598" s="22" t="s">
        <v>228</v>
      </c>
      <c r="B598" s="23" t="s">
        <v>208</v>
      </c>
      <c r="C598" s="10" t="str">
        <f aca="false">IF(G598="","未受領",IF(G598="なし","報告なし",IF(AL598="○","起票済",IF(OR(AK598="○",F598="一致",F598="入金不要"),"入金確認済","受領済"))))</f>
        <v>未受領</v>
      </c>
      <c r="D598" s="10" t="str">
        <f aca="false">IF(OR(G598="",G598="なし"),"―",IF(CN598="N","対象外",IF(AND(I598="",J598="",K598=""),"標報未入力",IF(CH598&gt;=設定!$B$4,"要確認","問題なし"))))</f>
        <v>―</v>
      </c>
      <c r="E598" s="24" t="str">
        <f aca="false">IF(OR(G598="",G598="なし",CI598="",CJ598=0),"―",IF(CJ598=CI598,"前月同額",IF(CI598=0,"―",IF(ABS(CJ598/CI598-1)&gt;=設定!$B$5,"変動大 "&amp;TEXT(CJ598/CI598-1,"+0%;-0%"),"〇"))))</f>
        <v>―</v>
      </c>
      <c r="F598" s="10" t="str">
        <f aca="false">IF(OR(G598="",G598="なし"),"―",IF(CJ598=0,"入金不要",IF(COUNT(AD598,AF598,AH598,AJ598)=0,IF(AK598="○","手動確認","未入金"),IF(AND(N(AD598)=AC598,IF(AE598="",TRUE(),N(AF598)=AE598),IF(AG598="",TRUE(),N(AH598)=AG598),IF(AI598="",TRUE(),N(AJ598)=AI598)),"一致","不一致"))))</f>
        <v>―</v>
      </c>
      <c r="G598" s="25"/>
      <c r="H598" s="26"/>
      <c r="I598" s="27"/>
      <c r="J598" s="27"/>
      <c r="K598" s="27"/>
      <c r="L598" s="27"/>
      <c r="M598" s="27"/>
      <c r="N598" s="27"/>
      <c r="O598" s="27"/>
      <c r="P598" s="27"/>
      <c r="Q598" s="27"/>
      <c r="R598" s="27"/>
      <c r="S598" s="27"/>
      <c r="T598" s="27"/>
      <c r="U598" s="27"/>
      <c r="V598" s="27"/>
      <c r="W598" s="27"/>
      <c r="X598" s="27"/>
      <c r="Y598" s="27"/>
      <c r="Z598" s="27"/>
      <c r="AA598" s="10" t="str">
        <f aca="false">IFERROR(INDEX(設定!$E$61:$E$106,MATCH(B598,設定!$B$61:$B$106,0)),"合算")</f>
        <v>合算</v>
      </c>
      <c r="AB598" s="28"/>
      <c r="AC598" s="29" t="str">
        <f aca="false">IF(OR(G598="",G598="なし"),"",IF(AA598="合算",CJ598+N(Z598),IF(AA598="掛金・負担金別",(AY598+AZ598+BD598+BF598+BH598),SUM(AY598:BC598))))</f>
        <v/>
      </c>
      <c r="AD598" s="27"/>
      <c r="AE598" s="29" t="str">
        <f aca="false">IF(OR(G598="",G598="なし"),"",IF(AA598="掛金・負担金別",(BA598+BB598+BC598+BE598+BG598+BI598+N(Z598)),IF(AA598="経理区分別",BD598+BE598,"")))</f>
        <v/>
      </c>
      <c r="AF598" s="27"/>
      <c r="AG598" s="29" t="str">
        <f aca="false">IF(OR(G598="",G598="なし"),"",IF(AA598="経理区分別",BF598+BG598,""))</f>
        <v/>
      </c>
      <c r="AH598" s="27"/>
      <c r="AI598" s="29" t="str">
        <f aca="false">IF(OR(G598="",G598="なし"),"",IF(AA598="経理区分別",BH598+BI598+N(Z598),""))</f>
        <v/>
      </c>
      <c r="AJ598" s="27"/>
      <c r="AK598" s="26"/>
      <c r="AL598" s="26"/>
      <c r="AM598" s="30"/>
      <c r="AN598" s="31" t="n">
        <v>145485</v>
      </c>
      <c r="AO598" s="31" t="n">
        <v>11925</v>
      </c>
      <c r="AP598" s="31" t="n">
        <v>145485</v>
      </c>
      <c r="AQ598" s="31" t="n">
        <v>11925</v>
      </c>
      <c r="AR598" s="31" t="n">
        <v>149</v>
      </c>
      <c r="AS598" s="31"/>
      <c r="AT598" s="31"/>
      <c r="AU598" s="31"/>
      <c r="AV598" s="31"/>
      <c r="AW598" s="31"/>
      <c r="AX598" s="31"/>
      <c r="AY598" s="31" t="n">
        <f aca="false">IF($G598="",AN598,O598)</f>
        <v>145485</v>
      </c>
      <c r="AZ598" s="31" t="n">
        <f aca="false">IF($G598="",AO598,P598)</f>
        <v>11925</v>
      </c>
      <c r="BA598" s="31" t="n">
        <f aca="false">IF($G598="",AP598,T598)</f>
        <v>145485</v>
      </c>
      <c r="BB598" s="31" t="n">
        <f aca="false">IF($G598="",AQ598,U598)</f>
        <v>11925</v>
      </c>
      <c r="BC598" s="31" t="n">
        <f aca="false">IF($G598="",AR598,V598)</f>
        <v>149</v>
      </c>
      <c r="BD598" s="31" t="n">
        <f aca="false">IF($G598="",AS598,Q598)</f>
        <v>0</v>
      </c>
      <c r="BE598" s="31" t="n">
        <f aca="false">IF($G598="",AT598,W598)</f>
        <v>0</v>
      </c>
      <c r="BF598" s="31" t="n">
        <f aca="false">IF($G598="",AU598,R598)</f>
        <v>0</v>
      </c>
      <c r="BG598" s="31" t="n">
        <f aca="false">IF($G598="",AV598,X598)</f>
        <v>0</v>
      </c>
      <c r="BH598" s="31" t="n">
        <f aca="false">IF($G598="",AW598,S598)</f>
        <v>0</v>
      </c>
      <c r="BI598" s="31" t="n">
        <f aca="false">IF($G598="",AX598,Y598)</f>
        <v>0</v>
      </c>
      <c r="BJ598" s="31" t="n">
        <f aca="false">IF(CK598="N",BR598,ROUNDDOWN((I598-L598)*設定!$B$10/1000,0)+ROUNDDOWN((I598-L598)*設定!$B$11/1000,0))</f>
        <v>0</v>
      </c>
      <c r="BK598" s="31" t="n">
        <f aca="false">ROUNDDOWN((I598-L598)*設定!$C$10/1000,0)+ROUNDDOWN((I598-L598)*設定!$C$11/1000,0)+ROUNDDOWN(I598*設定!$C$12/1000,0)+IF(CL598="市局型",ROUNDDOWN(I598*設定!$C$16/1000,0),0)</f>
        <v>0</v>
      </c>
      <c r="BL598" s="31" t="n">
        <f aca="false">IF(CK598="N",BT598,ROUNDDOWN((J598-M598)*設定!$B$13/1000,0))</f>
        <v>0</v>
      </c>
      <c r="BM598" s="31" t="n">
        <f aca="false">ROUNDDOWN((J598-M598)*設定!$C$13/1000,0)+IF(CL598="市局型",ROUNDDOWN(J598*設定!$C$17/1000,0),0)</f>
        <v>0</v>
      </c>
      <c r="BN598" s="31" t="n">
        <f aca="false">IF(CK598="N",BV598,ROUNDDOWN((K598-N598)*設定!$B$14/1000,0))</f>
        <v>0</v>
      </c>
      <c r="BO598" s="31" t="n">
        <f aca="false">ROUNDDOWN((K598-N598)*設定!$C$14/1000,0)</f>
        <v>0</v>
      </c>
      <c r="BP598" s="31" t="n">
        <f aca="false">IF(CK598="N",BX598,ROUNDDOWN((J598-M598)*設定!$B$15/1000,0))</f>
        <v>0</v>
      </c>
      <c r="BQ598" s="31" t="n">
        <f aca="false">ROUNDDOWN((J598-M598)*設定!$C$15/1000,0)</f>
        <v>0</v>
      </c>
      <c r="BR598" s="31" t="n">
        <f aca="false">O598+P598</f>
        <v>0</v>
      </c>
      <c r="BS598" s="31" t="n">
        <f aca="false">T598+U598+V598</f>
        <v>0</v>
      </c>
      <c r="BT598" s="31" t="n">
        <f aca="false">Q598</f>
        <v>0</v>
      </c>
      <c r="BU598" s="31" t="n">
        <f aca="false">W598</f>
        <v>0</v>
      </c>
      <c r="BV598" s="31" t="n">
        <f aca="false">R598</f>
        <v>0</v>
      </c>
      <c r="BW598" s="31" t="n">
        <f aca="false">X598</f>
        <v>0</v>
      </c>
      <c r="BX598" s="31" t="n">
        <f aca="false">S598</f>
        <v>0</v>
      </c>
      <c r="BY598" s="31" t="n">
        <f aca="false">Y598</f>
        <v>0</v>
      </c>
      <c r="BZ598" s="32" t="n">
        <f aca="false">IF(BJ598=0,IF(BR598=0,0,1),(BR598-BJ598)/BJ598)</f>
        <v>0</v>
      </c>
      <c r="CA598" s="32" t="n">
        <f aca="false">IF(BK598=0,IF(BS598=0,0,1),(BS598-BK598)/BK598)</f>
        <v>0</v>
      </c>
      <c r="CB598" s="32" t="n">
        <f aca="false">IF(BL598=0,IF(BT598=0,0,1),(BT598-BL598)/BL598)</f>
        <v>0</v>
      </c>
      <c r="CC598" s="32" t="n">
        <f aca="false">IF(BM598=0,IF(BU598=0,0,1),(BU598-BM598)/BM598)</f>
        <v>0</v>
      </c>
      <c r="CD598" s="32" t="n">
        <f aca="false">IF(BN598=0,IF(BV598=0,0,1),(BV598-BN598)/BN598)</f>
        <v>0</v>
      </c>
      <c r="CE598" s="32" t="n">
        <f aca="false">IF(BO598=0,IF(BW598=0,0,1),(BW598-BO598)/BO598)</f>
        <v>0</v>
      </c>
      <c r="CF598" s="32" t="n">
        <f aca="false">IF(BP598=0,IF(BX598=0,0,1),(BX598-BP598)/BP598)</f>
        <v>0</v>
      </c>
      <c r="CG598" s="32" t="n">
        <f aca="false">IF(BQ598=0,IF(BY598=0,0,1),(BY598-BQ598)/BQ598)</f>
        <v>0</v>
      </c>
      <c r="CH598" s="32" t="n">
        <f aca="false">MAX(MAX(BZ598:CG598),-MIN(BZ598:CG598))</f>
        <v>-0</v>
      </c>
      <c r="CI598" s="31" t="n">
        <f aca="false">IF(CO598="","",SUMIFS($CJ$7:$CJ$696,$A$7:$A$696,CO598,$B$7:$B$696,B598))</f>
        <v>314969</v>
      </c>
      <c r="CJ598" s="31" t="n">
        <f aca="false">SUM(AY598:BI598)</f>
        <v>314969</v>
      </c>
      <c r="CK598" s="31" t="str">
        <f aca="false">IFERROR(INDEX(設定!$F$61:$F$106,MATCH(B598,設定!$B$61:$B$106,0)),"Y")</f>
        <v>Y</v>
      </c>
      <c r="CL598" s="31" t="str">
        <f aca="false">IFERROR(INDEX(設定!$G$61:$G$106,MATCH(B598,設定!$B$61:$B$106,0)),"外郭型")</f>
        <v>外郭型</v>
      </c>
      <c r="CM598" s="33" t="str">
        <f aca="false">A598&amp;"|"&amp;B598</f>
        <v>2027-02 月例|高速交通（株）</v>
      </c>
      <c r="CN598" s="34" t="str">
        <f aca="false">IFERROR(INDEX(設定!$D$61:$D$106,MATCH(B598,設定!$B$61:$B$106,0)),"Y")</f>
        <v>Y</v>
      </c>
      <c r="CO598" s="34" t="str">
        <f aca="false">IFERROR(INDEX(設定!$D$20:$D$34,MATCH(A598,設定!$A$20:$A$34,0))&amp;"","")</f>
        <v>2027-01 月例</v>
      </c>
    </row>
    <row r="599" customFormat="false" ht="15" hidden="true" customHeight="false" outlineLevel="0" collapsed="false">
      <c r="A599" s="22" t="s">
        <v>228</v>
      </c>
      <c r="B599" s="23" t="s">
        <v>209</v>
      </c>
      <c r="C599" s="10" t="str">
        <f aca="false">IF(G599="","未受領",IF(G599="なし","報告なし",IF(AL599="○","起票済",IF(OR(AK599="○",F599="一致",F599="入金不要"),"入金確認済","受領済"))))</f>
        <v>未受領</v>
      </c>
      <c r="D599" s="10" t="str">
        <f aca="false">IF(OR(G599="",G599="なし"),"―",IF(CN599="N","対象外",IF(AND(I599="",J599="",K599=""),"標報未入力",IF(CH599&gt;=設定!$B$4,"要確認","問題なし"))))</f>
        <v>―</v>
      </c>
      <c r="E599" s="24" t="str">
        <f aca="false">IF(OR(G599="",G599="なし",CI599="",CJ599=0),"―",IF(CJ599=CI599,"前月同額",IF(CI599=0,"―",IF(ABS(CJ599/CI599-1)&gt;=設定!$B$5,"変動大 "&amp;TEXT(CJ599/CI599-1,"+0%;-0%"),"〇"))))</f>
        <v>―</v>
      </c>
      <c r="F599" s="10" t="str">
        <f aca="false">IF(OR(G599="",G599="なし"),"―",IF(CJ599=0,"入金不要",IF(COUNT(AD599,AF599,AH599,AJ599)=0,IF(AK599="○","手動確認","未入金"),IF(AND(N(AD599)=AC599,IF(AE599="",TRUE(),N(AF599)=AE599),IF(AG599="",TRUE(),N(AH599)=AG599),IF(AI599="",TRUE(),N(AJ599)=AI599)),"一致","不一致"))))</f>
        <v>―</v>
      </c>
      <c r="G599" s="25"/>
      <c r="H599" s="26"/>
      <c r="I599" s="27"/>
      <c r="J599" s="27"/>
      <c r="K599" s="27"/>
      <c r="L599" s="27"/>
      <c r="M599" s="27"/>
      <c r="N599" s="27"/>
      <c r="O599" s="27"/>
      <c r="P599" s="27"/>
      <c r="Q599" s="27"/>
      <c r="R599" s="27"/>
      <c r="S599" s="27"/>
      <c r="T599" s="27"/>
      <c r="U599" s="27"/>
      <c r="V599" s="27"/>
      <c r="W599" s="27"/>
      <c r="X599" s="27"/>
      <c r="Y599" s="27"/>
      <c r="Z599" s="27"/>
      <c r="AA599" s="10" t="str">
        <f aca="false">IFERROR(INDEX(設定!$E$61:$E$106,MATCH(B599,設定!$B$61:$B$106,0)),"合算")</f>
        <v>合算</v>
      </c>
      <c r="AB599" s="28"/>
      <c r="AC599" s="29" t="str">
        <f aca="false">IF(OR(G599="",G599="なし"),"",IF(AA599="合算",CJ599+N(Z599),IF(AA599="掛金・負担金別",(AY599+AZ599+BD599+BF599+BH599),SUM(AY599:BC599))))</f>
        <v/>
      </c>
      <c r="AD599" s="27"/>
      <c r="AE599" s="29" t="str">
        <f aca="false">IF(OR(G599="",G599="なし"),"",IF(AA599="掛金・負担金別",(BA599+BB599+BC599+BE599+BG599+BI599+N(Z599)),IF(AA599="経理区分別",BD599+BE599,"")))</f>
        <v/>
      </c>
      <c r="AF599" s="27"/>
      <c r="AG599" s="29" t="str">
        <f aca="false">IF(OR(G599="",G599="なし"),"",IF(AA599="経理区分別",BF599+BG599,""))</f>
        <v/>
      </c>
      <c r="AH599" s="27"/>
      <c r="AI599" s="29" t="str">
        <f aca="false">IF(OR(G599="",G599="なし"),"",IF(AA599="経理区分別",BH599+BI599+N(Z599),""))</f>
        <v/>
      </c>
      <c r="AJ599" s="27"/>
      <c r="AK599" s="26"/>
      <c r="AL599" s="26"/>
      <c r="AM599" s="30"/>
      <c r="AN599" s="31" t="n">
        <v>53985</v>
      </c>
      <c r="AO599" s="31" t="n">
        <v>4425</v>
      </c>
      <c r="AP599" s="31" t="n">
        <v>53985</v>
      </c>
      <c r="AQ599" s="31" t="n">
        <v>4425</v>
      </c>
      <c r="AR599" s="31" t="n">
        <v>55</v>
      </c>
      <c r="AS599" s="31"/>
      <c r="AT599" s="31"/>
      <c r="AU599" s="31"/>
      <c r="AV599" s="31"/>
      <c r="AW599" s="31"/>
      <c r="AX599" s="31"/>
      <c r="AY599" s="31" t="n">
        <f aca="false">IF($G599="",AN599,O599)</f>
        <v>53985</v>
      </c>
      <c r="AZ599" s="31" t="n">
        <f aca="false">IF($G599="",AO599,P599)</f>
        <v>4425</v>
      </c>
      <c r="BA599" s="31" t="n">
        <f aca="false">IF($G599="",AP599,T599)</f>
        <v>53985</v>
      </c>
      <c r="BB599" s="31" t="n">
        <f aca="false">IF($G599="",AQ599,U599)</f>
        <v>4425</v>
      </c>
      <c r="BC599" s="31" t="n">
        <f aca="false">IF($G599="",AR599,V599)</f>
        <v>55</v>
      </c>
      <c r="BD599" s="31" t="n">
        <f aca="false">IF($G599="",AS599,Q599)</f>
        <v>0</v>
      </c>
      <c r="BE599" s="31" t="n">
        <f aca="false">IF($G599="",AT599,W599)</f>
        <v>0</v>
      </c>
      <c r="BF599" s="31" t="n">
        <f aca="false">IF($G599="",AU599,R599)</f>
        <v>0</v>
      </c>
      <c r="BG599" s="31" t="n">
        <f aca="false">IF($G599="",AV599,X599)</f>
        <v>0</v>
      </c>
      <c r="BH599" s="31" t="n">
        <f aca="false">IF($G599="",AW599,S599)</f>
        <v>0</v>
      </c>
      <c r="BI599" s="31" t="n">
        <f aca="false">IF($G599="",AX599,Y599)</f>
        <v>0</v>
      </c>
      <c r="BJ599" s="31" t="n">
        <f aca="false">IF(CK599="N",BR599,ROUNDDOWN((I599-L599)*設定!$B$10/1000,0)+ROUNDDOWN((I599-L599)*設定!$B$11/1000,0))</f>
        <v>0</v>
      </c>
      <c r="BK599" s="31" t="n">
        <f aca="false">ROUNDDOWN((I599-L599)*設定!$C$10/1000,0)+ROUNDDOWN((I599-L599)*設定!$C$11/1000,0)+ROUNDDOWN(I599*設定!$C$12/1000,0)+IF(CL599="市局型",ROUNDDOWN(I599*設定!$C$16/1000,0),0)</f>
        <v>0</v>
      </c>
      <c r="BL599" s="31" t="n">
        <f aca="false">IF(CK599="N",BT599,ROUNDDOWN((J599-M599)*設定!$B$13/1000,0))</f>
        <v>0</v>
      </c>
      <c r="BM599" s="31" t="n">
        <f aca="false">ROUNDDOWN((J599-M599)*設定!$C$13/1000,0)+IF(CL599="市局型",ROUNDDOWN(J599*設定!$C$17/1000,0),0)</f>
        <v>0</v>
      </c>
      <c r="BN599" s="31" t="n">
        <f aca="false">IF(CK599="N",BV599,ROUNDDOWN((K599-N599)*設定!$B$14/1000,0))</f>
        <v>0</v>
      </c>
      <c r="BO599" s="31" t="n">
        <f aca="false">ROUNDDOWN((K599-N599)*設定!$C$14/1000,0)</f>
        <v>0</v>
      </c>
      <c r="BP599" s="31" t="n">
        <f aca="false">IF(CK599="N",BX599,ROUNDDOWN((J599-M599)*設定!$B$15/1000,0))</f>
        <v>0</v>
      </c>
      <c r="BQ599" s="31" t="n">
        <f aca="false">ROUNDDOWN((J599-M599)*設定!$C$15/1000,0)</f>
        <v>0</v>
      </c>
      <c r="BR599" s="31" t="n">
        <f aca="false">O599+P599</f>
        <v>0</v>
      </c>
      <c r="BS599" s="31" t="n">
        <f aca="false">T599+U599+V599</f>
        <v>0</v>
      </c>
      <c r="BT599" s="31" t="n">
        <f aca="false">Q599</f>
        <v>0</v>
      </c>
      <c r="BU599" s="31" t="n">
        <f aca="false">W599</f>
        <v>0</v>
      </c>
      <c r="BV599" s="31" t="n">
        <f aca="false">R599</f>
        <v>0</v>
      </c>
      <c r="BW599" s="31" t="n">
        <f aca="false">X599</f>
        <v>0</v>
      </c>
      <c r="BX599" s="31" t="n">
        <f aca="false">S599</f>
        <v>0</v>
      </c>
      <c r="BY599" s="31" t="n">
        <f aca="false">Y599</f>
        <v>0</v>
      </c>
      <c r="BZ599" s="32" t="n">
        <f aca="false">IF(BJ599=0,IF(BR599=0,0,1),(BR599-BJ599)/BJ599)</f>
        <v>0</v>
      </c>
      <c r="CA599" s="32" t="n">
        <f aca="false">IF(BK599=0,IF(BS599=0,0,1),(BS599-BK599)/BK599)</f>
        <v>0</v>
      </c>
      <c r="CB599" s="32" t="n">
        <f aca="false">IF(BL599=0,IF(BT599=0,0,1),(BT599-BL599)/BL599)</f>
        <v>0</v>
      </c>
      <c r="CC599" s="32" t="n">
        <f aca="false">IF(BM599=0,IF(BU599=0,0,1),(BU599-BM599)/BM599)</f>
        <v>0</v>
      </c>
      <c r="CD599" s="32" t="n">
        <f aca="false">IF(BN599=0,IF(BV599=0,0,1),(BV599-BN599)/BN599)</f>
        <v>0</v>
      </c>
      <c r="CE599" s="32" t="n">
        <f aca="false">IF(BO599=0,IF(BW599=0,0,1),(BW599-BO599)/BO599)</f>
        <v>0</v>
      </c>
      <c r="CF599" s="32" t="n">
        <f aca="false">IF(BP599=0,IF(BX599=0,0,1),(BX599-BP599)/BP599)</f>
        <v>0</v>
      </c>
      <c r="CG599" s="32" t="n">
        <f aca="false">IF(BQ599=0,IF(BY599=0,0,1),(BY599-BQ599)/BQ599)</f>
        <v>0</v>
      </c>
      <c r="CH599" s="32" t="n">
        <f aca="false">MAX(MAX(BZ599:CG599),-MIN(BZ599:CG599))</f>
        <v>-0</v>
      </c>
      <c r="CI599" s="31" t="n">
        <f aca="false">IF(CO599="","",SUMIFS($CJ$7:$CJ$696,$A$7:$A$696,CO599,$B$7:$B$696,B599))</f>
        <v>116875</v>
      </c>
      <c r="CJ599" s="31" t="n">
        <f aca="false">SUM(AY599:BI599)</f>
        <v>116875</v>
      </c>
      <c r="CK599" s="31" t="str">
        <f aca="false">IFERROR(INDEX(設定!$F$61:$F$106,MATCH(B599,設定!$B$61:$B$106,0)),"Y")</f>
        <v>Y</v>
      </c>
      <c r="CL599" s="31" t="str">
        <f aca="false">IFERROR(INDEX(設定!$G$61:$G$106,MATCH(B599,設定!$B$61:$B$106,0)),"外郭型")</f>
        <v>外郭型</v>
      </c>
      <c r="CM599" s="33" t="str">
        <f aca="false">A599&amp;"|"&amp;B599</f>
        <v>2027-02 月例|広島駅南口開発（株）</v>
      </c>
      <c r="CN599" s="34" t="str">
        <f aca="false">IFERROR(INDEX(設定!$D$61:$D$106,MATCH(B599,設定!$B$61:$B$106,0)),"Y")</f>
        <v>Y</v>
      </c>
      <c r="CO599" s="34" t="str">
        <f aca="false">IFERROR(INDEX(設定!$D$20:$D$34,MATCH(A599,設定!$A$20:$A$34,0))&amp;"","")</f>
        <v>2027-01 月例</v>
      </c>
    </row>
    <row r="600" customFormat="false" ht="15" hidden="true" customHeight="false" outlineLevel="0" collapsed="false">
      <c r="A600" s="22" t="s">
        <v>228</v>
      </c>
      <c r="B600" s="23" t="s">
        <v>210</v>
      </c>
      <c r="C600" s="10" t="str">
        <f aca="false">IF(G600="","未受領",IF(G600="なし","報告なし",IF(AL600="○","起票済",IF(OR(AK600="○",F600="一致",F600="入金不要"),"入金確認済","受領済"))))</f>
        <v>未受領</v>
      </c>
      <c r="D600" s="10" t="str">
        <f aca="false">IF(OR(G600="",G600="なし"),"―",IF(CN600="N","対象外",IF(AND(I600="",J600="",K600=""),"標報未入力",IF(CH600&gt;=設定!$B$4,"要確認","問題なし"))))</f>
        <v>―</v>
      </c>
      <c r="E600" s="24" t="str">
        <f aca="false">IF(OR(G600="",G600="なし",CI600="",CJ600=0),"―",IF(CJ600=CI600,"前月同額",IF(CI600=0,"―",IF(ABS(CJ600/CI600-1)&gt;=設定!$B$5,"変動大 "&amp;TEXT(CJ600/CI600-1,"+0%;-0%"),"〇"))))</f>
        <v>―</v>
      </c>
      <c r="F600" s="10" t="str">
        <f aca="false">IF(OR(G600="",G600="なし"),"―",IF(CJ600=0,"入金不要",IF(COUNT(AD600,AF600,AH600,AJ600)=0,IF(AK600="○","手動確認","未入金"),IF(AND(N(AD600)=AC600,IF(AE600="",TRUE(),N(AF600)=AE600),IF(AG600="",TRUE(),N(AH600)=AG600),IF(AI600="",TRUE(),N(AJ600)=AI600)),"一致","不一致"))))</f>
        <v>―</v>
      </c>
      <c r="G600" s="25"/>
      <c r="H600" s="26"/>
      <c r="I600" s="27"/>
      <c r="J600" s="27"/>
      <c r="K600" s="27"/>
      <c r="L600" s="27"/>
      <c r="M600" s="27"/>
      <c r="N600" s="27"/>
      <c r="O600" s="27"/>
      <c r="P600" s="27"/>
      <c r="Q600" s="27"/>
      <c r="R600" s="27"/>
      <c r="S600" s="27"/>
      <c r="T600" s="27"/>
      <c r="U600" s="27"/>
      <c r="V600" s="27"/>
      <c r="W600" s="27"/>
      <c r="X600" s="27"/>
      <c r="Y600" s="27"/>
      <c r="Z600" s="27"/>
      <c r="AA600" s="10" t="str">
        <f aca="false">IFERROR(INDEX(設定!$E$61:$E$106,MATCH(B600,設定!$B$61:$B$106,0)),"合算")</f>
        <v>合算</v>
      </c>
      <c r="AB600" s="28"/>
      <c r="AC600" s="29" t="str">
        <f aca="false">IF(OR(G600="",G600="なし"),"",IF(AA600="合算",CJ600+N(Z600),IF(AA600="掛金・負担金別",(AY600+AZ600+BD600+BF600+BH600),SUM(AY600:BC600))))</f>
        <v/>
      </c>
      <c r="AD600" s="27"/>
      <c r="AE600" s="29" t="str">
        <f aca="false">IF(OR(G600="",G600="なし"),"",IF(AA600="掛金・負担金別",(BA600+BB600+BC600+BE600+BG600+BI600+N(Z600)),IF(AA600="経理区分別",BD600+BE600,"")))</f>
        <v/>
      </c>
      <c r="AF600" s="27"/>
      <c r="AG600" s="29" t="str">
        <f aca="false">IF(OR(G600="",G600="なし"),"",IF(AA600="経理区分別",BF600+BG600,""))</f>
        <v/>
      </c>
      <c r="AH600" s="27"/>
      <c r="AI600" s="29" t="str">
        <f aca="false">IF(OR(G600="",G600="なし"),"",IF(AA600="経理区分別",BH600+BI600+N(Z600),""))</f>
        <v/>
      </c>
      <c r="AJ600" s="27"/>
      <c r="AK600" s="26"/>
      <c r="AL600" s="26"/>
      <c r="AM600" s="30"/>
      <c r="AN600" s="31" t="n">
        <v>29280</v>
      </c>
      <c r="AO600" s="31" t="n">
        <v>2400</v>
      </c>
      <c r="AP600" s="31" t="n">
        <v>29280</v>
      </c>
      <c r="AQ600" s="31" t="n">
        <v>2400</v>
      </c>
      <c r="AR600" s="31"/>
      <c r="AS600" s="31" t="n">
        <v>17603</v>
      </c>
      <c r="AT600" s="31" t="n">
        <v>17635</v>
      </c>
      <c r="AU600" s="31" t="n">
        <v>2528</v>
      </c>
      <c r="AV600" s="31" t="n">
        <v>2528</v>
      </c>
      <c r="AW600" s="31" t="n">
        <v>1</v>
      </c>
      <c r="AX600" s="31" t="n">
        <v>1</v>
      </c>
      <c r="AY600" s="31" t="n">
        <f aca="false">IF($G600="",AN600,O600)</f>
        <v>29280</v>
      </c>
      <c r="AZ600" s="31" t="n">
        <f aca="false">IF($G600="",AO600,P600)</f>
        <v>2400</v>
      </c>
      <c r="BA600" s="31" t="n">
        <f aca="false">IF($G600="",AP600,T600)</f>
        <v>29280</v>
      </c>
      <c r="BB600" s="31" t="n">
        <f aca="false">IF($G600="",AQ600,U600)</f>
        <v>2400</v>
      </c>
      <c r="BC600" s="31" t="n">
        <f aca="false">IF($G600="",AR600,V600)</f>
        <v>0</v>
      </c>
      <c r="BD600" s="31" t="n">
        <f aca="false">IF($G600="",AS600,Q600)</f>
        <v>17603</v>
      </c>
      <c r="BE600" s="31" t="n">
        <f aca="false">IF($G600="",AT600,W600)</f>
        <v>17635</v>
      </c>
      <c r="BF600" s="31" t="n">
        <f aca="false">IF($G600="",AU600,R600)</f>
        <v>2528</v>
      </c>
      <c r="BG600" s="31" t="n">
        <f aca="false">IF($G600="",AV600,X600)</f>
        <v>2528</v>
      </c>
      <c r="BH600" s="31" t="n">
        <f aca="false">IF($G600="",AW600,S600)</f>
        <v>1</v>
      </c>
      <c r="BI600" s="31" t="n">
        <f aca="false">IF($G600="",AX600,Y600)</f>
        <v>1</v>
      </c>
      <c r="BJ600" s="31" t="n">
        <f aca="false">IF(CK600="N",BR600,ROUNDDOWN((I600-L600)*設定!$B$10/1000,0)+ROUNDDOWN((I600-L600)*設定!$B$11/1000,0))</f>
        <v>0</v>
      </c>
      <c r="BK600" s="31" t="n">
        <f aca="false">ROUNDDOWN((I600-L600)*設定!$C$10/1000,0)+ROUNDDOWN((I600-L600)*設定!$C$11/1000,0)+ROUNDDOWN(I600*設定!$C$12/1000,0)+IF(CL600="市局型",ROUNDDOWN(I600*設定!$C$16/1000,0),0)</f>
        <v>0</v>
      </c>
      <c r="BL600" s="31" t="n">
        <f aca="false">IF(CK600="N",BT600,ROUNDDOWN((J600-M600)*設定!$B$13/1000,0))</f>
        <v>0</v>
      </c>
      <c r="BM600" s="31" t="n">
        <f aca="false">ROUNDDOWN((J600-M600)*設定!$C$13/1000,0)+IF(CL600="市局型",ROUNDDOWN(J600*設定!$C$17/1000,0),0)</f>
        <v>0</v>
      </c>
      <c r="BN600" s="31" t="n">
        <f aca="false">IF(CK600="N",BV600,ROUNDDOWN((K600-N600)*設定!$B$14/1000,0))</f>
        <v>0</v>
      </c>
      <c r="BO600" s="31" t="n">
        <f aca="false">ROUNDDOWN((K600-N600)*設定!$C$14/1000,0)</f>
        <v>0</v>
      </c>
      <c r="BP600" s="31" t="n">
        <f aca="false">IF(CK600="N",BX600,ROUNDDOWN((J600-M600)*設定!$B$15/1000,0))</f>
        <v>0</v>
      </c>
      <c r="BQ600" s="31" t="n">
        <f aca="false">ROUNDDOWN((J600-M600)*設定!$C$15/1000,0)</f>
        <v>0</v>
      </c>
      <c r="BR600" s="31" t="n">
        <f aca="false">O600+P600</f>
        <v>0</v>
      </c>
      <c r="BS600" s="31" t="n">
        <f aca="false">T600+U600+V600</f>
        <v>0</v>
      </c>
      <c r="BT600" s="31" t="n">
        <f aca="false">Q600</f>
        <v>0</v>
      </c>
      <c r="BU600" s="31" t="n">
        <f aca="false">W600</f>
        <v>0</v>
      </c>
      <c r="BV600" s="31" t="n">
        <f aca="false">R600</f>
        <v>0</v>
      </c>
      <c r="BW600" s="31" t="n">
        <f aca="false">X600</f>
        <v>0</v>
      </c>
      <c r="BX600" s="31" t="n">
        <f aca="false">S600</f>
        <v>0</v>
      </c>
      <c r="BY600" s="31" t="n">
        <f aca="false">Y600</f>
        <v>0</v>
      </c>
      <c r="BZ600" s="32" t="n">
        <f aca="false">IF(BJ600=0,IF(BR600=0,0,1),(BR600-BJ600)/BJ600)</f>
        <v>0</v>
      </c>
      <c r="CA600" s="32" t="n">
        <f aca="false">IF(BK600=0,IF(BS600=0,0,1),(BS600-BK600)/BK600)</f>
        <v>0</v>
      </c>
      <c r="CB600" s="32" t="n">
        <f aca="false">IF(BL600=0,IF(BT600=0,0,1),(BT600-BL600)/BL600)</f>
        <v>0</v>
      </c>
      <c r="CC600" s="32" t="n">
        <f aca="false">IF(BM600=0,IF(BU600=0,0,1),(BU600-BM600)/BM600)</f>
        <v>0</v>
      </c>
      <c r="CD600" s="32" t="n">
        <f aca="false">IF(BN600=0,IF(BV600=0,0,1),(BV600-BN600)/BN600)</f>
        <v>0</v>
      </c>
      <c r="CE600" s="32" t="n">
        <f aca="false">IF(BO600=0,IF(BW600=0,0,1),(BW600-BO600)/BO600)</f>
        <v>0</v>
      </c>
      <c r="CF600" s="32" t="n">
        <f aca="false">IF(BP600=0,IF(BX600=0,0,1),(BX600-BP600)/BP600)</f>
        <v>0</v>
      </c>
      <c r="CG600" s="32" t="n">
        <f aca="false">IF(BQ600=0,IF(BY600=0,0,1),(BY600-BQ600)/BQ600)</f>
        <v>0</v>
      </c>
      <c r="CH600" s="32" t="n">
        <f aca="false">MAX(MAX(BZ600:CG600),-MIN(BZ600:CG600))</f>
        <v>-0</v>
      </c>
      <c r="CI600" s="31" t="n">
        <f aca="false">IF(CO600="","",SUMIFS($CJ$7:$CJ$696,$A$7:$A$696,CO600,$B$7:$B$696,B600))</f>
        <v>103656</v>
      </c>
      <c r="CJ600" s="31" t="n">
        <f aca="false">SUM(AY600:BI600)</f>
        <v>103656</v>
      </c>
      <c r="CK600" s="31" t="str">
        <f aca="false">IFERROR(INDEX(設定!$F$61:$F$106,MATCH(B600,設定!$B$61:$B$106,0)),"Y")</f>
        <v>Y</v>
      </c>
      <c r="CL600" s="31" t="str">
        <f aca="false">IFERROR(INDEX(設定!$G$61:$G$106,MATCH(B600,設定!$B$61:$B$106,0)),"外郭型")</f>
        <v>外郭型</v>
      </c>
      <c r="CM600" s="33" t="str">
        <f aca="false">A600&amp;"|"&amp;B600</f>
        <v>2027-02 月例|市職員労働組合</v>
      </c>
      <c r="CN600" s="34" t="str">
        <f aca="false">IFERROR(INDEX(設定!$D$61:$D$106,MATCH(B600,設定!$B$61:$B$106,0)),"Y")</f>
        <v>Y</v>
      </c>
      <c r="CO600" s="34" t="str">
        <f aca="false">IFERROR(INDEX(設定!$D$20:$D$34,MATCH(A600,設定!$A$20:$A$34,0))&amp;"","")</f>
        <v>2027-01 月例</v>
      </c>
    </row>
    <row r="601" customFormat="false" ht="15" hidden="true" customHeight="false" outlineLevel="0" collapsed="false">
      <c r="A601" s="22" t="s">
        <v>228</v>
      </c>
      <c r="B601" s="23" t="s">
        <v>211</v>
      </c>
      <c r="C601" s="10" t="str">
        <f aca="false">IF(G601="","未受領",IF(G601="なし","報告なし",IF(AL601="○","起票済",IF(OR(AK601="○",F601="一致",F601="入金不要"),"入金確認済","受領済"))))</f>
        <v>報告なし</v>
      </c>
      <c r="D601" s="10" t="str">
        <f aca="false">IF(OR(G601="",G601="なし"),"―",IF(CN601="N","対象外",IF(AND(I601="",J601="",K601=""),"標報未入力",IF(CH601&gt;=設定!$B$4,"要確認","問題なし"))))</f>
        <v>―</v>
      </c>
      <c r="E601" s="24" t="str">
        <f aca="false">IF(OR(G601="",G601="なし",CI601="",CJ601=0),"―",IF(CJ601=CI601,"前月同額",IF(CI601=0,"―",IF(ABS(CJ601/CI601-1)&gt;=設定!$B$5,"変動大 "&amp;TEXT(CJ601/CI601-1,"+0%;-0%"),"〇"))))</f>
        <v>―</v>
      </c>
      <c r="F601" s="10" t="str">
        <f aca="false">IF(OR(G601="",G601="なし"),"―",IF(CJ601=0,"入金不要",IF(COUNT(AD601,AF601,AH601,AJ601)=0,IF(AK601="○","手動確認","未入金"),IF(AND(N(AD601)=AC601,IF(AE601="",TRUE(),N(AF601)=AE601),IF(AG601="",TRUE(),N(AH601)=AG601),IF(AI601="",TRUE(),N(AJ601)=AI601)),"一致","不一致"))))</f>
        <v>―</v>
      </c>
      <c r="G601" s="25" t="s">
        <v>181</v>
      </c>
      <c r="H601" s="26"/>
      <c r="I601" s="27"/>
      <c r="J601" s="27"/>
      <c r="K601" s="27"/>
      <c r="L601" s="27"/>
      <c r="M601" s="27"/>
      <c r="N601" s="27"/>
      <c r="O601" s="27"/>
      <c r="P601" s="27"/>
      <c r="Q601" s="27"/>
      <c r="R601" s="27"/>
      <c r="S601" s="27"/>
      <c r="T601" s="27"/>
      <c r="U601" s="27"/>
      <c r="V601" s="27"/>
      <c r="W601" s="27"/>
      <c r="X601" s="27"/>
      <c r="Y601" s="27"/>
      <c r="Z601" s="27"/>
      <c r="AA601" s="10" t="str">
        <f aca="false">IFERROR(INDEX(設定!$E$61:$E$106,MATCH(B601,設定!$B$61:$B$106,0)),"合算")</f>
        <v>合算</v>
      </c>
      <c r="AB601" s="28"/>
      <c r="AC601" s="29" t="str">
        <f aca="false">IF(OR(G601="",G601="なし"),"",IF(AA601="合算",CJ601+N(Z601),IF(AA601="掛金・負担金別",(AY601+AZ601+BD601+BF601+BH601),SUM(AY601:BC601))))</f>
        <v/>
      </c>
      <c r="AD601" s="27"/>
      <c r="AE601" s="29" t="str">
        <f aca="false">IF(OR(G601="",G601="なし"),"",IF(AA601="掛金・負担金別",(BA601+BB601+BC601+BE601+BG601+BI601+N(Z601)),IF(AA601="経理区分別",BD601+BE601,"")))</f>
        <v/>
      </c>
      <c r="AF601" s="27"/>
      <c r="AG601" s="29" t="str">
        <f aca="false">IF(OR(G601="",G601="なし"),"",IF(AA601="経理区分別",BF601+BG601,""))</f>
        <v/>
      </c>
      <c r="AH601" s="27"/>
      <c r="AI601" s="29" t="str">
        <f aca="false">IF(OR(G601="",G601="なし"),"",IF(AA601="経理区分別",BH601+BI601+N(Z601),""))</f>
        <v/>
      </c>
      <c r="AJ601" s="27"/>
      <c r="AK601" s="26"/>
      <c r="AL601" s="26"/>
      <c r="AM601" s="30"/>
      <c r="AN601" s="31"/>
      <c r="AO601" s="31"/>
      <c r="AP601" s="31"/>
      <c r="AQ601" s="31"/>
      <c r="AR601" s="31"/>
      <c r="AS601" s="31"/>
      <c r="AT601" s="31"/>
      <c r="AU601" s="31"/>
      <c r="AV601" s="31"/>
      <c r="AW601" s="31"/>
      <c r="AX601" s="31"/>
      <c r="AY601" s="31" t="n">
        <f aca="false">IF($G601="",AN601,O601)</f>
        <v>0</v>
      </c>
      <c r="AZ601" s="31" t="n">
        <f aca="false">IF($G601="",AO601,P601)</f>
        <v>0</v>
      </c>
      <c r="BA601" s="31" t="n">
        <f aca="false">IF($G601="",AP601,T601)</f>
        <v>0</v>
      </c>
      <c r="BB601" s="31" t="n">
        <f aca="false">IF($G601="",AQ601,U601)</f>
        <v>0</v>
      </c>
      <c r="BC601" s="31" t="n">
        <f aca="false">IF($G601="",AR601,V601)</f>
        <v>0</v>
      </c>
      <c r="BD601" s="31" t="n">
        <f aca="false">IF($G601="",AS601,Q601)</f>
        <v>0</v>
      </c>
      <c r="BE601" s="31" t="n">
        <f aca="false">IF($G601="",AT601,W601)</f>
        <v>0</v>
      </c>
      <c r="BF601" s="31" t="n">
        <f aca="false">IF($G601="",AU601,R601)</f>
        <v>0</v>
      </c>
      <c r="BG601" s="31" t="n">
        <f aca="false">IF($G601="",AV601,X601)</f>
        <v>0</v>
      </c>
      <c r="BH601" s="31" t="n">
        <f aca="false">IF($G601="",AW601,S601)</f>
        <v>0</v>
      </c>
      <c r="BI601" s="31" t="n">
        <f aca="false">IF($G601="",AX601,Y601)</f>
        <v>0</v>
      </c>
      <c r="BJ601" s="31" t="n">
        <f aca="false">IF(CK601="N",BR601,ROUNDDOWN((I601-L601)*設定!$B$10/1000,0)+ROUNDDOWN((I601-L601)*設定!$B$11/1000,0))</f>
        <v>0</v>
      </c>
      <c r="BK601" s="31" t="n">
        <f aca="false">ROUNDDOWN((I601-L601)*設定!$C$10/1000,0)+ROUNDDOWN((I601-L601)*設定!$C$11/1000,0)+ROUNDDOWN(I601*設定!$C$12/1000,0)+IF(CL601="市局型",ROUNDDOWN(I601*設定!$C$16/1000,0),0)</f>
        <v>0</v>
      </c>
      <c r="BL601" s="31" t="n">
        <f aca="false">IF(CK601="N",BT601,ROUNDDOWN((J601-M601)*設定!$B$13/1000,0))</f>
        <v>0</v>
      </c>
      <c r="BM601" s="31" t="n">
        <f aca="false">ROUNDDOWN((J601-M601)*設定!$C$13/1000,0)+IF(CL601="市局型",ROUNDDOWN(J601*設定!$C$17/1000,0),0)</f>
        <v>0</v>
      </c>
      <c r="BN601" s="31" t="n">
        <f aca="false">IF(CK601="N",BV601,ROUNDDOWN((K601-N601)*設定!$B$14/1000,0))</f>
        <v>0</v>
      </c>
      <c r="BO601" s="31" t="n">
        <f aca="false">ROUNDDOWN((K601-N601)*設定!$C$14/1000,0)</f>
        <v>0</v>
      </c>
      <c r="BP601" s="31" t="n">
        <f aca="false">IF(CK601="N",BX601,ROUNDDOWN((J601-M601)*設定!$B$15/1000,0))</f>
        <v>0</v>
      </c>
      <c r="BQ601" s="31" t="n">
        <f aca="false">ROUNDDOWN((J601-M601)*設定!$C$15/1000,0)</f>
        <v>0</v>
      </c>
      <c r="BR601" s="31" t="n">
        <f aca="false">O601+P601</f>
        <v>0</v>
      </c>
      <c r="BS601" s="31" t="n">
        <f aca="false">T601+U601+V601</f>
        <v>0</v>
      </c>
      <c r="BT601" s="31" t="n">
        <f aca="false">Q601</f>
        <v>0</v>
      </c>
      <c r="BU601" s="31" t="n">
        <f aca="false">W601</f>
        <v>0</v>
      </c>
      <c r="BV601" s="31" t="n">
        <f aca="false">R601</f>
        <v>0</v>
      </c>
      <c r="BW601" s="31" t="n">
        <f aca="false">X601</f>
        <v>0</v>
      </c>
      <c r="BX601" s="31" t="n">
        <f aca="false">S601</f>
        <v>0</v>
      </c>
      <c r="BY601" s="31" t="n">
        <f aca="false">Y601</f>
        <v>0</v>
      </c>
      <c r="BZ601" s="32" t="n">
        <f aca="false">IF(BJ601=0,IF(BR601=0,0,1),(BR601-BJ601)/BJ601)</f>
        <v>0</v>
      </c>
      <c r="CA601" s="32" t="n">
        <f aca="false">IF(BK601=0,IF(BS601=0,0,1),(BS601-BK601)/BK601)</f>
        <v>0</v>
      </c>
      <c r="CB601" s="32" t="n">
        <f aca="false">IF(BL601=0,IF(BT601=0,0,1),(BT601-BL601)/BL601)</f>
        <v>0</v>
      </c>
      <c r="CC601" s="32" t="n">
        <f aca="false">IF(BM601=0,IF(BU601=0,0,1),(BU601-BM601)/BM601)</f>
        <v>0</v>
      </c>
      <c r="CD601" s="32" t="n">
        <f aca="false">IF(BN601=0,IF(BV601=0,0,1),(BV601-BN601)/BN601)</f>
        <v>0</v>
      </c>
      <c r="CE601" s="32" t="n">
        <f aca="false">IF(BO601=0,IF(BW601=0,0,1),(BW601-BO601)/BO601)</f>
        <v>0</v>
      </c>
      <c r="CF601" s="32" t="n">
        <f aca="false">IF(BP601=0,IF(BX601=0,0,1),(BX601-BP601)/BP601)</f>
        <v>0</v>
      </c>
      <c r="CG601" s="32" t="n">
        <f aca="false">IF(BQ601=0,IF(BY601=0,0,1),(BY601-BQ601)/BQ601)</f>
        <v>0</v>
      </c>
      <c r="CH601" s="32" t="n">
        <f aca="false">MAX(MAX(BZ601:CG601),-MIN(BZ601:CG601))</f>
        <v>-0</v>
      </c>
      <c r="CI601" s="31" t="n">
        <f aca="false">IF(CO601="","",SUMIFS($CJ$7:$CJ$696,$A$7:$A$696,CO601,$B$7:$B$696,B601))</f>
        <v>0</v>
      </c>
      <c r="CJ601" s="31" t="n">
        <f aca="false">SUM(AY601:BI601)</f>
        <v>0</v>
      </c>
      <c r="CK601" s="31" t="str">
        <f aca="false">IFERROR(INDEX(設定!$F$61:$F$106,MATCH(B601,設定!$B$61:$B$106,0)),"Y")</f>
        <v>N</v>
      </c>
      <c r="CL601" s="31" t="str">
        <f aca="false">IFERROR(INDEX(設定!$G$61:$G$106,MATCH(B601,設定!$B$61:$B$106,0)),"外郭型")</f>
        <v>外郭型</v>
      </c>
      <c r="CM601" s="33" t="str">
        <f aca="false">A601&amp;"|"&amp;B601</f>
        <v>2027-02 月例|自治労労働組合</v>
      </c>
      <c r="CN601" s="34" t="str">
        <f aca="false">IFERROR(INDEX(設定!$D$61:$D$106,MATCH(B601,設定!$B$61:$B$106,0)),"Y")</f>
        <v>Y</v>
      </c>
      <c r="CO601" s="34" t="str">
        <f aca="false">IFERROR(INDEX(設定!$D$20:$D$34,MATCH(A601,設定!$A$20:$A$34,0))&amp;"","")</f>
        <v>2027-01 月例</v>
      </c>
    </row>
    <row r="602" customFormat="false" ht="15" hidden="true" customHeight="false" outlineLevel="0" collapsed="false">
      <c r="A602" s="22" t="s">
        <v>228</v>
      </c>
      <c r="B602" s="23" t="s">
        <v>212</v>
      </c>
      <c r="C602" s="10" t="str">
        <f aca="false">IF(G602="","未受領",IF(G602="なし","報告なし",IF(AL602="○","起票済",IF(OR(AK602="○",F602="一致",F602="入金不要"),"入金確認済","受領済"))))</f>
        <v>未受領</v>
      </c>
      <c r="D602" s="10" t="str">
        <f aca="false">IF(OR(G602="",G602="なし"),"―",IF(CN602="N","対象外",IF(AND(I602="",J602="",K602=""),"標報未入力",IF(CH602&gt;=設定!$B$4,"要確認","問題なし"))))</f>
        <v>―</v>
      </c>
      <c r="E602" s="24" t="str">
        <f aca="false">IF(OR(G602="",G602="なし",CI602="",CJ602=0),"―",IF(CJ602=CI602,"前月同額",IF(CI602=0,"―",IF(ABS(CJ602/CI602-1)&gt;=設定!$B$5,"変動大 "&amp;TEXT(CJ602/CI602-1,"+0%;-0%"),"〇"))))</f>
        <v>―</v>
      </c>
      <c r="F602" s="10" t="str">
        <f aca="false">IF(OR(G602="",G602="なし"),"―",IF(CJ602=0,"入金不要",IF(COUNT(AD602,AF602,AH602,AJ602)=0,IF(AK602="○","手動確認","未入金"),IF(AND(N(AD602)=AC602,IF(AE602="",TRUE(),N(AF602)=AE602),IF(AG602="",TRUE(),N(AH602)=AG602),IF(AI602="",TRUE(),N(AJ602)=AI602)),"一致","不一致"))))</f>
        <v>―</v>
      </c>
      <c r="G602" s="25"/>
      <c r="H602" s="26"/>
      <c r="I602" s="27"/>
      <c r="J602" s="27"/>
      <c r="K602" s="27"/>
      <c r="L602" s="27"/>
      <c r="M602" s="27"/>
      <c r="N602" s="27"/>
      <c r="O602" s="27"/>
      <c r="P602" s="27"/>
      <c r="Q602" s="27"/>
      <c r="R602" s="27"/>
      <c r="S602" s="27"/>
      <c r="T602" s="27"/>
      <c r="U602" s="27"/>
      <c r="V602" s="27"/>
      <c r="W602" s="27"/>
      <c r="X602" s="27"/>
      <c r="Y602" s="27"/>
      <c r="Z602" s="27"/>
      <c r="AA602" s="10" t="str">
        <f aca="false">IFERROR(INDEX(設定!$E$61:$E$106,MATCH(B602,設定!$B$61:$B$106,0)),"合算")</f>
        <v>合算</v>
      </c>
      <c r="AB602" s="28"/>
      <c r="AC602" s="29" t="str">
        <f aca="false">IF(OR(G602="",G602="なし"),"",IF(AA602="合算",CJ602+N(Z602),IF(AA602="掛金・負担金別",(AY602+AZ602+BD602+BF602+BH602),SUM(AY602:BC602))))</f>
        <v/>
      </c>
      <c r="AD602" s="27"/>
      <c r="AE602" s="29" t="str">
        <f aca="false">IF(OR(G602="",G602="なし"),"",IF(AA602="掛金・負担金別",(BA602+BB602+BC602+BE602+BG602+BI602+N(Z602)),IF(AA602="経理区分別",BD602+BE602,"")))</f>
        <v/>
      </c>
      <c r="AF602" s="27"/>
      <c r="AG602" s="29" t="str">
        <f aca="false">IF(OR(G602="",G602="なし"),"",IF(AA602="経理区分別",BF602+BG602,""))</f>
        <v/>
      </c>
      <c r="AH602" s="27"/>
      <c r="AI602" s="29" t="str">
        <f aca="false">IF(OR(G602="",G602="なし"),"",IF(AA602="経理区分別",BH602+BI602+N(Z602),""))</f>
        <v/>
      </c>
      <c r="AJ602" s="27"/>
      <c r="AK602" s="26"/>
      <c r="AL602" s="26"/>
      <c r="AM602" s="30"/>
      <c r="AN602" s="31" t="n">
        <v>27450</v>
      </c>
      <c r="AO602" s="31" t="n">
        <v>2250</v>
      </c>
      <c r="AP602" s="31" t="n">
        <v>27450</v>
      </c>
      <c r="AQ602" s="31" t="n">
        <v>2250</v>
      </c>
      <c r="AR602" s="31"/>
      <c r="AS602" s="31" t="n">
        <v>33006</v>
      </c>
      <c r="AT602" s="31" t="n">
        <v>33066</v>
      </c>
      <c r="AU602" s="31" t="n">
        <v>2370</v>
      </c>
      <c r="AV602" s="31" t="n">
        <v>2370</v>
      </c>
      <c r="AW602" s="31" t="n">
        <v>1</v>
      </c>
      <c r="AX602" s="31" t="n">
        <v>1</v>
      </c>
      <c r="AY602" s="31" t="n">
        <f aca="false">IF($G602="",AN602,O602)</f>
        <v>27450</v>
      </c>
      <c r="AZ602" s="31" t="n">
        <f aca="false">IF($G602="",AO602,P602)</f>
        <v>2250</v>
      </c>
      <c r="BA602" s="31" t="n">
        <f aca="false">IF($G602="",AP602,T602)</f>
        <v>27450</v>
      </c>
      <c r="BB602" s="31" t="n">
        <f aca="false">IF($G602="",AQ602,U602)</f>
        <v>2250</v>
      </c>
      <c r="BC602" s="31" t="n">
        <f aca="false">IF($G602="",AR602,V602)</f>
        <v>0</v>
      </c>
      <c r="BD602" s="31" t="n">
        <f aca="false">IF($G602="",AS602,Q602)</f>
        <v>33006</v>
      </c>
      <c r="BE602" s="31" t="n">
        <f aca="false">IF($G602="",AT602,W602)</f>
        <v>33066</v>
      </c>
      <c r="BF602" s="31" t="n">
        <f aca="false">IF($G602="",AU602,R602)</f>
        <v>2370</v>
      </c>
      <c r="BG602" s="31" t="n">
        <f aca="false">IF($G602="",AV602,X602)</f>
        <v>2370</v>
      </c>
      <c r="BH602" s="31" t="n">
        <f aca="false">IF($G602="",AW602,S602)</f>
        <v>1</v>
      </c>
      <c r="BI602" s="31" t="n">
        <f aca="false">IF($G602="",AX602,Y602)</f>
        <v>1</v>
      </c>
      <c r="BJ602" s="31" t="n">
        <f aca="false">IF(CK602="N",BR602,ROUNDDOWN((I602-L602)*設定!$B$10/1000,0)+ROUNDDOWN((I602-L602)*設定!$B$11/1000,0))</f>
        <v>0</v>
      </c>
      <c r="BK602" s="31" t="n">
        <f aca="false">ROUNDDOWN((I602-L602)*設定!$C$10/1000,0)+ROUNDDOWN((I602-L602)*設定!$C$11/1000,0)+ROUNDDOWN(I602*設定!$C$12/1000,0)+IF(CL602="市局型",ROUNDDOWN(I602*設定!$C$16/1000,0),0)</f>
        <v>0</v>
      </c>
      <c r="BL602" s="31" t="n">
        <f aca="false">IF(CK602="N",BT602,ROUNDDOWN((J602-M602)*設定!$B$13/1000,0))</f>
        <v>0</v>
      </c>
      <c r="BM602" s="31" t="n">
        <f aca="false">ROUNDDOWN((J602-M602)*設定!$C$13/1000,0)+IF(CL602="市局型",ROUNDDOWN(J602*設定!$C$17/1000,0),0)</f>
        <v>0</v>
      </c>
      <c r="BN602" s="31" t="n">
        <f aca="false">IF(CK602="N",BV602,ROUNDDOWN((K602-N602)*設定!$B$14/1000,0))</f>
        <v>0</v>
      </c>
      <c r="BO602" s="31" t="n">
        <f aca="false">ROUNDDOWN((K602-N602)*設定!$C$14/1000,0)</f>
        <v>0</v>
      </c>
      <c r="BP602" s="31" t="n">
        <f aca="false">IF(CK602="N",BX602,ROUNDDOWN((J602-M602)*設定!$B$15/1000,0))</f>
        <v>0</v>
      </c>
      <c r="BQ602" s="31" t="n">
        <f aca="false">ROUNDDOWN((J602-M602)*設定!$C$15/1000,0)</f>
        <v>0</v>
      </c>
      <c r="BR602" s="31" t="n">
        <f aca="false">O602+P602</f>
        <v>0</v>
      </c>
      <c r="BS602" s="31" t="n">
        <f aca="false">T602+U602+V602</f>
        <v>0</v>
      </c>
      <c r="BT602" s="31" t="n">
        <f aca="false">Q602</f>
        <v>0</v>
      </c>
      <c r="BU602" s="31" t="n">
        <f aca="false">W602</f>
        <v>0</v>
      </c>
      <c r="BV602" s="31" t="n">
        <f aca="false">R602</f>
        <v>0</v>
      </c>
      <c r="BW602" s="31" t="n">
        <f aca="false">X602</f>
        <v>0</v>
      </c>
      <c r="BX602" s="31" t="n">
        <f aca="false">S602</f>
        <v>0</v>
      </c>
      <c r="BY602" s="31" t="n">
        <f aca="false">Y602</f>
        <v>0</v>
      </c>
      <c r="BZ602" s="32" t="n">
        <f aca="false">IF(BJ602=0,IF(BR602=0,0,1),(BR602-BJ602)/BJ602)</f>
        <v>0</v>
      </c>
      <c r="CA602" s="32" t="n">
        <f aca="false">IF(BK602=0,IF(BS602=0,0,1),(BS602-BK602)/BK602)</f>
        <v>0</v>
      </c>
      <c r="CB602" s="32" t="n">
        <f aca="false">IF(BL602=0,IF(BT602=0,0,1),(BT602-BL602)/BL602)</f>
        <v>0</v>
      </c>
      <c r="CC602" s="32" t="n">
        <f aca="false">IF(BM602=0,IF(BU602=0,0,1),(BU602-BM602)/BM602)</f>
        <v>0</v>
      </c>
      <c r="CD602" s="32" t="n">
        <f aca="false">IF(BN602=0,IF(BV602=0,0,1),(BV602-BN602)/BN602)</f>
        <v>0</v>
      </c>
      <c r="CE602" s="32" t="n">
        <f aca="false">IF(BO602=0,IF(BW602=0,0,1),(BW602-BO602)/BO602)</f>
        <v>0</v>
      </c>
      <c r="CF602" s="32" t="n">
        <f aca="false">IF(BP602=0,IF(BX602=0,0,1),(BX602-BP602)/BP602)</f>
        <v>0</v>
      </c>
      <c r="CG602" s="32" t="n">
        <f aca="false">IF(BQ602=0,IF(BY602=0,0,1),(BY602-BQ602)/BQ602)</f>
        <v>0</v>
      </c>
      <c r="CH602" s="32" t="n">
        <f aca="false">MAX(MAX(BZ602:CG602),-MIN(BZ602:CG602))</f>
        <v>-0</v>
      </c>
      <c r="CI602" s="31" t="n">
        <f aca="false">IF(CO602="","",SUMIFS($CJ$7:$CJ$696,$A$7:$A$696,CO602,$B$7:$B$696,B602))</f>
        <v>130214</v>
      </c>
      <c r="CJ602" s="31" t="n">
        <f aca="false">SUM(AY602:BI602)</f>
        <v>130214</v>
      </c>
      <c r="CK602" s="31" t="str">
        <f aca="false">IFERROR(INDEX(設定!$F$61:$F$106,MATCH(B602,設定!$B$61:$B$106,0)),"Y")</f>
        <v>Y</v>
      </c>
      <c r="CL602" s="31" t="str">
        <f aca="false">IFERROR(INDEX(設定!$G$61:$G$106,MATCH(B602,設定!$B$61:$B$106,0)),"外郭型")</f>
        <v>外郭型</v>
      </c>
      <c r="CM602" s="33" t="str">
        <f aca="false">A602&amp;"|"&amp;B602</f>
        <v>2027-02 月例|病院労働組合</v>
      </c>
      <c r="CN602" s="34" t="str">
        <f aca="false">IFERROR(INDEX(設定!$D$61:$D$106,MATCH(B602,設定!$B$61:$B$106,0)),"Y")</f>
        <v>Y</v>
      </c>
      <c r="CO602" s="34" t="str">
        <f aca="false">IFERROR(INDEX(設定!$D$20:$D$34,MATCH(A602,設定!$A$20:$A$34,0))&amp;"","")</f>
        <v>2027-01 月例</v>
      </c>
    </row>
    <row r="603" customFormat="false" ht="15" hidden="true" customHeight="false" outlineLevel="0" collapsed="false">
      <c r="A603" s="22" t="s">
        <v>228</v>
      </c>
      <c r="B603" s="23" t="s">
        <v>213</v>
      </c>
      <c r="C603" s="10" t="str">
        <f aca="false">IF(G603="","未受領",IF(G603="なし","報告なし",IF(AL603="○","起票済",IF(OR(AK603="○",F603="一致",F603="入金不要"),"入金確認済","受領済"))))</f>
        <v>報告なし</v>
      </c>
      <c r="D603" s="10" t="str">
        <f aca="false">IF(OR(G603="",G603="なし"),"―",IF(CN603="N","対象外",IF(AND(I603="",J603="",K603=""),"標報未入力",IF(CH603&gt;=設定!$B$4,"要確認","問題なし"))))</f>
        <v>―</v>
      </c>
      <c r="E603" s="24" t="str">
        <f aca="false">IF(OR(G603="",G603="なし",CI603="",CJ603=0),"―",IF(CJ603=CI603,"前月同額",IF(CI603=0,"―",IF(ABS(CJ603/CI603-1)&gt;=設定!$B$5,"変動大 "&amp;TEXT(CJ603/CI603-1,"+0%;-0%"),"〇"))))</f>
        <v>―</v>
      </c>
      <c r="F603" s="10" t="str">
        <f aca="false">IF(OR(G603="",G603="なし"),"―",IF(CJ603=0,"入金不要",IF(COUNT(AD603,AF603,AH603,AJ603)=0,IF(AK603="○","手動確認","未入金"),IF(AND(N(AD603)=AC603,IF(AE603="",TRUE(),N(AF603)=AE603),IF(AG603="",TRUE(),N(AH603)=AG603),IF(AI603="",TRUE(),N(AJ603)=AI603)),"一致","不一致"))))</f>
        <v>―</v>
      </c>
      <c r="G603" s="25" t="s">
        <v>181</v>
      </c>
      <c r="H603" s="26"/>
      <c r="I603" s="27"/>
      <c r="J603" s="27"/>
      <c r="K603" s="27"/>
      <c r="L603" s="27"/>
      <c r="M603" s="27"/>
      <c r="N603" s="27"/>
      <c r="O603" s="27"/>
      <c r="P603" s="27"/>
      <c r="Q603" s="27"/>
      <c r="R603" s="27"/>
      <c r="S603" s="27"/>
      <c r="T603" s="27"/>
      <c r="U603" s="27"/>
      <c r="V603" s="27"/>
      <c r="W603" s="27"/>
      <c r="X603" s="27"/>
      <c r="Y603" s="27"/>
      <c r="Z603" s="27"/>
      <c r="AA603" s="10" t="str">
        <f aca="false">IFERROR(INDEX(設定!$E$61:$E$106,MATCH(B603,設定!$B$61:$B$106,0)),"合算")</f>
        <v>合算</v>
      </c>
      <c r="AB603" s="28"/>
      <c r="AC603" s="29" t="str">
        <f aca="false">IF(OR(G603="",G603="なし"),"",IF(AA603="合算",CJ603+N(Z603),IF(AA603="掛金・負担金別",(AY603+AZ603+BD603+BF603+BH603),SUM(AY603:BC603))))</f>
        <v/>
      </c>
      <c r="AD603" s="27"/>
      <c r="AE603" s="29" t="str">
        <f aca="false">IF(OR(G603="",G603="なし"),"",IF(AA603="掛金・負担金別",(BA603+BB603+BC603+BE603+BG603+BI603+N(Z603)),IF(AA603="経理区分別",BD603+BE603,"")))</f>
        <v/>
      </c>
      <c r="AF603" s="27"/>
      <c r="AG603" s="29" t="str">
        <f aca="false">IF(OR(G603="",G603="なし"),"",IF(AA603="経理区分別",BF603+BG603,""))</f>
        <v/>
      </c>
      <c r="AH603" s="27"/>
      <c r="AI603" s="29" t="str">
        <f aca="false">IF(OR(G603="",G603="なし"),"",IF(AA603="経理区分別",BH603+BI603+N(Z603),""))</f>
        <v/>
      </c>
      <c r="AJ603" s="27"/>
      <c r="AK603" s="26"/>
      <c r="AL603" s="26"/>
      <c r="AM603" s="30"/>
      <c r="AN603" s="31"/>
      <c r="AO603" s="31"/>
      <c r="AP603" s="31"/>
      <c r="AQ603" s="31"/>
      <c r="AR603" s="31"/>
      <c r="AS603" s="31"/>
      <c r="AT603" s="31"/>
      <c r="AU603" s="31"/>
      <c r="AV603" s="31"/>
      <c r="AW603" s="31"/>
      <c r="AX603" s="31"/>
      <c r="AY603" s="31" t="n">
        <f aca="false">IF($G603="",AN603,O603)</f>
        <v>0</v>
      </c>
      <c r="AZ603" s="31" t="n">
        <f aca="false">IF($G603="",AO603,P603)</f>
        <v>0</v>
      </c>
      <c r="BA603" s="31" t="n">
        <f aca="false">IF($G603="",AP603,T603)</f>
        <v>0</v>
      </c>
      <c r="BB603" s="31" t="n">
        <f aca="false">IF($G603="",AQ603,U603)</f>
        <v>0</v>
      </c>
      <c r="BC603" s="31" t="n">
        <f aca="false">IF($G603="",AR603,V603)</f>
        <v>0</v>
      </c>
      <c r="BD603" s="31" t="n">
        <f aca="false">IF($G603="",AS603,Q603)</f>
        <v>0</v>
      </c>
      <c r="BE603" s="31" t="n">
        <f aca="false">IF($G603="",AT603,W603)</f>
        <v>0</v>
      </c>
      <c r="BF603" s="31" t="n">
        <f aca="false">IF($G603="",AU603,R603)</f>
        <v>0</v>
      </c>
      <c r="BG603" s="31" t="n">
        <f aca="false">IF($G603="",AV603,X603)</f>
        <v>0</v>
      </c>
      <c r="BH603" s="31" t="n">
        <f aca="false">IF($G603="",AW603,S603)</f>
        <v>0</v>
      </c>
      <c r="BI603" s="31" t="n">
        <f aca="false">IF($G603="",AX603,Y603)</f>
        <v>0</v>
      </c>
      <c r="BJ603" s="31" t="n">
        <f aca="false">IF(CK603="N",BR603,ROUNDDOWN((I603-L603)*設定!$B$10/1000,0)+ROUNDDOWN((I603-L603)*設定!$B$11/1000,0))</f>
        <v>0</v>
      </c>
      <c r="BK603" s="31" t="n">
        <f aca="false">ROUNDDOWN((I603-L603)*設定!$C$10/1000,0)+ROUNDDOWN((I603-L603)*設定!$C$11/1000,0)+ROUNDDOWN(I603*設定!$C$12/1000,0)+IF(CL603="市局型",ROUNDDOWN(I603*設定!$C$16/1000,0),0)</f>
        <v>0</v>
      </c>
      <c r="BL603" s="31" t="n">
        <f aca="false">IF(CK603="N",BT603,ROUNDDOWN((J603-M603)*設定!$B$13/1000,0))</f>
        <v>0</v>
      </c>
      <c r="BM603" s="31" t="n">
        <f aca="false">ROUNDDOWN((J603-M603)*設定!$C$13/1000,0)+IF(CL603="市局型",ROUNDDOWN(J603*設定!$C$17/1000,0),0)</f>
        <v>0</v>
      </c>
      <c r="BN603" s="31" t="n">
        <f aca="false">IF(CK603="N",BV603,ROUNDDOWN((K603-N603)*設定!$B$14/1000,0))</f>
        <v>0</v>
      </c>
      <c r="BO603" s="31" t="n">
        <f aca="false">ROUNDDOWN((K603-N603)*設定!$C$14/1000,0)</f>
        <v>0</v>
      </c>
      <c r="BP603" s="31" t="n">
        <f aca="false">IF(CK603="N",BX603,ROUNDDOWN((J603-M603)*設定!$B$15/1000,0))</f>
        <v>0</v>
      </c>
      <c r="BQ603" s="31" t="n">
        <f aca="false">ROUNDDOWN((J603-M603)*設定!$C$15/1000,0)</f>
        <v>0</v>
      </c>
      <c r="BR603" s="31" t="n">
        <f aca="false">O603+P603</f>
        <v>0</v>
      </c>
      <c r="BS603" s="31" t="n">
        <f aca="false">T603+U603+V603</f>
        <v>0</v>
      </c>
      <c r="BT603" s="31" t="n">
        <f aca="false">Q603</f>
        <v>0</v>
      </c>
      <c r="BU603" s="31" t="n">
        <f aca="false">W603</f>
        <v>0</v>
      </c>
      <c r="BV603" s="31" t="n">
        <f aca="false">R603</f>
        <v>0</v>
      </c>
      <c r="BW603" s="31" t="n">
        <f aca="false">X603</f>
        <v>0</v>
      </c>
      <c r="BX603" s="31" t="n">
        <f aca="false">S603</f>
        <v>0</v>
      </c>
      <c r="BY603" s="31" t="n">
        <f aca="false">Y603</f>
        <v>0</v>
      </c>
      <c r="BZ603" s="32" t="n">
        <f aca="false">IF(BJ603=0,IF(BR603=0,0,1),(BR603-BJ603)/BJ603)</f>
        <v>0</v>
      </c>
      <c r="CA603" s="32" t="n">
        <f aca="false">IF(BK603=0,IF(BS603=0,0,1),(BS603-BK603)/BK603)</f>
        <v>0</v>
      </c>
      <c r="CB603" s="32" t="n">
        <f aca="false">IF(BL603=0,IF(BT603=0,0,1),(BT603-BL603)/BL603)</f>
        <v>0</v>
      </c>
      <c r="CC603" s="32" t="n">
        <f aca="false">IF(BM603=0,IF(BU603=0,0,1),(BU603-BM603)/BM603)</f>
        <v>0</v>
      </c>
      <c r="CD603" s="32" t="n">
        <f aca="false">IF(BN603=0,IF(BV603=0,0,1),(BV603-BN603)/BN603)</f>
        <v>0</v>
      </c>
      <c r="CE603" s="32" t="n">
        <f aca="false">IF(BO603=0,IF(BW603=0,0,1),(BW603-BO603)/BO603)</f>
        <v>0</v>
      </c>
      <c r="CF603" s="32" t="n">
        <f aca="false">IF(BP603=0,IF(BX603=0,0,1),(BX603-BP603)/BP603)</f>
        <v>0</v>
      </c>
      <c r="CG603" s="32" t="n">
        <f aca="false">IF(BQ603=0,IF(BY603=0,0,1),(BY603-BQ603)/BQ603)</f>
        <v>0</v>
      </c>
      <c r="CH603" s="32" t="n">
        <f aca="false">MAX(MAX(BZ603:CG603),-MIN(BZ603:CG603))</f>
        <v>-0</v>
      </c>
      <c r="CI603" s="31" t="n">
        <f aca="false">IF(CO603="","",SUMIFS($CJ$7:$CJ$696,$A$7:$A$696,CO603,$B$7:$B$696,B603))</f>
        <v>0</v>
      </c>
      <c r="CJ603" s="31" t="n">
        <f aca="false">SUM(AY603:BI603)</f>
        <v>0</v>
      </c>
      <c r="CK603" s="31" t="str">
        <f aca="false">IFERROR(INDEX(設定!$F$61:$F$106,MATCH(B603,設定!$B$61:$B$106,0)),"Y")</f>
        <v>N</v>
      </c>
      <c r="CL603" s="31" t="str">
        <f aca="false">IFERROR(INDEX(設定!$G$61:$G$106,MATCH(B603,設定!$B$61:$B$106,0)),"外郭型")</f>
        <v>外郭型</v>
      </c>
      <c r="CM603" s="33" t="str">
        <f aca="false">A603&amp;"|"&amp;B603</f>
        <v>2027-02 月例|水道労働組合</v>
      </c>
      <c r="CN603" s="34" t="str">
        <f aca="false">IFERROR(INDEX(設定!$D$61:$D$106,MATCH(B603,設定!$B$61:$B$106,0)),"Y")</f>
        <v>Y</v>
      </c>
      <c r="CO603" s="34" t="str">
        <f aca="false">IFERROR(INDEX(設定!$D$20:$D$34,MATCH(A603,設定!$A$20:$A$34,0))&amp;"","")</f>
        <v>2027-01 月例</v>
      </c>
    </row>
    <row r="604" customFormat="false" ht="15" hidden="true" customHeight="false" outlineLevel="0" collapsed="false">
      <c r="A604" s="22" t="s">
        <v>228</v>
      </c>
      <c r="B604" s="23" t="s">
        <v>214</v>
      </c>
      <c r="C604" s="10" t="str">
        <f aca="false">IF(G604="","未受領",IF(G604="なし","報告なし",IF(AL604="○","起票済",IF(OR(AK604="○",F604="一致",F604="入金不要"),"入金確認済","受領済"))))</f>
        <v>未受領</v>
      </c>
      <c r="D604" s="10" t="str">
        <f aca="false">IF(OR(G604="",G604="なし"),"―",IF(CN604="N","対象外",IF(AND(I604="",J604="",K604=""),"標報未入力",IF(CH604&gt;=設定!$B$4,"要確認","問題なし"))))</f>
        <v>―</v>
      </c>
      <c r="E604" s="24" t="str">
        <f aca="false">IF(OR(G604="",G604="なし",CI604="",CJ604=0),"―",IF(CJ604=CI604,"前月同額",IF(CI604=0,"―",IF(ABS(CJ604/CI604-1)&gt;=設定!$B$5,"変動大 "&amp;TEXT(CJ604/CI604-1,"+0%;-0%"),"〇"))))</f>
        <v>―</v>
      </c>
      <c r="F604" s="10" t="str">
        <f aca="false">IF(OR(G604="",G604="なし"),"―",IF(CJ604=0,"入金不要",IF(COUNT(AD604,AF604,AH604,AJ604)=0,IF(AK604="○","手動確認","未入金"),IF(AND(N(AD604)=AC604,IF(AE604="",TRUE(),N(AF604)=AE604),IF(AG604="",TRUE(),N(AH604)=AG604),IF(AI604="",TRUE(),N(AJ604)=AI604)),"一致","不一致"))))</f>
        <v>―</v>
      </c>
      <c r="G604" s="25"/>
      <c r="H604" s="26"/>
      <c r="I604" s="27"/>
      <c r="J604" s="27"/>
      <c r="K604" s="27"/>
      <c r="L604" s="27"/>
      <c r="M604" s="27"/>
      <c r="N604" s="27"/>
      <c r="O604" s="27"/>
      <c r="P604" s="27"/>
      <c r="Q604" s="27"/>
      <c r="R604" s="27"/>
      <c r="S604" s="27"/>
      <c r="T604" s="27"/>
      <c r="U604" s="27"/>
      <c r="V604" s="27"/>
      <c r="W604" s="27"/>
      <c r="X604" s="27"/>
      <c r="Y604" s="27"/>
      <c r="Z604" s="27"/>
      <c r="AA604" s="10" t="str">
        <f aca="false">IFERROR(INDEX(設定!$E$61:$E$106,MATCH(B604,設定!$B$61:$B$106,0)),"合算")</f>
        <v>合算</v>
      </c>
      <c r="AB604" s="28"/>
      <c r="AC604" s="29" t="str">
        <f aca="false">IF(OR(G604="",G604="なし"),"",IF(AA604="合算",CJ604+N(Z604),IF(AA604="掛金・負担金別",(AY604+AZ604+BD604+BF604+BH604),SUM(AY604:BC604))))</f>
        <v/>
      </c>
      <c r="AD604" s="27"/>
      <c r="AE604" s="29" t="str">
        <f aca="false">IF(OR(G604="",G604="なし"),"",IF(AA604="掛金・負担金別",(BA604+BB604+BC604+BE604+BG604+BI604+N(Z604)),IF(AA604="経理区分別",BD604+BE604,"")))</f>
        <v/>
      </c>
      <c r="AF604" s="27"/>
      <c r="AG604" s="29" t="str">
        <f aca="false">IF(OR(G604="",G604="なし"),"",IF(AA604="経理区分別",BF604+BG604,""))</f>
        <v/>
      </c>
      <c r="AH604" s="27"/>
      <c r="AI604" s="29" t="str">
        <f aca="false">IF(OR(G604="",G604="なし"),"",IF(AA604="経理区分別",BH604+BI604+N(Z604),""))</f>
        <v/>
      </c>
      <c r="AJ604" s="27"/>
      <c r="AK604" s="26"/>
      <c r="AL604" s="26"/>
      <c r="AM604" s="30"/>
      <c r="AN604" s="31"/>
      <c r="AO604" s="31"/>
      <c r="AP604" s="31"/>
      <c r="AQ604" s="31"/>
      <c r="AR604" s="31"/>
      <c r="AS604" s="31" t="n">
        <v>873541</v>
      </c>
      <c r="AT604" s="31"/>
      <c r="AU604" s="31" t="n">
        <v>60734</v>
      </c>
      <c r="AV604" s="31"/>
      <c r="AW604" s="31" t="n">
        <v>1</v>
      </c>
      <c r="AX604" s="31"/>
      <c r="AY604" s="31" t="n">
        <f aca="false">IF($G604="",AN604,O604)</f>
        <v>0</v>
      </c>
      <c r="AZ604" s="31" t="n">
        <f aca="false">IF($G604="",AO604,P604)</f>
        <v>0</v>
      </c>
      <c r="BA604" s="31" t="n">
        <f aca="false">IF($G604="",AP604,T604)</f>
        <v>0</v>
      </c>
      <c r="BB604" s="31" t="n">
        <f aca="false">IF($G604="",AQ604,U604)</f>
        <v>0</v>
      </c>
      <c r="BC604" s="31" t="n">
        <f aca="false">IF($G604="",AR604,V604)</f>
        <v>0</v>
      </c>
      <c r="BD604" s="31" t="n">
        <f aca="false">IF($G604="",AS604,Q604)</f>
        <v>873541</v>
      </c>
      <c r="BE604" s="31" t="n">
        <f aca="false">IF($G604="",AT604,W604)</f>
        <v>0</v>
      </c>
      <c r="BF604" s="31" t="n">
        <f aca="false">IF($G604="",AU604,R604)</f>
        <v>60734</v>
      </c>
      <c r="BG604" s="31" t="n">
        <f aca="false">IF($G604="",AV604,X604)</f>
        <v>0</v>
      </c>
      <c r="BH604" s="31" t="n">
        <f aca="false">IF($G604="",AW604,S604)</f>
        <v>1</v>
      </c>
      <c r="BI604" s="31" t="n">
        <f aca="false">IF($G604="",AX604,Y604)</f>
        <v>0</v>
      </c>
      <c r="BJ604" s="31" t="n">
        <f aca="false">IF(CK604="N",BR604,ROUNDDOWN((I604-L604)*設定!$B$10/1000,0)+ROUNDDOWN((I604-L604)*設定!$B$11/1000,0))</f>
        <v>0</v>
      </c>
      <c r="BK604" s="31" t="n">
        <f aca="false">ROUNDDOWN((I604-L604)*設定!$C$10/1000,0)+ROUNDDOWN((I604-L604)*設定!$C$11/1000,0)+ROUNDDOWN(I604*設定!$C$12/1000,0)+IF(CL604="市局型",ROUNDDOWN(I604*設定!$C$16/1000,0),0)</f>
        <v>0</v>
      </c>
      <c r="BL604" s="31" t="n">
        <f aca="false">IF(CK604="N",BT604,ROUNDDOWN((J604-M604)*設定!$B$13/1000,0))</f>
        <v>0</v>
      </c>
      <c r="BM604" s="31" t="n">
        <f aca="false">ROUNDDOWN((J604-M604)*設定!$C$13/1000,0)+IF(CL604="市局型",ROUNDDOWN(J604*設定!$C$17/1000,0),0)</f>
        <v>0</v>
      </c>
      <c r="BN604" s="31" t="n">
        <f aca="false">IF(CK604="N",BV604,ROUNDDOWN((K604-N604)*設定!$B$14/1000,0))</f>
        <v>0</v>
      </c>
      <c r="BO604" s="31" t="n">
        <f aca="false">ROUNDDOWN((K604-N604)*設定!$C$14/1000,0)</f>
        <v>0</v>
      </c>
      <c r="BP604" s="31" t="n">
        <f aca="false">IF(CK604="N",BX604,ROUNDDOWN((J604-M604)*設定!$B$15/1000,0))</f>
        <v>0</v>
      </c>
      <c r="BQ604" s="31" t="n">
        <f aca="false">ROUNDDOWN((J604-M604)*設定!$C$15/1000,0)</f>
        <v>0</v>
      </c>
      <c r="BR604" s="31" t="n">
        <f aca="false">O604+P604</f>
        <v>0</v>
      </c>
      <c r="BS604" s="31" t="n">
        <f aca="false">T604+U604+V604</f>
        <v>0</v>
      </c>
      <c r="BT604" s="31" t="n">
        <f aca="false">Q604</f>
        <v>0</v>
      </c>
      <c r="BU604" s="31" t="n">
        <f aca="false">W604</f>
        <v>0</v>
      </c>
      <c r="BV604" s="31" t="n">
        <f aca="false">R604</f>
        <v>0</v>
      </c>
      <c r="BW604" s="31" t="n">
        <f aca="false">X604</f>
        <v>0</v>
      </c>
      <c r="BX604" s="31" t="n">
        <f aca="false">S604</f>
        <v>0</v>
      </c>
      <c r="BY604" s="31" t="n">
        <f aca="false">Y604</f>
        <v>0</v>
      </c>
      <c r="BZ604" s="32" t="n">
        <f aca="false">IF(BJ604=0,IF(BR604=0,0,1),(BR604-BJ604)/BJ604)</f>
        <v>0</v>
      </c>
      <c r="CA604" s="32" t="n">
        <f aca="false">IF(BK604=0,IF(BS604=0,0,1),(BS604-BK604)/BK604)</f>
        <v>0</v>
      </c>
      <c r="CB604" s="32" t="n">
        <f aca="false">IF(BL604=0,IF(BT604=0,0,1),(BT604-BL604)/BL604)</f>
        <v>0</v>
      </c>
      <c r="CC604" s="32" t="n">
        <f aca="false">IF(BM604=0,IF(BU604=0,0,1),(BU604-BM604)/BM604)</f>
        <v>0</v>
      </c>
      <c r="CD604" s="32" t="n">
        <f aca="false">IF(BN604=0,IF(BV604=0,0,1),(BV604-BN604)/BN604)</f>
        <v>0</v>
      </c>
      <c r="CE604" s="32" t="n">
        <f aca="false">IF(BO604=0,IF(BW604=0,0,1),(BW604-BO604)/BO604)</f>
        <v>0</v>
      </c>
      <c r="CF604" s="32" t="n">
        <f aca="false">IF(BP604=0,IF(BX604=0,0,1),(BX604-BP604)/BP604)</f>
        <v>0</v>
      </c>
      <c r="CG604" s="32" t="n">
        <f aca="false">IF(BQ604=0,IF(BY604=0,0,1),(BY604-BQ604)/BQ604)</f>
        <v>0</v>
      </c>
      <c r="CH604" s="32" t="n">
        <f aca="false">MAX(MAX(BZ604:CG604),-MIN(BZ604:CG604))</f>
        <v>-0</v>
      </c>
      <c r="CI604" s="31" t="n">
        <f aca="false">IF(CO604="","",SUMIFS($CJ$7:$CJ$696,$A$7:$A$696,CO604,$B$7:$B$696,B604))</f>
        <v>1563225</v>
      </c>
      <c r="CJ604" s="31" t="n">
        <f aca="false">SUM(AY604:BI604)</f>
        <v>934276</v>
      </c>
      <c r="CK604" s="31" t="str">
        <f aca="false">IFERROR(INDEX(設定!$F$61:$F$106,MATCH(B604,設定!$B$61:$B$106,0)),"Y")</f>
        <v>Y</v>
      </c>
      <c r="CL604" s="31" t="str">
        <f aca="false">IFERROR(INDEX(設定!$G$61:$G$106,MATCH(B604,設定!$B$61:$B$106,0)),"外郭型")</f>
        <v>外郭型</v>
      </c>
      <c r="CM604" s="33" t="str">
        <f aca="false">A604&amp;"|"&amp;B604</f>
        <v>2027-02 月例|任意継続組合員</v>
      </c>
      <c r="CN604" s="34" t="str">
        <f aca="false">IFERROR(INDEX(設定!$D$61:$D$106,MATCH(B604,設定!$B$61:$B$106,0)),"Y")</f>
        <v>N</v>
      </c>
      <c r="CO604" s="34" t="str">
        <f aca="false">IFERROR(INDEX(設定!$D$20:$D$34,MATCH(A604,設定!$A$20:$A$34,0))&amp;"","")</f>
        <v>2027-01 月例</v>
      </c>
    </row>
    <row r="605" customFormat="false" ht="15" hidden="true" customHeight="false" outlineLevel="0" collapsed="false">
      <c r="A605" s="22" t="s">
        <v>229</v>
      </c>
      <c r="B605" s="23" t="s">
        <v>166</v>
      </c>
      <c r="C605" s="10" t="str">
        <f aca="false">IF(G605="","未受領",IF(G605="なし","報告なし",IF(AL605="○","起票済",IF(OR(AK605="○",F605="一致",F605="入金不要"),"入金確認済","受領済"))))</f>
        <v>未受領</v>
      </c>
      <c r="D605" s="10" t="str">
        <f aca="false">IF(OR(G605="",G605="なし"),"―",IF(CN605="N","対象外",IF(AND(I605="",J605="",K605=""),"標報未入力",IF(CH605&gt;=設定!$B$4,"要確認","問題なし"))))</f>
        <v>―</v>
      </c>
      <c r="E605" s="24" t="str">
        <f aca="false">IF(OR(G605="",G605="なし",CI605="",CJ605=0),"―",IF(CJ605=CI605,"前月同額",IF(CI605=0,"―",IF(ABS(CJ605/CI605-1)&gt;=設定!$B$5,"変動大 "&amp;TEXT(CJ605/CI605-1,"+0%;-0%"),"〇"))))</f>
        <v>―</v>
      </c>
      <c r="F605" s="10" t="str">
        <f aca="false">IF(OR(G605="",G605="なし"),"―",IF(CJ605=0,"入金不要",IF(COUNT(AD605,AF605,AH605,AJ605)=0,IF(AK605="○","手動確認","未入金"),IF(AND(N(AD605)=AC605,IF(AE605="",TRUE(),N(AF605)=AE605),IF(AG605="",TRUE(),N(AH605)=AG605),IF(AI605="",TRUE(),N(AJ605)=AI605)),"一致","不一致"))))</f>
        <v>―</v>
      </c>
      <c r="G605" s="25"/>
      <c r="H605" s="26"/>
      <c r="I605" s="27"/>
      <c r="J605" s="27"/>
      <c r="K605" s="27"/>
      <c r="L605" s="27"/>
      <c r="M605" s="27"/>
      <c r="N605" s="27"/>
      <c r="O605" s="27"/>
      <c r="P605" s="27"/>
      <c r="Q605" s="27"/>
      <c r="R605" s="27"/>
      <c r="S605" s="27"/>
      <c r="T605" s="27"/>
      <c r="U605" s="27"/>
      <c r="V605" s="27"/>
      <c r="W605" s="27"/>
      <c r="X605" s="27"/>
      <c r="Y605" s="27"/>
      <c r="Z605" s="27"/>
      <c r="AA605" s="10" t="str">
        <f aca="false">IFERROR(INDEX(設定!$E$61:$E$106,MATCH(B605,設定!$B$61:$B$106,0)),"合算")</f>
        <v>合算</v>
      </c>
      <c r="AB605" s="28"/>
      <c r="AC605" s="29" t="str">
        <f aca="false">IF(OR(G605="",G605="なし"),"",IF(AA605="合算",CJ605+N(Z605),IF(AA605="掛金・負担金別",(AY605+AZ605+BD605+BF605+BH605),SUM(AY605:BC605))))</f>
        <v/>
      </c>
      <c r="AD605" s="27"/>
      <c r="AE605" s="29" t="str">
        <f aca="false">IF(OR(G605="",G605="なし"),"",IF(AA605="掛金・負担金別",(BA605+BB605+BC605+BE605+BG605+BI605+N(Z605)),IF(AA605="経理区分別",BD605+BE605,"")))</f>
        <v/>
      </c>
      <c r="AF605" s="27"/>
      <c r="AG605" s="29" t="str">
        <f aca="false">IF(OR(G605="",G605="なし"),"",IF(AA605="経理区分別",BF605+BG605,""))</f>
        <v/>
      </c>
      <c r="AH605" s="27"/>
      <c r="AI605" s="29" t="str">
        <f aca="false">IF(OR(G605="",G605="なし"),"",IF(AA605="経理区分別",BH605+BI605+N(Z605),""))</f>
        <v/>
      </c>
      <c r="AJ605" s="27"/>
      <c r="AK605" s="26"/>
      <c r="AL605" s="26"/>
      <c r="AM605" s="30"/>
      <c r="AN605" s="31" t="n">
        <v>96770566</v>
      </c>
      <c r="AO605" s="31" t="n">
        <v>7936030</v>
      </c>
      <c r="AP605" s="31" t="n">
        <v>139664515</v>
      </c>
      <c r="AQ605" s="31" t="n">
        <v>8271054</v>
      </c>
      <c r="AR605" s="31" t="n">
        <v>106358</v>
      </c>
      <c r="AS605" s="31" t="n">
        <v>74532442</v>
      </c>
      <c r="AT605" s="31" t="n">
        <v>78429253</v>
      </c>
      <c r="AU605" s="31" t="n">
        <v>6766104</v>
      </c>
      <c r="AV605" s="31" t="n">
        <v>7394555</v>
      </c>
      <c r="AW605" s="31" t="n">
        <v>1</v>
      </c>
      <c r="AX605" s="31" t="n">
        <v>1</v>
      </c>
      <c r="AY605" s="31" t="n">
        <f aca="false">IF($G605="",AN605,O605)</f>
        <v>96770566</v>
      </c>
      <c r="AZ605" s="31" t="n">
        <f aca="false">IF($G605="",AO605,P605)</f>
        <v>7936030</v>
      </c>
      <c r="BA605" s="31" t="n">
        <f aca="false">IF($G605="",AP605,T605)</f>
        <v>139664515</v>
      </c>
      <c r="BB605" s="31" t="n">
        <f aca="false">IF($G605="",AQ605,U605)</f>
        <v>8271054</v>
      </c>
      <c r="BC605" s="31" t="n">
        <f aca="false">IF($G605="",AR605,V605)</f>
        <v>106358</v>
      </c>
      <c r="BD605" s="31" t="n">
        <f aca="false">IF($G605="",AS605,Q605)</f>
        <v>74532442</v>
      </c>
      <c r="BE605" s="31" t="n">
        <f aca="false">IF($G605="",AT605,W605)</f>
        <v>78429253</v>
      </c>
      <c r="BF605" s="31" t="n">
        <f aca="false">IF($G605="",AU605,R605)</f>
        <v>6766104</v>
      </c>
      <c r="BG605" s="31" t="n">
        <f aca="false">IF($G605="",AV605,X605)</f>
        <v>7394555</v>
      </c>
      <c r="BH605" s="31" t="n">
        <f aca="false">IF($G605="",AW605,S605)</f>
        <v>1</v>
      </c>
      <c r="BI605" s="31" t="n">
        <f aca="false">IF($G605="",AX605,Y605)</f>
        <v>1</v>
      </c>
      <c r="BJ605" s="31" t="n">
        <f aca="false">IF(CK605="N",BR605,ROUNDDOWN((I605-L605)*設定!$B$10/1000,0)+ROUNDDOWN((I605-L605)*設定!$B$11/1000,0))</f>
        <v>0</v>
      </c>
      <c r="BK605" s="31" t="n">
        <f aca="false">ROUNDDOWN((I605-L605)*設定!$C$10/1000,0)+ROUNDDOWN((I605-L605)*設定!$C$11/1000,0)+ROUNDDOWN(I605*設定!$C$12/1000,0)+IF(CL605="市局型",ROUNDDOWN(I605*設定!$C$16/1000,0),0)</f>
        <v>0</v>
      </c>
      <c r="BL605" s="31" t="n">
        <f aca="false">IF(CK605="N",BT605,ROUNDDOWN((J605-M605)*設定!$B$13/1000,0))</f>
        <v>0</v>
      </c>
      <c r="BM605" s="31" t="n">
        <f aca="false">ROUNDDOWN((J605-M605)*設定!$C$13/1000,0)+IF(CL605="市局型",ROUNDDOWN(J605*設定!$C$17/1000,0),0)</f>
        <v>0</v>
      </c>
      <c r="BN605" s="31" t="n">
        <f aca="false">IF(CK605="N",BV605,ROUNDDOWN((K605-N605)*設定!$B$14/1000,0))</f>
        <v>0</v>
      </c>
      <c r="BO605" s="31" t="n">
        <f aca="false">ROUNDDOWN((K605-N605)*設定!$C$14/1000,0)</f>
        <v>0</v>
      </c>
      <c r="BP605" s="31" t="n">
        <f aca="false">IF(CK605="N",BX605,ROUNDDOWN((J605-M605)*設定!$B$15/1000,0))</f>
        <v>0</v>
      </c>
      <c r="BQ605" s="31" t="n">
        <f aca="false">ROUNDDOWN((J605-M605)*設定!$C$15/1000,0)</f>
        <v>0</v>
      </c>
      <c r="BR605" s="31" t="n">
        <f aca="false">O605+P605</f>
        <v>0</v>
      </c>
      <c r="BS605" s="31" t="n">
        <f aca="false">T605+U605+V605</f>
        <v>0</v>
      </c>
      <c r="BT605" s="31" t="n">
        <f aca="false">Q605</f>
        <v>0</v>
      </c>
      <c r="BU605" s="31" t="n">
        <f aca="false">W605</f>
        <v>0</v>
      </c>
      <c r="BV605" s="31" t="n">
        <f aca="false">R605</f>
        <v>0</v>
      </c>
      <c r="BW605" s="31" t="n">
        <f aca="false">X605</f>
        <v>0</v>
      </c>
      <c r="BX605" s="31" t="n">
        <f aca="false">S605</f>
        <v>0</v>
      </c>
      <c r="BY605" s="31" t="n">
        <f aca="false">Y605</f>
        <v>0</v>
      </c>
      <c r="BZ605" s="32" t="n">
        <f aca="false">IF(BJ605=0,IF(BR605=0,0,1),(BR605-BJ605)/BJ605)</f>
        <v>0</v>
      </c>
      <c r="CA605" s="32" t="n">
        <f aca="false">IF(BK605=0,IF(BS605=0,0,1),(BS605-BK605)/BK605)</f>
        <v>0</v>
      </c>
      <c r="CB605" s="32" t="n">
        <f aca="false">IF(BL605=0,IF(BT605=0,0,1),(BT605-BL605)/BL605)</f>
        <v>0</v>
      </c>
      <c r="CC605" s="32" t="n">
        <f aca="false">IF(BM605=0,IF(BU605=0,0,1),(BU605-BM605)/BM605)</f>
        <v>0</v>
      </c>
      <c r="CD605" s="32" t="n">
        <f aca="false">IF(BN605=0,IF(BV605=0,0,1),(BV605-BN605)/BN605)</f>
        <v>0</v>
      </c>
      <c r="CE605" s="32" t="n">
        <f aca="false">IF(BO605=0,IF(BW605=0,0,1),(BW605-BO605)/BO605)</f>
        <v>0</v>
      </c>
      <c r="CF605" s="32" t="n">
        <f aca="false">IF(BP605=0,IF(BX605=0,0,1),(BX605-BP605)/BP605)</f>
        <v>0</v>
      </c>
      <c r="CG605" s="32" t="n">
        <f aca="false">IF(BQ605=0,IF(BY605=0,0,1),(BY605-BQ605)/BQ605)</f>
        <v>0</v>
      </c>
      <c r="CH605" s="32" t="n">
        <f aca="false">MAX(MAX(BZ605:CG605),-MIN(BZ605:CG605))</f>
        <v>-0</v>
      </c>
      <c r="CI605" s="31" t="str">
        <f aca="false">IF(CO605="","",SUMIFS($CJ$7:$CJ$696,$A$7:$A$696,CO605,$B$7:$B$696,B605))</f>
        <v/>
      </c>
      <c r="CJ605" s="31" t="n">
        <f aca="false">SUM(AY605:BI605)</f>
        <v>419870879</v>
      </c>
      <c r="CK605" s="31" t="str">
        <f aca="false">IFERROR(INDEX(設定!$F$61:$F$106,MATCH(B605,設定!$B$61:$B$106,0)),"Y")</f>
        <v>Y</v>
      </c>
      <c r="CL605" s="31" t="str">
        <f aca="false">IFERROR(INDEX(設定!$G$61:$G$106,MATCH(B605,設定!$B$61:$B$106,0)),"外郭型")</f>
        <v>市局型</v>
      </c>
      <c r="CM605" s="33" t="str">
        <f aca="false">A605&amp;"|"&amp;B605</f>
        <v>2027-03 賞与|市長部局</v>
      </c>
      <c r="CN605" s="34" t="str">
        <f aca="false">IFERROR(INDEX(設定!$D$61:$D$106,MATCH(B605,設定!$B$61:$B$106,0)),"Y")</f>
        <v>N</v>
      </c>
      <c r="CO605" s="34" t="str">
        <f aca="false">IFERROR(INDEX(設定!$D$20:$D$34,MATCH(A605,設定!$A$20:$A$34,0))&amp;"","")</f>
        <v/>
      </c>
    </row>
    <row r="606" customFormat="false" ht="15" hidden="true" customHeight="false" outlineLevel="0" collapsed="false">
      <c r="A606" s="22" t="s">
        <v>229</v>
      </c>
      <c r="B606" s="23" t="s">
        <v>169</v>
      </c>
      <c r="C606" s="10" t="str">
        <f aca="false">IF(G606="","未受領",IF(G606="なし","報告なし",IF(AL606="○","起票済",IF(OR(AK606="○",F606="一致",F606="入金不要"),"入金確認済","受領済"))))</f>
        <v>未受領</v>
      </c>
      <c r="D606" s="10" t="str">
        <f aca="false">IF(OR(G606="",G606="なし"),"―",IF(CN606="N","対象外",IF(AND(I606="",J606="",K606=""),"標報未入力",IF(CH606&gt;=設定!$B$4,"要確認","問題なし"))))</f>
        <v>―</v>
      </c>
      <c r="E606" s="24" t="str">
        <f aca="false">IF(OR(G606="",G606="なし",CI606="",CJ606=0),"―",IF(CJ606=CI606,"前月同額",IF(CI606=0,"―",IF(ABS(CJ606/CI606-1)&gt;=設定!$B$5,"変動大 "&amp;TEXT(CJ606/CI606-1,"+0%;-0%"),"〇"))))</f>
        <v>―</v>
      </c>
      <c r="F606" s="10" t="str">
        <f aca="false">IF(OR(G606="",G606="なし"),"―",IF(CJ606=0,"入金不要",IF(COUNT(AD606,AF606,AH606,AJ606)=0,IF(AK606="○","手動確認","未入金"),IF(AND(N(AD606)=AC606,IF(AE606="",TRUE(),N(AF606)=AE606),IF(AG606="",TRUE(),N(AH606)=AG606),IF(AI606="",TRUE(),N(AJ606)=AI606)),"一致","不一致"))))</f>
        <v>―</v>
      </c>
      <c r="G606" s="25"/>
      <c r="H606" s="26"/>
      <c r="I606" s="27"/>
      <c r="J606" s="27"/>
      <c r="K606" s="27"/>
      <c r="L606" s="27"/>
      <c r="M606" s="27"/>
      <c r="N606" s="27"/>
      <c r="O606" s="27"/>
      <c r="P606" s="27"/>
      <c r="Q606" s="27"/>
      <c r="R606" s="27"/>
      <c r="S606" s="27"/>
      <c r="T606" s="27"/>
      <c r="U606" s="27"/>
      <c r="V606" s="27"/>
      <c r="W606" s="27"/>
      <c r="X606" s="27"/>
      <c r="Y606" s="27"/>
      <c r="Z606" s="27"/>
      <c r="AA606" s="10" t="str">
        <f aca="false">IFERROR(INDEX(設定!$E$61:$E$106,MATCH(B606,設定!$B$61:$B$106,0)),"合算")</f>
        <v>合算</v>
      </c>
      <c r="AB606" s="28"/>
      <c r="AC606" s="29" t="str">
        <f aca="false">IF(OR(G606="",G606="なし"),"",IF(AA606="合算",CJ606+N(Z606),IF(AA606="掛金・負担金別",(AY606+AZ606+BD606+BF606+BH606),SUM(AY606:BC606))))</f>
        <v/>
      </c>
      <c r="AD606" s="27"/>
      <c r="AE606" s="29" t="str">
        <f aca="false">IF(OR(G606="",G606="なし"),"",IF(AA606="掛金・負担金別",(BA606+BB606+BC606+BE606+BG606+BI606+N(Z606)),IF(AA606="経理区分別",BD606+BE606,"")))</f>
        <v/>
      </c>
      <c r="AF606" s="27"/>
      <c r="AG606" s="29" t="str">
        <f aca="false">IF(OR(G606="",G606="なし"),"",IF(AA606="経理区分別",BF606+BG606,""))</f>
        <v/>
      </c>
      <c r="AH606" s="27"/>
      <c r="AI606" s="29" t="str">
        <f aca="false">IF(OR(G606="",G606="なし"),"",IF(AA606="経理区分別",BH606+BI606+N(Z606),""))</f>
        <v/>
      </c>
      <c r="AJ606" s="27"/>
      <c r="AK606" s="26"/>
      <c r="AL606" s="26"/>
      <c r="AM606" s="30"/>
      <c r="AN606" s="31" t="n">
        <v>6933043</v>
      </c>
      <c r="AO606" s="31" t="n">
        <v>568195</v>
      </c>
      <c r="AP606" s="31" t="n">
        <v>9468725</v>
      </c>
      <c r="AQ606" s="31" t="n">
        <v>568286</v>
      </c>
      <c r="AR606" s="31" t="n">
        <v>7229</v>
      </c>
      <c r="AS606" s="31" t="n">
        <v>4320014</v>
      </c>
      <c r="AT606" s="31" t="n">
        <v>4386292</v>
      </c>
      <c r="AU606" s="31" t="n">
        <v>473681</v>
      </c>
      <c r="AV606" s="31" t="n">
        <v>473771</v>
      </c>
      <c r="AW606" s="31" t="n">
        <v>1</v>
      </c>
      <c r="AX606" s="31" t="n">
        <v>1</v>
      </c>
      <c r="AY606" s="31" t="n">
        <f aca="false">IF($G606="",AN606,O606)</f>
        <v>6933043</v>
      </c>
      <c r="AZ606" s="31" t="n">
        <f aca="false">IF($G606="",AO606,P606)</f>
        <v>568195</v>
      </c>
      <c r="BA606" s="31" t="n">
        <f aca="false">IF($G606="",AP606,T606)</f>
        <v>9468725</v>
      </c>
      <c r="BB606" s="31" t="n">
        <f aca="false">IF($G606="",AQ606,U606)</f>
        <v>568286</v>
      </c>
      <c r="BC606" s="31" t="n">
        <f aca="false">IF($G606="",AR606,V606)</f>
        <v>7229</v>
      </c>
      <c r="BD606" s="31" t="n">
        <f aca="false">IF($G606="",AS606,Q606)</f>
        <v>4320014</v>
      </c>
      <c r="BE606" s="31" t="n">
        <f aca="false">IF($G606="",AT606,W606)</f>
        <v>4386292</v>
      </c>
      <c r="BF606" s="31" t="n">
        <f aca="false">IF($G606="",AU606,R606)</f>
        <v>473681</v>
      </c>
      <c r="BG606" s="31" t="n">
        <f aca="false">IF($G606="",AV606,X606)</f>
        <v>473771</v>
      </c>
      <c r="BH606" s="31" t="n">
        <f aca="false">IF($G606="",AW606,S606)</f>
        <v>1</v>
      </c>
      <c r="BI606" s="31" t="n">
        <f aca="false">IF($G606="",AX606,Y606)</f>
        <v>1</v>
      </c>
      <c r="BJ606" s="31" t="n">
        <f aca="false">IF(CK606="N",BR606,ROUNDDOWN((I606-L606)*設定!$B$10/1000,0)+ROUNDDOWN((I606-L606)*設定!$B$11/1000,0))</f>
        <v>0</v>
      </c>
      <c r="BK606" s="31" t="n">
        <f aca="false">ROUNDDOWN((I606-L606)*設定!$C$10/1000,0)+ROUNDDOWN((I606-L606)*設定!$C$11/1000,0)+ROUNDDOWN(I606*設定!$C$12/1000,0)+IF(CL606="市局型",ROUNDDOWN(I606*設定!$C$16/1000,0),0)</f>
        <v>0</v>
      </c>
      <c r="BL606" s="31" t="n">
        <f aca="false">IF(CK606="N",BT606,ROUNDDOWN((J606-M606)*設定!$B$13/1000,0))</f>
        <v>0</v>
      </c>
      <c r="BM606" s="31" t="n">
        <f aca="false">ROUNDDOWN((J606-M606)*設定!$C$13/1000,0)+IF(CL606="市局型",ROUNDDOWN(J606*設定!$C$17/1000,0),0)</f>
        <v>0</v>
      </c>
      <c r="BN606" s="31" t="n">
        <f aca="false">IF(CK606="N",BV606,ROUNDDOWN((K606-N606)*設定!$B$14/1000,0))</f>
        <v>0</v>
      </c>
      <c r="BO606" s="31" t="n">
        <f aca="false">ROUNDDOWN((K606-N606)*設定!$C$14/1000,0)</f>
        <v>0</v>
      </c>
      <c r="BP606" s="31" t="n">
        <f aca="false">IF(CK606="N",BX606,ROUNDDOWN((J606-M606)*設定!$B$15/1000,0))</f>
        <v>0</v>
      </c>
      <c r="BQ606" s="31" t="n">
        <f aca="false">ROUNDDOWN((J606-M606)*設定!$C$15/1000,0)</f>
        <v>0</v>
      </c>
      <c r="BR606" s="31" t="n">
        <f aca="false">O606+P606</f>
        <v>0</v>
      </c>
      <c r="BS606" s="31" t="n">
        <f aca="false">T606+U606+V606</f>
        <v>0</v>
      </c>
      <c r="BT606" s="31" t="n">
        <f aca="false">Q606</f>
        <v>0</v>
      </c>
      <c r="BU606" s="31" t="n">
        <f aca="false">W606</f>
        <v>0</v>
      </c>
      <c r="BV606" s="31" t="n">
        <f aca="false">R606</f>
        <v>0</v>
      </c>
      <c r="BW606" s="31" t="n">
        <f aca="false">X606</f>
        <v>0</v>
      </c>
      <c r="BX606" s="31" t="n">
        <f aca="false">S606</f>
        <v>0</v>
      </c>
      <c r="BY606" s="31" t="n">
        <f aca="false">Y606</f>
        <v>0</v>
      </c>
      <c r="BZ606" s="32" t="n">
        <f aca="false">IF(BJ606=0,IF(BR606=0,0,1),(BR606-BJ606)/BJ606)</f>
        <v>0</v>
      </c>
      <c r="CA606" s="32" t="n">
        <f aca="false">IF(BK606=0,IF(BS606=0,0,1),(BS606-BK606)/BK606)</f>
        <v>0</v>
      </c>
      <c r="CB606" s="32" t="n">
        <f aca="false">IF(BL606=0,IF(BT606=0,0,1),(BT606-BL606)/BL606)</f>
        <v>0</v>
      </c>
      <c r="CC606" s="32" t="n">
        <f aca="false">IF(BM606=0,IF(BU606=0,0,1),(BU606-BM606)/BM606)</f>
        <v>0</v>
      </c>
      <c r="CD606" s="32" t="n">
        <f aca="false">IF(BN606=0,IF(BV606=0,0,1),(BV606-BN606)/BN606)</f>
        <v>0</v>
      </c>
      <c r="CE606" s="32" t="n">
        <f aca="false">IF(BO606=0,IF(BW606=0,0,1),(BW606-BO606)/BO606)</f>
        <v>0</v>
      </c>
      <c r="CF606" s="32" t="n">
        <f aca="false">IF(BP606=0,IF(BX606=0,0,1),(BX606-BP606)/BP606)</f>
        <v>0</v>
      </c>
      <c r="CG606" s="32" t="n">
        <f aca="false">IF(BQ606=0,IF(BY606=0,0,1),(BY606-BQ606)/BQ606)</f>
        <v>0</v>
      </c>
      <c r="CH606" s="32" t="n">
        <f aca="false">MAX(MAX(BZ606:CG606),-MIN(BZ606:CG606))</f>
        <v>-0</v>
      </c>
      <c r="CI606" s="31" t="str">
        <f aca="false">IF(CO606="","",SUMIFS($CJ$7:$CJ$696,$A$7:$A$696,CO606,$B$7:$B$696,B606))</f>
        <v/>
      </c>
      <c r="CJ606" s="31" t="n">
        <f aca="false">SUM(AY606:BI606)</f>
        <v>27199238</v>
      </c>
      <c r="CK606" s="31" t="str">
        <f aca="false">IFERROR(INDEX(設定!$F$61:$F$106,MATCH(B606,設定!$B$61:$B$106,0)),"Y")</f>
        <v>Y</v>
      </c>
      <c r="CL606" s="31" t="str">
        <f aca="false">IFERROR(INDEX(設定!$G$61:$G$106,MATCH(B606,設定!$B$61:$B$106,0)),"外郭型")</f>
        <v>市局型</v>
      </c>
      <c r="CM606" s="33" t="str">
        <f aca="false">A606&amp;"|"&amp;B606</f>
        <v>2027-03 賞与|下水道局</v>
      </c>
      <c r="CN606" s="34" t="str">
        <f aca="false">IFERROR(INDEX(設定!$D$61:$D$106,MATCH(B606,設定!$B$61:$B$106,0)),"Y")</f>
        <v>Y</v>
      </c>
      <c r="CO606" s="34" t="str">
        <f aca="false">IFERROR(INDEX(設定!$D$20:$D$34,MATCH(A606,設定!$A$20:$A$34,0))&amp;"","")</f>
        <v/>
      </c>
    </row>
    <row r="607" customFormat="false" ht="15" hidden="true" customHeight="false" outlineLevel="0" collapsed="false">
      <c r="A607" s="22" t="s">
        <v>229</v>
      </c>
      <c r="B607" s="23" t="s">
        <v>170</v>
      </c>
      <c r="C607" s="10" t="str">
        <f aca="false">IF(G607="","未受領",IF(G607="なし","報告なし",IF(AL607="○","起票済",IF(OR(AK607="○",F607="一致",F607="入金不要"),"入金確認済","受領済"))))</f>
        <v>未受領</v>
      </c>
      <c r="D607" s="10" t="str">
        <f aca="false">IF(OR(G607="",G607="なし"),"―",IF(CN607="N","対象外",IF(AND(I607="",J607="",K607=""),"標報未入力",IF(CH607&gt;=設定!$B$4,"要確認","問題なし"))))</f>
        <v>―</v>
      </c>
      <c r="E607" s="24" t="str">
        <f aca="false">IF(OR(G607="",G607="なし",CI607="",CJ607=0),"―",IF(CJ607=CI607,"前月同額",IF(CI607=0,"―",IF(ABS(CJ607/CI607-1)&gt;=設定!$B$5,"変動大 "&amp;TEXT(CJ607/CI607-1,"+0%;-0%"),"〇"))))</f>
        <v>―</v>
      </c>
      <c r="F607" s="10" t="str">
        <f aca="false">IF(OR(G607="",G607="なし"),"―",IF(CJ607=0,"入金不要",IF(COUNT(AD607,AF607,AH607,AJ607)=0,IF(AK607="○","手動確認","未入金"),IF(AND(N(AD607)=AC607,IF(AE607="",TRUE(),N(AF607)=AE607),IF(AG607="",TRUE(),N(AH607)=AG607),IF(AI607="",TRUE(),N(AJ607)=AI607)),"一致","不一致"))))</f>
        <v>―</v>
      </c>
      <c r="G607" s="25"/>
      <c r="H607" s="26"/>
      <c r="I607" s="27"/>
      <c r="J607" s="27"/>
      <c r="K607" s="27"/>
      <c r="L607" s="27"/>
      <c r="M607" s="27"/>
      <c r="N607" s="27"/>
      <c r="O607" s="27"/>
      <c r="P607" s="27"/>
      <c r="Q607" s="27"/>
      <c r="R607" s="27"/>
      <c r="S607" s="27"/>
      <c r="T607" s="27"/>
      <c r="U607" s="27"/>
      <c r="V607" s="27"/>
      <c r="W607" s="27"/>
      <c r="X607" s="27"/>
      <c r="Y607" s="27"/>
      <c r="Z607" s="27"/>
      <c r="AA607" s="10" t="str">
        <f aca="false">IFERROR(INDEX(設定!$E$61:$E$106,MATCH(B607,設定!$B$61:$B$106,0)),"合算")</f>
        <v>合算</v>
      </c>
      <c r="AB607" s="28"/>
      <c r="AC607" s="29" t="str">
        <f aca="false">IF(OR(G607="",G607="なし"),"",IF(AA607="合算",CJ607+N(Z607),IF(AA607="掛金・負担金別",(AY607+AZ607+BD607+BF607+BH607),SUM(AY607:BC607))))</f>
        <v/>
      </c>
      <c r="AD607" s="27"/>
      <c r="AE607" s="29" t="str">
        <f aca="false">IF(OR(G607="",G607="なし"),"",IF(AA607="掛金・負担金別",(BA607+BB607+BC607+BE607+BG607+BI607+N(Z607)),IF(AA607="経理区分別",BD607+BE607,"")))</f>
        <v/>
      </c>
      <c r="AF607" s="27"/>
      <c r="AG607" s="29" t="str">
        <f aca="false">IF(OR(G607="",G607="なし"),"",IF(AA607="経理区分別",BF607+BG607,""))</f>
        <v/>
      </c>
      <c r="AH607" s="27"/>
      <c r="AI607" s="29" t="str">
        <f aca="false">IF(OR(G607="",G607="なし"),"",IF(AA607="経理区分別",BH607+BI607+N(Z607),""))</f>
        <v/>
      </c>
      <c r="AJ607" s="27"/>
      <c r="AK607" s="26"/>
      <c r="AL607" s="26"/>
      <c r="AM607" s="30"/>
      <c r="AN607" s="31" t="n">
        <v>21949718</v>
      </c>
      <c r="AO607" s="31" t="n">
        <v>1798874</v>
      </c>
      <c r="AP607" s="31" t="n">
        <v>29915317</v>
      </c>
      <c r="AQ607" s="31" t="n">
        <v>1794195</v>
      </c>
      <c r="AR607" s="31" t="n">
        <v>22793</v>
      </c>
      <c r="AS607" s="31" t="n">
        <v>13500499</v>
      </c>
      <c r="AT607" s="31" t="n">
        <v>13670336</v>
      </c>
      <c r="AU607" s="31" t="n">
        <v>942529</v>
      </c>
      <c r="AV607" s="31" t="n">
        <v>938989</v>
      </c>
      <c r="AW607" s="31" t="n">
        <v>1</v>
      </c>
      <c r="AX607" s="31" t="n">
        <v>1</v>
      </c>
      <c r="AY607" s="31" t="n">
        <f aca="false">IF($G607="",AN607,O607)</f>
        <v>21949718</v>
      </c>
      <c r="AZ607" s="31" t="n">
        <f aca="false">IF($G607="",AO607,P607)</f>
        <v>1798874</v>
      </c>
      <c r="BA607" s="31" t="n">
        <f aca="false">IF($G607="",AP607,T607)</f>
        <v>29915317</v>
      </c>
      <c r="BB607" s="31" t="n">
        <f aca="false">IF($G607="",AQ607,U607)</f>
        <v>1794195</v>
      </c>
      <c r="BC607" s="31" t="n">
        <f aca="false">IF($G607="",AR607,V607)</f>
        <v>22793</v>
      </c>
      <c r="BD607" s="31" t="n">
        <f aca="false">IF($G607="",AS607,Q607)</f>
        <v>13500499</v>
      </c>
      <c r="BE607" s="31" t="n">
        <f aca="false">IF($G607="",AT607,W607)</f>
        <v>13670336</v>
      </c>
      <c r="BF607" s="31" t="n">
        <f aca="false">IF($G607="",AU607,R607)</f>
        <v>942529</v>
      </c>
      <c r="BG607" s="31" t="n">
        <f aca="false">IF($G607="",AV607,X607)</f>
        <v>938989</v>
      </c>
      <c r="BH607" s="31" t="n">
        <f aca="false">IF($G607="",AW607,S607)</f>
        <v>1</v>
      </c>
      <c r="BI607" s="31" t="n">
        <f aca="false">IF($G607="",AX607,Y607)</f>
        <v>1</v>
      </c>
      <c r="BJ607" s="31" t="n">
        <f aca="false">IF(CK607="N",BR607,ROUNDDOWN((I607-L607)*設定!$B$10/1000,0)+ROUNDDOWN((I607-L607)*設定!$B$11/1000,0))</f>
        <v>0</v>
      </c>
      <c r="BK607" s="31" t="n">
        <f aca="false">ROUNDDOWN((I607-L607)*設定!$C$10/1000,0)+ROUNDDOWN((I607-L607)*設定!$C$11/1000,0)+ROUNDDOWN(I607*設定!$C$12/1000,0)+IF(CL607="市局型",ROUNDDOWN(I607*設定!$C$16/1000,0),0)</f>
        <v>0</v>
      </c>
      <c r="BL607" s="31" t="n">
        <f aca="false">IF(CK607="N",BT607,ROUNDDOWN((J607-M607)*設定!$B$13/1000,0))</f>
        <v>0</v>
      </c>
      <c r="BM607" s="31" t="n">
        <f aca="false">ROUNDDOWN((J607-M607)*設定!$C$13/1000,0)+IF(CL607="市局型",ROUNDDOWN(J607*設定!$C$17/1000,0),0)</f>
        <v>0</v>
      </c>
      <c r="BN607" s="31" t="n">
        <f aca="false">IF(CK607="N",BV607,ROUNDDOWN((K607-N607)*設定!$B$14/1000,0))</f>
        <v>0</v>
      </c>
      <c r="BO607" s="31" t="n">
        <f aca="false">ROUNDDOWN((K607-N607)*設定!$C$14/1000,0)</f>
        <v>0</v>
      </c>
      <c r="BP607" s="31" t="n">
        <f aca="false">IF(CK607="N",BX607,ROUNDDOWN((J607-M607)*設定!$B$15/1000,0))</f>
        <v>0</v>
      </c>
      <c r="BQ607" s="31" t="n">
        <f aca="false">ROUNDDOWN((J607-M607)*設定!$C$15/1000,0)</f>
        <v>0</v>
      </c>
      <c r="BR607" s="31" t="n">
        <f aca="false">O607+P607</f>
        <v>0</v>
      </c>
      <c r="BS607" s="31" t="n">
        <f aca="false">T607+U607+V607</f>
        <v>0</v>
      </c>
      <c r="BT607" s="31" t="n">
        <f aca="false">Q607</f>
        <v>0</v>
      </c>
      <c r="BU607" s="31" t="n">
        <f aca="false">W607</f>
        <v>0</v>
      </c>
      <c r="BV607" s="31" t="n">
        <f aca="false">R607</f>
        <v>0</v>
      </c>
      <c r="BW607" s="31" t="n">
        <f aca="false">X607</f>
        <v>0</v>
      </c>
      <c r="BX607" s="31" t="n">
        <f aca="false">S607</f>
        <v>0</v>
      </c>
      <c r="BY607" s="31" t="n">
        <f aca="false">Y607</f>
        <v>0</v>
      </c>
      <c r="BZ607" s="32" t="n">
        <f aca="false">IF(BJ607=0,IF(BR607=0,0,1),(BR607-BJ607)/BJ607)</f>
        <v>0</v>
      </c>
      <c r="CA607" s="32" t="n">
        <f aca="false">IF(BK607=0,IF(BS607=0,0,1),(BS607-BK607)/BK607)</f>
        <v>0</v>
      </c>
      <c r="CB607" s="32" t="n">
        <f aca="false">IF(BL607=0,IF(BT607=0,0,1),(BT607-BL607)/BL607)</f>
        <v>0</v>
      </c>
      <c r="CC607" s="32" t="n">
        <f aca="false">IF(BM607=0,IF(BU607=0,0,1),(BU607-BM607)/BM607)</f>
        <v>0</v>
      </c>
      <c r="CD607" s="32" t="n">
        <f aca="false">IF(BN607=0,IF(BV607=0,0,1),(BV607-BN607)/BN607)</f>
        <v>0</v>
      </c>
      <c r="CE607" s="32" t="n">
        <f aca="false">IF(BO607=0,IF(BW607=0,0,1),(BW607-BO607)/BO607)</f>
        <v>0</v>
      </c>
      <c r="CF607" s="32" t="n">
        <f aca="false">IF(BP607=0,IF(BX607=0,0,1),(BX607-BP607)/BP607)</f>
        <v>0</v>
      </c>
      <c r="CG607" s="32" t="n">
        <f aca="false">IF(BQ607=0,IF(BY607=0,0,1),(BY607-BQ607)/BQ607)</f>
        <v>0</v>
      </c>
      <c r="CH607" s="32" t="n">
        <f aca="false">MAX(MAX(BZ607:CG607),-MIN(BZ607:CG607))</f>
        <v>-0</v>
      </c>
      <c r="CI607" s="31" t="str">
        <f aca="false">IF(CO607="","",SUMIFS($CJ$7:$CJ$696,$A$7:$A$696,CO607,$B$7:$B$696,B607))</f>
        <v/>
      </c>
      <c r="CJ607" s="31" t="n">
        <f aca="false">SUM(AY607:BI607)</f>
        <v>84533252</v>
      </c>
      <c r="CK607" s="31" t="str">
        <f aca="false">IFERROR(INDEX(設定!$F$61:$F$106,MATCH(B607,設定!$B$61:$B$106,0)),"Y")</f>
        <v>Y</v>
      </c>
      <c r="CL607" s="31" t="str">
        <f aca="false">IFERROR(INDEX(設定!$G$61:$G$106,MATCH(B607,設定!$B$61:$B$106,0)),"外郭型")</f>
        <v>市局型</v>
      </c>
      <c r="CM607" s="33" t="str">
        <f aca="false">A607&amp;"|"&amp;B607</f>
        <v>2027-03 賞与|消防局</v>
      </c>
      <c r="CN607" s="34" t="str">
        <f aca="false">IFERROR(INDEX(設定!$D$61:$D$106,MATCH(B607,設定!$B$61:$B$106,0)),"Y")</f>
        <v>N</v>
      </c>
      <c r="CO607" s="34" t="str">
        <f aca="false">IFERROR(INDEX(設定!$D$20:$D$34,MATCH(A607,設定!$A$20:$A$34,0))&amp;"","")</f>
        <v/>
      </c>
    </row>
    <row r="608" customFormat="false" ht="15" hidden="true" customHeight="false" outlineLevel="0" collapsed="false">
      <c r="A608" s="22" t="s">
        <v>229</v>
      </c>
      <c r="B608" s="23" t="s">
        <v>171</v>
      </c>
      <c r="C608" s="10" t="str">
        <f aca="false">IF(G608="","未受領",IF(G608="なし","報告なし",IF(AL608="○","起票済",IF(OR(AK608="○",F608="一致",F608="入金不要"),"入金確認済","受領済"))))</f>
        <v>未受領</v>
      </c>
      <c r="D608" s="10" t="str">
        <f aca="false">IF(OR(G608="",G608="なし"),"―",IF(CN608="N","対象外",IF(AND(I608="",J608="",K608=""),"標報未入力",IF(CH608&gt;=設定!$B$4,"要確認","問題なし"))))</f>
        <v>―</v>
      </c>
      <c r="E608" s="24" t="str">
        <f aca="false">IF(OR(G608="",G608="なし",CI608="",CJ608=0),"―",IF(CJ608=CI608,"前月同額",IF(CI608=0,"―",IF(ABS(CJ608/CI608-1)&gt;=設定!$B$5,"変動大 "&amp;TEXT(CJ608/CI608-1,"+0%;-0%"),"〇"))))</f>
        <v>―</v>
      </c>
      <c r="F608" s="10" t="str">
        <f aca="false">IF(OR(G608="",G608="なし"),"―",IF(CJ608=0,"入金不要",IF(COUNT(AD608,AF608,AH608,AJ608)=0,IF(AK608="○","手動確認","未入金"),IF(AND(N(AD608)=AC608,IF(AE608="",TRUE(),N(AF608)=AE608),IF(AG608="",TRUE(),N(AH608)=AG608),IF(AI608="",TRUE(),N(AJ608)=AI608)),"一致","不一致"))))</f>
        <v>―</v>
      </c>
      <c r="G608" s="25"/>
      <c r="H608" s="26"/>
      <c r="I608" s="27"/>
      <c r="J608" s="27"/>
      <c r="K608" s="27"/>
      <c r="L608" s="27"/>
      <c r="M608" s="27"/>
      <c r="N608" s="27"/>
      <c r="O608" s="27"/>
      <c r="P608" s="27"/>
      <c r="Q608" s="27"/>
      <c r="R608" s="27"/>
      <c r="S608" s="27"/>
      <c r="T608" s="27"/>
      <c r="U608" s="27"/>
      <c r="V608" s="27"/>
      <c r="W608" s="27"/>
      <c r="X608" s="27"/>
      <c r="Y608" s="27"/>
      <c r="Z608" s="27"/>
      <c r="AA608" s="10" t="str">
        <f aca="false">IFERROR(INDEX(設定!$E$61:$E$106,MATCH(B608,設定!$B$61:$B$106,0)),"合算")</f>
        <v>合算</v>
      </c>
      <c r="AB608" s="28"/>
      <c r="AC608" s="29" t="str">
        <f aca="false">IF(OR(G608="",G608="なし"),"",IF(AA608="合算",CJ608+N(Z608),IF(AA608="掛金・負担金別",(AY608+AZ608+BD608+BF608+BH608),SUM(AY608:BC608))))</f>
        <v/>
      </c>
      <c r="AD608" s="27"/>
      <c r="AE608" s="29" t="str">
        <f aca="false">IF(OR(G608="",G608="なし"),"",IF(AA608="掛金・負担金別",(BA608+BB608+BC608+BE608+BG608+BI608+N(Z608)),IF(AA608="経理区分別",BD608+BE608,"")))</f>
        <v/>
      </c>
      <c r="AF608" s="27"/>
      <c r="AG608" s="29" t="str">
        <f aca="false">IF(OR(G608="",G608="なし"),"",IF(AA608="経理区分別",BF608+BG608,""))</f>
        <v/>
      </c>
      <c r="AH608" s="27"/>
      <c r="AI608" s="29" t="str">
        <f aca="false">IF(OR(G608="",G608="なし"),"",IF(AA608="経理区分別",BH608+BI608+N(Z608),""))</f>
        <v/>
      </c>
      <c r="AJ608" s="27"/>
      <c r="AK608" s="26"/>
      <c r="AL608" s="26"/>
      <c r="AM608" s="30"/>
      <c r="AN608" s="31" t="n">
        <v>762004</v>
      </c>
      <c r="AO608" s="31" t="n">
        <v>62452</v>
      </c>
      <c r="AP608" s="31" t="n">
        <v>1112729</v>
      </c>
      <c r="AQ608" s="31" t="n">
        <v>62460</v>
      </c>
      <c r="AR608" s="31" t="n">
        <v>793</v>
      </c>
      <c r="AS608" s="31" t="n">
        <v>458103</v>
      </c>
      <c r="AT608" s="31" t="n">
        <v>466320</v>
      </c>
      <c r="AU608" s="31" t="n">
        <v>46480</v>
      </c>
      <c r="AV608" s="31" t="n">
        <v>46491</v>
      </c>
      <c r="AW608" s="31" t="n">
        <v>1</v>
      </c>
      <c r="AX608" s="31" t="n">
        <v>1</v>
      </c>
      <c r="AY608" s="31" t="n">
        <f aca="false">IF($G608="",AN608,O608)</f>
        <v>762004</v>
      </c>
      <c r="AZ608" s="31" t="n">
        <f aca="false">IF($G608="",AO608,P608)</f>
        <v>62452</v>
      </c>
      <c r="BA608" s="31" t="n">
        <f aca="false">IF($G608="",AP608,T608)</f>
        <v>1112729</v>
      </c>
      <c r="BB608" s="31" t="n">
        <f aca="false">IF($G608="",AQ608,U608)</f>
        <v>62460</v>
      </c>
      <c r="BC608" s="31" t="n">
        <f aca="false">IF($G608="",AR608,V608)</f>
        <v>793</v>
      </c>
      <c r="BD608" s="31" t="n">
        <f aca="false">IF($G608="",AS608,Q608)</f>
        <v>458103</v>
      </c>
      <c r="BE608" s="31" t="n">
        <f aca="false">IF($G608="",AT608,W608)</f>
        <v>466320</v>
      </c>
      <c r="BF608" s="31" t="n">
        <f aca="false">IF($G608="",AU608,R608)</f>
        <v>46480</v>
      </c>
      <c r="BG608" s="31" t="n">
        <f aca="false">IF($G608="",AV608,X608)</f>
        <v>46491</v>
      </c>
      <c r="BH608" s="31" t="n">
        <f aca="false">IF($G608="",AW608,S608)</f>
        <v>1</v>
      </c>
      <c r="BI608" s="31" t="n">
        <f aca="false">IF($G608="",AX608,Y608)</f>
        <v>1</v>
      </c>
      <c r="BJ608" s="31" t="n">
        <f aca="false">IF(CK608="N",BR608,ROUNDDOWN((I608-L608)*設定!$B$10/1000,0)+ROUNDDOWN((I608-L608)*設定!$B$11/1000,0))</f>
        <v>0</v>
      </c>
      <c r="BK608" s="31" t="n">
        <f aca="false">ROUNDDOWN((I608-L608)*設定!$C$10/1000,0)+ROUNDDOWN((I608-L608)*設定!$C$11/1000,0)+ROUNDDOWN(I608*設定!$C$12/1000,0)+IF(CL608="市局型",ROUNDDOWN(I608*設定!$C$16/1000,0),0)</f>
        <v>0</v>
      </c>
      <c r="BL608" s="31" t="n">
        <f aca="false">IF(CK608="N",BT608,ROUNDDOWN((J608-M608)*設定!$B$13/1000,0))</f>
        <v>0</v>
      </c>
      <c r="BM608" s="31" t="n">
        <f aca="false">ROUNDDOWN((J608-M608)*設定!$C$13/1000,0)+IF(CL608="市局型",ROUNDDOWN(J608*設定!$C$17/1000,0),0)</f>
        <v>0</v>
      </c>
      <c r="BN608" s="31" t="n">
        <f aca="false">IF(CK608="N",BV608,ROUNDDOWN((K608-N608)*設定!$B$14/1000,0))</f>
        <v>0</v>
      </c>
      <c r="BO608" s="31" t="n">
        <f aca="false">ROUNDDOWN((K608-N608)*設定!$C$14/1000,0)</f>
        <v>0</v>
      </c>
      <c r="BP608" s="31" t="n">
        <f aca="false">IF(CK608="N",BX608,ROUNDDOWN((J608-M608)*設定!$B$15/1000,0))</f>
        <v>0</v>
      </c>
      <c r="BQ608" s="31" t="n">
        <f aca="false">ROUNDDOWN((J608-M608)*設定!$C$15/1000,0)</f>
        <v>0</v>
      </c>
      <c r="BR608" s="31" t="n">
        <f aca="false">O608+P608</f>
        <v>0</v>
      </c>
      <c r="BS608" s="31" t="n">
        <f aca="false">T608+U608+V608</f>
        <v>0</v>
      </c>
      <c r="BT608" s="31" t="n">
        <f aca="false">Q608</f>
        <v>0</v>
      </c>
      <c r="BU608" s="31" t="n">
        <f aca="false">W608</f>
        <v>0</v>
      </c>
      <c r="BV608" s="31" t="n">
        <f aca="false">R608</f>
        <v>0</v>
      </c>
      <c r="BW608" s="31" t="n">
        <f aca="false">X608</f>
        <v>0</v>
      </c>
      <c r="BX608" s="31" t="n">
        <f aca="false">S608</f>
        <v>0</v>
      </c>
      <c r="BY608" s="31" t="n">
        <f aca="false">Y608</f>
        <v>0</v>
      </c>
      <c r="BZ608" s="32" t="n">
        <f aca="false">IF(BJ608=0,IF(BR608=0,0,1),(BR608-BJ608)/BJ608)</f>
        <v>0</v>
      </c>
      <c r="CA608" s="32" t="n">
        <f aca="false">IF(BK608=0,IF(BS608=0,0,1),(BS608-BK608)/BK608)</f>
        <v>0</v>
      </c>
      <c r="CB608" s="32" t="n">
        <f aca="false">IF(BL608=0,IF(BT608=0,0,1),(BT608-BL608)/BL608)</f>
        <v>0</v>
      </c>
      <c r="CC608" s="32" t="n">
        <f aca="false">IF(BM608=0,IF(BU608=0,0,1),(BU608-BM608)/BM608)</f>
        <v>0</v>
      </c>
      <c r="CD608" s="32" t="n">
        <f aca="false">IF(BN608=0,IF(BV608=0,0,1),(BV608-BN608)/BN608)</f>
        <v>0</v>
      </c>
      <c r="CE608" s="32" t="n">
        <f aca="false">IF(BO608=0,IF(BW608=0,0,1),(BW608-BO608)/BO608)</f>
        <v>0</v>
      </c>
      <c r="CF608" s="32" t="n">
        <f aca="false">IF(BP608=0,IF(BX608=0,0,1),(BX608-BP608)/BP608)</f>
        <v>0</v>
      </c>
      <c r="CG608" s="32" t="n">
        <f aca="false">IF(BQ608=0,IF(BY608=0,0,1),(BY608-BQ608)/BQ608)</f>
        <v>0</v>
      </c>
      <c r="CH608" s="32" t="n">
        <f aca="false">MAX(MAX(BZ608:CG608),-MIN(BZ608:CG608))</f>
        <v>-0</v>
      </c>
      <c r="CI608" s="31" t="str">
        <f aca="false">IF(CO608="","",SUMIFS($CJ$7:$CJ$696,$A$7:$A$696,CO608,$B$7:$B$696,B608))</f>
        <v/>
      </c>
      <c r="CJ608" s="31" t="n">
        <f aca="false">SUM(AY608:BI608)</f>
        <v>3017834</v>
      </c>
      <c r="CK608" s="31" t="str">
        <f aca="false">IFERROR(INDEX(設定!$F$61:$F$106,MATCH(B608,設定!$B$61:$B$106,0)),"Y")</f>
        <v>Y</v>
      </c>
      <c r="CL608" s="31" t="str">
        <f aca="false">IFERROR(INDEX(設定!$G$61:$G$106,MATCH(B608,設定!$B$61:$B$106,0)),"外郭型")</f>
        <v>市局型</v>
      </c>
      <c r="CM608" s="33" t="str">
        <f aca="false">A608&amp;"|"&amp;B608</f>
        <v>2027-03 賞与|議会事務局</v>
      </c>
      <c r="CN608" s="34" t="str">
        <f aca="false">IFERROR(INDEX(設定!$D$61:$D$106,MATCH(B608,設定!$B$61:$B$106,0)),"Y")</f>
        <v>Y</v>
      </c>
      <c r="CO608" s="34" t="str">
        <f aca="false">IFERROR(INDEX(設定!$D$20:$D$34,MATCH(A608,設定!$A$20:$A$34,0))&amp;"","")</f>
        <v/>
      </c>
    </row>
    <row r="609" customFormat="false" ht="15" hidden="true" customHeight="false" outlineLevel="0" collapsed="false">
      <c r="A609" s="22" t="s">
        <v>229</v>
      </c>
      <c r="B609" s="23" t="s">
        <v>172</v>
      </c>
      <c r="C609" s="10" t="str">
        <f aca="false">IF(G609="","未受領",IF(G609="なし","報告なし",IF(AL609="○","起票済",IF(OR(AK609="○",F609="一致",F609="入金不要"),"入金確認済","受領済"))))</f>
        <v>未受領</v>
      </c>
      <c r="D609" s="10" t="str">
        <f aca="false">IF(OR(G609="",G609="なし"),"―",IF(CN609="N","対象外",IF(AND(I609="",J609="",K609=""),"標報未入力",IF(CH609&gt;=設定!$B$4,"要確認","問題なし"))))</f>
        <v>―</v>
      </c>
      <c r="E609" s="24" t="str">
        <f aca="false">IF(OR(G609="",G609="なし",CI609="",CJ609=0),"―",IF(CJ609=CI609,"前月同額",IF(CI609=0,"―",IF(ABS(CJ609/CI609-1)&gt;=設定!$B$5,"変動大 "&amp;TEXT(CJ609/CI609-1,"+0%;-0%"),"〇"))))</f>
        <v>―</v>
      </c>
      <c r="F609" s="10" t="str">
        <f aca="false">IF(OR(G609="",G609="なし"),"―",IF(CJ609=0,"入金不要",IF(COUNT(AD609,AF609,AH609,AJ609)=0,IF(AK609="○","手動確認","未入金"),IF(AND(N(AD609)=AC609,IF(AE609="",TRUE(),N(AF609)=AE609),IF(AG609="",TRUE(),N(AH609)=AG609),IF(AI609="",TRUE(),N(AJ609)=AI609)),"一致","不一致"))))</f>
        <v>―</v>
      </c>
      <c r="G609" s="25"/>
      <c r="H609" s="26"/>
      <c r="I609" s="27"/>
      <c r="J609" s="27"/>
      <c r="K609" s="27"/>
      <c r="L609" s="27"/>
      <c r="M609" s="27"/>
      <c r="N609" s="27"/>
      <c r="O609" s="27"/>
      <c r="P609" s="27"/>
      <c r="Q609" s="27"/>
      <c r="R609" s="27"/>
      <c r="S609" s="27"/>
      <c r="T609" s="27"/>
      <c r="U609" s="27"/>
      <c r="V609" s="27"/>
      <c r="W609" s="27"/>
      <c r="X609" s="27"/>
      <c r="Y609" s="27"/>
      <c r="Z609" s="27"/>
      <c r="AA609" s="10" t="str">
        <f aca="false">IFERROR(INDEX(設定!$E$61:$E$106,MATCH(B609,設定!$B$61:$B$106,0)),"合算")</f>
        <v>合算</v>
      </c>
      <c r="AB609" s="28"/>
      <c r="AC609" s="29" t="str">
        <f aca="false">IF(OR(G609="",G609="なし"),"",IF(AA609="合算",CJ609+N(Z609),IF(AA609="掛金・負担金別",(AY609+AZ609+BD609+BF609+BH609),SUM(AY609:BC609))))</f>
        <v/>
      </c>
      <c r="AD609" s="27"/>
      <c r="AE609" s="29" t="str">
        <f aca="false">IF(OR(G609="",G609="なし"),"",IF(AA609="掛金・負担金別",(BA609+BB609+BC609+BE609+BG609+BI609+N(Z609)),IF(AA609="経理区分別",BD609+BE609,"")))</f>
        <v/>
      </c>
      <c r="AF609" s="27"/>
      <c r="AG609" s="29" t="str">
        <f aca="false">IF(OR(G609="",G609="なし"),"",IF(AA609="経理区分別",BF609+BG609,""))</f>
        <v/>
      </c>
      <c r="AH609" s="27"/>
      <c r="AI609" s="29" t="str">
        <f aca="false">IF(OR(G609="",G609="なし"),"",IF(AA609="経理区分別",BH609+BI609+N(Z609),""))</f>
        <v/>
      </c>
      <c r="AJ609" s="27"/>
      <c r="AK609" s="26"/>
      <c r="AL609" s="26"/>
      <c r="AM609" s="30"/>
      <c r="AN609" s="31" t="n">
        <v>11288669</v>
      </c>
      <c r="AO609" s="31" t="n">
        <v>925169</v>
      </c>
      <c r="AP609" s="31" t="n">
        <v>15428472</v>
      </c>
      <c r="AQ609" s="31" t="n">
        <v>925311</v>
      </c>
      <c r="AR609" s="31" t="n">
        <v>11806</v>
      </c>
      <c r="AS609" s="31" t="n">
        <v>10970321</v>
      </c>
      <c r="AT609" s="31" t="n">
        <v>11131787</v>
      </c>
      <c r="AU609" s="31" t="n">
        <v>1291130</v>
      </c>
      <c r="AV609" s="31" t="n">
        <v>1290783</v>
      </c>
      <c r="AW609" s="31" t="n">
        <v>1</v>
      </c>
      <c r="AX609" s="31" t="n">
        <v>1</v>
      </c>
      <c r="AY609" s="31" t="n">
        <f aca="false">IF($G609="",AN609,O609)</f>
        <v>11288669</v>
      </c>
      <c r="AZ609" s="31" t="n">
        <f aca="false">IF($G609="",AO609,P609)</f>
        <v>925169</v>
      </c>
      <c r="BA609" s="31" t="n">
        <f aca="false">IF($G609="",AP609,T609)</f>
        <v>15428472</v>
      </c>
      <c r="BB609" s="31" t="n">
        <f aca="false">IF($G609="",AQ609,U609)</f>
        <v>925311</v>
      </c>
      <c r="BC609" s="31" t="n">
        <f aca="false">IF($G609="",AR609,V609)</f>
        <v>11806</v>
      </c>
      <c r="BD609" s="31" t="n">
        <f aca="false">IF($G609="",AS609,Q609)</f>
        <v>10970321</v>
      </c>
      <c r="BE609" s="31" t="n">
        <f aca="false">IF($G609="",AT609,W609)</f>
        <v>11131787</v>
      </c>
      <c r="BF609" s="31" t="n">
        <f aca="false">IF($G609="",AU609,R609)</f>
        <v>1291130</v>
      </c>
      <c r="BG609" s="31" t="n">
        <f aca="false">IF($G609="",AV609,X609)</f>
        <v>1290783</v>
      </c>
      <c r="BH609" s="31" t="n">
        <f aca="false">IF($G609="",AW609,S609)</f>
        <v>1</v>
      </c>
      <c r="BI609" s="31" t="n">
        <f aca="false">IF($G609="",AX609,Y609)</f>
        <v>1</v>
      </c>
      <c r="BJ609" s="31" t="n">
        <f aca="false">IF(CK609="N",BR609,ROUNDDOWN((I609-L609)*設定!$B$10/1000,0)+ROUNDDOWN((I609-L609)*設定!$B$11/1000,0))</f>
        <v>0</v>
      </c>
      <c r="BK609" s="31" t="n">
        <f aca="false">ROUNDDOWN((I609-L609)*設定!$C$10/1000,0)+ROUNDDOWN((I609-L609)*設定!$C$11/1000,0)+ROUNDDOWN(I609*設定!$C$12/1000,0)+IF(CL609="市局型",ROUNDDOWN(I609*設定!$C$16/1000,0),0)</f>
        <v>0</v>
      </c>
      <c r="BL609" s="31" t="n">
        <f aca="false">IF(CK609="N",BT609,ROUNDDOWN((J609-M609)*設定!$B$13/1000,0))</f>
        <v>0</v>
      </c>
      <c r="BM609" s="31" t="n">
        <f aca="false">ROUNDDOWN((J609-M609)*設定!$C$13/1000,0)+IF(CL609="市局型",ROUNDDOWN(J609*設定!$C$17/1000,0),0)</f>
        <v>0</v>
      </c>
      <c r="BN609" s="31" t="n">
        <f aca="false">IF(CK609="N",BV609,ROUNDDOWN((K609-N609)*設定!$B$14/1000,0))</f>
        <v>0</v>
      </c>
      <c r="BO609" s="31" t="n">
        <f aca="false">ROUNDDOWN((K609-N609)*設定!$C$14/1000,0)</f>
        <v>0</v>
      </c>
      <c r="BP609" s="31" t="n">
        <f aca="false">IF(CK609="N",BX609,ROUNDDOWN((J609-M609)*設定!$B$15/1000,0))</f>
        <v>0</v>
      </c>
      <c r="BQ609" s="31" t="n">
        <f aca="false">ROUNDDOWN((J609-M609)*設定!$C$15/1000,0)</f>
        <v>0</v>
      </c>
      <c r="BR609" s="31" t="n">
        <f aca="false">O609+P609</f>
        <v>0</v>
      </c>
      <c r="BS609" s="31" t="n">
        <f aca="false">T609+U609+V609</f>
        <v>0</v>
      </c>
      <c r="BT609" s="31" t="n">
        <f aca="false">Q609</f>
        <v>0</v>
      </c>
      <c r="BU609" s="31" t="n">
        <f aca="false">W609</f>
        <v>0</v>
      </c>
      <c r="BV609" s="31" t="n">
        <f aca="false">R609</f>
        <v>0</v>
      </c>
      <c r="BW609" s="31" t="n">
        <f aca="false">X609</f>
        <v>0</v>
      </c>
      <c r="BX609" s="31" t="n">
        <f aca="false">S609</f>
        <v>0</v>
      </c>
      <c r="BY609" s="31" t="n">
        <f aca="false">Y609</f>
        <v>0</v>
      </c>
      <c r="BZ609" s="32" t="n">
        <f aca="false">IF(BJ609=0,IF(BR609=0,0,1),(BR609-BJ609)/BJ609)</f>
        <v>0</v>
      </c>
      <c r="CA609" s="32" t="n">
        <f aca="false">IF(BK609=0,IF(BS609=0,0,1),(BS609-BK609)/BK609)</f>
        <v>0</v>
      </c>
      <c r="CB609" s="32" t="n">
        <f aca="false">IF(BL609=0,IF(BT609=0,0,1),(BT609-BL609)/BL609)</f>
        <v>0</v>
      </c>
      <c r="CC609" s="32" t="n">
        <f aca="false">IF(BM609=0,IF(BU609=0,0,1),(BU609-BM609)/BM609)</f>
        <v>0</v>
      </c>
      <c r="CD609" s="32" t="n">
        <f aca="false">IF(BN609=0,IF(BV609=0,0,1),(BV609-BN609)/BN609)</f>
        <v>0</v>
      </c>
      <c r="CE609" s="32" t="n">
        <f aca="false">IF(BO609=0,IF(BW609=0,0,1),(BW609-BO609)/BO609)</f>
        <v>0</v>
      </c>
      <c r="CF609" s="32" t="n">
        <f aca="false">IF(BP609=0,IF(BX609=0,0,1),(BX609-BP609)/BP609)</f>
        <v>0</v>
      </c>
      <c r="CG609" s="32" t="n">
        <f aca="false">IF(BQ609=0,IF(BY609=0,0,1),(BY609-BQ609)/BQ609)</f>
        <v>0</v>
      </c>
      <c r="CH609" s="32" t="n">
        <f aca="false">MAX(MAX(BZ609:CG609),-MIN(BZ609:CG609))</f>
        <v>-0</v>
      </c>
      <c r="CI609" s="31" t="str">
        <f aca="false">IF(CO609="","",SUMIFS($CJ$7:$CJ$696,$A$7:$A$696,CO609,$B$7:$B$696,B609))</f>
        <v/>
      </c>
      <c r="CJ609" s="31" t="n">
        <f aca="false">SUM(AY609:BI609)</f>
        <v>53263450</v>
      </c>
      <c r="CK609" s="31" t="str">
        <f aca="false">IFERROR(INDEX(設定!$F$61:$F$106,MATCH(B609,設定!$B$61:$B$106,0)),"Y")</f>
        <v>Y</v>
      </c>
      <c r="CL609" s="31" t="str">
        <f aca="false">IFERROR(INDEX(設定!$G$61:$G$106,MATCH(B609,設定!$B$61:$B$106,0)),"外郭型")</f>
        <v>市局型</v>
      </c>
      <c r="CM609" s="33" t="str">
        <f aca="false">A609&amp;"|"&amp;B609</f>
        <v>2027-03 賞与|教育委員会（総務課）</v>
      </c>
      <c r="CN609" s="34" t="str">
        <f aca="false">IFERROR(INDEX(設定!$D$61:$D$106,MATCH(B609,設定!$B$61:$B$106,0)),"Y")</f>
        <v>N</v>
      </c>
      <c r="CO609" s="34" t="str">
        <f aca="false">IFERROR(INDEX(設定!$D$20:$D$34,MATCH(A609,設定!$A$20:$A$34,0))&amp;"","")</f>
        <v/>
      </c>
    </row>
    <row r="610" customFormat="false" ht="15" hidden="true" customHeight="false" outlineLevel="0" collapsed="false">
      <c r="A610" s="22" t="s">
        <v>229</v>
      </c>
      <c r="B610" s="23" t="s">
        <v>173</v>
      </c>
      <c r="C610" s="10" t="str">
        <f aca="false">IF(G610="","未受領",IF(G610="なし","報告なし",IF(AL610="○","起票済",IF(OR(AK610="○",F610="一致",F610="入金不要"),"入金確認済","受領済"))))</f>
        <v>未受領</v>
      </c>
      <c r="D610" s="10" t="str">
        <f aca="false">IF(OR(G610="",G610="なし"),"―",IF(CN610="N","対象外",IF(AND(I610="",J610="",K610=""),"標報未入力",IF(CH610&gt;=設定!$B$4,"要確認","問題なし"))))</f>
        <v>―</v>
      </c>
      <c r="E610" s="24" t="str">
        <f aca="false">IF(OR(G610="",G610="なし",CI610="",CJ610=0),"―",IF(CJ610=CI610,"前月同額",IF(CI610=0,"―",IF(ABS(CJ610/CI610-1)&gt;=設定!$B$5,"変動大 "&amp;TEXT(CJ610/CI610-1,"+0%;-0%"),"〇"))))</f>
        <v>―</v>
      </c>
      <c r="F610" s="10" t="str">
        <f aca="false">IF(OR(G610="",G610="なし"),"―",IF(CJ610=0,"入金不要",IF(COUNT(AD610,AF610,AH610,AJ610)=0,IF(AK610="○","手動確認","未入金"),IF(AND(N(AD610)=AC610,IF(AE610="",TRUE(),N(AF610)=AE610),IF(AG610="",TRUE(),N(AH610)=AG610),IF(AI610="",TRUE(),N(AJ610)=AI610)),"一致","不一致"))))</f>
        <v>―</v>
      </c>
      <c r="G610" s="25"/>
      <c r="H610" s="26"/>
      <c r="I610" s="27"/>
      <c r="J610" s="27"/>
      <c r="K610" s="27"/>
      <c r="L610" s="27"/>
      <c r="M610" s="27"/>
      <c r="N610" s="27"/>
      <c r="O610" s="27"/>
      <c r="P610" s="27"/>
      <c r="Q610" s="27"/>
      <c r="R610" s="27"/>
      <c r="S610" s="27"/>
      <c r="T610" s="27"/>
      <c r="U610" s="27"/>
      <c r="V610" s="27"/>
      <c r="W610" s="27"/>
      <c r="X610" s="27"/>
      <c r="Y610" s="27"/>
      <c r="Z610" s="27"/>
      <c r="AA610" s="10" t="str">
        <f aca="false">IFERROR(INDEX(設定!$E$61:$E$106,MATCH(B610,設定!$B$61:$B$106,0)),"合算")</f>
        <v>合算</v>
      </c>
      <c r="AB610" s="28"/>
      <c r="AC610" s="29" t="str">
        <f aca="false">IF(OR(G610="",G610="なし"),"",IF(AA610="合算",CJ610+N(Z610),IF(AA610="掛金・負担金別",(AY610+AZ610+BD610+BF610+BH610),SUM(AY610:BC610))))</f>
        <v/>
      </c>
      <c r="AD610" s="27"/>
      <c r="AE610" s="29" t="str">
        <f aca="false">IF(OR(G610="",G610="なし"),"",IF(AA610="掛金・負担金別",(BA610+BB610+BC610+BE610+BG610+BI610+N(Z610)),IF(AA610="経理区分別",BD610+BE610,"")))</f>
        <v/>
      </c>
      <c r="AF610" s="27"/>
      <c r="AG610" s="29" t="str">
        <f aca="false">IF(OR(G610="",G610="なし"),"",IF(AA610="経理区分別",BF610+BG610,""))</f>
        <v/>
      </c>
      <c r="AH610" s="27"/>
      <c r="AI610" s="29" t="str">
        <f aca="false">IF(OR(G610="",G610="なし"),"",IF(AA610="経理区分別",BH610+BI610+N(Z610),""))</f>
        <v/>
      </c>
      <c r="AJ610" s="27"/>
      <c r="AK610" s="26"/>
      <c r="AL610" s="26"/>
      <c r="AM610" s="30"/>
      <c r="AN610" s="31" t="n">
        <v>107327</v>
      </c>
      <c r="AO610" s="31" t="n">
        <v>8795</v>
      </c>
      <c r="AP610" s="31" t="n">
        <v>156008</v>
      </c>
      <c r="AQ610" s="31" t="n">
        <v>8797</v>
      </c>
      <c r="AR610" s="31" t="n">
        <v>110</v>
      </c>
      <c r="AS610" s="31" t="n">
        <v>72939</v>
      </c>
      <c r="AT610" s="31" t="n">
        <v>74228</v>
      </c>
      <c r="AU610" s="31" t="n">
        <v>7085</v>
      </c>
      <c r="AV610" s="31" t="n">
        <v>7085</v>
      </c>
      <c r="AW610" s="31" t="n">
        <v>1</v>
      </c>
      <c r="AX610" s="31" t="n">
        <v>1</v>
      </c>
      <c r="AY610" s="31" t="n">
        <f aca="false">IF($G610="",AN610,O610)</f>
        <v>107327</v>
      </c>
      <c r="AZ610" s="31" t="n">
        <f aca="false">IF($G610="",AO610,P610)</f>
        <v>8795</v>
      </c>
      <c r="BA610" s="31" t="n">
        <f aca="false">IF($G610="",AP610,T610)</f>
        <v>156008</v>
      </c>
      <c r="BB610" s="31" t="n">
        <f aca="false">IF($G610="",AQ610,U610)</f>
        <v>8797</v>
      </c>
      <c r="BC610" s="31" t="n">
        <f aca="false">IF($G610="",AR610,V610)</f>
        <v>110</v>
      </c>
      <c r="BD610" s="31" t="n">
        <f aca="false">IF($G610="",AS610,Q610)</f>
        <v>72939</v>
      </c>
      <c r="BE610" s="31" t="n">
        <f aca="false">IF($G610="",AT610,W610)</f>
        <v>74228</v>
      </c>
      <c r="BF610" s="31" t="n">
        <f aca="false">IF($G610="",AU610,R610)</f>
        <v>7085</v>
      </c>
      <c r="BG610" s="31" t="n">
        <f aca="false">IF($G610="",AV610,X610)</f>
        <v>7085</v>
      </c>
      <c r="BH610" s="31" t="n">
        <f aca="false">IF($G610="",AW610,S610)</f>
        <v>1</v>
      </c>
      <c r="BI610" s="31" t="n">
        <f aca="false">IF($G610="",AX610,Y610)</f>
        <v>1</v>
      </c>
      <c r="BJ610" s="31" t="n">
        <f aca="false">IF(CK610="N",BR610,ROUNDDOWN((I610-L610)*設定!$B$10/1000,0)+ROUNDDOWN((I610-L610)*設定!$B$11/1000,0))</f>
        <v>0</v>
      </c>
      <c r="BK610" s="31" t="n">
        <f aca="false">ROUNDDOWN((I610-L610)*設定!$C$10/1000,0)+ROUNDDOWN((I610-L610)*設定!$C$11/1000,0)+ROUNDDOWN(I610*設定!$C$12/1000,0)+IF(CL610="市局型",ROUNDDOWN(I610*設定!$C$16/1000,0),0)</f>
        <v>0</v>
      </c>
      <c r="BL610" s="31" t="n">
        <f aca="false">IF(CK610="N",BT610,ROUNDDOWN((J610-M610)*設定!$B$13/1000,0))</f>
        <v>0</v>
      </c>
      <c r="BM610" s="31" t="n">
        <f aca="false">ROUNDDOWN((J610-M610)*設定!$C$13/1000,0)+IF(CL610="市局型",ROUNDDOWN(J610*設定!$C$17/1000,0),0)</f>
        <v>0</v>
      </c>
      <c r="BN610" s="31" t="n">
        <f aca="false">IF(CK610="N",BV610,ROUNDDOWN((K610-N610)*設定!$B$14/1000,0))</f>
        <v>0</v>
      </c>
      <c r="BO610" s="31" t="n">
        <f aca="false">ROUNDDOWN((K610-N610)*設定!$C$14/1000,0)</f>
        <v>0</v>
      </c>
      <c r="BP610" s="31" t="n">
        <f aca="false">IF(CK610="N",BX610,ROUNDDOWN((J610-M610)*設定!$B$15/1000,0))</f>
        <v>0</v>
      </c>
      <c r="BQ610" s="31" t="n">
        <f aca="false">ROUNDDOWN((J610-M610)*設定!$C$15/1000,0)</f>
        <v>0</v>
      </c>
      <c r="BR610" s="31" t="n">
        <f aca="false">O610+P610</f>
        <v>0</v>
      </c>
      <c r="BS610" s="31" t="n">
        <f aca="false">T610+U610+V610</f>
        <v>0</v>
      </c>
      <c r="BT610" s="31" t="n">
        <f aca="false">Q610</f>
        <v>0</v>
      </c>
      <c r="BU610" s="31" t="n">
        <f aca="false">W610</f>
        <v>0</v>
      </c>
      <c r="BV610" s="31" t="n">
        <f aca="false">R610</f>
        <v>0</v>
      </c>
      <c r="BW610" s="31" t="n">
        <f aca="false">X610</f>
        <v>0</v>
      </c>
      <c r="BX610" s="31" t="n">
        <f aca="false">S610</f>
        <v>0</v>
      </c>
      <c r="BY610" s="31" t="n">
        <f aca="false">Y610</f>
        <v>0</v>
      </c>
      <c r="BZ610" s="32" t="n">
        <f aca="false">IF(BJ610=0,IF(BR610=0,0,1),(BR610-BJ610)/BJ610)</f>
        <v>0</v>
      </c>
      <c r="CA610" s="32" t="n">
        <f aca="false">IF(BK610=0,IF(BS610=0,0,1),(BS610-BK610)/BK610)</f>
        <v>0</v>
      </c>
      <c r="CB610" s="32" t="n">
        <f aca="false">IF(BL610=0,IF(BT610=0,0,1),(BT610-BL610)/BL610)</f>
        <v>0</v>
      </c>
      <c r="CC610" s="32" t="n">
        <f aca="false">IF(BM610=0,IF(BU610=0,0,1),(BU610-BM610)/BM610)</f>
        <v>0</v>
      </c>
      <c r="CD610" s="32" t="n">
        <f aca="false">IF(BN610=0,IF(BV610=0,0,1),(BV610-BN610)/BN610)</f>
        <v>0</v>
      </c>
      <c r="CE610" s="32" t="n">
        <f aca="false">IF(BO610=0,IF(BW610=0,0,1),(BW610-BO610)/BO610)</f>
        <v>0</v>
      </c>
      <c r="CF610" s="32" t="n">
        <f aca="false">IF(BP610=0,IF(BX610=0,0,1),(BX610-BP610)/BP610)</f>
        <v>0</v>
      </c>
      <c r="CG610" s="32" t="n">
        <f aca="false">IF(BQ610=0,IF(BY610=0,0,1),(BY610-BQ610)/BQ610)</f>
        <v>0</v>
      </c>
      <c r="CH610" s="32" t="n">
        <f aca="false">MAX(MAX(BZ610:CG610),-MIN(BZ610:CG610))</f>
        <v>-0</v>
      </c>
      <c r="CI610" s="31" t="str">
        <f aca="false">IF(CO610="","",SUMIFS($CJ$7:$CJ$696,$A$7:$A$696,CO610,$B$7:$B$696,B610))</f>
        <v/>
      </c>
      <c r="CJ610" s="31" t="n">
        <f aca="false">SUM(AY610:BI610)</f>
        <v>442376</v>
      </c>
      <c r="CK610" s="31" t="str">
        <f aca="false">IFERROR(INDEX(設定!$F$61:$F$106,MATCH(B610,設定!$B$61:$B$106,0)),"Y")</f>
        <v>Y</v>
      </c>
      <c r="CL610" s="31" t="str">
        <f aca="false">IFERROR(INDEX(設定!$G$61:$G$106,MATCH(B610,設定!$B$61:$B$106,0)),"外郭型")</f>
        <v>市局型</v>
      </c>
      <c r="CM610" s="33" t="str">
        <f aca="false">A610&amp;"|"&amp;B610</f>
        <v>2027-03 賞与|選挙管理委員会</v>
      </c>
      <c r="CN610" s="34" t="str">
        <f aca="false">IFERROR(INDEX(設定!$D$61:$D$106,MATCH(B610,設定!$B$61:$B$106,0)),"Y")</f>
        <v>Y</v>
      </c>
      <c r="CO610" s="34" t="str">
        <f aca="false">IFERROR(INDEX(設定!$D$20:$D$34,MATCH(A610,設定!$A$20:$A$34,0))&amp;"","")</f>
        <v/>
      </c>
    </row>
    <row r="611" customFormat="false" ht="15" hidden="true" customHeight="false" outlineLevel="0" collapsed="false">
      <c r="A611" s="22" t="s">
        <v>229</v>
      </c>
      <c r="B611" s="23" t="s">
        <v>174</v>
      </c>
      <c r="C611" s="10" t="str">
        <f aca="false">IF(G611="","未受領",IF(G611="なし","報告なし",IF(AL611="○","起票済",IF(OR(AK611="○",F611="一致",F611="入金不要"),"入金確認済","受領済"))))</f>
        <v>未受領</v>
      </c>
      <c r="D611" s="10" t="str">
        <f aca="false">IF(OR(G611="",G611="なし"),"―",IF(CN611="N","対象外",IF(AND(I611="",J611="",K611=""),"標報未入力",IF(CH611&gt;=設定!$B$4,"要確認","問題なし"))))</f>
        <v>―</v>
      </c>
      <c r="E611" s="24" t="str">
        <f aca="false">IF(OR(G611="",G611="なし",CI611="",CJ611=0),"―",IF(CJ611=CI611,"前月同額",IF(CI611=0,"―",IF(ABS(CJ611/CI611-1)&gt;=設定!$B$5,"変動大 "&amp;TEXT(CJ611/CI611-1,"+0%;-0%"),"〇"))))</f>
        <v>―</v>
      </c>
      <c r="F611" s="10" t="str">
        <f aca="false">IF(OR(G611="",G611="なし"),"―",IF(CJ611=0,"入金不要",IF(COUNT(AD611,AF611,AH611,AJ611)=0,IF(AK611="○","手動確認","未入金"),IF(AND(N(AD611)=AC611,IF(AE611="",TRUE(),N(AF611)=AE611),IF(AG611="",TRUE(),N(AH611)=AG611),IF(AI611="",TRUE(),N(AJ611)=AI611)),"一致","不一致"))))</f>
        <v>―</v>
      </c>
      <c r="G611" s="25"/>
      <c r="H611" s="26"/>
      <c r="I611" s="27"/>
      <c r="J611" s="27"/>
      <c r="K611" s="27"/>
      <c r="L611" s="27"/>
      <c r="M611" s="27"/>
      <c r="N611" s="27"/>
      <c r="O611" s="27"/>
      <c r="P611" s="27"/>
      <c r="Q611" s="27"/>
      <c r="R611" s="27"/>
      <c r="S611" s="27"/>
      <c r="T611" s="27"/>
      <c r="U611" s="27"/>
      <c r="V611" s="27"/>
      <c r="W611" s="27"/>
      <c r="X611" s="27"/>
      <c r="Y611" s="27"/>
      <c r="Z611" s="27"/>
      <c r="AA611" s="10" t="str">
        <f aca="false">IFERROR(INDEX(設定!$E$61:$E$106,MATCH(B611,設定!$B$61:$B$106,0)),"合算")</f>
        <v>合算</v>
      </c>
      <c r="AB611" s="28"/>
      <c r="AC611" s="29" t="str">
        <f aca="false">IF(OR(G611="",G611="なし"),"",IF(AA611="合算",CJ611+N(Z611),IF(AA611="掛金・負担金別",(AY611+AZ611+BD611+BF611+BH611),SUM(AY611:BC611))))</f>
        <v/>
      </c>
      <c r="AD611" s="27"/>
      <c r="AE611" s="29" t="str">
        <f aca="false">IF(OR(G611="",G611="なし"),"",IF(AA611="掛金・負担金別",(BA611+BB611+BC611+BE611+BG611+BI611+N(Z611)),IF(AA611="経理区分別",BD611+BE611,"")))</f>
        <v/>
      </c>
      <c r="AF611" s="27"/>
      <c r="AG611" s="29" t="str">
        <f aca="false">IF(OR(G611="",G611="なし"),"",IF(AA611="経理区分別",BF611+BG611,""))</f>
        <v/>
      </c>
      <c r="AH611" s="27"/>
      <c r="AI611" s="29" t="str">
        <f aca="false">IF(OR(G611="",G611="なし"),"",IF(AA611="経理区分別",BH611+BI611+N(Z611),""))</f>
        <v/>
      </c>
      <c r="AJ611" s="27"/>
      <c r="AK611" s="26"/>
      <c r="AL611" s="26"/>
      <c r="AM611" s="30"/>
      <c r="AN611" s="31" t="n">
        <v>248785</v>
      </c>
      <c r="AO611" s="31" t="n">
        <v>20389</v>
      </c>
      <c r="AP611" s="31" t="n">
        <v>361626</v>
      </c>
      <c r="AQ611" s="31" t="n">
        <v>20392</v>
      </c>
      <c r="AR611" s="31" t="n">
        <v>255</v>
      </c>
      <c r="AS611" s="31" t="n">
        <v>149566</v>
      </c>
      <c r="AT611" s="31" t="n">
        <v>152209</v>
      </c>
      <c r="AU611" s="31" t="n">
        <v>14517</v>
      </c>
      <c r="AV611" s="31" t="n">
        <v>14520</v>
      </c>
      <c r="AW611" s="31" t="n">
        <v>1</v>
      </c>
      <c r="AX611" s="31" t="n">
        <v>1</v>
      </c>
      <c r="AY611" s="31" t="n">
        <f aca="false">IF($G611="",AN611,O611)</f>
        <v>248785</v>
      </c>
      <c r="AZ611" s="31" t="n">
        <f aca="false">IF($G611="",AO611,P611)</f>
        <v>20389</v>
      </c>
      <c r="BA611" s="31" t="n">
        <f aca="false">IF($G611="",AP611,T611)</f>
        <v>361626</v>
      </c>
      <c r="BB611" s="31" t="n">
        <f aca="false">IF($G611="",AQ611,U611)</f>
        <v>20392</v>
      </c>
      <c r="BC611" s="31" t="n">
        <f aca="false">IF($G611="",AR611,V611)</f>
        <v>255</v>
      </c>
      <c r="BD611" s="31" t="n">
        <f aca="false">IF($G611="",AS611,Q611)</f>
        <v>149566</v>
      </c>
      <c r="BE611" s="31" t="n">
        <f aca="false">IF($G611="",AT611,W611)</f>
        <v>152209</v>
      </c>
      <c r="BF611" s="31" t="n">
        <f aca="false">IF($G611="",AU611,R611)</f>
        <v>14517</v>
      </c>
      <c r="BG611" s="31" t="n">
        <f aca="false">IF($G611="",AV611,X611)</f>
        <v>14520</v>
      </c>
      <c r="BH611" s="31" t="n">
        <f aca="false">IF($G611="",AW611,S611)</f>
        <v>1</v>
      </c>
      <c r="BI611" s="31" t="n">
        <f aca="false">IF($G611="",AX611,Y611)</f>
        <v>1</v>
      </c>
      <c r="BJ611" s="31" t="n">
        <f aca="false">IF(CK611="N",BR611,ROUNDDOWN((I611-L611)*設定!$B$10/1000,0)+ROUNDDOWN((I611-L611)*設定!$B$11/1000,0))</f>
        <v>0</v>
      </c>
      <c r="BK611" s="31" t="n">
        <f aca="false">ROUNDDOWN((I611-L611)*設定!$C$10/1000,0)+ROUNDDOWN((I611-L611)*設定!$C$11/1000,0)+ROUNDDOWN(I611*設定!$C$12/1000,0)+IF(CL611="市局型",ROUNDDOWN(I611*設定!$C$16/1000,0),0)</f>
        <v>0</v>
      </c>
      <c r="BL611" s="31" t="n">
        <f aca="false">IF(CK611="N",BT611,ROUNDDOWN((J611-M611)*設定!$B$13/1000,0))</f>
        <v>0</v>
      </c>
      <c r="BM611" s="31" t="n">
        <f aca="false">ROUNDDOWN((J611-M611)*設定!$C$13/1000,0)+IF(CL611="市局型",ROUNDDOWN(J611*設定!$C$17/1000,0),0)</f>
        <v>0</v>
      </c>
      <c r="BN611" s="31" t="n">
        <f aca="false">IF(CK611="N",BV611,ROUNDDOWN((K611-N611)*設定!$B$14/1000,0))</f>
        <v>0</v>
      </c>
      <c r="BO611" s="31" t="n">
        <f aca="false">ROUNDDOWN((K611-N611)*設定!$C$14/1000,0)</f>
        <v>0</v>
      </c>
      <c r="BP611" s="31" t="n">
        <f aca="false">IF(CK611="N",BX611,ROUNDDOWN((J611-M611)*設定!$B$15/1000,0))</f>
        <v>0</v>
      </c>
      <c r="BQ611" s="31" t="n">
        <f aca="false">ROUNDDOWN((J611-M611)*設定!$C$15/1000,0)</f>
        <v>0</v>
      </c>
      <c r="BR611" s="31" t="n">
        <f aca="false">O611+P611</f>
        <v>0</v>
      </c>
      <c r="BS611" s="31" t="n">
        <f aca="false">T611+U611+V611</f>
        <v>0</v>
      </c>
      <c r="BT611" s="31" t="n">
        <f aca="false">Q611</f>
        <v>0</v>
      </c>
      <c r="BU611" s="31" t="n">
        <f aca="false">W611</f>
        <v>0</v>
      </c>
      <c r="BV611" s="31" t="n">
        <f aca="false">R611</f>
        <v>0</v>
      </c>
      <c r="BW611" s="31" t="n">
        <f aca="false">X611</f>
        <v>0</v>
      </c>
      <c r="BX611" s="31" t="n">
        <f aca="false">S611</f>
        <v>0</v>
      </c>
      <c r="BY611" s="31" t="n">
        <f aca="false">Y611</f>
        <v>0</v>
      </c>
      <c r="BZ611" s="32" t="n">
        <f aca="false">IF(BJ611=0,IF(BR611=0,0,1),(BR611-BJ611)/BJ611)</f>
        <v>0</v>
      </c>
      <c r="CA611" s="32" t="n">
        <f aca="false">IF(BK611=0,IF(BS611=0,0,1),(BS611-BK611)/BK611)</f>
        <v>0</v>
      </c>
      <c r="CB611" s="32" t="n">
        <f aca="false">IF(BL611=0,IF(BT611=0,0,1),(BT611-BL611)/BL611)</f>
        <v>0</v>
      </c>
      <c r="CC611" s="32" t="n">
        <f aca="false">IF(BM611=0,IF(BU611=0,0,1),(BU611-BM611)/BM611)</f>
        <v>0</v>
      </c>
      <c r="CD611" s="32" t="n">
        <f aca="false">IF(BN611=0,IF(BV611=0,0,1),(BV611-BN611)/BN611)</f>
        <v>0</v>
      </c>
      <c r="CE611" s="32" t="n">
        <f aca="false">IF(BO611=0,IF(BW611=0,0,1),(BW611-BO611)/BO611)</f>
        <v>0</v>
      </c>
      <c r="CF611" s="32" t="n">
        <f aca="false">IF(BP611=0,IF(BX611=0,0,1),(BX611-BP611)/BP611)</f>
        <v>0</v>
      </c>
      <c r="CG611" s="32" t="n">
        <f aca="false">IF(BQ611=0,IF(BY611=0,0,1),(BY611-BQ611)/BQ611)</f>
        <v>0</v>
      </c>
      <c r="CH611" s="32" t="n">
        <f aca="false">MAX(MAX(BZ611:CG611),-MIN(BZ611:CG611))</f>
        <v>-0</v>
      </c>
      <c r="CI611" s="31" t="str">
        <f aca="false">IF(CO611="","",SUMIFS($CJ$7:$CJ$696,$A$7:$A$696,CO611,$B$7:$B$696,B611))</f>
        <v/>
      </c>
      <c r="CJ611" s="31" t="n">
        <f aca="false">SUM(AY611:BI611)</f>
        <v>982261</v>
      </c>
      <c r="CK611" s="31" t="str">
        <f aca="false">IFERROR(INDEX(設定!$F$61:$F$106,MATCH(B611,設定!$B$61:$B$106,0)),"Y")</f>
        <v>Y</v>
      </c>
      <c r="CL611" s="31" t="str">
        <f aca="false">IFERROR(INDEX(設定!$G$61:$G$106,MATCH(B611,設定!$B$61:$B$106,0)),"外郭型")</f>
        <v>市局型</v>
      </c>
      <c r="CM611" s="33" t="str">
        <f aca="false">A611&amp;"|"&amp;B611</f>
        <v>2027-03 賞与|人事委員会</v>
      </c>
      <c r="CN611" s="34" t="str">
        <f aca="false">IFERROR(INDEX(設定!$D$61:$D$106,MATCH(B611,設定!$B$61:$B$106,0)),"Y")</f>
        <v>Y</v>
      </c>
      <c r="CO611" s="34" t="str">
        <f aca="false">IFERROR(INDEX(設定!$D$20:$D$34,MATCH(A611,設定!$A$20:$A$34,0))&amp;"","")</f>
        <v/>
      </c>
    </row>
    <row r="612" customFormat="false" ht="15" hidden="true" customHeight="false" outlineLevel="0" collapsed="false">
      <c r="A612" s="22" t="s">
        <v>229</v>
      </c>
      <c r="B612" s="23" t="s">
        <v>175</v>
      </c>
      <c r="C612" s="10" t="str">
        <f aca="false">IF(G612="","未受領",IF(G612="なし","報告なし",IF(AL612="○","起票済",IF(OR(AK612="○",F612="一致",F612="入金不要"),"入金確認済","受領済"))))</f>
        <v>未受領</v>
      </c>
      <c r="D612" s="10" t="str">
        <f aca="false">IF(OR(G612="",G612="なし"),"―",IF(CN612="N","対象外",IF(AND(I612="",J612="",K612=""),"標報未入力",IF(CH612&gt;=設定!$B$4,"要確認","問題なし"))))</f>
        <v>―</v>
      </c>
      <c r="E612" s="24" t="str">
        <f aca="false">IF(OR(G612="",G612="なし",CI612="",CJ612=0),"―",IF(CJ612=CI612,"前月同額",IF(CI612=0,"―",IF(ABS(CJ612/CI612-1)&gt;=設定!$B$5,"変動大 "&amp;TEXT(CJ612/CI612-1,"+0%;-0%"),"〇"))))</f>
        <v>―</v>
      </c>
      <c r="F612" s="10" t="str">
        <f aca="false">IF(OR(G612="",G612="なし"),"―",IF(CJ612=0,"入金不要",IF(COUNT(AD612,AF612,AH612,AJ612)=0,IF(AK612="○","手動確認","未入金"),IF(AND(N(AD612)=AC612,IF(AE612="",TRUE(),N(AF612)=AE612),IF(AG612="",TRUE(),N(AH612)=AG612),IF(AI612="",TRUE(),N(AJ612)=AI612)),"一致","不一致"))))</f>
        <v>―</v>
      </c>
      <c r="G612" s="25"/>
      <c r="H612" s="26"/>
      <c r="I612" s="27"/>
      <c r="J612" s="27"/>
      <c r="K612" s="27"/>
      <c r="L612" s="27"/>
      <c r="M612" s="27"/>
      <c r="N612" s="27"/>
      <c r="O612" s="27"/>
      <c r="P612" s="27"/>
      <c r="Q612" s="27"/>
      <c r="R612" s="27"/>
      <c r="S612" s="27"/>
      <c r="T612" s="27"/>
      <c r="U612" s="27"/>
      <c r="V612" s="27"/>
      <c r="W612" s="27"/>
      <c r="X612" s="27"/>
      <c r="Y612" s="27"/>
      <c r="Z612" s="27"/>
      <c r="AA612" s="10" t="str">
        <f aca="false">IFERROR(INDEX(設定!$E$61:$E$106,MATCH(B612,設定!$B$61:$B$106,0)),"合算")</f>
        <v>合算</v>
      </c>
      <c r="AB612" s="28"/>
      <c r="AC612" s="29" t="str">
        <f aca="false">IF(OR(G612="",G612="なし"),"",IF(AA612="合算",CJ612+N(Z612),IF(AA612="掛金・負担金別",(AY612+AZ612+BD612+BF612+BH612),SUM(AY612:BC612))))</f>
        <v/>
      </c>
      <c r="AD612" s="27"/>
      <c r="AE612" s="29" t="str">
        <f aca="false">IF(OR(G612="",G612="なし"),"",IF(AA612="掛金・負担金別",(BA612+BB612+BC612+BE612+BG612+BI612+N(Z612)),IF(AA612="経理区分別",BD612+BE612,"")))</f>
        <v/>
      </c>
      <c r="AF612" s="27"/>
      <c r="AG612" s="29" t="str">
        <f aca="false">IF(OR(G612="",G612="なし"),"",IF(AA612="経理区分別",BF612+BG612,""))</f>
        <v/>
      </c>
      <c r="AH612" s="27"/>
      <c r="AI612" s="29" t="str">
        <f aca="false">IF(OR(G612="",G612="なし"),"",IF(AA612="経理区分別",BH612+BI612+N(Z612),""))</f>
        <v/>
      </c>
      <c r="AJ612" s="27"/>
      <c r="AK612" s="26"/>
      <c r="AL612" s="26"/>
      <c r="AM612" s="30"/>
      <c r="AN612" s="31" t="n">
        <v>646257</v>
      </c>
      <c r="AO612" s="31" t="n">
        <v>52965</v>
      </c>
      <c r="AP612" s="31" t="n">
        <v>882168</v>
      </c>
      <c r="AQ612" s="31" t="n">
        <v>52972</v>
      </c>
      <c r="AR612" s="31" t="n">
        <v>672</v>
      </c>
      <c r="AS612" s="31" t="n">
        <v>392206</v>
      </c>
      <c r="AT612" s="31" t="n">
        <v>398208</v>
      </c>
      <c r="AU612" s="31" t="n">
        <v>55774</v>
      </c>
      <c r="AV612" s="31" t="n">
        <v>55783</v>
      </c>
      <c r="AW612" s="31" t="n">
        <v>1</v>
      </c>
      <c r="AX612" s="31" t="n">
        <v>1</v>
      </c>
      <c r="AY612" s="31" t="n">
        <f aca="false">IF($G612="",AN612,O612)</f>
        <v>646257</v>
      </c>
      <c r="AZ612" s="31" t="n">
        <f aca="false">IF($G612="",AO612,P612)</f>
        <v>52965</v>
      </c>
      <c r="BA612" s="31" t="n">
        <f aca="false">IF($G612="",AP612,T612)</f>
        <v>882168</v>
      </c>
      <c r="BB612" s="31" t="n">
        <f aca="false">IF($G612="",AQ612,U612)</f>
        <v>52972</v>
      </c>
      <c r="BC612" s="31" t="n">
        <f aca="false">IF($G612="",AR612,V612)</f>
        <v>672</v>
      </c>
      <c r="BD612" s="31" t="n">
        <f aca="false">IF($G612="",AS612,Q612)</f>
        <v>392206</v>
      </c>
      <c r="BE612" s="31" t="n">
        <f aca="false">IF($G612="",AT612,W612)</f>
        <v>398208</v>
      </c>
      <c r="BF612" s="31" t="n">
        <f aca="false">IF($G612="",AU612,R612)</f>
        <v>55774</v>
      </c>
      <c r="BG612" s="31" t="n">
        <f aca="false">IF($G612="",AV612,X612)</f>
        <v>55783</v>
      </c>
      <c r="BH612" s="31" t="n">
        <f aca="false">IF($G612="",AW612,S612)</f>
        <v>1</v>
      </c>
      <c r="BI612" s="31" t="n">
        <f aca="false">IF($G612="",AX612,Y612)</f>
        <v>1</v>
      </c>
      <c r="BJ612" s="31" t="n">
        <f aca="false">IF(CK612="N",BR612,ROUNDDOWN((I612-L612)*設定!$B$10/1000,0)+ROUNDDOWN((I612-L612)*設定!$B$11/1000,0))</f>
        <v>0</v>
      </c>
      <c r="BK612" s="31" t="n">
        <f aca="false">ROUNDDOWN((I612-L612)*設定!$C$10/1000,0)+ROUNDDOWN((I612-L612)*設定!$C$11/1000,0)+ROUNDDOWN(I612*設定!$C$12/1000,0)+IF(CL612="市局型",ROUNDDOWN(I612*設定!$C$16/1000,0),0)</f>
        <v>0</v>
      </c>
      <c r="BL612" s="31" t="n">
        <f aca="false">IF(CK612="N",BT612,ROUNDDOWN((J612-M612)*設定!$B$13/1000,0))</f>
        <v>0</v>
      </c>
      <c r="BM612" s="31" t="n">
        <f aca="false">ROUNDDOWN((J612-M612)*設定!$C$13/1000,0)+IF(CL612="市局型",ROUNDDOWN(J612*設定!$C$17/1000,0),0)</f>
        <v>0</v>
      </c>
      <c r="BN612" s="31" t="n">
        <f aca="false">IF(CK612="N",BV612,ROUNDDOWN((K612-N612)*設定!$B$14/1000,0))</f>
        <v>0</v>
      </c>
      <c r="BO612" s="31" t="n">
        <f aca="false">ROUNDDOWN((K612-N612)*設定!$C$14/1000,0)</f>
        <v>0</v>
      </c>
      <c r="BP612" s="31" t="n">
        <f aca="false">IF(CK612="N",BX612,ROUNDDOWN((J612-M612)*設定!$B$15/1000,0))</f>
        <v>0</v>
      </c>
      <c r="BQ612" s="31" t="n">
        <f aca="false">ROUNDDOWN((J612-M612)*設定!$C$15/1000,0)</f>
        <v>0</v>
      </c>
      <c r="BR612" s="31" t="n">
        <f aca="false">O612+P612</f>
        <v>0</v>
      </c>
      <c r="BS612" s="31" t="n">
        <f aca="false">T612+U612+V612</f>
        <v>0</v>
      </c>
      <c r="BT612" s="31" t="n">
        <f aca="false">Q612</f>
        <v>0</v>
      </c>
      <c r="BU612" s="31" t="n">
        <f aca="false">W612</f>
        <v>0</v>
      </c>
      <c r="BV612" s="31" t="n">
        <f aca="false">R612</f>
        <v>0</v>
      </c>
      <c r="BW612" s="31" t="n">
        <f aca="false">X612</f>
        <v>0</v>
      </c>
      <c r="BX612" s="31" t="n">
        <f aca="false">S612</f>
        <v>0</v>
      </c>
      <c r="BY612" s="31" t="n">
        <f aca="false">Y612</f>
        <v>0</v>
      </c>
      <c r="BZ612" s="32" t="n">
        <f aca="false">IF(BJ612=0,IF(BR612=0,0,1),(BR612-BJ612)/BJ612)</f>
        <v>0</v>
      </c>
      <c r="CA612" s="32" t="n">
        <f aca="false">IF(BK612=0,IF(BS612=0,0,1),(BS612-BK612)/BK612)</f>
        <v>0</v>
      </c>
      <c r="CB612" s="32" t="n">
        <f aca="false">IF(BL612=0,IF(BT612=0,0,1),(BT612-BL612)/BL612)</f>
        <v>0</v>
      </c>
      <c r="CC612" s="32" t="n">
        <f aca="false">IF(BM612=0,IF(BU612=0,0,1),(BU612-BM612)/BM612)</f>
        <v>0</v>
      </c>
      <c r="CD612" s="32" t="n">
        <f aca="false">IF(BN612=0,IF(BV612=0,0,1),(BV612-BN612)/BN612)</f>
        <v>0</v>
      </c>
      <c r="CE612" s="32" t="n">
        <f aca="false">IF(BO612=0,IF(BW612=0,0,1),(BW612-BO612)/BO612)</f>
        <v>0</v>
      </c>
      <c r="CF612" s="32" t="n">
        <f aca="false">IF(BP612=0,IF(BX612=0,0,1),(BX612-BP612)/BP612)</f>
        <v>0</v>
      </c>
      <c r="CG612" s="32" t="n">
        <f aca="false">IF(BQ612=0,IF(BY612=0,0,1),(BY612-BQ612)/BQ612)</f>
        <v>0</v>
      </c>
      <c r="CH612" s="32" t="n">
        <f aca="false">MAX(MAX(BZ612:CG612),-MIN(BZ612:CG612))</f>
        <v>-0</v>
      </c>
      <c r="CI612" s="31" t="str">
        <f aca="false">IF(CO612="","",SUMIFS($CJ$7:$CJ$696,$A$7:$A$696,CO612,$B$7:$B$696,B612))</f>
        <v/>
      </c>
      <c r="CJ612" s="31" t="n">
        <f aca="false">SUM(AY612:BI612)</f>
        <v>2537007</v>
      </c>
      <c r="CK612" s="31" t="str">
        <f aca="false">IFERROR(INDEX(設定!$F$61:$F$106,MATCH(B612,設定!$B$61:$B$106,0)),"Y")</f>
        <v>Y</v>
      </c>
      <c r="CL612" s="31" t="str">
        <f aca="false">IFERROR(INDEX(設定!$G$61:$G$106,MATCH(B612,設定!$B$61:$B$106,0)),"外郭型")</f>
        <v>市局型</v>
      </c>
      <c r="CM612" s="33" t="str">
        <f aca="false">A612&amp;"|"&amp;B612</f>
        <v>2027-03 賞与|監査事務局</v>
      </c>
      <c r="CN612" s="34" t="str">
        <f aca="false">IFERROR(INDEX(設定!$D$61:$D$106,MATCH(B612,設定!$B$61:$B$106,0)),"Y")</f>
        <v>Y</v>
      </c>
      <c r="CO612" s="34" t="str">
        <f aca="false">IFERROR(INDEX(設定!$D$20:$D$34,MATCH(A612,設定!$A$20:$A$34,0))&amp;"","")</f>
        <v/>
      </c>
    </row>
    <row r="613" customFormat="false" ht="15" hidden="true" customHeight="false" outlineLevel="0" collapsed="false">
      <c r="A613" s="22" t="s">
        <v>229</v>
      </c>
      <c r="B613" s="23" t="s">
        <v>176</v>
      </c>
      <c r="C613" s="10" t="str">
        <f aca="false">IF(G613="","未受領",IF(G613="なし","報告なし",IF(AL613="○","起票済",IF(OR(AK613="○",F613="一致",F613="入金不要"),"入金確認済","受領済"))))</f>
        <v>未受領</v>
      </c>
      <c r="D613" s="10" t="str">
        <f aca="false">IF(OR(G613="",G613="なし"),"―",IF(CN613="N","対象外",IF(AND(I613="",J613="",K613=""),"標報未入力",IF(CH613&gt;=設定!$B$4,"要確認","問題なし"))))</f>
        <v>―</v>
      </c>
      <c r="E613" s="24" t="str">
        <f aca="false">IF(OR(G613="",G613="なし",CI613="",CJ613=0),"―",IF(CJ613=CI613,"前月同額",IF(CI613=0,"―",IF(ABS(CJ613/CI613-1)&gt;=設定!$B$5,"変動大 "&amp;TEXT(CJ613/CI613-1,"+0%;-0%"),"〇"))))</f>
        <v>―</v>
      </c>
      <c r="F613" s="10" t="str">
        <f aca="false">IF(OR(G613="",G613="なし"),"―",IF(CJ613=0,"入金不要",IF(COUNT(AD613,AF613,AH613,AJ613)=0,IF(AK613="○","手動確認","未入金"),IF(AND(N(AD613)=AC613,IF(AE613="",TRUE(),N(AF613)=AE613),IF(AG613="",TRUE(),N(AH613)=AG613),IF(AI613="",TRUE(),N(AJ613)=AI613)),"一致","不一致"))))</f>
        <v>―</v>
      </c>
      <c r="G613" s="25"/>
      <c r="H613" s="26"/>
      <c r="I613" s="27"/>
      <c r="J613" s="27"/>
      <c r="K613" s="27"/>
      <c r="L613" s="27"/>
      <c r="M613" s="27"/>
      <c r="N613" s="27"/>
      <c r="O613" s="27"/>
      <c r="P613" s="27"/>
      <c r="Q613" s="27"/>
      <c r="R613" s="27"/>
      <c r="S613" s="27"/>
      <c r="T613" s="27"/>
      <c r="U613" s="27"/>
      <c r="V613" s="27"/>
      <c r="W613" s="27"/>
      <c r="X613" s="27"/>
      <c r="Y613" s="27"/>
      <c r="Z613" s="27"/>
      <c r="AA613" s="10" t="str">
        <f aca="false">IFERROR(INDEX(設定!$E$61:$E$106,MATCH(B613,設定!$B$61:$B$106,0)),"合算")</f>
        <v>合算</v>
      </c>
      <c r="AB613" s="28"/>
      <c r="AC613" s="29" t="str">
        <f aca="false">IF(OR(G613="",G613="なし"),"",IF(AA613="合算",CJ613+N(Z613),IF(AA613="掛金・負担金別",(AY613+AZ613+BD613+BF613+BH613),SUM(AY613:BC613))))</f>
        <v/>
      </c>
      <c r="AD613" s="27"/>
      <c r="AE613" s="29" t="str">
        <f aca="false">IF(OR(G613="",G613="なし"),"",IF(AA613="掛金・負担金別",(BA613+BB613+BC613+BE613+BG613+BI613+N(Z613)),IF(AA613="経理区分別",BD613+BE613,"")))</f>
        <v/>
      </c>
      <c r="AF613" s="27"/>
      <c r="AG613" s="29" t="str">
        <f aca="false">IF(OR(G613="",G613="なし"),"",IF(AA613="経理区分別",BF613+BG613,""))</f>
        <v/>
      </c>
      <c r="AH613" s="27"/>
      <c r="AI613" s="29" t="str">
        <f aca="false">IF(OR(G613="",G613="なし"),"",IF(AA613="経理区分別",BH613+BI613+N(Z613),""))</f>
        <v/>
      </c>
      <c r="AJ613" s="27"/>
      <c r="AK613" s="26"/>
      <c r="AL613" s="26"/>
      <c r="AM613" s="30"/>
      <c r="AN613" s="31" t="n">
        <v>168175</v>
      </c>
      <c r="AO613" s="31" t="n">
        <v>13783</v>
      </c>
      <c r="AP613" s="31" t="n">
        <v>244454</v>
      </c>
      <c r="AQ613" s="31" t="n">
        <v>13785</v>
      </c>
      <c r="AR613" s="31" t="n">
        <v>172</v>
      </c>
      <c r="AS613" s="31" t="n">
        <v>135039</v>
      </c>
      <c r="AT613" s="31" t="n">
        <v>137430</v>
      </c>
      <c r="AU613" s="31" t="n">
        <v>14721</v>
      </c>
      <c r="AV613" s="31" t="n">
        <v>14724</v>
      </c>
      <c r="AW613" s="31" t="n">
        <v>1</v>
      </c>
      <c r="AX613" s="31" t="n">
        <v>1</v>
      </c>
      <c r="AY613" s="31" t="n">
        <f aca="false">IF($G613="",AN613,O613)</f>
        <v>168175</v>
      </c>
      <c r="AZ613" s="31" t="n">
        <f aca="false">IF($G613="",AO613,P613)</f>
        <v>13783</v>
      </c>
      <c r="BA613" s="31" t="n">
        <f aca="false">IF($G613="",AP613,T613)</f>
        <v>244454</v>
      </c>
      <c r="BB613" s="31" t="n">
        <f aca="false">IF($G613="",AQ613,U613)</f>
        <v>13785</v>
      </c>
      <c r="BC613" s="31" t="n">
        <f aca="false">IF($G613="",AR613,V613)</f>
        <v>172</v>
      </c>
      <c r="BD613" s="31" t="n">
        <f aca="false">IF($G613="",AS613,Q613)</f>
        <v>135039</v>
      </c>
      <c r="BE613" s="31" t="n">
        <f aca="false">IF($G613="",AT613,W613)</f>
        <v>137430</v>
      </c>
      <c r="BF613" s="31" t="n">
        <f aca="false">IF($G613="",AU613,R613)</f>
        <v>14721</v>
      </c>
      <c r="BG613" s="31" t="n">
        <f aca="false">IF($G613="",AV613,X613)</f>
        <v>14724</v>
      </c>
      <c r="BH613" s="31" t="n">
        <f aca="false">IF($G613="",AW613,S613)</f>
        <v>1</v>
      </c>
      <c r="BI613" s="31" t="n">
        <f aca="false">IF($G613="",AX613,Y613)</f>
        <v>1</v>
      </c>
      <c r="BJ613" s="31" t="n">
        <f aca="false">IF(CK613="N",BR613,ROUNDDOWN((I613-L613)*設定!$B$10/1000,0)+ROUNDDOWN((I613-L613)*設定!$B$11/1000,0))</f>
        <v>0</v>
      </c>
      <c r="BK613" s="31" t="n">
        <f aca="false">ROUNDDOWN((I613-L613)*設定!$C$10/1000,0)+ROUNDDOWN((I613-L613)*設定!$C$11/1000,0)+ROUNDDOWN(I613*設定!$C$12/1000,0)+IF(CL613="市局型",ROUNDDOWN(I613*設定!$C$16/1000,0),0)</f>
        <v>0</v>
      </c>
      <c r="BL613" s="31" t="n">
        <f aca="false">IF(CK613="N",BT613,ROUNDDOWN((J613-M613)*設定!$B$13/1000,0))</f>
        <v>0</v>
      </c>
      <c r="BM613" s="31" t="n">
        <f aca="false">ROUNDDOWN((J613-M613)*設定!$C$13/1000,0)+IF(CL613="市局型",ROUNDDOWN(J613*設定!$C$17/1000,0),0)</f>
        <v>0</v>
      </c>
      <c r="BN613" s="31" t="n">
        <f aca="false">IF(CK613="N",BV613,ROUNDDOWN((K613-N613)*設定!$B$14/1000,0))</f>
        <v>0</v>
      </c>
      <c r="BO613" s="31" t="n">
        <f aca="false">ROUNDDOWN((K613-N613)*設定!$C$14/1000,0)</f>
        <v>0</v>
      </c>
      <c r="BP613" s="31" t="n">
        <f aca="false">IF(CK613="N",BX613,ROUNDDOWN((J613-M613)*設定!$B$15/1000,0))</f>
        <v>0</v>
      </c>
      <c r="BQ613" s="31" t="n">
        <f aca="false">ROUNDDOWN((J613-M613)*設定!$C$15/1000,0)</f>
        <v>0</v>
      </c>
      <c r="BR613" s="31" t="n">
        <f aca="false">O613+P613</f>
        <v>0</v>
      </c>
      <c r="BS613" s="31" t="n">
        <f aca="false">T613+U613+V613</f>
        <v>0</v>
      </c>
      <c r="BT613" s="31" t="n">
        <f aca="false">Q613</f>
        <v>0</v>
      </c>
      <c r="BU613" s="31" t="n">
        <f aca="false">W613</f>
        <v>0</v>
      </c>
      <c r="BV613" s="31" t="n">
        <f aca="false">R613</f>
        <v>0</v>
      </c>
      <c r="BW613" s="31" t="n">
        <f aca="false">X613</f>
        <v>0</v>
      </c>
      <c r="BX613" s="31" t="n">
        <f aca="false">S613</f>
        <v>0</v>
      </c>
      <c r="BY613" s="31" t="n">
        <f aca="false">Y613</f>
        <v>0</v>
      </c>
      <c r="BZ613" s="32" t="n">
        <f aca="false">IF(BJ613=0,IF(BR613=0,0,1),(BR613-BJ613)/BJ613)</f>
        <v>0</v>
      </c>
      <c r="CA613" s="32" t="n">
        <f aca="false">IF(BK613=0,IF(BS613=0,0,1),(BS613-BK613)/BK613)</f>
        <v>0</v>
      </c>
      <c r="CB613" s="32" t="n">
        <f aca="false">IF(BL613=0,IF(BT613=0,0,1),(BT613-BL613)/BL613)</f>
        <v>0</v>
      </c>
      <c r="CC613" s="32" t="n">
        <f aca="false">IF(BM613=0,IF(BU613=0,0,1),(BU613-BM613)/BM613)</f>
        <v>0</v>
      </c>
      <c r="CD613" s="32" t="n">
        <f aca="false">IF(BN613=0,IF(BV613=0,0,1),(BV613-BN613)/BN613)</f>
        <v>0</v>
      </c>
      <c r="CE613" s="32" t="n">
        <f aca="false">IF(BO613=0,IF(BW613=0,0,1),(BW613-BO613)/BO613)</f>
        <v>0</v>
      </c>
      <c r="CF613" s="32" t="n">
        <f aca="false">IF(BP613=0,IF(BX613=0,0,1),(BX613-BP613)/BP613)</f>
        <v>0</v>
      </c>
      <c r="CG613" s="32" t="n">
        <f aca="false">IF(BQ613=0,IF(BY613=0,0,1),(BY613-BQ613)/BQ613)</f>
        <v>0</v>
      </c>
      <c r="CH613" s="32" t="n">
        <f aca="false">MAX(MAX(BZ613:CG613),-MIN(BZ613:CG613))</f>
        <v>-0</v>
      </c>
      <c r="CI613" s="31" t="str">
        <f aca="false">IF(CO613="","",SUMIFS($CJ$7:$CJ$696,$A$7:$A$696,CO613,$B$7:$B$696,B613))</f>
        <v/>
      </c>
      <c r="CJ613" s="31" t="n">
        <f aca="false">SUM(AY613:BI613)</f>
        <v>742285</v>
      </c>
      <c r="CK613" s="31" t="str">
        <f aca="false">IFERROR(INDEX(設定!$F$61:$F$106,MATCH(B613,設定!$B$61:$B$106,0)),"Y")</f>
        <v>Y</v>
      </c>
      <c r="CL613" s="31" t="str">
        <f aca="false">IFERROR(INDEX(設定!$G$61:$G$106,MATCH(B613,設定!$B$61:$B$106,0)),"外郭型")</f>
        <v>市局型</v>
      </c>
      <c r="CM613" s="33" t="str">
        <f aca="false">A613&amp;"|"&amp;B613</f>
        <v>2027-03 賞与|農業委員会</v>
      </c>
      <c r="CN613" s="34" t="str">
        <f aca="false">IFERROR(INDEX(設定!$D$61:$D$106,MATCH(B613,設定!$B$61:$B$106,0)),"Y")</f>
        <v>Y</v>
      </c>
      <c r="CO613" s="34" t="str">
        <f aca="false">IFERROR(INDEX(設定!$D$20:$D$34,MATCH(A613,設定!$A$20:$A$34,0))&amp;"","")</f>
        <v/>
      </c>
    </row>
    <row r="614" customFormat="false" ht="15" hidden="true" customHeight="false" outlineLevel="0" collapsed="false">
      <c r="A614" s="22" t="s">
        <v>229</v>
      </c>
      <c r="B614" s="23" t="s">
        <v>177</v>
      </c>
      <c r="C614" s="10" t="str">
        <f aca="false">IF(G614="","未受領",IF(G614="なし","報告なし",IF(AL614="○","起票済",IF(OR(AK614="○",F614="一致",F614="入金不要"),"入金確認済","受領済"))))</f>
        <v>未受領</v>
      </c>
      <c r="D614" s="10" t="str">
        <f aca="false">IF(OR(G614="",G614="なし"),"―",IF(CN614="N","対象外",IF(AND(I614="",J614="",K614=""),"標報未入力",IF(CH614&gt;=設定!$B$4,"要確認","問題なし"))))</f>
        <v>―</v>
      </c>
      <c r="E614" s="24" t="str">
        <f aca="false">IF(OR(G614="",G614="なし",CI614="",CJ614=0),"―",IF(CJ614=CI614,"前月同額",IF(CI614=0,"―",IF(ABS(CJ614/CI614-1)&gt;=設定!$B$5,"変動大 "&amp;TEXT(CJ614/CI614-1,"+0%;-0%"),"〇"))))</f>
        <v>―</v>
      </c>
      <c r="F614" s="10" t="str">
        <f aca="false">IF(OR(G614="",G614="なし"),"―",IF(CJ614=0,"入金不要",IF(COUNT(AD614,AF614,AH614,AJ614)=0,IF(AK614="○","手動確認","未入金"),IF(AND(N(AD614)=AC614,IF(AE614="",TRUE(),N(AF614)=AE614),IF(AG614="",TRUE(),N(AH614)=AG614),IF(AI614="",TRUE(),N(AJ614)=AI614)),"一致","不一致"))))</f>
        <v>―</v>
      </c>
      <c r="G614" s="25"/>
      <c r="H614" s="26"/>
      <c r="I614" s="27"/>
      <c r="J614" s="27"/>
      <c r="K614" s="27"/>
      <c r="L614" s="27"/>
      <c r="M614" s="27"/>
      <c r="N614" s="27"/>
      <c r="O614" s="27"/>
      <c r="P614" s="27"/>
      <c r="Q614" s="27"/>
      <c r="R614" s="27"/>
      <c r="S614" s="27"/>
      <c r="T614" s="27"/>
      <c r="U614" s="27"/>
      <c r="V614" s="27"/>
      <c r="W614" s="27"/>
      <c r="X614" s="27"/>
      <c r="Y614" s="27"/>
      <c r="Z614" s="27"/>
      <c r="AA614" s="10" t="str">
        <f aca="false">IFERROR(INDEX(設定!$E$61:$E$106,MATCH(B614,設定!$B$61:$B$106,0)),"合算")</f>
        <v>合算</v>
      </c>
      <c r="AB614" s="28"/>
      <c r="AC614" s="29" t="str">
        <f aca="false">IF(OR(G614="",G614="なし"),"",IF(AA614="合算",CJ614+N(Z614),IF(AA614="掛金・負担金別",(AY614+AZ614+BD614+BF614+BH614),SUM(AY614:BC614))))</f>
        <v/>
      </c>
      <c r="AD614" s="27"/>
      <c r="AE614" s="29" t="str">
        <f aca="false">IF(OR(G614="",G614="なし"),"",IF(AA614="掛金・負担金別",(BA614+BB614+BC614+BE614+BG614+BI614+N(Z614)),IF(AA614="経理区分別",BD614+BE614,"")))</f>
        <v/>
      </c>
      <c r="AF614" s="27"/>
      <c r="AG614" s="29" t="str">
        <f aca="false">IF(OR(G614="",G614="なし"),"",IF(AA614="経理区分別",BF614+BG614,""))</f>
        <v/>
      </c>
      <c r="AH614" s="27"/>
      <c r="AI614" s="29" t="str">
        <f aca="false">IF(OR(G614="",G614="なし"),"",IF(AA614="経理区分別",BH614+BI614+N(Z614),""))</f>
        <v/>
      </c>
      <c r="AJ614" s="27"/>
      <c r="AK614" s="26"/>
      <c r="AL614" s="26"/>
      <c r="AM614" s="30"/>
      <c r="AN614" s="31" t="n">
        <v>10777442</v>
      </c>
      <c r="AO614" s="31" t="n">
        <v>883250</v>
      </c>
      <c r="AP614" s="31" t="n">
        <v>14724336</v>
      </c>
      <c r="AQ614" s="31" t="n">
        <v>883408</v>
      </c>
      <c r="AR614" s="31" t="n">
        <v>11254</v>
      </c>
      <c r="AS614" s="31" t="n">
        <v>6732257</v>
      </c>
      <c r="AT614" s="31" t="n">
        <v>6835679</v>
      </c>
      <c r="AU614" s="31" t="n">
        <v>716904</v>
      </c>
      <c r="AV614" s="31" t="n">
        <v>717036</v>
      </c>
      <c r="AW614" s="31" t="n">
        <v>1</v>
      </c>
      <c r="AX614" s="31" t="n">
        <v>1</v>
      </c>
      <c r="AY614" s="31" t="n">
        <f aca="false">IF($G614="",AN614,O614)</f>
        <v>10777442</v>
      </c>
      <c r="AZ614" s="31" t="n">
        <f aca="false">IF($G614="",AO614,P614)</f>
        <v>883250</v>
      </c>
      <c r="BA614" s="31" t="n">
        <f aca="false">IF($G614="",AP614,T614)</f>
        <v>14724336</v>
      </c>
      <c r="BB614" s="31" t="n">
        <f aca="false">IF($G614="",AQ614,U614)</f>
        <v>883408</v>
      </c>
      <c r="BC614" s="31" t="n">
        <f aca="false">IF($G614="",AR614,V614)</f>
        <v>11254</v>
      </c>
      <c r="BD614" s="31" t="n">
        <f aca="false">IF($G614="",AS614,Q614)</f>
        <v>6732257</v>
      </c>
      <c r="BE614" s="31" t="n">
        <f aca="false">IF($G614="",AT614,W614)</f>
        <v>6835679</v>
      </c>
      <c r="BF614" s="31" t="n">
        <f aca="false">IF($G614="",AU614,R614)</f>
        <v>716904</v>
      </c>
      <c r="BG614" s="31" t="n">
        <f aca="false">IF($G614="",AV614,X614)</f>
        <v>717036</v>
      </c>
      <c r="BH614" s="31" t="n">
        <f aca="false">IF($G614="",AW614,S614)</f>
        <v>1</v>
      </c>
      <c r="BI614" s="31" t="n">
        <f aca="false">IF($G614="",AX614,Y614)</f>
        <v>1</v>
      </c>
      <c r="BJ614" s="31" t="n">
        <f aca="false">IF(CK614="N",BR614,ROUNDDOWN((I614-L614)*設定!$B$10/1000,0)+ROUNDDOWN((I614-L614)*設定!$B$11/1000,0))</f>
        <v>0</v>
      </c>
      <c r="BK614" s="31" t="n">
        <f aca="false">ROUNDDOWN((I614-L614)*設定!$C$10/1000,0)+ROUNDDOWN((I614-L614)*設定!$C$11/1000,0)+ROUNDDOWN(I614*設定!$C$12/1000,0)+IF(CL614="市局型",ROUNDDOWN(I614*設定!$C$16/1000,0),0)</f>
        <v>0</v>
      </c>
      <c r="BL614" s="31" t="n">
        <f aca="false">IF(CK614="N",BT614,ROUNDDOWN((J614-M614)*設定!$B$13/1000,0))</f>
        <v>0</v>
      </c>
      <c r="BM614" s="31" t="n">
        <f aca="false">ROUNDDOWN((J614-M614)*設定!$C$13/1000,0)+IF(CL614="市局型",ROUNDDOWN(J614*設定!$C$17/1000,0),0)</f>
        <v>0</v>
      </c>
      <c r="BN614" s="31" t="n">
        <f aca="false">IF(CK614="N",BV614,ROUNDDOWN((K614-N614)*設定!$B$14/1000,0))</f>
        <v>0</v>
      </c>
      <c r="BO614" s="31" t="n">
        <f aca="false">ROUNDDOWN((K614-N614)*設定!$C$14/1000,0)</f>
        <v>0</v>
      </c>
      <c r="BP614" s="31" t="n">
        <f aca="false">IF(CK614="N",BX614,ROUNDDOWN((J614-M614)*設定!$B$15/1000,0))</f>
        <v>0</v>
      </c>
      <c r="BQ614" s="31" t="n">
        <f aca="false">ROUNDDOWN((J614-M614)*設定!$C$15/1000,0)</f>
        <v>0</v>
      </c>
      <c r="BR614" s="31" t="n">
        <f aca="false">O614+P614</f>
        <v>0</v>
      </c>
      <c r="BS614" s="31" t="n">
        <f aca="false">T614+U614+V614</f>
        <v>0</v>
      </c>
      <c r="BT614" s="31" t="n">
        <f aca="false">Q614</f>
        <v>0</v>
      </c>
      <c r="BU614" s="31" t="n">
        <f aca="false">W614</f>
        <v>0</v>
      </c>
      <c r="BV614" s="31" t="n">
        <f aca="false">R614</f>
        <v>0</v>
      </c>
      <c r="BW614" s="31" t="n">
        <f aca="false">X614</f>
        <v>0</v>
      </c>
      <c r="BX614" s="31" t="n">
        <f aca="false">S614</f>
        <v>0</v>
      </c>
      <c r="BY614" s="31" t="n">
        <f aca="false">Y614</f>
        <v>0</v>
      </c>
      <c r="BZ614" s="32" t="n">
        <f aca="false">IF(BJ614=0,IF(BR614=0,0,1),(BR614-BJ614)/BJ614)</f>
        <v>0</v>
      </c>
      <c r="CA614" s="32" t="n">
        <f aca="false">IF(BK614=0,IF(BS614=0,0,1),(BS614-BK614)/BK614)</f>
        <v>0</v>
      </c>
      <c r="CB614" s="32" t="n">
        <f aca="false">IF(BL614=0,IF(BT614=0,0,1),(BT614-BL614)/BL614)</f>
        <v>0</v>
      </c>
      <c r="CC614" s="32" t="n">
        <f aca="false">IF(BM614=0,IF(BU614=0,0,1),(BU614-BM614)/BM614)</f>
        <v>0</v>
      </c>
      <c r="CD614" s="32" t="n">
        <f aca="false">IF(BN614=0,IF(BV614=0,0,1),(BV614-BN614)/BN614)</f>
        <v>0</v>
      </c>
      <c r="CE614" s="32" t="n">
        <f aca="false">IF(BO614=0,IF(BW614=0,0,1),(BW614-BO614)/BO614)</f>
        <v>0</v>
      </c>
      <c r="CF614" s="32" t="n">
        <f aca="false">IF(BP614=0,IF(BX614=0,0,1),(BX614-BP614)/BP614)</f>
        <v>0</v>
      </c>
      <c r="CG614" s="32" t="n">
        <f aca="false">IF(BQ614=0,IF(BY614=0,0,1),(BY614-BQ614)/BQ614)</f>
        <v>0</v>
      </c>
      <c r="CH614" s="32" t="n">
        <f aca="false">MAX(MAX(BZ614:CG614),-MIN(BZ614:CG614))</f>
        <v>-0</v>
      </c>
      <c r="CI614" s="31" t="str">
        <f aca="false">IF(CO614="","",SUMIFS($CJ$7:$CJ$696,$A$7:$A$696,CO614,$B$7:$B$696,B614))</f>
        <v/>
      </c>
      <c r="CJ614" s="31" t="n">
        <f aca="false">SUM(AY614:BI614)</f>
        <v>42281568</v>
      </c>
      <c r="CK614" s="31" t="str">
        <f aca="false">IFERROR(INDEX(設定!$F$61:$F$106,MATCH(B614,設定!$B$61:$B$106,0)),"Y")</f>
        <v>Y</v>
      </c>
      <c r="CL614" s="31" t="str">
        <f aca="false">IFERROR(INDEX(設定!$G$61:$G$106,MATCH(B614,設定!$B$61:$B$106,0)),"外郭型")</f>
        <v>市局型</v>
      </c>
      <c r="CM614" s="33" t="str">
        <f aca="false">A614&amp;"|"&amp;B614</f>
        <v>2027-03 賞与|水道局</v>
      </c>
      <c r="CN614" s="34" t="str">
        <f aca="false">IFERROR(INDEX(設定!$D$61:$D$106,MATCH(B614,設定!$B$61:$B$106,0)),"Y")</f>
        <v>N</v>
      </c>
      <c r="CO614" s="34" t="str">
        <f aca="false">IFERROR(INDEX(設定!$D$20:$D$34,MATCH(A614,設定!$A$20:$A$34,0))&amp;"","")</f>
        <v/>
      </c>
    </row>
    <row r="615" customFormat="false" ht="15" hidden="true" customHeight="false" outlineLevel="0" collapsed="false">
      <c r="A615" s="22" t="s">
        <v>229</v>
      </c>
      <c r="B615" s="23" t="s">
        <v>178</v>
      </c>
      <c r="C615" s="10" t="str">
        <f aca="false">IF(G615="","未受領",IF(G615="なし","報告なし",IF(AL615="○","起票済",IF(OR(AK615="○",F615="一致",F615="入金不要"),"入金確認済","受領済"))))</f>
        <v>未受領</v>
      </c>
      <c r="D615" s="10" t="str">
        <f aca="false">IF(OR(G615="",G615="なし"),"―",IF(CN615="N","対象外",IF(AND(I615="",J615="",K615=""),"標報未入力",IF(CH615&gt;=設定!$B$4,"要確認","問題なし"))))</f>
        <v>―</v>
      </c>
      <c r="E615" s="24" t="str">
        <f aca="false">IF(OR(G615="",G615="なし",CI615="",CJ615=0),"―",IF(CJ615=CI615,"前月同額",IF(CI615=0,"―",IF(ABS(CJ615/CI615-1)&gt;=設定!$B$5,"変動大 "&amp;TEXT(CJ615/CI615-1,"+0%;-0%"),"〇"))))</f>
        <v>―</v>
      </c>
      <c r="F615" s="10" t="str">
        <f aca="false">IF(OR(G615="",G615="なし"),"―",IF(CJ615=0,"入金不要",IF(COUNT(AD615,AF615,AH615,AJ615)=0,IF(AK615="○","手動確認","未入金"),IF(AND(N(AD615)=AC615,IF(AE615="",TRUE(),N(AF615)=AE615),IF(AG615="",TRUE(),N(AH615)=AG615),IF(AI615="",TRUE(),N(AJ615)=AI615)),"一致","不一致"))))</f>
        <v>―</v>
      </c>
      <c r="G615" s="25"/>
      <c r="H615" s="26"/>
      <c r="I615" s="27"/>
      <c r="J615" s="27"/>
      <c r="K615" s="27"/>
      <c r="L615" s="27"/>
      <c r="M615" s="27"/>
      <c r="N615" s="27"/>
      <c r="O615" s="27"/>
      <c r="P615" s="27"/>
      <c r="Q615" s="27"/>
      <c r="R615" s="27"/>
      <c r="S615" s="27"/>
      <c r="T615" s="27"/>
      <c r="U615" s="27"/>
      <c r="V615" s="27"/>
      <c r="W615" s="27"/>
      <c r="X615" s="27"/>
      <c r="Y615" s="27"/>
      <c r="Z615" s="27"/>
      <c r="AA615" s="10" t="str">
        <f aca="false">IFERROR(INDEX(設定!$E$61:$E$106,MATCH(B615,設定!$B$61:$B$106,0)),"合算")</f>
        <v>合算</v>
      </c>
      <c r="AB615" s="28"/>
      <c r="AC615" s="29" t="str">
        <f aca="false">IF(OR(G615="",G615="なし"),"",IF(AA615="合算",CJ615+N(Z615),IF(AA615="掛金・負担金別",(AY615+AZ615+BD615+BF615+BH615),SUM(AY615:BC615))))</f>
        <v/>
      </c>
      <c r="AD615" s="27"/>
      <c r="AE615" s="29" t="str">
        <f aca="false">IF(OR(G615="",G615="なし"),"",IF(AA615="掛金・負担金別",(BA615+BB615+BC615+BE615+BG615+BI615+N(Z615)),IF(AA615="経理区分別",BD615+BE615,"")))</f>
        <v/>
      </c>
      <c r="AF615" s="27"/>
      <c r="AG615" s="29" t="str">
        <f aca="false">IF(OR(G615="",G615="なし"),"",IF(AA615="経理区分別",BF615+BG615,""))</f>
        <v/>
      </c>
      <c r="AH615" s="27"/>
      <c r="AI615" s="29" t="str">
        <f aca="false">IF(OR(G615="",G615="なし"),"",IF(AA615="経理区分別",BH615+BI615+N(Z615),""))</f>
        <v/>
      </c>
      <c r="AJ615" s="27"/>
      <c r="AK615" s="26"/>
      <c r="AL615" s="26"/>
      <c r="AM615" s="30"/>
      <c r="AN615" s="31" t="n">
        <v>22783</v>
      </c>
      <c r="AO615" s="31" t="n">
        <v>1867</v>
      </c>
      <c r="AP615" s="31" t="n">
        <v>31101</v>
      </c>
      <c r="AQ615" s="31" t="n">
        <v>1867</v>
      </c>
      <c r="AR615" s="31" t="n">
        <v>23</v>
      </c>
      <c r="AS615" s="31" t="n">
        <v>13697</v>
      </c>
      <c r="AT615" s="31" t="n">
        <v>13906</v>
      </c>
      <c r="AU615" s="31" t="n">
        <v>2091</v>
      </c>
      <c r="AV615" s="31" t="n">
        <v>2091</v>
      </c>
      <c r="AW615" s="31" t="n">
        <v>1</v>
      </c>
      <c r="AX615" s="31" t="n">
        <v>1</v>
      </c>
      <c r="AY615" s="31" t="n">
        <f aca="false">IF($G615="",AN615,O615)</f>
        <v>22783</v>
      </c>
      <c r="AZ615" s="31" t="n">
        <f aca="false">IF($G615="",AO615,P615)</f>
        <v>1867</v>
      </c>
      <c r="BA615" s="31" t="n">
        <f aca="false">IF($G615="",AP615,T615)</f>
        <v>31101</v>
      </c>
      <c r="BB615" s="31" t="n">
        <f aca="false">IF($G615="",AQ615,U615)</f>
        <v>1867</v>
      </c>
      <c r="BC615" s="31" t="n">
        <f aca="false">IF($G615="",AR615,V615)</f>
        <v>23</v>
      </c>
      <c r="BD615" s="31" t="n">
        <f aca="false">IF($G615="",AS615,Q615)</f>
        <v>13697</v>
      </c>
      <c r="BE615" s="31" t="n">
        <f aca="false">IF($G615="",AT615,W615)</f>
        <v>13906</v>
      </c>
      <c r="BF615" s="31" t="n">
        <f aca="false">IF($G615="",AU615,R615)</f>
        <v>2091</v>
      </c>
      <c r="BG615" s="31" t="n">
        <f aca="false">IF($G615="",AV615,X615)</f>
        <v>2091</v>
      </c>
      <c r="BH615" s="31" t="n">
        <f aca="false">IF($G615="",AW615,S615)</f>
        <v>1</v>
      </c>
      <c r="BI615" s="31" t="n">
        <f aca="false">IF($G615="",AX615,Y615)</f>
        <v>1</v>
      </c>
      <c r="BJ615" s="31" t="n">
        <f aca="false">IF(CK615="N",BR615,ROUNDDOWN((I615-L615)*設定!$B$10/1000,0)+ROUNDDOWN((I615-L615)*設定!$B$11/1000,0))</f>
        <v>0</v>
      </c>
      <c r="BK615" s="31" t="n">
        <f aca="false">ROUNDDOWN((I615-L615)*設定!$C$10/1000,0)+ROUNDDOWN((I615-L615)*設定!$C$11/1000,0)+ROUNDDOWN(I615*設定!$C$12/1000,0)+IF(CL615="市局型",ROUNDDOWN(I615*設定!$C$16/1000,0),0)</f>
        <v>0</v>
      </c>
      <c r="BL615" s="31" t="n">
        <f aca="false">IF(CK615="N",BT615,ROUNDDOWN((J615-M615)*設定!$B$13/1000,0))</f>
        <v>0</v>
      </c>
      <c r="BM615" s="31" t="n">
        <f aca="false">ROUNDDOWN((J615-M615)*設定!$C$13/1000,0)+IF(CL615="市局型",ROUNDDOWN(J615*設定!$C$17/1000,0),0)</f>
        <v>0</v>
      </c>
      <c r="BN615" s="31" t="n">
        <f aca="false">IF(CK615="N",BV615,ROUNDDOWN((K615-N615)*設定!$B$14/1000,0))</f>
        <v>0</v>
      </c>
      <c r="BO615" s="31" t="n">
        <f aca="false">ROUNDDOWN((K615-N615)*設定!$C$14/1000,0)</f>
        <v>0</v>
      </c>
      <c r="BP615" s="31" t="n">
        <f aca="false">IF(CK615="N",BX615,ROUNDDOWN((J615-M615)*設定!$B$15/1000,0))</f>
        <v>0</v>
      </c>
      <c r="BQ615" s="31" t="n">
        <f aca="false">ROUNDDOWN((J615-M615)*設定!$C$15/1000,0)</f>
        <v>0</v>
      </c>
      <c r="BR615" s="31" t="n">
        <f aca="false">O615+P615</f>
        <v>0</v>
      </c>
      <c r="BS615" s="31" t="n">
        <f aca="false">T615+U615+V615</f>
        <v>0</v>
      </c>
      <c r="BT615" s="31" t="n">
        <f aca="false">Q615</f>
        <v>0</v>
      </c>
      <c r="BU615" s="31" t="n">
        <f aca="false">W615</f>
        <v>0</v>
      </c>
      <c r="BV615" s="31" t="n">
        <f aca="false">R615</f>
        <v>0</v>
      </c>
      <c r="BW615" s="31" t="n">
        <f aca="false">X615</f>
        <v>0</v>
      </c>
      <c r="BX615" s="31" t="n">
        <f aca="false">S615</f>
        <v>0</v>
      </c>
      <c r="BY615" s="31" t="n">
        <f aca="false">Y615</f>
        <v>0</v>
      </c>
      <c r="BZ615" s="32" t="n">
        <f aca="false">IF(BJ615=0,IF(BR615=0,0,1),(BR615-BJ615)/BJ615)</f>
        <v>0</v>
      </c>
      <c r="CA615" s="32" t="n">
        <f aca="false">IF(BK615=0,IF(BS615=0,0,1),(BS615-BK615)/BK615)</f>
        <v>0</v>
      </c>
      <c r="CB615" s="32" t="n">
        <f aca="false">IF(BL615=0,IF(BT615=0,0,1),(BT615-BL615)/BL615)</f>
        <v>0</v>
      </c>
      <c r="CC615" s="32" t="n">
        <f aca="false">IF(BM615=0,IF(BU615=0,0,1),(BU615-BM615)/BM615)</f>
        <v>0</v>
      </c>
      <c r="CD615" s="32" t="n">
        <f aca="false">IF(BN615=0,IF(BV615=0,0,1),(BV615-BN615)/BN615)</f>
        <v>0</v>
      </c>
      <c r="CE615" s="32" t="n">
        <f aca="false">IF(BO615=0,IF(BW615=0,0,1),(BW615-BO615)/BO615)</f>
        <v>0</v>
      </c>
      <c r="CF615" s="32" t="n">
        <f aca="false">IF(BP615=0,IF(BX615=0,0,1),(BX615-BP615)/BP615)</f>
        <v>0</v>
      </c>
      <c r="CG615" s="32" t="n">
        <f aca="false">IF(BQ615=0,IF(BY615=0,0,1),(BY615-BQ615)/BQ615)</f>
        <v>0</v>
      </c>
      <c r="CH615" s="32" t="n">
        <f aca="false">MAX(MAX(BZ615:CG615),-MIN(BZ615:CG615))</f>
        <v>-0</v>
      </c>
      <c r="CI615" s="31" t="str">
        <f aca="false">IF(CO615="","",SUMIFS($CJ$7:$CJ$696,$A$7:$A$696,CO615,$B$7:$B$696,B615))</f>
        <v/>
      </c>
      <c r="CJ615" s="31" t="n">
        <f aca="false">SUM(AY615:BI615)</f>
        <v>89428</v>
      </c>
      <c r="CK615" s="31" t="str">
        <f aca="false">IFERROR(INDEX(設定!$F$61:$F$106,MATCH(B615,設定!$B$61:$B$106,0)),"Y")</f>
        <v>Y</v>
      </c>
      <c r="CL615" s="31" t="str">
        <f aca="false">IFERROR(INDEX(設定!$G$61:$G$106,MATCH(B615,設定!$B$61:$B$106,0)),"外郭型")</f>
        <v>市局型</v>
      </c>
      <c r="CM615" s="33" t="str">
        <f aca="false">A615&amp;"|"&amp;B615</f>
        <v>2027-03 賞与|医療政策課(安芸市民)</v>
      </c>
      <c r="CN615" s="34" t="str">
        <f aca="false">IFERROR(INDEX(設定!$D$61:$D$106,MATCH(B615,設定!$B$61:$B$106,0)),"Y")</f>
        <v>Y</v>
      </c>
      <c r="CO615" s="34" t="str">
        <f aca="false">IFERROR(INDEX(設定!$D$20:$D$34,MATCH(A615,設定!$A$20:$A$34,0))&amp;"","")</f>
        <v/>
      </c>
    </row>
    <row r="616" customFormat="false" ht="15" hidden="true" customHeight="false" outlineLevel="0" collapsed="false">
      <c r="A616" s="22" t="s">
        <v>229</v>
      </c>
      <c r="B616" s="23" t="s">
        <v>179</v>
      </c>
      <c r="C616" s="10" t="str">
        <f aca="false">IF(G616="","未受領",IF(G616="なし","報告なし",IF(AL616="○","起票済",IF(OR(AK616="○",F616="一致",F616="入金不要"),"入金確認済","受領済"))))</f>
        <v>未受領</v>
      </c>
      <c r="D616" s="10" t="str">
        <f aca="false">IF(OR(G616="",G616="なし"),"―",IF(CN616="N","対象外",IF(AND(I616="",J616="",K616=""),"標報未入力",IF(CH616&gt;=設定!$B$4,"要確認","問題なし"))))</f>
        <v>―</v>
      </c>
      <c r="E616" s="24" t="str">
        <f aca="false">IF(OR(G616="",G616="なし",CI616="",CJ616=0),"―",IF(CJ616=CI616,"前月同額",IF(CI616=0,"―",IF(ABS(CJ616/CI616-1)&gt;=設定!$B$5,"変動大 "&amp;TEXT(CJ616/CI616-1,"+0%;-0%"),"〇"))))</f>
        <v>―</v>
      </c>
      <c r="F616" s="10" t="str">
        <f aca="false">IF(OR(G616="",G616="なし"),"―",IF(CJ616=0,"入金不要",IF(COUNT(AD616,AF616,AH616,AJ616)=0,IF(AK616="○","手動確認","未入金"),IF(AND(N(AD616)=AC616,IF(AE616="",TRUE(),N(AF616)=AE616),IF(AG616="",TRUE(),N(AH616)=AG616),IF(AI616="",TRUE(),N(AJ616)=AI616)),"一致","不一致"))))</f>
        <v>―</v>
      </c>
      <c r="G616" s="25"/>
      <c r="H616" s="26"/>
      <c r="I616" s="27"/>
      <c r="J616" s="27"/>
      <c r="K616" s="27"/>
      <c r="L616" s="27"/>
      <c r="M616" s="27"/>
      <c r="N616" s="27"/>
      <c r="O616" s="27"/>
      <c r="P616" s="27"/>
      <c r="Q616" s="27"/>
      <c r="R616" s="27"/>
      <c r="S616" s="27"/>
      <c r="T616" s="27"/>
      <c r="U616" s="27"/>
      <c r="V616" s="27"/>
      <c r="W616" s="27"/>
      <c r="X616" s="27"/>
      <c r="Y616" s="27"/>
      <c r="Z616" s="27"/>
      <c r="AA616" s="10" t="str">
        <f aca="false">IFERROR(INDEX(設定!$E$61:$E$106,MATCH(B616,設定!$B$61:$B$106,0)),"合算")</f>
        <v>合算</v>
      </c>
      <c r="AB616" s="28"/>
      <c r="AC616" s="29" t="str">
        <f aca="false">IF(OR(G616="",G616="なし"),"",IF(AA616="合算",CJ616+N(Z616),IF(AA616="掛金・負担金別",(AY616+AZ616+BD616+BF616+BH616),SUM(AY616:BC616))))</f>
        <v/>
      </c>
      <c r="AD616" s="27"/>
      <c r="AE616" s="29" t="str">
        <f aca="false">IF(OR(G616="",G616="なし"),"",IF(AA616="掛金・負担金別",(BA616+BB616+BC616+BE616+BG616+BI616+N(Z616)),IF(AA616="経理区分別",BD616+BE616,"")))</f>
        <v/>
      </c>
      <c r="AF616" s="27"/>
      <c r="AG616" s="29" t="str">
        <f aca="false">IF(OR(G616="",G616="なし"),"",IF(AA616="経理区分別",BF616+BG616,""))</f>
        <v/>
      </c>
      <c r="AH616" s="27"/>
      <c r="AI616" s="29" t="str">
        <f aca="false">IF(OR(G616="",G616="なし"),"",IF(AA616="経理区分別",BH616+BI616+N(Z616),""))</f>
        <v/>
      </c>
      <c r="AJ616" s="27"/>
      <c r="AK616" s="26"/>
      <c r="AL616" s="26"/>
      <c r="AM616" s="30"/>
      <c r="AN616" s="31" t="n">
        <v>0</v>
      </c>
      <c r="AO616" s="31" t="n">
        <v>0</v>
      </c>
      <c r="AP616" s="31"/>
      <c r="AQ616" s="31"/>
      <c r="AR616" s="31" t="n">
        <v>0</v>
      </c>
      <c r="AS616" s="31" t="n">
        <v>40150</v>
      </c>
      <c r="AT616" s="31" t="n">
        <v>40770</v>
      </c>
      <c r="AU616" s="31" t="n">
        <v>2922</v>
      </c>
      <c r="AV616" s="31" t="n">
        <v>2923</v>
      </c>
      <c r="AW616" s="31" t="n">
        <v>1</v>
      </c>
      <c r="AX616" s="31" t="n">
        <v>1</v>
      </c>
      <c r="AY616" s="31" t="n">
        <f aca="false">IF($G616="",AN616,O616)</f>
        <v>0</v>
      </c>
      <c r="AZ616" s="31" t="n">
        <f aca="false">IF($G616="",AO616,P616)</f>
        <v>0</v>
      </c>
      <c r="BA616" s="31" t="n">
        <f aca="false">IF($G616="",AP616,T616)</f>
        <v>0</v>
      </c>
      <c r="BB616" s="31" t="n">
        <f aca="false">IF($G616="",AQ616,U616)</f>
        <v>0</v>
      </c>
      <c r="BC616" s="31" t="n">
        <f aca="false">IF($G616="",AR616,V616)</f>
        <v>0</v>
      </c>
      <c r="BD616" s="31" t="n">
        <f aca="false">IF($G616="",AS616,Q616)</f>
        <v>40150</v>
      </c>
      <c r="BE616" s="31" t="n">
        <f aca="false">IF($G616="",AT616,W616)</f>
        <v>40770</v>
      </c>
      <c r="BF616" s="31" t="n">
        <f aca="false">IF($G616="",AU616,R616)</f>
        <v>2922</v>
      </c>
      <c r="BG616" s="31" t="n">
        <f aca="false">IF($G616="",AV616,X616)</f>
        <v>2923</v>
      </c>
      <c r="BH616" s="31" t="n">
        <f aca="false">IF($G616="",AW616,S616)</f>
        <v>1</v>
      </c>
      <c r="BI616" s="31" t="n">
        <f aca="false">IF($G616="",AX616,Y616)</f>
        <v>1</v>
      </c>
      <c r="BJ616" s="31" t="n">
        <f aca="false">IF(CK616="N",BR616,ROUNDDOWN((I616-L616)*設定!$B$10/1000,0)+ROUNDDOWN((I616-L616)*設定!$B$11/1000,0))</f>
        <v>0</v>
      </c>
      <c r="BK616" s="31" t="n">
        <f aca="false">ROUNDDOWN((I616-L616)*設定!$C$10/1000,0)+ROUNDDOWN((I616-L616)*設定!$C$11/1000,0)+ROUNDDOWN(I616*設定!$C$12/1000,0)+IF(CL616="市局型",ROUNDDOWN(I616*設定!$C$16/1000,0),0)</f>
        <v>0</v>
      </c>
      <c r="BL616" s="31" t="n">
        <f aca="false">IF(CK616="N",BT616,ROUNDDOWN((J616-M616)*設定!$B$13/1000,0))</f>
        <v>0</v>
      </c>
      <c r="BM616" s="31" t="n">
        <f aca="false">ROUNDDOWN((J616-M616)*設定!$C$13/1000,0)+IF(CL616="市局型",ROUNDDOWN(J616*設定!$C$17/1000,0),0)</f>
        <v>0</v>
      </c>
      <c r="BN616" s="31" t="n">
        <f aca="false">IF(CK616="N",BV616,ROUNDDOWN((K616-N616)*設定!$B$14/1000,0))</f>
        <v>0</v>
      </c>
      <c r="BO616" s="31" t="n">
        <f aca="false">ROUNDDOWN((K616-N616)*設定!$C$14/1000,0)</f>
        <v>0</v>
      </c>
      <c r="BP616" s="31" t="n">
        <f aca="false">IF(CK616="N",BX616,ROUNDDOWN((J616-M616)*設定!$B$15/1000,0))</f>
        <v>0</v>
      </c>
      <c r="BQ616" s="31" t="n">
        <f aca="false">ROUNDDOWN((J616-M616)*設定!$C$15/1000,0)</f>
        <v>0</v>
      </c>
      <c r="BR616" s="31" t="n">
        <f aca="false">O616+P616</f>
        <v>0</v>
      </c>
      <c r="BS616" s="31" t="n">
        <f aca="false">T616+U616+V616</f>
        <v>0</v>
      </c>
      <c r="BT616" s="31" t="n">
        <f aca="false">Q616</f>
        <v>0</v>
      </c>
      <c r="BU616" s="31" t="n">
        <f aca="false">W616</f>
        <v>0</v>
      </c>
      <c r="BV616" s="31" t="n">
        <f aca="false">R616</f>
        <v>0</v>
      </c>
      <c r="BW616" s="31" t="n">
        <f aca="false">X616</f>
        <v>0</v>
      </c>
      <c r="BX616" s="31" t="n">
        <f aca="false">S616</f>
        <v>0</v>
      </c>
      <c r="BY616" s="31" t="n">
        <f aca="false">Y616</f>
        <v>0</v>
      </c>
      <c r="BZ616" s="32" t="n">
        <f aca="false">IF(BJ616=0,IF(BR616=0,0,1),(BR616-BJ616)/BJ616)</f>
        <v>0</v>
      </c>
      <c r="CA616" s="32" t="n">
        <f aca="false">IF(BK616=0,IF(BS616=0,0,1),(BS616-BK616)/BK616)</f>
        <v>0</v>
      </c>
      <c r="CB616" s="32" t="n">
        <f aca="false">IF(BL616=0,IF(BT616=0,0,1),(BT616-BL616)/BL616)</f>
        <v>0</v>
      </c>
      <c r="CC616" s="32" t="n">
        <f aca="false">IF(BM616=0,IF(BU616=0,0,1),(BU616-BM616)/BM616)</f>
        <v>0</v>
      </c>
      <c r="CD616" s="32" t="n">
        <f aca="false">IF(BN616=0,IF(BV616=0,0,1),(BV616-BN616)/BN616)</f>
        <v>0</v>
      </c>
      <c r="CE616" s="32" t="n">
        <f aca="false">IF(BO616=0,IF(BW616=0,0,1),(BW616-BO616)/BO616)</f>
        <v>0</v>
      </c>
      <c r="CF616" s="32" t="n">
        <f aca="false">IF(BP616=0,IF(BX616=0,0,1),(BX616-BP616)/BP616)</f>
        <v>0</v>
      </c>
      <c r="CG616" s="32" t="n">
        <f aca="false">IF(BQ616=0,IF(BY616=0,0,1),(BY616-BQ616)/BQ616)</f>
        <v>0</v>
      </c>
      <c r="CH616" s="32" t="n">
        <f aca="false">MAX(MAX(BZ616:CG616),-MIN(BZ616:CG616))</f>
        <v>-0</v>
      </c>
      <c r="CI616" s="31" t="str">
        <f aca="false">IF(CO616="","",SUMIFS($CJ$7:$CJ$696,$A$7:$A$696,CO616,$B$7:$B$696,B616))</f>
        <v/>
      </c>
      <c r="CJ616" s="31" t="n">
        <f aca="false">SUM(AY616:BI616)</f>
        <v>86767</v>
      </c>
      <c r="CK616" s="31" t="str">
        <f aca="false">IFERROR(INDEX(設定!$F$61:$F$106,MATCH(B616,設定!$B$61:$B$106,0)),"Y")</f>
        <v>Y</v>
      </c>
      <c r="CL616" s="31" t="str">
        <f aca="false">IFERROR(INDEX(設定!$G$61:$G$106,MATCH(B616,設定!$B$61:$B$106,0)),"外郭型")</f>
        <v>市局型</v>
      </c>
      <c r="CM616" s="33" t="str">
        <f aca="false">A616&amp;"|"&amp;B616</f>
        <v>2027-03 賞与|教育委員会（教育給与課）</v>
      </c>
      <c r="CN616" s="34" t="str">
        <f aca="false">IFERROR(INDEX(設定!$D$61:$D$106,MATCH(B616,設定!$B$61:$B$106,0)),"Y")</f>
        <v>Y</v>
      </c>
      <c r="CO616" s="34" t="str">
        <f aca="false">IFERROR(INDEX(設定!$D$20:$D$34,MATCH(A616,設定!$A$20:$A$34,0))&amp;"","")</f>
        <v/>
      </c>
    </row>
    <row r="617" customFormat="false" ht="15" hidden="true" customHeight="false" outlineLevel="0" collapsed="false">
      <c r="A617" s="22" t="s">
        <v>229</v>
      </c>
      <c r="B617" s="23" t="s">
        <v>180</v>
      </c>
      <c r="C617" s="10" t="str">
        <f aca="false">IF(G617="","未受領",IF(G617="なし","報告なし",IF(AL617="○","起票済",IF(OR(AK617="○",F617="一致",F617="入金不要"),"入金確認済","受領済"))))</f>
        <v>報告なし</v>
      </c>
      <c r="D617" s="10" t="str">
        <f aca="false">IF(OR(G617="",G617="なし"),"―",IF(CN617="N","対象外",IF(AND(I617="",J617="",K617=""),"標報未入力",IF(CH617&gt;=設定!$B$4,"要確認","問題なし"))))</f>
        <v>―</v>
      </c>
      <c r="E617" s="24" t="str">
        <f aca="false">IF(OR(G617="",G617="なし",CI617="",CJ617=0),"―",IF(CJ617=CI617,"前月同額",IF(CI617=0,"―",IF(ABS(CJ617/CI617-1)&gt;=設定!$B$5,"変動大 "&amp;TEXT(CJ617/CI617-1,"+0%;-0%"),"〇"))))</f>
        <v>―</v>
      </c>
      <c r="F617" s="10" t="str">
        <f aca="false">IF(OR(G617="",G617="なし"),"―",IF(CJ617=0,"入金不要",IF(COUNT(AD617,AF617,AH617,AJ617)=0,IF(AK617="○","手動確認","未入金"),IF(AND(N(AD617)=AC617,IF(AE617="",TRUE(),N(AF617)=AE617),IF(AG617="",TRUE(),N(AH617)=AG617),IF(AI617="",TRUE(),N(AJ617)=AI617)),"一致","不一致"))))</f>
        <v>―</v>
      </c>
      <c r="G617" s="25" t="s">
        <v>181</v>
      </c>
      <c r="H617" s="26"/>
      <c r="I617" s="27"/>
      <c r="J617" s="27"/>
      <c r="K617" s="27"/>
      <c r="L617" s="27"/>
      <c r="M617" s="27"/>
      <c r="N617" s="27"/>
      <c r="O617" s="27"/>
      <c r="P617" s="27"/>
      <c r="Q617" s="27"/>
      <c r="R617" s="27"/>
      <c r="S617" s="27"/>
      <c r="T617" s="27"/>
      <c r="U617" s="27"/>
      <c r="V617" s="27"/>
      <c r="W617" s="27"/>
      <c r="X617" s="27"/>
      <c r="Y617" s="27"/>
      <c r="Z617" s="27"/>
      <c r="AA617" s="10" t="str">
        <f aca="false">IFERROR(INDEX(設定!$E$61:$E$106,MATCH(B617,設定!$B$61:$B$106,0)),"合算")</f>
        <v>合算</v>
      </c>
      <c r="AB617" s="28"/>
      <c r="AC617" s="29" t="str">
        <f aca="false">IF(OR(G617="",G617="なし"),"",IF(AA617="合算",CJ617+N(Z617),IF(AA617="掛金・負担金別",(AY617+AZ617+BD617+BF617+BH617),SUM(AY617:BC617))))</f>
        <v/>
      </c>
      <c r="AD617" s="27"/>
      <c r="AE617" s="29" t="str">
        <f aca="false">IF(OR(G617="",G617="なし"),"",IF(AA617="掛金・負担金別",(BA617+BB617+BC617+BE617+BG617+BI617+N(Z617)),IF(AA617="経理区分別",BD617+BE617,"")))</f>
        <v/>
      </c>
      <c r="AF617" s="27"/>
      <c r="AG617" s="29" t="str">
        <f aca="false">IF(OR(G617="",G617="なし"),"",IF(AA617="経理区分別",BF617+BG617,""))</f>
        <v/>
      </c>
      <c r="AH617" s="27"/>
      <c r="AI617" s="29" t="str">
        <f aca="false">IF(OR(G617="",G617="なし"),"",IF(AA617="経理区分別",BH617+BI617+N(Z617),""))</f>
        <v/>
      </c>
      <c r="AJ617" s="27"/>
      <c r="AK617" s="26"/>
      <c r="AL617" s="26"/>
      <c r="AM617" s="30"/>
      <c r="AN617" s="31"/>
      <c r="AO617" s="31"/>
      <c r="AP617" s="31"/>
      <c r="AQ617" s="31"/>
      <c r="AR617" s="31"/>
      <c r="AS617" s="31"/>
      <c r="AT617" s="31"/>
      <c r="AU617" s="31"/>
      <c r="AV617" s="31"/>
      <c r="AW617" s="31"/>
      <c r="AX617" s="31"/>
      <c r="AY617" s="31" t="n">
        <f aca="false">IF($G617="",AN617,O617)</f>
        <v>0</v>
      </c>
      <c r="AZ617" s="31" t="n">
        <f aca="false">IF($G617="",AO617,P617)</f>
        <v>0</v>
      </c>
      <c r="BA617" s="31" t="n">
        <f aca="false">IF($G617="",AP617,T617)</f>
        <v>0</v>
      </c>
      <c r="BB617" s="31" t="n">
        <f aca="false">IF($G617="",AQ617,U617)</f>
        <v>0</v>
      </c>
      <c r="BC617" s="31" t="n">
        <f aca="false">IF($G617="",AR617,V617)</f>
        <v>0</v>
      </c>
      <c r="BD617" s="31" t="n">
        <f aca="false">IF($G617="",AS617,Q617)</f>
        <v>0</v>
      </c>
      <c r="BE617" s="31" t="n">
        <f aca="false">IF($G617="",AT617,W617)</f>
        <v>0</v>
      </c>
      <c r="BF617" s="31" t="n">
        <f aca="false">IF($G617="",AU617,R617)</f>
        <v>0</v>
      </c>
      <c r="BG617" s="31" t="n">
        <f aca="false">IF($G617="",AV617,X617)</f>
        <v>0</v>
      </c>
      <c r="BH617" s="31" t="n">
        <f aca="false">IF($G617="",AW617,S617)</f>
        <v>0</v>
      </c>
      <c r="BI617" s="31" t="n">
        <f aca="false">IF($G617="",AX617,Y617)</f>
        <v>0</v>
      </c>
      <c r="BJ617" s="31" t="n">
        <f aca="false">IF(CK617="N",BR617,ROUNDDOWN((I617-L617)*設定!$B$10/1000,0)+ROUNDDOWN((I617-L617)*設定!$B$11/1000,0))</f>
        <v>0</v>
      </c>
      <c r="BK617" s="31" t="n">
        <f aca="false">ROUNDDOWN((I617-L617)*設定!$C$10/1000,0)+ROUNDDOWN((I617-L617)*設定!$C$11/1000,0)+ROUNDDOWN(I617*設定!$C$12/1000,0)+IF(CL617="市局型",ROUNDDOWN(I617*設定!$C$16/1000,0),0)</f>
        <v>0</v>
      </c>
      <c r="BL617" s="31" t="n">
        <f aca="false">IF(CK617="N",BT617,ROUNDDOWN((J617-M617)*設定!$B$13/1000,0))</f>
        <v>0</v>
      </c>
      <c r="BM617" s="31" t="n">
        <f aca="false">ROUNDDOWN((J617-M617)*設定!$C$13/1000,0)+IF(CL617="市局型",ROUNDDOWN(J617*設定!$C$17/1000,0),0)</f>
        <v>0</v>
      </c>
      <c r="BN617" s="31" t="n">
        <f aca="false">IF(CK617="N",BV617,ROUNDDOWN((K617-N617)*設定!$B$14/1000,0))</f>
        <v>0</v>
      </c>
      <c r="BO617" s="31" t="n">
        <f aca="false">ROUNDDOWN((K617-N617)*設定!$C$14/1000,0)</f>
        <v>0</v>
      </c>
      <c r="BP617" s="31" t="n">
        <f aca="false">IF(CK617="N",BX617,ROUNDDOWN((J617-M617)*設定!$B$15/1000,0))</f>
        <v>0</v>
      </c>
      <c r="BQ617" s="31" t="n">
        <f aca="false">ROUNDDOWN((J617-M617)*設定!$C$15/1000,0)</f>
        <v>0</v>
      </c>
      <c r="BR617" s="31" t="n">
        <f aca="false">O617+P617</f>
        <v>0</v>
      </c>
      <c r="BS617" s="31" t="n">
        <f aca="false">T617+U617+V617</f>
        <v>0</v>
      </c>
      <c r="BT617" s="31" t="n">
        <f aca="false">Q617</f>
        <v>0</v>
      </c>
      <c r="BU617" s="31" t="n">
        <f aca="false">W617</f>
        <v>0</v>
      </c>
      <c r="BV617" s="31" t="n">
        <f aca="false">R617</f>
        <v>0</v>
      </c>
      <c r="BW617" s="31" t="n">
        <f aca="false">X617</f>
        <v>0</v>
      </c>
      <c r="BX617" s="31" t="n">
        <f aca="false">S617</f>
        <v>0</v>
      </c>
      <c r="BY617" s="31" t="n">
        <f aca="false">Y617</f>
        <v>0</v>
      </c>
      <c r="BZ617" s="32" t="n">
        <f aca="false">IF(BJ617=0,IF(BR617=0,0,1),(BR617-BJ617)/BJ617)</f>
        <v>0</v>
      </c>
      <c r="CA617" s="32" t="n">
        <f aca="false">IF(BK617=0,IF(BS617=0,0,1),(BS617-BK617)/BK617)</f>
        <v>0</v>
      </c>
      <c r="CB617" s="32" t="n">
        <f aca="false">IF(BL617=0,IF(BT617=0,0,1),(BT617-BL617)/BL617)</f>
        <v>0</v>
      </c>
      <c r="CC617" s="32" t="n">
        <f aca="false">IF(BM617=0,IF(BU617=0,0,1),(BU617-BM617)/BM617)</f>
        <v>0</v>
      </c>
      <c r="CD617" s="32" t="n">
        <f aca="false">IF(BN617=0,IF(BV617=0,0,1),(BV617-BN617)/BN617)</f>
        <v>0</v>
      </c>
      <c r="CE617" s="32" t="n">
        <f aca="false">IF(BO617=0,IF(BW617=0,0,1),(BW617-BO617)/BO617)</f>
        <v>0</v>
      </c>
      <c r="CF617" s="32" t="n">
        <f aca="false">IF(BP617=0,IF(BX617=0,0,1),(BX617-BP617)/BP617)</f>
        <v>0</v>
      </c>
      <c r="CG617" s="32" t="n">
        <f aca="false">IF(BQ617=0,IF(BY617=0,0,1),(BY617-BQ617)/BQ617)</f>
        <v>0</v>
      </c>
      <c r="CH617" s="32" t="n">
        <f aca="false">MAX(MAX(BZ617:CG617),-MIN(BZ617:CG617))</f>
        <v>-0</v>
      </c>
      <c r="CI617" s="31" t="str">
        <f aca="false">IF(CO617="","",SUMIFS($CJ$7:$CJ$696,$A$7:$A$696,CO617,$B$7:$B$696,B617))</f>
        <v/>
      </c>
      <c r="CJ617" s="31" t="n">
        <f aca="false">SUM(AY617:BI617)</f>
        <v>0</v>
      </c>
      <c r="CK617" s="31" t="str">
        <f aca="false">IFERROR(INDEX(設定!$F$61:$F$106,MATCH(B617,設定!$B$61:$B$106,0)),"Y")</f>
        <v>N</v>
      </c>
      <c r="CL617" s="31" t="str">
        <f aca="false">IFERROR(INDEX(設定!$G$61:$G$106,MATCH(B617,設定!$B$61:$B$106,0)),"外郭型")</f>
        <v>外郭型</v>
      </c>
      <c r="CM617" s="33" t="str">
        <f aca="false">A617&amp;"|"&amp;B617</f>
        <v>2027-03 賞与|地方税共同機構</v>
      </c>
      <c r="CN617" s="34" t="str">
        <f aca="false">IFERROR(INDEX(設定!$D$61:$D$106,MATCH(B617,設定!$B$61:$B$106,0)),"Y")</f>
        <v>Y</v>
      </c>
      <c r="CO617" s="34" t="str">
        <f aca="false">IFERROR(INDEX(設定!$D$20:$D$34,MATCH(A617,設定!$A$20:$A$34,0))&amp;"","")</f>
        <v/>
      </c>
    </row>
    <row r="618" customFormat="false" ht="15" hidden="true" customHeight="false" outlineLevel="0" collapsed="false">
      <c r="A618" s="22" t="s">
        <v>229</v>
      </c>
      <c r="B618" s="23" t="s">
        <v>182</v>
      </c>
      <c r="C618" s="10" t="str">
        <f aca="false">IF(G618="","未受領",IF(G618="なし","報告なし",IF(AL618="○","起票済",IF(OR(AK618="○",F618="一致",F618="入金不要"),"入金確認済","受領済"))))</f>
        <v>未受領</v>
      </c>
      <c r="D618" s="10" t="str">
        <f aca="false">IF(OR(G618="",G618="なし"),"―",IF(CN618="N","対象外",IF(AND(I618="",J618="",K618=""),"標報未入力",IF(CH618&gt;=設定!$B$4,"要確認","問題なし"))))</f>
        <v>―</v>
      </c>
      <c r="E618" s="24" t="str">
        <f aca="false">IF(OR(G618="",G618="なし",CI618="",CJ618=0),"―",IF(CJ618=CI618,"前月同額",IF(CI618=0,"―",IF(ABS(CJ618/CI618-1)&gt;=設定!$B$5,"変動大 "&amp;TEXT(CJ618/CI618-1,"+0%;-0%"),"〇"))))</f>
        <v>―</v>
      </c>
      <c r="F618" s="10" t="str">
        <f aca="false">IF(OR(G618="",G618="なし"),"―",IF(CJ618=0,"入金不要",IF(COUNT(AD618,AF618,AH618,AJ618)=0,IF(AK618="○","手動確認","未入金"),IF(AND(N(AD618)=AC618,IF(AE618="",TRUE(),N(AF618)=AE618),IF(AG618="",TRUE(),N(AH618)=AG618),IF(AI618="",TRUE(),N(AJ618)=AI618)),"一致","不一致"))))</f>
        <v>―</v>
      </c>
      <c r="G618" s="25"/>
      <c r="H618" s="26"/>
      <c r="I618" s="27"/>
      <c r="J618" s="27"/>
      <c r="K618" s="27"/>
      <c r="L618" s="27"/>
      <c r="M618" s="27"/>
      <c r="N618" s="27"/>
      <c r="O618" s="27"/>
      <c r="P618" s="27"/>
      <c r="Q618" s="27"/>
      <c r="R618" s="27"/>
      <c r="S618" s="27"/>
      <c r="T618" s="27"/>
      <c r="U618" s="27"/>
      <c r="V618" s="27"/>
      <c r="W618" s="27"/>
      <c r="X618" s="27"/>
      <c r="Y618" s="27"/>
      <c r="Z618" s="27"/>
      <c r="AA618" s="10" t="str">
        <f aca="false">IFERROR(INDEX(設定!$E$61:$E$106,MATCH(B618,設定!$B$61:$B$106,0)),"合算")</f>
        <v>合算</v>
      </c>
      <c r="AB618" s="28"/>
      <c r="AC618" s="29" t="str">
        <f aca="false">IF(OR(G618="",G618="なし"),"",IF(AA618="合算",CJ618+N(Z618),IF(AA618="掛金・負担金別",(AY618+AZ618+BD618+BF618+BH618),SUM(AY618:BC618))))</f>
        <v/>
      </c>
      <c r="AD618" s="27"/>
      <c r="AE618" s="29" t="str">
        <f aca="false">IF(OR(G618="",G618="なし"),"",IF(AA618="掛金・負担金別",(BA618+BB618+BC618+BE618+BG618+BI618+N(Z618)),IF(AA618="経理区分別",BD618+BE618,"")))</f>
        <v/>
      </c>
      <c r="AF618" s="27"/>
      <c r="AG618" s="29" t="str">
        <f aca="false">IF(OR(G618="",G618="なし"),"",IF(AA618="経理区分別",BF618+BG618,""))</f>
        <v/>
      </c>
      <c r="AH618" s="27"/>
      <c r="AI618" s="29" t="str">
        <f aca="false">IF(OR(G618="",G618="なし"),"",IF(AA618="経理区分別",BH618+BI618+N(Z618),""))</f>
        <v/>
      </c>
      <c r="AJ618" s="27"/>
      <c r="AK618" s="26"/>
      <c r="AL618" s="26"/>
      <c r="AM618" s="30"/>
      <c r="AN618" s="31" t="n">
        <v>0</v>
      </c>
      <c r="AO618" s="31" t="n">
        <v>0</v>
      </c>
      <c r="AP618" s="31" t="n">
        <v>266723</v>
      </c>
      <c r="AQ618" s="31" t="n">
        <v>21863</v>
      </c>
      <c r="AR618" s="31" t="n">
        <v>284</v>
      </c>
      <c r="AS618" s="31" t="n">
        <v>0</v>
      </c>
      <c r="AT618" s="31" t="n">
        <v>160646</v>
      </c>
      <c r="AU618" s="31" t="n">
        <v>0</v>
      </c>
      <c r="AV618" s="31" t="n">
        <v>20879</v>
      </c>
      <c r="AW618" s="31" t="n">
        <v>0</v>
      </c>
      <c r="AX618" s="31" t="n">
        <v>1</v>
      </c>
      <c r="AY618" s="31" t="n">
        <f aca="false">IF($G618="",AN618,O618)</f>
        <v>0</v>
      </c>
      <c r="AZ618" s="31" t="n">
        <f aca="false">IF($G618="",AO618,P618)</f>
        <v>0</v>
      </c>
      <c r="BA618" s="31" t="n">
        <f aca="false">IF($G618="",AP618,T618)</f>
        <v>266723</v>
      </c>
      <c r="BB618" s="31" t="n">
        <f aca="false">IF($G618="",AQ618,U618)</f>
        <v>21863</v>
      </c>
      <c r="BC618" s="31" t="n">
        <f aca="false">IF($G618="",AR618,V618)</f>
        <v>284</v>
      </c>
      <c r="BD618" s="31" t="n">
        <f aca="false">IF($G618="",AS618,Q618)</f>
        <v>0</v>
      </c>
      <c r="BE618" s="31" t="n">
        <f aca="false">IF($G618="",AT618,W618)</f>
        <v>160646</v>
      </c>
      <c r="BF618" s="31" t="n">
        <f aca="false">IF($G618="",AU618,R618)</f>
        <v>0</v>
      </c>
      <c r="BG618" s="31" t="n">
        <f aca="false">IF($G618="",AV618,X618)</f>
        <v>20879</v>
      </c>
      <c r="BH618" s="31" t="n">
        <f aca="false">IF($G618="",AW618,S618)</f>
        <v>0</v>
      </c>
      <c r="BI618" s="31" t="n">
        <f aca="false">IF($G618="",AX618,Y618)</f>
        <v>1</v>
      </c>
      <c r="BJ618" s="31" t="n">
        <f aca="false">IF(CK618="N",BR618,ROUNDDOWN((I618-L618)*設定!$B$10/1000,0)+ROUNDDOWN((I618-L618)*設定!$B$11/1000,0))</f>
        <v>0</v>
      </c>
      <c r="BK618" s="31" t="n">
        <f aca="false">ROUNDDOWN((I618-L618)*設定!$C$10/1000,0)+ROUNDDOWN((I618-L618)*設定!$C$11/1000,0)+ROUNDDOWN(I618*設定!$C$12/1000,0)+IF(CL618="市局型",ROUNDDOWN(I618*設定!$C$16/1000,0),0)</f>
        <v>0</v>
      </c>
      <c r="BL618" s="31" t="n">
        <f aca="false">IF(CK618="N",BT618,ROUNDDOWN((J618-M618)*設定!$B$13/1000,0))</f>
        <v>0</v>
      </c>
      <c r="BM618" s="31" t="n">
        <f aca="false">ROUNDDOWN((J618-M618)*設定!$C$13/1000,0)+IF(CL618="市局型",ROUNDDOWN(J618*設定!$C$17/1000,0),0)</f>
        <v>0</v>
      </c>
      <c r="BN618" s="31" t="n">
        <f aca="false">IF(CK618="N",BV618,ROUNDDOWN((K618-N618)*設定!$B$14/1000,0))</f>
        <v>0</v>
      </c>
      <c r="BO618" s="31" t="n">
        <f aca="false">ROUNDDOWN((K618-N618)*設定!$C$14/1000,0)</f>
        <v>0</v>
      </c>
      <c r="BP618" s="31" t="n">
        <f aca="false">IF(CK618="N",BX618,ROUNDDOWN((J618-M618)*設定!$B$15/1000,0))</f>
        <v>0</v>
      </c>
      <c r="BQ618" s="31" t="n">
        <f aca="false">ROUNDDOWN((J618-M618)*設定!$C$15/1000,0)</f>
        <v>0</v>
      </c>
      <c r="BR618" s="31" t="n">
        <f aca="false">O618+P618</f>
        <v>0</v>
      </c>
      <c r="BS618" s="31" t="n">
        <f aca="false">T618+U618+V618</f>
        <v>0</v>
      </c>
      <c r="BT618" s="31" t="n">
        <f aca="false">Q618</f>
        <v>0</v>
      </c>
      <c r="BU618" s="31" t="n">
        <f aca="false">W618</f>
        <v>0</v>
      </c>
      <c r="BV618" s="31" t="n">
        <f aca="false">R618</f>
        <v>0</v>
      </c>
      <c r="BW618" s="31" t="n">
        <f aca="false">X618</f>
        <v>0</v>
      </c>
      <c r="BX618" s="31" t="n">
        <f aca="false">S618</f>
        <v>0</v>
      </c>
      <c r="BY618" s="31" t="n">
        <f aca="false">Y618</f>
        <v>0</v>
      </c>
      <c r="BZ618" s="32" t="n">
        <f aca="false">IF(BJ618=0,IF(BR618=0,0,1),(BR618-BJ618)/BJ618)</f>
        <v>0</v>
      </c>
      <c r="CA618" s="32" t="n">
        <f aca="false">IF(BK618=0,IF(BS618=0,0,1),(BS618-BK618)/BK618)</f>
        <v>0</v>
      </c>
      <c r="CB618" s="32" t="n">
        <f aca="false">IF(BL618=0,IF(BT618=0,0,1),(BT618-BL618)/BL618)</f>
        <v>0</v>
      </c>
      <c r="CC618" s="32" t="n">
        <f aca="false">IF(BM618=0,IF(BU618=0,0,1),(BU618-BM618)/BM618)</f>
        <v>0</v>
      </c>
      <c r="CD618" s="32" t="n">
        <f aca="false">IF(BN618=0,IF(BV618=0,0,1),(BV618-BN618)/BN618)</f>
        <v>0</v>
      </c>
      <c r="CE618" s="32" t="n">
        <f aca="false">IF(BO618=0,IF(BW618=0,0,1),(BW618-BO618)/BO618)</f>
        <v>0</v>
      </c>
      <c r="CF618" s="32" t="n">
        <f aca="false">IF(BP618=0,IF(BX618=0,0,1),(BX618-BP618)/BP618)</f>
        <v>0</v>
      </c>
      <c r="CG618" s="32" t="n">
        <f aca="false">IF(BQ618=0,IF(BY618=0,0,1),(BY618-BQ618)/BQ618)</f>
        <v>0</v>
      </c>
      <c r="CH618" s="32" t="n">
        <f aca="false">MAX(MAX(BZ618:CG618),-MIN(BZ618:CG618))</f>
        <v>-0</v>
      </c>
      <c r="CI618" s="31" t="str">
        <f aca="false">IF(CO618="","",SUMIFS($CJ$7:$CJ$696,$A$7:$A$696,CO618,$B$7:$B$696,B618))</f>
        <v/>
      </c>
      <c r="CJ618" s="31" t="n">
        <f aca="false">SUM(AY618:BI618)</f>
        <v>470396</v>
      </c>
      <c r="CK618" s="31" t="str">
        <f aca="false">IFERROR(INDEX(設定!$F$61:$F$106,MATCH(B618,設定!$B$61:$B$106,0)),"Y")</f>
        <v>Y</v>
      </c>
      <c r="CL618" s="31" t="str">
        <f aca="false">IFERROR(INDEX(設定!$G$61:$G$106,MATCH(B618,設定!$B$61:$B$106,0)),"外郭型")</f>
        <v>外郭型</v>
      </c>
      <c r="CM618" s="33" t="str">
        <f aca="false">A618&amp;"|"&amp;B618</f>
        <v>2027-03 賞与|平和文化センター</v>
      </c>
      <c r="CN618" s="34" t="str">
        <f aca="false">IFERROR(INDEX(設定!$D$61:$D$106,MATCH(B618,設定!$B$61:$B$106,0)),"Y")</f>
        <v>Y</v>
      </c>
      <c r="CO618" s="34" t="str">
        <f aca="false">IFERROR(INDEX(設定!$D$20:$D$34,MATCH(A618,設定!$A$20:$A$34,0))&amp;"","")</f>
        <v/>
      </c>
    </row>
    <row r="619" customFormat="false" ht="15" hidden="true" customHeight="false" outlineLevel="0" collapsed="false">
      <c r="A619" s="22" t="s">
        <v>229</v>
      </c>
      <c r="B619" s="23" t="s">
        <v>183</v>
      </c>
      <c r="C619" s="10" t="str">
        <f aca="false">IF(G619="","未受領",IF(G619="なし","報告なし",IF(AL619="○","起票済",IF(OR(AK619="○",F619="一致",F619="入金不要"),"入金確認済","受領済"))))</f>
        <v>未受領</v>
      </c>
      <c r="D619" s="10" t="str">
        <f aca="false">IF(OR(G619="",G619="なし"),"―",IF(CN619="N","対象外",IF(AND(I619="",J619="",K619=""),"標報未入力",IF(CH619&gt;=設定!$B$4,"要確認","問題なし"))))</f>
        <v>―</v>
      </c>
      <c r="E619" s="24" t="str">
        <f aca="false">IF(OR(G619="",G619="なし",CI619="",CJ619=0),"―",IF(CJ619=CI619,"前月同額",IF(CI619=0,"―",IF(ABS(CJ619/CI619-1)&gt;=設定!$B$5,"変動大 "&amp;TEXT(CJ619/CI619-1,"+0%;-0%"),"〇"))))</f>
        <v>―</v>
      </c>
      <c r="F619" s="10" t="str">
        <f aca="false">IF(OR(G619="",G619="なし"),"―",IF(CJ619=0,"入金不要",IF(COUNT(AD619,AF619,AH619,AJ619)=0,IF(AK619="○","手動確認","未入金"),IF(AND(N(AD619)=AC619,IF(AE619="",TRUE(),N(AF619)=AE619),IF(AG619="",TRUE(),N(AH619)=AG619),IF(AI619="",TRUE(),N(AJ619)=AI619)),"一致","不一致"))))</f>
        <v>―</v>
      </c>
      <c r="G619" s="25"/>
      <c r="H619" s="26"/>
      <c r="I619" s="27"/>
      <c r="J619" s="27"/>
      <c r="K619" s="27"/>
      <c r="L619" s="27"/>
      <c r="M619" s="27"/>
      <c r="N619" s="27"/>
      <c r="O619" s="27"/>
      <c r="P619" s="27"/>
      <c r="Q619" s="27"/>
      <c r="R619" s="27"/>
      <c r="S619" s="27"/>
      <c r="T619" s="27"/>
      <c r="U619" s="27"/>
      <c r="V619" s="27"/>
      <c r="W619" s="27"/>
      <c r="X619" s="27"/>
      <c r="Y619" s="27"/>
      <c r="Z619" s="27"/>
      <c r="AA619" s="10" t="str">
        <f aca="false">IFERROR(INDEX(設定!$E$61:$E$106,MATCH(B619,設定!$B$61:$B$106,0)),"合算")</f>
        <v>合算</v>
      </c>
      <c r="AB619" s="28"/>
      <c r="AC619" s="29" t="str">
        <f aca="false">IF(OR(G619="",G619="なし"),"",IF(AA619="合算",CJ619+N(Z619),IF(AA619="掛金・負担金別",(AY619+AZ619+BD619+BF619+BH619),SUM(AY619:BC619))))</f>
        <v/>
      </c>
      <c r="AD619" s="27"/>
      <c r="AE619" s="29" t="str">
        <f aca="false">IF(OR(G619="",G619="なし"),"",IF(AA619="掛金・負担金別",(BA619+BB619+BC619+BE619+BG619+BI619+N(Z619)),IF(AA619="経理区分別",BD619+BE619,"")))</f>
        <v/>
      </c>
      <c r="AF619" s="27"/>
      <c r="AG619" s="29" t="str">
        <f aca="false">IF(OR(G619="",G619="なし"),"",IF(AA619="経理区分別",BF619+BG619,""))</f>
        <v/>
      </c>
      <c r="AH619" s="27"/>
      <c r="AI619" s="29" t="str">
        <f aca="false">IF(OR(G619="",G619="なし"),"",IF(AA619="経理区分別",BH619+BI619+N(Z619),""))</f>
        <v/>
      </c>
      <c r="AJ619" s="27"/>
      <c r="AK619" s="26"/>
      <c r="AL619" s="26"/>
      <c r="AM619" s="30"/>
      <c r="AN619" s="31"/>
      <c r="AO619" s="31"/>
      <c r="AP619" s="31" t="n">
        <v>842818</v>
      </c>
      <c r="AQ619" s="31" t="n">
        <v>69079</v>
      </c>
      <c r="AR619" s="31" t="n">
        <v>884</v>
      </c>
      <c r="AS619" s="31"/>
      <c r="AT619" s="31" t="n">
        <v>507639</v>
      </c>
      <c r="AU619" s="31"/>
      <c r="AV619" s="31" t="n">
        <v>56123</v>
      </c>
      <c r="AW619" s="31"/>
      <c r="AX619" s="31" t="n">
        <v>1</v>
      </c>
      <c r="AY619" s="31" t="n">
        <f aca="false">IF($G619="",AN619,O619)</f>
        <v>0</v>
      </c>
      <c r="AZ619" s="31" t="n">
        <f aca="false">IF($G619="",AO619,P619)</f>
        <v>0</v>
      </c>
      <c r="BA619" s="31" t="n">
        <f aca="false">IF($G619="",AP619,T619)</f>
        <v>842818</v>
      </c>
      <c r="BB619" s="31" t="n">
        <f aca="false">IF($G619="",AQ619,U619)</f>
        <v>69079</v>
      </c>
      <c r="BC619" s="31" t="n">
        <f aca="false">IF($G619="",AR619,V619)</f>
        <v>884</v>
      </c>
      <c r="BD619" s="31" t="n">
        <f aca="false">IF($G619="",AS619,Q619)</f>
        <v>0</v>
      </c>
      <c r="BE619" s="31" t="n">
        <f aca="false">IF($G619="",AT619,W619)</f>
        <v>507639</v>
      </c>
      <c r="BF619" s="31" t="n">
        <f aca="false">IF($G619="",AU619,R619)</f>
        <v>0</v>
      </c>
      <c r="BG619" s="31" t="n">
        <f aca="false">IF($G619="",AV619,X619)</f>
        <v>56123</v>
      </c>
      <c r="BH619" s="31" t="n">
        <f aca="false">IF($G619="",AW619,S619)</f>
        <v>0</v>
      </c>
      <c r="BI619" s="31" t="n">
        <f aca="false">IF($G619="",AX619,Y619)</f>
        <v>1</v>
      </c>
      <c r="BJ619" s="31" t="n">
        <f aca="false">IF(CK619="N",BR619,ROUNDDOWN((I619-L619)*設定!$B$10/1000,0)+ROUNDDOWN((I619-L619)*設定!$B$11/1000,0))</f>
        <v>0</v>
      </c>
      <c r="BK619" s="31" t="n">
        <f aca="false">ROUNDDOWN((I619-L619)*設定!$C$10/1000,0)+ROUNDDOWN((I619-L619)*設定!$C$11/1000,0)+ROUNDDOWN(I619*設定!$C$12/1000,0)+IF(CL619="市局型",ROUNDDOWN(I619*設定!$C$16/1000,0),0)</f>
        <v>0</v>
      </c>
      <c r="BL619" s="31" t="n">
        <f aca="false">IF(CK619="N",BT619,ROUNDDOWN((J619-M619)*設定!$B$13/1000,0))</f>
        <v>0</v>
      </c>
      <c r="BM619" s="31" t="n">
        <f aca="false">ROUNDDOWN((J619-M619)*設定!$C$13/1000,0)+IF(CL619="市局型",ROUNDDOWN(J619*設定!$C$17/1000,0),0)</f>
        <v>0</v>
      </c>
      <c r="BN619" s="31" t="n">
        <f aca="false">IF(CK619="N",BV619,ROUNDDOWN((K619-N619)*設定!$B$14/1000,0))</f>
        <v>0</v>
      </c>
      <c r="BO619" s="31" t="n">
        <f aca="false">ROUNDDOWN((K619-N619)*設定!$C$14/1000,0)</f>
        <v>0</v>
      </c>
      <c r="BP619" s="31" t="n">
        <f aca="false">IF(CK619="N",BX619,ROUNDDOWN((J619-M619)*設定!$B$15/1000,0))</f>
        <v>0</v>
      </c>
      <c r="BQ619" s="31" t="n">
        <f aca="false">ROUNDDOWN((J619-M619)*設定!$C$15/1000,0)</f>
        <v>0</v>
      </c>
      <c r="BR619" s="31" t="n">
        <f aca="false">O619+P619</f>
        <v>0</v>
      </c>
      <c r="BS619" s="31" t="n">
        <f aca="false">T619+U619+V619</f>
        <v>0</v>
      </c>
      <c r="BT619" s="31" t="n">
        <f aca="false">Q619</f>
        <v>0</v>
      </c>
      <c r="BU619" s="31" t="n">
        <f aca="false">W619</f>
        <v>0</v>
      </c>
      <c r="BV619" s="31" t="n">
        <f aca="false">R619</f>
        <v>0</v>
      </c>
      <c r="BW619" s="31" t="n">
        <f aca="false">X619</f>
        <v>0</v>
      </c>
      <c r="BX619" s="31" t="n">
        <f aca="false">S619</f>
        <v>0</v>
      </c>
      <c r="BY619" s="31" t="n">
        <f aca="false">Y619</f>
        <v>0</v>
      </c>
      <c r="BZ619" s="32" t="n">
        <f aca="false">IF(BJ619=0,IF(BR619=0,0,1),(BR619-BJ619)/BJ619)</f>
        <v>0</v>
      </c>
      <c r="CA619" s="32" t="n">
        <f aca="false">IF(BK619=0,IF(BS619=0,0,1),(BS619-BK619)/BK619)</f>
        <v>0</v>
      </c>
      <c r="CB619" s="32" t="n">
        <f aca="false">IF(BL619=0,IF(BT619=0,0,1),(BT619-BL619)/BL619)</f>
        <v>0</v>
      </c>
      <c r="CC619" s="32" t="n">
        <f aca="false">IF(BM619=0,IF(BU619=0,0,1),(BU619-BM619)/BM619)</f>
        <v>0</v>
      </c>
      <c r="CD619" s="32" t="n">
        <f aca="false">IF(BN619=0,IF(BV619=0,0,1),(BV619-BN619)/BN619)</f>
        <v>0</v>
      </c>
      <c r="CE619" s="32" t="n">
        <f aca="false">IF(BO619=0,IF(BW619=0,0,1),(BW619-BO619)/BO619)</f>
        <v>0</v>
      </c>
      <c r="CF619" s="32" t="n">
        <f aca="false">IF(BP619=0,IF(BX619=0,0,1),(BX619-BP619)/BP619)</f>
        <v>0</v>
      </c>
      <c r="CG619" s="32" t="n">
        <f aca="false">IF(BQ619=0,IF(BY619=0,0,1),(BY619-BQ619)/BQ619)</f>
        <v>0</v>
      </c>
      <c r="CH619" s="32" t="n">
        <f aca="false">MAX(MAX(BZ619:CG619),-MIN(BZ619:CG619))</f>
        <v>-0</v>
      </c>
      <c r="CI619" s="31" t="str">
        <f aca="false">IF(CO619="","",SUMIFS($CJ$7:$CJ$696,$A$7:$A$696,CO619,$B$7:$B$696,B619))</f>
        <v/>
      </c>
      <c r="CJ619" s="31" t="n">
        <f aca="false">SUM(AY619:BI619)</f>
        <v>1476544</v>
      </c>
      <c r="CK619" s="31" t="str">
        <f aca="false">IFERROR(INDEX(設定!$F$61:$F$106,MATCH(B619,設定!$B$61:$B$106,0)),"Y")</f>
        <v>N</v>
      </c>
      <c r="CL619" s="31" t="str">
        <f aca="false">IFERROR(INDEX(設定!$G$61:$G$106,MATCH(B619,設定!$B$61:$B$106,0)),"外郭型")</f>
        <v>外郭型</v>
      </c>
      <c r="CM619" s="33" t="str">
        <f aca="false">A619&amp;"|"&amp;B619</f>
        <v>2027-03 賞与|社会福祉事業団</v>
      </c>
      <c r="CN619" s="34" t="str">
        <f aca="false">IFERROR(INDEX(設定!$D$61:$D$106,MATCH(B619,設定!$B$61:$B$106,0)),"Y")</f>
        <v>Y</v>
      </c>
      <c r="CO619" s="34" t="str">
        <f aca="false">IFERROR(INDEX(設定!$D$20:$D$34,MATCH(A619,設定!$A$20:$A$34,0))&amp;"","")</f>
        <v/>
      </c>
    </row>
    <row r="620" customFormat="false" ht="15" hidden="true" customHeight="false" outlineLevel="0" collapsed="false">
      <c r="A620" s="22" t="s">
        <v>229</v>
      </c>
      <c r="B620" s="23" t="s">
        <v>184</v>
      </c>
      <c r="C620" s="10" t="str">
        <f aca="false">IF(G620="","未受領",IF(G620="なし","報告なし",IF(AL620="○","起票済",IF(OR(AK620="○",F620="一致",F620="入金不要"),"入金確認済","受領済"))))</f>
        <v>未受領</v>
      </c>
      <c r="D620" s="10" t="str">
        <f aca="false">IF(OR(G620="",G620="なし"),"―",IF(CN620="N","対象外",IF(AND(I620="",J620="",K620=""),"標報未入力",IF(CH620&gt;=設定!$B$4,"要確認","問題なし"))))</f>
        <v>―</v>
      </c>
      <c r="E620" s="24" t="str">
        <f aca="false">IF(OR(G620="",G620="なし",CI620="",CJ620=0),"―",IF(CJ620=CI620,"前月同額",IF(CI620=0,"―",IF(ABS(CJ620/CI620-1)&gt;=設定!$B$5,"変動大 "&amp;TEXT(CJ620/CI620-1,"+0%;-0%"),"〇"))))</f>
        <v>―</v>
      </c>
      <c r="F620" s="10" t="str">
        <f aca="false">IF(OR(G620="",G620="なし"),"―",IF(CJ620=0,"入金不要",IF(COUNT(AD620,AF620,AH620,AJ620)=0,IF(AK620="○","手動確認","未入金"),IF(AND(N(AD620)=AC620,IF(AE620="",TRUE(),N(AF620)=AE620),IF(AG620="",TRUE(),N(AH620)=AG620),IF(AI620="",TRUE(),N(AJ620)=AI620)),"一致","不一致"))))</f>
        <v>―</v>
      </c>
      <c r="G620" s="25"/>
      <c r="H620" s="26"/>
      <c r="I620" s="27"/>
      <c r="J620" s="27"/>
      <c r="K620" s="27"/>
      <c r="L620" s="27"/>
      <c r="M620" s="27"/>
      <c r="N620" s="27"/>
      <c r="O620" s="27"/>
      <c r="P620" s="27"/>
      <c r="Q620" s="27"/>
      <c r="R620" s="27"/>
      <c r="S620" s="27"/>
      <c r="T620" s="27"/>
      <c r="U620" s="27"/>
      <c r="V620" s="27"/>
      <c r="W620" s="27"/>
      <c r="X620" s="27"/>
      <c r="Y620" s="27"/>
      <c r="Z620" s="27"/>
      <c r="AA620" s="10" t="str">
        <f aca="false">IFERROR(INDEX(設定!$E$61:$E$106,MATCH(B620,設定!$B$61:$B$106,0)),"合算")</f>
        <v>合算</v>
      </c>
      <c r="AB620" s="28"/>
      <c r="AC620" s="29" t="str">
        <f aca="false">IF(OR(G620="",G620="なし"),"",IF(AA620="合算",CJ620+N(Z620),IF(AA620="掛金・負担金別",(AY620+AZ620+BD620+BF620+BH620),SUM(AY620:BC620))))</f>
        <v/>
      </c>
      <c r="AD620" s="27"/>
      <c r="AE620" s="29" t="str">
        <f aca="false">IF(OR(G620="",G620="なし"),"",IF(AA620="掛金・負担金別",(BA620+BB620+BC620+BE620+BG620+BI620+N(Z620)),IF(AA620="経理区分別",BD620+BE620,"")))</f>
        <v/>
      </c>
      <c r="AF620" s="27"/>
      <c r="AG620" s="29" t="str">
        <f aca="false">IF(OR(G620="",G620="なし"),"",IF(AA620="経理区分別",BF620+BG620,""))</f>
        <v/>
      </c>
      <c r="AH620" s="27"/>
      <c r="AI620" s="29" t="str">
        <f aca="false">IF(OR(G620="",G620="なし"),"",IF(AA620="経理区分別",BH620+BI620+N(Z620),""))</f>
        <v/>
      </c>
      <c r="AJ620" s="27"/>
      <c r="AK620" s="26"/>
      <c r="AL620" s="26"/>
      <c r="AM620" s="30"/>
      <c r="AN620" s="31"/>
      <c r="AO620" s="31"/>
      <c r="AP620" s="31" t="n">
        <v>22509</v>
      </c>
      <c r="AQ620" s="31" t="n">
        <v>1845</v>
      </c>
      <c r="AR620" s="31" t="n">
        <v>23</v>
      </c>
      <c r="AS620" s="31"/>
      <c r="AT620" s="31" t="n">
        <v>13557</v>
      </c>
      <c r="AU620" s="31"/>
      <c r="AV620" s="31" t="n">
        <v>1943</v>
      </c>
      <c r="AW620" s="31"/>
      <c r="AX620" s="31" t="n">
        <v>1</v>
      </c>
      <c r="AY620" s="31" t="n">
        <f aca="false">IF($G620="",AN620,O620)</f>
        <v>0</v>
      </c>
      <c r="AZ620" s="31" t="n">
        <f aca="false">IF($G620="",AO620,P620)</f>
        <v>0</v>
      </c>
      <c r="BA620" s="31" t="n">
        <f aca="false">IF($G620="",AP620,T620)</f>
        <v>22509</v>
      </c>
      <c r="BB620" s="31" t="n">
        <f aca="false">IF($G620="",AQ620,U620)</f>
        <v>1845</v>
      </c>
      <c r="BC620" s="31" t="n">
        <f aca="false">IF($G620="",AR620,V620)</f>
        <v>23</v>
      </c>
      <c r="BD620" s="31" t="n">
        <f aca="false">IF($G620="",AS620,Q620)</f>
        <v>0</v>
      </c>
      <c r="BE620" s="31" t="n">
        <f aca="false">IF($G620="",AT620,W620)</f>
        <v>13557</v>
      </c>
      <c r="BF620" s="31" t="n">
        <f aca="false">IF($G620="",AU620,R620)</f>
        <v>0</v>
      </c>
      <c r="BG620" s="31" t="n">
        <f aca="false">IF($G620="",AV620,X620)</f>
        <v>1943</v>
      </c>
      <c r="BH620" s="31" t="n">
        <f aca="false">IF($G620="",AW620,S620)</f>
        <v>0</v>
      </c>
      <c r="BI620" s="31" t="n">
        <f aca="false">IF($G620="",AX620,Y620)</f>
        <v>1</v>
      </c>
      <c r="BJ620" s="31" t="n">
        <f aca="false">IF(CK620="N",BR620,ROUNDDOWN((I620-L620)*設定!$B$10/1000,0)+ROUNDDOWN((I620-L620)*設定!$B$11/1000,0))</f>
        <v>0</v>
      </c>
      <c r="BK620" s="31" t="n">
        <f aca="false">ROUNDDOWN((I620-L620)*設定!$C$10/1000,0)+ROUNDDOWN((I620-L620)*設定!$C$11/1000,0)+ROUNDDOWN(I620*設定!$C$12/1000,0)+IF(CL620="市局型",ROUNDDOWN(I620*設定!$C$16/1000,0),0)</f>
        <v>0</v>
      </c>
      <c r="BL620" s="31" t="n">
        <f aca="false">IF(CK620="N",BT620,ROUNDDOWN((J620-M620)*設定!$B$13/1000,0))</f>
        <v>0</v>
      </c>
      <c r="BM620" s="31" t="n">
        <f aca="false">ROUNDDOWN((J620-M620)*設定!$C$13/1000,0)+IF(CL620="市局型",ROUNDDOWN(J620*設定!$C$17/1000,0),0)</f>
        <v>0</v>
      </c>
      <c r="BN620" s="31" t="n">
        <f aca="false">IF(CK620="N",BV620,ROUNDDOWN((K620-N620)*設定!$B$14/1000,0))</f>
        <v>0</v>
      </c>
      <c r="BO620" s="31" t="n">
        <f aca="false">ROUNDDOWN((K620-N620)*設定!$C$14/1000,0)</f>
        <v>0</v>
      </c>
      <c r="BP620" s="31" t="n">
        <f aca="false">IF(CK620="N",BX620,ROUNDDOWN((J620-M620)*設定!$B$15/1000,0))</f>
        <v>0</v>
      </c>
      <c r="BQ620" s="31" t="n">
        <f aca="false">ROUNDDOWN((J620-M620)*設定!$C$15/1000,0)</f>
        <v>0</v>
      </c>
      <c r="BR620" s="31" t="n">
        <f aca="false">O620+P620</f>
        <v>0</v>
      </c>
      <c r="BS620" s="31" t="n">
        <f aca="false">T620+U620+V620</f>
        <v>0</v>
      </c>
      <c r="BT620" s="31" t="n">
        <f aca="false">Q620</f>
        <v>0</v>
      </c>
      <c r="BU620" s="31" t="n">
        <f aca="false">W620</f>
        <v>0</v>
      </c>
      <c r="BV620" s="31" t="n">
        <f aca="false">R620</f>
        <v>0</v>
      </c>
      <c r="BW620" s="31" t="n">
        <f aca="false">X620</f>
        <v>0</v>
      </c>
      <c r="BX620" s="31" t="n">
        <f aca="false">S620</f>
        <v>0</v>
      </c>
      <c r="BY620" s="31" t="n">
        <f aca="false">Y620</f>
        <v>0</v>
      </c>
      <c r="BZ620" s="32" t="n">
        <f aca="false">IF(BJ620=0,IF(BR620=0,0,1),(BR620-BJ620)/BJ620)</f>
        <v>0</v>
      </c>
      <c r="CA620" s="32" t="n">
        <f aca="false">IF(BK620=0,IF(BS620=0,0,1),(BS620-BK620)/BK620)</f>
        <v>0</v>
      </c>
      <c r="CB620" s="32" t="n">
        <f aca="false">IF(BL620=0,IF(BT620=0,0,1),(BT620-BL620)/BL620)</f>
        <v>0</v>
      </c>
      <c r="CC620" s="32" t="n">
        <f aca="false">IF(BM620=0,IF(BU620=0,0,1),(BU620-BM620)/BM620)</f>
        <v>0</v>
      </c>
      <c r="CD620" s="32" t="n">
        <f aca="false">IF(BN620=0,IF(BV620=0,0,1),(BV620-BN620)/BN620)</f>
        <v>0</v>
      </c>
      <c r="CE620" s="32" t="n">
        <f aca="false">IF(BO620=0,IF(BW620=0,0,1),(BW620-BO620)/BO620)</f>
        <v>0</v>
      </c>
      <c r="CF620" s="32" t="n">
        <f aca="false">IF(BP620=0,IF(BX620=0,0,1),(BX620-BP620)/BP620)</f>
        <v>0</v>
      </c>
      <c r="CG620" s="32" t="n">
        <f aca="false">IF(BQ620=0,IF(BY620=0,0,1),(BY620-BQ620)/BQ620)</f>
        <v>0</v>
      </c>
      <c r="CH620" s="32" t="n">
        <f aca="false">MAX(MAX(BZ620:CG620),-MIN(BZ620:CG620))</f>
        <v>-0</v>
      </c>
      <c r="CI620" s="31" t="str">
        <f aca="false">IF(CO620="","",SUMIFS($CJ$7:$CJ$696,$A$7:$A$696,CO620,$B$7:$B$696,B620))</f>
        <v/>
      </c>
      <c r="CJ620" s="31" t="n">
        <f aca="false">SUM(AY620:BI620)</f>
        <v>39878</v>
      </c>
      <c r="CK620" s="31" t="str">
        <f aca="false">IFERROR(INDEX(設定!$F$61:$F$106,MATCH(B620,設定!$B$61:$B$106,0)),"Y")</f>
        <v>N</v>
      </c>
      <c r="CL620" s="31" t="str">
        <f aca="false">IFERROR(INDEX(設定!$G$61:$G$106,MATCH(B620,設定!$B$61:$B$106,0)),"外郭型")</f>
        <v>外郭型</v>
      </c>
      <c r="CM620" s="33" t="str">
        <f aca="false">A620&amp;"|"&amp;B620</f>
        <v>2027-03 賞与|原爆障害対策協議会</v>
      </c>
      <c r="CN620" s="34" t="str">
        <f aca="false">IFERROR(INDEX(設定!$D$61:$D$106,MATCH(B620,設定!$B$61:$B$106,0)),"Y")</f>
        <v>Y</v>
      </c>
      <c r="CO620" s="34" t="str">
        <f aca="false">IFERROR(INDEX(設定!$D$20:$D$34,MATCH(A620,設定!$A$20:$A$34,0))&amp;"","")</f>
        <v/>
      </c>
    </row>
    <row r="621" customFormat="false" ht="15" hidden="true" customHeight="false" outlineLevel="0" collapsed="false">
      <c r="A621" s="22" t="s">
        <v>229</v>
      </c>
      <c r="B621" s="23" t="s">
        <v>185</v>
      </c>
      <c r="C621" s="10" t="str">
        <f aca="false">IF(G621="","未受領",IF(G621="なし","報告なし",IF(AL621="○","起票済",IF(OR(AK621="○",F621="一致",F621="入金不要"),"入金確認済","受領済"))))</f>
        <v>未受領</v>
      </c>
      <c r="D621" s="10" t="str">
        <f aca="false">IF(OR(G621="",G621="なし"),"―",IF(CN621="N","対象外",IF(AND(I621="",J621="",K621=""),"標報未入力",IF(CH621&gt;=設定!$B$4,"要確認","問題なし"))))</f>
        <v>―</v>
      </c>
      <c r="E621" s="24" t="str">
        <f aca="false">IF(OR(G621="",G621="なし",CI621="",CJ621=0),"―",IF(CJ621=CI621,"前月同額",IF(CI621=0,"―",IF(ABS(CJ621/CI621-1)&gt;=設定!$B$5,"変動大 "&amp;TEXT(CJ621/CI621-1,"+0%;-0%"),"〇"))))</f>
        <v>―</v>
      </c>
      <c r="F621" s="10" t="str">
        <f aca="false">IF(OR(G621="",G621="なし"),"―",IF(CJ621=0,"入金不要",IF(COUNT(AD621,AF621,AH621,AJ621)=0,IF(AK621="○","手動確認","未入金"),IF(AND(N(AD621)=AC621,IF(AE621="",TRUE(),N(AF621)=AE621),IF(AG621="",TRUE(),N(AH621)=AG621),IF(AI621="",TRUE(),N(AJ621)=AI621)),"一致","不一致"))))</f>
        <v>―</v>
      </c>
      <c r="G621" s="25"/>
      <c r="H621" s="26"/>
      <c r="I621" s="27"/>
      <c r="J621" s="27"/>
      <c r="K621" s="27"/>
      <c r="L621" s="27"/>
      <c r="M621" s="27"/>
      <c r="N621" s="27"/>
      <c r="O621" s="27"/>
      <c r="P621" s="27"/>
      <c r="Q621" s="27"/>
      <c r="R621" s="27"/>
      <c r="S621" s="27"/>
      <c r="T621" s="27"/>
      <c r="U621" s="27"/>
      <c r="V621" s="27"/>
      <c r="W621" s="27"/>
      <c r="X621" s="27"/>
      <c r="Y621" s="27"/>
      <c r="Z621" s="27"/>
      <c r="AA621" s="10" t="str">
        <f aca="false">IFERROR(INDEX(設定!$E$61:$E$106,MATCH(B621,設定!$B$61:$B$106,0)),"合算")</f>
        <v>合算</v>
      </c>
      <c r="AB621" s="28"/>
      <c r="AC621" s="29" t="str">
        <f aca="false">IF(OR(G621="",G621="なし"),"",IF(AA621="合算",CJ621+N(Z621),IF(AA621="掛金・負担金別",(AY621+AZ621+BD621+BF621+BH621),SUM(AY621:BC621))))</f>
        <v/>
      </c>
      <c r="AD621" s="27"/>
      <c r="AE621" s="29" t="str">
        <f aca="false">IF(OR(G621="",G621="なし"),"",IF(AA621="掛金・負担金別",(BA621+BB621+BC621+BE621+BG621+BI621+N(Z621)),IF(AA621="経理区分別",BD621+BE621,"")))</f>
        <v/>
      </c>
      <c r="AF621" s="27"/>
      <c r="AG621" s="29" t="str">
        <f aca="false">IF(OR(G621="",G621="なし"),"",IF(AA621="経理区分別",BF621+BG621,""))</f>
        <v/>
      </c>
      <c r="AH621" s="27"/>
      <c r="AI621" s="29" t="str">
        <f aca="false">IF(OR(G621="",G621="なし"),"",IF(AA621="経理区分別",BH621+BI621+N(Z621),""))</f>
        <v/>
      </c>
      <c r="AJ621" s="27"/>
      <c r="AK621" s="26"/>
      <c r="AL621" s="26"/>
      <c r="AM621" s="30"/>
      <c r="AN621" s="31"/>
      <c r="AO621" s="31"/>
      <c r="AP621" s="31" t="n">
        <v>185656</v>
      </c>
      <c r="AQ621" s="31" t="n">
        <v>15217</v>
      </c>
      <c r="AR621" s="31" t="n">
        <v>190</v>
      </c>
      <c r="AS621" s="31"/>
      <c r="AT621" s="31" t="n">
        <v>111817</v>
      </c>
      <c r="AU621" s="31"/>
      <c r="AV621" s="31" t="n">
        <v>15064</v>
      </c>
      <c r="AW621" s="31"/>
      <c r="AX621" s="31" t="n">
        <v>1</v>
      </c>
      <c r="AY621" s="31" t="n">
        <f aca="false">IF($G621="",AN621,O621)</f>
        <v>0</v>
      </c>
      <c r="AZ621" s="31" t="n">
        <f aca="false">IF($G621="",AO621,P621)</f>
        <v>0</v>
      </c>
      <c r="BA621" s="31" t="n">
        <f aca="false">IF($G621="",AP621,T621)</f>
        <v>185656</v>
      </c>
      <c r="BB621" s="31" t="n">
        <f aca="false">IF($G621="",AQ621,U621)</f>
        <v>15217</v>
      </c>
      <c r="BC621" s="31" t="n">
        <f aca="false">IF($G621="",AR621,V621)</f>
        <v>190</v>
      </c>
      <c r="BD621" s="31" t="n">
        <f aca="false">IF($G621="",AS621,Q621)</f>
        <v>0</v>
      </c>
      <c r="BE621" s="31" t="n">
        <f aca="false">IF($G621="",AT621,W621)</f>
        <v>111817</v>
      </c>
      <c r="BF621" s="31" t="n">
        <f aca="false">IF($G621="",AU621,R621)</f>
        <v>0</v>
      </c>
      <c r="BG621" s="31" t="n">
        <f aca="false">IF($G621="",AV621,X621)</f>
        <v>15064</v>
      </c>
      <c r="BH621" s="31" t="n">
        <f aca="false">IF($G621="",AW621,S621)</f>
        <v>0</v>
      </c>
      <c r="BI621" s="31" t="n">
        <f aca="false">IF($G621="",AX621,Y621)</f>
        <v>1</v>
      </c>
      <c r="BJ621" s="31" t="n">
        <f aca="false">IF(CK621="N",BR621,ROUNDDOWN((I621-L621)*設定!$B$10/1000,0)+ROUNDDOWN((I621-L621)*設定!$B$11/1000,0))</f>
        <v>0</v>
      </c>
      <c r="BK621" s="31" t="n">
        <f aca="false">ROUNDDOWN((I621-L621)*設定!$C$10/1000,0)+ROUNDDOWN((I621-L621)*設定!$C$11/1000,0)+ROUNDDOWN(I621*設定!$C$12/1000,0)+IF(CL621="市局型",ROUNDDOWN(I621*設定!$C$16/1000,0),0)</f>
        <v>0</v>
      </c>
      <c r="BL621" s="31" t="n">
        <f aca="false">IF(CK621="N",BT621,ROUNDDOWN((J621-M621)*設定!$B$13/1000,0))</f>
        <v>0</v>
      </c>
      <c r="BM621" s="31" t="n">
        <f aca="false">ROUNDDOWN((J621-M621)*設定!$C$13/1000,0)+IF(CL621="市局型",ROUNDDOWN(J621*設定!$C$17/1000,0),0)</f>
        <v>0</v>
      </c>
      <c r="BN621" s="31" t="n">
        <f aca="false">IF(CK621="N",BV621,ROUNDDOWN((K621-N621)*設定!$B$14/1000,0))</f>
        <v>0</v>
      </c>
      <c r="BO621" s="31" t="n">
        <f aca="false">ROUNDDOWN((K621-N621)*設定!$C$14/1000,0)</f>
        <v>0</v>
      </c>
      <c r="BP621" s="31" t="n">
        <f aca="false">IF(CK621="N",BX621,ROUNDDOWN((J621-M621)*設定!$B$15/1000,0))</f>
        <v>0</v>
      </c>
      <c r="BQ621" s="31" t="n">
        <f aca="false">ROUNDDOWN((J621-M621)*設定!$C$15/1000,0)</f>
        <v>0</v>
      </c>
      <c r="BR621" s="31" t="n">
        <f aca="false">O621+P621</f>
        <v>0</v>
      </c>
      <c r="BS621" s="31" t="n">
        <f aca="false">T621+U621+V621</f>
        <v>0</v>
      </c>
      <c r="BT621" s="31" t="n">
        <f aca="false">Q621</f>
        <v>0</v>
      </c>
      <c r="BU621" s="31" t="n">
        <f aca="false">W621</f>
        <v>0</v>
      </c>
      <c r="BV621" s="31" t="n">
        <f aca="false">R621</f>
        <v>0</v>
      </c>
      <c r="BW621" s="31" t="n">
        <f aca="false">X621</f>
        <v>0</v>
      </c>
      <c r="BX621" s="31" t="n">
        <f aca="false">S621</f>
        <v>0</v>
      </c>
      <c r="BY621" s="31" t="n">
        <f aca="false">Y621</f>
        <v>0</v>
      </c>
      <c r="BZ621" s="32" t="n">
        <f aca="false">IF(BJ621=0,IF(BR621=0,0,1),(BR621-BJ621)/BJ621)</f>
        <v>0</v>
      </c>
      <c r="CA621" s="32" t="n">
        <f aca="false">IF(BK621=0,IF(BS621=0,0,1),(BS621-BK621)/BK621)</f>
        <v>0</v>
      </c>
      <c r="CB621" s="32" t="n">
        <f aca="false">IF(BL621=0,IF(BT621=0,0,1),(BT621-BL621)/BL621)</f>
        <v>0</v>
      </c>
      <c r="CC621" s="32" t="n">
        <f aca="false">IF(BM621=0,IF(BU621=0,0,1),(BU621-BM621)/BM621)</f>
        <v>0</v>
      </c>
      <c r="CD621" s="32" t="n">
        <f aca="false">IF(BN621=0,IF(BV621=0,0,1),(BV621-BN621)/BN621)</f>
        <v>0</v>
      </c>
      <c r="CE621" s="32" t="n">
        <f aca="false">IF(BO621=0,IF(BW621=0,0,1),(BW621-BO621)/BO621)</f>
        <v>0</v>
      </c>
      <c r="CF621" s="32" t="n">
        <f aca="false">IF(BP621=0,IF(BX621=0,0,1),(BX621-BP621)/BP621)</f>
        <v>0</v>
      </c>
      <c r="CG621" s="32" t="n">
        <f aca="false">IF(BQ621=0,IF(BY621=0,0,1),(BY621-BQ621)/BQ621)</f>
        <v>0</v>
      </c>
      <c r="CH621" s="32" t="n">
        <f aca="false">MAX(MAX(BZ621:CG621),-MIN(BZ621:CG621))</f>
        <v>-0</v>
      </c>
      <c r="CI621" s="31" t="str">
        <f aca="false">IF(CO621="","",SUMIFS($CJ$7:$CJ$696,$A$7:$A$696,CO621,$B$7:$B$696,B621))</f>
        <v/>
      </c>
      <c r="CJ621" s="31" t="n">
        <f aca="false">SUM(AY621:BI621)</f>
        <v>327945</v>
      </c>
      <c r="CK621" s="31" t="str">
        <f aca="false">IFERROR(INDEX(設定!$F$61:$F$106,MATCH(B621,設定!$B$61:$B$106,0)),"Y")</f>
        <v>N</v>
      </c>
      <c r="CL621" s="31" t="str">
        <f aca="false">IFERROR(INDEX(設定!$G$61:$G$106,MATCH(B621,設定!$B$61:$B$106,0)),"外郭型")</f>
        <v>外郭型</v>
      </c>
      <c r="CM621" s="33" t="str">
        <f aca="false">A621&amp;"|"&amp;B621</f>
        <v>2027-03 賞与|産業振興センター</v>
      </c>
      <c r="CN621" s="34" t="str">
        <f aca="false">IFERROR(INDEX(設定!$D$61:$D$106,MATCH(B621,設定!$B$61:$B$106,0)),"Y")</f>
        <v>Y</v>
      </c>
      <c r="CO621" s="34" t="str">
        <f aca="false">IFERROR(INDEX(設定!$D$20:$D$34,MATCH(A621,設定!$A$20:$A$34,0))&amp;"","")</f>
        <v/>
      </c>
    </row>
    <row r="622" customFormat="false" ht="15" hidden="true" customHeight="false" outlineLevel="0" collapsed="false">
      <c r="A622" s="22" t="s">
        <v>229</v>
      </c>
      <c r="B622" s="23" t="s">
        <v>186</v>
      </c>
      <c r="C622" s="10" t="str">
        <f aca="false">IF(G622="","未受領",IF(G622="なし","報告なし",IF(AL622="○","起票済",IF(OR(AK622="○",F622="一致",F622="入金不要"),"入金確認済","受領済"))))</f>
        <v>未受領</v>
      </c>
      <c r="D622" s="10" t="str">
        <f aca="false">IF(OR(G622="",G622="なし"),"―",IF(CN622="N","対象外",IF(AND(I622="",J622="",K622=""),"標報未入力",IF(CH622&gt;=設定!$B$4,"要確認","問題なし"))))</f>
        <v>―</v>
      </c>
      <c r="E622" s="24" t="str">
        <f aca="false">IF(OR(G622="",G622="なし",CI622="",CJ622=0),"―",IF(CJ622=CI622,"前月同額",IF(CI622=0,"―",IF(ABS(CJ622/CI622-1)&gt;=設定!$B$5,"変動大 "&amp;TEXT(CJ622/CI622-1,"+0%;-0%"),"〇"))))</f>
        <v>―</v>
      </c>
      <c r="F622" s="10" t="str">
        <f aca="false">IF(OR(G622="",G622="なし"),"―",IF(CJ622=0,"入金不要",IF(COUNT(AD622,AF622,AH622,AJ622)=0,IF(AK622="○","手動確認","未入金"),IF(AND(N(AD622)=AC622,IF(AE622="",TRUE(),N(AF622)=AE622),IF(AG622="",TRUE(),N(AH622)=AG622),IF(AI622="",TRUE(),N(AJ622)=AI622)),"一致","不一致"))))</f>
        <v>―</v>
      </c>
      <c r="G622" s="25"/>
      <c r="H622" s="26"/>
      <c r="I622" s="27"/>
      <c r="J622" s="27"/>
      <c r="K622" s="27"/>
      <c r="L622" s="27"/>
      <c r="M622" s="27"/>
      <c r="N622" s="27"/>
      <c r="O622" s="27"/>
      <c r="P622" s="27"/>
      <c r="Q622" s="27"/>
      <c r="R622" s="27"/>
      <c r="S622" s="27"/>
      <c r="T622" s="27"/>
      <c r="U622" s="27"/>
      <c r="V622" s="27"/>
      <c r="W622" s="27"/>
      <c r="X622" s="27"/>
      <c r="Y622" s="27"/>
      <c r="Z622" s="27"/>
      <c r="AA622" s="10" t="str">
        <f aca="false">IFERROR(INDEX(設定!$E$61:$E$106,MATCH(B622,設定!$B$61:$B$106,0)),"合算")</f>
        <v>合算</v>
      </c>
      <c r="AB622" s="28"/>
      <c r="AC622" s="29" t="str">
        <f aca="false">IF(OR(G622="",G622="なし"),"",IF(AA622="合算",CJ622+N(Z622),IF(AA622="掛金・負担金別",(AY622+AZ622+BD622+BF622+BH622),SUM(AY622:BC622))))</f>
        <v/>
      </c>
      <c r="AD622" s="27"/>
      <c r="AE622" s="29" t="str">
        <f aca="false">IF(OR(G622="",G622="なし"),"",IF(AA622="掛金・負担金別",(BA622+BB622+BC622+BE622+BG622+BI622+N(Z622)),IF(AA622="経理区分別",BD622+BE622,"")))</f>
        <v/>
      </c>
      <c r="AF622" s="27"/>
      <c r="AG622" s="29" t="str">
        <f aca="false">IF(OR(G622="",G622="なし"),"",IF(AA622="経理区分別",BF622+BG622,""))</f>
        <v/>
      </c>
      <c r="AH622" s="27"/>
      <c r="AI622" s="29" t="str">
        <f aca="false">IF(OR(G622="",G622="なし"),"",IF(AA622="経理区分別",BH622+BI622+N(Z622),""))</f>
        <v/>
      </c>
      <c r="AJ622" s="27"/>
      <c r="AK622" s="26"/>
      <c r="AL622" s="26"/>
      <c r="AM622" s="30"/>
      <c r="AN622" s="31"/>
      <c r="AO622" s="31"/>
      <c r="AP622" s="31" t="n">
        <v>40352</v>
      </c>
      <c r="AQ622" s="31" t="n">
        <v>3307</v>
      </c>
      <c r="AR622" s="31" t="n">
        <v>41</v>
      </c>
      <c r="AS622" s="31"/>
      <c r="AT622" s="31" t="n">
        <v>24303</v>
      </c>
      <c r="AU622" s="31"/>
      <c r="AV622" s="31" t="n">
        <v>3483</v>
      </c>
      <c r="AW622" s="31"/>
      <c r="AX622" s="31" t="n">
        <v>1</v>
      </c>
      <c r="AY622" s="31" t="n">
        <f aca="false">IF($G622="",AN622,O622)</f>
        <v>0</v>
      </c>
      <c r="AZ622" s="31" t="n">
        <f aca="false">IF($G622="",AO622,P622)</f>
        <v>0</v>
      </c>
      <c r="BA622" s="31" t="n">
        <f aca="false">IF($G622="",AP622,T622)</f>
        <v>40352</v>
      </c>
      <c r="BB622" s="31" t="n">
        <f aca="false">IF($G622="",AQ622,U622)</f>
        <v>3307</v>
      </c>
      <c r="BC622" s="31" t="n">
        <f aca="false">IF($G622="",AR622,V622)</f>
        <v>41</v>
      </c>
      <c r="BD622" s="31" t="n">
        <f aca="false">IF($G622="",AS622,Q622)</f>
        <v>0</v>
      </c>
      <c r="BE622" s="31" t="n">
        <f aca="false">IF($G622="",AT622,W622)</f>
        <v>24303</v>
      </c>
      <c r="BF622" s="31" t="n">
        <f aca="false">IF($G622="",AU622,R622)</f>
        <v>0</v>
      </c>
      <c r="BG622" s="31" t="n">
        <f aca="false">IF($G622="",AV622,X622)</f>
        <v>3483</v>
      </c>
      <c r="BH622" s="31" t="n">
        <f aca="false">IF($G622="",AW622,S622)</f>
        <v>0</v>
      </c>
      <c r="BI622" s="31" t="n">
        <f aca="false">IF($G622="",AX622,Y622)</f>
        <v>1</v>
      </c>
      <c r="BJ622" s="31" t="n">
        <f aca="false">IF(CK622="N",BR622,ROUNDDOWN((I622-L622)*設定!$B$10/1000,0)+ROUNDDOWN((I622-L622)*設定!$B$11/1000,0))</f>
        <v>0</v>
      </c>
      <c r="BK622" s="31" t="n">
        <f aca="false">ROUNDDOWN((I622-L622)*設定!$C$10/1000,0)+ROUNDDOWN((I622-L622)*設定!$C$11/1000,0)+ROUNDDOWN(I622*設定!$C$12/1000,0)+IF(CL622="市局型",ROUNDDOWN(I622*設定!$C$16/1000,0),0)</f>
        <v>0</v>
      </c>
      <c r="BL622" s="31" t="n">
        <f aca="false">IF(CK622="N",BT622,ROUNDDOWN((J622-M622)*設定!$B$13/1000,0))</f>
        <v>0</v>
      </c>
      <c r="BM622" s="31" t="n">
        <f aca="false">ROUNDDOWN((J622-M622)*設定!$C$13/1000,0)+IF(CL622="市局型",ROUNDDOWN(J622*設定!$C$17/1000,0),0)</f>
        <v>0</v>
      </c>
      <c r="BN622" s="31" t="n">
        <f aca="false">IF(CK622="N",BV622,ROUNDDOWN((K622-N622)*設定!$B$14/1000,0))</f>
        <v>0</v>
      </c>
      <c r="BO622" s="31" t="n">
        <f aca="false">ROUNDDOWN((K622-N622)*設定!$C$14/1000,0)</f>
        <v>0</v>
      </c>
      <c r="BP622" s="31" t="n">
        <f aca="false">IF(CK622="N",BX622,ROUNDDOWN((J622-M622)*設定!$B$15/1000,0))</f>
        <v>0</v>
      </c>
      <c r="BQ622" s="31" t="n">
        <f aca="false">ROUNDDOWN((J622-M622)*設定!$C$15/1000,0)</f>
        <v>0</v>
      </c>
      <c r="BR622" s="31" t="n">
        <f aca="false">O622+P622</f>
        <v>0</v>
      </c>
      <c r="BS622" s="31" t="n">
        <f aca="false">T622+U622+V622</f>
        <v>0</v>
      </c>
      <c r="BT622" s="31" t="n">
        <f aca="false">Q622</f>
        <v>0</v>
      </c>
      <c r="BU622" s="31" t="n">
        <f aca="false">W622</f>
        <v>0</v>
      </c>
      <c r="BV622" s="31" t="n">
        <f aca="false">R622</f>
        <v>0</v>
      </c>
      <c r="BW622" s="31" t="n">
        <f aca="false">X622</f>
        <v>0</v>
      </c>
      <c r="BX622" s="31" t="n">
        <f aca="false">S622</f>
        <v>0</v>
      </c>
      <c r="BY622" s="31" t="n">
        <f aca="false">Y622</f>
        <v>0</v>
      </c>
      <c r="BZ622" s="32" t="n">
        <f aca="false">IF(BJ622=0,IF(BR622=0,0,1),(BR622-BJ622)/BJ622)</f>
        <v>0</v>
      </c>
      <c r="CA622" s="32" t="n">
        <f aca="false">IF(BK622=0,IF(BS622=0,0,1),(BS622-BK622)/BK622)</f>
        <v>0</v>
      </c>
      <c r="CB622" s="32" t="n">
        <f aca="false">IF(BL622=0,IF(BT622=0,0,1),(BT622-BL622)/BL622)</f>
        <v>0</v>
      </c>
      <c r="CC622" s="32" t="n">
        <f aca="false">IF(BM622=0,IF(BU622=0,0,1),(BU622-BM622)/BM622)</f>
        <v>0</v>
      </c>
      <c r="CD622" s="32" t="n">
        <f aca="false">IF(BN622=0,IF(BV622=0,0,1),(BV622-BN622)/BN622)</f>
        <v>0</v>
      </c>
      <c r="CE622" s="32" t="n">
        <f aca="false">IF(BO622=0,IF(BW622=0,0,1),(BW622-BO622)/BO622)</f>
        <v>0</v>
      </c>
      <c r="CF622" s="32" t="n">
        <f aca="false">IF(BP622=0,IF(BX622=0,0,1),(BX622-BP622)/BP622)</f>
        <v>0</v>
      </c>
      <c r="CG622" s="32" t="n">
        <f aca="false">IF(BQ622=0,IF(BY622=0,0,1),(BY622-BQ622)/BQ622)</f>
        <v>0</v>
      </c>
      <c r="CH622" s="32" t="n">
        <f aca="false">MAX(MAX(BZ622:CG622),-MIN(BZ622:CG622))</f>
        <v>-0</v>
      </c>
      <c r="CI622" s="31" t="str">
        <f aca="false">IF(CO622="","",SUMIFS($CJ$7:$CJ$696,$A$7:$A$696,CO622,$B$7:$B$696,B622))</f>
        <v/>
      </c>
      <c r="CJ622" s="31" t="n">
        <f aca="false">SUM(AY622:BI622)</f>
        <v>71487</v>
      </c>
      <c r="CK622" s="31" t="str">
        <f aca="false">IFERROR(INDEX(設定!$F$61:$F$106,MATCH(B622,設定!$B$61:$B$106,0)),"Y")</f>
        <v>N</v>
      </c>
      <c r="CL622" s="31" t="str">
        <f aca="false">IFERROR(INDEX(設定!$G$61:$G$106,MATCH(B622,設定!$B$61:$B$106,0)),"外郭型")</f>
        <v>外郭型</v>
      </c>
      <c r="CM622" s="33" t="str">
        <f aca="false">A622&amp;"|"&amp;B622</f>
        <v>2027-03 賞与|ひろしま産業振興</v>
      </c>
      <c r="CN622" s="34" t="str">
        <f aca="false">IFERROR(INDEX(設定!$D$61:$D$106,MATCH(B622,設定!$B$61:$B$106,0)),"Y")</f>
        <v>Y</v>
      </c>
      <c r="CO622" s="34" t="str">
        <f aca="false">IFERROR(INDEX(設定!$D$20:$D$34,MATCH(A622,設定!$A$20:$A$34,0))&amp;"","")</f>
        <v/>
      </c>
    </row>
    <row r="623" customFormat="false" ht="15" hidden="true" customHeight="false" outlineLevel="0" collapsed="false">
      <c r="A623" s="22" t="s">
        <v>229</v>
      </c>
      <c r="B623" s="23" t="s">
        <v>187</v>
      </c>
      <c r="C623" s="10" t="str">
        <f aca="false">IF(G623="","未受領",IF(G623="なし","報告なし",IF(AL623="○","起票済",IF(OR(AK623="○",F623="一致",F623="入金不要"),"入金確認済","受領済"))))</f>
        <v>未受領</v>
      </c>
      <c r="D623" s="10" t="str">
        <f aca="false">IF(OR(G623="",G623="なし"),"―",IF(CN623="N","対象外",IF(AND(I623="",J623="",K623=""),"標報未入力",IF(CH623&gt;=設定!$B$4,"要確認","問題なし"))))</f>
        <v>―</v>
      </c>
      <c r="E623" s="24" t="str">
        <f aca="false">IF(OR(G623="",G623="なし",CI623="",CJ623=0),"―",IF(CJ623=CI623,"前月同額",IF(CI623=0,"―",IF(ABS(CJ623/CI623-1)&gt;=設定!$B$5,"変動大 "&amp;TEXT(CJ623/CI623-1,"+0%;-0%"),"〇"))))</f>
        <v>―</v>
      </c>
      <c r="F623" s="10" t="str">
        <f aca="false">IF(OR(G623="",G623="なし"),"―",IF(CJ623=0,"入金不要",IF(COUNT(AD623,AF623,AH623,AJ623)=0,IF(AK623="○","手動確認","未入金"),IF(AND(N(AD623)=AC623,IF(AE623="",TRUE(),N(AF623)=AE623),IF(AG623="",TRUE(),N(AH623)=AG623),IF(AI623="",TRUE(),N(AJ623)=AI623)),"一致","不一致"))))</f>
        <v>―</v>
      </c>
      <c r="G623" s="25"/>
      <c r="H623" s="26"/>
      <c r="I623" s="27"/>
      <c r="J623" s="27"/>
      <c r="K623" s="27"/>
      <c r="L623" s="27"/>
      <c r="M623" s="27"/>
      <c r="N623" s="27"/>
      <c r="O623" s="27"/>
      <c r="P623" s="27"/>
      <c r="Q623" s="27"/>
      <c r="R623" s="27"/>
      <c r="S623" s="27"/>
      <c r="T623" s="27"/>
      <c r="U623" s="27"/>
      <c r="V623" s="27"/>
      <c r="W623" s="27"/>
      <c r="X623" s="27"/>
      <c r="Y623" s="27"/>
      <c r="Z623" s="27"/>
      <c r="AA623" s="10" t="str">
        <f aca="false">IFERROR(INDEX(設定!$E$61:$E$106,MATCH(B623,設定!$B$61:$B$106,0)),"合算")</f>
        <v>合算</v>
      </c>
      <c r="AB623" s="28"/>
      <c r="AC623" s="29" t="str">
        <f aca="false">IF(OR(G623="",G623="なし"),"",IF(AA623="合算",CJ623+N(Z623),IF(AA623="掛金・負担金別",(AY623+AZ623+BD623+BF623+BH623),SUM(AY623:BC623))))</f>
        <v/>
      </c>
      <c r="AD623" s="27"/>
      <c r="AE623" s="29" t="str">
        <f aca="false">IF(OR(G623="",G623="なし"),"",IF(AA623="掛金・負担金別",(BA623+BB623+BC623+BE623+BG623+BI623+N(Z623)),IF(AA623="経理区分別",BD623+BE623,"")))</f>
        <v/>
      </c>
      <c r="AF623" s="27"/>
      <c r="AG623" s="29" t="str">
        <f aca="false">IF(OR(G623="",G623="なし"),"",IF(AA623="経理区分別",BF623+BG623,""))</f>
        <v/>
      </c>
      <c r="AH623" s="27"/>
      <c r="AI623" s="29" t="str">
        <f aca="false">IF(OR(G623="",G623="なし"),"",IF(AA623="経理区分別",BH623+BI623+N(Z623),""))</f>
        <v/>
      </c>
      <c r="AJ623" s="27"/>
      <c r="AK623" s="26"/>
      <c r="AL623" s="26"/>
      <c r="AM623" s="30"/>
      <c r="AN623" s="31"/>
      <c r="AO623" s="31"/>
      <c r="AP623" s="31" t="n">
        <v>22143</v>
      </c>
      <c r="AQ623" s="31" t="n">
        <v>1815</v>
      </c>
      <c r="AR623" s="31" t="n">
        <v>22</v>
      </c>
      <c r="AS623" s="31"/>
      <c r="AT623" s="31" t="n">
        <v>13336</v>
      </c>
      <c r="AU623" s="31"/>
      <c r="AV623" s="31" t="n">
        <v>1911</v>
      </c>
      <c r="AW623" s="31"/>
      <c r="AX623" s="31" t="n">
        <v>1</v>
      </c>
      <c r="AY623" s="31" t="n">
        <f aca="false">IF($G623="",AN623,O623)</f>
        <v>0</v>
      </c>
      <c r="AZ623" s="31" t="n">
        <f aca="false">IF($G623="",AO623,P623)</f>
        <v>0</v>
      </c>
      <c r="BA623" s="31" t="n">
        <f aca="false">IF($G623="",AP623,T623)</f>
        <v>22143</v>
      </c>
      <c r="BB623" s="31" t="n">
        <f aca="false">IF($G623="",AQ623,U623)</f>
        <v>1815</v>
      </c>
      <c r="BC623" s="31" t="n">
        <f aca="false">IF($G623="",AR623,V623)</f>
        <v>22</v>
      </c>
      <c r="BD623" s="31" t="n">
        <f aca="false">IF($G623="",AS623,Q623)</f>
        <v>0</v>
      </c>
      <c r="BE623" s="31" t="n">
        <f aca="false">IF($G623="",AT623,W623)</f>
        <v>13336</v>
      </c>
      <c r="BF623" s="31" t="n">
        <f aca="false">IF($G623="",AU623,R623)</f>
        <v>0</v>
      </c>
      <c r="BG623" s="31" t="n">
        <f aca="false">IF($G623="",AV623,X623)</f>
        <v>1911</v>
      </c>
      <c r="BH623" s="31" t="n">
        <f aca="false">IF($G623="",AW623,S623)</f>
        <v>0</v>
      </c>
      <c r="BI623" s="31" t="n">
        <f aca="false">IF($G623="",AX623,Y623)</f>
        <v>1</v>
      </c>
      <c r="BJ623" s="31" t="n">
        <f aca="false">IF(CK623="N",BR623,ROUNDDOWN((I623-L623)*設定!$B$10/1000,0)+ROUNDDOWN((I623-L623)*設定!$B$11/1000,0))</f>
        <v>0</v>
      </c>
      <c r="BK623" s="31" t="n">
        <f aca="false">ROUNDDOWN((I623-L623)*設定!$C$10/1000,0)+ROUNDDOWN((I623-L623)*設定!$C$11/1000,0)+ROUNDDOWN(I623*設定!$C$12/1000,0)+IF(CL623="市局型",ROUNDDOWN(I623*設定!$C$16/1000,0),0)</f>
        <v>0</v>
      </c>
      <c r="BL623" s="31" t="n">
        <f aca="false">IF(CK623="N",BT623,ROUNDDOWN((J623-M623)*設定!$B$13/1000,0))</f>
        <v>0</v>
      </c>
      <c r="BM623" s="31" t="n">
        <f aca="false">ROUNDDOWN((J623-M623)*設定!$C$13/1000,0)+IF(CL623="市局型",ROUNDDOWN(J623*設定!$C$17/1000,0),0)</f>
        <v>0</v>
      </c>
      <c r="BN623" s="31" t="n">
        <f aca="false">IF(CK623="N",BV623,ROUNDDOWN((K623-N623)*設定!$B$14/1000,0))</f>
        <v>0</v>
      </c>
      <c r="BO623" s="31" t="n">
        <f aca="false">ROUNDDOWN((K623-N623)*設定!$C$14/1000,0)</f>
        <v>0</v>
      </c>
      <c r="BP623" s="31" t="n">
        <f aca="false">IF(CK623="N",BX623,ROUNDDOWN((J623-M623)*設定!$B$15/1000,0))</f>
        <v>0</v>
      </c>
      <c r="BQ623" s="31" t="n">
        <f aca="false">ROUNDDOWN((J623-M623)*設定!$C$15/1000,0)</f>
        <v>0</v>
      </c>
      <c r="BR623" s="31" t="n">
        <f aca="false">O623+P623</f>
        <v>0</v>
      </c>
      <c r="BS623" s="31" t="n">
        <f aca="false">T623+U623+V623</f>
        <v>0</v>
      </c>
      <c r="BT623" s="31" t="n">
        <f aca="false">Q623</f>
        <v>0</v>
      </c>
      <c r="BU623" s="31" t="n">
        <f aca="false">W623</f>
        <v>0</v>
      </c>
      <c r="BV623" s="31" t="n">
        <f aca="false">R623</f>
        <v>0</v>
      </c>
      <c r="BW623" s="31" t="n">
        <f aca="false">X623</f>
        <v>0</v>
      </c>
      <c r="BX623" s="31" t="n">
        <f aca="false">S623</f>
        <v>0</v>
      </c>
      <c r="BY623" s="31" t="n">
        <f aca="false">Y623</f>
        <v>0</v>
      </c>
      <c r="BZ623" s="32" t="n">
        <f aca="false">IF(BJ623=0,IF(BR623=0,0,1),(BR623-BJ623)/BJ623)</f>
        <v>0</v>
      </c>
      <c r="CA623" s="32" t="n">
        <f aca="false">IF(BK623=0,IF(BS623=0,0,1),(BS623-BK623)/BK623)</f>
        <v>0</v>
      </c>
      <c r="CB623" s="32" t="n">
        <f aca="false">IF(BL623=0,IF(BT623=0,0,1),(BT623-BL623)/BL623)</f>
        <v>0</v>
      </c>
      <c r="CC623" s="32" t="n">
        <f aca="false">IF(BM623=0,IF(BU623=0,0,1),(BU623-BM623)/BM623)</f>
        <v>0</v>
      </c>
      <c r="CD623" s="32" t="n">
        <f aca="false">IF(BN623=0,IF(BV623=0,0,1),(BV623-BN623)/BN623)</f>
        <v>0</v>
      </c>
      <c r="CE623" s="32" t="n">
        <f aca="false">IF(BO623=0,IF(BW623=0,0,1),(BW623-BO623)/BO623)</f>
        <v>0</v>
      </c>
      <c r="CF623" s="32" t="n">
        <f aca="false">IF(BP623=0,IF(BX623=0,0,1),(BX623-BP623)/BP623)</f>
        <v>0</v>
      </c>
      <c r="CG623" s="32" t="n">
        <f aca="false">IF(BQ623=0,IF(BY623=0,0,1),(BY623-BQ623)/BQ623)</f>
        <v>0</v>
      </c>
      <c r="CH623" s="32" t="n">
        <f aca="false">MAX(MAX(BZ623:CG623),-MIN(BZ623:CG623))</f>
        <v>-0</v>
      </c>
      <c r="CI623" s="31" t="str">
        <f aca="false">IF(CO623="","",SUMIFS($CJ$7:$CJ$696,$A$7:$A$696,CO623,$B$7:$B$696,B623))</f>
        <v/>
      </c>
      <c r="CJ623" s="31" t="n">
        <f aca="false">SUM(AY623:BI623)</f>
        <v>39228</v>
      </c>
      <c r="CK623" s="31" t="str">
        <f aca="false">IFERROR(INDEX(設定!$F$61:$F$106,MATCH(B623,設定!$B$61:$B$106,0)),"Y")</f>
        <v>N</v>
      </c>
      <c r="CL623" s="31" t="str">
        <f aca="false">IFERROR(INDEX(設定!$G$61:$G$106,MATCH(B623,設定!$B$61:$B$106,0)),"外郭型")</f>
        <v>外郭型</v>
      </c>
      <c r="CM623" s="33" t="str">
        <f aca="false">A623&amp;"|"&amp;B623</f>
        <v>2027-03 賞与|都市整備公社　市</v>
      </c>
      <c r="CN623" s="34" t="str">
        <f aca="false">IFERROR(INDEX(設定!$D$61:$D$106,MATCH(B623,設定!$B$61:$B$106,0)),"Y")</f>
        <v>Y</v>
      </c>
      <c r="CO623" s="34" t="str">
        <f aca="false">IFERROR(INDEX(設定!$D$20:$D$34,MATCH(A623,設定!$A$20:$A$34,0))&amp;"","")</f>
        <v/>
      </c>
    </row>
    <row r="624" customFormat="false" ht="15" hidden="true" customHeight="false" outlineLevel="0" collapsed="false">
      <c r="A624" s="22" t="s">
        <v>229</v>
      </c>
      <c r="B624" s="23" t="s">
        <v>188</v>
      </c>
      <c r="C624" s="10" t="str">
        <f aca="false">IF(G624="","未受領",IF(G624="なし","報告なし",IF(AL624="○","起票済",IF(OR(AK624="○",F624="一致",F624="入金不要"),"入金確認済","受領済"))))</f>
        <v>未受領</v>
      </c>
      <c r="D624" s="10" t="str">
        <f aca="false">IF(OR(G624="",G624="なし"),"―",IF(CN624="N","対象外",IF(AND(I624="",J624="",K624=""),"標報未入力",IF(CH624&gt;=設定!$B$4,"要確認","問題なし"))))</f>
        <v>―</v>
      </c>
      <c r="E624" s="24" t="str">
        <f aca="false">IF(OR(G624="",G624="なし",CI624="",CJ624=0),"―",IF(CJ624=CI624,"前月同額",IF(CI624=0,"―",IF(ABS(CJ624/CI624-1)&gt;=設定!$B$5,"変動大 "&amp;TEXT(CJ624/CI624-1,"+0%;-0%"),"〇"))))</f>
        <v>―</v>
      </c>
      <c r="F624" s="10" t="str">
        <f aca="false">IF(OR(G624="",G624="なし"),"―",IF(CJ624=0,"入金不要",IF(COUNT(AD624,AF624,AH624,AJ624)=0,IF(AK624="○","手動確認","未入金"),IF(AND(N(AD624)=AC624,IF(AE624="",TRUE(),N(AF624)=AE624),IF(AG624="",TRUE(),N(AH624)=AG624),IF(AI624="",TRUE(),N(AJ624)=AI624)),"一致","不一致"))))</f>
        <v>―</v>
      </c>
      <c r="G624" s="25"/>
      <c r="H624" s="26"/>
      <c r="I624" s="27"/>
      <c r="J624" s="27"/>
      <c r="K624" s="27"/>
      <c r="L624" s="27"/>
      <c r="M624" s="27"/>
      <c r="N624" s="27"/>
      <c r="O624" s="27"/>
      <c r="P624" s="27"/>
      <c r="Q624" s="27"/>
      <c r="R624" s="27"/>
      <c r="S624" s="27"/>
      <c r="T624" s="27"/>
      <c r="U624" s="27"/>
      <c r="V624" s="27"/>
      <c r="W624" s="27"/>
      <c r="X624" s="27"/>
      <c r="Y624" s="27"/>
      <c r="Z624" s="27"/>
      <c r="AA624" s="10" t="str">
        <f aca="false">IFERROR(INDEX(設定!$E$61:$E$106,MATCH(B624,設定!$B$61:$B$106,0)),"合算")</f>
        <v>合算</v>
      </c>
      <c r="AB624" s="28"/>
      <c r="AC624" s="29" t="str">
        <f aca="false">IF(OR(G624="",G624="なし"),"",IF(AA624="合算",CJ624+N(Z624),IF(AA624="掛金・負担金別",(AY624+AZ624+BD624+BF624+BH624),SUM(AY624:BC624))))</f>
        <v/>
      </c>
      <c r="AD624" s="27"/>
      <c r="AE624" s="29" t="str">
        <f aca="false">IF(OR(G624="",G624="なし"),"",IF(AA624="掛金・負担金別",(BA624+BB624+BC624+BE624+BG624+BI624+N(Z624)),IF(AA624="経理区分別",BD624+BE624,"")))</f>
        <v/>
      </c>
      <c r="AF624" s="27"/>
      <c r="AG624" s="29" t="str">
        <f aca="false">IF(OR(G624="",G624="なし"),"",IF(AA624="経理区分別",BF624+BG624,""))</f>
        <v/>
      </c>
      <c r="AH624" s="27"/>
      <c r="AI624" s="29" t="str">
        <f aca="false">IF(OR(G624="",G624="なし"),"",IF(AA624="経理区分別",BH624+BI624+N(Z624),""))</f>
        <v/>
      </c>
      <c r="AJ624" s="27"/>
      <c r="AK624" s="26"/>
      <c r="AL624" s="26"/>
      <c r="AM624" s="30"/>
      <c r="AN624" s="31"/>
      <c r="AO624" s="31"/>
      <c r="AP624" s="31" t="n">
        <v>55175</v>
      </c>
      <c r="AQ624" s="31" t="n">
        <v>4522</v>
      </c>
      <c r="AR624" s="31" t="n">
        <v>56</v>
      </c>
      <c r="AS624" s="31"/>
      <c r="AT624" s="31" t="n">
        <v>33231</v>
      </c>
      <c r="AU624" s="31"/>
      <c r="AV624" s="31" t="n">
        <v>3246</v>
      </c>
      <c r="AW624" s="31"/>
      <c r="AX624" s="31" t="n">
        <v>1</v>
      </c>
      <c r="AY624" s="31" t="n">
        <f aca="false">IF($G624="",AN624,O624)</f>
        <v>0</v>
      </c>
      <c r="AZ624" s="31" t="n">
        <f aca="false">IF($G624="",AO624,P624)</f>
        <v>0</v>
      </c>
      <c r="BA624" s="31" t="n">
        <f aca="false">IF($G624="",AP624,T624)</f>
        <v>55175</v>
      </c>
      <c r="BB624" s="31" t="n">
        <f aca="false">IF($G624="",AQ624,U624)</f>
        <v>4522</v>
      </c>
      <c r="BC624" s="31" t="n">
        <f aca="false">IF($G624="",AR624,V624)</f>
        <v>56</v>
      </c>
      <c r="BD624" s="31" t="n">
        <f aca="false">IF($G624="",AS624,Q624)</f>
        <v>0</v>
      </c>
      <c r="BE624" s="31" t="n">
        <f aca="false">IF($G624="",AT624,W624)</f>
        <v>33231</v>
      </c>
      <c r="BF624" s="31" t="n">
        <f aca="false">IF($G624="",AU624,R624)</f>
        <v>0</v>
      </c>
      <c r="BG624" s="31" t="n">
        <f aca="false">IF($G624="",AV624,X624)</f>
        <v>3246</v>
      </c>
      <c r="BH624" s="31" t="n">
        <f aca="false">IF($G624="",AW624,S624)</f>
        <v>0</v>
      </c>
      <c r="BI624" s="31" t="n">
        <f aca="false">IF($G624="",AX624,Y624)</f>
        <v>1</v>
      </c>
      <c r="BJ624" s="31" t="n">
        <f aca="false">IF(CK624="N",BR624,ROUNDDOWN((I624-L624)*設定!$B$10/1000,0)+ROUNDDOWN((I624-L624)*設定!$B$11/1000,0))</f>
        <v>0</v>
      </c>
      <c r="BK624" s="31" t="n">
        <f aca="false">ROUNDDOWN((I624-L624)*設定!$C$10/1000,0)+ROUNDDOWN((I624-L624)*設定!$C$11/1000,0)+ROUNDDOWN(I624*設定!$C$12/1000,0)+IF(CL624="市局型",ROUNDDOWN(I624*設定!$C$16/1000,0),0)</f>
        <v>0</v>
      </c>
      <c r="BL624" s="31" t="n">
        <f aca="false">IF(CK624="N",BT624,ROUNDDOWN((J624-M624)*設定!$B$13/1000,0))</f>
        <v>0</v>
      </c>
      <c r="BM624" s="31" t="n">
        <f aca="false">ROUNDDOWN((J624-M624)*設定!$C$13/1000,0)+IF(CL624="市局型",ROUNDDOWN(J624*設定!$C$17/1000,0),0)</f>
        <v>0</v>
      </c>
      <c r="BN624" s="31" t="n">
        <f aca="false">IF(CK624="N",BV624,ROUNDDOWN((K624-N624)*設定!$B$14/1000,0))</f>
        <v>0</v>
      </c>
      <c r="BO624" s="31" t="n">
        <f aca="false">ROUNDDOWN((K624-N624)*設定!$C$14/1000,0)</f>
        <v>0</v>
      </c>
      <c r="BP624" s="31" t="n">
        <f aca="false">IF(CK624="N",BX624,ROUNDDOWN((J624-M624)*設定!$B$15/1000,0))</f>
        <v>0</v>
      </c>
      <c r="BQ624" s="31" t="n">
        <f aca="false">ROUNDDOWN((J624-M624)*設定!$C$15/1000,0)</f>
        <v>0</v>
      </c>
      <c r="BR624" s="31" t="n">
        <f aca="false">O624+P624</f>
        <v>0</v>
      </c>
      <c r="BS624" s="31" t="n">
        <f aca="false">T624+U624+V624</f>
        <v>0</v>
      </c>
      <c r="BT624" s="31" t="n">
        <f aca="false">Q624</f>
        <v>0</v>
      </c>
      <c r="BU624" s="31" t="n">
        <f aca="false">W624</f>
        <v>0</v>
      </c>
      <c r="BV624" s="31" t="n">
        <f aca="false">R624</f>
        <v>0</v>
      </c>
      <c r="BW624" s="31" t="n">
        <f aca="false">X624</f>
        <v>0</v>
      </c>
      <c r="BX624" s="31" t="n">
        <f aca="false">S624</f>
        <v>0</v>
      </c>
      <c r="BY624" s="31" t="n">
        <f aca="false">Y624</f>
        <v>0</v>
      </c>
      <c r="BZ624" s="32" t="n">
        <f aca="false">IF(BJ624=0,IF(BR624=0,0,1),(BR624-BJ624)/BJ624)</f>
        <v>0</v>
      </c>
      <c r="CA624" s="32" t="n">
        <f aca="false">IF(BK624=0,IF(BS624=0,0,1),(BS624-BK624)/BK624)</f>
        <v>0</v>
      </c>
      <c r="CB624" s="32" t="n">
        <f aca="false">IF(BL624=0,IF(BT624=0,0,1),(BT624-BL624)/BL624)</f>
        <v>0</v>
      </c>
      <c r="CC624" s="32" t="n">
        <f aca="false">IF(BM624=0,IF(BU624=0,0,1),(BU624-BM624)/BM624)</f>
        <v>0</v>
      </c>
      <c r="CD624" s="32" t="n">
        <f aca="false">IF(BN624=0,IF(BV624=0,0,1),(BV624-BN624)/BN624)</f>
        <v>0</v>
      </c>
      <c r="CE624" s="32" t="n">
        <f aca="false">IF(BO624=0,IF(BW624=0,0,1),(BW624-BO624)/BO624)</f>
        <v>0</v>
      </c>
      <c r="CF624" s="32" t="n">
        <f aca="false">IF(BP624=0,IF(BX624=0,0,1),(BX624-BP624)/BP624)</f>
        <v>0</v>
      </c>
      <c r="CG624" s="32" t="n">
        <f aca="false">IF(BQ624=0,IF(BY624=0,0,1),(BY624-BQ624)/BQ624)</f>
        <v>0</v>
      </c>
      <c r="CH624" s="32" t="n">
        <f aca="false">MAX(MAX(BZ624:CG624),-MIN(BZ624:CG624))</f>
        <v>-0</v>
      </c>
      <c r="CI624" s="31" t="str">
        <f aca="false">IF(CO624="","",SUMIFS($CJ$7:$CJ$696,$A$7:$A$696,CO624,$B$7:$B$696,B624))</f>
        <v/>
      </c>
      <c r="CJ624" s="31" t="n">
        <f aca="false">SUM(AY624:BI624)</f>
        <v>96231</v>
      </c>
      <c r="CK624" s="31" t="str">
        <f aca="false">IFERROR(INDEX(設定!$F$61:$F$106,MATCH(B624,設定!$B$61:$B$106,0)),"Y")</f>
        <v>N</v>
      </c>
      <c r="CL624" s="31" t="str">
        <f aca="false">IFERROR(INDEX(設定!$G$61:$G$106,MATCH(B624,設定!$B$61:$B$106,0)),"外郭型")</f>
        <v>外郭型</v>
      </c>
      <c r="CM624" s="33" t="str">
        <f aca="false">A624&amp;"|"&amp;B624</f>
        <v>2027-03 賞与|都市整備公社　消防</v>
      </c>
      <c r="CN624" s="34" t="str">
        <f aca="false">IFERROR(INDEX(設定!$D$61:$D$106,MATCH(B624,設定!$B$61:$B$106,0)),"Y")</f>
        <v>Y</v>
      </c>
      <c r="CO624" s="34" t="str">
        <f aca="false">IFERROR(INDEX(設定!$D$20:$D$34,MATCH(A624,設定!$A$20:$A$34,0))&amp;"","")</f>
        <v/>
      </c>
    </row>
    <row r="625" customFormat="false" ht="15" hidden="true" customHeight="false" outlineLevel="0" collapsed="false">
      <c r="A625" s="22" t="s">
        <v>229</v>
      </c>
      <c r="B625" s="23" t="s">
        <v>189</v>
      </c>
      <c r="C625" s="10" t="str">
        <f aca="false">IF(G625="","未受領",IF(G625="なし","報告なし",IF(AL625="○","起票済",IF(OR(AK625="○",F625="一致",F625="入金不要"),"入金確認済","受領済"))))</f>
        <v>未受領</v>
      </c>
      <c r="D625" s="10" t="str">
        <f aca="false">IF(OR(G625="",G625="なし"),"―",IF(CN625="N","対象外",IF(AND(I625="",J625="",K625=""),"標報未入力",IF(CH625&gt;=設定!$B$4,"要確認","問題なし"))))</f>
        <v>―</v>
      </c>
      <c r="E625" s="24" t="str">
        <f aca="false">IF(OR(G625="",G625="なし",CI625="",CJ625=0),"―",IF(CJ625=CI625,"前月同額",IF(CI625=0,"―",IF(ABS(CJ625/CI625-1)&gt;=設定!$B$5,"変動大 "&amp;TEXT(CJ625/CI625-1,"+0%;-0%"),"〇"))))</f>
        <v>―</v>
      </c>
      <c r="F625" s="10" t="str">
        <f aca="false">IF(OR(G625="",G625="なし"),"―",IF(CJ625=0,"入金不要",IF(COUNT(AD625,AF625,AH625,AJ625)=0,IF(AK625="○","手動確認","未入金"),IF(AND(N(AD625)=AC625,IF(AE625="",TRUE(),N(AF625)=AE625),IF(AG625="",TRUE(),N(AH625)=AG625),IF(AI625="",TRUE(),N(AJ625)=AI625)),"一致","不一致"))))</f>
        <v>―</v>
      </c>
      <c r="G625" s="25"/>
      <c r="H625" s="26"/>
      <c r="I625" s="27"/>
      <c r="J625" s="27"/>
      <c r="K625" s="27"/>
      <c r="L625" s="27"/>
      <c r="M625" s="27"/>
      <c r="N625" s="27"/>
      <c r="O625" s="27"/>
      <c r="P625" s="27"/>
      <c r="Q625" s="27"/>
      <c r="R625" s="27"/>
      <c r="S625" s="27"/>
      <c r="T625" s="27"/>
      <c r="U625" s="27"/>
      <c r="V625" s="27"/>
      <c r="W625" s="27"/>
      <c r="X625" s="27"/>
      <c r="Y625" s="27"/>
      <c r="Z625" s="27"/>
      <c r="AA625" s="10" t="str">
        <f aca="false">IFERROR(INDEX(設定!$E$61:$E$106,MATCH(B625,設定!$B$61:$B$106,0)),"合算")</f>
        <v>合算</v>
      </c>
      <c r="AB625" s="28"/>
      <c r="AC625" s="29" t="str">
        <f aca="false">IF(OR(G625="",G625="なし"),"",IF(AA625="合算",CJ625+N(Z625),IF(AA625="掛金・負担金別",(AY625+AZ625+BD625+BF625+BH625),SUM(AY625:BC625))))</f>
        <v/>
      </c>
      <c r="AD625" s="27"/>
      <c r="AE625" s="29" t="str">
        <f aca="false">IF(OR(G625="",G625="なし"),"",IF(AA625="掛金・負担金別",(BA625+BB625+BC625+BE625+BG625+BI625+N(Z625)),IF(AA625="経理区分別",BD625+BE625,"")))</f>
        <v/>
      </c>
      <c r="AF625" s="27"/>
      <c r="AG625" s="29" t="str">
        <f aca="false">IF(OR(G625="",G625="なし"),"",IF(AA625="経理区分別",BF625+BG625,""))</f>
        <v/>
      </c>
      <c r="AH625" s="27"/>
      <c r="AI625" s="29" t="str">
        <f aca="false">IF(OR(G625="",G625="なし"),"",IF(AA625="経理区分別",BH625+BI625+N(Z625),""))</f>
        <v/>
      </c>
      <c r="AJ625" s="27"/>
      <c r="AK625" s="26"/>
      <c r="AL625" s="26"/>
      <c r="AM625" s="30"/>
      <c r="AN625" s="31" t="n">
        <v>3204</v>
      </c>
      <c r="AO625" s="31" t="n">
        <v>264</v>
      </c>
      <c r="AP625" s="31" t="n">
        <v>3201</v>
      </c>
      <c r="AQ625" s="31" t="n">
        <v>262</v>
      </c>
      <c r="AR625" s="31" t="n">
        <v>4</v>
      </c>
      <c r="AS625" s="31" t="n">
        <v>1926</v>
      </c>
      <c r="AT625" s="31" t="n">
        <v>1929</v>
      </c>
      <c r="AU625" s="31" t="n">
        <v>47</v>
      </c>
      <c r="AV625" s="31" t="n">
        <v>47</v>
      </c>
      <c r="AW625" s="31" t="n">
        <v>1</v>
      </c>
      <c r="AX625" s="31" t="n">
        <v>1</v>
      </c>
      <c r="AY625" s="31" t="n">
        <f aca="false">IF($G625="",AN625,O625)</f>
        <v>3204</v>
      </c>
      <c r="AZ625" s="31" t="n">
        <f aca="false">IF($G625="",AO625,P625)</f>
        <v>264</v>
      </c>
      <c r="BA625" s="31" t="n">
        <f aca="false">IF($G625="",AP625,T625)</f>
        <v>3201</v>
      </c>
      <c r="BB625" s="31" t="n">
        <f aca="false">IF($G625="",AQ625,U625)</f>
        <v>262</v>
      </c>
      <c r="BC625" s="31" t="n">
        <f aca="false">IF($G625="",AR625,V625)</f>
        <v>4</v>
      </c>
      <c r="BD625" s="31" t="n">
        <f aca="false">IF($G625="",AS625,Q625)</f>
        <v>1926</v>
      </c>
      <c r="BE625" s="31" t="n">
        <f aca="false">IF($G625="",AT625,W625)</f>
        <v>1929</v>
      </c>
      <c r="BF625" s="31" t="n">
        <f aca="false">IF($G625="",AU625,R625)</f>
        <v>47</v>
      </c>
      <c r="BG625" s="31" t="n">
        <f aca="false">IF($G625="",AV625,X625)</f>
        <v>47</v>
      </c>
      <c r="BH625" s="31" t="n">
        <f aca="false">IF($G625="",AW625,S625)</f>
        <v>1</v>
      </c>
      <c r="BI625" s="31" t="n">
        <f aca="false">IF($G625="",AX625,Y625)</f>
        <v>1</v>
      </c>
      <c r="BJ625" s="31" t="n">
        <f aca="false">IF(CK625="N",BR625,ROUNDDOWN((I625-L625)*設定!$B$10/1000,0)+ROUNDDOWN((I625-L625)*設定!$B$11/1000,0))</f>
        <v>0</v>
      </c>
      <c r="BK625" s="31" t="n">
        <f aca="false">ROUNDDOWN((I625-L625)*設定!$C$10/1000,0)+ROUNDDOWN((I625-L625)*設定!$C$11/1000,0)+ROUNDDOWN(I625*設定!$C$12/1000,0)+IF(CL625="市局型",ROUNDDOWN(I625*設定!$C$16/1000,0),0)</f>
        <v>0</v>
      </c>
      <c r="BL625" s="31" t="n">
        <f aca="false">IF(CK625="N",BT625,ROUNDDOWN((J625-M625)*設定!$B$13/1000,0))</f>
        <v>0</v>
      </c>
      <c r="BM625" s="31" t="n">
        <f aca="false">ROUNDDOWN((J625-M625)*設定!$C$13/1000,0)+IF(CL625="市局型",ROUNDDOWN(J625*設定!$C$17/1000,0),0)</f>
        <v>0</v>
      </c>
      <c r="BN625" s="31" t="n">
        <f aca="false">IF(CK625="N",BV625,ROUNDDOWN((K625-N625)*設定!$B$14/1000,0))</f>
        <v>0</v>
      </c>
      <c r="BO625" s="31" t="n">
        <f aca="false">ROUNDDOWN((K625-N625)*設定!$C$14/1000,0)</f>
        <v>0</v>
      </c>
      <c r="BP625" s="31" t="n">
        <f aca="false">IF(CK625="N",BX625,ROUNDDOWN((J625-M625)*設定!$B$15/1000,0))</f>
        <v>0</v>
      </c>
      <c r="BQ625" s="31" t="n">
        <f aca="false">ROUNDDOWN((J625-M625)*設定!$C$15/1000,0)</f>
        <v>0</v>
      </c>
      <c r="BR625" s="31" t="n">
        <f aca="false">O625+P625</f>
        <v>0</v>
      </c>
      <c r="BS625" s="31" t="n">
        <f aca="false">T625+U625+V625</f>
        <v>0</v>
      </c>
      <c r="BT625" s="31" t="n">
        <f aca="false">Q625</f>
        <v>0</v>
      </c>
      <c r="BU625" s="31" t="n">
        <f aca="false">W625</f>
        <v>0</v>
      </c>
      <c r="BV625" s="31" t="n">
        <f aca="false">R625</f>
        <v>0</v>
      </c>
      <c r="BW625" s="31" t="n">
        <f aca="false">X625</f>
        <v>0</v>
      </c>
      <c r="BX625" s="31" t="n">
        <f aca="false">S625</f>
        <v>0</v>
      </c>
      <c r="BY625" s="31" t="n">
        <f aca="false">Y625</f>
        <v>0</v>
      </c>
      <c r="BZ625" s="32" t="n">
        <f aca="false">IF(BJ625=0,IF(BR625=0,0,1),(BR625-BJ625)/BJ625)</f>
        <v>0</v>
      </c>
      <c r="CA625" s="32" t="n">
        <f aca="false">IF(BK625=0,IF(BS625=0,0,1),(BS625-BK625)/BK625)</f>
        <v>0</v>
      </c>
      <c r="CB625" s="32" t="n">
        <f aca="false">IF(BL625=0,IF(BT625=0,0,1),(BT625-BL625)/BL625)</f>
        <v>0</v>
      </c>
      <c r="CC625" s="32" t="n">
        <f aca="false">IF(BM625=0,IF(BU625=0,0,1),(BU625-BM625)/BM625)</f>
        <v>0</v>
      </c>
      <c r="CD625" s="32" t="n">
        <f aca="false">IF(BN625=0,IF(BV625=0,0,1),(BV625-BN625)/BN625)</f>
        <v>0</v>
      </c>
      <c r="CE625" s="32" t="n">
        <f aca="false">IF(BO625=0,IF(BW625=0,0,1),(BW625-BO625)/BO625)</f>
        <v>0</v>
      </c>
      <c r="CF625" s="32" t="n">
        <f aca="false">IF(BP625=0,IF(BX625=0,0,1),(BX625-BP625)/BP625)</f>
        <v>0</v>
      </c>
      <c r="CG625" s="32" t="n">
        <f aca="false">IF(BQ625=0,IF(BY625=0,0,1),(BY625-BQ625)/BQ625)</f>
        <v>0</v>
      </c>
      <c r="CH625" s="32" t="n">
        <f aca="false">MAX(MAX(BZ625:CG625),-MIN(BZ625:CG625))</f>
        <v>-0</v>
      </c>
      <c r="CI625" s="31" t="str">
        <f aca="false">IF(CO625="","",SUMIFS($CJ$7:$CJ$696,$A$7:$A$696,CO625,$B$7:$B$696,B625))</f>
        <v/>
      </c>
      <c r="CJ625" s="31" t="n">
        <f aca="false">SUM(AY625:BI625)</f>
        <v>10886</v>
      </c>
      <c r="CK625" s="31" t="str">
        <f aca="false">IFERROR(INDEX(設定!$F$61:$F$106,MATCH(B625,設定!$B$61:$B$106,0)),"Y")</f>
        <v>Y</v>
      </c>
      <c r="CL625" s="31" t="str">
        <f aca="false">IFERROR(INDEX(設定!$G$61:$G$106,MATCH(B625,設定!$B$61:$B$106,0)),"外郭型")</f>
        <v>外郭型</v>
      </c>
      <c r="CM625" s="33" t="str">
        <f aca="false">A625&amp;"|"&amp;B625</f>
        <v>2027-03 賞与|日本下水道事業団</v>
      </c>
      <c r="CN625" s="34" t="str">
        <f aca="false">IFERROR(INDEX(設定!$D$61:$D$106,MATCH(B625,設定!$B$61:$B$106,0)),"Y")</f>
        <v>Y</v>
      </c>
      <c r="CO625" s="34" t="str">
        <f aca="false">IFERROR(INDEX(設定!$D$20:$D$34,MATCH(A625,設定!$A$20:$A$34,0))&amp;"","")</f>
        <v/>
      </c>
    </row>
    <row r="626" customFormat="false" ht="15" hidden="true" customHeight="false" outlineLevel="0" collapsed="false">
      <c r="A626" s="22" t="s">
        <v>229</v>
      </c>
      <c r="B626" s="23" t="s">
        <v>190</v>
      </c>
      <c r="C626" s="10" t="str">
        <f aca="false">IF(G626="","未受領",IF(G626="なし","報告なし",IF(AL626="○","起票済",IF(OR(AK626="○",F626="一致",F626="入金不要"),"入金確認済","受領済"))))</f>
        <v>未受領</v>
      </c>
      <c r="D626" s="10" t="str">
        <f aca="false">IF(OR(G626="",G626="なし"),"―",IF(CN626="N","対象外",IF(AND(I626="",J626="",K626=""),"標報未入力",IF(CH626&gt;=設定!$B$4,"要確認","問題なし"))))</f>
        <v>―</v>
      </c>
      <c r="E626" s="24" t="str">
        <f aca="false">IF(OR(G626="",G626="なし",CI626="",CJ626=0),"―",IF(CJ626=CI626,"前月同額",IF(CI626=0,"―",IF(ABS(CJ626/CI626-1)&gt;=設定!$B$5,"変動大 "&amp;TEXT(CJ626/CI626-1,"+0%;-0%"),"〇"))))</f>
        <v>―</v>
      </c>
      <c r="F626" s="10" t="str">
        <f aca="false">IF(OR(G626="",G626="なし"),"―",IF(CJ626=0,"入金不要",IF(COUNT(AD626,AF626,AH626,AJ626)=0,IF(AK626="○","手動確認","未入金"),IF(AND(N(AD626)=AC626,IF(AE626="",TRUE(),N(AF626)=AE626),IF(AG626="",TRUE(),N(AH626)=AG626),IF(AI626="",TRUE(),N(AJ626)=AI626)),"一致","不一致"))))</f>
        <v>―</v>
      </c>
      <c r="G626" s="25"/>
      <c r="H626" s="26"/>
      <c r="I626" s="27"/>
      <c r="J626" s="27"/>
      <c r="K626" s="27"/>
      <c r="L626" s="27"/>
      <c r="M626" s="27"/>
      <c r="N626" s="27"/>
      <c r="O626" s="27"/>
      <c r="P626" s="27"/>
      <c r="Q626" s="27"/>
      <c r="R626" s="27"/>
      <c r="S626" s="27"/>
      <c r="T626" s="27"/>
      <c r="U626" s="27"/>
      <c r="V626" s="27"/>
      <c r="W626" s="27"/>
      <c r="X626" s="27"/>
      <c r="Y626" s="27"/>
      <c r="Z626" s="27"/>
      <c r="AA626" s="10" t="str">
        <f aca="false">IFERROR(INDEX(設定!$E$61:$E$106,MATCH(B626,設定!$B$61:$B$106,0)),"合算")</f>
        <v>合算</v>
      </c>
      <c r="AB626" s="28"/>
      <c r="AC626" s="29" t="str">
        <f aca="false">IF(OR(G626="",G626="なし"),"",IF(AA626="合算",CJ626+N(Z626),IF(AA626="掛金・負担金別",(AY626+AZ626+BD626+BF626+BH626),SUM(AY626:BC626))))</f>
        <v/>
      </c>
      <c r="AD626" s="27"/>
      <c r="AE626" s="29" t="str">
        <f aca="false">IF(OR(G626="",G626="なし"),"",IF(AA626="掛金・負担金別",(BA626+BB626+BC626+BE626+BG626+BI626+N(Z626)),IF(AA626="経理区分別",BD626+BE626,"")))</f>
        <v/>
      </c>
      <c r="AF626" s="27"/>
      <c r="AG626" s="29" t="str">
        <f aca="false">IF(OR(G626="",G626="なし"),"",IF(AA626="経理区分別",BF626+BG626,""))</f>
        <v/>
      </c>
      <c r="AH626" s="27"/>
      <c r="AI626" s="29" t="str">
        <f aca="false">IF(OR(G626="",G626="なし"),"",IF(AA626="経理区分別",BH626+BI626+N(Z626),""))</f>
        <v/>
      </c>
      <c r="AJ626" s="27"/>
      <c r="AK626" s="26"/>
      <c r="AL626" s="26"/>
      <c r="AM626" s="30"/>
      <c r="AN626" s="31"/>
      <c r="AO626" s="31"/>
      <c r="AP626" s="31" t="n">
        <v>0</v>
      </c>
      <c r="AQ626" s="31" t="n">
        <v>0</v>
      </c>
      <c r="AR626" s="31" t="n">
        <v>0</v>
      </c>
      <c r="AS626" s="31"/>
      <c r="AT626" s="31" t="n">
        <v>0</v>
      </c>
      <c r="AU626" s="31"/>
      <c r="AV626" s="31" t="n">
        <v>0</v>
      </c>
      <c r="AW626" s="31"/>
      <c r="AX626" s="31" t="n">
        <v>0</v>
      </c>
      <c r="AY626" s="31" t="n">
        <f aca="false">IF($G626="",AN626,O626)</f>
        <v>0</v>
      </c>
      <c r="AZ626" s="31" t="n">
        <f aca="false">IF($G626="",AO626,P626)</f>
        <v>0</v>
      </c>
      <c r="BA626" s="31" t="n">
        <f aca="false">IF($G626="",AP626,T626)</f>
        <v>0</v>
      </c>
      <c r="BB626" s="31" t="n">
        <f aca="false">IF($G626="",AQ626,U626)</f>
        <v>0</v>
      </c>
      <c r="BC626" s="31" t="n">
        <f aca="false">IF($G626="",AR626,V626)</f>
        <v>0</v>
      </c>
      <c r="BD626" s="31" t="n">
        <f aca="false">IF($G626="",AS626,Q626)</f>
        <v>0</v>
      </c>
      <c r="BE626" s="31" t="n">
        <f aca="false">IF($G626="",AT626,W626)</f>
        <v>0</v>
      </c>
      <c r="BF626" s="31" t="n">
        <f aca="false">IF($G626="",AU626,R626)</f>
        <v>0</v>
      </c>
      <c r="BG626" s="31" t="n">
        <f aca="false">IF($G626="",AV626,X626)</f>
        <v>0</v>
      </c>
      <c r="BH626" s="31" t="n">
        <f aca="false">IF($G626="",AW626,S626)</f>
        <v>0</v>
      </c>
      <c r="BI626" s="31" t="n">
        <f aca="false">IF($G626="",AX626,Y626)</f>
        <v>0</v>
      </c>
      <c r="BJ626" s="31" t="n">
        <f aca="false">IF(CK626="N",BR626,ROUNDDOWN((I626-L626)*設定!$B$10/1000,0)+ROUNDDOWN((I626-L626)*設定!$B$11/1000,0))</f>
        <v>0</v>
      </c>
      <c r="BK626" s="31" t="n">
        <f aca="false">ROUNDDOWN((I626-L626)*設定!$C$10/1000,0)+ROUNDDOWN((I626-L626)*設定!$C$11/1000,0)+ROUNDDOWN(I626*設定!$C$12/1000,0)+IF(CL626="市局型",ROUNDDOWN(I626*設定!$C$16/1000,0),0)</f>
        <v>0</v>
      </c>
      <c r="BL626" s="31" t="n">
        <f aca="false">IF(CK626="N",BT626,ROUNDDOWN((J626-M626)*設定!$B$13/1000,0))</f>
        <v>0</v>
      </c>
      <c r="BM626" s="31" t="n">
        <f aca="false">ROUNDDOWN((J626-M626)*設定!$C$13/1000,0)+IF(CL626="市局型",ROUNDDOWN(J626*設定!$C$17/1000,0),0)</f>
        <v>0</v>
      </c>
      <c r="BN626" s="31" t="n">
        <f aca="false">IF(CK626="N",BV626,ROUNDDOWN((K626-N626)*設定!$B$14/1000,0))</f>
        <v>0</v>
      </c>
      <c r="BO626" s="31" t="n">
        <f aca="false">ROUNDDOWN((K626-N626)*設定!$C$14/1000,0)</f>
        <v>0</v>
      </c>
      <c r="BP626" s="31" t="n">
        <f aca="false">IF(CK626="N",BX626,ROUNDDOWN((J626-M626)*設定!$B$15/1000,0))</f>
        <v>0</v>
      </c>
      <c r="BQ626" s="31" t="n">
        <f aca="false">ROUNDDOWN((J626-M626)*設定!$C$15/1000,0)</f>
        <v>0</v>
      </c>
      <c r="BR626" s="31" t="n">
        <f aca="false">O626+P626</f>
        <v>0</v>
      </c>
      <c r="BS626" s="31" t="n">
        <f aca="false">T626+U626+V626</f>
        <v>0</v>
      </c>
      <c r="BT626" s="31" t="n">
        <f aca="false">Q626</f>
        <v>0</v>
      </c>
      <c r="BU626" s="31" t="n">
        <f aca="false">W626</f>
        <v>0</v>
      </c>
      <c r="BV626" s="31" t="n">
        <f aca="false">R626</f>
        <v>0</v>
      </c>
      <c r="BW626" s="31" t="n">
        <f aca="false">X626</f>
        <v>0</v>
      </c>
      <c r="BX626" s="31" t="n">
        <f aca="false">S626</f>
        <v>0</v>
      </c>
      <c r="BY626" s="31" t="n">
        <f aca="false">Y626</f>
        <v>0</v>
      </c>
      <c r="BZ626" s="32" t="n">
        <f aca="false">IF(BJ626=0,IF(BR626=0,0,1),(BR626-BJ626)/BJ626)</f>
        <v>0</v>
      </c>
      <c r="CA626" s="32" t="n">
        <f aca="false">IF(BK626=0,IF(BS626=0,0,1),(BS626-BK626)/BK626)</f>
        <v>0</v>
      </c>
      <c r="CB626" s="32" t="n">
        <f aca="false">IF(BL626=0,IF(BT626=0,0,1),(BT626-BL626)/BL626)</f>
        <v>0</v>
      </c>
      <c r="CC626" s="32" t="n">
        <f aca="false">IF(BM626=0,IF(BU626=0,0,1),(BU626-BM626)/BM626)</f>
        <v>0</v>
      </c>
      <c r="CD626" s="32" t="n">
        <f aca="false">IF(BN626=0,IF(BV626=0,0,1),(BV626-BN626)/BN626)</f>
        <v>0</v>
      </c>
      <c r="CE626" s="32" t="n">
        <f aca="false">IF(BO626=0,IF(BW626=0,0,1),(BW626-BO626)/BO626)</f>
        <v>0</v>
      </c>
      <c r="CF626" s="32" t="n">
        <f aca="false">IF(BP626=0,IF(BX626=0,0,1),(BX626-BP626)/BP626)</f>
        <v>0</v>
      </c>
      <c r="CG626" s="32" t="n">
        <f aca="false">IF(BQ626=0,IF(BY626=0,0,1),(BY626-BQ626)/BQ626)</f>
        <v>0</v>
      </c>
      <c r="CH626" s="32" t="n">
        <f aca="false">MAX(MAX(BZ626:CG626),-MIN(BZ626:CG626))</f>
        <v>-0</v>
      </c>
      <c r="CI626" s="31" t="str">
        <f aca="false">IF(CO626="","",SUMIFS($CJ$7:$CJ$696,$A$7:$A$696,CO626,$B$7:$B$696,B626))</f>
        <v/>
      </c>
      <c r="CJ626" s="31" t="n">
        <f aca="false">SUM(AY626:BI626)</f>
        <v>0</v>
      </c>
      <c r="CK626" s="31" t="str">
        <f aca="false">IFERROR(INDEX(設定!$F$61:$F$106,MATCH(B626,設定!$B$61:$B$106,0)),"Y")</f>
        <v>Y</v>
      </c>
      <c r="CL626" s="31" t="str">
        <f aca="false">IFERROR(INDEX(設定!$G$61:$G$106,MATCH(B626,設定!$B$61:$B$106,0)),"外郭型")</f>
        <v>外郭型</v>
      </c>
      <c r="CM626" s="33" t="str">
        <f aca="false">A626&amp;"|"&amp;B626</f>
        <v>2027-03 賞与|地方公務員災害補償基金本部</v>
      </c>
      <c r="CN626" s="34" t="str">
        <f aca="false">IFERROR(INDEX(設定!$D$61:$D$106,MATCH(B626,設定!$B$61:$B$106,0)),"Y")</f>
        <v>Y</v>
      </c>
      <c r="CO626" s="34" t="str">
        <f aca="false">IFERROR(INDEX(設定!$D$20:$D$34,MATCH(A626,設定!$A$20:$A$34,0))&amp;"","")</f>
        <v/>
      </c>
    </row>
    <row r="627" customFormat="false" ht="15" hidden="true" customHeight="false" outlineLevel="0" collapsed="false">
      <c r="A627" s="22" t="s">
        <v>229</v>
      </c>
      <c r="B627" s="23" t="s">
        <v>191</v>
      </c>
      <c r="C627" s="10" t="str">
        <f aca="false">IF(G627="","未受領",IF(G627="なし","報告なし",IF(AL627="○","起票済",IF(OR(AK627="○",F627="一致",F627="入金不要"),"入金確認済","受領済"))))</f>
        <v>報告なし</v>
      </c>
      <c r="D627" s="10" t="str">
        <f aca="false">IF(OR(G627="",G627="なし"),"―",IF(CN627="N","対象外",IF(AND(I627="",J627="",K627=""),"標報未入力",IF(CH627&gt;=設定!$B$4,"要確認","問題なし"))))</f>
        <v>―</v>
      </c>
      <c r="E627" s="24" t="str">
        <f aca="false">IF(OR(G627="",G627="なし",CI627="",CJ627=0),"―",IF(CJ627=CI627,"前月同額",IF(CI627=0,"―",IF(ABS(CJ627/CI627-1)&gt;=設定!$B$5,"変動大 "&amp;TEXT(CJ627/CI627-1,"+0%;-0%"),"〇"))))</f>
        <v>―</v>
      </c>
      <c r="F627" s="10" t="str">
        <f aca="false">IF(OR(G627="",G627="なし"),"―",IF(CJ627=0,"入金不要",IF(COUNT(AD627,AF627,AH627,AJ627)=0,IF(AK627="○","手動確認","未入金"),IF(AND(N(AD627)=AC627,IF(AE627="",TRUE(),N(AF627)=AE627),IF(AG627="",TRUE(),N(AH627)=AG627),IF(AI627="",TRUE(),N(AJ627)=AI627)),"一致","不一致"))))</f>
        <v>―</v>
      </c>
      <c r="G627" s="25" t="s">
        <v>181</v>
      </c>
      <c r="H627" s="26"/>
      <c r="I627" s="27"/>
      <c r="J627" s="27"/>
      <c r="K627" s="27"/>
      <c r="L627" s="27"/>
      <c r="M627" s="27"/>
      <c r="N627" s="27"/>
      <c r="O627" s="27"/>
      <c r="P627" s="27"/>
      <c r="Q627" s="27"/>
      <c r="R627" s="27"/>
      <c r="S627" s="27"/>
      <c r="T627" s="27"/>
      <c r="U627" s="27"/>
      <c r="V627" s="27"/>
      <c r="W627" s="27"/>
      <c r="X627" s="27"/>
      <c r="Y627" s="27"/>
      <c r="Z627" s="27"/>
      <c r="AA627" s="10" t="str">
        <f aca="false">IFERROR(INDEX(設定!$E$61:$E$106,MATCH(B627,設定!$B$61:$B$106,0)),"合算")</f>
        <v>合算</v>
      </c>
      <c r="AB627" s="28"/>
      <c r="AC627" s="29" t="str">
        <f aca="false">IF(OR(G627="",G627="なし"),"",IF(AA627="合算",CJ627+N(Z627),IF(AA627="掛金・負担金別",(AY627+AZ627+BD627+BF627+BH627),SUM(AY627:BC627))))</f>
        <v/>
      </c>
      <c r="AD627" s="27"/>
      <c r="AE627" s="29" t="str">
        <f aca="false">IF(OR(G627="",G627="なし"),"",IF(AA627="掛金・負担金別",(BA627+BB627+BC627+BE627+BG627+BI627+N(Z627)),IF(AA627="経理区分別",BD627+BE627,"")))</f>
        <v/>
      </c>
      <c r="AF627" s="27"/>
      <c r="AG627" s="29" t="str">
        <f aca="false">IF(OR(G627="",G627="なし"),"",IF(AA627="経理区分別",BF627+BG627,""))</f>
        <v/>
      </c>
      <c r="AH627" s="27"/>
      <c r="AI627" s="29" t="str">
        <f aca="false">IF(OR(G627="",G627="なし"),"",IF(AA627="経理区分別",BH627+BI627+N(Z627),""))</f>
        <v/>
      </c>
      <c r="AJ627" s="27"/>
      <c r="AK627" s="26"/>
      <c r="AL627" s="26"/>
      <c r="AM627" s="30"/>
      <c r="AN627" s="31"/>
      <c r="AO627" s="31"/>
      <c r="AP627" s="31"/>
      <c r="AQ627" s="31"/>
      <c r="AR627" s="31"/>
      <c r="AS627" s="31"/>
      <c r="AT627" s="31"/>
      <c r="AU627" s="31"/>
      <c r="AV627" s="31"/>
      <c r="AW627" s="31"/>
      <c r="AX627" s="31"/>
      <c r="AY627" s="31" t="n">
        <f aca="false">IF($G627="",AN627,O627)</f>
        <v>0</v>
      </c>
      <c r="AZ627" s="31" t="n">
        <f aca="false">IF($G627="",AO627,P627)</f>
        <v>0</v>
      </c>
      <c r="BA627" s="31" t="n">
        <f aca="false">IF($G627="",AP627,T627)</f>
        <v>0</v>
      </c>
      <c r="BB627" s="31" t="n">
        <f aca="false">IF($G627="",AQ627,U627)</f>
        <v>0</v>
      </c>
      <c r="BC627" s="31" t="n">
        <f aca="false">IF($G627="",AR627,V627)</f>
        <v>0</v>
      </c>
      <c r="BD627" s="31" t="n">
        <f aca="false">IF($G627="",AS627,Q627)</f>
        <v>0</v>
      </c>
      <c r="BE627" s="31" t="n">
        <f aca="false">IF($G627="",AT627,W627)</f>
        <v>0</v>
      </c>
      <c r="BF627" s="31" t="n">
        <f aca="false">IF($G627="",AU627,R627)</f>
        <v>0</v>
      </c>
      <c r="BG627" s="31" t="n">
        <f aca="false">IF($G627="",AV627,X627)</f>
        <v>0</v>
      </c>
      <c r="BH627" s="31" t="n">
        <f aca="false">IF($G627="",AW627,S627)</f>
        <v>0</v>
      </c>
      <c r="BI627" s="31" t="n">
        <f aca="false">IF($G627="",AX627,Y627)</f>
        <v>0</v>
      </c>
      <c r="BJ627" s="31" t="n">
        <f aca="false">IF(CK627="N",BR627,ROUNDDOWN((I627-L627)*設定!$B$10/1000,0)+ROUNDDOWN((I627-L627)*設定!$B$11/1000,0))</f>
        <v>0</v>
      </c>
      <c r="BK627" s="31" t="n">
        <f aca="false">ROUNDDOWN((I627-L627)*設定!$C$10/1000,0)+ROUNDDOWN((I627-L627)*設定!$C$11/1000,0)+ROUNDDOWN(I627*設定!$C$12/1000,0)+IF(CL627="市局型",ROUNDDOWN(I627*設定!$C$16/1000,0),0)</f>
        <v>0</v>
      </c>
      <c r="BL627" s="31" t="n">
        <f aca="false">IF(CK627="N",BT627,ROUNDDOWN((J627-M627)*設定!$B$13/1000,0))</f>
        <v>0</v>
      </c>
      <c r="BM627" s="31" t="n">
        <f aca="false">ROUNDDOWN((J627-M627)*設定!$C$13/1000,0)+IF(CL627="市局型",ROUNDDOWN(J627*設定!$C$17/1000,0),0)</f>
        <v>0</v>
      </c>
      <c r="BN627" s="31" t="n">
        <f aca="false">IF(CK627="N",BV627,ROUNDDOWN((K627-N627)*設定!$B$14/1000,0))</f>
        <v>0</v>
      </c>
      <c r="BO627" s="31" t="n">
        <f aca="false">ROUNDDOWN((K627-N627)*設定!$C$14/1000,0)</f>
        <v>0</v>
      </c>
      <c r="BP627" s="31" t="n">
        <f aca="false">IF(CK627="N",BX627,ROUNDDOWN((J627-M627)*設定!$B$15/1000,0))</f>
        <v>0</v>
      </c>
      <c r="BQ627" s="31" t="n">
        <f aca="false">ROUNDDOWN((J627-M627)*設定!$C$15/1000,0)</f>
        <v>0</v>
      </c>
      <c r="BR627" s="31" t="n">
        <f aca="false">O627+P627</f>
        <v>0</v>
      </c>
      <c r="BS627" s="31" t="n">
        <f aca="false">T627+U627+V627</f>
        <v>0</v>
      </c>
      <c r="BT627" s="31" t="n">
        <f aca="false">Q627</f>
        <v>0</v>
      </c>
      <c r="BU627" s="31" t="n">
        <f aca="false">W627</f>
        <v>0</v>
      </c>
      <c r="BV627" s="31" t="n">
        <f aca="false">R627</f>
        <v>0</v>
      </c>
      <c r="BW627" s="31" t="n">
        <f aca="false">X627</f>
        <v>0</v>
      </c>
      <c r="BX627" s="31" t="n">
        <f aca="false">S627</f>
        <v>0</v>
      </c>
      <c r="BY627" s="31" t="n">
        <f aca="false">Y627</f>
        <v>0</v>
      </c>
      <c r="BZ627" s="32" t="n">
        <f aca="false">IF(BJ627=0,IF(BR627=0,0,1),(BR627-BJ627)/BJ627)</f>
        <v>0</v>
      </c>
      <c r="CA627" s="32" t="n">
        <f aca="false">IF(BK627=0,IF(BS627=0,0,1),(BS627-BK627)/BK627)</f>
        <v>0</v>
      </c>
      <c r="CB627" s="32" t="n">
        <f aca="false">IF(BL627=0,IF(BT627=0,0,1),(BT627-BL627)/BL627)</f>
        <v>0</v>
      </c>
      <c r="CC627" s="32" t="n">
        <f aca="false">IF(BM627=0,IF(BU627=0,0,1),(BU627-BM627)/BM627)</f>
        <v>0</v>
      </c>
      <c r="CD627" s="32" t="n">
        <f aca="false">IF(BN627=0,IF(BV627=0,0,1),(BV627-BN627)/BN627)</f>
        <v>0</v>
      </c>
      <c r="CE627" s="32" t="n">
        <f aca="false">IF(BO627=0,IF(BW627=0,0,1),(BW627-BO627)/BO627)</f>
        <v>0</v>
      </c>
      <c r="CF627" s="32" t="n">
        <f aca="false">IF(BP627=0,IF(BX627=0,0,1),(BX627-BP627)/BP627)</f>
        <v>0</v>
      </c>
      <c r="CG627" s="32" t="n">
        <f aca="false">IF(BQ627=0,IF(BY627=0,0,1),(BY627-BQ627)/BQ627)</f>
        <v>0</v>
      </c>
      <c r="CH627" s="32" t="n">
        <f aca="false">MAX(MAX(BZ627:CG627),-MIN(BZ627:CG627))</f>
        <v>-0</v>
      </c>
      <c r="CI627" s="31" t="str">
        <f aca="false">IF(CO627="","",SUMIFS($CJ$7:$CJ$696,$A$7:$A$696,CO627,$B$7:$B$696,B627))</f>
        <v/>
      </c>
      <c r="CJ627" s="31" t="n">
        <f aca="false">SUM(AY627:BI627)</f>
        <v>0</v>
      </c>
      <c r="CK627" s="31" t="str">
        <f aca="false">IFERROR(INDEX(設定!$F$61:$F$106,MATCH(B627,設定!$B$61:$B$106,0)),"Y")</f>
        <v>Y</v>
      </c>
      <c r="CL627" s="31" t="str">
        <f aca="false">IFERROR(INDEX(設定!$G$61:$G$106,MATCH(B627,設定!$B$61:$B$106,0)),"外郭型")</f>
        <v>外郭型</v>
      </c>
      <c r="CM627" s="33" t="str">
        <f aca="false">A627&amp;"|"&amp;B627</f>
        <v>2027-03 賞与|救急振興財団</v>
      </c>
      <c r="CN627" s="34" t="str">
        <f aca="false">IFERROR(INDEX(設定!$D$61:$D$106,MATCH(B627,設定!$B$61:$B$106,0)),"Y")</f>
        <v>Y</v>
      </c>
      <c r="CO627" s="34" t="str">
        <f aca="false">IFERROR(INDEX(設定!$D$20:$D$34,MATCH(A627,設定!$A$20:$A$34,0))&amp;"","")</f>
        <v/>
      </c>
    </row>
    <row r="628" customFormat="false" ht="15" hidden="true" customHeight="false" outlineLevel="0" collapsed="false">
      <c r="A628" s="22" t="s">
        <v>229</v>
      </c>
      <c r="B628" s="23" t="s">
        <v>192</v>
      </c>
      <c r="C628" s="10" t="str">
        <f aca="false">IF(G628="","未受領",IF(G628="なし","報告なし",IF(AL628="○","起票済",IF(OR(AK628="○",F628="一致",F628="入金不要"),"入金確認済","受領済"))))</f>
        <v>未受領</v>
      </c>
      <c r="D628" s="10" t="str">
        <f aca="false">IF(OR(G628="",G628="なし"),"―",IF(CN628="N","対象外",IF(AND(I628="",J628="",K628=""),"標報未入力",IF(CH628&gt;=設定!$B$4,"要確認","問題なし"))))</f>
        <v>―</v>
      </c>
      <c r="E628" s="24" t="str">
        <f aca="false">IF(OR(G628="",G628="なし",CI628="",CJ628=0),"―",IF(CJ628=CI628,"前月同額",IF(CI628=0,"―",IF(ABS(CJ628/CI628-1)&gt;=設定!$B$5,"変動大 "&amp;TEXT(CJ628/CI628-1,"+0%;-0%"),"〇"))))</f>
        <v>―</v>
      </c>
      <c r="F628" s="10" t="str">
        <f aca="false">IF(OR(G628="",G628="なし"),"―",IF(CJ628=0,"入金不要",IF(COUNT(AD628,AF628,AH628,AJ628)=0,IF(AK628="○","手動確認","未入金"),IF(AND(N(AD628)=AC628,IF(AE628="",TRUE(),N(AF628)=AE628),IF(AG628="",TRUE(),N(AH628)=AG628),IF(AI628="",TRUE(),N(AJ628)=AI628)),"一致","不一致"))))</f>
        <v>―</v>
      </c>
      <c r="G628" s="25"/>
      <c r="H628" s="26"/>
      <c r="I628" s="27"/>
      <c r="J628" s="27"/>
      <c r="K628" s="27"/>
      <c r="L628" s="27"/>
      <c r="M628" s="27"/>
      <c r="N628" s="27"/>
      <c r="O628" s="27"/>
      <c r="P628" s="27"/>
      <c r="Q628" s="27"/>
      <c r="R628" s="27"/>
      <c r="S628" s="27"/>
      <c r="T628" s="27"/>
      <c r="U628" s="27"/>
      <c r="V628" s="27"/>
      <c r="W628" s="27"/>
      <c r="X628" s="27"/>
      <c r="Y628" s="27"/>
      <c r="Z628" s="27"/>
      <c r="AA628" s="10" t="str">
        <f aca="false">IFERROR(INDEX(設定!$E$61:$E$106,MATCH(B628,設定!$B$61:$B$106,0)),"合算")</f>
        <v>合算</v>
      </c>
      <c r="AB628" s="28"/>
      <c r="AC628" s="29" t="str">
        <f aca="false">IF(OR(G628="",G628="なし"),"",IF(AA628="合算",CJ628+N(Z628),IF(AA628="掛金・負担金別",(AY628+AZ628+BD628+BF628+BH628),SUM(AY628:BC628))))</f>
        <v/>
      </c>
      <c r="AD628" s="27"/>
      <c r="AE628" s="29" t="str">
        <f aca="false">IF(OR(G628="",G628="なし"),"",IF(AA628="掛金・負担金別",(BA628+BB628+BC628+BE628+BG628+BI628+N(Z628)),IF(AA628="経理区分別",BD628+BE628,"")))</f>
        <v/>
      </c>
      <c r="AF628" s="27"/>
      <c r="AG628" s="29" t="str">
        <f aca="false">IF(OR(G628="",G628="なし"),"",IF(AA628="経理区分別",BF628+BG628,""))</f>
        <v/>
      </c>
      <c r="AH628" s="27"/>
      <c r="AI628" s="29" t="str">
        <f aca="false">IF(OR(G628="",G628="なし"),"",IF(AA628="経理区分別",BH628+BI628+N(Z628),""))</f>
        <v/>
      </c>
      <c r="AJ628" s="27"/>
      <c r="AK628" s="26"/>
      <c r="AL628" s="26"/>
      <c r="AM628" s="30"/>
      <c r="AN628" s="31" t="n">
        <v>394542</v>
      </c>
      <c r="AO628" s="31" t="n">
        <v>32334</v>
      </c>
      <c r="AP628" s="31" t="n">
        <v>394548</v>
      </c>
      <c r="AQ628" s="31" t="n">
        <v>32340</v>
      </c>
      <c r="AR628" s="31" t="n">
        <v>404</v>
      </c>
      <c r="AS628" s="31" t="n">
        <v>237194</v>
      </c>
      <c r="AT628" s="31" t="n">
        <v>237634</v>
      </c>
      <c r="AU628" s="31" t="n">
        <v>24334</v>
      </c>
      <c r="AV628" s="31" t="n">
        <v>24339</v>
      </c>
      <c r="AW628" s="31" t="n">
        <v>1</v>
      </c>
      <c r="AX628" s="31" t="n">
        <v>1</v>
      </c>
      <c r="AY628" s="31" t="n">
        <f aca="false">IF($G628="",AN628,O628)</f>
        <v>394542</v>
      </c>
      <c r="AZ628" s="31" t="n">
        <f aca="false">IF($G628="",AO628,P628)</f>
        <v>32334</v>
      </c>
      <c r="BA628" s="31" t="n">
        <f aca="false">IF($G628="",AP628,T628)</f>
        <v>394548</v>
      </c>
      <c r="BB628" s="31" t="n">
        <f aca="false">IF($G628="",AQ628,U628)</f>
        <v>32340</v>
      </c>
      <c r="BC628" s="31" t="n">
        <f aca="false">IF($G628="",AR628,V628)</f>
        <v>404</v>
      </c>
      <c r="BD628" s="31" t="n">
        <f aca="false">IF($G628="",AS628,Q628)</f>
        <v>237194</v>
      </c>
      <c r="BE628" s="31" t="n">
        <f aca="false">IF($G628="",AT628,W628)</f>
        <v>237634</v>
      </c>
      <c r="BF628" s="31" t="n">
        <f aca="false">IF($G628="",AU628,R628)</f>
        <v>24334</v>
      </c>
      <c r="BG628" s="31" t="n">
        <f aca="false">IF($G628="",AV628,X628)</f>
        <v>24339</v>
      </c>
      <c r="BH628" s="31" t="n">
        <f aca="false">IF($G628="",AW628,S628)</f>
        <v>1</v>
      </c>
      <c r="BI628" s="31" t="n">
        <f aca="false">IF($G628="",AX628,Y628)</f>
        <v>1</v>
      </c>
      <c r="BJ628" s="31" t="n">
        <f aca="false">IF(CK628="N",BR628,ROUNDDOWN((I628-L628)*設定!$B$10/1000,0)+ROUNDDOWN((I628-L628)*設定!$B$11/1000,0))</f>
        <v>0</v>
      </c>
      <c r="BK628" s="31" t="n">
        <f aca="false">ROUNDDOWN((I628-L628)*設定!$C$10/1000,0)+ROUNDDOWN((I628-L628)*設定!$C$11/1000,0)+ROUNDDOWN(I628*設定!$C$12/1000,0)+IF(CL628="市局型",ROUNDDOWN(I628*設定!$C$16/1000,0),0)</f>
        <v>0</v>
      </c>
      <c r="BL628" s="31" t="n">
        <f aca="false">IF(CK628="N",BT628,ROUNDDOWN((J628-M628)*設定!$B$13/1000,0))</f>
        <v>0</v>
      </c>
      <c r="BM628" s="31" t="n">
        <f aca="false">ROUNDDOWN((J628-M628)*設定!$C$13/1000,0)+IF(CL628="市局型",ROUNDDOWN(J628*設定!$C$17/1000,0),0)</f>
        <v>0</v>
      </c>
      <c r="BN628" s="31" t="n">
        <f aca="false">IF(CK628="N",BV628,ROUNDDOWN((K628-N628)*設定!$B$14/1000,0))</f>
        <v>0</v>
      </c>
      <c r="BO628" s="31" t="n">
        <f aca="false">ROUNDDOWN((K628-N628)*設定!$C$14/1000,0)</f>
        <v>0</v>
      </c>
      <c r="BP628" s="31" t="n">
        <f aca="false">IF(CK628="N",BX628,ROUNDDOWN((J628-M628)*設定!$B$15/1000,0))</f>
        <v>0</v>
      </c>
      <c r="BQ628" s="31" t="n">
        <f aca="false">ROUNDDOWN((J628-M628)*設定!$C$15/1000,0)</f>
        <v>0</v>
      </c>
      <c r="BR628" s="31" t="n">
        <f aca="false">O628+P628</f>
        <v>0</v>
      </c>
      <c r="BS628" s="31" t="n">
        <f aca="false">T628+U628+V628</f>
        <v>0</v>
      </c>
      <c r="BT628" s="31" t="n">
        <f aca="false">Q628</f>
        <v>0</v>
      </c>
      <c r="BU628" s="31" t="n">
        <f aca="false">W628</f>
        <v>0</v>
      </c>
      <c r="BV628" s="31" t="n">
        <f aca="false">R628</f>
        <v>0</v>
      </c>
      <c r="BW628" s="31" t="n">
        <f aca="false">X628</f>
        <v>0</v>
      </c>
      <c r="BX628" s="31" t="n">
        <f aca="false">S628</f>
        <v>0</v>
      </c>
      <c r="BY628" s="31" t="n">
        <f aca="false">Y628</f>
        <v>0</v>
      </c>
      <c r="BZ628" s="32" t="n">
        <f aca="false">IF(BJ628=0,IF(BR628=0,0,1),(BR628-BJ628)/BJ628)</f>
        <v>0</v>
      </c>
      <c r="CA628" s="32" t="n">
        <f aca="false">IF(BK628=0,IF(BS628=0,0,1),(BS628-BK628)/BK628)</f>
        <v>0</v>
      </c>
      <c r="CB628" s="32" t="n">
        <f aca="false">IF(BL628=0,IF(BT628=0,0,1),(BT628-BL628)/BL628)</f>
        <v>0</v>
      </c>
      <c r="CC628" s="32" t="n">
        <f aca="false">IF(BM628=0,IF(BU628=0,0,1),(BU628-BM628)/BM628)</f>
        <v>0</v>
      </c>
      <c r="CD628" s="32" t="n">
        <f aca="false">IF(BN628=0,IF(BV628=0,0,1),(BV628-BN628)/BN628)</f>
        <v>0</v>
      </c>
      <c r="CE628" s="32" t="n">
        <f aca="false">IF(BO628=0,IF(BW628=0,0,1),(BW628-BO628)/BO628)</f>
        <v>0</v>
      </c>
      <c r="CF628" s="32" t="n">
        <f aca="false">IF(BP628=0,IF(BX628=0,0,1),(BX628-BP628)/BP628)</f>
        <v>0</v>
      </c>
      <c r="CG628" s="32" t="n">
        <f aca="false">IF(BQ628=0,IF(BY628=0,0,1),(BY628-BQ628)/BQ628)</f>
        <v>0</v>
      </c>
      <c r="CH628" s="32" t="n">
        <f aca="false">MAX(MAX(BZ628:CG628),-MIN(BZ628:CG628))</f>
        <v>-0</v>
      </c>
      <c r="CI628" s="31" t="str">
        <f aca="false">IF(CO628="","",SUMIFS($CJ$7:$CJ$696,$A$7:$A$696,CO628,$B$7:$B$696,B628))</f>
        <v/>
      </c>
      <c r="CJ628" s="31" t="n">
        <f aca="false">SUM(AY628:BI628)</f>
        <v>1377671</v>
      </c>
      <c r="CK628" s="31" t="str">
        <f aca="false">IFERROR(INDEX(設定!$F$61:$F$106,MATCH(B628,設定!$B$61:$B$106,0)),"Y")</f>
        <v>Y</v>
      </c>
      <c r="CL628" s="31" t="str">
        <f aca="false">IFERROR(INDEX(設定!$G$61:$G$106,MATCH(B628,設定!$B$61:$B$106,0)),"外郭型")</f>
        <v>外郭型</v>
      </c>
      <c r="CM628" s="33" t="str">
        <f aca="false">A628&amp;"|"&amp;B628</f>
        <v>2027-03 賞与|高速道路公社</v>
      </c>
      <c r="CN628" s="34" t="str">
        <f aca="false">IFERROR(INDEX(設定!$D$61:$D$106,MATCH(B628,設定!$B$61:$B$106,0)),"Y")</f>
        <v>Y</v>
      </c>
      <c r="CO628" s="34" t="str">
        <f aca="false">IFERROR(INDEX(設定!$D$20:$D$34,MATCH(A628,設定!$A$20:$A$34,0))&amp;"","")</f>
        <v/>
      </c>
    </row>
    <row r="629" customFormat="false" ht="15" hidden="true" customHeight="false" outlineLevel="0" collapsed="false">
      <c r="A629" s="22" t="s">
        <v>229</v>
      </c>
      <c r="B629" s="23" t="s">
        <v>193</v>
      </c>
      <c r="C629" s="10" t="str">
        <f aca="false">IF(G629="","未受領",IF(G629="なし","報告なし",IF(AL629="○","起票済",IF(OR(AK629="○",F629="一致",F629="入金不要"),"入金確認済","受領済"))))</f>
        <v>未受領</v>
      </c>
      <c r="D629" s="10" t="str">
        <f aca="false">IF(OR(G629="",G629="なし"),"―",IF(CN629="N","対象外",IF(AND(I629="",J629="",K629=""),"標報未入力",IF(CH629&gt;=設定!$B$4,"要確認","問題なし"))))</f>
        <v>―</v>
      </c>
      <c r="E629" s="24" t="str">
        <f aca="false">IF(OR(G629="",G629="なし",CI629="",CJ629=0),"―",IF(CJ629=CI629,"前月同額",IF(CI629=0,"―",IF(ABS(CJ629/CI629-1)&gt;=設定!$B$5,"変動大 "&amp;TEXT(CJ629/CI629-1,"+0%;-0%"),"〇"))))</f>
        <v>―</v>
      </c>
      <c r="F629" s="10" t="str">
        <f aca="false">IF(OR(G629="",G629="なし"),"―",IF(CJ629=0,"入金不要",IF(COUNT(AD629,AF629,AH629,AJ629)=0,IF(AK629="○","手動確認","未入金"),IF(AND(N(AD629)=AC629,IF(AE629="",TRUE(),N(AF629)=AE629),IF(AG629="",TRUE(),N(AH629)=AG629),IF(AI629="",TRUE(),N(AJ629)=AI629)),"一致","不一致"))))</f>
        <v>―</v>
      </c>
      <c r="G629" s="25"/>
      <c r="H629" s="26"/>
      <c r="I629" s="27"/>
      <c r="J629" s="27"/>
      <c r="K629" s="27"/>
      <c r="L629" s="27"/>
      <c r="M629" s="27"/>
      <c r="N629" s="27"/>
      <c r="O629" s="27"/>
      <c r="P629" s="27"/>
      <c r="Q629" s="27"/>
      <c r="R629" s="27"/>
      <c r="S629" s="27"/>
      <c r="T629" s="27"/>
      <c r="U629" s="27"/>
      <c r="V629" s="27"/>
      <c r="W629" s="27"/>
      <c r="X629" s="27"/>
      <c r="Y629" s="27"/>
      <c r="Z629" s="27"/>
      <c r="AA629" s="10" t="str">
        <f aca="false">IFERROR(INDEX(設定!$E$61:$E$106,MATCH(B629,設定!$B$61:$B$106,0)),"合算")</f>
        <v>合算</v>
      </c>
      <c r="AB629" s="28"/>
      <c r="AC629" s="29" t="str">
        <f aca="false">IF(OR(G629="",G629="なし"),"",IF(AA629="合算",CJ629+N(Z629),IF(AA629="掛金・負担金別",(AY629+AZ629+BD629+BF629+BH629),SUM(AY629:BC629))))</f>
        <v/>
      </c>
      <c r="AD629" s="27"/>
      <c r="AE629" s="29" t="str">
        <f aca="false">IF(OR(G629="",G629="なし"),"",IF(AA629="掛金・負担金別",(BA629+BB629+BC629+BE629+BG629+BI629+N(Z629)),IF(AA629="経理区分別",BD629+BE629,"")))</f>
        <v/>
      </c>
      <c r="AF629" s="27"/>
      <c r="AG629" s="29" t="str">
        <f aca="false">IF(OR(G629="",G629="なし"),"",IF(AA629="経理区分別",BF629+BG629,""))</f>
        <v/>
      </c>
      <c r="AH629" s="27"/>
      <c r="AI629" s="29" t="str">
        <f aca="false">IF(OR(G629="",G629="なし"),"",IF(AA629="経理区分別",BH629+BI629+N(Z629),""))</f>
        <v/>
      </c>
      <c r="AJ629" s="27"/>
      <c r="AK629" s="26"/>
      <c r="AL629" s="26"/>
      <c r="AM629" s="30"/>
      <c r="AN629" s="31"/>
      <c r="AO629" s="31"/>
      <c r="AP629" s="31" t="n">
        <v>293989</v>
      </c>
      <c r="AQ629" s="31" t="n">
        <v>24097</v>
      </c>
      <c r="AR629" s="31" t="n">
        <v>303</v>
      </c>
      <c r="AS629" s="31"/>
      <c r="AT629" s="31" t="n">
        <v>177065</v>
      </c>
      <c r="AU629" s="31"/>
      <c r="AV629" s="31" t="n">
        <v>17681</v>
      </c>
      <c r="AW629" s="31"/>
      <c r="AX629" s="31" t="n">
        <v>1</v>
      </c>
      <c r="AY629" s="31" t="n">
        <f aca="false">IF($G629="",AN629,O629)</f>
        <v>0</v>
      </c>
      <c r="AZ629" s="31" t="n">
        <f aca="false">IF($G629="",AO629,P629)</f>
        <v>0</v>
      </c>
      <c r="BA629" s="31" t="n">
        <f aca="false">IF($G629="",AP629,T629)</f>
        <v>293989</v>
      </c>
      <c r="BB629" s="31" t="n">
        <f aca="false">IF($G629="",AQ629,U629)</f>
        <v>24097</v>
      </c>
      <c r="BC629" s="31" t="n">
        <f aca="false">IF($G629="",AR629,V629)</f>
        <v>303</v>
      </c>
      <c r="BD629" s="31" t="n">
        <f aca="false">IF($G629="",AS629,Q629)</f>
        <v>0</v>
      </c>
      <c r="BE629" s="31" t="n">
        <f aca="false">IF($G629="",AT629,W629)</f>
        <v>177065</v>
      </c>
      <c r="BF629" s="31" t="n">
        <f aca="false">IF($G629="",AU629,R629)</f>
        <v>0</v>
      </c>
      <c r="BG629" s="31" t="n">
        <f aca="false">IF($G629="",AV629,X629)</f>
        <v>17681</v>
      </c>
      <c r="BH629" s="31" t="n">
        <f aca="false">IF($G629="",AW629,S629)</f>
        <v>0</v>
      </c>
      <c r="BI629" s="31" t="n">
        <f aca="false">IF($G629="",AX629,Y629)</f>
        <v>1</v>
      </c>
      <c r="BJ629" s="31" t="n">
        <f aca="false">IF(CK629="N",BR629,ROUNDDOWN((I629-L629)*設定!$B$10/1000,0)+ROUNDDOWN((I629-L629)*設定!$B$11/1000,0))</f>
        <v>0</v>
      </c>
      <c r="BK629" s="31" t="n">
        <f aca="false">ROUNDDOWN((I629-L629)*設定!$C$10/1000,0)+ROUNDDOWN((I629-L629)*設定!$C$11/1000,0)+ROUNDDOWN(I629*設定!$C$12/1000,0)+IF(CL629="市局型",ROUNDDOWN(I629*設定!$C$16/1000,0),0)</f>
        <v>0</v>
      </c>
      <c r="BL629" s="31" t="n">
        <f aca="false">IF(CK629="N",BT629,ROUNDDOWN((J629-M629)*設定!$B$13/1000,0))</f>
        <v>0</v>
      </c>
      <c r="BM629" s="31" t="n">
        <f aca="false">ROUNDDOWN((J629-M629)*設定!$C$13/1000,0)+IF(CL629="市局型",ROUNDDOWN(J629*設定!$C$17/1000,0),0)</f>
        <v>0</v>
      </c>
      <c r="BN629" s="31" t="n">
        <f aca="false">IF(CK629="N",BV629,ROUNDDOWN((K629-N629)*設定!$B$14/1000,0))</f>
        <v>0</v>
      </c>
      <c r="BO629" s="31" t="n">
        <f aca="false">ROUNDDOWN((K629-N629)*設定!$C$14/1000,0)</f>
        <v>0</v>
      </c>
      <c r="BP629" s="31" t="n">
        <f aca="false">IF(CK629="N",BX629,ROUNDDOWN((J629-M629)*設定!$B$15/1000,0))</f>
        <v>0</v>
      </c>
      <c r="BQ629" s="31" t="n">
        <f aca="false">ROUNDDOWN((J629-M629)*設定!$C$15/1000,0)</f>
        <v>0</v>
      </c>
      <c r="BR629" s="31" t="n">
        <f aca="false">O629+P629</f>
        <v>0</v>
      </c>
      <c r="BS629" s="31" t="n">
        <f aca="false">T629+U629+V629</f>
        <v>0</v>
      </c>
      <c r="BT629" s="31" t="n">
        <f aca="false">Q629</f>
        <v>0</v>
      </c>
      <c r="BU629" s="31" t="n">
        <f aca="false">W629</f>
        <v>0</v>
      </c>
      <c r="BV629" s="31" t="n">
        <f aca="false">R629</f>
        <v>0</v>
      </c>
      <c r="BW629" s="31" t="n">
        <f aca="false">X629</f>
        <v>0</v>
      </c>
      <c r="BX629" s="31" t="n">
        <f aca="false">S629</f>
        <v>0</v>
      </c>
      <c r="BY629" s="31" t="n">
        <f aca="false">Y629</f>
        <v>0</v>
      </c>
      <c r="BZ629" s="32" t="n">
        <f aca="false">IF(BJ629=0,IF(BR629=0,0,1),(BR629-BJ629)/BJ629)</f>
        <v>0</v>
      </c>
      <c r="CA629" s="32" t="n">
        <f aca="false">IF(BK629=0,IF(BS629=0,0,1),(BS629-BK629)/BK629)</f>
        <v>0</v>
      </c>
      <c r="CB629" s="32" t="n">
        <f aca="false">IF(BL629=0,IF(BT629=0,0,1),(BT629-BL629)/BL629)</f>
        <v>0</v>
      </c>
      <c r="CC629" s="32" t="n">
        <f aca="false">IF(BM629=0,IF(BU629=0,0,1),(BU629-BM629)/BM629)</f>
        <v>0</v>
      </c>
      <c r="CD629" s="32" t="n">
        <f aca="false">IF(BN629=0,IF(BV629=0,0,1),(BV629-BN629)/BN629)</f>
        <v>0</v>
      </c>
      <c r="CE629" s="32" t="n">
        <f aca="false">IF(BO629=0,IF(BW629=0,0,1),(BW629-BO629)/BO629)</f>
        <v>0</v>
      </c>
      <c r="CF629" s="32" t="n">
        <f aca="false">IF(BP629=0,IF(BX629=0,0,1),(BX629-BP629)/BP629)</f>
        <v>0</v>
      </c>
      <c r="CG629" s="32" t="n">
        <f aca="false">IF(BQ629=0,IF(BY629=0,0,1),(BY629-BQ629)/BQ629)</f>
        <v>0</v>
      </c>
      <c r="CH629" s="32" t="n">
        <f aca="false">MAX(MAX(BZ629:CG629),-MIN(BZ629:CG629))</f>
        <v>-0</v>
      </c>
      <c r="CI629" s="31" t="str">
        <f aca="false">IF(CO629="","",SUMIFS($CJ$7:$CJ$696,$A$7:$A$696,CO629,$B$7:$B$696,B629))</f>
        <v/>
      </c>
      <c r="CJ629" s="31" t="n">
        <f aca="false">SUM(AY629:BI629)</f>
        <v>513136</v>
      </c>
      <c r="CK629" s="31" t="str">
        <f aca="false">IFERROR(INDEX(設定!$F$61:$F$106,MATCH(B629,設定!$B$61:$B$106,0)),"Y")</f>
        <v>N</v>
      </c>
      <c r="CL629" s="31" t="str">
        <f aca="false">IFERROR(INDEX(設定!$G$61:$G$106,MATCH(B629,設定!$B$61:$B$106,0)),"外郭型")</f>
        <v>外郭型</v>
      </c>
      <c r="CM629" s="33" t="str">
        <f aca="false">A629&amp;"|"&amp;B629</f>
        <v>2027-03 賞与|農林水産振興センタ</v>
      </c>
      <c r="CN629" s="34" t="str">
        <f aca="false">IFERROR(INDEX(設定!$D$61:$D$106,MATCH(B629,設定!$B$61:$B$106,0)),"Y")</f>
        <v>Y</v>
      </c>
      <c r="CO629" s="34" t="str">
        <f aca="false">IFERROR(INDEX(設定!$D$20:$D$34,MATCH(A629,設定!$A$20:$A$34,0))&amp;"","")</f>
        <v/>
      </c>
    </row>
    <row r="630" customFormat="false" ht="15" hidden="true" customHeight="false" outlineLevel="0" collapsed="false">
      <c r="A630" s="22" t="s">
        <v>229</v>
      </c>
      <c r="B630" s="23" t="s">
        <v>194</v>
      </c>
      <c r="C630" s="10" t="str">
        <f aca="false">IF(G630="","未受領",IF(G630="なし","報告なし",IF(AL630="○","起票済",IF(OR(AK630="○",F630="一致",F630="入金不要"),"入金確認済","受領済"))))</f>
        <v>未受領</v>
      </c>
      <c r="D630" s="10" t="str">
        <f aca="false">IF(OR(G630="",G630="なし"),"―",IF(CN630="N","対象外",IF(AND(I630="",J630="",K630=""),"標報未入力",IF(CH630&gt;=設定!$B$4,"要確認","問題なし"))))</f>
        <v>―</v>
      </c>
      <c r="E630" s="24" t="str">
        <f aca="false">IF(OR(G630="",G630="なし",CI630="",CJ630=0),"―",IF(CJ630=CI630,"前月同額",IF(CI630=0,"―",IF(ABS(CJ630/CI630-1)&gt;=設定!$B$5,"変動大 "&amp;TEXT(CJ630/CI630-1,"+0%;-0%"),"〇"))))</f>
        <v>―</v>
      </c>
      <c r="F630" s="10" t="str">
        <f aca="false">IF(OR(G630="",G630="なし"),"―",IF(CJ630=0,"入金不要",IF(COUNT(AD630,AF630,AH630,AJ630)=0,IF(AK630="○","手動確認","未入金"),IF(AND(N(AD630)=AC630,IF(AE630="",TRUE(),N(AF630)=AE630),IF(AG630="",TRUE(),N(AH630)=AG630),IF(AI630="",TRUE(),N(AJ630)=AI630)),"一致","不一致"))))</f>
        <v>―</v>
      </c>
      <c r="G630" s="25"/>
      <c r="H630" s="26"/>
      <c r="I630" s="27"/>
      <c r="J630" s="27"/>
      <c r="K630" s="27"/>
      <c r="L630" s="27"/>
      <c r="M630" s="27"/>
      <c r="N630" s="27"/>
      <c r="O630" s="27"/>
      <c r="P630" s="27"/>
      <c r="Q630" s="27"/>
      <c r="R630" s="27"/>
      <c r="S630" s="27"/>
      <c r="T630" s="27"/>
      <c r="U630" s="27"/>
      <c r="V630" s="27"/>
      <c r="W630" s="27"/>
      <c r="X630" s="27"/>
      <c r="Y630" s="27"/>
      <c r="Z630" s="27"/>
      <c r="AA630" s="10" t="str">
        <f aca="false">IFERROR(INDEX(設定!$E$61:$E$106,MATCH(B630,設定!$B$61:$B$106,0)),"合算")</f>
        <v>合算</v>
      </c>
      <c r="AB630" s="28"/>
      <c r="AC630" s="29" t="str">
        <f aca="false">IF(OR(G630="",G630="なし"),"",IF(AA630="合算",CJ630+N(Z630),IF(AA630="掛金・負担金別",(AY630+AZ630+BD630+BF630+BH630),SUM(AY630:BC630))))</f>
        <v/>
      </c>
      <c r="AD630" s="27"/>
      <c r="AE630" s="29" t="str">
        <f aca="false">IF(OR(G630="",G630="なし"),"",IF(AA630="掛金・負担金別",(BA630+BB630+BC630+BE630+BG630+BI630+N(Z630)),IF(AA630="経理区分別",BD630+BE630,"")))</f>
        <v/>
      </c>
      <c r="AF630" s="27"/>
      <c r="AG630" s="29" t="str">
        <f aca="false">IF(OR(G630="",G630="なし"),"",IF(AA630="経理区分別",BF630+BG630,""))</f>
        <v/>
      </c>
      <c r="AH630" s="27"/>
      <c r="AI630" s="29" t="str">
        <f aca="false">IF(OR(G630="",G630="なし"),"",IF(AA630="経理区分別",BH630+BI630+N(Z630),""))</f>
        <v/>
      </c>
      <c r="AJ630" s="27"/>
      <c r="AK630" s="26"/>
      <c r="AL630" s="26"/>
      <c r="AM630" s="30"/>
      <c r="AN630" s="31"/>
      <c r="AO630" s="31"/>
      <c r="AP630" s="31" t="n">
        <v>535372</v>
      </c>
      <c r="AQ630" s="31" t="n">
        <v>43880</v>
      </c>
      <c r="AR630" s="31" t="n">
        <v>546</v>
      </c>
      <c r="AS630" s="31"/>
      <c r="AT630" s="31" t="n">
        <v>322445</v>
      </c>
      <c r="AU630" s="31"/>
      <c r="AV630" s="31" t="n">
        <v>43832</v>
      </c>
      <c r="AW630" s="31"/>
      <c r="AX630" s="31" t="n">
        <v>1</v>
      </c>
      <c r="AY630" s="31" t="n">
        <f aca="false">IF($G630="",AN630,O630)</f>
        <v>0</v>
      </c>
      <c r="AZ630" s="31" t="n">
        <f aca="false">IF($G630="",AO630,P630)</f>
        <v>0</v>
      </c>
      <c r="BA630" s="31" t="n">
        <f aca="false">IF($G630="",AP630,T630)</f>
        <v>535372</v>
      </c>
      <c r="BB630" s="31" t="n">
        <f aca="false">IF($G630="",AQ630,U630)</f>
        <v>43880</v>
      </c>
      <c r="BC630" s="31" t="n">
        <f aca="false">IF($G630="",AR630,V630)</f>
        <v>546</v>
      </c>
      <c r="BD630" s="31" t="n">
        <f aca="false">IF($G630="",AS630,Q630)</f>
        <v>0</v>
      </c>
      <c r="BE630" s="31" t="n">
        <f aca="false">IF($G630="",AT630,W630)</f>
        <v>322445</v>
      </c>
      <c r="BF630" s="31" t="n">
        <f aca="false">IF($G630="",AU630,R630)</f>
        <v>0</v>
      </c>
      <c r="BG630" s="31" t="n">
        <f aca="false">IF($G630="",AV630,X630)</f>
        <v>43832</v>
      </c>
      <c r="BH630" s="31" t="n">
        <f aca="false">IF($G630="",AW630,S630)</f>
        <v>0</v>
      </c>
      <c r="BI630" s="31" t="n">
        <f aca="false">IF($G630="",AX630,Y630)</f>
        <v>1</v>
      </c>
      <c r="BJ630" s="31" t="n">
        <f aca="false">IF(CK630="N",BR630,ROUNDDOWN((I630-L630)*設定!$B$10/1000,0)+ROUNDDOWN((I630-L630)*設定!$B$11/1000,0))</f>
        <v>0</v>
      </c>
      <c r="BK630" s="31" t="n">
        <f aca="false">ROUNDDOWN((I630-L630)*設定!$C$10/1000,0)+ROUNDDOWN((I630-L630)*設定!$C$11/1000,0)+ROUNDDOWN(I630*設定!$C$12/1000,0)+IF(CL630="市局型",ROUNDDOWN(I630*設定!$C$16/1000,0),0)</f>
        <v>0</v>
      </c>
      <c r="BL630" s="31" t="n">
        <f aca="false">IF(CK630="N",BT630,ROUNDDOWN((J630-M630)*設定!$B$13/1000,0))</f>
        <v>0</v>
      </c>
      <c r="BM630" s="31" t="n">
        <f aca="false">ROUNDDOWN((J630-M630)*設定!$C$13/1000,0)+IF(CL630="市局型",ROUNDDOWN(J630*設定!$C$17/1000,0),0)</f>
        <v>0</v>
      </c>
      <c r="BN630" s="31" t="n">
        <f aca="false">IF(CK630="N",BV630,ROUNDDOWN((K630-N630)*設定!$B$14/1000,0))</f>
        <v>0</v>
      </c>
      <c r="BO630" s="31" t="n">
        <f aca="false">ROUNDDOWN((K630-N630)*設定!$C$14/1000,0)</f>
        <v>0</v>
      </c>
      <c r="BP630" s="31" t="n">
        <f aca="false">IF(CK630="N",BX630,ROUNDDOWN((J630-M630)*設定!$B$15/1000,0))</f>
        <v>0</v>
      </c>
      <c r="BQ630" s="31" t="n">
        <f aca="false">ROUNDDOWN((J630-M630)*設定!$C$15/1000,0)</f>
        <v>0</v>
      </c>
      <c r="BR630" s="31" t="n">
        <f aca="false">O630+P630</f>
        <v>0</v>
      </c>
      <c r="BS630" s="31" t="n">
        <f aca="false">T630+U630+V630</f>
        <v>0</v>
      </c>
      <c r="BT630" s="31" t="n">
        <f aca="false">Q630</f>
        <v>0</v>
      </c>
      <c r="BU630" s="31" t="n">
        <f aca="false">W630</f>
        <v>0</v>
      </c>
      <c r="BV630" s="31" t="n">
        <f aca="false">R630</f>
        <v>0</v>
      </c>
      <c r="BW630" s="31" t="n">
        <f aca="false">X630</f>
        <v>0</v>
      </c>
      <c r="BX630" s="31" t="n">
        <f aca="false">S630</f>
        <v>0</v>
      </c>
      <c r="BY630" s="31" t="n">
        <f aca="false">Y630</f>
        <v>0</v>
      </c>
      <c r="BZ630" s="32" t="n">
        <f aca="false">IF(BJ630=0,IF(BR630=0,0,1),(BR630-BJ630)/BJ630)</f>
        <v>0</v>
      </c>
      <c r="CA630" s="32" t="n">
        <f aca="false">IF(BK630=0,IF(BS630=0,0,1),(BS630-BK630)/BK630)</f>
        <v>0</v>
      </c>
      <c r="CB630" s="32" t="n">
        <f aca="false">IF(BL630=0,IF(BT630=0,0,1),(BT630-BL630)/BL630)</f>
        <v>0</v>
      </c>
      <c r="CC630" s="32" t="n">
        <f aca="false">IF(BM630=0,IF(BU630=0,0,1),(BU630-BM630)/BM630)</f>
        <v>0</v>
      </c>
      <c r="CD630" s="32" t="n">
        <f aca="false">IF(BN630=0,IF(BV630=0,0,1),(BV630-BN630)/BN630)</f>
        <v>0</v>
      </c>
      <c r="CE630" s="32" t="n">
        <f aca="false">IF(BO630=0,IF(BW630=0,0,1),(BW630-BO630)/BO630)</f>
        <v>0</v>
      </c>
      <c r="CF630" s="32" t="n">
        <f aca="false">IF(BP630=0,IF(BX630=0,0,1),(BX630-BP630)/BP630)</f>
        <v>0</v>
      </c>
      <c r="CG630" s="32" t="n">
        <f aca="false">IF(BQ630=0,IF(BY630=0,0,1),(BY630-BQ630)/BQ630)</f>
        <v>0</v>
      </c>
      <c r="CH630" s="32" t="n">
        <f aca="false">MAX(MAX(BZ630:CG630),-MIN(BZ630:CG630))</f>
        <v>-0</v>
      </c>
      <c r="CI630" s="31" t="str">
        <f aca="false">IF(CO630="","",SUMIFS($CJ$7:$CJ$696,$A$7:$A$696,CO630,$B$7:$B$696,B630))</f>
        <v/>
      </c>
      <c r="CJ630" s="31" t="n">
        <f aca="false">SUM(AY630:BI630)</f>
        <v>946076</v>
      </c>
      <c r="CK630" s="31" t="str">
        <f aca="false">IFERROR(INDEX(設定!$F$61:$F$106,MATCH(B630,設定!$B$61:$B$106,0)),"Y")</f>
        <v>N</v>
      </c>
      <c r="CL630" s="31" t="str">
        <f aca="false">IFERROR(INDEX(設定!$G$61:$G$106,MATCH(B630,設定!$B$61:$B$106,0)),"外郭型")</f>
        <v>外郭型</v>
      </c>
      <c r="CM630" s="33" t="str">
        <f aca="false">A630&amp;"|"&amp;B630</f>
        <v>2027-03 賞与|文化財団　市長部局</v>
      </c>
      <c r="CN630" s="34" t="str">
        <f aca="false">IFERROR(INDEX(設定!$D$61:$D$106,MATCH(B630,設定!$B$61:$B$106,0)),"Y")</f>
        <v>Y</v>
      </c>
      <c r="CO630" s="34" t="str">
        <f aca="false">IFERROR(INDEX(設定!$D$20:$D$34,MATCH(A630,設定!$A$20:$A$34,0))&amp;"","")</f>
        <v/>
      </c>
    </row>
    <row r="631" customFormat="false" ht="15" hidden="true" customHeight="false" outlineLevel="0" collapsed="false">
      <c r="A631" s="22" t="s">
        <v>229</v>
      </c>
      <c r="B631" s="23" t="s">
        <v>195</v>
      </c>
      <c r="C631" s="10" t="str">
        <f aca="false">IF(G631="","未受領",IF(G631="なし","報告なし",IF(AL631="○","起票済",IF(OR(AK631="○",F631="一致",F631="入金不要"),"入金確認済","受領済"))))</f>
        <v>未受領</v>
      </c>
      <c r="D631" s="10" t="str">
        <f aca="false">IF(OR(G631="",G631="なし"),"―",IF(CN631="N","対象外",IF(AND(I631="",J631="",K631=""),"標報未入力",IF(CH631&gt;=設定!$B$4,"要確認","問題なし"))))</f>
        <v>―</v>
      </c>
      <c r="E631" s="24" t="str">
        <f aca="false">IF(OR(G631="",G631="なし",CI631="",CJ631=0),"―",IF(CJ631=CI631,"前月同額",IF(CI631=0,"―",IF(ABS(CJ631/CI631-1)&gt;=設定!$B$5,"変動大 "&amp;TEXT(CJ631/CI631-1,"+0%;-0%"),"〇"))))</f>
        <v>―</v>
      </c>
      <c r="F631" s="10" t="str">
        <f aca="false">IF(OR(G631="",G631="なし"),"―",IF(CJ631=0,"入金不要",IF(COUNT(AD631,AF631,AH631,AJ631)=0,IF(AK631="○","手動確認","未入金"),IF(AND(N(AD631)=AC631,IF(AE631="",TRUE(),N(AF631)=AE631),IF(AG631="",TRUE(),N(AH631)=AG631),IF(AI631="",TRUE(),N(AJ631)=AI631)),"一致","不一致"))))</f>
        <v>―</v>
      </c>
      <c r="G631" s="25"/>
      <c r="H631" s="26"/>
      <c r="I631" s="27"/>
      <c r="J631" s="27"/>
      <c r="K631" s="27"/>
      <c r="L631" s="27"/>
      <c r="M631" s="27"/>
      <c r="N631" s="27"/>
      <c r="O631" s="27"/>
      <c r="P631" s="27"/>
      <c r="Q631" s="27"/>
      <c r="R631" s="27"/>
      <c r="S631" s="27"/>
      <c r="T631" s="27"/>
      <c r="U631" s="27"/>
      <c r="V631" s="27"/>
      <c r="W631" s="27"/>
      <c r="X631" s="27"/>
      <c r="Y631" s="27"/>
      <c r="Z631" s="27"/>
      <c r="AA631" s="10" t="str">
        <f aca="false">IFERROR(INDEX(設定!$E$61:$E$106,MATCH(B631,設定!$B$61:$B$106,0)),"合算")</f>
        <v>合算</v>
      </c>
      <c r="AB631" s="28"/>
      <c r="AC631" s="29" t="str">
        <f aca="false">IF(OR(G631="",G631="なし"),"",IF(AA631="合算",CJ631+N(Z631),IF(AA631="掛金・負担金別",(AY631+AZ631+BD631+BF631+BH631),SUM(AY631:BC631))))</f>
        <v/>
      </c>
      <c r="AD631" s="27"/>
      <c r="AE631" s="29" t="str">
        <f aca="false">IF(OR(G631="",G631="なし"),"",IF(AA631="掛金・負担金別",(BA631+BB631+BC631+BE631+BG631+BI631+N(Z631)),IF(AA631="経理区分別",BD631+BE631,"")))</f>
        <v/>
      </c>
      <c r="AF631" s="27"/>
      <c r="AG631" s="29" t="str">
        <f aca="false">IF(OR(G631="",G631="なし"),"",IF(AA631="経理区分別",BF631+BG631,""))</f>
        <v/>
      </c>
      <c r="AH631" s="27"/>
      <c r="AI631" s="29" t="str">
        <f aca="false">IF(OR(G631="",G631="なし"),"",IF(AA631="経理区分別",BH631+BI631+N(Z631),""))</f>
        <v/>
      </c>
      <c r="AJ631" s="27"/>
      <c r="AK631" s="26"/>
      <c r="AL631" s="26"/>
      <c r="AM631" s="30"/>
      <c r="AN631" s="31"/>
      <c r="AO631" s="31"/>
      <c r="AP631" s="31" t="n">
        <v>0</v>
      </c>
      <c r="AQ631" s="31" t="n">
        <v>0</v>
      </c>
      <c r="AR631" s="31" t="n">
        <v>0</v>
      </c>
      <c r="AS631" s="31"/>
      <c r="AT631" s="31" t="n">
        <v>0</v>
      </c>
      <c r="AU631" s="31"/>
      <c r="AV631" s="31" t="n">
        <v>0</v>
      </c>
      <c r="AW631" s="31"/>
      <c r="AX631" s="31" t="n">
        <v>0</v>
      </c>
      <c r="AY631" s="31" t="n">
        <f aca="false">IF($G631="",AN631,O631)</f>
        <v>0</v>
      </c>
      <c r="AZ631" s="31" t="n">
        <f aca="false">IF($G631="",AO631,P631)</f>
        <v>0</v>
      </c>
      <c r="BA631" s="31" t="n">
        <f aca="false">IF($G631="",AP631,T631)</f>
        <v>0</v>
      </c>
      <c r="BB631" s="31" t="n">
        <f aca="false">IF($G631="",AQ631,U631)</f>
        <v>0</v>
      </c>
      <c r="BC631" s="31" t="n">
        <f aca="false">IF($G631="",AR631,V631)</f>
        <v>0</v>
      </c>
      <c r="BD631" s="31" t="n">
        <f aca="false">IF($G631="",AS631,Q631)</f>
        <v>0</v>
      </c>
      <c r="BE631" s="31" t="n">
        <f aca="false">IF($G631="",AT631,W631)</f>
        <v>0</v>
      </c>
      <c r="BF631" s="31" t="n">
        <f aca="false">IF($G631="",AU631,R631)</f>
        <v>0</v>
      </c>
      <c r="BG631" s="31" t="n">
        <f aca="false">IF($G631="",AV631,X631)</f>
        <v>0</v>
      </c>
      <c r="BH631" s="31" t="n">
        <f aca="false">IF($G631="",AW631,S631)</f>
        <v>0</v>
      </c>
      <c r="BI631" s="31" t="n">
        <f aca="false">IF($G631="",AX631,Y631)</f>
        <v>0</v>
      </c>
      <c r="BJ631" s="31" t="n">
        <f aca="false">IF(CK631="N",BR631,ROUNDDOWN((I631-L631)*設定!$B$10/1000,0)+ROUNDDOWN((I631-L631)*設定!$B$11/1000,0))</f>
        <v>0</v>
      </c>
      <c r="BK631" s="31" t="n">
        <f aca="false">ROUNDDOWN((I631-L631)*設定!$C$10/1000,0)+ROUNDDOWN((I631-L631)*設定!$C$11/1000,0)+ROUNDDOWN(I631*設定!$C$12/1000,0)+IF(CL631="市局型",ROUNDDOWN(I631*設定!$C$16/1000,0),0)</f>
        <v>0</v>
      </c>
      <c r="BL631" s="31" t="n">
        <f aca="false">IF(CK631="N",BT631,ROUNDDOWN((J631-M631)*設定!$B$13/1000,0))</f>
        <v>0</v>
      </c>
      <c r="BM631" s="31" t="n">
        <f aca="false">ROUNDDOWN((J631-M631)*設定!$C$13/1000,0)+IF(CL631="市局型",ROUNDDOWN(J631*設定!$C$17/1000,0),0)</f>
        <v>0</v>
      </c>
      <c r="BN631" s="31" t="n">
        <f aca="false">IF(CK631="N",BV631,ROUNDDOWN((K631-N631)*設定!$B$14/1000,0))</f>
        <v>0</v>
      </c>
      <c r="BO631" s="31" t="n">
        <f aca="false">ROUNDDOWN((K631-N631)*設定!$C$14/1000,0)</f>
        <v>0</v>
      </c>
      <c r="BP631" s="31" t="n">
        <f aca="false">IF(CK631="N",BX631,ROUNDDOWN((J631-M631)*設定!$B$15/1000,0))</f>
        <v>0</v>
      </c>
      <c r="BQ631" s="31" t="n">
        <f aca="false">ROUNDDOWN((J631-M631)*設定!$C$15/1000,0)</f>
        <v>0</v>
      </c>
      <c r="BR631" s="31" t="n">
        <f aca="false">O631+P631</f>
        <v>0</v>
      </c>
      <c r="BS631" s="31" t="n">
        <f aca="false">T631+U631+V631</f>
        <v>0</v>
      </c>
      <c r="BT631" s="31" t="n">
        <f aca="false">Q631</f>
        <v>0</v>
      </c>
      <c r="BU631" s="31" t="n">
        <f aca="false">W631</f>
        <v>0</v>
      </c>
      <c r="BV631" s="31" t="n">
        <f aca="false">R631</f>
        <v>0</v>
      </c>
      <c r="BW631" s="31" t="n">
        <f aca="false">X631</f>
        <v>0</v>
      </c>
      <c r="BX631" s="31" t="n">
        <f aca="false">S631</f>
        <v>0</v>
      </c>
      <c r="BY631" s="31" t="n">
        <f aca="false">Y631</f>
        <v>0</v>
      </c>
      <c r="BZ631" s="32" t="n">
        <f aca="false">IF(BJ631=0,IF(BR631=0,0,1),(BR631-BJ631)/BJ631)</f>
        <v>0</v>
      </c>
      <c r="CA631" s="32" t="n">
        <f aca="false">IF(BK631=0,IF(BS631=0,0,1),(BS631-BK631)/BK631)</f>
        <v>0</v>
      </c>
      <c r="CB631" s="32" t="n">
        <f aca="false">IF(BL631=0,IF(BT631=0,0,1),(BT631-BL631)/BL631)</f>
        <v>0</v>
      </c>
      <c r="CC631" s="32" t="n">
        <f aca="false">IF(BM631=0,IF(BU631=0,0,1),(BU631-BM631)/BM631)</f>
        <v>0</v>
      </c>
      <c r="CD631" s="32" t="n">
        <f aca="false">IF(BN631=0,IF(BV631=0,0,1),(BV631-BN631)/BN631)</f>
        <v>0</v>
      </c>
      <c r="CE631" s="32" t="n">
        <f aca="false">IF(BO631=0,IF(BW631=0,0,1),(BW631-BO631)/BO631)</f>
        <v>0</v>
      </c>
      <c r="CF631" s="32" t="n">
        <f aca="false">IF(BP631=0,IF(BX631=0,0,1),(BX631-BP631)/BP631)</f>
        <v>0</v>
      </c>
      <c r="CG631" s="32" t="n">
        <f aca="false">IF(BQ631=0,IF(BY631=0,0,1),(BY631-BQ631)/BQ631)</f>
        <v>0</v>
      </c>
      <c r="CH631" s="32" t="n">
        <f aca="false">MAX(MAX(BZ631:CG631),-MIN(BZ631:CG631))</f>
        <v>-0</v>
      </c>
      <c r="CI631" s="31" t="str">
        <f aca="false">IF(CO631="","",SUMIFS($CJ$7:$CJ$696,$A$7:$A$696,CO631,$B$7:$B$696,B631))</f>
        <v/>
      </c>
      <c r="CJ631" s="31" t="n">
        <f aca="false">SUM(AY631:BI631)</f>
        <v>0</v>
      </c>
      <c r="CK631" s="31" t="str">
        <f aca="false">IFERROR(INDEX(設定!$F$61:$F$106,MATCH(B631,設定!$B$61:$B$106,0)),"Y")</f>
        <v>N</v>
      </c>
      <c r="CL631" s="31" t="str">
        <f aca="false">IFERROR(INDEX(設定!$G$61:$G$106,MATCH(B631,設定!$B$61:$B$106,0)),"外郭型")</f>
        <v>外郭型</v>
      </c>
      <c r="CM631" s="33" t="str">
        <f aca="false">A631&amp;"|"&amp;B631</f>
        <v>2027-03 賞与|文化財団　教育委員会</v>
      </c>
      <c r="CN631" s="34" t="str">
        <f aca="false">IFERROR(INDEX(設定!$D$61:$D$106,MATCH(B631,設定!$B$61:$B$106,0)),"Y")</f>
        <v>Y</v>
      </c>
      <c r="CO631" s="34" t="str">
        <f aca="false">IFERROR(INDEX(設定!$D$20:$D$34,MATCH(A631,設定!$A$20:$A$34,0))&amp;"","")</f>
        <v/>
      </c>
    </row>
    <row r="632" customFormat="false" ht="15" hidden="true" customHeight="false" outlineLevel="0" collapsed="false">
      <c r="A632" s="22" t="s">
        <v>229</v>
      </c>
      <c r="B632" s="23" t="s">
        <v>196</v>
      </c>
      <c r="C632" s="10" t="str">
        <f aca="false">IF(G632="","未受領",IF(G632="なし","報告なし",IF(AL632="○","起票済",IF(OR(AK632="○",F632="一致",F632="入金不要"),"入金確認済","受領済"))))</f>
        <v>未受領</v>
      </c>
      <c r="D632" s="10" t="str">
        <f aca="false">IF(OR(G632="",G632="なし"),"―",IF(CN632="N","対象外",IF(AND(I632="",J632="",K632=""),"標報未入力",IF(CH632&gt;=設定!$B$4,"要確認","問題なし"))))</f>
        <v>―</v>
      </c>
      <c r="E632" s="24" t="str">
        <f aca="false">IF(OR(G632="",G632="なし",CI632="",CJ632=0),"―",IF(CJ632=CI632,"前月同額",IF(CI632=0,"―",IF(ABS(CJ632/CI632-1)&gt;=設定!$B$5,"変動大 "&amp;TEXT(CJ632/CI632-1,"+0%;-0%"),"〇"))))</f>
        <v>―</v>
      </c>
      <c r="F632" s="10" t="str">
        <f aca="false">IF(OR(G632="",G632="なし"),"―",IF(CJ632=0,"入金不要",IF(COUNT(AD632,AF632,AH632,AJ632)=0,IF(AK632="○","手動確認","未入金"),IF(AND(N(AD632)=AC632,IF(AE632="",TRUE(),N(AF632)=AE632),IF(AG632="",TRUE(),N(AH632)=AG632),IF(AI632="",TRUE(),N(AJ632)=AI632)),"一致","不一致"))))</f>
        <v>―</v>
      </c>
      <c r="G632" s="25"/>
      <c r="H632" s="26"/>
      <c r="I632" s="27"/>
      <c r="J632" s="27"/>
      <c r="K632" s="27"/>
      <c r="L632" s="27"/>
      <c r="M632" s="27"/>
      <c r="N632" s="27"/>
      <c r="O632" s="27"/>
      <c r="P632" s="27"/>
      <c r="Q632" s="27"/>
      <c r="R632" s="27"/>
      <c r="S632" s="27"/>
      <c r="T632" s="27"/>
      <c r="U632" s="27"/>
      <c r="V632" s="27"/>
      <c r="W632" s="27"/>
      <c r="X632" s="27"/>
      <c r="Y632" s="27"/>
      <c r="Z632" s="27"/>
      <c r="AA632" s="10" t="str">
        <f aca="false">IFERROR(INDEX(設定!$E$61:$E$106,MATCH(B632,設定!$B$61:$B$106,0)),"合算")</f>
        <v>合算</v>
      </c>
      <c r="AB632" s="28"/>
      <c r="AC632" s="29" t="str">
        <f aca="false">IF(OR(G632="",G632="なし"),"",IF(AA632="合算",CJ632+N(Z632),IF(AA632="掛金・負担金別",(AY632+AZ632+BD632+BF632+BH632),SUM(AY632:BC632))))</f>
        <v/>
      </c>
      <c r="AD632" s="27"/>
      <c r="AE632" s="29" t="str">
        <f aca="false">IF(OR(G632="",G632="なし"),"",IF(AA632="掛金・負担金別",(BA632+BB632+BC632+BE632+BG632+BI632+N(Z632)),IF(AA632="経理区分別",BD632+BE632,"")))</f>
        <v/>
      </c>
      <c r="AF632" s="27"/>
      <c r="AG632" s="29" t="str">
        <f aca="false">IF(OR(G632="",G632="なし"),"",IF(AA632="経理区分別",BF632+BG632,""))</f>
        <v/>
      </c>
      <c r="AH632" s="27"/>
      <c r="AI632" s="29" t="str">
        <f aca="false">IF(OR(G632="",G632="なし"),"",IF(AA632="経理区分別",BH632+BI632+N(Z632),""))</f>
        <v/>
      </c>
      <c r="AJ632" s="27"/>
      <c r="AK632" s="26"/>
      <c r="AL632" s="26"/>
      <c r="AM632" s="30"/>
      <c r="AN632" s="31"/>
      <c r="AO632" s="31"/>
      <c r="AP632" s="31" t="n">
        <v>185565</v>
      </c>
      <c r="AQ632" s="31" t="n">
        <v>15210</v>
      </c>
      <c r="AR632" s="31" t="n">
        <v>188</v>
      </c>
      <c r="AS632" s="31"/>
      <c r="AT632" s="31" t="n">
        <v>111760</v>
      </c>
      <c r="AU632" s="31"/>
      <c r="AV632" s="31" t="n">
        <v>16020</v>
      </c>
      <c r="AW632" s="31"/>
      <c r="AX632" s="31" t="n">
        <v>1</v>
      </c>
      <c r="AY632" s="31" t="n">
        <f aca="false">IF($G632="",AN632,O632)</f>
        <v>0</v>
      </c>
      <c r="AZ632" s="31" t="n">
        <f aca="false">IF($G632="",AO632,P632)</f>
        <v>0</v>
      </c>
      <c r="BA632" s="31" t="n">
        <f aca="false">IF($G632="",AP632,T632)</f>
        <v>185565</v>
      </c>
      <c r="BB632" s="31" t="n">
        <f aca="false">IF($G632="",AQ632,U632)</f>
        <v>15210</v>
      </c>
      <c r="BC632" s="31" t="n">
        <f aca="false">IF($G632="",AR632,V632)</f>
        <v>188</v>
      </c>
      <c r="BD632" s="31" t="n">
        <f aca="false">IF($G632="",AS632,Q632)</f>
        <v>0</v>
      </c>
      <c r="BE632" s="31" t="n">
        <f aca="false">IF($G632="",AT632,W632)</f>
        <v>111760</v>
      </c>
      <c r="BF632" s="31" t="n">
        <f aca="false">IF($G632="",AU632,R632)</f>
        <v>0</v>
      </c>
      <c r="BG632" s="31" t="n">
        <f aca="false">IF($G632="",AV632,X632)</f>
        <v>16020</v>
      </c>
      <c r="BH632" s="31" t="n">
        <f aca="false">IF($G632="",AW632,S632)</f>
        <v>0</v>
      </c>
      <c r="BI632" s="31" t="n">
        <f aca="false">IF($G632="",AX632,Y632)</f>
        <v>1</v>
      </c>
      <c r="BJ632" s="31" t="n">
        <f aca="false">IF(CK632="N",BR632,ROUNDDOWN((I632-L632)*設定!$B$10/1000,0)+ROUNDDOWN((I632-L632)*設定!$B$11/1000,0))</f>
        <v>0</v>
      </c>
      <c r="BK632" s="31" t="n">
        <f aca="false">ROUNDDOWN((I632-L632)*設定!$C$10/1000,0)+ROUNDDOWN((I632-L632)*設定!$C$11/1000,0)+ROUNDDOWN(I632*設定!$C$12/1000,0)+IF(CL632="市局型",ROUNDDOWN(I632*設定!$C$16/1000,0),0)</f>
        <v>0</v>
      </c>
      <c r="BL632" s="31" t="n">
        <f aca="false">IF(CK632="N",BT632,ROUNDDOWN((J632-M632)*設定!$B$13/1000,0))</f>
        <v>0</v>
      </c>
      <c r="BM632" s="31" t="n">
        <f aca="false">ROUNDDOWN((J632-M632)*設定!$C$13/1000,0)+IF(CL632="市局型",ROUNDDOWN(J632*設定!$C$17/1000,0),0)</f>
        <v>0</v>
      </c>
      <c r="BN632" s="31" t="n">
        <f aca="false">IF(CK632="N",BV632,ROUNDDOWN((K632-N632)*設定!$B$14/1000,0))</f>
        <v>0</v>
      </c>
      <c r="BO632" s="31" t="n">
        <f aca="false">ROUNDDOWN((K632-N632)*設定!$C$14/1000,0)</f>
        <v>0</v>
      </c>
      <c r="BP632" s="31" t="n">
        <f aca="false">IF(CK632="N",BX632,ROUNDDOWN((J632-M632)*設定!$B$15/1000,0))</f>
        <v>0</v>
      </c>
      <c r="BQ632" s="31" t="n">
        <f aca="false">ROUNDDOWN((J632-M632)*設定!$C$15/1000,0)</f>
        <v>0</v>
      </c>
      <c r="BR632" s="31" t="n">
        <f aca="false">O632+P632</f>
        <v>0</v>
      </c>
      <c r="BS632" s="31" t="n">
        <f aca="false">T632+U632+V632</f>
        <v>0</v>
      </c>
      <c r="BT632" s="31" t="n">
        <f aca="false">Q632</f>
        <v>0</v>
      </c>
      <c r="BU632" s="31" t="n">
        <f aca="false">W632</f>
        <v>0</v>
      </c>
      <c r="BV632" s="31" t="n">
        <f aca="false">R632</f>
        <v>0</v>
      </c>
      <c r="BW632" s="31" t="n">
        <f aca="false">X632</f>
        <v>0</v>
      </c>
      <c r="BX632" s="31" t="n">
        <f aca="false">S632</f>
        <v>0</v>
      </c>
      <c r="BY632" s="31" t="n">
        <f aca="false">Y632</f>
        <v>0</v>
      </c>
      <c r="BZ632" s="32" t="n">
        <f aca="false">IF(BJ632=0,IF(BR632=0,0,1),(BR632-BJ632)/BJ632)</f>
        <v>0</v>
      </c>
      <c r="CA632" s="32" t="n">
        <f aca="false">IF(BK632=0,IF(BS632=0,0,1),(BS632-BK632)/BK632)</f>
        <v>0</v>
      </c>
      <c r="CB632" s="32" t="n">
        <f aca="false">IF(BL632=0,IF(BT632=0,0,1),(BT632-BL632)/BL632)</f>
        <v>0</v>
      </c>
      <c r="CC632" s="32" t="n">
        <f aca="false">IF(BM632=0,IF(BU632=0,0,1),(BU632-BM632)/BM632)</f>
        <v>0</v>
      </c>
      <c r="CD632" s="32" t="n">
        <f aca="false">IF(BN632=0,IF(BV632=0,0,1),(BV632-BN632)/BN632)</f>
        <v>0</v>
      </c>
      <c r="CE632" s="32" t="n">
        <f aca="false">IF(BO632=0,IF(BW632=0,0,1),(BW632-BO632)/BO632)</f>
        <v>0</v>
      </c>
      <c r="CF632" s="32" t="n">
        <f aca="false">IF(BP632=0,IF(BX632=0,0,1),(BX632-BP632)/BP632)</f>
        <v>0</v>
      </c>
      <c r="CG632" s="32" t="n">
        <f aca="false">IF(BQ632=0,IF(BY632=0,0,1),(BY632-BQ632)/BQ632)</f>
        <v>0</v>
      </c>
      <c r="CH632" s="32" t="n">
        <f aca="false">MAX(MAX(BZ632:CG632),-MIN(BZ632:CG632))</f>
        <v>-0</v>
      </c>
      <c r="CI632" s="31" t="str">
        <f aca="false">IF(CO632="","",SUMIFS($CJ$7:$CJ$696,$A$7:$A$696,CO632,$B$7:$B$696,B632))</f>
        <v/>
      </c>
      <c r="CJ632" s="31" t="n">
        <f aca="false">SUM(AY632:BI632)</f>
        <v>328744</v>
      </c>
      <c r="CK632" s="31" t="str">
        <f aca="false">IFERROR(INDEX(設定!$F$61:$F$106,MATCH(B632,設定!$B$61:$B$106,0)),"Y")</f>
        <v>N</v>
      </c>
      <c r="CL632" s="31" t="str">
        <f aca="false">IFERROR(INDEX(設定!$G$61:$G$106,MATCH(B632,設定!$B$61:$B$106,0)),"外郭型")</f>
        <v>外郭型</v>
      </c>
      <c r="CM632" s="33" t="str">
        <f aca="false">A632&amp;"|"&amp;B632</f>
        <v>2027-03 賞与|みどり生きもの協会</v>
      </c>
      <c r="CN632" s="34" t="str">
        <f aca="false">IFERROR(INDEX(設定!$D$61:$D$106,MATCH(B632,設定!$B$61:$B$106,0)),"Y")</f>
        <v>Y</v>
      </c>
      <c r="CO632" s="34" t="str">
        <f aca="false">IFERROR(INDEX(設定!$D$20:$D$34,MATCH(A632,設定!$A$20:$A$34,0))&amp;"","")</f>
        <v/>
      </c>
    </row>
    <row r="633" customFormat="false" ht="15" hidden="true" customHeight="false" outlineLevel="0" collapsed="false">
      <c r="A633" s="22" t="s">
        <v>229</v>
      </c>
      <c r="B633" s="23" t="s">
        <v>197</v>
      </c>
      <c r="C633" s="10" t="str">
        <f aca="false">IF(G633="","未受領",IF(G633="なし","報告なし",IF(AL633="○","起票済",IF(OR(AK633="○",F633="一致",F633="入金不要"),"入金確認済","受領済"))))</f>
        <v>未受領</v>
      </c>
      <c r="D633" s="10" t="str">
        <f aca="false">IF(OR(G633="",G633="なし"),"―",IF(CN633="N","対象外",IF(AND(I633="",J633="",K633=""),"標報未入力",IF(CH633&gt;=設定!$B$4,"要確認","問題なし"))))</f>
        <v>―</v>
      </c>
      <c r="E633" s="24" t="str">
        <f aca="false">IF(OR(G633="",G633="なし",CI633="",CJ633=0),"―",IF(CJ633=CI633,"前月同額",IF(CI633=0,"―",IF(ABS(CJ633/CI633-1)&gt;=設定!$B$5,"変動大 "&amp;TEXT(CJ633/CI633-1,"+0%;-0%"),"〇"))))</f>
        <v>―</v>
      </c>
      <c r="F633" s="10" t="str">
        <f aca="false">IF(OR(G633="",G633="なし"),"―",IF(CJ633=0,"入金不要",IF(COUNT(AD633,AF633,AH633,AJ633)=0,IF(AK633="○","手動確認","未入金"),IF(AND(N(AD633)=AC633,IF(AE633="",TRUE(),N(AF633)=AE633),IF(AG633="",TRUE(),N(AH633)=AG633),IF(AI633="",TRUE(),N(AJ633)=AI633)),"一致","不一致"))))</f>
        <v>―</v>
      </c>
      <c r="G633" s="25"/>
      <c r="H633" s="26"/>
      <c r="I633" s="27"/>
      <c r="J633" s="27"/>
      <c r="K633" s="27"/>
      <c r="L633" s="27"/>
      <c r="M633" s="27"/>
      <c r="N633" s="27"/>
      <c r="O633" s="27"/>
      <c r="P633" s="27"/>
      <c r="Q633" s="27"/>
      <c r="R633" s="27"/>
      <c r="S633" s="27"/>
      <c r="T633" s="27"/>
      <c r="U633" s="27"/>
      <c r="V633" s="27"/>
      <c r="W633" s="27"/>
      <c r="X633" s="27"/>
      <c r="Y633" s="27"/>
      <c r="Z633" s="27"/>
      <c r="AA633" s="10" t="str">
        <f aca="false">IFERROR(INDEX(設定!$E$61:$E$106,MATCH(B633,設定!$B$61:$B$106,0)),"合算")</f>
        <v>合算</v>
      </c>
      <c r="AB633" s="28"/>
      <c r="AC633" s="29" t="str">
        <f aca="false">IF(OR(G633="",G633="なし"),"",IF(AA633="合算",CJ633+N(Z633),IF(AA633="掛金・負担金別",(AY633+AZ633+BD633+BF633+BH633),SUM(AY633:BC633))))</f>
        <v/>
      </c>
      <c r="AD633" s="27"/>
      <c r="AE633" s="29" t="str">
        <f aca="false">IF(OR(G633="",G633="なし"),"",IF(AA633="掛金・負担金別",(BA633+BB633+BC633+BE633+BG633+BI633+N(Z633)),IF(AA633="経理区分別",BD633+BE633,"")))</f>
        <v/>
      </c>
      <c r="AF633" s="27"/>
      <c r="AG633" s="29" t="str">
        <f aca="false">IF(OR(G633="",G633="なし"),"",IF(AA633="経理区分別",BF633+BG633,""))</f>
        <v/>
      </c>
      <c r="AH633" s="27"/>
      <c r="AI633" s="29" t="str">
        <f aca="false">IF(OR(G633="",G633="なし"),"",IF(AA633="経理区分別",BH633+BI633+N(Z633),""))</f>
        <v/>
      </c>
      <c r="AJ633" s="27"/>
      <c r="AK633" s="26"/>
      <c r="AL633" s="26"/>
      <c r="AM633" s="30"/>
      <c r="AN633" s="31" t="n">
        <v>62127</v>
      </c>
      <c r="AO633" s="31" t="n">
        <v>5091</v>
      </c>
      <c r="AP633" s="31" t="n">
        <v>62130</v>
      </c>
      <c r="AQ633" s="31" t="n">
        <v>5092</v>
      </c>
      <c r="AR633" s="31" t="n">
        <v>63</v>
      </c>
      <c r="AS633" s="31" t="n">
        <v>37350</v>
      </c>
      <c r="AT633" s="31" t="n">
        <v>37419</v>
      </c>
      <c r="AU633" s="31" t="n">
        <v>4012</v>
      </c>
      <c r="AV633" s="31" t="n">
        <v>4013</v>
      </c>
      <c r="AW633" s="31" t="n">
        <v>1</v>
      </c>
      <c r="AX633" s="31" t="n">
        <v>1</v>
      </c>
      <c r="AY633" s="31" t="n">
        <f aca="false">IF($G633="",AN633,O633)</f>
        <v>62127</v>
      </c>
      <c r="AZ633" s="31" t="n">
        <f aca="false">IF($G633="",AO633,P633)</f>
        <v>5091</v>
      </c>
      <c r="BA633" s="31" t="n">
        <f aca="false">IF($G633="",AP633,T633)</f>
        <v>62130</v>
      </c>
      <c r="BB633" s="31" t="n">
        <f aca="false">IF($G633="",AQ633,U633)</f>
        <v>5092</v>
      </c>
      <c r="BC633" s="31" t="n">
        <f aca="false">IF($G633="",AR633,V633)</f>
        <v>63</v>
      </c>
      <c r="BD633" s="31" t="n">
        <f aca="false">IF($G633="",AS633,Q633)</f>
        <v>37350</v>
      </c>
      <c r="BE633" s="31" t="n">
        <f aca="false">IF($G633="",AT633,W633)</f>
        <v>37419</v>
      </c>
      <c r="BF633" s="31" t="n">
        <f aca="false">IF($G633="",AU633,R633)</f>
        <v>4012</v>
      </c>
      <c r="BG633" s="31" t="n">
        <f aca="false">IF($G633="",AV633,X633)</f>
        <v>4013</v>
      </c>
      <c r="BH633" s="31" t="n">
        <f aca="false">IF($G633="",AW633,S633)</f>
        <v>1</v>
      </c>
      <c r="BI633" s="31" t="n">
        <f aca="false">IF($G633="",AX633,Y633)</f>
        <v>1</v>
      </c>
      <c r="BJ633" s="31" t="n">
        <f aca="false">IF(CK633="N",BR633,ROUNDDOWN((I633-L633)*設定!$B$10/1000,0)+ROUNDDOWN((I633-L633)*設定!$B$11/1000,0))</f>
        <v>0</v>
      </c>
      <c r="BK633" s="31" t="n">
        <f aca="false">ROUNDDOWN((I633-L633)*設定!$C$10/1000,0)+ROUNDDOWN((I633-L633)*設定!$C$11/1000,0)+ROUNDDOWN(I633*設定!$C$12/1000,0)+IF(CL633="市局型",ROUNDDOWN(I633*設定!$C$16/1000,0),0)</f>
        <v>0</v>
      </c>
      <c r="BL633" s="31" t="n">
        <f aca="false">IF(CK633="N",BT633,ROUNDDOWN((J633-M633)*設定!$B$13/1000,0))</f>
        <v>0</v>
      </c>
      <c r="BM633" s="31" t="n">
        <f aca="false">ROUNDDOWN((J633-M633)*設定!$C$13/1000,0)+IF(CL633="市局型",ROUNDDOWN(J633*設定!$C$17/1000,0),0)</f>
        <v>0</v>
      </c>
      <c r="BN633" s="31" t="n">
        <f aca="false">IF(CK633="N",BV633,ROUNDDOWN((K633-N633)*設定!$B$14/1000,0))</f>
        <v>0</v>
      </c>
      <c r="BO633" s="31" t="n">
        <f aca="false">ROUNDDOWN((K633-N633)*設定!$C$14/1000,0)</f>
        <v>0</v>
      </c>
      <c r="BP633" s="31" t="n">
        <f aca="false">IF(CK633="N",BX633,ROUNDDOWN((J633-M633)*設定!$B$15/1000,0))</f>
        <v>0</v>
      </c>
      <c r="BQ633" s="31" t="n">
        <f aca="false">ROUNDDOWN((J633-M633)*設定!$C$15/1000,0)</f>
        <v>0</v>
      </c>
      <c r="BR633" s="31" t="n">
        <f aca="false">O633+P633</f>
        <v>0</v>
      </c>
      <c r="BS633" s="31" t="n">
        <f aca="false">T633+U633+V633</f>
        <v>0</v>
      </c>
      <c r="BT633" s="31" t="n">
        <f aca="false">Q633</f>
        <v>0</v>
      </c>
      <c r="BU633" s="31" t="n">
        <f aca="false">W633</f>
        <v>0</v>
      </c>
      <c r="BV633" s="31" t="n">
        <f aca="false">R633</f>
        <v>0</v>
      </c>
      <c r="BW633" s="31" t="n">
        <f aca="false">X633</f>
        <v>0</v>
      </c>
      <c r="BX633" s="31" t="n">
        <f aca="false">S633</f>
        <v>0</v>
      </c>
      <c r="BY633" s="31" t="n">
        <f aca="false">Y633</f>
        <v>0</v>
      </c>
      <c r="BZ633" s="32" t="n">
        <f aca="false">IF(BJ633=0,IF(BR633=0,0,1),(BR633-BJ633)/BJ633)</f>
        <v>0</v>
      </c>
      <c r="CA633" s="32" t="n">
        <f aca="false">IF(BK633=0,IF(BS633=0,0,1),(BS633-BK633)/BK633)</f>
        <v>0</v>
      </c>
      <c r="CB633" s="32" t="n">
        <f aca="false">IF(BL633=0,IF(BT633=0,0,1),(BT633-BL633)/BL633)</f>
        <v>0</v>
      </c>
      <c r="CC633" s="32" t="n">
        <f aca="false">IF(BM633=0,IF(BU633=0,0,1),(BU633-BM633)/BM633)</f>
        <v>0</v>
      </c>
      <c r="CD633" s="32" t="n">
        <f aca="false">IF(BN633=0,IF(BV633=0,0,1),(BV633-BN633)/BN633)</f>
        <v>0</v>
      </c>
      <c r="CE633" s="32" t="n">
        <f aca="false">IF(BO633=0,IF(BW633=0,0,1),(BW633-BO633)/BO633)</f>
        <v>0</v>
      </c>
      <c r="CF633" s="32" t="n">
        <f aca="false">IF(BP633=0,IF(BX633=0,0,1),(BX633-BP633)/BP633)</f>
        <v>0</v>
      </c>
      <c r="CG633" s="32" t="n">
        <f aca="false">IF(BQ633=0,IF(BY633=0,0,1),(BY633-BQ633)/BQ633)</f>
        <v>0</v>
      </c>
      <c r="CH633" s="32" t="n">
        <f aca="false">MAX(MAX(BZ633:CG633),-MIN(BZ633:CG633))</f>
        <v>-0</v>
      </c>
      <c r="CI633" s="31" t="str">
        <f aca="false">IF(CO633="","",SUMIFS($CJ$7:$CJ$696,$A$7:$A$696,CO633,$B$7:$B$696,B633))</f>
        <v/>
      </c>
      <c r="CJ633" s="31" t="n">
        <f aca="false">SUM(AY633:BI633)</f>
        <v>217299</v>
      </c>
      <c r="CK633" s="31" t="str">
        <f aca="false">IFERROR(INDEX(設定!$F$61:$F$106,MATCH(B633,設定!$B$61:$B$106,0)),"Y")</f>
        <v>Y</v>
      </c>
      <c r="CL633" s="31" t="str">
        <f aca="false">IFERROR(INDEX(設定!$G$61:$G$106,MATCH(B633,設定!$B$61:$B$106,0)),"外郭型")</f>
        <v>外郭型</v>
      </c>
      <c r="CM633" s="33" t="str">
        <f aca="false">A633&amp;"|"&amp;B633</f>
        <v>2027-03 賞与|県下水道公社</v>
      </c>
      <c r="CN633" s="34" t="str">
        <f aca="false">IFERROR(INDEX(設定!$D$61:$D$106,MATCH(B633,設定!$B$61:$B$106,0)),"Y")</f>
        <v>Y</v>
      </c>
      <c r="CO633" s="34" t="str">
        <f aca="false">IFERROR(INDEX(設定!$D$20:$D$34,MATCH(A633,設定!$A$20:$A$34,0))&amp;"","")</f>
        <v/>
      </c>
    </row>
    <row r="634" customFormat="false" ht="26.85" hidden="true" customHeight="false" outlineLevel="0" collapsed="false">
      <c r="A634" s="22" t="s">
        <v>229</v>
      </c>
      <c r="B634" s="35" t="s">
        <v>198</v>
      </c>
      <c r="C634" s="10" t="str">
        <f aca="false">IF(G634="","未受領",IF(G634="なし","報告なし",IF(AL634="○","起票済",IF(OR(AK634="○",F634="一致",F634="入金不要"),"入金確認済","受領済"))))</f>
        <v>未受領</v>
      </c>
      <c r="D634" s="10" t="str">
        <f aca="false">IF(OR(G634="",G634="なし"),"―",IF(CN634="N","対象外",IF(AND(I634="",J634="",K634=""),"標報未入力",IF(CH634&gt;=設定!$B$4,"要確認","問題なし"))))</f>
        <v>―</v>
      </c>
      <c r="E634" s="24" t="str">
        <f aca="false">IF(OR(G634="",G634="なし",CI634="",CJ634=0),"―",IF(CJ634=CI634,"前月同額",IF(CI634=0,"―",IF(ABS(CJ634/CI634-1)&gt;=設定!$B$5,"変動大 "&amp;TEXT(CJ634/CI634-1,"+0%;-0%"),"〇"))))</f>
        <v>―</v>
      </c>
      <c r="F634" s="10" t="str">
        <f aca="false">IF(OR(G634="",G634="なし"),"―",IF(CJ634=0,"入金不要",IF(COUNT(AD634,AF634,AH634,AJ634)=0,IF(AK634="○","手動確認","未入金"),IF(AND(N(AD634)=AC634,IF(AE634="",TRUE(),N(AF634)=AE634),IF(AG634="",TRUE(),N(AH634)=AG634),IF(AI634="",TRUE(),N(AJ634)=AI634)),"一致","不一致"))))</f>
        <v>―</v>
      </c>
      <c r="G634" s="25"/>
      <c r="H634" s="26"/>
      <c r="I634" s="27"/>
      <c r="J634" s="27"/>
      <c r="K634" s="27"/>
      <c r="L634" s="27"/>
      <c r="M634" s="27"/>
      <c r="N634" s="27"/>
      <c r="O634" s="27"/>
      <c r="P634" s="27"/>
      <c r="Q634" s="27"/>
      <c r="R634" s="27"/>
      <c r="S634" s="27"/>
      <c r="T634" s="27"/>
      <c r="U634" s="27"/>
      <c r="V634" s="27"/>
      <c r="W634" s="27"/>
      <c r="X634" s="27"/>
      <c r="Y634" s="27"/>
      <c r="Z634" s="27"/>
      <c r="AA634" s="10" t="str">
        <f aca="false">IFERROR(INDEX(設定!$E$61:$E$106,MATCH(B634,設定!$B$61:$B$106,0)),"合算")</f>
        <v>合算</v>
      </c>
      <c r="AB634" s="28"/>
      <c r="AC634" s="29" t="str">
        <f aca="false">IF(OR(G634="",G634="なし"),"",IF(AA634="合算",CJ634+N(Z634),IF(AA634="掛金・負担金別",(AY634+AZ634+BD634+BF634+BH634),SUM(AY634:BC634))))</f>
        <v/>
      </c>
      <c r="AD634" s="27"/>
      <c r="AE634" s="29" t="str">
        <f aca="false">IF(OR(G634="",G634="なし"),"",IF(AA634="掛金・負担金別",(BA634+BB634+BC634+BE634+BG634+BI634+N(Z634)),IF(AA634="経理区分別",BD634+BE634,"")))</f>
        <v/>
      </c>
      <c r="AF634" s="27"/>
      <c r="AG634" s="29" t="str">
        <f aca="false">IF(OR(G634="",G634="なし"),"",IF(AA634="経理区分別",BF634+BG634,""))</f>
        <v/>
      </c>
      <c r="AH634" s="27"/>
      <c r="AI634" s="29" t="str">
        <f aca="false">IF(OR(G634="",G634="なし"),"",IF(AA634="経理区分別",BH634+BI634+N(Z634),""))</f>
        <v/>
      </c>
      <c r="AJ634" s="27"/>
      <c r="AK634" s="26"/>
      <c r="AL634" s="26"/>
      <c r="AM634" s="30"/>
      <c r="AN634" s="31"/>
      <c r="AO634" s="31"/>
      <c r="AP634" s="31" t="n">
        <v>0</v>
      </c>
      <c r="AQ634" s="31" t="n">
        <v>0</v>
      </c>
      <c r="AR634" s="31" t="n">
        <v>0</v>
      </c>
      <c r="AS634" s="31"/>
      <c r="AT634" s="31" t="n">
        <v>0</v>
      </c>
      <c r="AU634" s="31"/>
      <c r="AV634" s="31" t="n">
        <v>0</v>
      </c>
      <c r="AW634" s="31"/>
      <c r="AX634" s="31" t="n">
        <v>0</v>
      </c>
      <c r="AY634" s="31" t="n">
        <f aca="false">IF($G634="",AN634,O634)</f>
        <v>0</v>
      </c>
      <c r="AZ634" s="31" t="n">
        <f aca="false">IF($G634="",AO634,P634)</f>
        <v>0</v>
      </c>
      <c r="BA634" s="31" t="n">
        <f aca="false">IF($G634="",AP634,T634)</f>
        <v>0</v>
      </c>
      <c r="BB634" s="31" t="n">
        <f aca="false">IF($G634="",AQ634,U634)</f>
        <v>0</v>
      </c>
      <c r="BC634" s="31" t="n">
        <f aca="false">IF($G634="",AR634,V634)</f>
        <v>0</v>
      </c>
      <c r="BD634" s="31" t="n">
        <f aca="false">IF($G634="",AS634,Q634)</f>
        <v>0</v>
      </c>
      <c r="BE634" s="31" t="n">
        <f aca="false">IF($G634="",AT634,W634)</f>
        <v>0</v>
      </c>
      <c r="BF634" s="31" t="n">
        <f aca="false">IF($G634="",AU634,R634)</f>
        <v>0</v>
      </c>
      <c r="BG634" s="31" t="n">
        <f aca="false">IF($G634="",AV634,X634)</f>
        <v>0</v>
      </c>
      <c r="BH634" s="31" t="n">
        <f aca="false">IF($G634="",AW634,S634)</f>
        <v>0</v>
      </c>
      <c r="BI634" s="31" t="n">
        <f aca="false">IF($G634="",AX634,Y634)</f>
        <v>0</v>
      </c>
      <c r="BJ634" s="31" t="n">
        <f aca="false">IF(CK634="N",BR634,ROUNDDOWN((I634-L634)*設定!$B$10/1000,0)+ROUNDDOWN((I634-L634)*設定!$B$11/1000,0))</f>
        <v>0</v>
      </c>
      <c r="BK634" s="31" t="n">
        <f aca="false">ROUNDDOWN((I634-L634)*設定!$C$10/1000,0)+ROUNDDOWN((I634-L634)*設定!$C$11/1000,0)+ROUNDDOWN(I634*設定!$C$12/1000,0)+IF(CL634="市局型",ROUNDDOWN(I634*設定!$C$16/1000,0),0)</f>
        <v>0</v>
      </c>
      <c r="BL634" s="31" t="n">
        <f aca="false">IF(CK634="N",BT634,ROUNDDOWN((J634-M634)*設定!$B$13/1000,0))</f>
        <v>0</v>
      </c>
      <c r="BM634" s="31" t="n">
        <f aca="false">ROUNDDOWN((J634-M634)*設定!$C$13/1000,0)+IF(CL634="市局型",ROUNDDOWN(J634*設定!$C$17/1000,0),0)</f>
        <v>0</v>
      </c>
      <c r="BN634" s="31" t="n">
        <f aca="false">IF(CK634="N",BV634,ROUNDDOWN((K634-N634)*設定!$B$14/1000,0))</f>
        <v>0</v>
      </c>
      <c r="BO634" s="31" t="n">
        <f aca="false">ROUNDDOWN((K634-N634)*設定!$C$14/1000,0)</f>
        <v>0</v>
      </c>
      <c r="BP634" s="31" t="n">
        <f aca="false">IF(CK634="N",BX634,ROUNDDOWN((J634-M634)*設定!$B$15/1000,0))</f>
        <v>0</v>
      </c>
      <c r="BQ634" s="31" t="n">
        <f aca="false">ROUNDDOWN((J634-M634)*設定!$C$15/1000,0)</f>
        <v>0</v>
      </c>
      <c r="BR634" s="31" t="n">
        <f aca="false">O634+P634</f>
        <v>0</v>
      </c>
      <c r="BS634" s="31" t="n">
        <f aca="false">T634+U634+V634</f>
        <v>0</v>
      </c>
      <c r="BT634" s="31" t="n">
        <f aca="false">Q634</f>
        <v>0</v>
      </c>
      <c r="BU634" s="31" t="n">
        <f aca="false">W634</f>
        <v>0</v>
      </c>
      <c r="BV634" s="31" t="n">
        <f aca="false">R634</f>
        <v>0</v>
      </c>
      <c r="BW634" s="31" t="n">
        <f aca="false">X634</f>
        <v>0</v>
      </c>
      <c r="BX634" s="31" t="n">
        <f aca="false">S634</f>
        <v>0</v>
      </c>
      <c r="BY634" s="31" t="n">
        <f aca="false">Y634</f>
        <v>0</v>
      </c>
      <c r="BZ634" s="32" t="n">
        <f aca="false">IF(BJ634=0,IF(BR634=0,0,1),(BR634-BJ634)/BJ634)</f>
        <v>0</v>
      </c>
      <c r="CA634" s="32" t="n">
        <f aca="false">IF(BK634=0,IF(BS634=0,0,1),(BS634-BK634)/BK634)</f>
        <v>0</v>
      </c>
      <c r="CB634" s="32" t="n">
        <f aca="false">IF(BL634=0,IF(BT634=0,0,1),(BT634-BL634)/BL634)</f>
        <v>0</v>
      </c>
      <c r="CC634" s="32" t="n">
        <f aca="false">IF(BM634=0,IF(BU634=0,0,1),(BU634-BM634)/BM634)</f>
        <v>0</v>
      </c>
      <c r="CD634" s="32" t="n">
        <f aca="false">IF(BN634=0,IF(BV634=0,0,1),(BV634-BN634)/BN634)</f>
        <v>0</v>
      </c>
      <c r="CE634" s="32" t="n">
        <f aca="false">IF(BO634=0,IF(BW634=0,0,1),(BW634-BO634)/BO634)</f>
        <v>0</v>
      </c>
      <c r="CF634" s="32" t="n">
        <f aca="false">IF(BP634=0,IF(BX634=0,0,1),(BX634-BP634)/BP634)</f>
        <v>0</v>
      </c>
      <c r="CG634" s="32" t="n">
        <f aca="false">IF(BQ634=0,IF(BY634=0,0,1),(BY634-BQ634)/BQ634)</f>
        <v>0</v>
      </c>
      <c r="CH634" s="32" t="n">
        <f aca="false">MAX(MAX(BZ634:CG634),-MIN(BZ634:CG634))</f>
        <v>-0</v>
      </c>
      <c r="CI634" s="31" t="str">
        <f aca="false">IF(CO634="","",SUMIFS($CJ$7:$CJ$696,$A$7:$A$696,CO634,$B$7:$B$696,B634))</f>
        <v/>
      </c>
      <c r="CJ634" s="31" t="n">
        <f aca="false">SUM(AY634:BI634)</f>
        <v>0</v>
      </c>
      <c r="CK634" s="31" t="str">
        <f aca="false">IFERROR(INDEX(設定!$F$61:$F$106,MATCH(B634,設定!$B$61:$B$106,0)),"Y")</f>
        <v>N</v>
      </c>
      <c r="CL634" s="31" t="str">
        <f aca="false">IFERROR(INDEX(設定!$G$61:$G$106,MATCH(B634,設定!$B$61:$B$106,0)),"外郭型")</f>
        <v>外郭型</v>
      </c>
      <c r="CM634" s="36" t="str">
        <f aca="false">A634&amp;"|"&amp;B634</f>
        <v>2027-03 賞与|バス協調・共創
プラットフォーム</v>
      </c>
      <c r="CN634" s="34" t="str">
        <f aca="false">IFERROR(INDEX(設定!$D$61:$D$106,MATCH(B634,設定!$B$61:$B$106,0)),"Y")</f>
        <v>Y</v>
      </c>
      <c r="CO634" s="34" t="str">
        <f aca="false">IFERROR(INDEX(設定!$D$20:$D$34,MATCH(A634,設定!$A$20:$A$34,0))&amp;"","")</f>
        <v/>
      </c>
    </row>
    <row r="635" customFormat="false" ht="15" hidden="true" customHeight="false" outlineLevel="0" collapsed="false">
      <c r="A635" s="22" t="s">
        <v>229</v>
      </c>
      <c r="B635" s="23" t="s">
        <v>199</v>
      </c>
      <c r="C635" s="10" t="str">
        <f aca="false">IF(G635="","未受領",IF(G635="なし","報告なし",IF(AL635="○","起票済",IF(OR(AK635="○",F635="一致",F635="入金不要"),"入金確認済","受領済"))))</f>
        <v>未受領</v>
      </c>
      <c r="D635" s="10" t="str">
        <f aca="false">IF(OR(G635="",G635="なし"),"―",IF(CN635="N","対象外",IF(AND(I635="",J635="",K635=""),"標報未入力",IF(CH635&gt;=設定!$B$4,"要確認","問題なし"))))</f>
        <v>―</v>
      </c>
      <c r="E635" s="24" t="str">
        <f aca="false">IF(OR(G635="",G635="なし",CI635="",CJ635=0),"―",IF(CJ635=CI635,"前月同額",IF(CI635=0,"―",IF(ABS(CJ635/CI635-1)&gt;=設定!$B$5,"変動大 "&amp;TEXT(CJ635/CI635-1,"+0%;-0%"),"〇"))))</f>
        <v>―</v>
      </c>
      <c r="F635" s="10" t="str">
        <f aca="false">IF(OR(G635="",G635="なし"),"―",IF(CJ635=0,"入金不要",IF(COUNT(AD635,AF635,AH635,AJ635)=0,IF(AK635="○","手動確認","未入金"),IF(AND(N(AD635)=AC635,IF(AE635="",TRUE(),N(AF635)=AE635),IF(AG635="",TRUE(),N(AH635)=AG635),IF(AI635="",TRUE(),N(AJ635)=AI635)),"一致","不一致"))))</f>
        <v>―</v>
      </c>
      <c r="G635" s="25"/>
      <c r="H635" s="26"/>
      <c r="I635" s="27"/>
      <c r="J635" s="27"/>
      <c r="K635" s="27"/>
      <c r="L635" s="27"/>
      <c r="M635" s="27"/>
      <c r="N635" s="27"/>
      <c r="O635" s="27"/>
      <c r="P635" s="27"/>
      <c r="Q635" s="27"/>
      <c r="R635" s="27"/>
      <c r="S635" s="27"/>
      <c r="T635" s="27"/>
      <c r="U635" s="27"/>
      <c r="V635" s="27"/>
      <c r="W635" s="27"/>
      <c r="X635" s="27"/>
      <c r="Y635" s="27"/>
      <c r="Z635" s="27"/>
      <c r="AA635" s="10" t="str">
        <f aca="false">IFERROR(INDEX(設定!$E$61:$E$106,MATCH(B635,設定!$B$61:$B$106,0)),"合算")</f>
        <v>合算</v>
      </c>
      <c r="AB635" s="28"/>
      <c r="AC635" s="29" t="str">
        <f aca="false">IF(OR(G635="",G635="なし"),"",IF(AA635="合算",CJ635+N(Z635),IF(AA635="掛金・負担金別",(AY635+AZ635+BD635+BF635+BH635),SUM(AY635:BC635))))</f>
        <v/>
      </c>
      <c r="AD635" s="27"/>
      <c r="AE635" s="29" t="str">
        <f aca="false">IF(OR(G635="",G635="なし"),"",IF(AA635="掛金・負担金別",(BA635+BB635+BC635+BE635+BG635+BI635+N(Z635)),IF(AA635="経理区分別",BD635+BE635,"")))</f>
        <v/>
      </c>
      <c r="AF635" s="27"/>
      <c r="AG635" s="29" t="str">
        <f aca="false">IF(OR(G635="",G635="なし"),"",IF(AA635="経理区分別",BF635+BG635,""))</f>
        <v/>
      </c>
      <c r="AH635" s="27"/>
      <c r="AI635" s="29" t="str">
        <f aca="false">IF(OR(G635="",G635="なし"),"",IF(AA635="経理区分別",BH635+BI635+N(Z635),""))</f>
        <v/>
      </c>
      <c r="AJ635" s="27"/>
      <c r="AK635" s="26"/>
      <c r="AL635" s="26"/>
      <c r="AM635" s="30"/>
      <c r="AN635" s="31" t="n">
        <v>25803</v>
      </c>
      <c r="AO635" s="31" t="n">
        <v>2115</v>
      </c>
      <c r="AP635" s="31" t="n">
        <v>25803</v>
      </c>
      <c r="AQ635" s="31" t="n">
        <v>2115</v>
      </c>
      <c r="AR635" s="31" t="n">
        <v>26</v>
      </c>
      <c r="AS635" s="31" t="n">
        <v>15512</v>
      </c>
      <c r="AT635" s="31" t="n">
        <v>15541</v>
      </c>
      <c r="AU635" s="31" t="n">
        <v>2227</v>
      </c>
      <c r="AV635" s="31" t="n">
        <v>2227</v>
      </c>
      <c r="AW635" s="31" t="n">
        <v>1</v>
      </c>
      <c r="AX635" s="31" t="n">
        <v>1</v>
      </c>
      <c r="AY635" s="31" t="n">
        <f aca="false">IF($G635="",AN635,O635)</f>
        <v>25803</v>
      </c>
      <c r="AZ635" s="31" t="n">
        <f aca="false">IF($G635="",AO635,P635)</f>
        <v>2115</v>
      </c>
      <c r="BA635" s="31" t="n">
        <f aca="false">IF($G635="",AP635,T635)</f>
        <v>25803</v>
      </c>
      <c r="BB635" s="31" t="n">
        <f aca="false">IF($G635="",AQ635,U635)</f>
        <v>2115</v>
      </c>
      <c r="BC635" s="31" t="n">
        <f aca="false">IF($G635="",AR635,V635)</f>
        <v>26</v>
      </c>
      <c r="BD635" s="31" t="n">
        <f aca="false">IF($G635="",AS635,Q635)</f>
        <v>15512</v>
      </c>
      <c r="BE635" s="31" t="n">
        <f aca="false">IF($G635="",AT635,W635)</f>
        <v>15541</v>
      </c>
      <c r="BF635" s="31" t="n">
        <f aca="false">IF($G635="",AU635,R635)</f>
        <v>2227</v>
      </c>
      <c r="BG635" s="31" t="n">
        <f aca="false">IF($G635="",AV635,X635)</f>
        <v>2227</v>
      </c>
      <c r="BH635" s="31" t="n">
        <f aca="false">IF($G635="",AW635,S635)</f>
        <v>1</v>
      </c>
      <c r="BI635" s="31" t="n">
        <f aca="false">IF($G635="",AX635,Y635)</f>
        <v>1</v>
      </c>
      <c r="BJ635" s="31" t="n">
        <f aca="false">IF(CK635="N",BR635,ROUNDDOWN((I635-L635)*設定!$B$10/1000,0)+ROUNDDOWN((I635-L635)*設定!$B$11/1000,0))</f>
        <v>0</v>
      </c>
      <c r="BK635" s="31" t="n">
        <f aca="false">ROUNDDOWN((I635-L635)*設定!$C$10/1000,0)+ROUNDDOWN((I635-L635)*設定!$C$11/1000,0)+ROUNDDOWN(I635*設定!$C$12/1000,0)+IF(CL635="市局型",ROUNDDOWN(I635*設定!$C$16/1000,0),0)</f>
        <v>0</v>
      </c>
      <c r="BL635" s="31" t="n">
        <f aca="false">IF(CK635="N",BT635,ROUNDDOWN((J635-M635)*設定!$B$13/1000,0))</f>
        <v>0</v>
      </c>
      <c r="BM635" s="31" t="n">
        <f aca="false">ROUNDDOWN((J635-M635)*設定!$C$13/1000,0)+IF(CL635="市局型",ROUNDDOWN(J635*設定!$C$17/1000,0),0)</f>
        <v>0</v>
      </c>
      <c r="BN635" s="31" t="n">
        <f aca="false">IF(CK635="N",BV635,ROUNDDOWN((K635-N635)*設定!$B$14/1000,0))</f>
        <v>0</v>
      </c>
      <c r="BO635" s="31" t="n">
        <f aca="false">ROUNDDOWN((K635-N635)*設定!$C$14/1000,0)</f>
        <v>0</v>
      </c>
      <c r="BP635" s="31" t="n">
        <f aca="false">IF(CK635="N",BX635,ROUNDDOWN((J635-M635)*設定!$B$15/1000,0))</f>
        <v>0</v>
      </c>
      <c r="BQ635" s="31" t="n">
        <f aca="false">ROUNDDOWN((J635-M635)*設定!$C$15/1000,0)</f>
        <v>0</v>
      </c>
      <c r="BR635" s="31" t="n">
        <f aca="false">O635+P635</f>
        <v>0</v>
      </c>
      <c r="BS635" s="31" t="n">
        <f aca="false">T635+U635+V635</f>
        <v>0</v>
      </c>
      <c r="BT635" s="31" t="n">
        <f aca="false">Q635</f>
        <v>0</v>
      </c>
      <c r="BU635" s="31" t="n">
        <f aca="false">W635</f>
        <v>0</v>
      </c>
      <c r="BV635" s="31" t="n">
        <f aca="false">R635</f>
        <v>0</v>
      </c>
      <c r="BW635" s="31" t="n">
        <f aca="false">X635</f>
        <v>0</v>
      </c>
      <c r="BX635" s="31" t="n">
        <f aca="false">S635</f>
        <v>0</v>
      </c>
      <c r="BY635" s="31" t="n">
        <f aca="false">Y635</f>
        <v>0</v>
      </c>
      <c r="BZ635" s="32" t="n">
        <f aca="false">IF(BJ635=0,IF(BR635=0,0,1),(BR635-BJ635)/BJ635)</f>
        <v>0</v>
      </c>
      <c r="CA635" s="32" t="n">
        <f aca="false">IF(BK635=0,IF(BS635=0,0,1),(BS635-BK635)/BK635)</f>
        <v>0</v>
      </c>
      <c r="CB635" s="32" t="n">
        <f aca="false">IF(BL635=0,IF(BT635=0,0,1),(BT635-BL635)/BL635)</f>
        <v>0</v>
      </c>
      <c r="CC635" s="32" t="n">
        <f aca="false">IF(BM635=0,IF(BU635=0,0,1),(BU635-BM635)/BM635)</f>
        <v>0</v>
      </c>
      <c r="CD635" s="32" t="n">
        <f aca="false">IF(BN635=0,IF(BV635=0,0,1),(BV635-BN635)/BN635)</f>
        <v>0</v>
      </c>
      <c r="CE635" s="32" t="n">
        <f aca="false">IF(BO635=0,IF(BW635=0,0,1),(BW635-BO635)/BO635)</f>
        <v>0</v>
      </c>
      <c r="CF635" s="32" t="n">
        <f aca="false">IF(BP635=0,IF(BX635=0,0,1),(BX635-BP635)/BP635)</f>
        <v>0</v>
      </c>
      <c r="CG635" s="32" t="n">
        <f aca="false">IF(BQ635=0,IF(BY635=0,0,1),(BY635-BQ635)/BQ635)</f>
        <v>0</v>
      </c>
      <c r="CH635" s="32" t="n">
        <f aca="false">MAX(MAX(BZ635:CG635),-MIN(BZ635:CG635))</f>
        <v>-0</v>
      </c>
      <c r="CI635" s="31" t="str">
        <f aca="false">IF(CO635="","",SUMIFS($CJ$7:$CJ$696,$A$7:$A$696,CO635,$B$7:$B$696,B635))</f>
        <v/>
      </c>
      <c r="CJ635" s="31" t="n">
        <f aca="false">SUM(AY635:BI635)</f>
        <v>91371</v>
      </c>
      <c r="CK635" s="31" t="str">
        <f aca="false">IFERROR(INDEX(設定!$F$61:$F$106,MATCH(B635,設定!$B$61:$B$106,0)),"Y")</f>
        <v>Y</v>
      </c>
      <c r="CL635" s="31" t="str">
        <f aca="false">IFERROR(INDEX(設定!$G$61:$G$106,MATCH(B635,設定!$B$61:$B$106,0)),"外郭型")</f>
        <v>外郭型</v>
      </c>
      <c r="CM635" s="33" t="str">
        <f aca="false">A635&amp;"|"&amp;B635</f>
        <v>2027-03 賞与|広島県市長会</v>
      </c>
      <c r="CN635" s="34" t="str">
        <f aca="false">IFERROR(INDEX(設定!$D$61:$D$106,MATCH(B635,設定!$B$61:$B$106,0)),"Y")</f>
        <v>Y</v>
      </c>
      <c r="CO635" s="34" t="str">
        <f aca="false">IFERROR(INDEX(設定!$D$20:$D$34,MATCH(A635,設定!$A$20:$A$34,0))&amp;"","")</f>
        <v/>
      </c>
    </row>
    <row r="636" customFormat="false" ht="15" hidden="true" customHeight="false" outlineLevel="0" collapsed="false">
      <c r="A636" s="22" t="s">
        <v>229</v>
      </c>
      <c r="B636" s="23" t="s">
        <v>200</v>
      </c>
      <c r="C636" s="10" t="str">
        <f aca="false">IF(G636="","未受領",IF(G636="なし","報告なし",IF(AL636="○","起票済",IF(OR(AK636="○",F636="一致",F636="入金不要"),"入金確認済","受領済"))))</f>
        <v>報告なし</v>
      </c>
      <c r="D636" s="10" t="str">
        <f aca="false">IF(OR(G636="",G636="なし"),"―",IF(CN636="N","対象外",IF(AND(I636="",J636="",K636=""),"標報未入力",IF(CH636&gt;=設定!$B$4,"要確認","問題なし"))))</f>
        <v>―</v>
      </c>
      <c r="E636" s="24" t="str">
        <f aca="false">IF(OR(G636="",G636="なし",CI636="",CJ636=0),"―",IF(CJ636=CI636,"前月同額",IF(CI636=0,"―",IF(ABS(CJ636/CI636-1)&gt;=設定!$B$5,"変動大 "&amp;TEXT(CJ636/CI636-1,"+0%;-0%"),"〇"))))</f>
        <v>―</v>
      </c>
      <c r="F636" s="10" t="str">
        <f aca="false">IF(OR(G636="",G636="なし"),"―",IF(CJ636=0,"入金不要",IF(COUNT(AD636,AF636,AH636,AJ636)=0,IF(AK636="○","手動確認","未入金"),IF(AND(N(AD636)=AC636,IF(AE636="",TRUE(),N(AF636)=AE636),IF(AG636="",TRUE(),N(AH636)=AG636),IF(AI636="",TRUE(),N(AJ636)=AI636)),"一致","不一致"))))</f>
        <v>―</v>
      </c>
      <c r="G636" s="25" t="s">
        <v>181</v>
      </c>
      <c r="H636" s="26"/>
      <c r="I636" s="27"/>
      <c r="J636" s="27"/>
      <c r="K636" s="27"/>
      <c r="L636" s="27"/>
      <c r="M636" s="27"/>
      <c r="N636" s="27"/>
      <c r="O636" s="27"/>
      <c r="P636" s="27"/>
      <c r="Q636" s="27"/>
      <c r="R636" s="27"/>
      <c r="S636" s="27"/>
      <c r="T636" s="27"/>
      <c r="U636" s="27"/>
      <c r="V636" s="27"/>
      <c r="W636" s="27"/>
      <c r="X636" s="27"/>
      <c r="Y636" s="27"/>
      <c r="Z636" s="27"/>
      <c r="AA636" s="10" t="str">
        <f aca="false">IFERROR(INDEX(設定!$E$61:$E$106,MATCH(B636,設定!$B$61:$B$106,0)),"合算")</f>
        <v>合算</v>
      </c>
      <c r="AB636" s="28"/>
      <c r="AC636" s="29" t="str">
        <f aca="false">IF(OR(G636="",G636="なし"),"",IF(AA636="合算",CJ636+N(Z636),IF(AA636="掛金・負担金別",(AY636+AZ636+BD636+BF636+BH636),SUM(AY636:BC636))))</f>
        <v/>
      </c>
      <c r="AD636" s="27"/>
      <c r="AE636" s="29" t="str">
        <f aca="false">IF(OR(G636="",G636="なし"),"",IF(AA636="掛金・負担金別",(BA636+BB636+BC636+BE636+BG636+BI636+N(Z636)),IF(AA636="経理区分別",BD636+BE636,"")))</f>
        <v/>
      </c>
      <c r="AF636" s="27"/>
      <c r="AG636" s="29" t="str">
        <f aca="false">IF(OR(G636="",G636="なし"),"",IF(AA636="経理区分別",BF636+BG636,""))</f>
        <v/>
      </c>
      <c r="AH636" s="27"/>
      <c r="AI636" s="29" t="str">
        <f aca="false">IF(OR(G636="",G636="なし"),"",IF(AA636="経理区分別",BH636+BI636+N(Z636),""))</f>
        <v/>
      </c>
      <c r="AJ636" s="27"/>
      <c r="AK636" s="26"/>
      <c r="AL636" s="26"/>
      <c r="AM636" s="30"/>
      <c r="AN636" s="31"/>
      <c r="AO636" s="31"/>
      <c r="AP636" s="31"/>
      <c r="AQ636" s="31"/>
      <c r="AR636" s="31"/>
      <c r="AS636" s="31"/>
      <c r="AT636" s="31"/>
      <c r="AU636" s="31"/>
      <c r="AV636" s="31"/>
      <c r="AW636" s="31"/>
      <c r="AX636" s="31"/>
      <c r="AY636" s="31" t="n">
        <f aca="false">IF($G636="",AN636,O636)</f>
        <v>0</v>
      </c>
      <c r="AZ636" s="31" t="n">
        <f aca="false">IF($G636="",AO636,P636)</f>
        <v>0</v>
      </c>
      <c r="BA636" s="31" t="n">
        <f aca="false">IF($G636="",AP636,T636)</f>
        <v>0</v>
      </c>
      <c r="BB636" s="31" t="n">
        <f aca="false">IF($G636="",AQ636,U636)</f>
        <v>0</v>
      </c>
      <c r="BC636" s="31" t="n">
        <f aca="false">IF($G636="",AR636,V636)</f>
        <v>0</v>
      </c>
      <c r="BD636" s="31" t="n">
        <f aca="false">IF($G636="",AS636,Q636)</f>
        <v>0</v>
      </c>
      <c r="BE636" s="31" t="n">
        <f aca="false">IF($G636="",AT636,W636)</f>
        <v>0</v>
      </c>
      <c r="BF636" s="31" t="n">
        <f aca="false">IF($G636="",AU636,R636)</f>
        <v>0</v>
      </c>
      <c r="BG636" s="31" t="n">
        <f aca="false">IF($G636="",AV636,X636)</f>
        <v>0</v>
      </c>
      <c r="BH636" s="31" t="n">
        <f aca="false">IF($G636="",AW636,S636)</f>
        <v>0</v>
      </c>
      <c r="BI636" s="31" t="n">
        <f aca="false">IF($G636="",AX636,Y636)</f>
        <v>0</v>
      </c>
      <c r="BJ636" s="31" t="n">
        <f aca="false">IF(CK636="N",BR636,ROUNDDOWN((I636-L636)*設定!$B$10/1000,0)+ROUNDDOWN((I636-L636)*設定!$B$11/1000,0))</f>
        <v>0</v>
      </c>
      <c r="BK636" s="31" t="n">
        <f aca="false">ROUNDDOWN((I636-L636)*設定!$C$10/1000,0)+ROUNDDOWN((I636-L636)*設定!$C$11/1000,0)+ROUNDDOWN(I636*設定!$C$12/1000,0)+IF(CL636="市局型",ROUNDDOWN(I636*設定!$C$16/1000,0),0)</f>
        <v>0</v>
      </c>
      <c r="BL636" s="31" t="n">
        <f aca="false">IF(CK636="N",BT636,ROUNDDOWN((J636-M636)*設定!$B$13/1000,0))</f>
        <v>0</v>
      </c>
      <c r="BM636" s="31" t="n">
        <f aca="false">ROUNDDOWN((J636-M636)*設定!$C$13/1000,0)+IF(CL636="市局型",ROUNDDOWN(J636*設定!$C$17/1000,0),0)</f>
        <v>0</v>
      </c>
      <c r="BN636" s="31" t="n">
        <f aca="false">IF(CK636="N",BV636,ROUNDDOWN((K636-N636)*設定!$B$14/1000,0))</f>
        <v>0</v>
      </c>
      <c r="BO636" s="31" t="n">
        <f aca="false">ROUNDDOWN((K636-N636)*設定!$C$14/1000,0)</f>
        <v>0</v>
      </c>
      <c r="BP636" s="31" t="n">
        <f aca="false">IF(CK636="N",BX636,ROUNDDOWN((J636-M636)*設定!$B$15/1000,0))</f>
        <v>0</v>
      </c>
      <c r="BQ636" s="31" t="n">
        <f aca="false">ROUNDDOWN((J636-M636)*設定!$C$15/1000,0)</f>
        <v>0</v>
      </c>
      <c r="BR636" s="31" t="n">
        <f aca="false">O636+P636</f>
        <v>0</v>
      </c>
      <c r="BS636" s="31" t="n">
        <f aca="false">T636+U636+V636</f>
        <v>0</v>
      </c>
      <c r="BT636" s="31" t="n">
        <f aca="false">Q636</f>
        <v>0</v>
      </c>
      <c r="BU636" s="31" t="n">
        <f aca="false">W636</f>
        <v>0</v>
      </c>
      <c r="BV636" s="31" t="n">
        <f aca="false">R636</f>
        <v>0</v>
      </c>
      <c r="BW636" s="31" t="n">
        <f aca="false">X636</f>
        <v>0</v>
      </c>
      <c r="BX636" s="31" t="n">
        <f aca="false">S636</f>
        <v>0</v>
      </c>
      <c r="BY636" s="31" t="n">
        <f aca="false">Y636</f>
        <v>0</v>
      </c>
      <c r="BZ636" s="32" t="n">
        <f aca="false">IF(BJ636=0,IF(BR636=0,0,1),(BR636-BJ636)/BJ636)</f>
        <v>0</v>
      </c>
      <c r="CA636" s="32" t="n">
        <f aca="false">IF(BK636=0,IF(BS636=0,0,1),(BS636-BK636)/BK636)</f>
        <v>0</v>
      </c>
      <c r="CB636" s="32" t="n">
        <f aca="false">IF(BL636=0,IF(BT636=0,0,1),(BT636-BL636)/BL636)</f>
        <v>0</v>
      </c>
      <c r="CC636" s="32" t="n">
        <f aca="false">IF(BM636=0,IF(BU636=0,0,1),(BU636-BM636)/BM636)</f>
        <v>0</v>
      </c>
      <c r="CD636" s="32" t="n">
        <f aca="false">IF(BN636=0,IF(BV636=0,0,1),(BV636-BN636)/BN636)</f>
        <v>0</v>
      </c>
      <c r="CE636" s="32" t="n">
        <f aca="false">IF(BO636=0,IF(BW636=0,0,1),(BW636-BO636)/BO636)</f>
        <v>0</v>
      </c>
      <c r="CF636" s="32" t="n">
        <f aca="false">IF(BP636=0,IF(BX636=0,0,1),(BX636-BP636)/BP636)</f>
        <v>0</v>
      </c>
      <c r="CG636" s="32" t="n">
        <f aca="false">IF(BQ636=0,IF(BY636=0,0,1),(BY636-BQ636)/BQ636)</f>
        <v>0</v>
      </c>
      <c r="CH636" s="32" t="n">
        <f aca="false">MAX(MAX(BZ636:CG636),-MIN(BZ636:CG636))</f>
        <v>-0</v>
      </c>
      <c r="CI636" s="31" t="str">
        <f aca="false">IF(CO636="","",SUMIFS($CJ$7:$CJ$696,$A$7:$A$696,CO636,$B$7:$B$696,B636))</f>
        <v/>
      </c>
      <c r="CJ636" s="31" t="n">
        <f aca="false">SUM(AY636:BI636)</f>
        <v>0</v>
      </c>
      <c r="CK636" s="31" t="str">
        <f aca="false">IFERROR(INDEX(設定!$F$61:$F$106,MATCH(B636,設定!$B$61:$B$106,0)),"Y")</f>
        <v>Y</v>
      </c>
      <c r="CL636" s="31" t="str">
        <f aca="false">IFERROR(INDEX(設定!$G$61:$G$106,MATCH(B636,設定!$B$61:$B$106,0)),"外郭型")</f>
        <v>外郭型</v>
      </c>
      <c r="CM636" s="33" t="str">
        <f aca="false">A636&amp;"|"&amp;B636</f>
        <v>2027-03 賞与|全国市町村研修財団</v>
      </c>
      <c r="CN636" s="34" t="str">
        <f aca="false">IFERROR(INDEX(設定!$D$61:$D$106,MATCH(B636,設定!$B$61:$B$106,0)),"Y")</f>
        <v>Y</v>
      </c>
      <c r="CO636" s="34" t="str">
        <f aca="false">IFERROR(INDEX(設定!$D$20:$D$34,MATCH(A636,設定!$A$20:$A$34,0))&amp;"","")</f>
        <v/>
      </c>
    </row>
    <row r="637" customFormat="false" ht="15" hidden="true" customHeight="false" outlineLevel="0" collapsed="false">
      <c r="A637" s="22" t="s">
        <v>229</v>
      </c>
      <c r="B637" s="23" t="s">
        <v>201</v>
      </c>
      <c r="C637" s="10" t="str">
        <f aca="false">IF(G637="","未受領",IF(G637="なし","報告なし",IF(AL637="○","起票済",IF(OR(AK637="○",F637="一致",F637="入金不要"),"入金確認済","受領済"))))</f>
        <v>報告なし</v>
      </c>
      <c r="D637" s="10" t="str">
        <f aca="false">IF(OR(G637="",G637="なし"),"―",IF(CN637="N","対象外",IF(AND(I637="",J637="",K637=""),"標報未入力",IF(CH637&gt;=設定!$B$4,"要確認","問題なし"))))</f>
        <v>―</v>
      </c>
      <c r="E637" s="24" t="str">
        <f aca="false">IF(OR(G637="",G637="なし",CI637="",CJ637=0),"―",IF(CJ637=CI637,"前月同額",IF(CI637=0,"―",IF(ABS(CJ637/CI637-1)&gt;=設定!$B$5,"変動大 "&amp;TEXT(CJ637/CI637-1,"+0%;-0%"),"〇"))))</f>
        <v>―</v>
      </c>
      <c r="F637" s="10" t="str">
        <f aca="false">IF(OR(G637="",G637="なし"),"―",IF(CJ637=0,"入金不要",IF(COUNT(AD637,AF637,AH637,AJ637)=0,IF(AK637="○","手動確認","未入金"),IF(AND(N(AD637)=AC637,IF(AE637="",TRUE(),N(AF637)=AE637),IF(AG637="",TRUE(),N(AH637)=AG637),IF(AI637="",TRUE(),N(AJ637)=AI637)),"一致","不一致"))))</f>
        <v>―</v>
      </c>
      <c r="G637" s="25" t="s">
        <v>181</v>
      </c>
      <c r="H637" s="26"/>
      <c r="I637" s="27"/>
      <c r="J637" s="27"/>
      <c r="K637" s="27"/>
      <c r="L637" s="27"/>
      <c r="M637" s="27"/>
      <c r="N637" s="27"/>
      <c r="O637" s="27"/>
      <c r="P637" s="27"/>
      <c r="Q637" s="27"/>
      <c r="R637" s="27"/>
      <c r="S637" s="27"/>
      <c r="T637" s="27"/>
      <c r="U637" s="27"/>
      <c r="V637" s="27"/>
      <c r="W637" s="27"/>
      <c r="X637" s="27"/>
      <c r="Y637" s="27"/>
      <c r="Z637" s="27"/>
      <c r="AA637" s="10" t="str">
        <f aca="false">IFERROR(INDEX(設定!$E$61:$E$106,MATCH(B637,設定!$B$61:$B$106,0)),"合算")</f>
        <v>合算</v>
      </c>
      <c r="AB637" s="28"/>
      <c r="AC637" s="29" t="str">
        <f aca="false">IF(OR(G637="",G637="なし"),"",IF(AA637="合算",CJ637+N(Z637),IF(AA637="掛金・負担金別",(AY637+AZ637+BD637+BF637+BH637),SUM(AY637:BC637))))</f>
        <v/>
      </c>
      <c r="AD637" s="27"/>
      <c r="AE637" s="29" t="str">
        <f aca="false">IF(OR(G637="",G637="なし"),"",IF(AA637="掛金・負担金別",(BA637+BB637+BC637+BE637+BG637+BI637+N(Z637)),IF(AA637="経理区分別",BD637+BE637,"")))</f>
        <v/>
      </c>
      <c r="AF637" s="27"/>
      <c r="AG637" s="29" t="str">
        <f aca="false">IF(OR(G637="",G637="なし"),"",IF(AA637="経理区分別",BF637+BG637,""))</f>
        <v/>
      </c>
      <c r="AH637" s="27"/>
      <c r="AI637" s="29" t="str">
        <f aca="false">IF(OR(G637="",G637="なし"),"",IF(AA637="経理区分別",BH637+BI637+N(Z637),""))</f>
        <v/>
      </c>
      <c r="AJ637" s="27"/>
      <c r="AK637" s="26"/>
      <c r="AL637" s="26"/>
      <c r="AM637" s="30"/>
      <c r="AN637" s="31"/>
      <c r="AO637" s="31"/>
      <c r="AP637" s="31"/>
      <c r="AQ637" s="31"/>
      <c r="AR637" s="31"/>
      <c r="AS637" s="31"/>
      <c r="AT637" s="31"/>
      <c r="AU637" s="31"/>
      <c r="AV637" s="31"/>
      <c r="AW637" s="31"/>
      <c r="AX637" s="31"/>
      <c r="AY637" s="31" t="n">
        <f aca="false">IF($G637="",AN637,O637)</f>
        <v>0</v>
      </c>
      <c r="AZ637" s="31" t="n">
        <f aca="false">IF($G637="",AO637,P637)</f>
        <v>0</v>
      </c>
      <c r="BA637" s="31" t="n">
        <f aca="false">IF($G637="",AP637,T637)</f>
        <v>0</v>
      </c>
      <c r="BB637" s="31" t="n">
        <f aca="false">IF($G637="",AQ637,U637)</f>
        <v>0</v>
      </c>
      <c r="BC637" s="31" t="n">
        <f aca="false">IF($G637="",AR637,V637)</f>
        <v>0</v>
      </c>
      <c r="BD637" s="31" t="n">
        <f aca="false">IF($G637="",AS637,Q637)</f>
        <v>0</v>
      </c>
      <c r="BE637" s="31" t="n">
        <f aca="false">IF($G637="",AT637,W637)</f>
        <v>0</v>
      </c>
      <c r="BF637" s="31" t="n">
        <f aca="false">IF($G637="",AU637,R637)</f>
        <v>0</v>
      </c>
      <c r="BG637" s="31" t="n">
        <f aca="false">IF($G637="",AV637,X637)</f>
        <v>0</v>
      </c>
      <c r="BH637" s="31" t="n">
        <f aca="false">IF($G637="",AW637,S637)</f>
        <v>0</v>
      </c>
      <c r="BI637" s="31" t="n">
        <f aca="false">IF($G637="",AX637,Y637)</f>
        <v>0</v>
      </c>
      <c r="BJ637" s="31" t="n">
        <f aca="false">IF(CK637="N",BR637,ROUNDDOWN((I637-L637)*設定!$B$10/1000,0)+ROUNDDOWN((I637-L637)*設定!$B$11/1000,0))</f>
        <v>0</v>
      </c>
      <c r="BK637" s="31" t="n">
        <f aca="false">ROUNDDOWN((I637-L637)*設定!$C$10/1000,0)+ROUNDDOWN((I637-L637)*設定!$C$11/1000,0)+ROUNDDOWN(I637*設定!$C$12/1000,0)+IF(CL637="市局型",ROUNDDOWN(I637*設定!$C$16/1000,0),0)</f>
        <v>0</v>
      </c>
      <c r="BL637" s="31" t="n">
        <f aca="false">IF(CK637="N",BT637,ROUNDDOWN((J637-M637)*設定!$B$13/1000,0))</f>
        <v>0</v>
      </c>
      <c r="BM637" s="31" t="n">
        <f aca="false">ROUNDDOWN((J637-M637)*設定!$C$13/1000,0)+IF(CL637="市局型",ROUNDDOWN(J637*設定!$C$17/1000,0),0)</f>
        <v>0</v>
      </c>
      <c r="BN637" s="31" t="n">
        <f aca="false">IF(CK637="N",BV637,ROUNDDOWN((K637-N637)*設定!$B$14/1000,0))</f>
        <v>0</v>
      </c>
      <c r="BO637" s="31" t="n">
        <f aca="false">ROUNDDOWN((K637-N637)*設定!$C$14/1000,0)</f>
        <v>0</v>
      </c>
      <c r="BP637" s="31" t="n">
        <f aca="false">IF(CK637="N",BX637,ROUNDDOWN((J637-M637)*設定!$B$15/1000,0))</f>
        <v>0</v>
      </c>
      <c r="BQ637" s="31" t="n">
        <f aca="false">ROUNDDOWN((J637-M637)*設定!$C$15/1000,0)</f>
        <v>0</v>
      </c>
      <c r="BR637" s="31" t="n">
        <f aca="false">O637+P637</f>
        <v>0</v>
      </c>
      <c r="BS637" s="31" t="n">
        <f aca="false">T637+U637+V637</f>
        <v>0</v>
      </c>
      <c r="BT637" s="31" t="n">
        <f aca="false">Q637</f>
        <v>0</v>
      </c>
      <c r="BU637" s="31" t="n">
        <f aca="false">W637</f>
        <v>0</v>
      </c>
      <c r="BV637" s="31" t="n">
        <f aca="false">R637</f>
        <v>0</v>
      </c>
      <c r="BW637" s="31" t="n">
        <f aca="false">X637</f>
        <v>0</v>
      </c>
      <c r="BX637" s="31" t="n">
        <f aca="false">S637</f>
        <v>0</v>
      </c>
      <c r="BY637" s="31" t="n">
        <f aca="false">Y637</f>
        <v>0</v>
      </c>
      <c r="BZ637" s="32" t="n">
        <f aca="false">IF(BJ637=0,IF(BR637=0,0,1),(BR637-BJ637)/BJ637)</f>
        <v>0</v>
      </c>
      <c r="CA637" s="32" t="n">
        <f aca="false">IF(BK637=0,IF(BS637=0,0,1),(BS637-BK637)/BK637)</f>
        <v>0</v>
      </c>
      <c r="CB637" s="32" t="n">
        <f aca="false">IF(BL637=0,IF(BT637=0,0,1),(BT637-BL637)/BL637)</f>
        <v>0</v>
      </c>
      <c r="CC637" s="32" t="n">
        <f aca="false">IF(BM637=0,IF(BU637=0,0,1),(BU637-BM637)/BM637)</f>
        <v>0</v>
      </c>
      <c r="CD637" s="32" t="n">
        <f aca="false">IF(BN637=0,IF(BV637=0,0,1),(BV637-BN637)/BN637)</f>
        <v>0</v>
      </c>
      <c r="CE637" s="32" t="n">
        <f aca="false">IF(BO637=0,IF(BW637=0,0,1),(BW637-BO637)/BO637)</f>
        <v>0</v>
      </c>
      <c r="CF637" s="32" t="n">
        <f aca="false">IF(BP637=0,IF(BX637=0,0,1),(BX637-BP637)/BP637)</f>
        <v>0</v>
      </c>
      <c r="CG637" s="32" t="n">
        <f aca="false">IF(BQ637=0,IF(BY637=0,0,1),(BY637-BQ637)/BQ637)</f>
        <v>0</v>
      </c>
      <c r="CH637" s="32" t="n">
        <f aca="false">MAX(MAX(BZ637:CG637),-MIN(BZ637:CG637))</f>
        <v>-0</v>
      </c>
      <c r="CI637" s="31" t="str">
        <f aca="false">IF(CO637="","",SUMIFS($CJ$7:$CJ$696,$A$7:$A$696,CO637,$B$7:$B$696,B637))</f>
        <v/>
      </c>
      <c r="CJ637" s="31" t="n">
        <f aca="false">SUM(AY637:BI637)</f>
        <v>0</v>
      </c>
      <c r="CK637" s="31" t="str">
        <f aca="false">IFERROR(INDEX(設定!$F$61:$F$106,MATCH(B637,設定!$B$61:$B$106,0)),"Y")</f>
        <v>Y</v>
      </c>
      <c r="CL637" s="31" t="str">
        <f aca="false">IFERROR(INDEX(設定!$G$61:$G$106,MATCH(B637,設定!$B$61:$B$106,0)),"外郭型")</f>
        <v>外郭型</v>
      </c>
      <c r="CM637" s="33" t="str">
        <f aca="false">A637&amp;"|"&amp;B637</f>
        <v>2027-03 賞与|都市再生機構</v>
      </c>
      <c r="CN637" s="34" t="str">
        <f aca="false">IFERROR(INDEX(設定!$D$61:$D$106,MATCH(B637,設定!$B$61:$B$106,0)),"Y")</f>
        <v>Y</v>
      </c>
      <c r="CO637" s="34" t="str">
        <f aca="false">IFERROR(INDEX(設定!$D$20:$D$34,MATCH(A637,設定!$A$20:$A$34,0))&amp;"","")</f>
        <v/>
      </c>
    </row>
    <row r="638" customFormat="false" ht="15" hidden="true" customHeight="false" outlineLevel="0" collapsed="false">
      <c r="A638" s="22" t="s">
        <v>229</v>
      </c>
      <c r="B638" s="23" t="s">
        <v>202</v>
      </c>
      <c r="C638" s="10" t="str">
        <f aca="false">IF(G638="","未受領",IF(G638="なし","報告なし",IF(AL638="○","起票済",IF(OR(AK638="○",F638="一致",F638="入金不要"),"入金確認済","受領済"))))</f>
        <v>未受領</v>
      </c>
      <c r="D638" s="10" t="str">
        <f aca="false">IF(OR(G638="",G638="なし"),"―",IF(CN638="N","対象外",IF(AND(I638="",J638="",K638=""),"標報未入力",IF(CH638&gt;=設定!$B$4,"要確認","問題なし"))))</f>
        <v>―</v>
      </c>
      <c r="E638" s="24" t="str">
        <f aca="false">IF(OR(G638="",G638="なし",CI638="",CJ638=0),"―",IF(CJ638=CI638,"前月同額",IF(CI638=0,"―",IF(ABS(CJ638/CI638-1)&gt;=設定!$B$5,"変動大 "&amp;TEXT(CJ638/CI638-1,"+0%;-0%"),"〇"))))</f>
        <v>―</v>
      </c>
      <c r="F638" s="10" t="str">
        <f aca="false">IF(OR(G638="",G638="なし"),"―",IF(CJ638=0,"入金不要",IF(COUNT(AD638,AF638,AH638,AJ638)=0,IF(AK638="○","手動確認","未入金"),IF(AND(N(AD638)=AC638,IF(AE638="",TRUE(),N(AF638)=AE638),IF(AG638="",TRUE(),N(AH638)=AG638),IF(AI638="",TRUE(),N(AJ638)=AI638)),"一致","不一致"))))</f>
        <v>―</v>
      </c>
      <c r="G638" s="25"/>
      <c r="H638" s="26"/>
      <c r="I638" s="27"/>
      <c r="J638" s="27"/>
      <c r="K638" s="27"/>
      <c r="L638" s="27"/>
      <c r="M638" s="27"/>
      <c r="N638" s="27"/>
      <c r="O638" s="27"/>
      <c r="P638" s="27"/>
      <c r="Q638" s="27"/>
      <c r="R638" s="27"/>
      <c r="S638" s="27"/>
      <c r="T638" s="27"/>
      <c r="U638" s="27"/>
      <c r="V638" s="27"/>
      <c r="W638" s="27"/>
      <c r="X638" s="27"/>
      <c r="Y638" s="27"/>
      <c r="Z638" s="27"/>
      <c r="AA638" s="10" t="str">
        <f aca="false">IFERROR(INDEX(設定!$E$61:$E$106,MATCH(B638,設定!$B$61:$B$106,0)),"合算")</f>
        <v>合算</v>
      </c>
      <c r="AB638" s="28"/>
      <c r="AC638" s="29" t="str">
        <f aca="false">IF(OR(G638="",G638="なし"),"",IF(AA638="合算",CJ638+N(Z638),IF(AA638="掛金・負担金別",(AY638+AZ638+BD638+BF638+BH638),SUM(AY638:BC638))))</f>
        <v/>
      </c>
      <c r="AD638" s="27"/>
      <c r="AE638" s="29" t="str">
        <f aca="false">IF(OR(G638="",G638="なし"),"",IF(AA638="掛金・負担金別",(BA638+BB638+BC638+BE638+BG638+BI638+N(Z638)),IF(AA638="経理区分別",BD638+BE638,"")))</f>
        <v/>
      </c>
      <c r="AF638" s="27"/>
      <c r="AG638" s="29" t="str">
        <f aca="false">IF(OR(G638="",G638="なし"),"",IF(AA638="経理区分別",BF638+BG638,""))</f>
        <v/>
      </c>
      <c r="AH638" s="27"/>
      <c r="AI638" s="29" t="str">
        <f aca="false">IF(OR(G638="",G638="なし"),"",IF(AA638="経理区分別",BH638+BI638+N(Z638),""))</f>
        <v/>
      </c>
      <c r="AJ638" s="27"/>
      <c r="AK638" s="26"/>
      <c r="AL638" s="26"/>
      <c r="AM638" s="30"/>
      <c r="AN638" s="31" t="n">
        <v>489886</v>
      </c>
      <c r="AO638" s="31" t="n">
        <v>40150</v>
      </c>
      <c r="AP638" s="31" t="n">
        <v>489896</v>
      </c>
      <c r="AQ638" s="31" t="n">
        <v>40155</v>
      </c>
      <c r="AR638" s="31" t="n">
        <v>502</v>
      </c>
      <c r="AS638" s="31" t="n">
        <v>294509</v>
      </c>
      <c r="AT638" s="31" t="n">
        <v>295058</v>
      </c>
      <c r="AU638" s="31" t="n">
        <v>29009</v>
      </c>
      <c r="AV638" s="31" t="n">
        <v>29016</v>
      </c>
      <c r="AW638" s="31" t="n">
        <v>1</v>
      </c>
      <c r="AX638" s="31" t="n">
        <v>1</v>
      </c>
      <c r="AY638" s="31" t="n">
        <f aca="false">IF($G638="",AN638,O638)</f>
        <v>489886</v>
      </c>
      <c r="AZ638" s="31" t="n">
        <f aca="false">IF($G638="",AO638,P638)</f>
        <v>40150</v>
      </c>
      <c r="BA638" s="31" t="n">
        <f aca="false">IF($G638="",AP638,T638)</f>
        <v>489896</v>
      </c>
      <c r="BB638" s="31" t="n">
        <f aca="false">IF($G638="",AQ638,U638)</f>
        <v>40155</v>
      </c>
      <c r="BC638" s="31" t="n">
        <f aca="false">IF($G638="",AR638,V638)</f>
        <v>502</v>
      </c>
      <c r="BD638" s="31" t="n">
        <f aca="false">IF($G638="",AS638,Q638)</f>
        <v>294509</v>
      </c>
      <c r="BE638" s="31" t="n">
        <f aca="false">IF($G638="",AT638,W638)</f>
        <v>295058</v>
      </c>
      <c r="BF638" s="31" t="n">
        <f aca="false">IF($G638="",AU638,R638)</f>
        <v>29009</v>
      </c>
      <c r="BG638" s="31" t="n">
        <f aca="false">IF($G638="",AV638,X638)</f>
        <v>29016</v>
      </c>
      <c r="BH638" s="31" t="n">
        <f aca="false">IF($G638="",AW638,S638)</f>
        <v>1</v>
      </c>
      <c r="BI638" s="31" t="n">
        <f aca="false">IF($G638="",AX638,Y638)</f>
        <v>1</v>
      </c>
      <c r="BJ638" s="31" t="n">
        <f aca="false">IF(CK638="N",BR638,ROUNDDOWN((I638-L638)*設定!$B$10/1000,0)+ROUNDDOWN((I638-L638)*設定!$B$11/1000,0))</f>
        <v>0</v>
      </c>
      <c r="BK638" s="31" t="n">
        <f aca="false">ROUNDDOWN((I638-L638)*設定!$C$10/1000,0)+ROUNDDOWN((I638-L638)*設定!$C$11/1000,0)+ROUNDDOWN(I638*設定!$C$12/1000,0)+IF(CL638="市局型",ROUNDDOWN(I638*設定!$C$16/1000,0),0)</f>
        <v>0</v>
      </c>
      <c r="BL638" s="31" t="n">
        <f aca="false">IF(CK638="N",BT638,ROUNDDOWN((J638-M638)*設定!$B$13/1000,0))</f>
        <v>0</v>
      </c>
      <c r="BM638" s="31" t="n">
        <f aca="false">ROUNDDOWN((J638-M638)*設定!$C$13/1000,0)+IF(CL638="市局型",ROUNDDOWN(J638*設定!$C$17/1000,0),0)</f>
        <v>0</v>
      </c>
      <c r="BN638" s="31" t="n">
        <f aca="false">IF(CK638="N",BV638,ROUNDDOWN((K638-N638)*設定!$B$14/1000,0))</f>
        <v>0</v>
      </c>
      <c r="BO638" s="31" t="n">
        <f aca="false">ROUNDDOWN((K638-N638)*設定!$C$14/1000,0)</f>
        <v>0</v>
      </c>
      <c r="BP638" s="31" t="n">
        <f aca="false">IF(CK638="N",BX638,ROUNDDOWN((J638-M638)*設定!$B$15/1000,0))</f>
        <v>0</v>
      </c>
      <c r="BQ638" s="31" t="n">
        <f aca="false">ROUNDDOWN((J638-M638)*設定!$C$15/1000,0)</f>
        <v>0</v>
      </c>
      <c r="BR638" s="31" t="n">
        <f aca="false">O638+P638</f>
        <v>0</v>
      </c>
      <c r="BS638" s="31" t="n">
        <f aca="false">T638+U638+V638</f>
        <v>0</v>
      </c>
      <c r="BT638" s="31" t="n">
        <f aca="false">Q638</f>
        <v>0</v>
      </c>
      <c r="BU638" s="31" t="n">
        <f aca="false">W638</f>
        <v>0</v>
      </c>
      <c r="BV638" s="31" t="n">
        <f aca="false">R638</f>
        <v>0</v>
      </c>
      <c r="BW638" s="31" t="n">
        <f aca="false">X638</f>
        <v>0</v>
      </c>
      <c r="BX638" s="31" t="n">
        <f aca="false">S638</f>
        <v>0</v>
      </c>
      <c r="BY638" s="31" t="n">
        <f aca="false">Y638</f>
        <v>0</v>
      </c>
      <c r="BZ638" s="32" t="n">
        <f aca="false">IF(BJ638=0,IF(BR638=0,0,1),(BR638-BJ638)/BJ638)</f>
        <v>0</v>
      </c>
      <c r="CA638" s="32" t="n">
        <f aca="false">IF(BK638=0,IF(BS638=0,0,1),(BS638-BK638)/BK638)</f>
        <v>0</v>
      </c>
      <c r="CB638" s="32" t="n">
        <f aca="false">IF(BL638=0,IF(BT638=0,0,1),(BT638-BL638)/BL638)</f>
        <v>0</v>
      </c>
      <c r="CC638" s="32" t="n">
        <f aca="false">IF(BM638=0,IF(BU638=0,0,1),(BU638-BM638)/BM638)</f>
        <v>0</v>
      </c>
      <c r="CD638" s="32" t="n">
        <f aca="false">IF(BN638=0,IF(BV638=0,0,1),(BV638-BN638)/BN638)</f>
        <v>0</v>
      </c>
      <c r="CE638" s="32" t="n">
        <f aca="false">IF(BO638=0,IF(BW638=0,0,1),(BW638-BO638)/BO638)</f>
        <v>0</v>
      </c>
      <c r="CF638" s="32" t="n">
        <f aca="false">IF(BP638=0,IF(BX638=0,0,1),(BX638-BP638)/BP638)</f>
        <v>0</v>
      </c>
      <c r="CG638" s="32" t="n">
        <f aca="false">IF(BQ638=0,IF(BY638=0,0,1),(BY638-BQ638)/BQ638)</f>
        <v>0</v>
      </c>
      <c r="CH638" s="32" t="n">
        <f aca="false">MAX(MAX(BZ638:CG638),-MIN(BZ638:CG638))</f>
        <v>-0</v>
      </c>
      <c r="CI638" s="31" t="str">
        <f aca="false">IF(CO638="","",SUMIFS($CJ$7:$CJ$696,$A$7:$A$696,CO638,$B$7:$B$696,B638))</f>
        <v/>
      </c>
      <c r="CJ638" s="31" t="n">
        <f aca="false">SUM(AY638:BI638)</f>
        <v>1708183</v>
      </c>
      <c r="CK638" s="31" t="str">
        <f aca="false">IFERROR(INDEX(設定!$F$61:$F$106,MATCH(B638,設定!$B$61:$B$106,0)),"Y")</f>
        <v>Y</v>
      </c>
      <c r="CL638" s="31" t="str">
        <f aca="false">IFERROR(INDEX(設定!$G$61:$G$106,MATCH(B638,設定!$B$61:$B$106,0)),"外郭型")</f>
        <v>外郭型</v>
      </c>
      <c r="CM638" s="33" t="str">
        <f aca="false">A638&amp;"|"&amp;B638</f>
        <v>2027-03 賞与|広島市立大学</v>
      </c>
      <c r="CN638" s="34" t="str">
        <f aca="false">IFERROR(INDEX(設定!$D$61:$D$106,MATCH(B638,設定!$B$61:$B$106,0)),"Y")</f>
        <v>Y</v>
      </c>
      <c r="CO638" s="34" t="str">
        <f aca="false">IFERROR(INDEX(設定!$D$20:$D$34,MATCH(A638,設定!$A$20:$A$34,0))&amp;"","")</f>
        <v/>
      </c>
    </row>
    <row r="639" customFormat="false" ht="15" hidden="true" customHeight="false" outlineLevel="0" collapsed="false">
      <c r="A639" s="22" t="s">
        <v>229</v>
      </c>
      <c r="B639" s="23" t="s">
        <v>203</v>
      </c>
      <c r="C639" s="10" t="str">
        <f aca="false">IF(G639="","未受領",IF(G639="なし","報告なし",IF(AL639="○","起票済",IF(OR(AK639="○",F639="一致",F639="入金不要"),"入金確認済","受領済"))))</f>
        <v>未受領</v>
      </c>
      <c r="D639" s="10" t="str">
        <f aca="false">IF(OR(G639="",G639="なし"),"―",IF(CN639="N","対象外",IF(AND(I639="",J639="",K639=""),"標報未入力",IF(CH639&gt;=設定!$B$4,"要確認","問題なし"))))</f>
        <v>―</v>
      </c>
      <c r="E639" s="24" t="str">
        <f aca="false">IF(OR(G639="",G639="なし",CI639="",CJ639=0),"―",IF(CJ639=CI639,"前月同額",IF(CI639=0,"―",IF(ABS(CJ639/CI639-1)&gt;=設定!$B$5,"変動大 "&amp;TEXT(CJ639/CI639-1,"+0%;-0%"),"〇"))))</f>
        <v>―</v>
      </c>
      <c r="F639" s="10" t="str">
        <f aca="false">IF(OR(G639="",G639="なし"),"―",IF(CJ639=0,"入金不要",IF(COUNT(AD639,AF639,AH639,AJ639)=0,IF(AK639="○","手動確認","未入金"),IF(AND(N(AD639)=AC639,IF(AE639="",TRUE(),N(AF639)=AE639),IF(AG639="",TRUE(),N(AH639)=AG639),IF(AI639="",TRUE(),N(AJ639)=AI639)),"一致","不一致"))))</f>
        <v>―</v>
      </c>
      <c r="G639" s="25"/>
      <c r="H639" s="26"/>
      <c r="I639" s="27"/>
      <c r="J639" s="27"/>
      <c r="K639" s="27"/>
      <c r="L639" s="27"/>
      <c r="M639" s="27"/>
      <c r="N639" s="27"/>
      <c r="O639" s="27"/>
      <c r="P639" s="27"/>
      <c r="Q639" s="27"/>
      <c r="R639" s="27"/>
      <c r="S639" s="27"/>
      <c r="T639" s="27"/>
      <c r="U639" s="27"/>
      <c r="V639" s="27"/>
      <c r="W639" s="27"/>
      <c r="X639" s="27"/>
      <c r="Y639" s="27"/>
      <c r="Z639" s="27"/>
      <c r="AA639" s="10" t="str">
        <f aca="false">IFERROR(INDEX(設定!$E$61:$E$106,MATCH(B639,設定!$B$61:$B$106,0)),"合算")</f>
        <v>合算</v>
      </c>
      <c r="AB639" s="28"/>
      <c r="AC639" s="29" t="str">
        <f aca="false">IF(OR(G639="",G639="なし"),"",IF(AA639="合算",CJ639+N(Z639),IF(AA639="掛金・負担金別",(AY639+AZ639+BD639+BF639+BH639),SUM(AY639:BC639))))</f>
        <v/>
      </c>
      <c r="AD639" s="27"/>
      <c r="AE639" s="29" t="str">
        <f aca="false">IF(OR(G639="",G639="なし"),"",IF(AA639="掛金・負担金別",(BA639+BB639+BC639+BE639+BG639+BI639+N(Z639)),IF(AA639="経理区分別",BD639+BE639,"")))</f>
        <v/>
      </c>
      <c r="AF639" s="27"/>
      <c r="AG639" s="29" t="str">
        <f aca="false">IF(OR(G639="",G639="なし"),"",IF(AA639="経理区分別",BF639+BG639,""))</f>
        <v/>
      </c>
      <c r="AH639" s="27"/>
      <c r="AI639" s="29" t="str">
        <f aca="false">IF(OR(G639="",G639="なし"),"",IF(AA639="経理区分別",BH639+BI639+N(Z639),""))</f>
        <v/>
      </c>
      <c r="AJ639" s="27"/>
      <c r="AK639" s="26"/>
      <c r="AL639" s="26"/>
      <c r="AM639" s="30"/>
      <c r="AN639" s="31"/>
      <c r="AO639" s="31"/>
      <c r="AP639" s="31" t="n">
        <v>100743</v>
      </c>
      <c r="AQ639" s="31" t="n">
        <v>8257</v>
      </c>
      <c r="AR639" s="31" t="n">
        <v>103</v>
      </c>
      <c r="AS639" s="31"/>
      <c r="AT639" s="31" t="n">
        <v>60676</v>
      </c>
      <c r="AU639" s="31"/>
      <c r="AV639" s="31" t="n">
        <v>4732</v>
      </c>
      <c r="AW639" s="31"/>
      <c r="AX639" s="31" t="n">
        <v>1</v>
      </c>
      <c r="AY639" s="31" t="n">
        <f aca="false">IF($G639="",AN639,O639)</f>
        <v>0</v>
      </c>
      <c r="AZ639" s="31" t="n">
        <f aca="false">IF($G639="",AO639,P639)</f>
        <v>0</v>
      </c>
      <c r="BA639" s="31" t="n">
        <f aca="false">IF($G639="",AP639,T639)</f>
        <v>100743</v>
      </c>
      <c r="BB639" s="31" t="n">
        <f aca="false">IF($G639="",AQ639,U639)</f>
        <v>8257</v>
      </c>
      <c r="BC639" s="31" t="n">
        <f aca="false">IF($G639="",AR639,V639)</f>
        <v>103</v>
      </c>
      <c r="BD639" s="31" t="n">
        <f aca="false">IF($G639="",AS639,Q639)</f>
        <v>0</v>
      </c>
      <c r="BE639" s="31" t="n">
        <f aca="false">IF($G639="",AT639,W639)</f>
        <v>60676</v>
      </c>
      <c r="BF639" s="31" t="n">
        <f aca="false">IF($G639="",AU639,R639)</f>
        <v>0</v>
      </c>
      <c r="BG639" s="31" t="n">
        <f aca="false">IF($G639="",AV639,X639)</f>
        <v>4732</v>
      </c>
      <c r="BH639" s="31" t="n">
        <f aca="false">IF($G639="",AW639,S639)</f>
        <v>0</v>
      </c>
      <c r="BI639" s="31" t="n">
        <f aca="false">IF($G639="",AX639,Y639)</f>
        <v>1</v>
      </c>
      <c r="BJ639" s="31" t="n">
        <f aca="false">IF(CK639="N",BR639,ROUNDDOWN((I639-L639)*設定!$B$10/1000,0)+ROUNDDOWN((I639-L639)*設定!$B$11/1000,0))</f>
        <v>0</v>
      </c>
      <c r="BK639" s="31" t="n">
        <f aca="false">ROUNDDOWN((I639-L639)*設定!$C$10/1000,0)+ROUNDDOWN((I639-L639)*設定!$C$11/1000,0)+ROUNDDOWN(I639*設定!$C$12/1000,0)+IF(CL639="市局型",ROUNDDOWN(I639*設定!$C$16/1000,0),0)</f>
        <v>0</v>
      </c>
      <c r="BL639" s="31" t="n">
        <f aca="false">IF(CK639="N",BT639,ROUNDDOWN((J639-M639)*設定!$B$13/1000,0))</f>
        <v>0</v>
      </c>
      <c r="BM639" s="31" t="n">
        <f aca="false">ROUNDDOWN((J639-M639)*設定!$C$13/1000,0)+IF(CL639="市局型",ROUNDDOWN(J639*設定!$C$17/1000,0),0)</f>
        <v>0</v>
      </c>
      <c r="BN639" s="31" t="n">
        <f aca="false">IF(CK639="N",BV639,ROUNDDOWN((K639-N639)*設定!$B$14/1000,0))</f>
        <v>0</v>
      </c>
      <c r="BO639" s="31" t="n">
        <f aca="false">ROUNDDOWN((K639-N639)*設定!$C$14/1000,0)</f>
        <v>0</v>
      </c>
      <c r="BP639" s="31" t="n">
        <f aca="false">IF(CK639="N",BX639,ROUNDDOWN((J639-M639)*設定!$B$15/1000,0))</f>
        <v>0</v>
      </c>
      <c r="BQ639" s="31" t="n">
        <f aca="false">ROUNDDOWN((J639-M639)*設定!$C$15/1000,0)</f>
        <v>0</v>
      </c>
      <c r="BR639" s="31" t="n">
        <f aca="false">O639+P639</f>
        <v>0</v>
      </c>
      <c r="BS639" s="31" t="n">
        <f aca="false">T639+U639+V639</f>
        <v>0</v>
      </c>
      <c r="BT639" s="31" t="n">
        <f aca="false">Q639</f>
        <v>0</v>
      </c>
      <c r="BU639" s="31" t="n">
        <f aca="false">W639</f>
        <v>0</v>
      </c>
      <c r="BV639" s="31" t="n">
        <f aca="false">R639</f>
        <v>0</v>
      </c>
      <c r="BW639" s="31" t="n">
        <f aca="false">X639</f>
        <v>0</v>
      </c>
      <c r="BX639" s="31" t="n">
        <f aca="false">S639</f>
        <v>0</v>
      </c>
      <c r="BY639" s="31" t="n">
        <f aca="false">Y639</f>
        <v>0</v>
      </c>
      <c r="BZ639" s="32" t="n">
        <f aca="false">IF(BJ639=0,IF(BR639=0,0,1),(BR639-BJ639)/BJ639)</f>
        <v>0</v>
      </c>
      <c r="CA639" s="32" t="n">
        <f aca="false">IF(BK639=0,IF(BS639=0,0,1),(BS639-BK639)/BK639)</f>
        <v>0</v>
      </c>
      <c r="CB639" s="32" t="n">
        <f aca="false">IF(BL639=0,IF(BT639=0,0,1),(BT639-BL639)/BL639)</f>
        <v>0</v>
      </c>
      <c r="CC639" s="32" t="n">
        <f aca="false">IF(BM639=0,IF(BU639=0,0,1),(BU639-BM639)/BM639)</f>
        <v>0</v>
      </c>
      <c r="CD639" s="32" t="n">
        <f aca="false">IF(BN639=0,IF(BV639=0,0,1),(BV639-BN639)/BN639)</f>
        <v>0</v>
      </c>
      <c r="CE639" s="32" t="n">
        <f aca="false">IF(BO639=0,IF(BW639=0,0,1),(BW639-BO639)/BO639)</f>
        <v>0</v>
      </c>
      <c r="CF639" s="32" t="n">
        <f aca="false">IF(BP639=0,IF(BX639=0,0,1),(BX639-BP639)/BP639)</f>
        <v>0</v>
      </c>
      <c r="CG639" s="32" t="n">
        <f aca="false">IF(BQ639=0,IF(BY639=0,0,1),(BY639-BQ639)/BQ639)</f>
        <v>0</v>
      </c>
      <c r="CH639" s="32" t="n">
        <f aca="false">MAX(MAX(BZ639:CG639),-MIN(BZ639:CG639))</f>
        <v>-0</v>
      </c>
      <c r="CI639" s="31" t="str">
        <f aca="false">IF(CO639="","",SUMIFS($CJ$7:$CJ$696,$A$7:$A$696,CO639,$B$7:$B$696,B639))</f>
        <v/>
      </c>
      <c r="CJ639" s="31" t="n">
        <f aca="false">SUM(AY639:BI639)</f>
        <v>174512</v>
      </c>
      <c r="CK639" s="31" t="str">
        <f aca="false">IFERROR(INDEX(設定!$F$61:$F$106,MATCH(B639,設定!$B$61:$B$106,0)),"Y")</f>
        <v>N</v>
      </c>
      <c r="CL639" s="31" t="str">
        <f aca="false">IFERROR(INDEX(設定!$G$61:$G$106,MATCH(B639,設定!$B$61:$B$106,0)),"外郭型")</f>
        <v>外郭型</v>
      </c>
      <c r="CM639" s="33" t="str">
        <f aca="false">A639&amp;"|"&amp;B639</f>
        <v>2027-03 賞与|社会福祉協議会</v>
      </c>
      <c r="CN639" s="34" t="str">
        <f aca="false">IFERROR(INDEX(設定!$D$61:$D$106,MATCH(B639,設定!$B$61:$B$106,0)),"Y")</f>
        <v>Y</v>
      </c>
      <c r="CO639" s="34" t="str">
        <f aca="false">IFERROR(INDEX(設定!$D$20:$D$34,MATCH(A639,設定!$A$20:$A$34,0))&amp;"","")</f>
        <v/>
      </c>
    </row>
    <row r="640" customFormat="false" ht="15" hidden="true" customHeight="false" outlineLevel="0" collapsed="false">
      <c r="A640" s="22" t="s">
        <v>229</v>
      </c>
      <c r="B640" s="23" t="s">
        <v>204</v>
      </c>
      <c r="C640" s="10" t="str">
        <f aca="false">IF(G640="","未受領",IF(G640="なし","報告なし",IF(AL640="○","起票済",IF(OR(AK640="○",F640="一致",F640="入金不要"),"入金確認済","受領済"))))</f>
        <v>未受領</v>
      </c>
      <c r="D640" s="10" t="str">
        <f aca="false">IF(OR(G640="",G640="なし"),"―",IF(CN640="N","対象外",IF(AND(I640="",J640="",K640=""),"標報未入力",IF(CH640&gt;=設定!$B$4,"要確認","問題なし"))))</f>
        <v>―</v>
      </c>
      <c r="E640" s="24" t="str">
        <f aca="false">IF(OR(G640="",G640="なし",CI640="",CJ640=0),"―",IF(CJ640=CI640,"前月同額",IF(CI640=0,"―",IF(ABS(CJ640/CI640-1)&gt;=設定!$B$5,"変動大 "&amp;TEXT(CJ640/CI640-1,"+0%;-0%"),"〇"))))</f>
        <v>―</v>
      </c>
      <c r="F640" s="10" t="str">
        <f aca="false">IF(OR(G640="",G640="なし"),"―",IF(CJ640=0,"入金不要",IF(COUNT(AD640,AF640,AH640,AJ640)=0,IF(AK640="○","手動確認","未入金"),IF(AND(N(AD640)=AC640,IF(AE640="",TRUE(),N(AF640)=AE640),IF(AG640="",TRUE(),N(AH640)=AG640),IF(AI640="",TRUE(),N(AJ640)=AI640)),"一致","不一致"))))</f>
        <v>―</v>
      </c>
      <c r="G640" s="25"/>
      <c r="H640" s="26"/>
      <c r="I640" s="27"/>
      <c r="J640" s="27"/>
      <c r="K640" s="27"/>
      <c r="L640" s="27"/>
      <c r="M640" s="27"/>
      <c r="N640" s="27"/>
      <c r="O640" s="27"/>
      <c r="P640" s="27"/>
      <c r="Q640" s="27"/>
      <c r="R640" s="27"/>
      <c r="S640" s="27"/>
      <c r="T640" s="27"/>
      <c r="U640" s="27"/>
      <c r="V640" s="27"/>
      <c r="W640" s="27"/>
      <c r="X640" s="27"/>
      <c r="Y640" s="27"/>
      <c r="Z640" s="27"/>
      <c r="AA640" s="10" t="str">
        <f aca="false">IFERROR(INDEX(設定!$E$61:$E$106,MATCH(B640,設定!$B$61:$B$106,0)),"合算")</f>
        <v>合算</v>
      </c>
      <c r="AB640" s="28"/>
      <c r="AC640" s="29" t="str">
        <f aca="false">IF(OR(G640="",G640="なし"),"",IF(AA640="合算",CJ640+N(Z640),IF(AA640="掛金・負担金別",(AY640+AZ640+BD640+BF640+BH640),SUM(AY640:BC640))))</f>
        <v/>
      </c>
      <c r="AD640" s="27"/>
      <c r="AE640" s="29" t="str">
        <f aca="false">IF(OR(G640="",G640="なし"),"",IF(AA640="掛金・負担金別",(BA640+BB640+BC640+BE640+BG640+BI640+N(Z640)),IF(AA640="経理区分別",BD640+BE640,"")))</f>
        <v/>
      </c>
      <c r="AF640" s="27"/>
      <c r="AG640" s="29" t="str">
        <f aca="false">IF(OR(G640="",G640="なし"),"",IF(AA640="経理区分別",BF640+BG640,""))</f>
        <v/>
      </c>
      <c r="AH640" s="27"/>
      <c r="AI640" s="29" t="str">
        <f aca="false">IF(OR(G640="",G640="なし"),"",IF(AA640="経理区分別",BH640+BI640+N(Z640),""))</f>
        <v/>
      </c>
      <c r="AJ640" s="27"/>
      <c r="AK640" s="26"/>
      <c r="AL640" s="26"/>
      <c r="AM640" s="30"/>
      <c r="AN640" s="31" t="n">
        <v>46167702</v>
      </c>
      <c r="AO640" s="31" t="n">
        <v>3788385</v>
      </c>
      <c r="AP640" s="31" t="n">
        <v>63388806</v>
      </c>
      <c r="AQ640" s="31" t="n">
        <v>3788385</v>
      </c>
      <c r="AR640" s="31" t="n">
        <v>49128</v>
      </c>
      <c r="AS640" s="31" t="n">
        <v>27900090</v>
      </c>
      <c r="AT640" s="31" t="n">
        <v>27950807</v>
      </c>
      <c r="AU640" s="31" t="n">
        <v>2515257</v>
      </c>
      <c r="AV640" s="31" t="n">
        <v>2515257</v>
      </c>
      <c r="AW640" s="31" t="n">
        <v>1</v>
      </c>
      <c r="AX640" s="31" t="n">
        <v>1</v>
      </c>
      <c r="AY640" s="31" t="n">
        <f aca="false">IF($G640="",AN640,O640)</f>
        <v>46167702</v>
      </c>
      <c r="AZ640" s="31" t="n">
        <f aca="false">IF($G640="",AO640,P640)</f>
        <v>3788385</v>
      </c>
      <c r="BA640" s="31" t="n">
        <f aca="false">IF($G640="",AP640,T640)</f>
        <v>63388806</v>
      </c>
      <c r="BB640" s="31" t="n">
        <f aca="false">IF($G640="",AQ640,U640)</f>
        <v>3788385</v>
      </c>
      <c r="BC640" s="31" t="n">
        <f aca="false">IF($G640="",AR640,V640)</f>
        <v>49128</v>
      </c>
      <c r="BD640" s="31" t="n">
        <f aca="false">IF($G640="",AS640,Q640)</f>
        <v>27900090</v>
      </c>
      <c r="BE640" s="31" t="n">
        <f aca="false">IF($G640="",AT640,W640)</f>
        <v>27950807</v>
      </c>
      <c r="BF640" s="31" t="n">
        <f aca="false">IF($G640="",AU640,R640)</f>
        <v>2515257</v>
      </c>
      <c r="BG640" s="31" t="n">
        <f aca="false">IF($G640="",AV640,X640)</f>
        <v>2515257</v>
      </c>
      <c r="BH640" s="31" t="n">
        <f aca="false">IF($G640="",AW640,S640)</f>
        <v>1</v>
      </c>
      <c r="BI640" s="31" t="n">
        <f aca="false">IF($G640="",AX640,Y640)</f>
        <v>1</v>
      </c>
      <c r="BJ640" s="31" t="n">
        <f aca="false">IF(CK640="N",BR640,ROUNDDOWN((I640-L640)*設定!$B$10/1000,0)+ROUNDDOWN((I640-L640)*設定!$B$11/1000,0))</f>
        <v>0</v>
      </c>
      <c r="BK640" s="31" t="n">
        <f aca="false">ROUNDDOWN((I640-L640)*設定!$C$10/1000,0)+ROUNDDOWN((I640-L640)*設定!$C$11/1000,0)+ROUNDDOWN(I640*設定!$C$12/1000,0)+IF(CL640="市局型",ROUNDDOWN(I640*設定!$C$16/1000,0),0)</f>
        <v>0</v>
      </c>
      <c r="BL640" s="31" t="n">
        <f aca="false">IF(CK640="N",BT640,ROUNDDOWN((J640-M640)*設定!$B$13/1000,0))</f>
        <v>0</v>
      </c>
      <c r="BM640" s="31" t="n">
        <f aca="false">ROUNDDOWN((J640-M640)*設定!$C$13/1000,0)+IF(CL640="市局型",ROUNDDOWN(J640*設定!$C$17/1000,0),0)</f>
        <v>0</v>
      </c>
      <c r="BN640" s="31" t="n">
        <f aca="false">IF(CK640="N",BV640,ROUNDDOWN((K640-N640)*設定!$B$14/1000,0))</f>
        <v>0</v>
      </c>
      <c r="BO640" s="31" t="n">
        <f aca="false">ROUNDDOWN((K640-N640)*設定!$C$14/1000,0)</f>
        <v>0</v>
      </c>
      <c r="BP640" s="31" t="n">
        <f aca="false">IF(CK640="N",BX640,ROUNDDOWN((J640-M640)*設定!$B$15/1000,0))</f>
        <v>0</v>
      </c>
      <c r="BQ640" s="31" t="n">
        <f aca="false">ROUNDDOWN((J640-M640)*設定!$C$15/1000,0)</f>
        <v>0</v>
      </c>
      <c r="BR640" s="31" t="n">
        <f aca="false">O640+P640</f>
        <v>0</v>
      </c>
      <c r="BS640" s="31" t="n">
        <f aca="false">T640+U640+V640</f>
        <v>0</v>
      </c>
      <c r="BT640" s="31" t="n">
        <f aca="false">Q640</f>
        <v>0</v>
      </c>
      <c r="BU640" s="31" t="n">
        <f aca="false">W640</f>
        <v>0</v>
      </c>
      <c r="BV640" s="31" t="n">
        <f aca="false">R640</f>
        <v>0</v>
      </c>
      <c r="BW640" s="31" t="n">
        <f aca="false">X640</f>
        <v>0</v>
      </c>
      <c r="BX640" s="31" t="n">
        <f aca="false">S640</f>
        <v>0</v>
      </c>
      <c r="BY640" s="31" t="n">
        <f aca="false">Y640</f>
        <v>0</v>
      </c>
      <c r="BZ640" s="32" t="n">
        <f aca="false">IF(BJ640=0,IF(BR640=0,0,1),(BR640-BJ640)/BJ640)</f>
        <v>0</v>
      </c>
      <c r="CA640" s="32" t="n">
        <f aca="false">IF(BK640=0,IF(BS640=0,0,1),(BS640-BK640)/BK640)</f>
        <v>0</v>
      </c>
      <c r="CB640" s="32" t="n">
        <f aca="false">IF(BL640=0,IF(BT640=0,0,1),(BT640-BL640)/BL640)</f>
        <v>0</v>
      </c>
      <c r="CC640" s="32" t="n">
        <f aca="false">IF(BM640=0,IF(BU640=0,0,1),(BU640-BM640)/BM640)</f>
        <v>0</v>
      </c>
      <c r="CD640" s="32" t="n">
        <f aca="false">IF(BN640=0,IF(BV640=0,0,1),(BV640-BN640)/BN640)</f>
        <v>0</v>
      </c>
      <c r="CE640" s="32" t="n">
        <f aca="false">IF(BO640=0,IF(BW640=0,0,1),(BW640-BO640)/BO640)</f>
        <v>0</v>
      </c>
      <c r="CF640" s="32" t="n">
        <f aca="false">IF(BP640=0,IF(BX640=0,0,1),(BX640-BP640)/BP640)</f>
        <v>0</v>
      </c>
      <c r="CG640" s="32" t="n">
        <f aca="false">IF(BQ640=0,IF(BY640=0,0,1),(BY640-BQ640)/BQ640)</f>
        <v>0</v>
      </c>
      <c r="CH640" s="32" t="n">
        <f aca="false">MAX(MAX(BZ640:CG640),-MIN(BZ640:CG640))</f>
        <v>-0</v>
      </c>
      <c r="CI640" s="31" t="str">
        <f aca="false">IF(CO640="","",SUMIFS($CJ$7:$CJ$696,$A$7:$A$696,CO640,$B$7:$B$696,B640))</f>
        <v/>
      </c>
      <c r="CJ640" s="31" t="n">
        <f aca="false">SUM(AY640:BI640)</f>
        <v>178063819</v>
      </c>
      <c r="CK640" s="31" t="str">
        <f aca="false">IFERROR(INDEX(設定!$F$61:$F$106,MATCH(B640,設定!$B$61:$B$106,0)),"Y")</f>
        <v>Y</v>
      </c>
      <c r="CL640" s="31" t="str">
        <f aca="false">IFERROR(INDEX(設定!$G$61:$G$106,MATCH(B640,設定!$B$61:$B$106,0)),"外郭型")</f>
        <v>外郭型</v>
      </c>
      <c r="CM640" s="33" t="str">
        <f aca="false">A640&amp;"|"&amp;B640</f>
        <v>2027-03 賞与|市立病院機構</v>
      </c>
      <c r="CN640" s="34" t="str">
        <f aca="false">IFERROR(INDEX(設定!$D$61:$D$106,MATCH(B640,設定!$B$61:$B$106,0)),"Y")</f>
        <v>N</v>
      </c>
      <c r="CO640" s="34" t="str">
        <f aca="false">IFERROR(INDEX(設定!$D$20:$D$34,MATCH(A640,設定!$A$20:$A$34,0))&amp;"","")</f>
        <v/>
      </c>
    </row>
    <row r="641" customFormat="false" ht="15" hidden="true" customHeight="false" outlineLevel="0" collapsed="false">
      <c r="A641" s="22" t="s">
        <v>229</v>
      </c>
      <c r="B641" s="23" t="s">
        <v>205</v>
      </c>
      <c r="C641" s="10" t="str">
        <f aca="false">IF(G641="","未受領",IF(G641="なし","報告なし",IF(AL641="○","起票済",IF(OR(AK641="○",F641="一致",F641="入金不要"),"入金確認済","受領済"))))</f>
        <v>未受領</v>
      </c>
      <c r="D641" s="10" t="str">
        <f aca="false">IF(OR(G641="",G641="なし"),"―",IF(CN641="N","対象外",IF(AND(I641="",J641="",K641=""),"標報未入力",IF(CH641&gt;=設定!$B$4,"要確認","問題なし"))))</f>
        <v>―</v>
      </c>
      <c r="E641" s="24" t="str">
        <f aca="false">IF(OR(G641="",G641="なし",CI641="",CJ641=0),"―",IF(CJ641=CI641,"前月同額",IF(CI641=0,"―",IF(ABS(CJ641/CI641-1)&gt;=設定!$B$5,"変動大 "&amp;TEXT(CJ641/CI641-1,"+0%;-0%"),"〇"))))</f>
        <v>―</v>
      </c>
      <c r="F641" s="10" t="str">
        <f aca="false">IF(OR(G641="",G641="なし"),"―",IF(CJ641=0,"入金不要",IF(COUNT(AD641,AF641,AH641,AJ641)=0,IF(AK641="○","手動確認","未入金"),IF(AND(N(AD641)=AC641,IF(AE641="",TRUE(),N(AF641)=AE641),IF(AG641="",TRUE(),N(AH641)=AG641),IF(AI641="",TRUE(),N(AJ641)=AI641)),"一致","不一致"))))</f>
        <v>―</v>
      </c>
      <c r="G641" s="25"/>
      <c r="H641" s="26"/>
      <c r="I641" s="27"/>
      <c r="J641" s="27"/>
      <c r="K641" s="27"/>
      <c r="L641" s="27"/>
      <c r="M641" s="27"/>
      <c r="N641" s="27"/>
      <c r="O641" s="27"/>
      <c r="P641" s="27"/>
      <c r="Q641" s="27"/>
      <c r="R641" s="27"/>
      <c r="S641" s="27"/>
      <c r="T641" s="27"/>
      <c r="U641" s="27"/>
      <c r="V641" s="27"/>
      <c r="W641" s="27"/>
      <c r="X641" s="27"/>
      <c r="Y641" s="27"/>
      <c r="Z641" s="27"/>
      <c r="AA641" s="10" t="str">
        <f aca="false">IFERROR(INDEX(設定!$E$61:$E$106,MATCH(B641,設定!$B$61:$B$106,0)),"合算")</f>
        <v>合算</v>
      </c>
      <c r="AB641" s="28"/>
      <c r="AC641" s="29" t="str">
        <f aca="false">IF(OR(G641="",G641="なし"),"",IF(AA641="合算",CJ641+N(Z641),IF(AA641="掛金・負担金別",(AY641+AZ641+BD641+BF641+BH641),SUM(AY641:BC641))))</f>
        <v/>
      </c>
      <c r="AD641" s="27"/>
      <c r="AE641" s="29" t="str">
        <f aca="false">IF(OR(G641="",G641="なし"),"",IF(AA641="掛金・負担金別",(BA641+BB641+BC641+BE641+BG641+BI641+N(Z641)),IF(AA641="経理区分別",BD641+BE641,"")))</f>
        <v/>
      </c>
      <c r="AF641" s="27"/>
      <c r="AG641" s="29" t="str">
        <f aca="false">IF(OR(G641="",G641="なし"),"",IF(AA641="経理区分別",BF641+BG641,""))</f>
        <v/>
      </c>
      <c r="AH641" s="27"/>
      <c r="AI641" s="29" t="str">
        <f aca="false">IF(OR(G641="",G641="なし"),"",IF(AA641="経理区分別",BH641+BI641+N(Z641),""))</f>
        <v/>
      </c>
      <c r="AJ641" s="27"/>
      <c r="AK641" s="26"/>
      <c r="AL641" s="26"/>
      <c r="AM641" s="30"/>
      <c r="AN641" s="31"/>
      <c r="AO641" s="31"/>
      <c r="AP641" s="31"/>
      <c r="AQ641" s="31"/>
      <c r="AR641" s="31"/>
      <c r="AS641" s="31" t="n">
        <v>3465</v>
      </c>
      <c r="AT641" s="31" t="n">
        <v>3471</v>
      </c>
      <c r="AU641" s="31" t="n">
        <v>529</v>
      </c>
      <c r="AV641" s="31" t="n">
        <v>529</v>
      </c>
      <c r="AW641" s="31" t="n">
        <v>1</v>
      </c>
      <c r="AX641" s="31" t="n">
        <v>1</v>
      </c>
      <c r="AY641" s="31" t="n">
        <f aca="false">IF($G641="",AN641,O641)</f>
        <v>0</v>
      </c>
      <c r="AZ641" s="31" t="n">
        <f aca="false">IF($G641="",AO641,P641)</f>
        <v>0</v>
      </c>
      <c r="BA641" s="31" t="n">
        <f aca="false">IF($G641="",AP641,T641)</f>
        <v>0</v>
      </c>
      <c r="BB641" s="31" t="n">
        <f aca="false">IF($G641="",AQ641,U641)</f>
        <v>0</v>
      </c>
      <c r="BC641" s="31" t="n">
        <f aca="false">IF($G641="",AR641,V641)</f>
        <v>0</v>
      </c>
      <c r="BD641" s="31" t="n">
        <f aca="false">IF($G641="",AS641,Q641)</f>
        <v>3465</v>
      </c>
      <c r="BE641" s="31" t="n">
        <f aca="false">IF($G641="",AT641,W641)</f>
        <v>3471</v>
      </c>
      <c r="BF641" s="31" t="n">
        <f aca="false">IF($G641="",AU641,R641)</f>
        <v>529</v>
      </c>
      <c r="BG641" s="31" t="n">
        <f aca="false">IF($G641="",AV641,X641)</f>
        <v>529</v>
      </c>
      <c r="BH641" s="31" t="n">
        <f aca="false">IF($G641="",AW641,S641)</f>
        <v>1</v>
      </c>
      <c r="BI641" s="31" t="n">
        <f aca="false">IF($G641="",AX641,Y641)</f>
        <v>1</v>
      </c>
      <c r="BJ641" s="31" t="n">
        <f aca="false">IF(CK641="N",BR641,ROUNDDOWN((I641-L641)*設定!$B$10/1000,0)+ROUNDDOWN((I641-L641)*設定!$B$11/1000,0))</f>
        <v>0</v>
      </c>
      <c r="BK641" s="31" t="n">
        <f aca="false">ROUNDDOWN((I641-L641)*設定!$C$10/1000,0)+ROUNDDOWN((I641-L641)*設定!$C$11/1000,0)+ROUNDDOWN(I641*設定!$C$12/1000,0)+IF(CL641="市局型",ROUNDDOWN(I641*設定!$C$16/1000,0),0)</f>
        <v>0</v>
      </c>
      <c r="BL641" s="31" t="n">
        <f aca="false">IF(CK641="N",BT641,ROUNDDOWN((J641-M641)*設定!$B$13/1000,0))</f>
        <v>0</v>
      </c>
      <c r="BM641" s="31" t="n">
        <f aca="false">ROUNDDOWN((J641-M641)*設定!$C$13/1000,0)+IF(CL641="市局型",ROUNDDOWN(J641*設定!$C$17/1000,0),0)</f>
        <v>0</v>
      </c>
      <c r="BN641" s="31" t="n">
        <f aca="false">IF(CK641="N",BV641,ROUNDDOWN((K641-N641)*設定!$B$14/1000,0))</f>
        <v>0</v>
      </c>
      <c r="BO641" s="31" t="n">
        <f aca="false">ROUNDDOWN((K641-N641)*設定!$C$14/1000,0)</f>
        <v>0</v>
      </c>
      <c r="BP641" s="31" t="n">
        <f aca="false">IF(CK641="N",BX641,ROUNDDOWN((J641-M641)*設定!$B$15/1000,0))</f>
        <v>0</v>
      </c>
      <c r="BQ641" s="31" t="n">
        <f aca="false">ROUNDDOWN((J641-M641)*設定!$C$15/1000,0)</f>
        <v>0</v>
      </c>
      <c r="BR641" s="31" t="n">
        <f aca="false">O641+P641</f>
        <v>0</v>
      </c>
      <c r="BS641" s="31" t="n">
        <f aca="false">T641+U641+V641</f>
        <v>0</v>
      </c>
      <c r="BT641" s="31" t="n">
        <f aca="false">Q641</f>
        <v>0</v>
      </c>
      <c r="BU641" s="31" t="n">
        <f aca="false">W641</f>
        <v>0</v>
      </c>
      <c r="BV641" s="31" t="n">
        <f aca="false">R641</f>
        <v>0</v>
      </c>
      <c r="BW641" s="31" t="n">
        <f aca="false">X641</f>
        <v>0</v>
      </c>
      <c r="BX641" s="31" t="n">
        <f aca="false">S641</f>
        <v>0</v>
      </c>
      <c r="BY641" s="31" t="n">
        <f aca="false">Y641</f>
        <v>0</v>
      </c>
      <c r="BZ641" s="32" t="n">
        <f aca="false">IF(BJ641=0,IF(BR641=0,0,1),(BR641-BJ641)/BJ641)</f>
        <v>0</v>
      </c>
      <c r="CA641" s="32" t="n">
        <f aca="false">IF(BK641=0,IF(BS641=0,0,1),(BS641-BK641)/BK641)</f>
        <v>0</v>
      </c>
      <c r="CB641" s="32" t="n">
        <f aca="false">IF(BL641=0,IF(BT641=0,0,1),(BT641-BL641)/BL641)</f>
        <v>0</v>
      </c>
      <c r="CC641" s="32" t="n">
        <f aca="false">IF(BM641=0,IF(BU641=0,0,1),(BU641-BM641)/BM641)</f>
        <v>0</v>
      </c>
      <c r="CD641" s="32" t="n">
        <f aca="false">IF(BN641=0,IF(BV641=0,0,1),(BV641-BN641)/BN641)</f>
        <v>0</v>
      </c>
      <c r="CE641" s="32" t="n">
        <f aca="false">IF(BO641=0,IF(BW641=0,0,1),(BW641-BO641)/BO641)</f>
        <v>0</v>
      </c>
      <c r="CF641" s="32" t="n">
        <f aca="false">IF(BP641=0,IF(BX641=0,0,1),(BX641-BP641)/BP641)</f>
        <v>0</v>
      </c>
      <c r="CG641" s="32" t="n">
        <f aca="false">IF(BQ641=0,IF(BY641=0,0,1),(BY641-BQ641)/BQ641)</f>
        <v>0</v>
      </c>
      <c r="CH641" s="32" t="n">
        <f aca="false">MAX(MAX(BZ641:CG641),-MIN(BZ641:CG641))</f>
        <v>-0</v>
      </c>
      <c r="CI641" s="31" t="str">
        <f aca="false">IF(CO641="","",SUMIFS($CJ$7:$CJ$696,$A$7:$A$696,CO641,$B$7:$B$696,B641))</f>
        <v/>
      </c>
      <c r="CJ641" s="31" t="n">
        <f aca="false">SUM(AY641:BI641)</f>
        <v>7996</v>
      </c>
      <c r="CK641" s="31" t="str">
        <f aca="false">IFERROR(INDEX(設定!$F$61:$F$106,MATCH(B641,設定!$B$61:$B$106,0)),"Y")</f>
        <v>Y</v>
      </c>
      <c r="CL641" s="31" t="str">
        <f aca="false">IFERROR(INDEX(設定!$G$61:$G$106,MATCH(B641,設定!$B$61:$B$106,0)),"外郭型")</f>
        <v>外郭型</v>
      </c>
      <c r="CM641" s="33" t="str">
        <f aca="false">A641&amp;"|"&amp;B641</f>
        <v>2027-03 賞与|職員共済組合</v>
      </c>
      <c r="CN641" s="34" t="str">
        <f aca="false">IFERROR(INDEX(設定!$D$61:$D$106,MATCH(B641,設定!$B$61:$B$106,0)),"Y")</f>
        <v>N</v>
      </c>
      <c r="CO641" s="34" t="str">
        <f aca="false">IFERROR(INDEX(設定!$D$20:$D$34,MATCH(A641,設定!$A$20:$A$34,0))&amp;"","")</f>
        <v/>
      </c>
    </row>
    <row r="642" customFormat="false" ht="26.85" hidden="true" customHeight="false" outlineLevel="0" collapsed="false">
      <c r="A642" s="22" t="s">
        <v>229</v>
      </c>
      <c r="B642" s="35" t="s">
        <v>206</v>
      </c>
      <c r="C642" s="10" t="str">
        <f aca="false">IF(G642="","未受領",IF(G642="なし","報告なし",IF(AL642="○","起票済",IF(OR(AK642="○",F642="一致",F642="入金不要"),"入金確認済","受領済"))))</f>
        <v>未受領</v>
      </c>
      <c r="D642" s="10" t="str">
        <f aca="false">IF(OR(G642="",G642="なし"),"―",IF(CN642="N","対象外",IF(AND(I642="",J642="",K642=""),"標報未入力",IF(CH642&gt;=設定!$B$4,"要確認","問題なし"))))</f>
        <v>―</v>
      </c>
      <c r="E642" s="24" t="str">
        <f aca="false">IF(OR(G642="",G642="なし",CI642="",CJ642=0),"―",IF(CJ642=CI642,"前月同額",IF(CI642=0,"―",IF(ABS(CJ642/CI642-1)&gt;=設定!$B$5,"変動大 "&amp;TEXT(CJ642/CI642-1,"+0%;-0%"),"〇"))))</f>
        <v>―</v>
      </c>
      <c r="F642" s="10" t="str">
        <f aca="false">IF(OR(G642="",G642="なし"),"―",IF(CJ642=0,"入金不要",IF(COUNT(AD642,AF642,AH642,AJ642)=0,IF(AK642="○","手動確認","未入金"),IF(AND(N(AD642)=AC642,IF(AE642="",TRUE(),N(AF642)=AE642),IF(AG642="",TRUE(),N(AH642)=AG642),IF(AI642="",TRUE(),N(AJ642)=AI642)),"一致","不一致"))))</f>
        <v>―</v>
      </c>
      <c r="G642" s="25"/>
      <c r="H642" s="26"/>
      <c r="I642" s="27"/>
      <c r="J642" s="27"/>
      <c r="K642" s="27"/>
      <c r="L642" s="27"/>
      <c r="M642" s="27"/>
      <c r="N642" s="27"/>
      <c r="O642" s="27"/>
      <c r="P642" s="27"/>
      <c r="Q642" s="27"/>
      <c r="R642" s="27"/>
      <c r="S642" s="27"/>
      <c r="T642" s="27"/>
      <c r="U642" s="27"/>
      <c r="V642" s="27"/>
      <c r="W642" s="27"/>
      <c r="X642" s="27"/>
      <c r="Y642" s="27"/>
      <c r="Z642" s="27"/>
      <c r="AA642" s="10" t="str">
        <f aca="false">IFERROR(INDEX(設定!$E$61:$E$106,MATCH(B642,設定!$B$61:$B$106,0)),"合算")</f>
        <v>合算</v>
      </c>
      <c r="AB642" s="28"/>
      <c r="AC642" s="29" t="str">
        <f aca="false">IF(OR(G642="",G642="なし"),"",IF(AA642="合算",CJ642+N(Z642),IF(AA642="掛金・負担金別",(AY642+AZ642+BD642+BF642+BH642),SUM(AY642:BC642))))</f>
        <v/>
      </c>
      <c r="AD642" s="27"/>
      <c r="AE642" s="29" t="str">
        <f aca="false">IF(OR(G642="",G642="なし"),"",IF(AA642="掛金・負担金別",(BA642+BB642+BC642+BE642+BG642+BI642+N(Z642)),IF(AA642="経理区分別",BD642+BE642,"")))</f>
        <v/>
      </c>
      <c r="AF642" s="27"/>
      <c r="AG642" s="29" t="str">
        <f aca="false">IF(OR(G642="",G642="なし"),"",IF(AA642="経理区分別",BF642+BG642,""))</f>
        <v/>
      </c>
      <c r="AH642" s="27"/>
      <c r="AI642" s="29" t="str">
        <f aca="false">IF(OR(G642="",G642="なし"),"",IF(AA642="経理区分別",BH642+BI642+N(Z642),""))</f>
        <v/>
      </c>
      <c r="AJ642" s="27"/>
      <c r="AK642" s="26"/>
      <c r="AL642" s="26"/>
      <c r="AM642" s="30"/>
      <c r="AN642" s="31" t="n">
        <v>0</v>
      </c>
      <c r="AO642" s="31" t="n">
        <v>0</v>
      </c>
      <c r="AP642" s="31" t="n">
        <v>0</v>
      </c>
      <c r="AQ642" s="31" t="n">
        <v>0</v>
      </c>
      <c r="AR642" s="31" t="n">
        <v>0</v>
      </c>
      <c r="AS642" s="31"/>
      <c r="AT642" s="31"/>
      <c r="AU642" s="31"/>
      <c r="AV642" s="31"/>
      <c r="AW642" s="31"/>
      <c r="AX642" s="31"/>
      <c r="AY642" s="31" t="n">
        <f aca="false">IF($G642="",AN642,O642)</f>
        <v>0</v>
      </c>
      <c r="AZ642" s="31" t="n">
        <f aca="false">IF($G642="",AO642,P642)</f>
        <v>0</v>
      </c>
      <c r="BA642" s="31" t="n">
        <f aca="false">IF($G642="",AP642,T642)</f>
        <v>0</v>
      </c>
      <c r="BB642" s="31" t="n">
        <f aca="false">IF($G642="",AQ642,U642)</f>
        <v>0</v>
      </c>
      <c r="BC642" s="31" t="n">
        <f aca="false">IF($G642="",AR642,V642)</f>
        <v>0</v>
      </c>
      <c r="BD642" s="31" t="n">
        <f aca="false">IF($G642="",AS642,Q642)</f>
        <v>0</v>
      </c>
      <c r="BE642" s="31" t="n">
        <f aca="false">IF($G642="",AT642,W642)</f>
        <v>0</v>
      </c>
      <c r="BF642" s="31" t="n">
        <f aca="false">IF($G642="",AU642,R642)</f>
        <v>0</v>
      </c>
      <c r="BG642" s="31" t="n">
        <f aca="false">IF($G642="",AV642,X642)</f>
        <v>0</v>
      </c>
      <c r="BH642" s="31" t="n">
        <f aca="false">IF($G642="",AW642,S642)</f>
        <v>0</v>
      </c>
      <c r="BI642" s="31" t="n">
        <f aca="false">IF($G642="",AX642,Y642)</f>
        <v>0</v>
      </c>
      <c r="BJ642" s="31" t="n">
        <f aca="false">IF(CK642="N",BR642,ROUNDDOWN((I642-L642)*設定!$B$10/1000,0)+ROUNDDOWN((I642-L642)*設定!$B$11/1000,0))</f>
        <v>0</v>
      </c>
      <c r="BK642" s="31" t="n">
        <f aca="false">ROUNDDOWN((I642-L642)*設定!$C$10/1000,0)+ROUNDDOWN((I642-L642)*設定!$C$11/1000,0)+ROUNDDOWN(I642*設定!$C$12/1000,0)+IF(CL642="市局型",ROUNDDOWN(I642*設定!$C$16/1000,0),0)</f>
        <v>0</v>
      </c>
      <c r="BL642" s="31" t="n">
        <f aca="false">IF(CK642="N",BT642,ROUNDDOWN((J642-M642)*設定!$B$13/1000,0))</f>
        <v>0</v>
      </c>
      <c r="BM642" s="31" t="n">
        <f aca="false">ROUNDDOWN((J642-M642)*設定!$C$13/1000,0)+IF(CL642="市局型",ROUNDDOWN(J642*設定!$C$17/1000,0),0)</f>
        <v>0</v>
      </c>
      <c r="BN642" s="31" t="n">
        <f aca="false">IF(CK642="N",BV642,ROUNDDOWN((K642-N642)*設定!$B$14/1000,0))</f>
        <v>0</v>
      </c>
      <c r="BO642" s="31" t="n">
        <f aca="false">ROUNDDOWN((K642-N642)*設定!$C$14/1000,0)</f>
        <v>0</v>
      </c>
      <c r="BP642" s="31" t="n">
        <f aca="false">IF(CK642="N",BX642,ROUNDDOWN((J642-M642)*設定!$B$15/1000,0))</f>
        <v>0</v>
      </c>
      <c r="BQ642" s="31" t="n">
        <f aca="false">ROUNDDOWN((J642-M642)*設定!$C$15/1000,0)</f>
        <v>0</v>
      </c>
      <c r="BR642" s="31" t="n">
        <f aca="false">O642+P642</f>
        <v>0</v>
      </c>
      <c r="BS642" s="31" t="n">
        <f aca="false">T642+U642+V642</f>
        <v>0</v>
      </c>
      <c r="BT642" s="31" t="n">
        <f aca="false">Q642</f>
        <v>0</v>
      </c>
      <c r="BU642" s="31" t="n">
        <f aca="false">W642</f>
        <v>0</v>
      </c>
      <c r="BV642" s="31" t="n">
        <f aca="false">R642</f>
        <v>0</v>
      </c>
      <c r="BW642" s="31" t="n">
        <f aca="false">X642</f>
        <v>0</v>
      </c>
      <c r="BX642" s="31" t="n">
        <f aca="false">S642</f>
        <v>0</v>
      </c>
      <c r="BY642" s="31" t="n">
        <f aca="false">Y642</f>
        <v>0</v>
      </c>
      <c r="BZ642" s="32" t="n">
        <f aca="false">IF(BJ642=0,IF(BR642=0,0,1),(BR642-BJ642)/BJ642)</f>
        <v>0</v>
      </c>
      <c r="CA642" s="32" t="n">
        <f aca="false">IF(BK642=0,IF(BS642=0,0,1),(BS642-BK642)/BK642)</f>
        <v>0</v>
      </c>
      <c r="CB642" s="32" t="n">
        <f aca="false">IF(BL642=0,IF(BT642=0,0,1),(BT642-BL642)/BL642)</f>
        <v>0</v>
      </c>
      <c r="CC642" s="32" t="n">
        <f aca="false">IF(BM642=0,IF(BU642=0,0,1),(BU642-BM642)/BM642)</f>
        <v>0</v>
      </c>
      <c r="CD642" s="32" t="n">
        <f aca="false">IF(BN642=0,IF(BV642=0,0,1),(BV642-BN642)/BN642)</f>
        <v>0</v>
      </c>
      <c r="CE642" s="32" t="n">
        <f aca="false">IF(BO642=0,IF(BW642=0,0,1),(BW642-BO642)/BO642)</f>
        <v>0</v>
      </c>
      <c r="CF642" s="32" t="n">
        <f aca="false">IF(BP642=0,IF(BX642=0,0,1),(BX642-BP642)/BP642)</f>
        <v>0</v>
      </c>
      <c r="CG642" s="32" t="n">
        <f aca="false">IF(BQ642=0,IF(BY642=0,0,1),(BY642-BQ642)/BQ642)</f>
        <v>0</v>
      </c>
      <c r="CH642" s="32" t="n">
        <f aca="false">MAX(MAX(BZ642:CG642),-MIN(BZ642:CG642))</f>
        <v>-0</v>
      </c>
      <c r="CI642" s="31" t="str">
        <f aca="false">IF(CO642="","",SUMIFS($CJ$7:$CJ$696,$A$7:$A$696,CO642,$B$7:$B$696,B642))</f>
        <v/>
      </c>
      <c r="CJ642" s="31" t="n">
        <f aca="false">SUM(AY642:BI642)</f>
        <v>0</v>
      </c>
      <c r="CK642" s="31" t="str">
        <f aca="false">IFERROR(INDEX(設定!$F$61:$F$106,MATCH(B642,設定!$B$61:$B$106,0)),"Y")</f>
        <v>N</v>
      </c>
      <c r="CL642" s="31" t="str">
        <f aca="false">IFERROR(INDEX(設定!$G$61:$G$106,MATCH(B642,設定!$B$61:$B$106,0)),"外郭型")</f>
        <v>外郭型</v>
      </c>
      <c r="CM642" s="36" t="str">
        <f aca="false">A642&amp;"|"&amp;B642</f>
        <v>2027-03 賞与|地方公共団体
情報システム機構</v>
      </c>
      <c r="CN642" s="34" t="str">
        <f aca="false">IFERROR(INDEX(設定!$D$61:$D$106,MATCH(B642,設定!$B$61:$B$106,0)),"Y")</f>
        <v>Y</v>
      </c>
      <c r="CO642" s="34" t="str">
        <f aca="false">IFERROR(INDEX(設定!$D$20:$D$34,MATCH(A642,設定!$A$20:$A$34,0))&amp;"","")</f>
        <v/>
      </c>
    </row>
    <row r="643" customFormat="false" ht="15" hidden="true" customHeight="false" outlineLevel="0" collapsed="false">
      <c r="A643" s="22" t="s">
        <v>229</v>
      </c>
      <c r="B643" s="23" t="s">
        <v>207</v>
      </c>
      <c r="C643" s="10" t="str">
        <f aca="false">IF(G643="","未受領",IF(G643="なし","報告なし",IF(AL643="○","起票済",IF(OR(AK643="○",F643="一致",F643="入金不要"),"入金確認済","受領済"))))</f>
        <v>未受領</v>
      </c>
      <c r="D643" s="10" t="str">
        <f aca="false">IF(OR(G643="",G643="なし"),"―",IF(CN643="N","対象外",IF(AND(I643="",J643="",K643=""),"標報未入力",IF(CH643&gt;=設定!$B$4,"要確認","問題なし"))))</f>
        <v>―</v>
      </c>
      <c r="E643" s="24" t="str">
        <f aca="false">IF(OR(G643="",G643="なし",CI643="",CJ643=0),"―",IF(CJ643=CI643,"前月同額",IF(CI643=0,"―",IF(ABS(CJ643/CI643-1)&gt;=設定!$B$5,"変動大 "&amp;TEXT(CJ643/CI643-1,"+0%;-0%"),"〇"))))</f>
        <v>―</v>
      </c>
      <c r="F643" s="10" t="str">
        <f aca="false">IF(OR(G643="",G643="なし"),"―",IF(CJ643=0,"入金不要",IF(COUNT(AD643,AF643,AH643,AJ643)=0,IF(AK643="○","手動確認","未入金"),IF(AND(N(AD643)=AC643,IF(AE643="",TRUE(),N(AF643)=AE643),IF(AG643="",TRUE(),N(AH643)=AG643),IF(AI643="",TRUE(),N(AJ643)=AI643)),"一致","不一致"))))</f>
        <v>―</v>
      </c>
      <c r="G643" s="25"/>
      <c r="H643" s="26"/>
      <c r="I643" s="27"/>
      <c r="J643" s="27"/>
      <c r="K643" s="27"/>
      <c r="L643" s="27"/>
      <c r="M643" s="27"/>
      <c r="N643" s="27"/>
      <c r="O643" s="27"/>
      <c r="P643" s="27"/>
      <c r="Q643" s="27"/>
      <c r="R643" s="27"/>
      <c r="S643" s="27"/>
      <c r="T643" s="27"/>
      <c r="U643" s="27"/>
      <c r="V643" s="27"/>
      <c r="W643" s="27"/>
      <c r="X643" s="27"/>
      <c r="Y643" s="27"/>
      <c r="Z643" s="27"/>
      <c r="AA643" s="10" t="str">
        <f aca="false">IFERROR(INDEX(設定!$E$61:$E$106,MATCH(B643,設定!$B$61:$B$106,0)),"合算")</f>
        <v>合算</v>
      </c>
      <c r="AB643" s="28"/>
      <c r="AC643" s="29" t="str">
        <f aca="false">IF(OR(G643="",G643="なし"),"",IF(AA643="合算",CJ643+N(Z643),IF(AA643="掛金・負担金別",(AY643+AZ643+BD643+BF643+BH643),SUM(AY643:BC643))))</f>
        <v/>
      </c>
      <c r="AD643" s="27"/>
      <c r="AE643" s="29" t="str">
        <f aca="false">IF(OR(G643="",G643="なし"),"",IF(AA643="掛金・負担金別",(BA643+BB643+BC643+BE643+BG643+BI643+N(Z643)),IF(AA643="経理区分別",BD643+BE643,"")))</f>
        <v/>
      </c>
      <c r="AF643" s="27"/>
      <c r="AG643" s="29" t="str">
        <f aca="false">IF(OR(G643="",G643="なし"),"",IF(AA643="経理区分別",BF643+BG643,""))</f>
        <v/>
      </c>
      <c r="AH643" s="27"/>
      <c r="AI643" s="29" t="str">
        <f aca="false">IF(OR(G643="",G643="なし"),"",IF(AA643="経理区分別",BH643+BI643+N(Z643),""))</f>
        <v/>
      </c>
      <c r="AJ643" s="27"/>
      <c r="AK643" s="26"/>
      <c r="AL643" s="26"/>
      <c r="AM643" s="30"/>
      <c r="AN643" s="31" t="n">
        <v>0</v>
      </c>
      <c r="AO643" s="31" t="n">
        <v>0</v>
      </c>
      <c r="AP643" s="31" t="n">
        <v>0</v>
      </c>
      <c r="AQ643" s="31" t="n">
        <v>0</v>
      </c>
      <c r="AR643" s="31" t="n">
        <v>0</v>
      </c>
      <c r="AS643" s="31"/>
      <c r="AT643" s="31"/>
      <c r="AU643" s="31"/>
      <c r="AV643" s="31"/>
      <c r="AW643" s="31"/>
      <c r="AX643" s="31"/>
      <c r="AY643" s="31" t="n">
        <f aca="false">IF($G643="",AN643,O643)</f>
        <v>0</v>
      </c>
      <c r="AZ643" s="31" t="n">
        <f aca="false">IF($G643="",AO643,P643)</f>
        <v>0</v>
      </c>
      <c r="BA643" s="31" t="n">
        <f aca="false">IF($G643="",AP643,T643)</f>
        <v>0</v>
      </c>
      <c r="BB643" s="31" t="n">
        <f aca="false">IF($G643="",AQ643,U643)</f>
        <v>0</v>
      </c>
      <c r="BC643" s="31" t="n">
        <f aca="false">IF($G643="",AR643,V643)</f>
        <v>0</v>
      </c>
      <c r="BD643" s="31" t="n">
        <f aca="false">IF($G643="",AS643,Q643)</f>
        <v>0</v>
      </c>
      <c r="BE643" s="31" t="n">
        <f aca="false">IF($G643="",AT643,W643)</f>
        <v>0</v>
      </c>
      <c r="BF643" s="31" t="n">
        <f aca="false">IF($G643="",AU643,R643)</f>
        <v>0</v>
      </c>
      <c r="BG643" s="31" t="n">
        <f aca="false">IF($G643="",AV643,X643)</f>
        <v>0</v>
      </c>
      <c r="BH643" s="31" t="n">
        <f aca="false">IF($G643="",AW643,S643)</f>
        <v>0</v>
      </c>
      <c r="BI643" s="31" t="n">
        <f aca="false">IF($G643="",AX643,Y643)</f>
        <v>0</v>
      </c>
      <c r="BJ643" s="31" t="n">
        <f aca="false">IF(CK643="N",BR643,ROUNDDOWN((I643-L643)*設定!$B$10/1000,0)+ROUNDDOWN((I643-L643)*設定!$B$11/1000,0))</f>
        <v>0</v>
      </c>
      <c r="BK643" s="31" t="n">
        <f aca="false">ROUNDDOWN((I643-L643)*設定!$C$10/1000,0)+ROUNDDOWN((I643-L643)*設定!$C$11/1000,0)+ROUNDDOWN(I643*設定!$C$12/1000,0)+IF(CL643="市局型",ROUNDDOWN(I643*設定!$C$16/1000,0),0)</f>
        <v>0</v>
      </c>
      <c r="BL643" s="31" t="n">
        <f aca="false">IF(CK643="N",BT643,ROUNDDOWN((J643-M643)*設定!$B$13/1000,0))</f>
        <v>0</v>
      </c>
      <c r="BM643" s="31" t="n">
        <f aca="false">ROUNDDOWN((J643-M643)*設定!$C$13/1000,0)+IF(CL643="市局型",ROUNDDOWN(J643*設定!$C$17/1000,0),0)</f>
        <v>0</v>
      </c>
      <c r="BN643" s="31" t="n">
        <f aca="false">IF(CK643="N",BV643,ROUNDDOWN((K643-N643)*設定!$B$14/1000,0))</f>
        <v>0</v>
      </c>
      <c r="BO643" s="31" t="n">
        <f aca="false">ROUNDDOWN((K643-N643)*設定!$C$14/1000,0)</f>
        <v>0</v>
      </c>
      <c r="BP643" s="31" t="n">
        <f aca="false">IF(CK643="N",BX643,ROUNDDOWN((J643-M643)*設定!$B$15/1000,0))</f>
        <v>0</v>
      </c>
      <c r="BQ643" s="31" t="n">
        <f aca="false">ROUNDDOWN((J643-M643)*設定!$C$15/1000,0)</f>
        <v>0</v>
      </c>
      <c r="BR643" s="31" t="n">
        <f aca="false">O643+P643</f>
        <v>0</v>
      </c>
      <c r="BS643" s="31" t="n">
        <f aca="false">T643+U643+V643</f>
        <v>0</v>
      </c>
      <c r="BT643" s="31" t="n">
        <f aca="false">Q643</f>
        <v>0</v>
      </c>
      <c r="BU643" s="31" t="n">
        <f aca="false">W643</f>
        <v>0</v>
      </c>
      <c r="BV643" s="31" t="n">
        <f aca="false">R643</f>
        <v>0</v>
      </c>
      <c r="BW643" s="31" t="n">
        <f aca="false">X643</f>
        <v>0</v>
      </c>
      <c r="BX643" s="31" t="n">
        <f aca="false">S643</f>
        <v>0</v>
      </c>
      <c r="BY643" s="31" t="n">
        <f aca="false">Y643</f>
        <v>0</v>
      </c>
      <c r="BZ643" s="32" t="n">
        <f aca="false">IF(BJ643=0,IF(BR643=0,0,1),(BR643-BJ643)/BJ643)</f>
        <v>0</v>
      </c>
      <c r="CA643" s="32" t="n">
        <f aca="false">IF(BK643=0,IF(BS643=0,0,1),(BS643-BK643)/BK643)</f>
        <v>0</v>
      </c>
      <c r="CB643" s="32" t="n">
        <f aca="false">IF(BL643=0,IF(BT643=0,0,1),(BT643-BL643)/BL643)</f>
        <v>0</v>
      </c>
      <c r="CC643" s="32" t="n">
        <f aca="false">IF(BM643=0,IF(BU643=0,0,1),(BU643-BM643)/BM643)</f>
        <v>0</v>
      </c>
      <c r="CD643" s="32" t="n">
        <f aca="false">IF(BN643=0,IF(BV643=0,0,1),(BV643-BN643)/BN643)</f>
        <v>0</v>
      </c>
      <c r="CE643" s="32" t="n">
        <f aca="false">IF(BO643=0,IF(BW643=0,0,1),(BW643-BO643)/BO643)</f>
        <v>0</v>
      </c>
      <c r="CF643" s="32" t="n">
        <f aca="false">IF(BP643=0,IF(BX643=0,0,1),(BX643-BP643)/BP643)</f>
        <v>0</v>
      </c>
      <c r="CG643" s="32" t="n">
        <f aca="false">IF(BQ643=0,IF(BY643=0,0,1),(BY643-BQ643)/BQ643)</f>
        <v>0</v>
      </c>
      <c r="CH643" s="32" t="n">
        <f aca="false">MAX(MAX(BZ643:CG643),-MIN(BZ643:CG643))</f>
        <v>-0</v>
      </c>
      <c r="CI643" s="31" t="str">
        <f aca="false">IF(CO643="","",SUMIFS($CJ$7:$CJ$696,$A$7:$A$696,CO643,$B$7:$B$696,B643))</f>
        <v/>
      </c>
      <c r="CJ643" s="31" t="n">
        <f aca="false">SUM(AY643:BI643)</f>
        <v>0</v>
      </c>
      <c r="CK643" s="31" t="str">
        <f aca="false">IFERROR(INDEX(設定!$F$61:$F$106,MATCH(B643,設定!$B$61:$B$106,0)),"Y")</f>
        <v>Y</v>
      </c>
      <c r="CL643" s="31" t="str">
        <f aca="false">IFERROR(INDEX(設定!$G$61:$G$106,MATCH(B643,設定!$B$61:$B$106,0)),"外郭型")</f>
        <v>外郭型</v>
      </c>
      <c r="CM643" s="33" t="str">
        <f aca="false">A643&amp;"|"&amp;B643</f>
        <v>2027-03 賞与|全国市長会</v>
      </c>
      <c r="CN643" s="34" t="str">
        <f aca="false">IFERROR(INDEX(設定!$D$61:$D$106,MATCH(B643,設定!$B$61:$B$106,0)),"Y")</f>
        <v>Y</v>
      </c>
      <c r="CO643" s="34" t="str">
        <f aca="false">IFERROR(INDEX(設定!$D$20:$D$34,MATCH(A643,設定!$A$20:$A$34,0))&amp;"","")</f>
        <v/>
      </c>
    </row>
    <row r="644" customFormat="false" ht="15" hidden="true" customHeight="false" outlineLevel="0" collapsed="false">
      <c r="A644" s="22" t="s">
        <v>229</v>
      </c>
      <c r="B644" s="23" t="s">
        <v>208</v>
      </c>
      <c r="C644" s="10" t="str">
        <f aca="false">IF(G644="","未受領",IF(G644="なし","報告なし",IF(AL644="○","起票済",IF(OR(AK644="○",F644="一致",F644="入金不要"),"入金確認済","受領済"))))</f>
        <v>未受領</v>
      </c>
      <c r="D644" s="10" t="str">
        <f aca="false">IF(OR(G644="",G644="なし"),"―",IF(CN644="N","対象外",IF(AND(I644="",J644="",K644=""),"標報未入力",IF(CH644&gt;=設定!$B$4,"要確認","問題なし"))))</f>
        <v>―</v>
      </c>
      <c r="E644" s="24" t="str">
        <f aca="false">IF(OR(G644="",G644="なし",CI644="",CJ644=0),"―",IF(CJ644=CI644,"前月同額",IF(CI644=0,"―",IF(ABS(CJ644/CI644-1)&gt;=設定!$B$5,"変動大 "&amp;TEXT(CJ644/CI644-1,"+0%;-0%"),"〇"))))</f>
        <v>―</v>
      </c>
      <c r="F644" s="10" t="str">
        <f aca="false">IF(OR(G644="",G644="なし"),"―",IF(CJ644=0,"入金不要",IF(COUNT(AD644,AF644,AH644,AJ644)=0,IF(AK644="○","手動確認","未入金"),IF(AND(N(AD644)=AC644,IF(AE644="",TRUE(),N(AF644)=AE644),IF(AG644="",TRUE(),N(AH644)=AG644),IF(AI644="",TRUE(),N(AJ644)=AI644)),"一致","不一致"))))</f>
        <v>―</v>
      </c>
      <c r="G644" s="25"/>
      <c r="H644" s="26"/>
      <c r="I644" s="27"/>
      <c r="J644" s="27"/>
      <c r="K644" s="27"/>
      <c r="L644" s="27"/>
      <c r="M644" s="27"/>
      <c r="N644" s="27"/>
      <c r="O644" s="27"/>
      <c r="P644" s="27"/>
      <c r="Q644" s="27"/>
      <c r="R644" s="27"/>
      <c r="S644" s="27"/>
      <c r="T644" s="27"/>
      <c r="U644" s="27"/>
      <c r="V644" s="27"/>
      <c r="W644" s="27"/>
      <c r="X644" s="27"/>
      <c r="Y644" s="27"/>
      <c r="Z644" s="27"/>
      <c r="AA644" s="10" t="str">
        <f aca="false">IFERROR(INDEX(設定!$E$61:$E$106,MATCH(B644,設定!$B$61:$B$106,0)),"合算")</f>
        <v>合算</v>
      </c>
      <c r="AB644" s="28"/>
      <c r="AC644" s="29" t="str">
        <f aca="false">IF(OR(G644="",G644="なし"),"",IF(AA644="合算",CJ644+N(Z644),IF(AA644="掛金・負担金別",(AY644+AZ644+BD644+BF644+BH644),SUM(AY644:BC644))))</f>
        <v/>
      </c>
      <c r="AD644" s="27"/>
      <c r="AE644" s="29" t="str">
        <f aca="false">IF(OR(G644="",G644="なし"),"",IF(AA644="掛金・負担金別",(BA644+BB644+BC644+BE644+BG644+BI644+N(Z644)),IF(AA644="経理区分別",BD644+BE644,"")))</f>
        <v/>
      </c>
      <c r="AF644" s="27"/>
      <c r="AG644" s="29" t="str">
        <f aca="false">IF(OR(G644="",G644="なし"),"",IF(AA644="経理区分別",BF644+BG644,""))</f>
        <v/>
      </c>
      <c r="AH644" s="27"/>
      <c r="AI644" s="29" t="str">
        <f aca="false">IF(OR(G644="",G644="なし"),"",IF(AA644="経理区分別",BH644+BI644+N(Z644),""))</f>
        <v/>
      </c>
      <c r="AJ644" s="27"/>
      <c r="AK644" s="26"/>
      <c r="AL644" s="26"/>
      <c r="AM644" s="30"/>
      <c r="AN644" s="31" t="n">
        <v>63867</v>
      </c>
      <c r="AO644" s="31" t="n">
        <v>5235</v>
      </c>
      <c r="AP644" s="31" t="n">
        <v>63867</v>
      </c>
      <c r="AQ644" s="31" t="n">
        <v>5235</v>
      </c>
      <c r="AR644" s="31" t="n">
        <v>65</v>
      </c>
      <c r="AS644" s="31" t="n">
        <v>0</v>
      </c>
      <c r="AT644" s="31"/>
      <c r="AU644" s="31" t="n">
        <v>0</v>
      </c>
      <c r="AV644" s="31"/>
      <c r="AW644" s="31" t="n">
        <v>0</v>
      </c>
      <c r="AX644" s="31"/>
      <c r="AY644" s="31" t="n">
        <f aca="false">IF($G644="",AN644,O644)</f>
        <v>63867</v>
      </c>
      <c r="AZ644" s="31" t="n">
        <f aca="false">IF($G644="",AO644,P644)</f>
        <v>5235</v>
      </c>
      <c r="BA644" s="31" t="n">
        <f aca="false">IF($G644="",AP644,T644)</f>
        <v>63867</v>
      </c>
      <c r="BB644" s="31" t="n">
        <f aca="false">IF($G644="",AQ644,U644)</f>
        <v>5235</v>
      </c>
      <c r="BC644" s="31" t="n">
        <f aca="false">IF($G644="",AR644,V644)</f>
        <v>65</v>
      </c>
      <c r="BD644" s="31" t="n">
        <f aca="false">IF($G644="",AS644,Q644)</f>
        <v>0</v>
      </c>
      <c r="BE644" s="31" t="n">
        <f aca="false">IF($G644="",AT644,W644)</f>
        <v>0</v>
      </c>
      <c r="BF644" s="31" t="n">
        <f aca="false">IF($G644="",AU644,R644)</f>
        <v>0</v>
      </c>
      <c r="BG644" s="31" t="n">
        <f aca="false">IF($G644="",AV644,X644)</f>
        <v>0</v>
      </c>
      <c r="BH644" s="31" t="n">
        <f aca="false">IF($G644="",AW644,S644)</f>
        <v>0</v>
      </c>
      <c r="BI644" s="31" t="n">
        <f aca="false">IF($G644="",AX644,Y644)</f>
        <v>0</v>
      </c>
      <c r="BJ644" s="31" t="n">
        <f aca="false">IF(CK644="N",BR644,ROUNDDOWN((I644-L644)*設定!$B$10/1000,0)+ROUNDDOWN((I644-L644)*設定!$B$11/1000,0))</f>
        <v>0</v>
      </c>
      <c r="BK644" s="31" t="n">
        <f aca="false">ROUNDDOWN((I644-L644)*設定!$C$10/1000,0)+ROUNDDOWN((I644-L644)*設定!$C$11/1000,0)+ROUNDDOWN(I644*設定!$C$12/1000,0)+IF(CL644="市局型",ROUNDDOWN(I644*設定!$C$16/1000,0),0)</f>
        <v>0</v>
      </c>
      <c r="BL644" s="31" t="n">
        <f aca="false">IF(CK644="N",BT644,ROUNDDOWN((J644-M644)*設定!$B$13/1000,0))</f>
        <v>0</v>
      </c>
      <c r="BM644" s="31" t="n">
        <f aca="false">ROUNDDOWN((J644-M644)*設定!$C$13/1000,0)+IF(CL644="市局型",ROUNDDOWN(J644*設定!$C$17/1000,0),0)</f>
        <v>0</v>
      </c>
      <c r="BN644" s="31" t="n">
        <f aca="false">IF(CK644="N",BV644,ROUNDDOWN((K644-N644)*設定!$B$14/1000,0))</f>
        <v>0</v>
      </c>
      <c r="BO644" s="31" t="n">
        <f aca="false">ROUNDDOWN((K644-N644)*設定!$C$14/1000,0)</f>
        <v>0</v>
      </c>
      <c r="BP644" s="31" t="n">
        <f aca="false">IF(CK644="N",BX644,ROUNDDOWN((J644-M644)*設定!$B$15/1000,0))</f>
        <v>0</v>
      </c>
      <c r="BQ644" s="31" t="n">
        <f aca="false">ROUNDDOWN((J644-M644)*設定!$C$15/1000,0)</f>
        <v>0</v>
      </c>
      <c r="BR644" s="31" t="n">
        <f aca="false">O644+P644</f>
        <v>0</v>
      </c>
      <c r="BS644" s="31" t="n">
        <f aca="false">T644+U644+V644</f>
        <v>0</v>
      </c>
      <c r="BT644" s="31" t="n">
        <f aca="false">Q644</f>
        <v>0</v>
      </c>
      <c r="BU644" s="31" t="n">
        <f aca="false">W644</f>
        <v>0</v>
      </c>
      <c r="BV644" s="31" t="n">
        <f aca="false">R644</f>
        <v>0</v>
      </c>
      <c r="BW644" s="31" t="n">
        <f aca="false">X644</f>
        <v>0</v>
      </c>
      <c r="BX644" s="31" t="n">
        <f aca="false">S644</f>
        <v>0</v>
      </c>
      <c r="BY644" s="31" t="n">
        <f aca="false">Y644</f>
        <v>0</v>
      </c>
      <c r="BZ644" s="32" t="n">
        <f aca="false">IF(BJ644=0,IF(BR644=0,0,1),(BR644-BJ644)/BJ644)</f>
        <v>0</v>
      </c>
      <c r="CA644" s="32" t="n">
        <f aca="false">IF(BK644=0,IF(BS644=0,0,1),(BS644-BK644)/BK644)</f>
        <v>0</v>
      </c>
      <c r="CB644" s="32" t="n">
        <f aca="false">IF(BL644=0,IF(BT644=0,0,1),(BT644-BL644)/BL644)</f>
        <v>0</v>
      </c>
      <c r="CC644" s="32" t="n">
        <f aca="false">IF(BM644=0,IF(BU644=0,0,1),(BU644-BM644)/BM644)</f>
        <v>0</v>
      </c>
      <c r="CD644" s="32" t="n">
        <f aca="false">IF(BN644=0,IF(BV644=0,0,1),(BV644-BN644)/BN644)</f>
        <v>0</v>
      </c>
      <c r="CE644" s="32" t="n">
        <f aca="false">IF(BO644=0,IF(BW644=0,0,1),(BW644-BO644)/BO644)</f>
        <v>0</v>
      </c>
      <c r="CF644" s="32" t="n">
        <f aca="false">IF(BP644=0,IF(BX644=0,0,1),(BX644-BP644)/BP644)</f>
        <v>0</v>
      </c>
      <c r="CG644" s="32" t="n">
        <f aca="false">IF(BQ644=0,IF(BY644=0,0,1),(BY644-BQ644)/BQ644)</f>
        <v>0</v>
      </c>
      <c r="CH644" s="32" t="n">
        <f aca="false">MAX(MAX(BZ644:CG644),-MIN(BZ644:CG644))</f>
        <v>-0</v>
      </c>
      <c r="CI644" s="31" t="str">
        <f aca="false">IF(CO644="","",SUMIFS($CJ$7:$CJ$696,$A$7:$A$696,CO644,$B$7:$B$696,B644))</f>
        <v/>
      </c>
      <c r="CJ644" s="31" t="n">
        <f aca="false">SUM(AY644:BI644)</f>
        <v>138269</v>
      </c>
      <c r="CK644" s="31" t="str">
        <f aca="false">IFERROR(INDEX(設定!$F$61:$F$106,MATCH(B644,設定!$B$61:$B$106,0)),"Y")</f>
        <v>Y</v>
      </c>
      <c r="CL644" s="31" t="str">
        <f aca="false">IFERROR(INDEX(設定!$G$61:$G$106,MATCH(B644,設定!$B$61:$B$106,0)),"外郭型")</f>
        <v>外郭型</v>
      </c>
      <c r="CM644" s="33" t="str">
        <f aca="false">A644&amp;"|"&amp;B644</f>
        <v>2027-03 賞与|高速交通（株）</v>
      </c>
      <c r="CN644" s="34" t="str">
        <f aca="false">IFERROR(INDEX(設定!$D$61:$D$106,MATCH(B644,設定!$B$61:$B$106,0)),"Y")</f>
        <v>Y</v>
      </c>
      <c r="CO644" s="34" t="str">
        <f aca="false">IFERROR(INDEX(設定!$D$20:$D$34,MATCH(A644,設定!$A$20:$A$34,0))&amp;"","")</f>
        <v/>
      </c>
    </row>
    <row r="645" customFormat="false" ht="15" hidden="true" customHeight="false" outlineLevel="0" collapsed="false">
      <c r="A645" s="22" t="s">
        <v>229</v>
      </c>
      <c r="B645" s="23" t="s">
        <v>209</v>
      </c>
      <c r="C645" s="10" t="str">
        <f aca="false">IF(G645="","未受領",IF(G645="なし","報告なし",IF(AL645="○","起票済",IF(OR(AK645="○",F645="一致",F645="入金不要"),"入金確認済","受領済"))))</f>
        <v>未受領</v>
      </c>
      <c r="D645" s="10" t="str">
        <f aca="false">IF(OR(G645="",G645="なし"),"―",IF(CN645="N","対象外",IF(AND(I645="",J645="",K645=""),"標報未入力",IF(CH645&gt;=設定!$B$4,"要確認","問題なし"))))</f>
        <v>―</v>
      </c>
      <c r="E645" s="24" t="str">
        <f aca="false">IF(OR(G645="",G645="なし",CI645="",CJ645=0),"―",IF(CJ645=CI645,"前月同額",IF(CI645=0,"―",IF(ABS(CJ645/CI645-1)&gt;=設定!$B$5,"変動大 "&amp;TEXT(CJ645/CI645-1,"+0%;-0%"),"〇"))))</f>
        <v>―</v>
      </c>
      <c r="F645" s="10" t="str">
        <f aca="false">IF(OR(G645="",G645="なし"),"―",IF(CJ645=0,"入金不要",IF(COUNT(AD645,AF645,AH645,AJ645)=0,IF(AK645="○","手動確認","未入金"),IF(AND(N(AD645)=AC645,IF(AE645="",TRUE(),N(AF645)=AE645),IF(AG645="",TRUE(),N(AH645)=AG645),IF(AI645="",TRUE(),N(AJ645)=AI645)),"一致","不一致"))))</f>
        <v>―</v>
      </c>
      <c r="G645" s="25"/>
      <c r="H645" s="26"/>
      <c r="I645" s="27"/>
      <c r="J645" s="27"/>
      <c r="K645" s="27"/>
      <c r="L645" s="27"/>
      <c r="M645" s="27"/>
      <c r="N645" s="27"/>
      <c r="O645" s="27"/>
      <c r="P645" s="27"/>
      <c r="Q645" s="27"/>
      <c r="R645" s="27"/>
      <c r="S645" s="27"/>
      <c r="T645" s="27"/>
      <c r="U645" s="27"/>
      <c r="V645" s="27"/>
      <c r="W645" s="27"/>
      <c r="X645" s="27"/>
      <c r="Y645" s="27"/>
      <c r="Z645" s="27"/>
      <c r="AA645" s="10" t="str">
        <f aca="false">IFERROR(INDEX(設定!$E$61:$E$106,MATCH(B645,設定!$B$61:$B$106,0)),"合算")</f>
        <v>合算</v>
      </c>
      <c r="AB645" s="28"/>
      <c r="AC645" s="29" t="str">
        <f aca="false">IF(OR(G645="",G645="なし"),"",IF(AA645="合算",CJ645+N(Z645),IF(AA645="掛金・負担金別",(AY645+AZ645+BD645+BF645+BH645),SUM(AY645:BC645))))</f>
        <v/>
      </c>
      <c r="AD645" s="27"/>
      <c r="AE645" s="29" t="str">
        <f aca="false">IF(OR(G645="",G645="なし"),"",IF(AA645="掛金・負担金別",(BA645+BB645+BC645+BE645+BG645+BI645+N(Z645)),IF(AA645="経理区分別",BD645+BE645,"")))</f>
        <v/>
      </c>
      <c r="AF645" s="27"/>
      <c r="AG645" s="29" t="str">
        <f aca="false">IF(OR(G645="",G645="なし"),"",IF(AA645="経理区分別",BF645+BG645,""))</f>
        <v/>
      </c>
      <c r="AH645" s="27"/>
      <c r="AI645" s="29" t="str">
        <f aca="false">IF(OR(G645="",G645="なし"),"",IF(AA645="経理区分別",BH645+BI645+N(Z645),""))</f>
        <v/>
      </c>
      <c r="AJ645" s="27"/>
      <c r="AK645" s="26"/>
      <c r="AL645" s="26"/>
      <c r="AM645" s="30"/>
      <c r="AN645" s="31" t="n">
        <v>26352</v>
      </c>
      <c r="AO645" s="31" t="n">
        <v>2160</v>
      </c>
      <c r="AP645" s="31" t="n">
        <v>26352</v>
      </c>
      <c r="AQ645" s="31" t="n">
        <v>2160</v>
      </c>
      <c r="AR645" s="31" t="n">
        <v>27</v>
      </c>
      <c r="AS645" s="31"/>
      <c r="AT645" s="31"/>
      <c r="AU645" s="31"/>
      <c r="AV645" s="31"/>
      <c r="AW645" s="31"/>
      <c r="AX645" s="31"/>
      <c r="AY645" s="31" t="n">
        <f aca="false">IF($G645="",AN645,O645)</f>
        <v>26352</v>
      </c>
      <c r="AZ645" s="31" t="n">
        <f aca="false">IF($G645="",AO645,P645)</f>
        <v>2160</v>
      </c>
      <c r="BA645" s="31" t="n">
        <f aca="false">IF($G645="",AP645,T645)</f>
        <v>26352</v>
      </c>
      <c r="BB645" s="31" t="n">
        <f aca="false">IF($G645="",AQ645,U645)</f>
        <v>2160</v>
      </c>
      <c r="BC645" s="31" t="n">
        <f aca="false">IF($G645="",AR645,V645)</f>
        <v>27</v>
      </c>
      <c r="BD645" s="31" t="n">
        <f aca="false">IF($G645="",AS645,Q645)</f>
        <v>0</v>
      </c>
      <c r="BE645" s="31" t="n">
        <f aca="false">IF($G645="",AT645,W645)</f>
        <v>0</v>
      </c>
      <c r="BF645" s="31" t="n">
        <f aca="false">IF($G645="",AU645,R645)</f>
        <v>0</v>
      </c>
      <c r="BG645" s="31" t="n">
        <f aca="false">IF($G645="",AV645,X645)</f>
        <v>0</v>
      </c>
      <c r="BH645" s="31" t="n">
        <f aca="false">IF($G645="",AW645,S645)</f>
        <v>0</v>
      </c>
      <c r="BI645" s="31" t="n">
        <f aca="false">IF($G645="",AX645,Y645)</f>
        <v>0</v>
      </c>
      <c r="BJ645" s="31" t="n">
        <f aca="false">IF(CK645="N",BR645,ROUNDDOWN((I645-L645)*設定!$B$10/1000,0)+ROUNDDOWN((I645-L645)*設定!$B$11/1000,0))</f>
        <v>0</v>
      </c>
      <c r="BK645" s="31" t="n">
        <f aca="false">ROUNDDOWN((I645-L645)*設定!$C$10/1000,0)+ROUNDDOWN((I645-L645)*設定!$C$11/1000,0)+ROUNDDOWN(I645*設定!$C$12/1000,0)+IF(CL645="市局型",ROUNDDOWN(I645*設定!$C$16/1000,0),0)</f>
        <v>0</v>
      </c>
      <c r="BL645" s="31" t="n">
        <f aca="false">IF(CK645="N",BT645,ROUNDDOWN((J645-M645)*設定!$B$13/1000,0))</f>
        <v>0</v>
      </c>
      <c r="BM645" s="31" t="n">
        <f aca="false">ROUNDDOWN((J645-M645)*設定!$C$13/1000,0)+IF(CL645="市局型",ROUNDDOWN(J645*設定!$C$17/1000,0),0)</f>
        <v>0</v>
      </c>
      <c r="BN645" s="31" t="n">
        <f aca="false">IF(CK645="N",BV645,ROUNDDOWN((K645-N645)*設定!$B$14/1000,0))</f>
        <v>0</v>
      </c>
      <c r="BO645" s="31" t="n">
        <f aca="false">ROUNDDOWN((K645-N645)*設定!$C$14/1000,0)</f>
        <v>0</v>
      </c>
      <c r="BP645" s="31" t="n">
        <f aca="false">IF(CK645="N",BX645,ROUNDDOWN((J645-M645)*設定!$B$15/1000,0))</f>
        <v>0</v>
      </c>
      <c r="BQ645" s="31" t="n">
        <f aca="false">ROUNDDOWN((J645-M645)*設定!$C$15/1000,0)</f>
        <v>0</v>
      </c>
      <c r="BR645" s="31" t="n">
        <f aca="false">O645+P645</f>
        <v>0</v>
      </c>
      <c r="BS645" s="31" t="n">
        <f aca="false">T645+U645+V645</f>
        <v>0</v>
      </c>
      <c r="BT645" s="31" t="n">
        <f aca="false">Q645</f>
        <v>0</v>
      </c>
      <c r="BU645" s="31" t="n">
        <f aca="false">W645</f>
        <v>0</v>
      </c>
      <c r="BV645" s="31" t="n">
        <f aca="false">R645</f>
        <v>0</v>
      </c>
      <c r="BW645" s="31" t="n">
        <f aca="false">X645</f>
        <v>0</v>
      </c>
      <c r="BX645" s="31" t="n">
        <f aca="false">S645</f>
        <v>0</v>
      </c>
      <c r="BY645" s="31" t="n">
        <f aca="false">Y645</f>
        <v>0</v>
      </c>
      <c r="BZ645" s="32" t="n">
        <f aca="false">IF(BJ645=0,IF(BR645=0,0,1),(BR645-BJ645)/BJ645)</f>
        <v>0</v>
      </c>
      <c r="CA645" s="32" t="n">
        <f aca="false">IF(BK645=0,IF(BS645=0,0,1),(BS645-BK645)/BK645)</f>
        <v>0</v>
      </c>
      <c r="CB645" s="32" t="n">
        <f aca="false">IF(BL645=0,IF(BT645=0,0,1),(BT645-BL645)/BL645)</f>
        <v>0</v>
      </c>
      <c r="CC645" s="32" t="n">
        <f aca="false">IF(BM645=0,IF(BU645=0,0,1),(BU645-BM645)/BM645)</f>
        <v>0</v>
      </c>
      <c r="CD645" s="32" t="n">
        <f aca="false">IF(BN645=0,IF(BV645=0,0,1),(BV645-BN645)/BN645)</f>
        <v>0</v>
      </c>
      <c r="CE645" s="32" t="n">
        <f aca="false">IF(BO645=0,IF(BW645=0,0,1),(BW645-BO645)/BO645)</f>
        <v>0</v>
      </c>
      <c r="CF645" s="32" t="n">
        <f aca="false">IF(BP645=0,IF(BX645=0,0,1),(BX645-BP645)/BP645)</f>
        <v>0</v>
      </c>
      <c r="CG645" s="32" t="n">
        <f aca="false">IF(BQ645=0,IF(BY645=0,0,1),(BY645-BQ645)/BQ645)</f>
        <v>0</v>
      </c>
      <c r="CH645" s="32" t="n">
        <f aca="false">MAX(MAX(BZ645:CG645),-MIN(BZ645:CG645))</f>
        <v>-0</v>
      </c>
      <c r="CI645" s="31" t="str">
        <f aca="false">IF(CO645="","",SUMIFS($CJ$7:$CJ$696,$A$7:$A$696,CO645,$B$7:$B$696,B645))</f>
        <v/>
      </c>
      <c r="CJ645" s="31" t="n">
        <f aca="false">SUM(AY645:BI645)</f>
        <v>57051</v>
      </c>
      <c r="CK645" s="31" t="str">
        <f aca="false">IFERROR(INDEX(設定!$F$61:$F$106,MATCH(B645,設定!$B$61:$B$106,0)),"Y")</f>
        <v>Y</v>
      </c>
      <c r="CL645" s="31" t="str">
        <f aca="false">IFERROR(INDEX(設定!$G$61:$G$106,MATCH(B645,設定!$B$61:$B$106,0)),"外郭型")</f>
        <v>外郭型</v>
      </c>
      <c r="CM645" s="33" t="str">
        <f aca="false">A645&amp;"|"&amp;B645</f>
        <v>2027-03 賞与|広島駅南口開発（株）</v>
      </c>
      <c r="CN645" s="34" t="str">
        <f aca="false">IFERROR(INDEX(設定!$D$61:$D$106,MATCH(B645,設定!$B$61:$B$106,0)),"Y")</f>
        <v>Y</v>
      </c>
      <c r="CO645" s="34" t="str">
        <f aca="false">IFERROR(INDEX(設定!$D$20:$D$34,MATCH(A645,設定!$A$20:$A$34,0))&amp;"","")</f>
        <v/>
      </c>
    </row>
    <row r="646" customFormat="false" ht="15" hidden="true" customHeight="false" outlineLevel="0" collapsed="false">
      <c r="A646" s="22" t="s">
        <v>229</v>
      </c>
      <c r="B646" s="23" t="s">
        <v>210</v>
      </c>
      <c r="C646" s="10" t="str">
        <f aca="false">IF(G646="","未受領",IF(G646="なし","報告なし",IF(AL646="○","起票済",IF(OR(AK646="○",F646="一致",F646="入金不要"),"入金確認済","受領済"))))</f>
        <v>未受領</v>
      </c>
      <c r="D646" s="10" t="str">
        <f aca="false">IF(OR(G646="",G646="なし"),"―",IF(CN646="N","対象外",IF(AND(I646="",J646="",K646=""),"標報未入力",IF(CH646&gt;=設定!$B$4,"要確認","問題なし"))))</f>
        <v>―</v>
      </c>
      <c r="E646" s="24" t="str">
        <f aca="false">IF(OR(G646="",G646="なし",CI646="",CJ646=0),"―",IF(CJ646=CI646,"前月同額",IF(CI646=0,"―",IF(ABS(CJ646/CI646-1)&gt;=設定!$B$5,"変動大 "&amp;TEXT(CJ646/CI646-1,"+0%;-0%"),"〇"))))</f>
        <v>―</v>
      </c>
      <c r="F646" s="10" t="str">
        <f aca="false">IF(OR(G646="",G646="なし"),"―",IF(CJ646=0,"入金不要",IF(COUNT(AD646,AF646,AH646,AJ646)=0,IF(AK646="○","手動確認","未入金"),IF(AND(N(AD646)=AC646,IF(AE646="",TRUE(),N(AF646)=AE646),IF(AG646="",TRUE(),N(AH646)=AG646),IF(AI646="",TRUE(),N(AJ646)=AI646)),"一致","不一致"))))</f>
        <v>―</v>
      </c>
      <c r="G646" s="25"/>
      <c r="H646" s="26"/>
      <c r="I646" s="27"/>
      <c r="J646" s="27"/>
      <c r="K646" s="27"/>
      <c r="L646" s="27"/>
      <c r="M646" s="27"/>
      <c r="N646" s="27"/>
      <c r="O646" s="27"/>
      <c r="P646" s="27"/>
      <c r="Q646" s="27"/>
      <c r="R646" s="27"/>
      <c r="S646" s="27"/>
      <c r="T646" s="27"/>
      <c r="U646" s="27"/>
      <c r="V646" s="27"/>
      <c r="W646" s="27"/>
      <c r="X646" s="27"/>
      <c r="Y646" s="27"/>
      <c r="Z646" s="27"/>
      <c r="AA646" s="10" t="str">
        <f aca="false">IFERROR(INDEX(設定!$E$61:$E$106,MATCH(B646,設定!$B$61:$B$106,0)),"合算")</f>
        <v>合算</v>
      </c>
      <c r="AB646" s="28"/>
      <c r="AC646" s="29" t="str">
        <f aca="false">IF(OR(G646="",G646="なし"),"",IF(AA646="合算",CJ646+N(Z646),IF(AA646="掛金・負担金別",(AY646+AZ646+BD646+BF646+BH646),SUM(AY646:BC646))))</f>
        <v/>
      </c>
      <c r="AD646" s="27"/>
      <c r="AE646" s="29" t="str">
        <f aca="false">IF(OR(G646="",G646="なし"),"",IF(AA646="掛金・負担金別",(BA646+BB646+BC646+BE646+BG646+BI646+N(Z646)),IF(AA646="経理区分別",BD646+BE646,"")))</f>
        <v/>
      </c>
      <c r="AF646" s="27"/>
      <c r="AG646" s="29" t="str">
        <f aca="false">IF(OR(G646="",G646="なし"),"",IF(AA646="経理区分別",BF646+BG646,""))</f>
        <v/>
      </c>
      <c r="AH646" s="27"/>
      <c r="AI646" s="29" t="str">
        <f aca="false">IF(OR(G646="",G646="なし"),"",IF(AA646="経理区分別",BH646+BI646+N(Z646),""))</f>
        <v/>
      </c>
      <c r="AJ646" s="27"/>
      <c r="AK646" s="26"/>
      <c r="AL646" s="26"/>
      <c r="AM646" s="30"/>
      <c r="AN646" s="31" t="n">
        <v>8509</v>
      </c>
      <c r="AO646" s="31" t="n">
        <v>697</v>
      </c>
      <c r="AP646" s="31" t="n">
        <v>8510</v>
      </c>
      <c r="AQ646" s="31" t="n">
        <v>697</v>
      </c>
      <c r="AR646" s="31"/>
      <c r="AS646" s="31" t="n">
        <v>5115</v>
      </c>
      <c r="AT646" s="31" t="n">
        <v>5125</v>
      </c>
      <c r="AU646" s="31" t="n">
        <v>734</v>
      </c>
      <c r="AV646" s="31" t="n">
        <v>734</v>
      </c>
      <c r="AW646" s="31" t="n">
        <v>1</v>
      </c>
      <c r="AX646" s="31" t="n">
        <v>1</v>
      </c>
      <c r="AY646" s="31" t="n">
        <f aca="false">IF($G646="",AN646,O646)</f>
        <v>8509</v>
      </c>
      <c r="AZ646" s="31" t="n">
        <f aca="false">IF($G646="",AO646,P646)</f>
        <v>697</v>
      </c>
      <c r="BA646" s="31" t="n">
        <f aca="false">IF($G646="",AP646,T646)</f>
        <v>8510</v>
      </c>
      <c r="BB646" s="31" t="n">
        <f aca="false">IF($G646="",AQ646,U646)</f>
        <v>697</v>
      </c>
      <c r="BC646" s="31" t="n">
        <f aca="false">IF($G646="",AR646,V646)</f>
        <v>0</v>
      </c>
      <c r="BD646" s="31" t="n">
        <f aca="false">IF($G646="",AS646,Q646)</f>
        <v>5115</v>
      </c>
      <c r="BE646" s="31" t="n">
        <f aca="false">IF($G646="",AT646,W646)</f>
        <v>5125</v>
      </c>
      <c r="BF646" s="31" t="n">
        <f aca="false">IF($G646="",AU646,R646)</f>
        <v>734</v>
      </c>
      <c r="BG646" s="31" t="n">
        <f aca="false">IF($G646="",AV646,X646)</f>
        <v>734</v>
      </c>
      <c r="BH646" s="31" t="n">
        <f aca="false">IF($G646="",AW646,S646)</f>
        <v>1</v>
      </c>
      <c r="BI646" s="31" t="n">
        <f aca="false">IF($G646="",AX646,Y646)</f>
        <v>1</v>
      </c>
      <c r="BJ646" s="31" t="n">
        <f aca="false">IF(CK646="N",BR646,ROUNDDOWN((I646-L646)*設定!$B$10/1000,0)+ROUNDDOWN((I646-L646)*設定!$B$11/1000,0))</f>
        <v>0</v>
      </c>
      <c r="BK646" s="31" t="n">
        <f aca="false">ROUNDDOWN((I646-L646)*設定!$C$10/1000,0)+ROUNDDOWN((I646-L646)*設定!$C$11/1000,0)+ROUNDDOWN(I646*設定!$C$12/1000,0)+IF(CL646="市局型",ROUNDDOWN(I646*設定!$C$16/1000,0),0)</f>
        <v>0</v>
      </c>
      <c r="BL646" s="31" t="n">
        <f aca="false">IF(CK646="N",BT646,ROUNDDOWN((J646-M646)*設定!$B$13/1000,0))</f>
        <v>0</v>
      </c>
      <c r="BM646" s="31" t="n">
        <f aca="false">ROUNDDOWN((J646-M646)*設定!$C$13/1000,0)+IF(CL646="市局型",ROUNDDOWN(J646*設定!$C$17/1000,0),0)</f>
        <v>0</v>
      </c>
      <c r="BN646" s="31" t="n">
        <f aca="false">IF(CK646="N",BV646,ROUNDDOWN((K646-N646)*設定!$B$14/1000,0))</f>
        <v>0</v>
      </c>
      <c r="BO646" s="31" t="n">
        <f aca="false">ROUNDDOWN((K646-N646)*設定!$C$14/1000,0)</f>
        <v>0</v>
      </c>
      <c r="BP646" s="31" t="n">
        <f aca="false">IF(CK646="N",BX646,ROUNDDOWN((J646-M646)*設定!$B$15/1000,0))</f>
        <v>0</v>
      </c>
      <c r="BQ646" s="31" t="n">
        <f aca="false">ROUNDDOWN((J646-M646)*設定!$C$15/1000,0)</f>
        <v>0</v>
      </c>
      <c r="BR646" s="31" t="n">
        <f aca="false">O646+P646</f>
        <v>0</v>
      </c>
      <c r="BS646" s="31" t="n">
        <f aca="false">T646+U646+V646</f>
        <v>0</v>
      </c>
      <c r="BT646" s="31" t="n">
        <f aca="false">Q646</f>
        <v>0</v>
      </c>
      <c r="BU646" s="31" t="n">
        <f aca="false">W646</f>
        <v>0</v>
      </c>
      <c r="BV646" s="31" t="n">
        <f aca="false">R646</f>
        <v>0</v>
      </c>
      <c r="BW646" s="31" t="n">
        <f aca="false">X646</f>
        <v>0</v>
      </c>
      <c r="BX646" s="31" t="n">
        <f aca="false">S646</f>
        <v>0</v>
      </c>
      <c r="BY646" s="31" t="n">
        <f aca="false">Y646</f>
        <v>0</v>
      </c>
      <c r="BZ646" s="32" t="n">
        <f aca="false">IF(BJ646=0,IF(BR646=0,0,1),(BR646-BJ646)/BJ646)</f>
        <v>0</v>
      </c>
      <c r="CA646" s="32" t="n">
        <f aca="false">IF(BK646=0,IF(BS646=0,0,1),(BS646-BK646)/BK646)</f>
        <v>0</v>
      </c>
      <c r="CB646" s="32" t="n">
        <f aca="false">IF(BL646=0,IF(BT646=0,0,1),(BT646-BL646)/BL646)</f>
        <v>0</v>
      </c>
      <c r="CC646" s="32" t="n">
        <f aca="false">IF(BM646=0,IF(BU646=0,0,1),(BU646-BM646)/BM646)</f>
        <v>0</v>
      </c>
      <c r="CD646" s="32" t="n">
        <f aca="false">IF(BN646=0,IF(BV646=0,0,1),(BV646-BN646)/BN646)</f>
        <v>0</v>
      </c>
      <c r="CE646" s="32" t="n">
        <f aca="false">IF(BO646=0,IF(BW646=0,0,1),(BW646-BO646)/BO646)</f>
        <v>0</v>
      </c>
      <c r="CF646" s="32" t="n">
        <f aca="false">IF(BP646=0,IF(BX646=0,0,1),(BX646-BP646)/BP646)</f>
        <v>0</v>
      </c>
      <c r="CG646" s="32" t="n">
        <f aca="false">IF(BQ646=0,IF(BY646=0,0,1),(BY646-BQ646)/BQ646)</f>
        <v>0</v>
      </c>
      <c r="CH646" s="32" t="n">
        <f aca="false">MAX(MAX(BZ646:CG646),-MIN(BZ646:CG646))</f>
        <v>-0</v>
      </c>
      <c r="CI646" s="31" t="str">
        <f aca="false">IF(CO646="","",SUMIFS($CJ$7:$CJ$696,$A$7:$A$696,CO646,$B$7:$B$696,B646))</f>
        <v/>
      </c>
      <c r="CJ646" s="31" t="n">
        <f aca="false">SUM(AY646:BI646)</f>
        <v>30123</v>
      </c>
      <c r="CK646" s="31" t="str">
        <f aca="false">IFERROR(INDEX(設定!$F$61:$F$106,MATCH(B646,設定!$B$61:$B$106,0)),"Y")</f>
        <v>Y</v>
      </c>
      <c r="CL646" s="31" t="str">
        <f aca="false">IFERROR(INDEX(設定!$G$61:$G$106,MATCH(B646,設定!$B$61:$B$106,0)),"外郭型")</f>
        <v>外郭型</v>
      </c>
      <c r="CM646" s="33" t="str">
        <f aca="false">A646&amp;"|"&amp;B646</f>
        <v>2027-03 賞与|市職員労働組合</v>
      </c>
      <c r="CN646" s="34" t="str">
        <f aca="false">IFERROR(INDEX(設定!$D$61:$D$106,MATCH(B646,設定!$B$61:$B$106,0)),"Y")</f>
        <v>Y</v>
      </c>
      <c r="CO646" s="34" t="str">
        <f aca="false">IFERROR(INDEX(設定!$D$20:$D$34,MATCH(A646,設定!$A$20:$A$34,0))&amp;"","")</f>
        <v/>
      </c>
    </row>
    <row r="647" customFormat="false" ht="15" hidden="true" customHeight="false" outlineLevel="0" collapsed="false">
      <c r="A647" s="22" t="s">
        <v>229</v>
      </c>
      <c r="B647" s="23" t="s">
        <v>211</v>
      </c>
      <c r="C647" s="10" t="str">
        <f aca="false">IF(G647="","未受領",IF(G647="なし","報告なし",IF(AL647="○","起票済",IF(OR(AK647="○",F647="一致",F647="入金不要"),"入金確認済","受領済"))))</f>
        <v>報告なし</v>
      </c>
      <c r="D647" s="10" t="str">
        <f aca="false">IF(OR(G647="",G647="なし"),"―",IF(CN647="N","対象外",IF(AND(I647="",J647="",K647=""),"標報未入力",IF(CH647&gt;=設定!$B$4,"要確認","問題なし"))))</f>
        <v>―</v>
      </c>
      <c r="E647" s="24" t="str">
        <f aca="false">IF(OR(G647="",G647="なし",CI647="",CJ647=0),"―",IF(CJ647=CI647,"前月同額",IF(CI647=0,"―",IF(ABS(CJ647/CI647-1)&gt;=設定!$B$5,"変動大 "&amp;TEXT(CJ647/CI647-1,"+0%;-0%"),"〇"))))</f>
        <v>―</v>
      </c>
      <c r="F647" s="10" t="str">
        <f aca="false">IF(OR(G647="",G647="なし"),"―",IF(CJ647=0,"入金不要",IF(COUNT(AD647,AF647,AH647,AJ647)=0,IF(AK647="○","手動確認","未入金"),IF(AND(N(AD647)=AC647,IF(AE647="",TRUE(),N(AF647)=AE647),IF(AG647="",TRUE(),N(AH647)=AG647),IF(AI647="",TRUE(),N(AJ647)=AI647)),"一致","不一致"))))</f>
        <v>―</v>
      </c>
      <c r="G647" s="25" t="s">
        <v>181</v>
      </c>
      <c r="H647" s="26"/>
      <c r="I647" s="27"/>
      <c r="J647" s="27"/>
      <c r="K647" s="27"/>
      <c r="L647" s="27"/>
      <c r="M647" s="27"/>
      <c r="N647" s="27"/>
      <c r="O647" s="27"/>
      <c r="P647" s="27"/>
      <c r="Q647" s="27"/>
      <c r="R647" s="27"/>
      <c r="S647" s="27"/>
      <c r="T647" s="27"/>
      <c r="U647" s="27"/>
      <c r="V647" s="27"/>
      <c r="W647" s="27"/>
      <c r="X647" s="27"/>
      <c r="Y647" s="27"/>
      <c r="Z647" s="27"/>
      <c r="AA647" s="10" t="str">
        <f aca="false">IFERROR(INDEX(設定!$E$61:$E$106,MATCH(B647,設定!$B$61:$B$106,0)),"合算")</f>
        <v>合算</v>
      </c>
      <c r="AB647" s="28"/>
      <c r="AC647" s="29" t="str">
        <f aca="false">IF(OR(G647="",G647="なし"),"",IF(AA647="合算",CJ647+N(Z647),IF(AA647="掛金・負担金別",(AY647+AZ647+BD647+BF647+BH647),SUM(AY647:BC647))))</f>
        <v/>
      </c>
      <c r="AD647" s="27"/>
      <c r="AE647" s="29" t="str">
        <f aca="false">IF(OR(G647="",G647="なし"),"",IF(AA647="掛金・負担金別",(BA647+BB647+BC647+BE647+BG647+BI647+N(Z647)),IF(AA647="経理区分別",BD647+BE647,"")))</f>
        <v/>
      </c>
      <c r="AF647" s="27"/>
      <c r="AG647" s="29" t="str">
        <f aca="false">IF(OR(G647="",G647="なし"),"",IF(AA647="経理区分別",BF647+BG647,""))</f>
        <v/>
      </c>
      <c r="AH647" s="27"/>
      <c r="AI647" s="29" t="str">
        <f aca="false">IF(OR(G647="",G647="なし"),"",IF(AA647="経理区分別",BH647+BI647+N(Z647),""))</f>
        <v/>
      </c>
      <c r="AJ647" s="27"/>
      <c r="AK647" s="26"/>
      <c r="AL647" s="26"/>
      <c r="AM647" s="30"/>
      <c r="AN647" s="31"/>
      <c r="AO647" s="31"/>
      <c r="AP647" s="31"/>
      <c r="AQ647" s="31"/>
      <c r="AR647" s="31"/>
      <c r="AS647" s="31"/>
      <c r="AT647" s="31"/>
      <c r="AU647" s="31"/>
      <c r="AV647" s="31"/>
      <c r="AW647" s="31"/>
      <c r="AX647" s="31"/>
      <c r="AY647" s="31" t="n">
        <f aca="false">IF($G647="",AN647,O647)</f>
        <v>0</v>
      </c>
      <c r="AZ647" s="31" t="n">
        <f aca="false">IF($G647="",AO647,P647)</f>
        <v>0</v>
      </c>
      <c r="BA647" s="31" t="n">
        <f aca="false">IF($G647="",AP647,T647)</f>
        <v>0</v>
      </c>
      <c r="BB647" s="31" t="n">
        <f aca="false">IF($G647="",AQ647,U647)</f>
        <v>0</v>
      </c>
      <c r="BC647" s="31" t="n">
        <f aca="false">IF($G647="",AR647,V647)</f>
        <v>0</v>
      </c>
      <c r="BD647" s="31" t="n">
        <f aca="false">IF($G647="",AS647,Q647)</f>
        <v>0</v>
      </c>
      <c r="BE647" s="31" t="n">
        <f aca="false">IF($G647="",AT647,W647)</f>
        <v>0</v>
      </c>
      <c r="BF647" s="31" t="n">
        <f aca="false">IF($G647="",AU647,R647)</f>
        <v>0</v>
      </c>
      <c r="BG647" s="31" t="n">
        <f aca="false">IF($G647="",AV647,X647)</f>
        <v>0</v>
      </c>
      <c r="BH647" s="31" t="n">
        <f aca="false">IF($G647="",AW647,S647)</f>
        <v>0</v>
      </c>
      <c r="BI647" s="31" t="n">
        <f aca="false">IF($G647="",AX647,Y647)</f>
        <v>0</v>
      </c>
      <c r="BJ647" s="31" t="n">
        <f aca="false">IF(CK647="N",BR647,ROUNDDOWN((I647-L647)*設定!$B$10/1000,0)+ROUNDDOWN((I647-L647)*設定!$B$11/1000,0))</f>
        <v>0</v>
      </c>
      <c r="BK647" s="31" t="n">
        <f aca="false">ROUNDDOWN((I647-L647)*設定!$C$10/1000,0)+ROUNDDOWN((I647-L647)*設定!$C$11/1000,0)+ROUNDDOWN(I647*設定!$C$12/1000,0)+IF(CL647="市局型",ROUNDDOWN(I647*設定!$C$16/1000,0),0)</f>
        <v>0</v>
      </c>
      <c r="BL647" s="31" t="n">
        <f aca="false">IF(CK647="N",BT647,ROUNDDOWN((J647-M647)*設定!$B$13/1000,0))</f>
        <v>0</v>
      </c>
      <c r="BM647" s="31" t="n">
        <f aca="false">ROUNDDOWN((J647-M647)*設定!$C$13/1000,0)+IF(CL647="市局型",ROUNDDOWN(J647*設定!$C$17/1000,0),0)</f>
        <v>0</v>
      </c>
      <c r="BN647" s="31" t="n">
        <f aca="false">IF(CK647="N",BV647,ROUNDDOWN((K647-N647)*設定!$B$14/1000,0))</f>
        <v>0</v>
      </c>
      <c r="BO647" s="31" t="n">
        <f aca="false">ROUNDDOWN((K647-N647)*設定!$C$14/1000,0)</f>
        <v>0</v>
      </c>
      <c r="BP647" s="31" t="n">
        <f aca="false">IF(CK647="N",BX647,ROUNDDOWN((J647-M647)*設定!$B$15/1000,0))</f>
        <v>0</v>
      </c>
      <c r="BQ647" s="31" t="n">
        <f aca="false">ROUNDDOWN((J647-M647)*設定!$C$15/1000,0)</f>
        <v>0</v>
      </c>
      <c r="BR647" s="31" t="n">
        <f aca="false">O647+P647</f>
        <v>0</v>
      </c>
      <c r="BS647" s="31" t="n">
        <f aca="false">T647+U647+V647</f>
        <v>0</v>
      </c>
      <c r="BT647" s="31" t="n">
        <f aca="false">Q647</f>
        <v>0</v>
      </c>
      <c r="BU647" s="31" t="n">
        <f aca="false">W647</f>
        <v>0</v>
      </c>
      <c r="BV647" s="31" t="n">
        <f aca="false">R647</f>
        <v>0</v>
      </c>
      <c r="BW647" s="31" t="n">
        <f aca="false">X647</f>
        <v>0</v>
      </c>
      <c r="BX647" s="31" t="n">
        <f aca="false">S647</f>
        <v>0</v>
      </c>
      <c r="BY647" s="31" t="n">
        <f aca="false">Y647</f>
        <v>0</v>
      </c>
      <c r="BZ647" s="32" t="n">
        <f aca="false">IF(BJ647=0,IF(BR647=0,0,1),(BR647-BJ647)/BJ647)</f>
        <v>0</v>
      </c>
      <c r="CA647" s="32" t="n">
        <f aca="false">IF(BK647=0,IF(BS647=0,0,1),(BS647-BK647)/BK647)</f>
        <v>0</v>
      </c>
      <c r="CB647" s="32" t="n">
        <f aca="false">IF(BL647=0,IF(BT647=0,0,1),(BT647-BL647)/BL647)</f>
        <v>0</v>
      </c>
      <c r="CC647" s="32" t="n">
        <f aca="false">IF(BM647=0,IF(BU647=0,0,1),(BU647-BM647)/BM647)</f>
        <v>0</v>
      </c>
      <c r="CD647" s="32" t="n">
        <f aca="false">IF(BN647=0,IF(BV647=0,0,1),(BV647-BN647)/BN647)</f>
        <v>0</v>
      </c>
      <c r="CE647" s="32" t="n">
        <f aca="false">IF(BO647=0,IF(BW647=0,0,1),(BW647-BO647)/BO647)</f>
        <v>0</v>
      </c>
      <c r="CF647" s="32" t="n">
        <f aca="false">IF(BP647=0,IF(BX647=0,0,1),(BX647-BP647)/BP647)</f>
        <v>0</v>
      </c>
      <c r="CG647" s="32" t="n">
        <f aca="false">IF(BQ647=0,IF(BY647=0,0,1),(BY647-BQ647)/BQ647)</f>
        <v>0</v>
      </c>
      <c r="CH647" s="32" t="n">
        <f aca="false">MAX(MAX(BZ647:CG647),-MIN(BZ647:CG647))</f>
        <v>-0</v>
      </c>
      <c r="CI647" s="31" t="str">
        <f aca="false">IF(CO647="","",SUMIFS($CJ$7:$CJ$696,$A$7:$A$696,CO647,$B$7:$B$696,B647))</f>
        <v/>
      </c>
      <c r="CJ647" s="31" t="n">
        <f aca="false">SUM(AY647:BI647)</f>
        <v>0</v>
      </c>
      <c r="CK647" s="31" t="str">
        <f aca="false">IFERROR(INDEX(設定!$F$61:$F$106,MATCH(B647,設定!$B$61:$B$106,0)),"Y")</f>
        <v>N</v>
      </c>
      <c r="CL647" s="31" t="str">
        <f aca="false">IFERROR(INDEX(設定!$G$61:$G$106,MATCH(B647,設定!$B$61:$B$106,0)),"外郭型")</f>
        <v>外郭型</v>
      </c>
      <c r="CM647" s="33" t="str">
        <f aca="false">A647&amp;"|"&amp;B647</f>
        <v>2027-03 賞与|自治労労働組合</v>
      </c>
      <c r="CN647" s="34" t="str">
        <f aca="false">IFERROR(INDEX(設定!$D$61:$D$106,MATCH(B647,設定!$B$61:$B$106,0)),"Y")</f>
        <v>Y</v>
      </c>
      <c r="CO647" s="34" t="str">
        <f aca="false">IFERROR(INDEX(設定!$D$20:$D$34,MATCH(A647,設定!$A$20:$A$34,0))&amp;"","")</f>
        <v/>
      </c>
    </row>
    <row r="648" customFormat="false" ht="15" hidden="true" customHeight="false" outlineLevel="0" collapsed="false">
      <c r="A648" s="22" t="s">
        <v>229</v>
      </c>
      <c r="B648" s="23" t="s">
        <v>212</v>
      </c>
      <c r="C648" s="10" t="str">
        <f aca="false">IF(G648="","未受領",IF(G648="なし","報告なし",IF(AL648="○","起票済",IF(OR(AK648="○",F648="一致",F648="入金不要"),"入金確認済","受領済"))))</f>
        <v>未受領</v>
      </c>
      <c r="D648" s="10" t="str">
        <f aca="false">IF(OR(G648="",G648="なし"),"―",IF(CN648="N","対象外",IF(AND(I648="",J648="",K648=""),"標報未入力",IF(CH648&gt;=設定!$B$4,"要確認","問題なし"))))</f>
        <v>―</v>
      </c>
      <c r="E648" s="24" t="str">
        <f aca="false">IF(OR(G648="",G648="なし",CI648="",CJ648=0),"―",IF(CJ648=CI648,"前月同額",IF(CI648=0,"―",IF(ABS(CJ648/CI648-1)&gt;=設定!$B$5,"変動大 "&amp;TEXT(CJ648/CI648-1,"+0%;-0%"),"〇"))))</f>
        <v>―</v>
      </c>
      <c r="F648" s="10" t="str">
        <f aca="false">IF(OR(G648="",G648="なし"),"―",IF(CJ648=0,"入金不要",IF(COUNT(AD648,AF648,AH648,AJ648)=0,IF(AK648="○","手動確認","未入金"),IF(AND(N(AD648)=AC648,IF(AE648="",TRUE(),N(AF648)=AE648),IF(AG648="",TRUE(),N(AH648)=AG648),IF(AI648="",TRUE(),N(AJ648)=AI648)),"一致","不一致"))))</f>
        <v>―</v>
      </c>
      <c r="G648" s="25"/>
      <c r="H648" s="26"/>
      <c r="I648" s="27"/>
      <c r="J648" s="27"/>
      <c r="K648" s="27"/>
      <c r="L648" s="27"/>
      <c r="M648" s="27"/>
      <c r="N648" s="27"/>
      <c r="O648" s="27"/>
      <c r="P648" s="27"/>
      <c r="Q648" s="27"/>
      <c r="R648" s="27"/>
      <c r="S648" s="27"/>
      <c r="T648" s="27"/>
      <c r="U648" s="27"/>
      <c r="V648" s="27"/>
      <c r="W648" s="27"/>
      <c r="X648" s="27"/>
      <c r="Y648" s="27"/>
      <c r="Z648" s="27"/>
      <c r="AA648" s="10" t="str">
        <f aca="false">IFERROR(INDEX(設定!$E$61:$E$106,MATCH(B648,設定!$B$61:$B$106,0)),"合算")</f>
        <v>合算</v>
      </c>
      <c r="AB648" s="28"/>
      <c r="AC648" s="29" t="str">
        <f aca="false">IF(OR(G648="",G648="なし"),"",IF(AA648="合算",CJ648+N(Z648),IF(AA648="掛金・負担金別",(AY648+AZ648+BD648+BF648+BH648),SUM(AY648:BC648))))</f>
        <v/>
      </c>
      <c r="AD648" s="27"/>
      <c r="AE648" s="29" t="str">
        <f aca="false">IF(OR(G648="",G648="なし"),"",IF(AA648="掛金・負担金別",(BA648+BB648+BC648+BE648+BG648+BI648+N(Z648)),IF(AA648="経理区分別",BD648+BE648,"")))</f>
        <v/>
      </c>
      <c r="AF648" s="27"/>
      <c r="AG648" s="29" t="str">
        <f aca="false">IF(OR(G648="",G648="なし"),"",IF(AA648="経理区分別",BF648+BG648,""))</f>
        <v/>
      </c>
      <c r="AH648" s="27"/>
      <c r="AI648" s="29" t="str">
        <f aca="false">IF(OR(G648="",G648="なし"),"",IF(AA648="経理区分別",BH648+BI648+N(Z648),""))</f>
        <v/>
      </c>
      <c r="AJ648" s="27"/>
      <c r="AK648" s="26"/>
      <c r="AL648" s="26"/>
      <c r="AM648" s="30"/>
      <c r="AN648" s="31" t="n">
        <v>9516</v>
      </c>
      <c r="AO648" s="31" t="n">
        <v>780</v>
      </c>
      <c r="AP648" s="31" t="n">
        <v>9516</v>
      </c>
      <c r="AQ648" s="31" t="n">
        <v>780</v>
      </c>
      <c r="AR648" s="31"/>
      <c r="AS648" s="31" t="n">
        <v>9791</v>
      </c>
      <c r="AT648" s="31" t="n">
        <v>9809</v>
      </c>
      <c r="AU648" s="31" t="n">
        <v>584</v>
      </c>
      <c r="AV648" s="31" t="n">
        <v>584</v>
      </c>
      <c r="AW648" s="31" t="n">
        <v>1</v>
      </c>
      <c r="AX648" s="31" t="n">
        <v>1</v>
      </c>
      <c r="AY648" s="31" t="n">
        <f aca="false">IF($G648="",AN648,O648)</f>
        <v>9516</v>
      </c>
      <c r="AZ648" s="31" t="n">
        <f aca="false">IF($G648="",AO648,P648)</f>
        <v>780</v>
      </c>
      <c r="BA648" s="31" t="n">
        <f aca="false">IF($G648="",AP648,T648)</f>
        <v>9516</v>
      </c>
      <c r="BB648" s="31" t="n">
        <f aca="false">IF($G648="",AQ648,U648)</f>
        <v>780</v>
      </c>
      <c r="BC648" s="31" t="n">
        <f aca="false">IF($G648="",AR648,V648)</f>
        <v>0</v>
      </c>
      <c r="BD648" s="31" t="n">
        <f aca="false">IF($G648="",AS648,Q648)</f>
        <v>9791</v>
      </c>
      <c r="BE648" s="31" t="n">
        <f aca="false">IF($G648="",AT648,W648)</f>
        <v>9809</v>
      </c>
      <c r="BF648" s="31" t="n">
        <f aca="false">IF($G648="",AU648,R648)</f>
        <v>584</v>
      </c>
      <c r="BG648" s="31" t="n">
        <f aca="false">IF($G648="",AV648,X648)</f>
        <v>584</v>
      </c>
      <c r="BH648" s="31" t="n">
        <f aca="false">IF($G648="",AW648,S648)</f>
        <v>1</v>
      </c>
      <c r="BI648" s="31" t="n">
        <f aca="false">IF($G648="",AX648,Y648)</f>
        <v>1</v>
      </c>
      <c r="BJ648" s="31" t="n">
        <f aca="false">IF(CK648="N",BR648,ROUNDDOWN((I648-L648)*設定!$B$10/1000,0)+ROUNDDOWN((I648-L648)*設定!$B$11/1000,0))</f>
        <v>0</v>
      </c>
      <c r="BK648" s="31" t="n">
        <f aca="false">ROUNDDOWN((I648-L648)*設定!$C$10/1000,0)+ROUNDDOWN((I648-L648)*設定!$C$11/1000,0)+ROUNDDOWN(I648*設定!$C$12/1000,0)+IF(CL648="市局型",ROUNDDOWN(I648*設定!$C$16/1000,0),0)</f>
        <v>0</v>
      </c>
      <c r="BL648" s="31" t="n">
        <f aca="false">IF(CK648="N",BT648,ROUNDDOWN((J648-M648)*設定!$B$13/1000,0))</f>
        <v>0</v>
      </c>
      <c r="BM648" s="31" t="n">
        <f aca="false">ROUNDDOWN((J648-M648)*設定!$C$13/1000,0)+IF(CL648="市局型",ROUNDDOWN(J648*設定!$C$17/1000,0),0)</f>
        <v>0</v>
      </c>
      <c r="BN648" s="31" t="n">
        <f aca="false">IF(CK648="N",BV648,ROUNDDOWN((K648-N648)*設定!$B$14/1000,0))</f>
        <v>0</v>
      </c>
      <c r="BO648" s="31" t="n">
        <f aca="false">ROUNDDOWN((K648-N648)*設定!$C$14/1000,0)</f>
        <v>0</v>
      </c>
      <c r="BP648" s="31" t="n">
        <f aca="false">IF(CK648="N",BX648,ROUNDDOWN((J648-M648)*設定!$B$15/1000,0))</f>
        <v>0</v>
      </c>
      <c r="BQ648" s="31" t="n">
        <f aca="false">ROUNDDOWN((J648-M648)*設定!$C$15/1000,0)</f>
        <v>0</v>
      </c>
      <c r="BR648" s="31" t="n">
        <f aca="false">O648+P648</f>
        <v>0</v>
      </c>
      <c r="BS648" s="31" t="n">
        <f aca="false">T648+U648+V648</f>
        <v>0</v>
      </c>
      <c r="BT648" s="31" t="n">
        <f aca="false">Q648</f>
        <v>0</v>
      </c>
      <c r="BU648" s="31" t="n">
        <f aca="false">W648</f>
        <v>0</v>
      </c>
      <c r="BV648" s="31" t="n">
        <f aca="false">R648</f>
        <v>0</v>
      </c>
      <c r="BW648" s="31" t="n">
        <f aca="false">X648</f>
        <v>0</v>
      </c>
      <c r="BX648" s="31" t="n">
        <f aca="false">S648</f>
        <v>0</v>
      </c>
      <c r="BY648" s="31" t="n">
        <f aca="false">Y648</f>
        <v>0</v>
      </c>
      <c r="BZ648" s="32" t="n">
        <f aca="false">IF(BJ648=0,IF(BR648=0,0,1),(BR648-BJ648)/BJ648)</f>
        <v>0</v>
      </c>
      <c r="CA648" s="32" t="n">
        <f aca="false">IF(BK648=0,IF(BS648=0,0,1),(BS648-BK648)/BK648)</f>
        <v>0</v>
      </c>
      <c r="CB648" s="32" t="n">
        <f aca="false">IF(BL648=0,IF(BT648=0,0,1),(BT648-BL648)/BL648)</f>
        <v>0</v>
      </c>
      <c r="CC648" s="32" t="n">
        <f aca="false">IF(BM648=0,IF(BU648=0,0,1),(BU648-BM648)/BM648)</f>
        <v>0</v>
      </c>
      <c r="CD648" s="32" t="n">
        <f aca="false">IF(BN648=0,IF(BV648=0,0,1),(BV648-BN648)/BN648)</f>
        <v>0</v>
      </c>
      <c r="CE648" s="32" t="n">
        <f aca="false">IF(BO648=0,IF(BW648=0,0,1),(BW648-BO648)/BO648)</f>
        <v>0</v>
      </c>
      <c r="CF648" s="32" t="n">
        <f aca="false">IF(BP648=0,IF(BX648=0,0,1),(BX648-BP648)/BP648)</f>
        <v>0</v>
      </c>
      <c r="CG648" s="32" t="n">
        <f aca="false">IF(BQ648=0,IF(BY648=0,0,1),(BY648-BQ648)/BQ648)</f>
        <v>0</v>
      </c>
      <c r="CH648" s="32" t="n">
        <f aca="false">MAX(MAX(BZ648:CG648),-MIN(BZ648:CG648))</f>
        <v>-0</v>
      </c>
      <c r="CI648" s="31" t="str">
        <f aca="false">IF(CO648="","",SUMIFS($CJ$7:$CJ$696,$A$7:$A$696,CO648,$B$7:$B$696,B648))</f>
        <v/>
      </c>
      <c r="CJ648" s="31" t="n">
        <f aca="false">SUM(AY648:BI648)</f>
        <v>41362</v>
      </c>
      <c r="CK648" s="31" t="str">
        <f aca="false">IFERROR(INDEX(設定!$F$61:$F$106,MATCH(B648,設定!$B$61:$B$106,0)),"Y")</f>
        <v>Y</v>
      </c>
      <c r="CL648" s="31" t="str">
        <f aca="false">IFERROR(INDEX(設定!$G$61:$G$106,MATCH(B648,設定!$B$61:$B$106,0)),"外郭型")</f>
        <v>外郭型</v>
      </c>
      <c r="CM648" s="33" t="str">
        <f aca="false">A648&amp;"|"&amp;B648</f>
        <v>2027-03 賞与|病院労働組合</v>
      </c>
      <c r="CN648" s="34" t="str">
        <f aca="false">IFERROR(INDEX(設定!$D$61:$D$106,MATCH(B648,設定!$B$61:$B$106,0)),"Y")</f>
        <v>Y</v>
      </c>
      <c r="CO648" s="34" t="str">
        <f aca="false">IFERROR(INDEX(設定!$D$20:$D$34,MATCH(A648,設定!$A$20:$A$34,0))&amp;"","")</f>
        <v/>
      </c>
    </row>
    <row r="649" customFormat="false" ht="15" hidden="true" customHeight="false" outlineLevel="0" collapsed="false">
      <c r="A649" s="22" t="s">
        <v>229</v>
      </c>
      <c r="B649" s="23" t="s">
        <v>213</v>
      </c>
      <c r="C649" s="10" t="str">
        <f aca="false">IF(G649="","未受領",IF(G649="なし","報告なし",IF(AL649="○","起票済",IF(OR(AK649="○",F649="一致",F649="入金不要"),"入金確認済","受領済"))))</f>
        <v>報告なし</v>
      </c>
      <c r="D649" s="10" t="str">
        <f aca="false">IF(OR(G649="",G649="なし"),"―",IF(CN649="N","対象外",IF(AND(I649="",J649="",K649=""),"標報未入力",IF(CH649&gt;=設定!$B$4,"要確認","問題なし"))))</f>
        <v>―</v>
      </c>
      <c r="E649" s="24" t="str">
        <f aca="false">IF(OR(G649="",G649="なし",CI649="",CJ649=0),"―",IF(CJ649=CI649,"前月同額",IF(CI649=0,"―",IF(ABS(CJ649/CI649-1)&gt;=設定!$B$5,"変動大 "&amp;TEXT(CJ649/CI649-1,"+0%;-0%"),"〇"))))</f>
        <v>―</v>
      </c>
      <c r="F649" s="10" t="str">
        <f aca="false">IF(OR(G649="",G649="なし"),"―",IF(CJ649=0,"入金不要",IF(COUNT(AD649,AF649,AH649,AJ649)=0,IF(AK649="○","手動確認","未入金"),IF(AND(N(AD649)=AC649,IF(AE649="",TRUE(),N(AF649)=AE649),IF(AG649="",TRUE(),N(AH649)=AG649),IF(AI649="",TRUE(),N(AJ649)=AI649)),"一致","不一致"))))</f>
        <v>―</v>
      </c>
      <c r="G649" s="25" t="s">
        <v>181</v>
      </c>
      <c r="H649" s="26"/>
      <c r="I649" s="27"/>
      <c r="J649" s="27"/>
      <c r="K649" s="27"/>
      <c r="L649" s="27"/>
      <c r="M649" s="27"/>
      <c r="N649" s="27"/>
      <c r="O649" s="27"/>
      <c r="P649" s="27"/>
      <c r="Q649" s="27"/>
      <c r="R649" s="27"/>
      <c r="S649" s="27"/>
      <c r="T649" s="27"/>
      <c r="U649" s="27"/>
      <c r="V649" s="27"/>
      <c r="W649" s="27"/>
      <c r="X649" s="27"/>
      <c r="Y649" s="27"/>
      <c r="Z649" s="27"/>
      <c r="AA649" s="10" t="str">
        <f aca="false">IFERROR(INDEX(設定!$E$61:$E$106,MATCH(B649,設定!$B$61:$B$106,0)),"合算")</f>
        <v>合算</v>
      </c>
      <c r="AB649" s="28"/>
      <c r="AC649" s="29" t="str">
        <f aca="false">IF(OR(G649="",G649="なし"),"",IF(AA649="合算",CJ649+N(Z649),IF(AA649="掛金・負担金別",(AY649+AZ649+BD649+BF649+BH649),SUM(AY649:BC649))))</f>
        <v/>
      </c>
      <c r="AD649" s="27"/>
      <c r="AE649" s="29" t="str">
        <f aca="false">IF(OR(G649="",G649="なし"),"",IF(AA649="掛金・負担金別",(BA649+BB649+BC649+BE649+BG649+BI649+N(Z649)),IF(AA649="経理区分別",BD649+BE649,"")))</f>
        <v/>
      </c>
      <c r="AF649" s="27"/>
      <c r="AG649" s="29" t="str">
        <f aca="false">IF(OR(G649="",G649="なし"),"",IF(AA649="経理区分別",BF649+BG649,""))</f>
        <v/>
      </c>
      <c r="AH649" s="27"/>
      <c r="AI649" s="29" t="str">
        <f aca="false">IF(OR(G649="",G649="なし"),"",IF(AA649="経理区分別",BH649+BI649+N(Z649),""))</f>
        <v/>
      </c>
      <c r="AJ649" s="27"/>
      <c r="AK649" s="26"/>
      <c r="AL649" s="26"/>
      <c r="AM649" s="30"/>
      <c r="AN649" s="31"/>
      <c r="AO649" s="31"/>
      <c r="AP649" s="31"/>
      <c r="AQ649" s="31"/>
      <c r="AR649" s="31"/>
      <c r="AS649" s="31"/>
      <c r="AT649" s="31"/>
      <c r="AU649" s="31"/>
      <c r="AV649" s="31"/>
      <c r="AW649" s="31"/>
      <c r="AX649" s="31"/>
      <c r="AY649" s="31" t="n">
        <f aca="false">IF($G649="",AN649,O649)</f>
        <v>0</v>
      </c>
      <c r="AZ649" s="31" t="n">
        <f aca="false">IF($G649="",AO649,P649)</f>
        <v>0</v>
      </c>
      <c r="BA649" s="31" t="n">
        <f aca="false">IF($G649="",AP649,T649)</f>
        <v>0</v>
      </c>
      <c r="BB649" s="31" t="n">
        <f aca="false">IF($G649="",AQ649,U649)</f>
        <v>0</v>
      </c>
      <c r="BC649" s="31" t="n">
        <f aca="false">IF($G649="",AR649,V649)</f>
        <v>0</v>
      </c>
      <c r="BD649" s="31" t="n">
        <f aca="false">IF($G649="",AS649,Q649)</f>
        <v>0</v>
      </c>
      <c r="BE649" s="31" t="n">
        <f aca="false">IF($G649="",AT649,W649)</f>
        <v>0</v>
      </c>
      <c r="BF649" s="31" t="n">
        <f aca="false">IF($G649="",AU649,R649)</f>
        <v>0</v>
      </c>
      <c r="BG649" s="31" t="n">
        <f aca="false">IF($G649="",AV649,X649)</f>
        <v>0</v>
      </c>
      <c r="BH649" s="31" t="n">
        <f aca="false">IF($G649="",AW649,S649)</f>
        <v>0</v>
      </c>
      <c r="BI649" s="31" t="n">
        <f aca="false">IF($G649="",AX649,Y649)</f>
        <v>0</v>
      </c>
      <c r="BJ649" s="31" t="n">
        <f aca="false">IF(CK649="N",BR649,ROUNDDOWN((I649-L649)*設定!$B$10/1000,0)+ROUNDDOWN((I649-L649)*設定!$B$11/1000,0))</f>
        <v>0</v>
      </c>
      <c r="BK649" s="31" t="n">
        <f aca="false">ROUNDDOWN((I649-L649)*設定!$C$10/1000,0)+ROUNDDOWN((I649-L649)*設定!$C$11/1000,0)+ROUNDDOWN(I649*設定!$C$12/1000,0)+IF(CL649="市局型",ROUNDDOWN(I649*設定!$C$16/1000,0),0)</f>
        <v>0</v>
      </c>
      <c r="BL649" s="31" t="n">
        <f aca="false">IF(CK649="N",BT649,ROUNDDOWN((J649-M649)*設定!$B$13/1000,0))</f>
        <v>0</v>
      </c>
      <c r="BM649" s="31" t="n">
        <f aca="false">ROUNDDOWN((J649-M649)*設定!$C$13/1000,0)+IF(CL649="市局型",ROUNDDOWN(J649*設定!$C$17/1000,0),0)</f>
        <v>0</v>
      </c>
      <c r="BN649" s="31" t="n">
        <f aca="false">IF(CK649="N",BV649,ROUNDDOWN((K649-N649)*設定!$B$14/1000,0))</f>
        <v>0</v>
      </c>
      <c r="BO649" s="31" t="n">
        <f aca="false">ROUNDDOWN((K649-N649)*設定!$C$14/1000,0)</f>
        <v>0</v>
      </c>
      <c r="BP649" s="31" t="n">
        <f aca="false">IF(CK649="N",BX649,ROUNDDOWN((J649-M649)*設定!$B$15/1000,0))</f>
        <v>0</v>
      </c>
      <c r="BQ649" s="31" t="n">
        <f aca="false">ROUNDDOWN((J649-M649)*設定!$C$15/1000,0)</f>
        <v>0</v>
      </c>
      <c r="BR649" s="31" t="n">
        <f aca="false">O649+P649</f>
        <v>0</v>
      </c>
      <c r="BS649" s="31" t="n">
        <f aca="false">T649+U649+V649</f>
        <v>0</v>
      </c>
      <c r="BT649" s="31" t="n">
        <f aca="false">Q649</f>
        <v>0</v>
      </c>
      <c r="BU649" s="31" t="n">
        <f aca="false">W649</f>
        <v>0</v>
      </c>
      <c r="BV649" s="31" t="n">
        <f aca="false">R649</f>
        <v>0</v>
      </c>
      <c r="BW649" s="31" t="n">
        <f aca="false">X649</f>
        <v>0</v>
      </c>
      <c r="BX649" s="31" t="n">
        <f aca="false">S649</f>
        <v>0</v>
      </c>
      <c r="BY649" s="31" t="n">
        <f aca="false">Y649</f>
        <v>0</v>
      </c>
      <c r="BZ649" s="32" t="n">
        <f aca="false">IF(BJ649=0,IF(BR649=0,0,1),(BR649-BJ649)/BJ649)</f>
        <v>0</v>
      </c>
      <c r="CA649" s="32" t="n">
        <f aca="false">IF(BK649=0,IF(BS649=0,0,1),(BS649-BK649)/BK649)</f>
        <v>0</v>
      </c>
      <c r="CB649" s="32" t="n">
        <f aca="false">IF(BL649=0,IF(BT649=0,0,1),(BT649-BL649)/BL649)</f>
        <v>0</v>
      </c>
      <c r="CC649" s="32" t="n">
        <f aca="false">IF(BM649=0,IF(BU649=0,0,1),(BU649-BM649)/BM649)</f>
        <v>0</v>
      </c>
      <c r="CD649" s="32" t="n">
        <f aca="false">IF(BN649=0,IF(BV649=0,0,1),(BV649-BN649)/BN649)</f>
        <v>0</v>
      </c>
      <c r="CE649" s="32" t="n">
        <f aca="false">IF(BO649=0,IF(BW649=0,0,1),(BW649-BO649)/BO649)</f>
        <v>0</v>
      </c>
      <c r="CF649" s="32" t="n">
        <f aca="false">IF(BP649=0,IF(BX649=0,0,1),(BX649-BP649)/BP649)</f>
        <v>0</v>
      </c>
      <c r="CG649" s="32" t="n">
        <f aca="false">IF(BQ649=0,IF(BY649=0,0,1),(BY649-BQ649)/BQ649)</f>
        <v>0</v>
      </c>
      <c r="CH649" s="32" t="n">
        <f aca="false">MAX(MAX(BZ649:CG649),-MIN(BZ649:CG649))</f>
        <v>-0</v>
      </c>
      <c r="CI649" s="31" t="str">
        <f aca="false">IF(CO649="","",SUMIFS($CJ$7:$CJ$696,$A$7:$A$696,CO649,$B$7:$B$696,B649))</f>
        <v/>
      </c>
      <c r="CJ649" s="31" t="n">
        <f aca="false">SUM(AY649:BI649)</f>
        <v>0</v>
      </c>
      <c r="CK649" s="31" t="str">
        <f aca="false">IFERROR(INDEX(設定!$F$61:$F$106,MATCH(B649,設定!$B$61:$B$106,0)),"Y")</f>
        <v>N</v>
      </c>
      <c r="CL649" s="31" t="str">
        <f aca="false">IFERROR(INDEX(設定!$G$61:$G$106,MATCH(B649,設定!$B$61:$B$106,0)),"外郭型")</f>
        <v>外郭型</v>
      </c>
      <c r="CM649" s="33" t="str">
        <f aca="false">A649&amp;"|"&amp;B649</f>
        <v>2027-03 賞与|水道労働組合</v>
      </c>
      <c r="CN649" s="34" t="str">
        <f aca="false">IFERROR(INDEX(設定!$D$61:$D$106,MATCH(B649,設定!$B$61:$B$106,0)),"Y")</f>
        <v>Y</v>
      </c>
      <c r="CO649" s="34" t="str">
        <f aca="false">IFERROR(INDEX(設定!$D$20:$D$34,MATCH(A649,設定!$A$20:$A$34,0))&amp;"","")</f>
        <v/>
      </c>
    </row>
    <row r="650" customFormat="false" ht="15" hidden="true" customHeight="false" outlineLevel="0" collapsed="false">
      <c r="A650" s="22" t="s">
        <v>229</v>
      </c>
      <c r="B650" s="23" t="s">
        <v>214</v>
      </c>
      <c r="C650" s="10" t="str">
        <f aca="false">IF(G650="","未受領",IF(G650="なし","報告なし",IF(AL650="○","起票済",IF(OR(AK650="○",F650="一致",F650="入金不要"),"入金確認済","受領済"))))</f>
        <v>報告なし</v>
      </c>
      <c r="D650" s="10" t="str">
        <f aca="false">IF(OR(G650="",G650="なし"),"―",IF(CN650="N","対象外",IF(AND(I650="",J650="",K650=""),"標報未入力",IF(CH650&gt;=設定!$B$4,"要確認","問題なし"))))</f>
        <v>―</v>
      </c>
      <c r="E650" s="24" t="str">
        <f aca="false">IF(OR(G650="",G650="なし",CI650="",CJ650=0),"―",IF(CJ650=CI650,"前月同額",IF(CI650=0,"―",IF(ABS(CJ650/CI650-1)&gt;=設定!$B$5,"変動大 "&amp;TEXT(CJ650/CI650-1,"+0%;-0%"),"〇"))))</f>
        <v>―</v>
      </c>
      <c r="F650" s="10" t="str">
        <f aca="false">IF(OR(G650="",G650="なし"),"―",IF(CJ650=0,"入金不要",IF(COUNT(AD650,AF650,AH650,AJ650)=0,IF(AK650="○","手動確認","未入金"),IF(AND(N(AD650)=AC650,IF(AE650="",TRUE(),N(AF650)=AE650),IF(AG650="",TRUE(),N(AH650)=AG650),IF(AI650="",TRUE(),N(AJ650)=AI650)),"一致","不一致"))))</f>
        <v>―</v>
      </c>
      <c r="G650" s="25" t="s">
        <v>181</v>
      </c>
      <c r="H650" s="26"/>
      <c r="I650" s="27"/>
      <c r="J650" s="27"/>
      <c r="K650" s="27"/>
      <c r="L650" s="27"/>
      <c r="M650" s="27"/>
      <c r="N650" s="27"/>
      <c r="O650" s="27"/>
      <c r="P650" s="27"/>
      <c r="Q650" s="27"/>
      <c r="R650" s="27"/>
      <c r="S650" s="27"/>
      <c r="T650" s="27"/>
      <c r="U650" s="27"/>
      <c r="V650" s="27"/>
      <c r="W650" s="27"/>
      <c r="X650" s="27"/>
      <c r="Y650" s="27"/>
      <c r="Z650" s="27"/>
      <c r="AA650" s="10" t="str">
        <f aca="false">IFERROR(INDEX(設定!$E$61:$E$106,MATCH(B650,設定!$B$61:$B$106,0)),"合算")</f>
        <v>合算</v>
      </c>
      <c r="AB650" s="28"/>
      <c r="AC650" s="29" t="str">
        <f aca="false">IF(OR(G650="",G650="なし"),"",IF(AA650="合算",CJ650+N(Z650),IF(AA650="掛金・負担金別",(AY650+AZ650+BD650+BF650+BH650),SUM(AY650:BC650))))</f>
        <v/>
      </c>
      <c r="AD650" s="27"/>
      <c r="AE650" s="29" t="str">
        <f aca="false">IF(OR(G650="",G650="なし"),"",IF(AA650="掛金・負担金別",(BA650+BB650+BC650+BE650+BG650+BI650+N(Z650)),IF(AA650="経理区分別",BD650+BE650,"")))</f>
        <v/>
      </c>
      <c r="AF650" s="27"/>
      <c r="AG650" s="29" t="str">
        <f aca="false">IF(OR(G650="",G650="なし"),"",IF(AA650="経理区分別",BF650+BG650,""))</f>
        <v/>
      </c>
      <c r="AH650" s="27"/>
      <c r="AI650" s="29" t="str">
        <f aca="false">IF(OR(G650="",G650="なし"),"",IF(AA650="経理区分別",BH650+BI650+N(Z650),""))</f>
        <v/>
      </c>
      <c r="AJ650" s="27"/>
      <c r="AK650" s="26"/>
      <c r="AL650" s="26"/>
      <c r="AM650" s="30"/>
      <c r="AN650" s="31"/>
      <c r="AO650" s="31"/>
      <c r="AP650" s="31"/>
      <c r="AQ650" s="31"/>
      <c r="AR650" s="31"/>
      <c r="AS650" s="31"/>
      <c r="AT650" s="31"/>
      <c r="AU650" s="31"/>
      <c r="AV650" s="31"/>
      <c r="AW650" s="31"/>
      <c r="AX650" s="31"/>
      <c r="AY650" s="31" t="n">
        <f aca="false">IF($G650="",AN650,O650)</f>
        <v>0</v>
      </c>
      <c r="AZ650" s="31" t="n">
        <f aca="false">IF($G650="",AO650,P650)</f>
        <v>0</v>
      </c>
      <c r="BA650" s="31" t="n">
        <f aca="false">IF($G650="",AP650,T650)</f>
        <v>0</v>
      </c>
      <c r="BB650" s="31" t="n">
        <f aca="false">IF($G650="",AQ650,U650)</f>
        <v>0</v>
      </c>
      <c r="BC650" s="31" t="n">
        <f aca="false">IF($G650="",AR650,V650)</f>
        <v>0</v>
      </c>
      <c r="BD650" s="31" t="n">
        <f aca="false">IF($G650="",AS650,Q650)</f>
        <v>0</v>
      </c>
      <c r="BE650" s="31" t="n">
        <f aca="false">IF($G650="",AT650,W650)</f>
        <v>0</v>
      </c>
      <c r="BF650" s="31" t="n">
        <f aca="false">IF($G650="",AU650,R650)</f>
        <v>0</v>
      </c>
      <c r="BG650" s="31" t="n">
        <f aca="false">IF($G650="",AV650,X650)</f>
        <v>0</v>
      </c>
      <c r="BH650" s="31" t="n">
        <f aca="false">IF($G650="",AW650,S650)</f>
        <v>0</v>
      </c>
      <c r="BI650" s="31" t="n">
        <f aca="false">IF($G650="",AX650,Y650)</f>
        <v>0</v>
      </c>
      <c r="BJ650" s="31" t="n">
        <f aca="false">IF(CK650="N",BR650,ROUNDDOWN((I650-L650)*設定!$B$10/1000,0)+ROUNDDOWN((I650-L650)*設定!$B$11/1000,0))</f>
        <v>0</v>
      </c>
      <c r="BK650" s="31" t="n">
        <f aca="false">ROUNDDOWN((I650-L650)*設定!$C$10/1000,0)+ROUNDDOWN((I650-L650)*設定!$C$11/1000,0)+ROUNDDOWN(I650*設定!$C$12/1000,0)+IF(CL650="市局型",ROUNDDOWN(I650*設定!$C$16/1000,0),0)</f>
        <v>0</v>
      </c>
      <c r="BL650" s="31" t="n">
        <f aca="false">IF(CK650="N",BT650,ROUNDDOWN((J650-M650)*設定!$B$13/1000,0))</f>
        <v>0</v>
      </c>
      <c r="BM650" s="31" t="n">
        <f aca="false">ROUNDDOWN((J650-M650)*設定!$C$13/1000,0)+IF(CL650="市局型",ROUNDDOWN(J650*設定!$C$17/1000,0),0)</f>
        <v>0</v>
      </c>
      <c r="BN650" s="31" t="n">
        <f aca="false">IF(CK650="N",BV650,ROUNDDOWN((K650-N650)*設定!$B$14/1000,0))</f>
        <v>0</v>
      </c>
      <c r="BO650" s="31" t="n">
        <f aca="false">ROUNDDOWN((K650-N650)*設定!$C$14/1000,0)</f>
        <v>0</v>
      </c>
      <c r="BP650" s="31" t="n">
        <f aca="false">IF(CK650="N",BX650,ROUNDDOWN((J650-M650)*設定!$B$15/1000,0))</f>
        <v>0</v>
      </c>
      <c r="BQ650" s="31" t="n">
        <f aca="false">ROUNDDOWN((J650-M650)*設定!$C$15/1000,0)</f>
        <v>0</v>
      </c>
      <c r="BR650" s="31" t="n">
        <f aca="false">O650+P650</f>
        <v>0</v>
      </c>
      <c r="BS650" s="31" t="n">
        <f aca="false">T650+U650+V650</f>
        <v>0</v>
      </c>
      <c r="BT650" s="31" t="n">
        <f aca="false">Q650</f>
        <v>0</v>
      </c>
      <c r="BU650" s="31" t="n">
        <f aca="false">W650</f>
        <v>0</v>
      </c>
      <c r="BV650" s="31" t="n">
        <f aca="false">R650</f>
        <v>0</v>
      </c>
      <c r="BW650" s="31" t="n">
        <f aca="false">X650</f>
        <v>0</v>
      </c>
      <c r="BX650" s="31" t="n">
        <f aca="false">S650</f>
        <v>0</v>
      </c>
      <c r="BY650" s="31" t="n">
        <f aca="false">Y650</f>
        <v>0</v>
      </c>
      <c r="BZ650" s="32" t="n">
        <f aca="false">IF(BJ650=0,IF(BR650=0,0,1),(BR650-BJ650)/BJ650)</f>
        <v>0</v>
      </c>
      <c r="CA650" s="32" t="n">
        <f aca="false">IF(BK650=0,IF(BS650=0,0,1),(BS650-BK650)/BK650)</f>
        <v>0</v>
      </c>
      <c r="CB650" s="32" t="n">
        <f aca="false">IF(BL650=0,IF(BT650=0,0,1),(BT650-BL650)/BL650)</f>
        <v>0</v>
      </c>
      <c r="CC650" s="32" t="n">
        <f aca="false">IF(BM650=0,IF(BU650=0,0,1),(BU650-BM650)/BM650)</f>
        <v>0</v>
      </c>
      <c r="CD650" s="32" t="n">
        <f aca="false">IF(BN650=0,IF(BV650=0,0,1),(BV650-BN650)/BN650)</f>
        <v>0</v>
      </c>
      <c r="CE650" s="32" t="n">
        <f aca="false">IF(BO650=0,IF(BW650=0,0,1),(BW650-BO650)/BO650)</f>
        <v>0</v>
      </c>
      <c r="CF650" s="32" t="n">
        <f aca="false">IF(BP650=0,IF(BX650=0,0,1),(BX650-BP650)/BP650)</f>
        <v>0</v>
      </c>
      <c r="CG650" s="32" t="n">
        <f aca="false">IF(BQ650=0,IF(BY650=0,0,1),(BY650-BQ650)/BQ650)</f>
        <v>0</v>
      </c>
      <c r="CH650" s="32" t="n">
        <f aca="false">MAX(MAX(BZ650:CG650),-MIN(BZ650:CG650))</f>
        <v>-0</v>
      </c>
      <c r="CI650" s="31" t="str">
        <f aca="false">IF(CO650="","",SUMIFS($CJ$7:$CJ$696,$A$7:$A$696,CO650,$B$7:$B$696,B650))</f>
        <v/>
      </c>
      <c r="CJ650" s="31" t="n">
        <f aca="false">SUM(AY650:BI650)</f>
        <v>0</v>
      </c>
      <c r="CK650" s="31" t="str">
        <f aca="false">IFERROR(INDEX(設定!$F$61:$F$106,MATCH(B650,設定!$B$61:$B$106,0)),"Y")</f>
        <v>Y</v>
      </c>
      <c r="CL650" s="31" t="str">
        <f aca="false">IFERROR(INDEX(設定!$G$61:$G$106,MATCH(B650,設定!$B$61:$B$106,0)),"外郭型")</f>
        <v>外郭型</v>
      </c>
      <c r="CM650" s="33" t="str">
        <f aca="false">A650&amp;"|"&amp;B650</f>
        <v>2027-03 賞与|任意継続組合員</v>
      </c>
      <c r="CN650" s="34" t="str">
        <f aca="false">IFERROR(INDEX(設定!$D$61:$D$106,MATCH(B650,設定!$B$61:$B$106,0)),"Y")</f>
        <v>N</v>
      </c>
      <c r="CO650" s="34" t="str">
        <f aca="false">IFERROR(INDEX(設定!$D$20:$D$34,MATCH(A650,設定!$A$20:$A$34,0))&amp;"","")</f>
        <v/>
      </c>
    </row>
    <row r="651" customFormat="false" ht="15" hidden="true" customHeight="false" outlineLevel="0" collapsed="false">
      <c r="A651" s="22" t="s">
        <v>230</v>
      </c>
      <c r="B651" s="23" t="s">
        <v>166</v>
      </c>
      <c r="C651" s="10" t="str">
        <f aca="false">IF(G651="","未受領",IF(G651="なし","報告なし",IF(AL651="○","起票済",IF(OR(AK651="○",F651="一致",F651="入金不要"),"入金確認済","受領済"))))</f>
        <v>未受領</v>
      </c>
      <c r="D651" s="10" t="str">
        <f aca="false">IF(OR(G651="",G651="なし"),"―",IF(CN651="N","対象外",IF(AND(I651="",J651="",K651=""),"標報未入力",IF(CH651&gt;=設定!$B$4,"要確認","問題なし"))))</f>
        <v>―</v>
      </c>
      <c r="E651" s="24" t="str">
        <f aca="false">IF(OR(G651="",G651="なし",CI651="",CJ651=0),"―",IF(CJ651=CI651,"前月同額",IF(CI651=0,"―",IF(ABS(CJ651/CI651-1)&gt;=設定!$B$5,"変動大 "&amp;TEXT(CJ651/CI651-1,"+0%;-0%"),"〇"))))</f>
        <v>―</v>
      </c>
      <c r="F651" s="10" t="str">
        <f aca="false">IF(OR(G651="",G651="なし"),"―",IF(CJ651=0,"入金不要",IF(COUNT(AD651,AF651,AH651,AJ651)=0,IF(AK651="○","手動確認","未入金"),IF(AND(N(AD651)=AC651,IF(AE651="",TRUE(),N(AF651)=AE651),IF(AG651="",TRUE(),N(AH651)=AG651),IF(AI651="",TRUE(),N(AJ651)=AI651)),"一致","不一致"))))</f>
        <v>―</v>
      </c>
      <c r="G651" s="25"/>
      <c r="H651" s="26"/>
      <c r="I651" s="27"/>
      <c r="J651" s="27"/>
      <c r="K651" s="27"/>
      <c r="L651" s="27"/>
      <c r="M651" s="27"/>
      <c r="N651" s="27"/>
      <c r="O651" s="27"/>
      <c r="P651" s="27"/>
      <c r="Q651" s="27"/>
      <c r="R651" s="27"/>
      <c r="S651" s="27"/>
      <c r="T651" s="27"/>
      <c r="U651" s="27"/>
      <c r="V651" s="27"/>
      <c r="W651" s="27"/>
      <c r="X651" s="27"/>
      <c r="Y651" s="27"/>
      <c r="Z651" s="27"/>
      <c r="AA651" s="10" t="str">
        <f aca="false">IFERROR(INDEX(設定!$E$61:$E$106,MATCH(B651,設定!$B$61:$B$106,0)),"合算")</f>
        <v>合算</v>
      </c>
      <c r="AB651" s="28"/>
      <c r="AC651" s="29" t="str">
        <f aca="false">IF(OR(G651="",G651="なし"),"",IF(AA651="合算",CJ651+N(Z651),IF(AA651="掛金・負担金別",(AY651+AZ651+BD651+BF651+BH651),SUM(AY651:BC651))))</f>
        <v/>
      </c>
      <c r="AD651" s="27"/>
      <c r="AE651" s="29" t="str">
        <f aca="false">IF(OR(G651="",G651="なし"),"",IF(AA651="掛金・負担金別",(BA651+BB651+BC651+BE651+BG651+BI651+N(Z651)),IF(AA651="経理区分別",BD651+BE651,"")))</f>
        <v/>
      </c>
      <c r="AF651" s="27"/>
      <c r="AG651" s="29" t="str">
        <f aca="false">IF(OR(G651="",G651="なし"),"",IF(AA651="経理区分別",BF651+BG651,""))</f>
        <v/>
      </c>
      <c r="AH651" s="27"/>
      <c r="AI651" s="29" t="str">
        <f aca="false">IF(OR(G651="",G651="なし"),"",IF(AA651="経理区分別",BH651+BI651+N(Z651),""))</f>
        <v/>
      </c>
      <c r="AJ651" s="27"/>
      <c r="AK651" s="26"/>
      <c r="AL651" s="26"/>
      <c r="AM651" s="30"/>
      <c r="AN651" s="31" t="n">
        <v>229019009</v>
      </c>
      <c r="AO651" s="31" t="n">
        <v>18776924</v>
      </c>
      <c r="AP651" s="31" t="n">
        <v>312323915</v>
      </c>
      <c r="AQ651" s="31" t="n">
        <v>18303600</v>
      </c>
      <c r="AR651" s="31" t="n">
        <v>244502</v>
      </c>
      <c r="AS651" s="31" t="n">
        <v>174436457</v>
      </c>
      <c r="AT651" s="31" t="n">
        <v>173567692</v>
      </c>
      <c r="AU651" s="31" t="n">
        <v>16256938</v>
      </c>
      <c r="AV651" s="31" t="n">
        <v>15821519</v>
      </c>
      <c r="AW651" s="31" t="n">
        <v>1</v>
      </c>
      <c r="AX651" s="31" t="n">
        <v>1</v>
      </c>
      <c r="AY651" s="31" t="n">
        <f aca="false">IF($G651="",AN651,O651)</f>
        <v>229019009</v>
      </c>
      <c r="AZ651" s="31" t="n">
        <f aca="false">IF($G651="",AO651,P651)</f>
        <v>18776924</v>
      </c>
      <c r="BA651" s="31" t="n">
        <f aca="false">IF($G651="",AP651,T651)</f>
        <v>312323915</v>
      </c>
      <c r="BB651" s="31" t="n">
        <f aca="false">IF($G651="",AQ651,U651)</f>
        <v>18303600</v>
      </c>
      <c r="BC651" s="31" t="n">
        <f aca="false">IF($G651="",AR651,V651)</f>
        <v>244502</v>
      </c>
      <c r="BD651" s="31" t="n">
        <f aca="false">IF($G651="",AS651,Q651)</f>
        <v>174436457</v>
      </c>
      <c r="BE651" s="31" t="n">
        <f aca="false">IF($G651="",AT651,W651)</f>
        <v>173567692</v>
      </c>
      <c r="BF651" s="31" t="n">
        <f aca="false">IF($G651="",AU651,R651)</f>
        <v>16256938</v>
      </c>
      <c r="BG651" s="31" t="n">
        <f aca="false">IF($G651="",AV651,X651)</f>
        <v>15821519</v>
      </c>
      <c r="BH651" s="31" t="n">
        <f aca="false">IF($G651="",AW651,S651)</f>
        <v>1</v>
      </c>
      <c r="BI651" s="31" t="n">
        <f aca="false">IF($G651="",AX651,Y651)</f>
        <v>1</v>
      </c>
      <c r="BJ651" s="31" t="n">
        <f aca="false">IF(CK651="N",BR651,ROUNDDOWN((I651-L651)*設定!$B$10/1000,0)+ROUNDDOWN((I651-L651)*設定!$B$11/1000,0))</f>
        <v>0</v>
      </c>
      <c r="BK651" s="31" t="n">
        <f aca="false">ROUNDDOWN((I651-L651)*設定!$C$10/1000,0)+ROUNDDOWN((I651-L651)*設定!$C$11/1000,0)+ROUNDDOWN(I651*設定!$C$12/1000,0)+IF(CL651="市局型",ROUNDDOWN(I651*設定!$C$16/1000,0),0)</f>
        <v>0</v>
      </c>
      <c r="BL651" s="31" t="n">
        <f aca="false">IF(CK651="N",BT651,ROUNDDOWN((J651-M651)*設定!$B$13/1000,0))</f>
        <v>0</v>
      </c>
      <c r="BM651" s="31" t="n">
        <f aca="false">ROUNDDOWN((J651-M651)*設定!$C$13/1000,0)+IF(CL651="市局型",ROUNDDOWN(J651*設定!$C$17/1000,0),0)</f>
        <v>0</v>
      </c>
      <c r="BN651" s="31" t="n">
        <f aca="false">IF(CK651="N",BV651,ROUNDDOWN((K651-N651)*設定!$B$14/1000,0))</f>
        <v>0</v>
      </c>
      <c r="BO651" s="31" t="n">
        <f aca="false">ROUNDDOWN((K651-N651)*設定!$C$14/1000,0)</f>
        <v>0</v>
      </c>
      <c r="BP651" s="31" t="n">
        <f aca="false">IF(CK651="N",BX651,ROUNDDOWN((J651-M651)*設定!$B$15/1000,0))</f>
        <v>0</v>
      </c>
      <c r="BQ651" s="31" t="n">
        <f aca="false">ROUNDDOWN((J651-M651)*設定!$C$15/1000,0)</f>
        <v>0</v>
      </c>
      <c r="BR651" s="31" t="n">
        <f aca="false">O651+P651</f>
        <v>0</v>
      </c>
      <c r="BS651" s="31" t="n">
        <f aca="false">T651+U651+V651</f>
        <v>0</v>
      </c>
      <c r="BT651" s="31" t="n">
        <f aca="false">Q651</f>
        <v>0</v>
      </c>
      <c r="BU651" s="31" t="n">
        <f aca="false">W651</f>
        <v>0</v>
      </c>
      <c r="BV651" s="31" t="n">
        <f aca="false">R651</f>
        <v>0</v>
      </c>
      <c r="BW651" s="31" t="n">
        <f aca="false">X651</f>
        <v>0</v>
      </c>
      <c r="BX651" s="31" t="n">
        <f aca="false">S651</f>
        <v>0</v>
      </c>
      <c r="BY651" s="31" t="n">
        <f aca="false">Y651</f>
        <v>0</v>
      </c>
      <c r="BZ651" s="32" t="n">
        <f aca="false">IF(BJ651=0,IF(BR651=0,0,1),(BR651-BJ651)/BJ651)</f>
        <v>0</v>
      </c>
      <c r="CA651" s="32" t="n">
        <f aca="false">IF(BK651=0,IF(BS651=0,0,1),(BS651-BK651)/BK651)</f>
        <v>0</v>
      </c>
      <c r="CB651" s="32" t="n">
        <f aca="false">IF(BL651=0,IF(BT651=0,0,1),(BT651-BL651)/BL651)</f>
        <v>0</v>
      </c>
      <c r="CC651" s="32" t="n">
        <f aca="false">IF(BM651=0,IF(BU651=0,0,1),(BU651-BM651)/BM651)</f>
        <v>0</v>
      </c>
      <c r="CD651" s="32" t="n">
        <f aca="false">IF(BN651=0,IF(BV651=0,0,1),(BV651-BN651)/BN651)</f>
        <v>0</v>
      </c>
      <c r="CE651" s="32" t="n">
        <f aca="false">IF(BO651=0,IF(BW651=0,0,1),(BW651-BO651)/BO651)</f>
        <v>0</v>
      </c>
      <c r="CF651" s="32" t="n">
        <f aca="false">IF(BP651=0,IF(BX651=0,0,1),(BX651-BP651)/BP651)</f>
        <v>0</v>
      </c>
      <c r="CG651" s="32" t="n">
        <f aca="false">IF(BQ651=0,IF(BY651=0,0,1),(BY651-BQ651)/BQ651)</f>
        <v>0</v>
      </c>
      <c r="CH651" s="32" t="n">
        <f aca="false">MAX(MAX(BZ651:CG651),-MIN(BZ651:CG651))</f>
        <v>-0</v>
      </c>
      <c r="CI651" s="31" t="n">
        <f aca="false">IF(CO651="","",SUMIFS($CJ$7:$CJ$696,$A$7:$A$696,CO651,$B$7:$B$696,B651))</f>
        <v>1001987180</v>
      </c>
      <c r="CJ651" s="31" t="n">
        <f aca="false">SUM(AY651:BI651)</f>
        <v>958750558</v>
      </c>
      <c r="CK651" s="31" t="str">
        <f aca="false">IFERROR(INDEX(設定!$F$61:$F$106,MATCH(B651,設定!$B$61:$B$106,0)),"Y")</f>
        <v>Y</v>
      </c>
      <c r="CL651" s="31" t="str">
        <f aca="false">IFERROR(INDEX(設定!$G$61:$G$106,MATCH(B651,設定!$B$61:$B$106,0)),"外郭型")</f>
        <v>市局型</v>
      </c>
      <c r="CM651" s="33" t="str">
        <f aca="false">A651&amp;"|"&amp;B651</f>
        <v>2027-03 月例|市長部局</v>
      </c>
      <c r="CN651" s="34" t="str">
        <f aca="false">IFERROR(INDEX(設定!$D$61:$D$106,MATCH(B651,設定!$B$61:$B$106,0)),"Y")</f>
        <v>N</v>
      </c>
      <c r="CO651" s="34" t="str">
        <f aca="false">IFERROR(INDEX(設定!$D$20:$D$34,MATCH(A651,設定!$A$20:$A$34,0))&amp;"","")</f>
        <v>2027-02 月例</v>
      </c>
    </row>
    <row r="652" customFormat="false" ht="15" hidden="true" customHeight="false" outlineLevel="0" collapsed="false">
      <c r="A652" s="22" t="s">
        <v>230</v>
      </c>
      <c r="B652" s="23" t="s">
        <v>169</v>
      </c>
      <c r="C652" s="10" t="str">
        <f aca="false">IF(G652="","未受領",IF(G652="なし","報告なし",IF(AL652="○","起票済",IF(OR(AK652="○",F652="一致",F652="入金不要"),"入金確認済","受領済"))))</f>
        <v>未受領</v>
      </c>
      <c r="D652" s="10" t="str">
        <f aca="false">IF(OR(G652="",G652="なし"),"―",IF(CN652="N","対象外",IF(AND(I652="",J652="",K652=""),"標報未入力",IF(CH652&gt;=設定!$B$4,"要確認","問題なし"))))</f>
        <v>―</v>
      </c>
      <c r="E652" s="24" t="str">
        <f aca="false">IF(OR(G652="",G652="なし",CI652="",CJ652=0),"―",IF(CJ652=CI652,"前月同額",IF(CI652=0,"―",IF(ABS(CJ652/CI652-1)&gt;=設定!$B$5,"変動大 "&amp;TEXT(CJ652/CI652-1,"+0%;-0%"),"〇"))))</f>
        <v>―</v>
      </c>
      <c r="F652" s="10" t="str">
        <f aca="false">IF(OR(G652="",G652="なし"),"―",IF(CJ652=0,"入金不要",IF(COUNT(AD652,AF652,AH652,AJ652)=0,IF(AK652="○","手動確認","未入金"),IF(AND(N(AD652)=AC652,IF(AE652="",TRUE(),N(AF652)=AE652),IF(AG652="",TRUE(),N(AH652)=AG652),IF(AI652="",TRUE(),N(AJ652)=AI652)),"一致","不一致"))))</f>
        <v>―</v>
      </c>
      <c r="G652" s="25"/>
      <c r="H652" s="26"/>
      <c r="I652" s="27"/>
      <c r="J652" s="27"/>
      <c r="K652" s="27"/>
      <c r="L652" s="27"/>
      <c r="M652" s="27"/>
      <c r="N652" s="27"/>
      <c r="O652" s="27"/>
      <c r="P652" s="27"/>
      <c r="Q652" s="27"/>
      <c r="R652" s="27"/>
      <c r="S652" s="27"/>
      <c r="T652" s="27"/>
      <c r="U652" s="27"/>
      <c r="V652" s="27"/>
      <c r="W652" s="27"/>
      <c r="X652" s="27"/>
      <c r="Y652" s="27"/>
      <c r="Z652" s="27"/>
      <c r="AA652" s="10" t="str">
        <f aca="false">IFERROR(INDEX(設定!$E$61:$E$106,MATCH(B652,設定!$B$61:$B$106,0)),"合算")</f>
        <v>合算</v>
      </c>
      <c r="AB652" s="28"/>
      <c r="AC652" s="29" t="str">
        <f aca="false">IF(OR(G652="",G652="なし"),"",IF(AA652="合算",CJ652+N(Z652),IF(AA652="掛金・負担金別",(AY652+AZ652+BD652+BF652+BH652),SUM(AY652:BC652))))</f>
        <v/>
      </c>
      <c r="AD652" s="27"/>
      <c r="AE652" s="29" t="str">
        <f aca="false">IF(OR(G652="",G652="なし"),"",IF(AA652="掛金・負担金別",(BA652+BB652+BC652+BE652+BG652+BI652+N(Z652)),IF(AA652="経理区分別",BD652+BE652,"")))</f>
        <v/>
      </c>
      <c r="AF652" s="27"/>
      <c r="AG652" s="29" t="str">
        <f aca="false">IF(OR(G652="",G652="なし"),"",IF(AA652="経理区分別",BF652+BG652,""))</f>
        <v/>
      </c>
      <c r="AH652" s="27"/>
      <c r="AI652" s="29" t="str">
        <f aca="false">IF(OR(G652="",G652="なし"),"",IF(AA652="経理区分別",BH652+BI652+N(Z652),""))</f>
        <v/>
      </c>
      <c r="AJ652" s="27"/>
      <c r="AK652" s="26"/>
      <c r="AL652" s="26"/>
      <c r="AM652" s="30"/>
      <c r="AN652" s="31" t="n">
        <v>16431570</v>
      </c>
      <c r="AO652" s="31" t="n">
        <v>1346850</v>
      </c>
      <c r="AP652" s="31" t="n">
        <v>22525841</v>
      </c>
      <c r="AQ652" s="31" t="n">
        <v>1349925</v>
      </c>
      <c r="AR652" s="31" t="n">
        <v>17275</v>
      </c>
      <c r="AS652" s="31" t="n">
        <v>10306925</v>
      </c>
      <c r="AT652" s="31" t="n">
        <v>10465632</v>
      </c>
      <c r="AU652" s="31" t="n">
        <v>1094702</v>
      </c>
      <c r="AV652" s="31" t="n">
        <v>1094703</v>
      </c>
      <c r="AW652" s="31" t="n">
        <v>1</v>
      </c>
      <c r="AX652" s="31" t="n">
        <v>1</v>
      </c>
      <c r="AY652" s="31" t="n">
        <f aca="false">IF($G652="",AN652,O652)</f>
        <v>16431570</v>
      </c>
      <c r="AZ652" s="31" t="n">
        <f aca="false">IF($G652="",AO652,P652)</f>
        <v>1346850</v>
      </c>
      <c r="BA652" s="31" t="n">
        <f aca="false">IF($G652="",AP652,T652)</f>
        <v>22525841</v>
      </c>
      <c r="BB652" s="31" t="n">
        <f aca="false">IF($G652="",AQ652,U652)</f>
        <v>1349925</v>
      </c>
      <c r="BC652" s="31" t="n">
        <f aca="false">IF($G652="",AR652,V652)</f>
        <v>17275</v>
      </c>
      <c r="BD652" s="31" t="n">
        <f aca="false">IF($G652="",AS652,Q652)</f>
        <v>10306925</v>
      </c>
      <c r="BE652" s="31" t="n">
        <f aca="false">IF($G652="",AT652,W652)</f>
        <v>10465632</v>
      </c>
      <c r="BF652" s="31" t="n">
        <f aca="false">IF($G652="",AU652,R652)</f>
        <v>1094702</v>
      </c>
      <c r="BG652" s="31" t="n">
        <f aca="false">IF($G652="",AV652,X652)</f>
        <v>1094703</v>
      </c>
      <c r="BH652" s="31" t="n">
        <f aca="false">IF($G652="",AW652,S652)</f>
        <v>1</v>
      </c>
      <c r="BI652" s="31" t="n">
        <f aca="false">IF($G652="",AX652,Y652)</f>
        <v>1</v>
      </c>
      <c r="BJ652" s="31" t="n">
        <f aca="false">IF(CK652="N",BR652,ROUNDDOWN((I652-L652)*設定!$B$10/1000,0)+ROUNDDOWN((I652-L652)*設定!$B$11/1000,0))</f>
        <v>0</v>
      </c>
      <c r="BK652" s="31" t="n">
        <f aca="false">ROUNDDOWN((I652-L652)*設定!$C$10/1000,0)+ROUNDDOWN((I652-L652)*設定!$C$11/1000,0)+ROUNDDOWN(I652*設定!$C$12/1000,0)+IF(CL652="市局型",ROUNDDOWN(I652*設定!$C$16/1000,0),0)</f>
        <v>0</v>
      </c>
      <c r="BL652" s="31" t="n">
        <f aca="false">IF(CK652="N",BT652,ROUNDDOWN((J652-M652)*設定!$B$13/1000,0))</f>
        <v>0</v>
      </c>
      <c r="BM652" s="31" t="n">
        <f aca="false">ROUNDDOWN((J652-M652)*設定!$C$13/1000,0)+IF(CL652="市局型",ROUNDDOWN(J652*設定!$C$17/1000,0),0)</f>
        <v>0</v>
      </c>
      <c r="BN652" s="31" t="n">
        <f aca="false">IF(CK652="N",BV652,ROUNDDOWN((K652-N652)*設定!$B$14/1000,0))</f>
        <v>0</v>
      </c>
      <c r="BO652" s="31" t="n">
        <f aca="false">ROUNDDOWN((K652-N652)*設定!$C$14/1000,0)</f>
        <v>0</v>
      </c>
      <c r="BP652" s="31" t="n">
        <f aca="false">IF(CK652="N",BX652,ROUNDDOWN((J652-M652)*設定!$B$15/1000,0))</f>
        <v>0</v>
      </c>
      <c r="BQ652" s="31" t="n">
        <f aca="false">ROUNDDOWN((J652-M652)*設定!$C$15/1000,0)</f>
        <v>0</v>
      </c>
      <c r="BR652" s="31" t="n">
        <f aca="false">O652+P652</f>
        <v>0</v>
      </c>
      <c r="BS652" s="31" t="n">
        <f aca="false">T652+U652+V652</f>
        <v>0</v>
      </c>
      <c r="BT652" s="31" t="n">
        <f aca="false">Q652</f>
        <v>0</v>
      </c>
      <c r="BU652" s="31" t="n">
        <f aca="false">W652</f>
        <v>0</v>
      </c>
      <c r="BV652" s="31" t="n">
        <f aca="false">R652</f>
        <v>0</v>
      </c>
      <c r="BW652" s="31" t="n">
        <f aca="false">X652</f>
        <v>0</v>
      </c>
      <c r="BX652" s="31" t="n">
        <f aca="false">S652</f>
        <v>0</v>
      </c>
      <c r="BY652" s="31" t="n">
        <f aca="false">Y652</f>
        <v>0</v>
      </c>
      <c r="BZ652" s="32" t="n">
        <f aca="false">IF(BJ652=0,IF(BR652=0,0,1),(BR652-BJ652)/BJ652)</f>
        <v>0</v>
      </c>
      <c r="CA652" s="32" t="n">
        <f aca="false">IF(BK652=0,IF(BS652=0,0,1),(BS652-BK652)/BK652)</f>
        <v>0</v>
      </c>
      <c r="CB652" s="32" t="n">
        <f aca="false">IF(BL652=0,IF(BT652=0,0,1),(BT652-BL652)/BL652)</f>
        <v>0</v>
      </c>
      <c r="CC652" s="32" t="n">
        <f aca="false">IF(BM652=0,IF(BU652=0,0,1),(BU652-BM652)/BM652)</f>
        <v>0</v>
      </c>
      <c r="CD652" s="32" t="n">
        <f aca="false">IF(BN652=0,IF(BV652=0,0,1),(BV652-BN652)/BN652)</f>
        <v>0</v>
      </c>
      <c r="CE652" s="32" t="n">
        <f aca="false">IF(BO652=0,IF(BW652=0,0,1),(BW652-BO652)/BO652)</f>
        <v>0</v>
      </c>
      <c r="CF652" s="32" t="n">
        <f aca="false">IF(BP652=0,IF(BX652=0,0,1),(BX652-BP652)/BP652)</f>
        <v>0</v>
      </c>
      <c r="CG652" s="32" t="n">
        <f aca="false">IF(BQ652=0,IF(BY652=0,0,1),(BY652-BQ652)/BQ652)</f>
        <v>0</v>
      </c>
      <c r="CH652" s="32" t="n">
        <f aca="false">MAX(MAX(BZ652:CG652),-MIN(BZ652:CG652))</f>
        <v>-0</v>
      </c>
      <c r="CI652" s="31" t="n">
        <f aca="false">IF(CO652="","",SUMIFS($CJ$7:$CJ$696,$A$7:$A$696,CO652,$B$7:$B$696,B652))</f>
        <v>66376724</v>
      </c>
      <c r="CJ652" s="31" t="n">
        <f aca="false">SUM(AY652:BI652)</f>
        <v>64633425</v>
      </c>
      <c r="CK652" s="31" t="str">
        <f aca="false">IFERROR(INDEX(設定!$F$61:$F$106,MATCH(B652,設定!$B$61:$B$106,0)),"Y")</f>
        <v>Y</v>
      </c>
      <c r="CL652" s="31" t="str">
        <f aca="false">IFERROR(INDEX(設定!$G$61:$G$106,MATCH(B652,設定!$B$61:$B$106,0)),"外郭型")</f>
        <v>市局型</v>
      </c>
      <c r="CM652" s="33" t="str">
        <f aca="false">A652&amp;"|"&amp;B652</f>
        <v>2027-03 月例|下水道局</v>
      </c>
      <c r="CN652" s="34" t="str">
        <f aca="false">IFERROR(INDEX(設定!$D$61:$D$106,MATCH(B652,設定!$B$61:$B$106,0)),"Y")</f>
        <v>Y</v>
      </c>
      <c r="CO652" s="34" t="str">
        <f aca="false">IFERROR(INDEX(設定!$D$20:$D$34,MATCH(A652,設定!$A$20:$A$34,0))&amp;"","")</f>
        <v>2027-02 月例</v>
      </c>
    </row>
    <row r="653" customFormat="false" ht="15" hidden="true" customHeight="false" outlineLevel="0" collapsed="false">
      <c r="A653" s="22" t="s">
        <v>230</v>
      </c>
      <c r="B653" s="23" t="s">
        <v>170</v>
      </c>
      <c r="C653" s="10" t="str">
        <f aca="false">IF(G653="","未受領",IF(G653="なし","報告なし",IF(AL653="○","起票済",IF(OR(AK653="○",F653="一致",F653="入金不要"),"入金確認済","受領済"))))</f>
        <v>未受領</v>
      </c>
      <c r="D653" s="10" t="str">
        <f aca="false">IF(OR(G653="",G653="なし"),"―",IF(CN653="N","対象外",IF(AND(I653="",J653="",K653=""),"標報未入力",IF(CH653&gt;=設定!$B$4,"要確認","問題なし"))))</f>
        <v>―</v>
      </c>
      <c r="E653" s="24" t="str">
        <f aca="false">IF(OR(G653="",G653="なし",CI653="",CJ653=0),"―",IF(CJ653=CI653,"前月同額",IF(CI653=0,"―",IF(ABS(CJ653/CI653-1)&gt;=設定!$B$5,"変動大 "&amp;TEXT(CJ653/CI653-1,"+0%;-0%"),"〇"))))</f>
        <v>―</v>
      </c>
      <c r="F653" s="10" t="str">
        <f aca="false">IF(OR(G653="",G653="なし"),"―",IF(CJ653=0,"入金不要",IF(COUNT(AD653,AF653,AH653,AJ653)=0,IF(AK653="○","手動確認","未入金"),IF(AND(N(AD653)=AC653,IF(AE653="",TRUE(),N(AF653)=AE653),IF(AG653="",TRUE(),N(AH653)=AG653),IF(AI653="",TRUE(),N(AJ653)=AI653)),"一致","不一致"))))</f>
        <v>―</v>
      </c>
      <c r="G653" s="25"/>
      <c r="H653" s="26"/>
      <c r="I653" s="27"/>
      <c r="J653" s="27"/>
      <c r="K653" s="27"/>
      <c r="L653" s="27"/>
      <c r="M653" s="27"/>
      <c r="N653" s="27"/>
      <c r="O653" s="27"/>
      <c r="P653" s="27"/>
      <c r="Q653" s="27"/>
      <c r="R653" s="27"/>
      <c r="S653" s="27"/>
      <c r="T653" s="27"/>
      <c r="U653" s="27"/>
      <c r="V653" s="27"/>
      <c r="W653" s="27"/>
      <c r="X653" s="27"/>
      <c r="Y653" s="27"/>
      <c r="Z653" s="27"/>
      <c r="AA653" s="10" t="str">
        <f aca="false">IFERROR(INDEX(設定!$E$61:$E$106,MATCH(B653,設定!$B$61:$B$106,0)),"合算")</f>
        <v>合算</v>
      </c>
      <c r="AB653" s="28"/>
      <c r="AC653" s="29" t="str">
        <f aca="false">IF(OR(G653="",G653="なし"),"",IF(AA653="合算",CJ653+N(Z653),IF(AA653="掛金・負担金別",(AY653+AZ653+BD653+BF653+BH653),SUM(AY653:BC653))))</f>
        <v/>
      </c>
      <c r="AD653" s="27"/>
      <c r="AE653" s="29" t="str">
        <f aca="false">IF(OR(G653="",G653="なし"),"",IF(AA653="掛金・負担金別",(BA653+BB653+BC653+BE653+BG653+BI653+N(Z653)),IF(AA653="経理区分別",BD653+BE653,"")))</f>
        <v/>
      </c>
      <c r="AF653" s="27"/>
      <c r="AG653" s="29" t="str">
        <f aca="false">IF(OR(G653="",G653="なし"),"",IF(AA653="経理区分別",BF653+BG653,""))</f>
        <v/>
      </c>
      <c r="AH653" s="27"/>
      <c r="AI653" s="29" t="str">
        <f aca="false">IF(OR(G653="",G653="なし"),"",IF(AA653="経理区分別",BH653+BI653+N(Z653),""))</f>
        <v/>
      </c>
      <c r="AJ653" s="27"/>
      <c r="AK653" s="26"/>
      <c r="AL653" s="26"/>
      <c r="AM653" s="30"/>
      <c r="AN653" s="31" t="n">
        <v>53656515</v>
      </c>
      <c r="AO653" s="31" t="n">
        <v>4398075</v>
      </c>
      <c r="AP653" s="31" t="n">
        <v>73333111</v>
      </c>
      <c r="AQ653" s="31" t="n">
        <v>4391175</v>
      </c>
      <c r="AR653" s="31" t="n">
        <v>56160</v>
      </c>
      <c r="AS653" s="31" t="n">
        <v>32948502</v>
      </c>
      <c r="AT653" s="31" t="n">
        <v>33405805</v>
      </c>
      <c r="AU653" s="31" t="n">
        <v>2138433</v>
      </c>
      <c r="AV653" s="31" t="n">
        <v>2131382</v>
      </c>
      <c r="AW653" s="31" t="n">
        <v>1</v>
      </c>
      <c r="AX653" s="31" t="n">
        <v>1</v>
      </c>
      <c r="AY653" s="31" t="n">
        <f aca="false">IF($G653="",AN653,O653)</f>
        <v>53656515</v>
      </c>
      <c r="AZ653" s="31" t="n">
        <f aca="false">IF($G653="",AO653,P653)</f>
        <v>4398075</v>
      </c>
      <c r="BA653" s="31" t="n">
        <f aca="false">IF($G653="",AP653,T653)</f>
        <v>73333111</v>
      </c>
      <c r="BB653" s="31" t="n">
        <f aca="false">IF($G653="",AQ653,U653)</f>
        <v>4391175</v>
      </c>
      <c r="BC653" s="31" t="n">
        <f aca="false">IF($G653="",AR653,V653)</f>
        <v>56160</v>
      </c>
      <c r="BD653" s="31" t="n">
        <f aca="false">IF($G653="",AS653,Q653)</f>
        <v>32948502</v>
      </c>
      <c r="BE653" s="31" t="n">
        <f aca="false">IF($G653="",AT653,W653)</f>
        <v>33405805</v>
      </c>
      <c r="BF653" s="31" t="n">
        <f aca="false">IF($G653="",AU653,R653)</f>
        <v>2138433</v>
      </c>
      <c r="BG653" s="31" t="n">
        <f aca="false">IF($G653="",AV653,X653)</f>
        <v>2131382</v>
      </c>
      <c r="BH653" s="31" t="n">
        <f aca="false">IF($G653="",AW653,S653)</f>
        <v>1</v>
      </c>
      <c r="BI653" s="31" t="n">
        <f aca="false">IF($G653="",AX653,Y653)</f>
        <v>1</v>
      </c>
      <c r="BJ653" s="31" t="n">
        <f aca="false">IF(CK653="N",BR653,ROUNDDOWN((I653-L653)*設定!$B$10/1000,0)+ROUNDDOWN((I653-L653)*設定!$B$11/1000,0))</f>
        <v>0</v>
      </c>
      <c r="BK653" s="31" t="n">
        <f aca="false">ROUNDDOWN((I653-L653)*設定!$C$10/1000,0)+ROUNDDOWN((I653-L653)*設定!$C$11/1000,0)+ROUNDDOWN(I653*設定!$C$12/1000,0)+IF(CL653="市局型",ROUNDDOWN(I653*設定!$C$16/1000,0),0)</f>
        <v>0</v>
      </c>
      <c r="BL653" s="31" t="n">
        <f aca="false">IF(CK653="N",BT653,ROUNDDOWN((J653-M653)*設定!$B$13/1000,0))</f>
        <v>0</v>
      </c>
      <c r="BM653" s="31" t="n">
        <f aca="false">ROUNDDOWN((J653-M653)*設定!$C$13/1000,0)+IF(CL653="市局型",ROUNDDOWN(J653*設定!$C$17/1000,0),0)</f>
        <v>0</v>
      </c>
      <c r="BN653" s="31" t="n">
        <f aca="false">IF(CK653="N",BV653,ROUNDDOWN((K653-N653)*設定!$B$14/1000,0))</f>
        <v>0</v>
      </c>
      <c r="BO653" s="31" t="n">
        <f aca="false">ROUNDDOWN((K653-N653)*設定!$C$14/1000,0)</f>
        <v>0</v>
      </c>
      <c r="BP653" s="31" t="n">
        <f aca="false">IF(CK653="N",BX653,ROUNDDOWN((J653-M653)*設定!$B$15/1000,0))</f>
        <v>0</v>
      </c>
      <c r="BQ653" s="31" t="n">
        <f aca="false">ROUNDDOWN((J653-M653)*設定!$C$15/1000,0)</f>
        <v>0</v>
      </c>
      <c r="BR653" s="31" t="n">
        <f aca="false">O653+P653</f>
        <v>0</v>
      </c>
      <c r="BS653" s="31" t="n">
        <f aca="false">T653+U653+V653</f>
        <v>0</v>
      </c>
      <c r="BT653" s="31" t="n">
        <f aca="false">Q653</f>
        <v>0</v>
      </c>
      <c r="BU653" s="31" t="n">
        <f aca="false">W653</f>
        <v>0</v>
      </c>
      <c r="BV653" s="31" t="n">
        <f aca="false">R653</f>
        <v>0</v>
      </c>
      <c r="BW653" s="31" t="n">
        <f aca="false">X653</f>
        <v>0</v>
      </c>
      <c r="BX653" s="31" t="n">
        <f aca="false">S653</f>
        <v>0</v>
      </c>
      <c r="BY653" s="31" t="n">
        <f aca="false">Y653</f>
        <v>0</v>
      </c>
      <c r="BZ653" s="32" t="n">
        <f aca="false">IF(BJ653=0,IF(BR653=0,0,1),(BR653-BJ653)/BJ653)</f>
        <v>0</v>
      </c>
      <c r="CA653" s="32" t="n">
        <f aca="false">IF(BK653=0,IF(BS653=0,0,1),(BS653-BK653)/BK653)</f>
        <v>0</v>
      </c>
      <c r="CB653" s="32" t="n">
        <f aca="false">IF(BL653=0,IF(BT653=0,0,1),(BT653-BL653)/BL653)</f>
        <v>0</v>
      </c>
      <c r="CC653" s="32" t="n">
        <f aca="false">IF(BM653=0,IF(BU653=0,0,1),(BU653-BM653)/BM653)</f>
        <v>0</v>
      </c>
      <c r="CD653" s="32" t="n">
        <f aca="false">IF(BN653=0,IF(BV653=0,0,1),(BV653-BN653)/BN653)</f>
        <v>0</v>
      </c>
      <c r="CE653" s="32" t="n">
        <f aca="false">IF(BO653=0,IF(BW653=0,0,1),(BW653-BO653)/BO653)</f>
        <v>0</v>
      </c>
      <c r="CF653" s="32" t="n">
        <f aca="false">IF(BP653=0,IF(BX653=0,0,1),(BX653-BP653)/BP653)</f>
        <v>0</v>
      </c>
      <c r="CG653" s="32" t="n">
        <f aca="false">IF(BQ653=0,IF(BY653=0,0,1),(BY653-BQ653)/BQ653)</f>
        <v>0</v>
      </c>
      <c r="CH653" s="32" t="n">
        <f aca="false">MAX(MAX(BZ653:CG653),-MIN(BZ653:CG653))</f>
        <v>-0</v>
      </c>
      <c r="CI653" s="31" t="n">
        <f aca="false">IF(CO653="","",SUMIFS($CJ$7:$CJ$696,$A$7:$A$696,CO653,$B$7:$B$696,B653))</f>
        <v>211320165</v>
      </c>
      <c r="CJ653" s="31" t="n">
        <f aca="false">SUM(AY653:BI653)</f>
        <v>206459160</v>
      </c>
      <c r="CK653" s="31" t="str">
        <f aca="false">IFERROR(INDEX(設定!$F$61:$F$106,MATCH(B653,設定!$B$61:$B$106,0)),"Y")</f>
        <v>Y</v>
      </c>
      <c r="CL653" s="31" t="str">
        <f aca="false">IFERROR(INDEX(設定!$G$61:$G$106,MATCH(B653,設定!$B$61:$B$106,0)),"外郭型")</f>
        <v>市局型</v>
      </c>
      <c r="CM653" s="33" t="str">
        <f aca="false">A653&amp;"|"&amp;B653</f>
        <v>2027-03 月例|消防局</v>
      </c>
      <c r="CN653" s="34" t="str">
        <f aca="false">IFERROR(INDEX(設定!$D$61:$D$106,MATCH(B653,設定!$B$61:$B$106,0)),"Y")</f>
        <v>N</v>
      </c>
      <c r="CO653" s="34" t="str">
        <f aca="false">IFERROR(INDEX(設定!$D$20:$D$34,MATCH(A653,設定!$A$20:$A$34,0))&amp;"","")</f>
        <v>2027-02 月例</v>
      </c>
    </row>
    <row r="654" customFormat="false" ht="15" hidden="true" customHeight="false" outlineLevel="0" collapsed="false">
      <c r="A654" s="22" t="s">
        <v>230</v>
      </c>
      <c r="B654" s="23" t="s">
        <v>171</v>
      </c>
      <c r="C654" s="10" t="str">
        <f aca="false">IF(G654="","未受領",IF(G654="なし","報告なし",IF(AL654="○","起票済",IF(OR(AK654="○",F654="一致",F654="入金不要"),"入金確認済","受領済"))))</f>
        <v>未受領</v>
      </c>
      <c r="D654" s="10" t="str">
        <f aca="false">IF(OR(G654="",G654="なし"),"―",IF(CN654="N","対象外",IF(AND(I654="",J654="",K654=""),"標報未入力",IF(CH654&gt;=設定!$B$4,"要確認","問題なし"))))</f>
        <v>―</v>
      </c>
      <c r="E654" s="24" t="str">
        <f aca="false">IF(OR(G654="",G654="なし",CI654="",CJ654=0),"―",IF(CJ654=CI654,"前月同額",IF(CI654=0,"―",IF(ABS(CJ654/CI654-1)&gt;=設定!$B$5,"変動大 "&amp;TEXT(CJ654/CI654-1,"+0%;-0%"),"〇"))))</f>
        <v>―</v>
      </c>
      <c r="F654" s="10" t="str">
        <f aca="false">IF(OR(G654="",G654="なし"),"―",IF(CJ654=0,"入金不要",IF(COUNT(AD654,AF654,AH654,AJ654)=0,IF(AK654="○","手動確認","未入金"),IF(AND(N(AD654)=AC654,IF(AE654="",TRUE(),N(AF654)=AE654),IF(AG654="",TRUE(),N(AH654)=AG654),IF(AI654="",TRUE(),N(AJ654)=AI654)),"一致","不一致"))))</f>
        <v>―</v>
      </c>
      <c r="G654" s="25"/>
      <c r="H654" s="26"/>
      <c r="I654" s="27"/>
      <c r="J654" s="27"/>
      <c r="K654" s="27"/>
      <c r="L654" s="27"/>
      <c r="M654" s="27"/>
      <c r="N654" s="27"/>
      <c r="O654" s="27"/>
      <c r="P654" s="27"/>
      <c r="Q654" s="27"/>
      <c r="R654" s="27"/>
      <c r="S654" s="27"/>
      <c r="T654" s="27"/>
      <c r="U654" s="27"/>
      <c r="V654" s="27"/>
      <c r="W654" s="27"/>
      <c r="X654" s="27"/>
      <c r="Y654" s="27"/>
      <c r="Z654" s="27"/>
      <c r="AA654" s="10" t="str">
        <f aca="false">IFERROR(INDEX(設定!$E$61:$E$106,MATCH(B654,設定!$B$61:$B$106,0)),"合算")</f>
        <v>合算</v>
      </c>
      <c r="AB654" s="28"/>
      <c r="AC654" s="29" t="str">
        <f aca="false">IF(OR(G654="",G654="なし"),"",IF(AA654="合算",CJ654+N(Z654),IF(AA654="掛金・負担金別",(AY654+AZ654+BD654+BF654+BH654),SUM(AY654:BC654))))</f>
        <v/>
      </c>
      <c r="AD654" s="27"/>
      <c r="AE654" s="29" t="str">
        <f aca="false">IF(OR(G654="",G654="なし"),"",IF(AA654="掛金・負担金別",(BA654+BB654+BC654+BE654+BG654+BI654+N(Z654)),IF(AA654="経理区分別",BD654+BE654,"")))</f>
        <v/>
      </c>
      <c r="AF654" s="27"/>
      <c r="AG654" s="29" t="str">
        <f aca="false">IF(OR(G654="",G654="なし"),"",IF(AA654="経理区分別",BF654+BG654,""))</f>
        <v/>
      </c>
      <c r="AH654" s="27"/>
      <c r="AI654" s="29" t="str">
        <f aca="false">IF(OR(G654="",G654="なし"),"",IF(AA654="経理区分別",BH654+BI654+N(Z654),""))</f>
        <v/>
      </c>
      <c r="AJ654" s="27"/>
      <c r="AK654" s="26"/>
      <c r="AL654" s="26"/>
      <c r="AM654" s="30"/>
      <c r="AN654" s="31" t="n">
        <v>1737585</v>
      </c>
      <c r="AO654" s="31" t="n">
        <v>142425</v>
      </c>
      <c r="AP654" s="31" t="n">
        <v>2379867</v>
      </c>
      <c r="AQ654" s="31" t="n">
        <v>142425</v>
      </c>
      <c r="AR654" s="31" t="n">
        <v>1832</v>
      </c>
      <c r="AS654" s="31" t="n">
        <v>1054526</v>
      </c>
      <c r="AT654" s="31" t="n">
        <v>1078329</v>
      </c>
      <c r="AU654" s="31" t="n">
        <v>107940</v>
      </c>
      <c r="AV654" s="31" t="n">
        <v>109065</v>
      </c>
      <c r="AW654" s="31" t="n">
        <v>1</v>
      </c>
      <c r="AX654" s="31" t="n">
        <v>1</v>
      </c>
      <c r="AY654" s="31" t="n">
        <f aca="false">IF($G654="",AN654,O654)</f>
        <v>1737585</v>
      </c>
      <c r="AZ654" s="31" t="n">
        <f aca="false">IF($G654="",AO654,P654)</f>
        <v>142425</v>
      </c>
      <c r="BA654" s="31" t="n">
        <f aca="false">IF($G654="",AP654,T654)</f>
        <v>2379867</v>
      </c>
      <c r="BB654" s="31" t="n">
        <f aca="false">IF($G654="",AQ654,U654)</f>
        <v>142425</v>
      </c>
      <c r="BC654" s="31" t="n">
        <f aca="false">IF($G654="",AR654,V654)</f>
        <v>1832</v>
      </c>
      <c r="BD654" s="31" t="n">
        <f aca="false">IF($G654="",AS654,Q654)</f>
        <v>1054526</v>
      </c>
      <c r="BE654" s="31" t="n">
        <f aca="false">IF($G654="",AT654,W654)</f>
        <v>1078329</v>
      </c>
      <c r="BF654" s="31" t="n">
        <f aca="false">IF($G654="",AU654,R654)</f>
        <v>107940</v>
      </c>
      <c r="BG654" s="31" t="n">
        <f aca="false">IF($G654="",AV654,X654)</f>
        <v>109065</v>
      </c>
      <c r="BH654" s="31" t="n">
        <f aca="false">IF($G654="",AW654,S654)</f>
        <v>1</v>
      </c>
      <c r="BI654" s="31" t="n">
        <f aca="false">IF($G654="",AX654,Y654)</f>
        <v>1</v>
      </c>
      <c r="BJ654" s="31" t="n">
        <f aca="false">IF(CK654="N",BR654,ROUNDDOWN((I654-L654)*設定!$B$10/1000,0)+ROUNDDOWN((I654-L654)*設定!$B$11/1000,0))</f>
        <v>0</v>
      </c>
      <c r="BK654" s="31" t="n">
        <f aca="false">ROUNDDOWN((I654-L654)*設定!$C$10/1000,0)+ROUNDDOWN((I654-L654)*設定!$C$11/1000,0)+ROUNDDOWN(I654*設定!$C$12/1000,0)+IF(CL654="市局型",ROUNDDOWN(I654*設定!$C$16/1000,0),0)</f>
        <v>0</v>
      </c>
      <c r="BL654" s="31" t="n">
        <f aca="false">IF(CK654="N",BT654,ROUNDDOWN((J654-M654)*設定!$B$13/1000,0))</f>
        <v>0</v>
      </c>
      <c r="BM654" s="31" t="n">
        <f aca="false">ROUNDDOWN((J654-M654)*設定!$C$13/1000,0)+IF(CL654="市局型",ROUNDDOWN(J654*設定!$C$17/1000,0),0)</f>
        <v>0</v>
      </c>
      <c r="BN654" s="31" t="n">
        <f aca="false">IF(CK654="N",BV654,ROUNDDOWN((K654-N654)*設定!$B$14/1000,0))</f>
        <v>0</v>
      </c>
      <c r="BO654" s="31" t="n">
        <f aca="false">ROUNDDOWN((K654-N654)*設定!$C$14/1000,0)</f>
        <v>0</v>
      </c>
      <c r="BP654" s="31" t="n">
        <f aca="false">IF(CK654="N",BX654,ROUNDDOWN((J654-M654)*設定!$B$15/1000,0))</f>
        <v>0</v>
      </c>
      <c r="BQ654" s="31" t="n">
        <f aca="false">ROUNDDOWN((J654-M654)*設定!$C$15/1000,0)</f>
        <v>0</v>
      </c>
      <c r="BR654" s="31" t="n">
        <f aca="false">O654+P654</f>
        <v>0</v>
      </c>
      <c r="BS654" s="31" t="n">
        <f aca="false">T654+U654+V654</f>
        <v>0</v>
      </c>
      <c r="BT654" s="31" t="n">
        <f aca="false">Q654</f>
        <v>0</v>
      </c>
      <c r="BU654" s="31" t="n">
        <f aca="false">W654</f>
        <v>0</v>
      </c>
      <c r="BV654" s="31" t="n">
        <f aca="false">R654</f>
        <v>0</v>
      </c>
      <c r="BW654" s="31" t="n">
        <f aca="false">X654</f>
        <v>0</v>
      </c>
      <c r="BX654" s="31" t="n">
        <f aca="false">S654</f>
        <v>0</v>
      </c>
      <c r="BY654" s="31" t="n">
        <f aca="false">Y654</f>
        <v>0</v>
      </c>
      <c r="BZ654" s="32" t="n">
        <f aca="false">IF(BJ654=0,IF(BR654=0,0,1),(BR654-BJ654)/BJ654)</f>
        <v>0</v>
      </c>
      <c r="CA654" s="32" t="n">
        <f aca="false">IF(BK654=0,IF(BS654=0,0,1),(BS654-BK654)/BK654)</f>
        <v>0</v>
      </c>
      <c r="CB654" s="32" t="n">
        <f aca="false">IF(BL654=0,IF(BT654=0,0,1),(BT654-BL654)/BL654)</f>
        <v>0</v>
      </c>
      <c r="CC654" s="32" t="n">
        <f aca="false">IF(BM654=0,IF(BU654=0,0,1),(BU654-BM654)/BM654)</f>
        <v>0</v>
      </c>
      <c r="CD654" s="32" t="n">
        <f aca="false">IF(BN654=0,IF(BV654=0,0,1),(BV654-BN654)/BN654)</f>
        <v>0</v>
      </c>
      <c r="CE654" s="32" t="n">
        <f aca="false">IF(BO654=0,IF(BW654=0,0,1),(BW654-BO654)/BO654)</f>
        <v>0</v>
      </c>
      <c r="CF654" s="32" t="n">
        <f aca="false">IF(BP654=0,IF(BX654=0,0,1),(BX654-BP654)/BP654)</f>
        <v>0</v>
      </c>
      <c r="CG654" s="32" t="n">
        <f aca="false">IF(BQ654=0,IF(BY654=0,0,1),(BY654-BQ654)/BQ654)</f>
        <v>0</v>
      </c>
      <c r="CH654" s="32" t="n">
        <f aca="false">MAX(MAX(BZ654:CG654),-MIN(BZ654:CG654))</f>
        <v>-0</v>
      </c>
      <c r="CI654" s="31" t="n">
        <f aca="false">IF(CO654="","",SUMIFS($CJ$7:$CJ$696,$A$7:$A$696,CO654,$B$7:$B$696,B654))</f>
        <v>6895933</v>
      </c>
      <c r="CJ654" s="31" t="n">
        <f aca="false">SUM(AY654:BI654)</f>
        <v>6753996</v>
      </c>
      <c r="CK654" s="31" t="str">
        <f aca="false">IFERROR(INDEX(設定!$F$61:$F$106,MATCH(B654,設定!$B$61:$B$106,0)),"Y")</f>
        <v>Y</v>
      </c>
      <c r="CL654" s="31" t="str">
        <f aca="false">IFERROR(INDEX(設定!$G$61:$G$106,MATCH(B654,設定!$B$61:$B$106,0)),"外郭型")</f>
        <v>市局型</v>
      </c>
      <c r="CM654" s="33" t="str">
        <f aca="false">A654&amp;"|"&amp;B654</f>
        <v>2027-03 月例|議会事務局</v>
      </c>
      <c r="CN654" s="34" t="str">
        <f aca="false">IFERROR(INDEX(設定!$D$61:$D$106,MATCH(B654,設定!$B$61:$B$106,0)),"Y")</f>
        <v>Y</v>
      </c>
      <c r="CO654" s="34" t="str">
        <f aca="false">IFERROR(INDEX(設定!$D$20:$D$34,MATCH(A654,設定!$A$20:$A$34,0))&amp;"","")</f>
        <v>2027-02 月例</v>
      </c>
    </row>
    <row r="655" customFormat="false" ht="15" hidden="true" customHeight="false" outlineLevel="0" collapsed="false">
      <c r="A655" s="22" t="s">
        <v>230</v>
      </c>
      <c r="B655" s="23" t="s">
        <v>172</v>
      </c>
      <c r="C655" s="10" t="str">
        <f aca="false">IF(G655="","未受領",IF(G655="なし","報告なし",IF(AL655="○","起票済",IF(OR(AK655="○",F655="一致",F655="入金不要"),"入金確認済","受領済"))))</f>
        <v>未受領</v>
      </c>
      <c r="D655" s="10" t="str">
        <f aca="false">IF(OR(G655="",G655="なし"),"―",IF(CN655="N","対象外",IF(AND(I655="",J655="",K655=""),"標報未入力",IF(CH655&gt;=設定!$B$4,"要確認","問題なし"))))</f>
        <v>―</v>
      </c>
      <c r="E655" s="24" t="str">
        <f aca="false">IF(OR(G655="",G655="なし",CI655="",CJ655=0),"―",IF(CJ655=CI655,"前月同額",IF(CI655=0,"―",IF(ABS(CJ655/CI655-1)&gt;=設定!$B$5,"変動大 "&amp;TEXT(CJ655/CI655-1,"+0%;-0%"),"〇"))))</f>
        <v>―</v>
      </c>
      <c r="F655" s="10" t="str">
        <f aca="false">IF(OR(G655="",G655="なし"),"―",IF(CJ655=0,"入金不要",IF(COUNT(AD655,AF655,AH655,AJ655)=0,IF(AK655="○","手動確認","未入金"),IF(AND(N(AD655)=AC655,IF(AE655="",TRUE(),N(AF655)=AE655),IF(AG655="",TRUE(),N(AH655)=AG655),IF(AI655="",TRUE(),N(AJ655)=AI655)),"一致","不一致"))))</f>
        <v>―</v>
      </c>
      <c r="G655" s="25"/>
      <c r="H655" s="26"/>
      <c r="I655" s="27"/>
      <c r="J655" s="27"/>
      <c r="K655" s="27"/>
      <c r="L655" s="27"/>
      <c r="M655" s="27"/>
      <c r="N655" s="27"/>
      <c r="O655" s="27"/>
      <c r="P655" s="27"/>
      <c r="Q655" s="27"/>
      <c r="R655" s="27"/>
      <c r="S655" s="27"/>
      <c r="T655" s="27"/>
      <c r="U655" s="27"/>
      <c r="V655" s="27"/>
      <c r="W655" s="27"/>
      <c r="X655" s="27"/>
      <c r="Y655" s="27"/>
      <c r="Z655" s="27"/>
      <c r="AA655" s="10" t="str">
        <f aca="false">IFERROR(INDEX(設定!$E$61:$E$106,MATCH(B655,設定!$B$61:$B$106,0)),"合算")</f>
        <v>合算</v>
      </c>
      <c r="AB655" s="28"/>
      <c r="AC655" s="29" t="str">
        <f aca="false">IF(OR(G655="",G655="なし"),"",IF(AA655="合算",CJ655+N(Z655),IF(AA655="掛金・負担金別",(AY655+AZ655+BD655+BF655+BH655),SUM(AY655:BC655))))</f>
        <v/>
      </c>
      <c r="AD655" s="27"/>
      <c r="AE655" s="29" t="str">
        <f aca="false">IF(OR(G655="",G655="なし"),"",IF(AA655="掛金・負担金別",(BA655+BB655+BC655+BE655+BG655+BI655+N(Z655)),IF(AA655="経理区分別",BD655+BE655,"")))</f>
        <v/>
      </c>
      <c r="AF655" s="27"/>
      <c r="AG655" s="29" t="str">
        <f aca="false">IF(OR(G655="",G655="なし"),"",IF(AA655="経理区分別",BF655+BG655,""))</f>
        <v/>
      </c>
      <c r="AH655" s="27"/>
      <c r="AI655" s="29" t="str">
        <f aca="false">IF(OR(G655="",G655="なし"),"",IF(AA655="経理区分別",BH655+BI655+N(Z655),""))</f>
        <v/>
      </c>
      <c r="AJ655" s="27"/>
      <c r="AK655" s="26"/>
      <c r="AL655" s="26"/>
      <c r="AM655" s="30"/>
      <c r="AN655" s="31" t="n">
        <v>24148223</v>
      </c>
      <c r="AO655" s="31" t="n">
        <v>1979363</v>
      </c>
      <c r="AP655" s="31" t="n">
        <v>33143343</v>
      </c>
      <c r="AQ655" s="31" t="n">
        <v>1979362</v>
      </c>
      <c r="AR655" s="31" t="n">
        <v>25661</v>
      </c>
      <c r="AS655" s="31" t="n">
        <v>23803207</v>
      </c>
      <c r="AT655" s="31" t="n">
        <v>24156609</v>
      </c>
      <c r="AU655" s="31" t="n">
        <v>2770706</v>
      </c>
      <c r="AV655" s="31" t="n">
        <v>2768555</v>
      </c>
      <c r="AW655" s="31" t="n">
        <v>1</v>
      </c>
      <c r="AX655" s="31" t="n">
        <v>1</v>
      </c>
      <c r="AY655" s="31" t="n">
        <f aca="false">IF($G655="",AN655,O655)</f>
        <v>24148223</v>
      </c>
      <c r="AZ655" s="31" t="n">
        <f aca="false">IF($G655="",AO655,P655)</f>
        <v>1979363</v>
      </c>
      <c r="BA655" s="31" t="n">
        <f aca="false">IF($G655="",AP655,T655)</f>
        <v>33143343</v>
      </c>
      <c r="BB655" s="31" t="n">
        <f aca="false">IF($G655="",AQ655,U655)</f>
        <v>1979362</v>
      </c>
      <c r="BC655" s="31" t="n">
        <f aca="false">IF($G655="",AR655,V655)</f>
        <v>25661</v>
      </c>
      <c r="BD655" s="31" t="n">
        <f aca="false">IF($G655="",AS655,Q655)</f>
        <v>23803207</v>
      </c>
      <c r="BE655" s="31" t="n">
        <f aca="false">IF($G655="",AT655,W655)</f>
        <v>24156609</v>
      </c>
      <c r="BF655" s="31" t="n">
        <f aca="false">IF($G655="",AU655,R655)</f>
        <v>2770706</v>
      </c>
      <c r="BG655" s="31" t="n">
        <f aca="false">IF($G655="",AV655,X655)</f>
        <v>2768555</v>
      </c>
      <c r="BH655" s="31" t="n">
        <f aca="false">IF($G655="",AW655,S655)</f>
        <v>1</v>
      </c>
      <c r="BI655" s="31" t="n">
        <f aca="false">IF($G655="",AX655,Y655)</f>
        <v>1</v>
      </c>
      <c r="BJ655" s="31" t="n">
        <f aca="false">IF(CK655="N",BR655,ROUNDDOWN((I655-L655)*設定!$B$10/1000,0)+ROUNDDOWN((I655-L655)*設定!$B$11/1000,0))</f>
        <v>0</v>
      </c>
      <c r="BK655" s="31" t="n">
        <f aca="false">ROUNDDOWN((I655-L655)*設定!$C$10/1000,0)+ROUNDDOWN((I655-L655)*設定!$C$11/1000,0)+ROUNDDOWN(I655*設定!$C$12/1000,0)+IF(CL655="市局型",ROUNDDOWN(I655*設定!$C$16/1000,0),0)</f>
        <v>0</v>
      </c>
      <c r="BL655" s="31" t="n">
        <f aca="false">IF(CK655="N",BT655,ROUNDDOWN((J655-M655)*設定!$B$13/1000,0))</f>
        <v>0</v>
      </c>
      <c r="BM655" s="31" t="n">
        <f aca="false">ROUNDDOWN((J655-M655)*設定!$C$13/1000,0)+IF(CL655="市局型",ROUNDDOWN(J655*設定!$C$17/1000,0),0)</f>
        <v>0</v>
      </c>
      <c r="BN655" s="31" t="n">
        <f aca="false">IF(CK655="N",BV655,ROUNDDOWN((K655-N655)*設定!$B$14/1000,0))</f>
        <v>0</v>
      </c>
      <c r="BO655" s="31" t="n">
        <f aca="false">ROUNDDOWN((K655-N655)*設定!$C$14/1000,0)</f>
        <v>0</v>
      </c>
      <c r="BP655" s="31" t="n">
        <f aca="false">IF(CK655="N",BX655,ROUNDDOWN((J655-M655)*設定!$B$15/1000,0))</f>
        <v>0</v>
      </c>
      <c r="BQ655" s="31" t="n">
        <f aca="false">ROUNDDOWN((J655-M655)*設定!$C$15/1000,0)</f>
        <v>0</v>
      </c>
      <c r="BR655" s="31" t="n">
        <f aca="false">O655+P655</f>
        <v>0</v>
      </c>
      <c r="BS655" s="31" t="n">
        <f aca="false">T655+U655+V655</f>
        <v>0</v>
      </c>
      <c r="BT655" s="31" t="n">
        <f aca="false">Q655</f>
        <v>0</v>
      </c>
      <c r="BU655" s="31" t="n">
        <f aca="false">W655</f>
        <v>0</v>
      </c>
      <c r="BV655" s="31" t="n">
        <f aca="false">R655</f>
        <v>0</v>
      </c>
      <c r="BW655" s="31" t="n">
        <f aca="false">X655</f>
        <v>0</v>
      </c>
      <c r="BX655" s="31" t="n">
        <f aca="false">S655</f>
        <v>0</v>
      </c>
      <c r="BY655" s="31" t="n">
        <f aca="false">Y655</f>
        <v>0</v>
      </c>
      <c r="BZ655" s="32" t="n">
        <f aca="false">IF(BJ655=0,IF(BR655=0,0,1),(BR655-BJ655)/BJ655)</f>
        <v>0</v>
      </c>
      <c r="CA655" s="32" t="n">
        <f aca="false">IF(BK655=0,IF(BS655=0,0,1),(BS655-BK655)/BK655)</f>
        <v>0</v>
      </c>
      <c r="CB655" s="32" t="n">
        <f aca="false">IF(BL655=0,IF(BT655=0,0,1),(BT655-BL655)/BL655)</f>
        <v>0</v>
      </c>
      <c r="CC655" s="32" t="n">
        <f aca="false">IF(BM655=0,IF(BU655=0,0,1),(BU655-BM655)/BM655)</f>
        <v>0</v>
      </c>
      <c r="CD655" s="32" t="n">
        <f aca="false">IF(BN655=0,IF(BV655=0,0,1),(BV655-BN655)/BN655)</f>
        <v>0</v>
      </c>
      <c r="CE655" s="32" t="n">
        <f aca="false">IF(BO655=0,IF(BW655=0,0,1),(BW655-BO655)/BO655)</f>
        <v>0</v>
      </c>
      <c r="CF655" s="32" t="n">
        <f aca="false">IF(BP655=0,IF(BX655=0,0,1),(BX655-BP655)/BP655)</f>
        <v>0</v>
      </c>
      <c r="CG655" s="32" t="n">
        <f aca="false">IF(BQ655=0,IF(BY655=0,0,1),(BY655-BQ655)/BQ655)</f>
        <v>0</v>
      </c>
      <c r="CH655" s="32" t="n">
        <f aca="false">MAX(MAX(BZ655:CG655),-MIN(BZ655:CG655))</f>
        <v>-0</v>
      </c>
      <c r="CI655" s="31" t="n">
        <f aca="false">IF(CO655="","",SUMIFS($CJ$7:$CJ$696,$A$7:$A$696,CO655,$B$7:$B$696,B655))</f>
        <v>120474410</v>
      </c>
      <c r="CJ655" s="31" t="n">
        <f aca="false">SUM(AY655:BI655)</f>
        <v>114775031</v>
      </c>
      <c r="CK655" s="31" t="str">
        <f aca="false">IFERROR(INDEX(設定!$F$61:$F$106,MATCH(B655,設定!$B$61:$B$106,0)),"Y")</f>
        <v>Y</v>
      </c>
      <c r="CL655" s="31" t="str">
        <f aca="false">IFERROR(INDEX(設定!$G$61:$G$106,MATCH(B655,設定!$B$61:$B$106,0)),"外郭型")</f>
        <v>市局型</v>
      </c>
      <c r="CM655" s="33" t="str">
        <f aca="false">A655&amp;"|"&amp;B655</f>
        <v>2027-03 月例|教育委員会（総務課）</v>
      </c>
      <c r="CN655" s="34" t="str">
        <f aca="false">IFERROR(INDEX(設定!$D$61:$D$106,MATCH(B655,設定!$B$61:$B$106,0)),"Y")</f>
        <v>N</v>
      </c>
      <c r="CO655" s="34" t="str">
        <f aca="false">IFERROR(INDEX(設定!$D$20:$D$34,MATCH(A655,設定!$A$20:$A$34,0))&amp;"","")</f>
        <v>2027-02 月例</v>
      </c>
    </row>
    <row r="656" customFormat="false" ht="15" hidden="true" customHeight="false" outlineLevel="0" collapsed="false">
      <c r="A656" s="22" t="s">
        <v>230</v>
      </c>
      <c r="B656" s="23" t="s">
        <v>173</v>
      </c>
      <c r="C656" s="10" t="str">
        <f aca="false">IF(G656="","未受領",IF(G656="なし","報告なし",IF(AL656="○","起票済",IF(OR(AK656="○",F656="一致",F656="入金不要"),"入金確認済","受領済"))))</f>
        <v>未受領</v>
      </c>
      <c r="D656" s="10" t="str">
        <f aca="false">IF(OR(G656="",G656="なし"),"―",IF(CN656="N","対象外",IF(AND(I656="",J656="",K656=""),"標報未入力",IF(CH656&gt;=設定!$B$4,"要確認","問題なし"))))</f>
        <v>―</v>
      </c>
      <c r="E656" s="24" t="str">
        <f aca="false">IF(OR(G656="",G656="なし",CI656="",CJ656=0),"―",IF(CJ656=CI656,"前月同額",IF(CI656=0,"―",IF(ABS(CJ656/CI656-1)&gt;=設定!$B$5,"変動大 "&amp;TEXT(CJ656/CI656-1,"+0%;-0%"),"〇"))))</f>
        <v>―</v>
      </c>
      <c r="F656" s="10" t="str">
        <f aca="false">IF(OR(G656="",G656="なし"),"―",IF(CJ656=0,"入金不要",IF(COUNT(AD656,AF656,AH656,AJ656)=0,IF(AK656="○","手動確認","未入金"),IF(AND(N(AD656)=AC656,IF(AE656="",TRUE(),N(AF656)=AE656),IF(AG656="",TRUE(),N(AH656)=AG656),IF(AI656="",TRUE(),N(AJ656)=AI656)),"一致","不一致"))))</f>
        <v>―</v>
      </c>
      <c r="G656" s="25"/>
      <c r="H656" s="26"/>
      <c r="I656" s="27"/>
      <c r="J656" s="27"/>
      <c r="K656" s="27"/>
      <c r="L656" s="27"/>
      <c r="M656" s="27"/>
      <c r="N656" s="27"/>
      <c r="O656" s="27"/>
      <c r="P656" s="27"/>
      <c r="Q656" s="27"/>
      <c r="R656" s="27"/>
      <c r="S656" s="27"/>
      <c r="T656" s="27"/>
      <c r="U656" s="27"/>
      <c r="V656" s="27"/>
      <c r="W656" s="27"/>
      <c r="X656" s="27"/>
      <c r="Y656" s="27"/>
      <c r="Z656" s="27"/>
      <c r="AA656" s="10" t="str">
        <f aca="false">IFERROR(INDEX(設定!$E$61:$E$106,MATCH(B656,設定!$B$61:$B$106,0)),"合算")</f>
        <v>合算</v>
      </c>
      <c r="AB656" s="28"/>
      <c r="AC656" s="29" t="str">
        <f aca="false">IF(OR(G656="",G656="なし"),"",IF(AA656="合算",CJ656+N(Z656),IF(AA656="掛金・負担金別",(AY656+AZ656+BD656+BF656+BH656),SUM(AY656:BC656))))</f>
        <v/>
      </c>
      <c r="AD656" s="27"/>
      <c r="AE656" s="29" t="str">
        <f aca="false">IF(OR(G656="",G656="なし"),"",IF(AA656="掛金・負担金別",(BA656+BB656+BC656+BE656+BG656+BI656+N(Z656)),IF(AA656="経理区分別",BD656+BE656,"")))</f>
        <v/>
      </c>
      <c r="AF656" s="27"/>
      <c r="AG656" s="29" t="str">
        <f aca="false">IF(OR(G656="",G656="なし"),"",IF(AA656="経理区分別",BF656+BG656,""))</f>
        <v/>
      </c>
      <c r="AH656" s="27"/>
      <c r="AI656" s="29" t="str">
        <f aca="false">IF(OR(G656="",G656="なし"),"",IF(AA656="経理区分別",BH656+BI656+N(Z656),""))</f>
        <v/>
      </c>
      <c r="AJ656" s="27"/>
      <c r="AK656" s="26"/>
      <c r="AL656" s="26"/>
      <c r="AM656" s="30"/>
      <c r="AN656" s="31" t="n">
        <v>285480</v>
      </c>
      <c r="AO656" s="31" t="n">
        <v>23400</v>
      </c>
      <c r="AP656" s="31" t="n">
        <v>389688</v>
      </c>
      <c r="AQ656" s="31" t="n">
        <v>23400</v>
      </c>
      <c r="AR656" s="31" t="n">
        <v>297</v>
      </c>
      <c r="AS656" s="31" t="n">
        <v>179879</v>
      </c>
      <c r="AT656" s="31" t="n">
        <v>182629</v>
      </c>
      <c r="AU656" s="31" t="n">
        <v>20580</v>
      </c>
      <c r="AV656" s="31" t="n">
        <v>20580</v>
      </c>
      <c r="AW656" s="31" t="n">
        <v>1</v>
      </c>
      <c r="AX656" s="31" t="n">
        <v>1</v>
      </c>
      <c r="AY656" s="31" t="n">
        <f aca="false">IF($G656="",AN656,O656)</f>
        <v>285480</v>
      </c>
      <c r="AZ656" s="31" t="n">
        <f aca="false">IF($G656="",AO656,P656)</f>
        <v>23400</v>
      </c>
      <c r="BA656" s="31" t="n">
        <f aca="false">IF($G656="",AP656,T656)</f>
        <v>389688</v>
      </c>
      <c r="BB656" s="31" t="n">
        <f aca="false">IF($G656="",AQ656,U656)</f>
        <v>23400</v>
      </c>
      <c r="BC656" s="31" t="n">
        <f aca="false">IF($G656="",AR656,V656)</f>
        <v>297</v>
      </c>
      <c r="BD656" s="31" t="n">
        <f aca="false">IF($G656="",AS656,Q656)</f>
        <v>179879</v>
      </c>
      <c r="BE656" s="31" t="n">
        <f aca="false">IF($G656="",AT656,W656)</f>
        <v>182629</v>
      </c>
      <c r="BF656" s="31" t="n">
        <f aca="false">IF($G656="",AU656,R656)</f>
        <v>20580</v>
      </c>
      <c r="BG656" s="31" t="n">
        <f aca="false">IF($G656="",AV656,X656)</f>
        <v>20580</v>
      </c>
      <c r="BH656" s="31" t="n">
        <f aca="false">IF($G656="",AW656,S656)</f>
        <v>1</v>
      </c>
      <c r="BI656" s="31" t="n">
        <f aca="false">IF($G656="",AX656,Y656)</f>
        <v>1</v>
      </c>
      <c r="BJ656" s="31" t="n">
        <f aca="false">IF(CK656="N",BR656,ROUNDDOWN((I656-L656)*設定!$B$10/1000,0)+ROUNDDOWN((I656-L656)*設定!$B$11/1000,0))</f>
        <v>0</v>
      </c>
      <c r="BK656" s="31" t="n">
        <f aca="false">ROUNDDOWN((I656-L656)*設定!$C$10/1000,0)+ROUNDDOWN((I656-L656)*設定!$C$11/1000,0)+ROUNDDOWN(I656*設定!$C$12/1000,0)+IF(CL656="市局型",ROUNDDOWN(I656*設定!$C$16/1000,0),0)</f>
        <v>0</v>
      </c>
      <c r="BL656" s="31" t="n">
        <f aca="false">IF(CK656="N",BT656,ROUNDDOWN((J656-M656)*設定!$B$13/1000,0))</f>
        <v>0</v>
      </c>
      <c r="BM656" s="31" t="n">
        <f aca="false">ROUNDDOWN((J656-M656)*設定!$C$13/1000,0)+IF(CL656="市局型",ROUNDDOWN(J656*設定!$C$17/1000,0),0)</f>
        <v>0</v>
      </c>
      <c r="BN656" s="31" t="n">
        <f aca="false">IF(CK656="N",BV656,ROUNDDOWN((K656-N656)*設定!$B$14/1000,0))</f>
        <v>0</v>
      </c>
      <c r="BO656" s="31" t="n">
        <f aca="false">ROUNDDOWN((K656-N656)*設定!$C$14/1000,0)</f>
        <v>0</v>
      </c>
      <c r="BP656" s="31" t="n">
        <f aca="false">IF(CK656="N",BX656,ROUNDDOWN((J656-M656)*設定!$B$15/1000,0))</f>
        <v>0</v>
      </c>
      <c r="BQ656" s="31" t="n">
        <f aca="false">ROUNDDOWN((J656-M656)*設定!$C$15/1000,0)</f>
        <v>0</v>
      </c>
      <c r="BR656" s="31" t="n">
        <f aca="false">O656+P656</f>
        <v>0</v>
      </c>
      <c r="BS656" s="31" t="n">
        <f aca="false">T656+U656+V656</f>
        <v>0</v>
      </c>
      <c r="BT656" s="31" t="n">
        <f aca="false">Q656</f>
        <v>0</v>
      </c>
      <c r="BU656" s="31" t="n">
        <f aca="false">W656</f>
        <v>0</v>
      </c>
      <c r="BV656" s="31" t="n">
        <f aca="false">R656</f>
        <v>0</v>
      </c>
      <c r="BW656" s="31" t="n">
        <f aca="false">X656</f>
        <v>0</v>
      </c>
      <c r="BX656" s="31" t="n">
        <f aca="false">S656</f>
        <v>0</v>
      </c>
      <c r="BY656" s="31" t="n">
        <f aca="false">Y656</f>
        <v>0</v>
      </c>
      <c r="BZ656" s="32" t="n">
        <f aca="false">IF(BJ656=0,IF(BR656=0,0,1),(BR656-BJ656)/BJ656)</f>
        <v>0</v>
      </c>
      <c r="CA656" s="32" t="n">
        <f aca="false">IF(BK656=0,IF(BS656=0,0,1),(BS656-BK656)/BK656)</f>
        <v>0</v>
      </c>
      <c r="CB656" s="32" t="n">
        <f aca="false">IF(BL656=0,IF(BT656=0,0,1),(BT656-BL656)/BL656)</f>
        <v>0</v>
      </c>
      <c r="CC656" s="32" t="n">
        <f aca="false">IF(BM656=0,IF(BU656=0,0,1),(BU656-BM656)/BM656)</f>
        <v>0</v>
      </c>
      <c r="CD656" s="32" t="n">
        <f aca="false">IF(BN656=0,IF(BV656=0,0,1),(BV656-BN656)/BN656)</f>
        <v>0</v>
      </c>
      <c r="CE656" s="32" t="n">
        <f aca="false">IF(BO656=0,IF(BW656=0,0,1),(BW656-BO656)/BO656)</f>
        <v>0</v>
      </c>
      <c r="CF656" s="32" t="n">
        <f aca="false">IF(BP656=0,IF(BX656=0,0,1),(BX656-BP656)/BP656)</f>
        <v>0</v>
      </c>
      <c r="CG656" s="32" t="n">
        <f aca="false">IF(BQ656=0,IF(BY656=0,0,1),(BY656-BQ656)/BQ656)</f>
        <v>0</v>
      </c>
      <c r="CH656" s="32" t="n">
        <f aca="false">MAX(MAX(BZ656:CG656),-MIN(BZ656:CG656))</f>
        <v>-0</v>
      </c>
      <c r="CI656" s="31" t="n">
        <f aca="false">IF(CO656="","",SUMIFS($CJ$7:$CJ$696,$A$7:$A$696,CO656,$B$7:$B$696,B656))</f>
        <v>1045053</v>
      </c>
      <c r="CJ656" s="31" t="n">
        <f aca="false">SUM(AY656:BI656)</f>
        <v>1125935</v>
      </c>
      <c r="CK656" s="31" t="str">
        <f aca="false">IFERROR(INDEX(設定!$F$61:$F$106,MATCH(B656,設定!$B$61:$B$106,0)),"Y")</f>
        <v>Y</v>
      </c>
      <c r="CL656" s="31" t="str">
        <f aca="false">IFERROR(INDEX(設定!$G$61:$G$106,MATCH(B656,設定!$B$61:$B$106,0)),"外郭型")</f>
        <v>市局型</v>
      </c>
      <c r="CM656" s="33" t="str">
        <f aca="false">A656&amp;"|"&amp;B656</f>
        <v>2027-03 月例|選挙管理委員会</v>
      </c>
      <c r="CN656" s="34" t="str">
        <f aca="false">IFERROR(INDEX(設定!$D$61:$D$106,MATCH(B656,設定!$B$61:$B$106,0)),"Y")</f>
        <v>Y</v>
      </c>
      <c r="CO656" s="34" t="str">
        <f aca="false">IFERROR(INDEX(設定!$D$20:$D$34,MATCH(A656,設定!$A$20:$A$34,0))&amp;"","")</f>
        <v>2027-02 月例</v>
      </c>
    </row>
    <row r="657" customFormat="false" ht="15" hidden="true" customHeight="false" outlineLevel="0" collapsed="false">
      <c r="A657" s="22" t="s">
        <v>230</v>
      </c>
      <c r="B657" s="23" t="s">
        <v>174</v>
      </c>
      <c r="C657" s="10" t="str">
        <f aca="false">IF(G657="","未受領",IF(G657="なし","報告なし",IF(AL657="○","起票済",IF(OR(AK657="○",F657="一致",F657="入金不要"),"入金確認済","受領済"))))</f>
        <v>未受領</v>
      </c>
      <c r="D657" s="10" t="str">
        <f aca="false">IF(OR(G657="",G657="なし"),"―",IF(CN657="N","対象外",IF(AND(I657="",J657="",K657=""),"標報未入力",IF(CH657&gt;=設定!$B$4,"要確認","問題なし"))))</f>
        <v>―</v>
      </c>
      <c r="E657" s="24" t="str">
        <f aca="false">IF(OR(G657="",G657="なし",CI657="",CJ657=0),"―",IF(CJ657=CI657,"前月同額",IF(CI657=0,"―",IF(ABS(CJ657/CI657-1)&gt;=設定!$B$5,"変動大 "&amp;TEXT(CJ657/CI657-1,"+0%;-0%"),"〇"))))</f>
        <v>―</v>
      </c>
      <c r="F657" s="10" t="str">
        <f aca="false">IF(OR(G657="",G657="なし"),"―",IF(CJ657=0,"入金不要",IF(COUNT(AD657,AF657,AH657,AJ657)=0,IF(AK657="○","手動確認","未入金"),IF(AND(N(AD657)=AC657,IF(AE657="",TRUE(),N(AF657)=AE657),IF(AG657="",TRUE(),N(AH657)=AG657),IF(AI657="",TRUE(),N(AJ657)=AI657)),"一致","不一致"))))</f>
        <v>―</v>
      </c>
      <c r="G657" s="25"/>
      <c r="H657" s="26"/>
      <c r="I657" s="27"/>
      <c r="J657" s="27"/>
      <c r="K657" s="27"/>
      <c r="L657" s="27"/>
      <c r="M657" s="27"/>
      <c r="N657" s="27"/>
      <c r="O657" s="27"/>
      <c r="P657" s="27"/>
      <c r="Q657" s="27"/>
      <c r="R657" s="27"/>
      <c r="S657" s="27"/>
      <c r="T657" s="27"/>
      <c r="U657" s="27"/>
      <c r="V657" s="27"/>
      <c r="W657" s="27"/>
      <c r="X657" s="27"/>
      <c r="Y657" s="27"/>
      <c r="Z657" s="27"/>
      <c r="AA657" s="10" t="str">
        <f aca="false">IFERROR(INDEX(設定!$E$61:$E$106,MATCH(B657,設定!$B$61:$B$106,0)),"合算")</f>
        <v>合算</v>
      </c>
      <c r="AB657" s="28"/>
      <c r="AC657" s="29" t="str">
        <f aca="false">IF(OR(G657="",G657="なし"),"",IF(AA657="合算",CJ657+N(Z657),IF(AA657="掛金・負担金別",(AY657+AZ657+BD657+BF657+BH657),SUM(AY657:BC657))))</f>
        <v/>
      </c>
      <c r="AD657" s="27"/>
      <c r="AE657" s="29" t="str">
        <f aca="false">IF(OR(G657="",G657="なし"),"",IF(AA657="掛金・負担金別",(BA657+BB657+BC657+BE657+BG657+BI657+N(Z657)),IF(AA657="経理区分別",BD657+BE657,"")))</f>
        <v/>
      </c>
      <c r="AF657" s="27"/>
      <c r="AG657" s="29" t="str">
        <f aca="false">IF(OR(G657="",G657="なし"),"",IF(AA657="経理区分別",BF657+BG657,""))</f>
        <v/>
      </c>
      <c r="AH657" s="27"/>
      <c r="AI657" s="29" t="str">
        <f aca="false">IF(OR(G657="",G657="なし"),"",IF(AA657="経理区分別",BH657+BI657+N(Z657),""))</f>
        <v/>
      </c>
      <c r="AJ657" s="27"/>
      <c r="AK657" s="26"/>
      <c r="AL657" s="26"/>
      <c r="AM657" s="30"/>
      <c r="AN657" s="31" t="n">
        <v>581025</v>
      </c>
      <c r="AO657" s="31" t="n">
        <v>47625</v>
      </c>
      <c r="AP657" s="31" t="n">
        <v>844550</v>
      </c>
      <c r="AQ657" s="31" t="n">
        <v>47625</v>
      </c>
      <c r="AR657" s="31" t="n">
        <v>596</v>
      </c>
      <c r="AS657" s="31" t="n">
        <v>354809</v>
      </c>
      <c r="AT657" s="31" t="n">
        <v>361071</v>
      </c>
      <c r="AU657" s="31" t="n">
        <v>32943</v>
      </c>
      <c r="AV657" s="31" t="n">
        <v>32943</v>
      </c>
      <c r="AW657" s="31" t="n">
        <v>1</v>
      </c>
      <c r="AX657" s="31" t="n">
        <v>1</v>
      </c>
      <c r="AY657" s="31" t="n">
        <f aca="false">IF($G657="",AN657,O657)</f>
        <v>581025</v>
      </c>
      <c r="AZ657" s="31" t="n">
        <f aca="false">IF($G657="",AO657,P657)</f>
        <v>47625</v>
      </c>
      <c r="BA657" s="31" t="n">
        <f aca="false">IF($G657="",AP657,T657)</f>
        <v>844550</v>
      </c>
      <c r="BB657" s="31" t="n">
        <f aca="false">IF($G657="",AQ657,U657)</f>
        <v>47625</v>
      </c>
      <c r="BC657" s="31" t="n">
        <f aca="false">IF($G657="",AR657,V657)</f>
        <v>596</v>
      </c>
      <c r="BD657" s="31" t="n">
        <f aca="false">IF($G657="",AS657,Q657)</f>
        <v>354809</v>
      </c>
      <c r="BE657" s="31" t="n">
        <f aca="false">IF($G657="",AT657,W657)</f>
        <v>361071</v>
      </c>
      <c r="BF657" s="31" t="n">
        <f aca="false">IF($G657="",AU657,R657)</f>
        <v>32943</v>
      </c>
      <c r="BG657" s="31" t="n">
        <f aca="false">IF($G657="",AV657,X657)</f>
        <v>32943</v>
      </c>
      <c r="BH657" s="31" t="n">
        <f aca="false">IF($G657="",AW657,S657)</f>
        <v>1</v>
      </c>
      <c r="BI657" s="31" t="n">
        <f aca="false">IF($G657="",AX657,Y657)</f>
        <v>1</v>
      </c>
      <c r="BJ657" s="31" t="n">
        <f aca="false">IF(CK657="N",BR657,ROUNDDOWN((I657-L657)*設定!$B$10/1000,0)+ROUNDDOWN((I657-L657)*設定!$B$11/1000,0))</f>
        <v>0</v>
      </c>
      <c r="BK657" s="31" t="n">
        <f aca="false">ROUNDDOWN((I657-L657)*設定!$C$10/1000,0)+ROUNDDOWN((I657-L657)*設定!$C$11/1000,0)+ROUNDDOWN(I657*設定!$C$12/1000,0)+IF(CL657="市局型",ROUNDDOWN(I657*設定!$C$16/1000,0),0)</f>
        <v>0</v>
      </c>
      <c r="BL657" s="31" t="n">
        <f aca="false">IF(CK657="N",BT657,ROUNDDOWN((J657-M657)*設定!$B$13/1000,0))</f>
        <v>0</v>
      </c>
      <c r="BM657" s="31" t="n">
        <f aca="false">ROUNDDOWN((J657-M657)*設定!$C$13/1000,0)+IF(CL657="市局型",ROUNDDOWN(J657*設定!$C$17/1000,0),0)</f>
        <v>0</v>
      </c>
      <c r="BN657" s="31" t="n">
        <f aca="false">IF(CK657="N",BV657,ROUNDDOWN((K657-N657)*設定!$B$14/1000,0))</f>
        <v>0</v>
      </c>
      <c r="BO657" s="31" t="n">
        <f aca="false">ROUNDDOWN((K657-N657)*設定!$C$14/1000,0)</f>
        <v>0</v>
      </c>
      <c r="BP657" s="31" t="n">
        <f aca="false">IF(CK657="N",BX657,ROUNDDOWN((J657-M657)*設定!$B$15/1000,0))</f>
        <v>0</v>
      </c>
      <c r="BQ657" s="31" t="n">
        <f aca="false">ROUNDDOWN((J657-M657)*設定!$C$15/1000,0)</f>
        <v>0</v>
      </c>
      <c r="BR657" s="31" t="n">
        <f aca="false">O657+P657</f>
        <v>0</v>
      </c>
      <c r="BS657" s="31" t="n">
        <f aca="false">T657+U657+V657</f>
        <v>0</v>
      </c>
      <c r="BT657" s="31" t="n">
        <f aca="false">Q657</f>
        <v>0</v>
      </c>
      <c r="BU657" s="31" t="n">
        <f aca="false">W657</f>
        <v>0</v>
      </c>
      <c r="BV657" s="31" t="n">
        <f aca="false">R657</f>
        <v>0</v>
      </c>
      <c r="BW657" s="31" t="n">
        <f aca="false">X657</f>
        <v>0</v>
      </c>
      <c r="BX657" s="31" t="n">
        <f aca="false">S657</f>
        <v>0</v>
      </c>
      <c r="BY657" s="31" t="n">
        <f aca="false">Y657</f>
        <v>0</v>
      </c>
      <c r="BZ657" s="32" t="n">
        <f aca="false">IF(BJ657=0,IF(BR657=0,0,1),(BR657-BJ657)/BJ657)</f>
        <v>0</v>
      </c>
      <c r="CA657" s="32" t="n">
        <f aca="false">IF(BK657=0,IF(BS657=0,0,1),(BS657-BK657)/BK657)</f>
        <v>0</v>
      </c>
      <c r="CB657" s="32" t="n">
        <f aca="false">IF(BL657=0,IF(BT657=0,0,1),(BT657-BL657)/BL657)</f>
        <v>0</v>
      </c>
      <c r="CC657" s="32" t="n">
        <f aca="false">IF(BM657=0,IF(BU657=0,0,1),(BU657-BM657)/BM657)</f>
        <v>0</v>
      </c>
      <c r="CD657" s="32" t="n">
        <f aca="false">IF(BN657=0,IF(BV657=0,0,1),(BV657-BN657)/BN657)</f>
        <v>0</v>
      </c>
      <c r="CE657" s="32" t="n">
        <f aca="false">IF(BO657=0,IF(BW657=0,0,1),(BW657-BO657)/BO657)</f>
        <v>0</v>
      </c>
      <c r="CF657" s="32" t="n">
        <f aca="false">IF(BP657=0,IF(BX657=0,0,1),(BX657-BP657)/BP657)</f>
        <v>0</v>
      </c>
      <c r="CG657" s="32" t="n">
        <f aca="false">IF(BQ657=0,IF(BY657=0,0,1),(BY657-BQ657)/BQ657)</f>
        <v>0</v>
      </c>
      <c r="CH657" s="32" t="n">
        <f aca="false">MAX(MAX(BZ657:CG657),-MIN(BZ657:CG657))</f>
        <v>-0</v>
      </c>
      <c r="CI657" s="31" t="n">
        <f aca="false">IF(CO657="","",SUMIFS($CJ$7:$CJ$696,$A$7:$A$696,CO657,$B$7:$B$696,B657))</f>
        <v>2228146</v>
      </c>
      <c r="CJ657" s="31" t="n">
        <f aca="false">SUM(AY657:BI657)</f>
        <v>2303189</v>
      </c>
      <c r="CK657" s="31" t="str">
        <f aca="false">IFERROR(INDEX(設定!$F$61:$F$106,MATCH(B657,設定!$B$61:$B$106,0)),"Y")</f>
        <v>Y</v>
      </c>
      <c r="CL657" s="31" t="str">
        <f aca="false">IFERROR(INDEX(設定!$G$61:$G$106,MATCH(B657,設定!$B$61:$B$106,0)),"外郭型")</f>
        <v>市局型</v>
      </c>
      <c r="CM657" s="33" t="str">
        <f aca="false">A657&amp;"|"&amp;B657</f>
        <v>2027-03 月例|人事委員会</v>
      </c>
      <c r="CN657" s="34" t="str">
        <f aca="false">IFERROR(INDEX(設定!$D$61:$D$106,MATCH(B657,設定!$B$61:$B$106,0)),"Y")</f>
        <v>Y</v>
      </c>
      <c r="CO657" s="34" t="str">
        <f aca="false">IFERROR(INDEX(設定!$D$20:$D$34,MATCH(A657,設定!$A$20:$A$34,0))&amp;"","")</f>
        <v>2027-02 月例</v>
      </c>
    </row>
    <row r="658" customFormat="false" ht="15" hidden="true" customHeight="false" outlineLevel="0" collapsed="false">
      <c r="A658" s="22" t="s">
        <v>230</v>
      </c>
      <c r="B658" s="23" t="s">
        <v>175</v>
      </c>
      <c r="C658" s="10" t="str">
        <f aca="false">IF(G658="","未受領",IF(G658="なし","報告なし",IF(AL658="○","起票済",IF(OR(AK658="○",F658="一致",F658="入金不要"),"入金確認済","受領済"))))</f>
        <v>未受領</v>
      </c>
      <c r="D658" s="10" t="str">
        <f aca="false">IF(OR(G658="",G658="なし"),"―",IF(CN658="N","対象外",IF(AND(I658="",J658="",K658=""),"標報未入力",IF(CH658&gt;=設定!$B$4,"要確認","問題なし"))))</f>
        <v>―</v>
      </c>
      <c r="E658" s="24" t="str">
        <f aca="false">IF(OR(G658="",G658="なし",CI658="",CJ658=0),"―",IF(CJ658=CI658,"前月同額",IF(CI658=0,"―",IF(ABS(CJ658/CI658-1)&gt;=設定!$B$5,"変動大 "&amp;TEXT(CJ658/CI658-1,"+0%;-0%"),"〇"))))</f>
        <v>―</v>
      </c>
      <c r="F658" s="10" t="str">
        <f aca="false">IF(OR(G658="",G658="なし"),"―",IF(CJ658=0,"入金不要",IF(COUNT(AD658,AF658,AH658,AJ658)=0,IF(AK658="○","手動確認","未入金"),IF(AND(N(AD658)=AC658,IF(AE658="",TRUE(),N(AF658)=AE658),IF(AG658="",TRUE(),N(AH658)=AG658),IF(AI658="",TRUE(),N(AJ658)=AI658)),"一致","不一致"))))</f>
        <v>―</v>
      </c>
      <c r="G658" s="25"/>
      <c r="H658" s="26"/>
      <c r="I658" s="27"/>
      <c r="J658" s="27"/>
      <c r="K658" s="27"/>
      <c r="L658" s="27"/>
      <c r="M658" s="27"/>
      <c r="N658" s="27"/>
      <c r="O658" s="27"/>
      <c r="P658" s="27"/>
      <c r="Q658" s="27"/>
      <c r="R658" s="27"/>
      <c r="S658" s="27"/>
      <c r="T658" s="27"/>
      <c r="U658" s="27"/>
      <c r="V658" s="27"/>
      <c r="W658" s="27"/>
      <c r="X658" s="27"/>
      <c r="Y658" s="27"/>
      <c r="Z658" s="27"/>
      <c r="AA658" s="10" t="str">
        <f aca="false">IFERROR(INDEX(設定!$E$61:$E$106,MATCH(B658,設定!$B$61:$B$106,0)),"合算")</f>
        <v>合算</v>
      </c>
      <c r="AB658" s="28"/>
      <c r="AC658" s="29" t="str">
        <f aca="false">IF(OR(G658="",G658="なし"),"",IF(AA658="合算",CJ658+N(Z658),IF(AA658="掛金・負担金別",(AY658+AZ658+BD658+BF658+BH658),SUM(AY658:BC658))))</f>
        <v/>
      </c>
      <c r="AD658" s="27"/>
      <c r="AE658" s="29" t="str">
        <f aca="false">IF(OR(G658="",G658="なし"),"",IF(AA658="掛金・負担金別",(BA658+BB658+BC658+BE658+BG658+BI658+N(Z658)),IF(AA658="経理区分別",BD658+BE658,"")))</f>
        <v/>
      </c>
      <c r="AF658" s="27"/>
      <c r="AG658" s="29" t="str">
        <f aca="false">IF(OR(G658="",G658="なし"),"",IF(AA658="経理区分別",BF658+BG658,""))</f>
        <v/>
      </c>
      <c r="AH658" s="27"/>
      <c r="AI658" s="29" t="str">
        <f aca="false">IF(OR(G658="",G658="なし"),"",IF(AA658="経理区分別",BH658+BI658+N(Z658),""))</f>
        <v/>
      </c>
      <c r="AJ658" s="27"/>
      <c r="AK658" s="26"/>
      <c r="AL658" s="26"/>
      <c r="AM658" s="30"/>
      <c r="AN658" s="31" t="n">
        <v>1271850</v>
      </c>
      <c r="AO658" s="31" t="n">
        <v>104250</v>
      </c>
      <c r="AP658" s="31" t="n">
        <v>1745462</v>
      </c>
      <c r="AQ658" s="31" t="n">
        <v>104250</v>
      </c>
      <c r="AR658" s="31" t="n">
        <v>1350</v>
      </c>
      <c r="AS658" s="31" t="n">
        <v>785639</v>
      </c>
      <c r="AT658" s="31" t="n">
        <v>797884</v>
      </c>
      <c r="AU658" s="31" t="n">
        <v>110812</v>
      </c>
      <c r="AV658" s="31" t="n">
        <v>110812</v>
      </c>
      <c r="AW658" s="31" t="n">
        <v>1</v>
      </c>
      <c r="AX658" s="31" t="n">
        <v>1</v>
      </c>
      <c r="AY658" s="31" t="n">
        <f aca="false">IF($G658="",AN658,O658)</f>
        <v>1271850</v>
      </c>
      <c r="AZ658" s="31" t="n">
        <f aca="false">IF($G658="",AO658,P658)</f>
        <v>104250</v>
      </c>
      <c r="BA658" s="31" t="n">
        <f aca="false">IF($G658="",AP658,T658)</f>
        <v>1745462</v>
      </c>
      <c r="BB658" s="31" t="n">
        <f aca="false">IF($G658="",AQ658,U658)</f>
        <v>104250</v>
      </c>
      <c r="BC658" s="31" t="n">
        <f aca="false">IF($G658="",AR658,V658)</f>
        <v>1350</v>
      </c>
      <c r="BD658" s="31" t="n">
        <f aca="false">IF($G658="",AS658,Q658)</f>
        <v>785639</v>
      </c>
      <c r="BE658" s="31" t="n">
        <f aca="false">IF($G658="",AT658,W658)</f>
        <v>797884</v>
      </c>
      <c r="BF658" s="31" t="n">
        <f aca="false">IF($G658="",AU658,R658)</f>
        <v>110812</v>
      </c>
      <c r="BG658" s="31" t="n">
        <f aca="false">IF($G658="",AV658,X658)</f>
        <v>110812</v>
      </c>
      <c r="BH658" s="31" t="n">
        <f aca="false">IF($G658="",AW658,S658)</f>
        <v>1</v>
      </c>
      <c r="BI658" s="31" t="n">
        <f aca="false">IF($G658="",AX658,Y658)</f>
        <v>1</v>
      </c>
      <c r="BJ658" s="31" t="n">
        <f aca="false">IF(CK658="N",BR658,ROUNDDOWN((I658-L658)*設定!$B$10/1000,0)+ROUNDDOWN((I658-L658)*設定!$B$11/1000,0))</f>
        <v>0</v>
      </c>
      <c r="BK658" s="31" t="n">
        <f aca="false">ROUNDDOWN((I658-L658)*設定!$C$10/1000,0)+ROUNDDOWN((I658-L658)*設定!$C$11/1000,0)+ROUNDDOWN(I658*設定!$C$12/1000,0)+IF(CL658="市局型",ROUNDDOWN(I658*設定!$C$16/1000,0),0)</f>
        <v>0</v>
      </c>
      <c r="BL658" s="31" t="n">
        <f aca="false">IF(CK658="N",BT658,ROUNDDOWN((J658-M658)*設定!$B$13/1000,0))</f>
        <v>0</v>
      </c>
      <c r="BM658" s="31" t="n">
        <f aca="false">ROUNDDOWN((J658-M658)*設定!$C$13/1000,0)+IF(CL658="市局型",ROUNDDOWN(J658*設定!$C$17/1000,0),0)</f>
        <v>0</v>
      </c>
      <c r="BN658" s="31" t="n">
        <f aca="false">IF(CK658="N",BV658,ROUNDDOWN((K658-N658)*設定!$B$14/1000,0))</f>
        <v>0</v>
      </c>
      <c r="BO658" s="31" t="n">
        <f aca="false">ROUNDDOWN((K658-N658)*設定!$C$14/1000,0)</f>
        <v>0</v>
      </c>
      <c r="BP658" s="31" t="n">
        <f aca="false">IF(CK658="N",BX658,ROUNDDOWN((J658-M658)*設定!$B$15/1000,0))</f>
        <v>0</v>
      </c>
      <c r="BQ658" s="31" t="n">
        <f aca="false">ROUNDDOWN((J658-M658)*設定!$C$15/1000,0)</f>
        <v>0</v>
      </c>
      <c r="BR658" s="31" t="n">
        <f aca="false">O658+P658</f>
        <v>0</v>
      </c>
      <c r="BS658" s="31" t="n">
        <f aca="false">T658+U658+V658</f>
        <v>0</v>
      </c>
      <c r="BT658" s="31" t="n">
        <f aca="false">Q658</f>
        <v>0</v>
      </c>
      <c r="BU658" s="31" t="n">
        <f aca="false">W658</f>
        <v>0</v>
      </c>
      <c r="BV658" s="31" t="n">
        <f aca="false">R658</f>
        <v>0</v>
      </c>
      <c r="BW658" s="31" t="n">
        <f aca="false">X658</f>
        <v>0</v>
      </c>
      <c r="BX658" s="31" t="n">
        <f aca="false">S658</f>
        <v>0</v>
      </c>
      <c r="BY658" s="31" t="n">
        <f aca="false">Y658</f>
        <v>0</v>
      </c>
      <c r="BZ658" s="32" t="n">
        <f aca="false">IF(BJ658=0,IF(BR658=0,0,1),(BR658-BJ658)/BJ658)</f>
        <v>0</v>
      </c>
      <c r="CA658" s="32" t="n">
        <f aca="false">IF(BK658=0,IF(BS658=0,0,1),(BS658-BK658)/BK658)</f>
        <v>0</v>
      </c>
      <c r="CB658" s="32" t="n">
        <f aca="false">IF(BL658=0,IF(BT658=0,0,1),(BT658-BL658)/BL658)</f>
        <v>0</v>
      </c>
      <c r="CC658" s="32" t="n">
        <f aca="false">IF(BM658=0,IF(BU658=0,0,1),(BU658-BM658)/BM658)</f>
        <v>0</v>
      </c>
      <c r="CD658" s="32" t="n">
        <f aca="false">IF(BN658=0,IF(BV658=0,0,1),(BV658-BN658)/BN658)</f>
        <v>0</v>
      </c>
      <c r="CE658" s="32" t="n">
        <f aca="false">IF(BO658=0,IF(BW658=0,0,1),(BW658-BO658)/BO658)</f>
        <v>0</v>
      </c>
      <c r="CF658" s="32" t="n">
        <f aca="false">IF(BP658=0,IF(BX658=0,0,1),(BX658-BP658)/BP658)</f>
        <v>0</v>
      </c>
      <c r="CG658" s="32" t="n">
        <f aca="false">IF(BQ658=0,IF(BY658=0,0,1),(BY658-BQ658)/BQ658)</f>
        <v>0</v>
      </c>
      <c r="CH658" s="32" t="n">
        <f aca="false">MAX(MAX(BZ658:CG658),-MIN(BZ658:CG658))</f>
        <v>-0</v>
      </c>
      <c r="CI658" s="31" t="n">
        <f aca="false">IF(CO658="","",SUMIFS($CJ$7:$CJ$696,$A$7:$A$696,CO658,$B$7:$B$696,B658))</f>
        <v>5436317</v>
      </c>
      <c r="CJ658" s="31" t="n">
        <f aca="false">SUM(AY658:BI658)</f>
        <v>5032311</v>
      </c>
      <c r="CK658" s="31" t="str">
        <f aca="false">IFERROR(INDEX(設定!$F$61:$F$106,MATCH(B658,設定!$B$61:$B$106,0)),"Y")</f>
        <v>Y</v>
      </c>
      <c r="CL658" s="31" t="str">
        <f aca="false">IFERROR(INDEX(設定!$G$61:$G$106,MATCH(B658,設定!$B$61:$B$106,0)),"外郭型")</f>
        <v>市局型</v>
      </c>
      <c r="CM658" s="33" t="str">
        <f aca="false">A658&amp;"|"&amp;B658</f>
        <v>2027-03 月例|監査事務局</v>
      </c>
      <c r="CN658" s="34" t="str">
        <f aca="false">IFERROR(INDEX(設定!$D$61:$D$106,MATCH(B658,設定!$B$61:$B$106,0)),"Y")</f>
        <v>Y</v>
      </c>
      <c r="CO658" s="34" t="str">
        <f aca="false">IFERROR(INDEX(設定!$D$20:$D$34,MATCH(A658,設定!$A$20:$A$34,0))&amp;"","")</f>
        <v>2027-02 月例</v>
      </c>
    </row>
    <row r="659" customFormat="false" ht="15" hidden="true" customHeight="false" outlineLevel="0" collapsed="false">
      <c r="A659" s="22" t="s">
        <v>230</v>
      </c>
      <c r="B659" s="23" t="s">
        <v>176</v>
      </c>
      <c r="C659" s="10" t="str">
        <f aca="false">IF(G659="","未受領",IF(G659="なし","報告なし",IF(AL659="○","起票済",IF(OR(AK659="○",F659="一致",F659="入金不要"),"入金確認済","受領済"))))</f>
        <v>未受領</v>
      </c>
      <c r="D659" s="10" t="str">
        <f aca="false">IF(OR(G659="",G659="なし"),"―",IF(CN659="N","対象外",IF(AND(I659="",J659="",K659=""),"標報未入力",IF(CH659&gt;=設定!$B$4,"要確認","問題なし"))))</f>
        <v>―</v>
      </c>
      <c r="E659" s="24" t="str">
        <f aca="false">IF(OR(G659="",G659="なし",CI659="",CJ659=0),"―",IF(CJ659=CI659,"前月同額",IF(CI659=0,"―",IF(ABS(CJ659/CI659-1)&gt;=設定!$B$5,"変動大 "&amp;TEXT(CJ659/CI659-1,"+0%;-0%"),"〇"))))</f>
        <v>―</v>
      </c>
      <c r="F659" s="10" t="str">
        <f aca="false">IF(OR(G659="",G659="なし"),"―",IF(CJ659=0,"入金不要",IF(COUNT(AD659,AF659,AH659,AJ659)=0,IF(AK659="○","手動確認","未入金"),IF(AND(N(AD659)=AC659,IF(AE659="",TRUE(),N(AF659)=AE659),IF(AG659="",TRUE(),N(AH659)=AG659),IF(AI659="",TRUE(),N(AJ659)=AI659)),"一致","不一致"))))</f>
        <v>―</v>
      </c>
      <c r="G659" s="25"/>
      <c r="H659" s="26"/>
      <c r="I659" s="27"/>
      <c r="J659" s="27"/>
      <c r="K659" s="27"/>
      <c r="L659" s="27"/>
      <c r="M659" s="27"/>
      <c r="N659" s="27"/>
      <c r="O659" s="27"/>
      <c r="P659" s="27"/>
      <c r="Q659" s="27"/>
      <c r="R659" s="27"/>
      <c r="S659" s="27"/>
      <c r="T659" s="27"/>
      <c r="U659" s="27"/>
      <c r="V659" s="27"/>
      <c r="W659" s="27"/>
      <c r="X659" s="27"/>
      <c r="Y659" s="27"/>
      <c r="Z659" s="27"/>
      <c r="AA659" s="10" t="str">
        <f aca="false">IFERROR(INDEX(設定!$E$61:$E$106,MATCH(B659,設定!$B$61:$B$106,0)),"合算")</f>
        <v>合算</v>
      </c>
      <c r="AB659" s="28"/>
      <c r="AC659" s="29" t="str">
        <f aca="false">IF(OR(G659="",G659="なし"),"",IF(AA659="合算",CJ659+N(Z659),IF(AA659="掛金・負担金別",(AY659+AZ659+BD659+BF659+BH659),SUM(AY659:BC659))))</f>
        <v/>
      </c>
      <c r="AD659" s="27"/>
      <c r="AE659" s="29" t="str">
        <f aca="false">IF(OR(G659="",G659="なし"),"",IF(AA659="掛金・負担金別",(BA659+BB659+BC659+BE659+BG659+BI659+N(Z659)),IF(AA659="経理区分別",BD659+BE659,"")))</f>
        <v/>
      </c>
      <c r="AF659" s="27"/>
      <c r="AG659" s="29" t="str">
        <f aca="false">IF(OR(G659="",G659="なし"),"",IF(AA659="経理区分別",BF659+BG659,""))</f>
        <v/>
      </c>
      <c r="AH659" s="27"/>
      <c r="AI659" s="29" t="str">
        <f aca="false">IF(OR(G659="",G659="なし"),"",IF(AA659="経理区分別",BH659+BI659+N(Z659),""))</f>
        <v/>
      </c>
      <c r="AJ659" s="27"/>
      <c r="AK659" s="26"/>
      <c r="AL659" s="26"/>
      <c r="AM659" s="30"/>
      <c r="AN659" s="31" t="n">
        <v>409920</v>
      </c>
      <c r="AO659" s="31" t="n">
        <v>33600</v>
      </c>
      <c r="AP659" s="31" t="n">
        <v>595840</v>
      </c>
      <c r="AQ659" s="31" t="n">
        <v>33600</v>
      </c>
      <c r="AR659" s="31" t="n">
        <v>420</v>
      </c>
      <c r="AS659" s="31" t="n">
        <v>325433</v>
      </c>
      <c r="AT659" s="31" t="n">
        <v>331176</v>
      </c>
      <c r="AU659" s="31" t="n">
        <v>35042</v>
      </c>
      <c r="AV659" s="31" t="n">
        <v>35044</v>
      </c>
      <c r="AW659" s="31" t="n">
        <v>1</v>
      </c>
      <c r="AX659" s="31" t="n">
        <v>1</v>
      </c>
      <c r="AY659" s="31" t="n">
        <f aca="false">IF($G659="",AN659,O659)</f>
        <v>409920</v>
      </c>
      <c r="AZ659" s="31" t="n">
        <f aca="false">IF($G659="",AO659,P659)</f>
        <v>33600</v>
      </c>
      <c r="BA659" s="31" t="n">
        <f aca="false">IF($G659="",AP659,T659)</f>
        <v>595840</v>
      </c>
      <c r="BB659" s="31" t="n">
        <f aca="false">IF($G659="",AQ659,U659)</f>
        <v>33600</v>
      </c>
      <c r="BC659" s="31" t="n">
        <f aca="false">IF($G659="",AR659,V659)</f>
        <v>420</v>
      </c>
      <c r="BD659" s="31" t="n">
        <f aca="false">IF($G659="",AS659,Q659)</f>
        <v>325433</v>
      </c>
      <c r="BE659" s="31" t="n">
        <f aca="false">IF($G659="",AT659,W659)</f>
        <v>331176</v>
      </c>
      <c r="BF659" s="31" t="n">
        <f aca="false">IF($G659="",AU659,R659)</f>
        <v>35042</v>
      </c>
      <c r="BG659" s="31" t="n">
        <f aca="false">IF($G659="",AV659,X659)</f>
        <v>35044</v>
      </c>
      <c r="BH659" s="31" t="n">
        <f aca="false">IF($G659="",AW659,S659)</f>
        <v>1</v>
      </c>
      <c r="BI659" s="31" t="n">
        <f aca="false">IF($G659="",AX659,Y659)</f>
        <v>1</v>
      </c>
      <c r="BJ659" s="31" t="n">
        <f aca="false">IF(CK659="N",BR659,ROUNDDOWN((I659-L659)*設定!$B$10/1000,0)+ROUNDDOWN((I659-L659)*設定!$B$11/1000,0))</f>
        <v>0</v>
      </c>
      <c r="BK659" s="31" t="n">
        <f aca="false">ROUNDDOWN((I659-L659)*設定!$C$10/1000,0)+ROUNDDOWN((I659-L659)*設定!$C$11/1000,0)+ROUNDDOWN(I659*設定!$C$12/1000,0)+IF(CL659="市局型",ROUNDDOWN(I659*設定!$C$16/1000,0),0)</f>
        <v>0</v>
      </c>
      <c r="BL659" s="31" t="n">
        <f aca="false">IF(CK659="N",BT659,ROUNDDOWN((J659-M659)*設定!$B$13/1000,0))</f>
        <v>0</v>
      </c>
      <c r="BM659" s="31" t="n">
        <f aca="false">ROUNDDOWN((J659-M659)*設定!$C$13/1000,0)+IF(CL659="市局型",ROUNDDOWN(J659*設定!$C$17/1000,0),0)</f>
        <v>0</v>
      </c>
      <c r="BN659" s="31" t="n">
        <f aca="false">IF(CK659="N",BV659,ROUNDDOWN((K659-N659)*設定!$B$14/1000,0))</f>
        <v>0</v>
      </c>
      <c r="BO659" s="31" t="n">
        <f aca="false">ROUNDDOWN((K659-N659)*設定!$C$14/1000,0)</f>
        <v>0</v>
      </c>
      <c r="BP659" s="31" t="n">
        <f aca="false">IF(CK659="N",BX659,ROUNDDOWN((J659-M659)*設定!$B$15/1000,0))</f>
        <v>0</v>
      </c>
      <c r="BQ659" s="31" t="n">
        <f aca="false">ROUNDDOWN((J659-M659)*設定!$C$15/1000,0)</f>
        <v>0</v>
      </c>
      <c r="BR659" s="31" t="n">
        <f aca="false">O659+P659</f>
        <v>0</v>
      </c>
      <c r="BS659" s="31" t="n">
        <f aca="false">T659+U659+V659</f>
        <v>0</v>
      </c>
      <c r="BT659" s="31" t="n">
        <f aca="false">Q659</f>
        <v>0</v>
      </c>
      <c r="BU659" s="31" t="n">
        <f aca="false">W659</f>
        <v>0</v>
      </c>
      <c r="BV659" s="31" t="n">
        <f aca="false">R659</f>
        <v>0</v>
      </c>
      <c r="BW659" s="31" t="n">
        <f aca="false">X659</f>
        <v>0</v>
      </c>
      <c r="BX659" s="31" t="n">
        <f aca="false">S659</f>
        <v>0</v>
      </c>
      <c r="BY659" s="31" t="n">
        <f aca="false">Y659</f>
        <v>0</v>
      </c>
      <c r="BZ659" s="32" t="n">
        <f aca="false">IF(BJ659=0,IF(BR659=0,0,1),(BR659-BJ659)/BJ659)</f>
        <v>0</v>
      </c>
      <c r="CA659" s="32" t="n">
        <f aca="false">IF(BK659=0,IF(BS659=0,0,1),(BS659-BK659)/BK659)</f>
        <v>0</v>
      </c>
      <c r="CB659" s="32" t="n">
        <f aca="false">IF(BL659=0,IF(BT659=0,0,1),(BT659-BL659)/BL659)</f>
        <v>0</v>
      </c>
      <c r="CC659" s="32" t="n">
        <f aca="false">IF(BM659=0,IF(BU659=0,0,1),(BU659-BM659)/BM659)</f>
        <v>0</v>
      </c>
      <c r="CD659" s="32" t="n">
        <f aca="false">IF(BN659=0,IF(BV659=0,0,1),(BV659-BN659)/BN659)</f>
        <v>0</v>
      </c>
      <c r="CE659" s="32" t="n">
        <f aca="false">IF(BO659=0,IF(BW659=0,0,1),(BW659-BO659)/BO659)</f>
        <v>0</v>
      </c>
      <c r="CF659" s="32" t="n">
        <f aca="false">IF(BP659=0,IF(BX659=0,0,1),(BX659-BP659)/BP659)</f>
        <v>0</v>
      </c>
      <c r="CG659" s="32" t="n">
        <f aca="false">IF(BQ659=0,IF(BY659=0,0,1),(BY659-BQ659)/BQ659)</f>
        <v>0</v>
      </c>
      <c r="CH659" s="32" t="n">
        <f aca="false">MAX(MAX(BZ659:CG659),-MIN(BZ659:CG659))</f>
        <v>-0</v>
      </c>
      <c r="CI659" s="31" t="n">
        <f aca="false">IF(CO659="","",SUMIFS($CJ$7:$CJ$696,$A$7:$A$696,CO659,$B$7:$B$696,B659))</f>
        <v>1690162</v>
      </c>
      <c r="CJ659" s="31" t="n">
        <f aca="false">SUM(AY659:BI659)</f>
        <v>1800077</v>
      </c>
      <c r="CK659" s="31" t="str">
        <f aca="false">IFERROR(INDEX(設定!$F$61:$F$106,MATCH(B659,設定!$B$61:$B$106,0)),"Y")</f>
        <v>Y</v>
      </c>
      <c r="CL659" s="31" t="str">
        <f aca="false">IFERROR(INDEX(設定!$G$61:$G$106,MATCH(B659,設定!$B$61:$B$106,0)),"外郭型")</f>
        <v>市局型</v>
      </c>
      <c r="CM659" s="33" t="str">
        <f aca="false">A659&amp;"|"&amp;B659</f>
        <v>2027-03 月例|農業委員会</v>
      </c>
      <c r="CN659" s="34" t="str">
        <f aca="false">IFERROR(INDEX(設定!$D$61:$D$106,MATCH(B659,設定!$B$61:$B$106,0)),"Y")</f>
        <v>Y</v>
      </c>
      <c r="CO659" s="34" t="str">
        <f aca="false">IFERROR(INDEX(設定!$D$20:$D$34,MATCH(A659,設定!$A$20:$A$34,0))&amp;"","")</f>
        <v>2027-02 月例</v>
      </c>
    </row>
    <row r="660" customFormat="false" ht="15" hidden="true" customHeight="false" outlineLevel="0" collapsed="false">
      <c r="A660" s="22" t="s">
        <v>230</v>
      </c>
      <c r="B660" s="23" t="s">
        <v>177</v>
      </c>
      <c r="C660" s="10" t="str">
        <f aca="false">IF(G660="","未受領",IF(G660="なし","報告なし",IF(AL660="○","起票済",IF(OR(AK660="○",F660="一致",F660="入金不要"),"入金確認済","受領済"))))</f>
        <v>未受領</v>
      </c>
      <c r="D660" s="10" t="str">
        <f aca="false">IF(OR(G660="",G660="なし"),"―",IF(CN660="N","対象外",IF(AND(I660="",J660="",K660=""),"標報未入力",IF(CH660&gt;=設定!$B$4,"要確認","問題なし"))))</f>
        <v>―</v>
      </c>
      <c r="E660" s="24" t="str">
        <f aca="false">IF(OR(G660="",G660="なし",CI660="",CJ660=0),"―",IF(CJ660=CI660,"前月同額",IF(CI660=0,"―",IF(ABS(CJ660/CI660-1)&gt;=設定!$B$5,"変動大 "&amp;TEXT(CJ660/CI660-1,"+0%;-0%"),"〇"))))</f>
        <v>―</v>
      </c>
      <c r="F660" s="10" t="str">
        <f aca="false">IF(OR(G660="",G660="なし"),"―",IF(CJ660=0,"入金不要",IF(COUNT(AD660,AF660,AH660,AJ660)=0,IF(AK660="○","手動確認","未入金"),IF(AND(N(AD660)=AC660,IF(AE660="",TRUE(),N(AF660)=AE660),IF(AG660="",TRUE(),N(AH660)=AG660),IF(AI660="",TRUE(),N(AJ660)=AI660)),"一致","不一致"))))</f>
        <v>―</v>
      </c>
      <c r="G660" s="25"/>
      <c r="H660" s="26"/>
      <c r="I660" s="27"/>
      <c r="J660" s="27"/>
      <c r="K660" s="27"/>
      <c r="L660" s="27"/>
      <c r="M660" s="27"/>
      <c r="N660" s="27"/>
      <c r="O660" s="27"/>
      <c r="P660" s="27"/>
      <c r="Q660" s="27"/>
      <c r="R660" s="27"/>
      <c r="S660" s="27"/>
      <c r="T660" s="27"/>
      <c r="U660" s="27"/>
      <c r="V660" s="27"/>
      <c r="W660" s="27"/>
      <c r="X660" s="27"/>
      <c r="Y660" s="27"/>
      <c r="Z660" s="27"/>
      <c r="AA660" s="10" t="str">
        <f aca="false">IFERROR(INDEX(設定!$E$61:$E$106,MATCH(B660,設定!$B$61:$B$106,0)),"合算")</f>
        <v>合算</v>
      </c>
      <c r="AB660" s="28"/>
      <c r="AC660" s="29" t="str">
        <f aca="false">IF(OR(G660="",G660="なし"),"",IF(AA660="合算",CJ660+N(Z660),IF(AA660="掛金・負担金別",(AY660+AZ660+BD660+BF660+BH660),SUM(AY660:BC660))))</f>
        <v/>
      </c>
      <c r="AD660" s="27"/>
      <c r="AE660" s="29" t="str">
        <f aca="false">IF(OR(G660="",G660="なし"),"",IF(AA660="掛金・負担金別",(BA660+BB660+BC660+BE660+BG660+BI660+N(Z660)),IF(AA660="経理区分別",BD660+BE660,"")))</f>
        <v/>
      </c>
      <c r="AF660" s="27"/>
      <c r="AG660" s="29" t="str">
        <f aca="false">IF(OR(G660="",G660="なし"),"",IF(AA660="経理区分別",BF660+BG660,""))</f>
        <v/>
      </c>
      <c r="AH660" s="27"/>
      <c r="AI660" s="29" t="str">
        <f aca="false">IF(OR(G660="",G660="なし"),"",IF(AA660="経理区分別",BH660+BI660+N(Z660),""))</f>
        <v/>
      </c>
      <c r="AJ660" s="27"/>
      <c r="AK660" s="26"/>
      <c r="AL660" s="26"/>
      <c r="AM660" s="30"/>
      <c r="AN660" s="31" t="n">
        <v>22444035</v>
      </c>
      <c r="AO660" s="31" t="n">
        <v>1839675</v>
      </c>
      <c r="AP660" s="31" t="n">
        <v>30701851</v>
      </c>
      <c r="AQ660" s="31" t="n">
        <v>1839675</v>
      </c>
      <c r="AR660" s="31" t="n">
        <v>23557</v>
      </c>
      <c r="AS660" s="31" t="n">
        <v>14184190</v>
      </c>
      <c r="AT660" s="31" t="n">
        <v>14402671</v>
      </c>
      <c r="AU660" s="31" t="n">
        <v>1454376</v>
      </c>
      <c r="AV660" s="31" t="n">
        <v>1454376</v>
      </c>
      <c r="AW660" s="31" t="n">
        <v>1</v>
      </c>
      <c r="AX660" s="31" t="n">
        <v>1</v>
      </c>
      <c r="AY660" s="31" t="n">
        <f aca="false">IF($G660="",AN660,O660)</f>
        <v>22444035</v>
      </c>
      <c r="AZ660" s="31" t="n">
        <f aca="false">IF($G660="",AO660,P660)</f>
        <v>1839675</v>
      </c>
      <c r="BA660" s="31" t="n">
        <f aca="false">IF($G660="",AP660,T660)</f>
        <v>30701851</v>
      </c>
      <c r="BB660" s="31" t="n">
        <f aca="false">IF($G660="",AQ660,U660)</f>
        <v>1839675</v>
      </c>
      <c r="BC660" s="31" t="n">
        <f aca="false">IF($G660="",AR660,V660)</f>
        <v>23557</v>
      </c>
      <c r="BD660" s="31" t="n">
        <f aca="false">IF($G660="",AS660,Q660)</f>
        <v>14184190</v>
      </c>
      <c r="BE660" s="31" t="n">
        <f aca="false">IF($G660="",AT660,W660)</f>
        <v>14402671</v>
      </c>
      <c r="BF660" s="31" t="n">
        <f aca="false">IF($G660="",AU660,R660)</f>
        <v>1454376</v>
      </c>
      <c r="BG660" s="31" t="n">
        <f aca="false">IF($G660="",AV660,X660)</f>
        <v>1454376</v>
      </c>
      <c r="BH660" s="31" t="n">
        <f aca="false">IF($G660="",AW660,S660)</f>
        <v>1</v>
      </c>
      <c r="BI660" s="31" t="n">
        <f aca="false">IF($G660="",AX660,Y660)</f>
        <v>1</v>
      </c>
      <c r="BJ660" s="31" t="n">
        <f aca="false">IF(CK660="N",BR660,ROUNDDOWN((I660-L660)*設定!$B$10/1000,0)+ROUNDDOWN((I660-L660)*設定!$B$11/1000,0))</f>
        <v>0</v>
      </c>
      <c r="BK660" s="31" t="n">
        <f aca="false">ROUNDDOWN((I660-L660)*設定!$C$10/1000,0)+ROUNDDOWN((I660-L660)*設定!$C$11/1000,0)+ROUNDDOWN(I660*設定!$C$12/1000,0)+IF(CL660="市局型",ROUNDDOWN(I660*設定!$C$16/1000,0),0)</f>
        <v>0</v>
      </c>
      <c r="BL660" s="31" t="n">
        <f aca="false">IF(CK660="N",BT660,ROUNDDOWN((J660-M660)*設定!$B$13/1000,0))</f>
        <v>0</v>
      </c>
      <c r="BM660" s="31" t="n">
        <f aca="false">ROUNDDOWN((J660-M660)*設定!$C$13/1000,0)+IF(CL660="市局型",ROUNDDOWN(J660*設定!$C$17/1000,0),0)</f>
        <v>0</v>
      </c>
      <c r="BN660" s="31" t="n">
        <f aca="false">IF(CK660="N",BV660,ROUNDDOWN((K660-N660)*設定!$B$14/1000,0))</f>
        <v>0</v>
      </c>
      <c r="BO660" s="31" t="n">
        <f aca="false">ROUNDDOWN((K660-N660)*設定!$C$14/1000,0)</f>
        <v>0</v>
      </c>
      <c r="BP660" s="31" t="n">
        <f aca="false">IF(CK660="N",BX660,ROUNDDOWN((J660-M660)*設定!$B$15/1000,0))</f>
        <v>0</v>
      </c>
      <c r="BQ660" s="31" t="n">
        <f aca="false">ROUNDDOWN((J660-M660)*設定!$C$15/1000,0)</f>
        <v>0</v>
      </c>
      <c r="BR660" s="31" t="n">
        <f aca="false">O660+P660</f>
        <v>0</v>
      </c>
      <c r="BS660" s="31" t="n">
        <f aca="false">T660+U660+V660</f>
        <v>0</v>
      </c>
      <c r="BT660" s="31" t="n">
        <f aca="false">Q660</f>
        <v>0</v>
      </c>
      <c r="BU660" s="31" t="n">
        <f aca="false">W660</f>
        <v>0</v>
      </c>
      <c r="BV660" s="31" t="n">
        <f aca="false">R660</f>
        <v>0</v>
      </c>
      <c r="BW660" s="31" t="n">
        <f aca="false">X660</f>
        <v>0</v>
      </c>
      <c r="BX660" s="31" t="n">
        <f aca="false">S660</f>
        <v>0</v>
      </c>
      <c r="BY660" s="31" t="n">
        <f aca="false">Y660</f>
        <v>0</v>
      </c>
      <c r="BZ660" s="32" t="n">
        <f aca="false">IF(BJ660=0,IF(BR660=0,0,1),(BR660-BJ660)/BJ660)</f>
        <v>0</v>
      </c>
      <c r="CA660" s="32" t="n">
        <f aca="false">IF(BK660=0,IF(BS660=0,0,1),(BS660-BK660)/BK660)</f>
        <v>0</v>
      </c>
      <c r="CB660" s="32" t="n">
        <f aca="false">IF(BL660=0,IF(BT660=0,0,1),(BT660-BL660)/BL660)</f>
        <v>0</v>
      </c>
      <c r="CC660" s="32" t="n">
        <f aca="false">IF(BM660=0,IF(BU660=0,0,1),(BU660-BM660)/BM660)</f>
        <v>0</v>
      </c>
      <c r="CD660" s="32" t="n">
        <f aca="false">IF(BN660=0,IF(BV660=0,0,1),(BV660-BN660)/BN660)</f>
        <v>0</v>
      </c>
      <c r="CE660" s="32" t="n">
        <f aca="false">IF(BO660=0,IF(BW660=0,0,1),(BW660-BO660)/BO660)</f>
        <v>0</v>
      </c>
      <c r="CF660" s="32" t="n">
        <f aca="false">IF(BP660=0,IF(BX660=0,0,1),(BX660-BP660)/BP660)</f>
        <v>0</v>
      </c>
      <c r="CG660" s="32" t="n">
        <f aca="false">IF(BQ660=0,IF(BY660=0,0,1),(BY660-BQ660)/BQ660)</f>
        <v>0</v>
      </c>
      <c r="CH660" s="32" t="n">
        <f aca="false">MAX(MAX(BZ660:CG660),-MIN(BZ660:CG660))</f>
        <v>-0</v>
      </c>
      <c r="CI660" s="31" t="n">
        <f aca="false">IF(CO660="","",SUMIFS($CJ$7:$CJ$696,$A$7:$A$696,CO660,$B$7:$B$696,B660))</f>
        <v>90459332</v>
      </c>
      <c r="CJ660" s="31" t="n">
        <f aca="false">SUM(AY660:BI660)</f>
        <v>88344408</v>
      </c>
      <c r="CK660" s="31" t="str">
        <f aca="false">IFERROR(INDEX(設定!$F$61:$F$106,MATCH(B660,設定!$B$61:$B$106,0)),"Y")</f>
        <v>Y</v>
      </c>
      <c r="CL660" s="31" t="str">
        <f aca="false">IFERROR(INDEX(設定!$G$61:$G$106,MATCH(B660,設定!$B$61:$B$106,0)),"外郭型")</f>
        <v>市局型</v>
      </c>
      <c r="CM660" s="33" t="str">
        <f aca="false">A660&amp;"|"&amp;B660</f>
        <v>2027-03 月例|水道局</v>
      </c>
      <c r="CN660" s="34" t="str">
        <f aca="false">IFERROR(INDEX(設定!$D$61:$D$106,MATCH(B660,設定!$B$61:$B$106,0)),"Y")</f>
        <v>N</v>
      </c>
      <c r="CO660" s="34" t="str">
        <f aca="false">IFERROR(INDEX(設定!$D$20:$D$34,MATCH(A660,設定!$A$20:$A$34,0))&amp;"","")</f>
        <v>2027-02 月例</v>
      </c>
    </row>
    <row r="661" customFormat="false" ht="15" hidden="true" customHeight="false" outlineLevel="0" collapsed="false">
      <c r="A661" s="22" t="s">
        <v>230</v>
      </c>
      <c r="B661" s="23" t="s">
        <v>178</v>
      </c>
      <c r="C661" s="10" t="str">
        <f aca="false">IF(G661="","未受領",IF(G661="なし","報告なし",IF(AL661="○","起票済",IF(OR(AK661="○",F661="一致",F661="入金不要"),"入金確認済","受領済"))))</f>
        <v>未受領</v>
      </c>
      <c r="D661" s="10" t="str">
        <f aca="false">IF(OR(G661="",G661="なし"),"―",IF(CN661="N","対象外",IF(AND(I661="",J661="",K661=""),"標報未入力",IF(CH661&gt;=設定!$B$4,"要確認","問題なし"))))</f>
        <v>―</v>
      </c>
      <c r="E661" s="24" t="str">
        <f aca="false">IF(OR(G661="",G661="なし",CI661="",CJ661=0),"―",IF(CJ661=CI661,"前月同額",IF(CI661=0,"―",IF(ABS(CJ661/CI661-1)&gt;=設定!$B$5,"変動大 "&amp;TEXT(CJ661/CI661-1,"+0%;-0%"),"〇"))))</f>
        <v>―</v>
      </c>
      <c r="F661" s="10" t="str">
        <f aca="false">IF(OR(G661="",G661="なし"),"―",IF(CJ661=0,"入金不要",IF(COUNT(AD661,AF661,AH661,AJ661)=0,IF(AK661="○","手動確認","未入金"),IF(AND(N(AD661)=AC661,IF(AE661="",TRUE(),N(AF661)=AE661),IF(AG661="",TRUE(),N(AH661)=AG661),IF(AI661="",TRUE(),N(AJ661)=AI661)),"一致","不一致"))))</f>
        <v>―</v>
      </c>
      <c r="G661" s="25"/>
      <c r="H661" s="26"/>
      <c r="I661" s="27"/>
      <c r="J661" s="27"/>
      <c r="K661" s="27"/>
      <c r="L661" s="27"/>
      <c r="M661" s="27"/>
      <c r="N661" s="27"/>
      <c r="O661" s="27"/>
      <c r="P661" s="27"/>
      <c r="Q661" s="27"/>
      <c r="R661" s="27"/>
      <c r="S661" s="27"/>
      <c r="T661" s="27"/>
      <c r="U661" s="27"/>
      <c r="V661" s="27"/>
      <c r="W661" s="27"/>
      <c r="X661" s="27"/>
      <c r="Y661" s="27"/>
      <c r="Z661" s="27"/>
      <c r="AA661" s="10" t="str">
        <f aca="false">IFERROR(INDEX(設定!$E$61:$E$106,MATCH(B661,設定!$B$61:$B$106,0)),"合算")</f>
        <v>合算</v>
      </c>
      <c r="AB661" s="28"/>
      <c r="AC661" s="29" t="str">
        <f aca="false">IF(OR(G661="",G661="なし"),"",IF(AA661="合算",CJ661+N(Z661),IF(AA661="掛金・負担金別",(AY661+AZ661+BD661+BF661+BH661),SUM(AY661:BC661))))</f>
        <v/>
      </c>
      <c r="AD661" s="27"/>
      <c r="AE661" s="29" t="str">
        <f aca="false">IF(OR(G661="",G661="なし"),"",IF(AA661="掛金・負担金別",(BA661+BB661+BC661+BE661+BG661+BI661+N(Z661)),IF(AA661="経理区分別",BD661+BE661,"")))</f>
        <v/>
      </c>
      <c r="AF661" s="27"/>
      <c r="AG661" s="29" t="str">
        <f aca="false">IF(OR(G661="",G661="なし"),"",IF(AA661="経理区分別",BF661+BG661,""))</f>
        <v/>
      </c>
      <c r="AH661" s="27"/>
      <c r="AI661" s="29" t="str">
        <f aca="false">IF(OR(G661="",G661="なし"),"",IF(AA661="経理区分別",BH661+BI661+N(Z661),""))</f>
        <v/>
      </c>
      <c r="AJ661" s="27"/>
      <c r="AK661" s="26"/>
      <c r="AL661" s="26"/>
      <c r="AM661" s="30"/>
      <c r="AN661" s="31" t="n">
        <v>48495</v>
      </c>
      <c r="AO661" s="31" t="n">
        <v>3975</v>
      </c>
      <c r="AP661" s="31" t="n">
        <v>70490</v>
      </c>
      <c r="AQ661" s="31" t="n">
        <v>3975</v>
      </c>
      <c r="AR661" s="31" t="n">
        <v>49</v>
      </c>
      <c r="AS661" s="31" t="n">
        <v>29155</v>
      </c>
      <c r="AT661" s="31" t="n">
        <v>29669</v>
      </c>
      <c r="AU661" s="31" t="n">
        <v>4187</v>
      </c>
      <c r="AV661" s="31" t="n">
        <v>4187</v>
      </c>
      <c r="AW661" s="31" t="n">
        <v>1</v>
      </c>
      <c r="AX661" s="31" t="n">
        <v>1</v>
      </c>
      <c r="AY661" s="31" t="n">
        <f aca="false">IF($G661="",AN661,O661)</f>
        <v>48495</v>
      </c>
      <c r="AZ661" s="31" t="n">
        <f aca="false">IF($G661="",AO661,P661)</f>
        <v>3975</v>
      </c>
      <c r="BA661" s="31" t="n">
        <f aca="false">IF($G661="",AP661,T661)</f>
        <v>70490</v>
      </c>
      <c r="BB661" s="31" t="n">
        <f aca="false">IF($G661="",AQ661,U661)</f>
        <v>3975</v>
      </c>
      <c r="BC661" s="31" t="n">
        <f aca="false">IF($G661="",AR661,V661)</f>
        <v>49</v>
      </c>
      <c r="BD661" s="31" t="n">
        <f aca="false">IF($G661="",AS661,Q661)</f>
        <v>29155</v>
      </c>
      <c r="BE661" s="31" t="n">
        <f aca="false">IF($G661="",AT661,W661)</f>
        <v>29669</v>
      </c>
      <c r="BF661" s="31" t="n">
        <f aca="false">IF($G661="",AU661,R661)</f>
        <v>4187</v>
      </c>
      <c r="BG661" s="31" t="n">
        <f aca="false">IF($G661="",AV661,X661)</f>
        <v>4187</v>
      </c>
      <c r="BH661" s="31" t="n">
        <f aca="false">IF($G661="",AW661,S661)</f>
        <v>1</v>
      </c>
      <c r="BI661" s="31" t="n">
        <f aca="false">IF($G661="",AX661,Y661)</f>
        <v>1</v>
      </c>
      <c r="BJ661" s="31" t="n">
        <f aca="false">IF(CK661="N",BR661,ROUNDDOWN((I661-L661)*設定!$B$10/1000,0)+ROUNDDOWN((I661-L661)*設定!$B$11/1000,0))</f>
        <v>0</v>
      </c>
      <c r="BK661" s="31" t="n">
        <f aca="false">ROUNDDOWN((I661-L661)*設定!$C$10/1000,0)+ROUNDDOWN((I661-L661)*設定!$C$11/1000,0)+ROUNDDOWN(I661*設定!$C$12/1000,0)+IF(CL661="市局型",ROUNDDOWN(I661*設定!$C$16/1000,0),0)</f>
        <v>0</v>
      </c>
      <c r="BL661" s="31" t="n">
        <f aca="false">IF(CK661="N",BT661,ROUNDDOWN((J661-M661)*設定!$B$13/1000,0))</f>
        <v>0</v>
      </c>
      <c r="BM661" s="31" t="n">
        <f aca="false">ROUNDDOWN((J661-M661)*設定!$C$13/1000,0)+IF(CL661="市局型",ROUNDDOWN(J661*設定!$C$17/1000,0),0)</f>
        <v>0</v>
      </c>
      <c r="BN661" s="31" t="n">
        <f aca="false">IF(CK661="N",BV661,ROUNDDOWN((K661-N661)*設定!$B$14/1000,0))</f>
        <v>0</v>
      </c>
      <c r="BO661" s="31" t="n">
        <f aca="false">ROUNDDOWN((K661-N661)*設定!$C$14/1000,0)</f>
        <v>0</v>
      </c>
      <c r="BP661" s="31" t="n">
        <f aca="false">IF(CK661="N",BX661,ROUNDDOWN((J661-M661)*設定!$B$15/1000,0))</f>
        <v>0</v>
      </c>
      <c r="BQ661" s="31" t="n">
        <f aca="false">ROUNDDOWN((J661-M661)*設定!$C$15/1000,0)</f>
        <v>0</v>
      </c>
      <c r="BR661" s="31" t="n">
        <f aca="false">O661+P661</f>
        <v>0</v>
      </c>
      <c r="BS661" s="31" t="n">
        <f aca="false">T661+U661+V661</f>
        <v>0</v>
      </c>
      <c r="BT661" s="31" t="n">
        <f aca="false">Q661</f>
        <v>0</v>
      </c>
      <c r="BU661" s="31" t="n">
        <f aca="false">W661</f>
        <v>0</v>
      </c>
      <c r="BV661" s="31" t="n">
        <f aca="false">R661</f>
        <v>0</v>
      </c>
      <c r="BW661" s="31" t="n">
        <f aca="false">X661</f>
        <v>0</v>
      </c>
      <c r="BX661" s="31" t="n">
        <f aca="false">S661</f>
        <v>0</v>
      </c>
      <c r="BY661" s="31" t="n">
        <f aca="false">Y661</f>
        <v>0</v>
      </c>
      <c r="BZ661" s="32" t="n">
        <f aca="false">IF(BJ661=0,IF(BR661=0,0,1),(BR661-BJ661)/BJ661)</f>
        <v>0</v>
      </c>
      <c r="CA661" s="32" t="n">
        <f aca="false">IF(BK661=0,IF(BS661=0,0,1),(BS661-BK661)/BK661)</f>
        <v>0</v>
      </c>
      <c r="CB661" s="32" t="n">
        <f aca="false">IF(BL661=0,IF(BT661=0,0,1),(BT661-BL661)/BL661)</f>
        <v>0</v>
      </c>
      <c r="CC661" s="32" t="n">
        <f aca="false">IF(BM661=0,IF(BU661=0,0,1),(BU661-BM661)/BM661)</f>
        <v>0</v>
      </c>
      <c r="CD661" s="32" t="n">
        <f aca="false">IF(BN661=0,IF(BV661=0,0,1),(BV661-BN661)/BN661)</f>
        <v>0</v>
      </c>
      <c r="CE661" s="32" t="n">
        <f aca="false">IF(BO661=0,IF(BW661=0,0,1),(BW661-BO661)/BO661)</f>
        <v>0</v>
      </c>
      <c r="CF661" s="32" t="n">
        <f aca="false">IF(BP661=0,IF(BX661=0,0,1),(BX661-BP661)/BP661)</f>
        <v>0</v>
      </c>
      <c r="CG661" s="32" t="n">
        <f aca="false">IF(BQ661=0,IF(BY661=0,0,1),(BY661-BQ661)/BQ661)</f>
        <v>0</v>
      </c>
      <c r="CH661" s="32" t="n">
        <f aca="false">MAX(MAX(BZ661:CG661),-MIN(BZ661:CG661))</f>
        <v>-0</v>
      </c>
      <c r="CI661" s="31" t="n">
        <f aca="false">IF(CO661="","",SUMIFS($CJ$7:$CJ$696,$A$7:$A$696,CO661,$B$7:$B$696,B661))</f>
        <v>194184</v>
      </c>
      <c r="CJ661" s="31" t="n">
        <f aca="false">SUM(AY661:BI661)</f>
        <v>194184</v>
      </c>
      <c r="CK661" s="31" t="str">
        <f aca="false">IFERROR(INDEX(設定!$F$61:$F$106,MATCH(B661,設定!$B$61:$B$106,0)),"Y")</f>
        <v>Y</v>
      </c>
      <c r="CL661" s="31" t="str">
        <f aca="false">IFERROR(INDEX(設定!$G$61:$G$106,MATCH(B661,設定!$B$61:$B$106,0)),"外郭型")</f>
        <v>市局型</v>
      </c>
      <c r="CM661" s="33" t="str">
        <f aca="false">A661&amp;"|"&amp;B661</f>
        <v>2027-03 月例|医療政策課(安芸市民)</v>
      </c>
      <c r="CN661" s="34" t="str">
        <f aca="false">IFERROR(INDEX(設定!$D$61:$D$106,MATCH(B661,設定!$B$61:$B$106,0)),"Y")</f>
        <v>Y</v>
      </c>
      <c r="CO661" s="34" t="str">
        <f aca="false">IFERROR(INDEX(設定!$D$20:$D$34,MATCH(A661,設定!$A$20:$A$34,0))&amp;"","")</f>
        <v>2027-02 月例</v>
      </c>
    </row>
    <row r="662" customFormat="false" ht="15" hidden="true" customHeight="false" outlineLevel="0" collapsed="false">
      <c r="A662" s="22" t="s">
        <v>230</v>
      </c>
      <c r="B662" s="23" t="s">
        <v>179</v>
      </c>
      <c r="C662" s="10" t="str">
        <f aca="false">IF(G662="","未受領",IF(G662="なし","報告なし",IF(AL662="○","起票済",IF(OR(AK662="○",F662="一致",F662="入金不要"),"入金確認済","受領済"))))</f>
        <v>未受領</v>
      </c>
      <c r="D662" s="10" t="str">
        <f aca="false">IF(OR(G662="",G662="なし"),"―",IF(CN662="N","対象外",IF(AND(I662="",J662="",K662=""),"標報未入力",IF(CH662&gt;=設定!$B$4,"要確認","問題なし"))))</f>
        <v>―</v>
      </c>
      <c r="E662" s="24" t="str">
        <f aca="false">IF(OR(G662="",G662="なし",CI662="",CJ662=0),"―",IF(CJ662=CI662,"前月同額",IF(CI662=0,"―",IF(ABS(CJ662/CI662-1)&gt;=設定!$B$5,"変動大 "&amp;TEXT(CJ662/CI662-1,"+0%;-0%"),"〇"))))</f>
        <v>―</v>
      </c>
      <c r="F662" s="10" t="str">
        <f aca="false">IF(OR(G662="",G662="なし"),"―",IF(CJ662=0,"入金不要",IF(COUNT(AD662,AF662,AH662,AJ662)=0,IF(AK662="○","手動確認","未入金"),IF(AND(N(AD662)=AC662,IF(AE662="",TRUE(),N(AF662)=AE662),IF(AG662="",TRUE(),N(AH662)=AG662),IF(AI662="",TRUE(),N(AJ662)=AI662)),"一致","不一致"))))</f>
        <v>―</v>
      </c>
      <c r="G662" s="25"/>
      <c r="H662" s="26"/>
      <c r="I662" s="27"/>
      <c r="J662" s="27"/>
      <c r="K662" s="27"/>
      <c r="L662" s="27"/>
      <c r="M662" s="27"/>
      <c r="N662" s="27"/>
      <c r="O662" s="27"/>
      <c r="P662" s="27"/>
      <c r="Q662" s="27"/>
      <c r="R662" s="27"/>
      <c r="S662" s="27"/>
      <c r="T662" s="27"/>
      <c r="U662" s="27"/>
      <c r="V662" s="27"/>
      <c r="W662" s="27"/>
      <c r="X662" s="27"/>
      <c r="Y662" s="27"/>
      <c r="Z662" s="27"/>
      <c r="AA662" s="10" t="str">
        <f aca="false">IFERROR(INDEX(設定!$E$61:$E$106,MATCH(B662,設定!$B$61:$B$106,0)),"合算")</f>
        <v>合算</v>
      </c>
      <c r="AB662" s="28"/>
      <c r="AC662" s="29" t="str">
        <f aca="false">IF(OR(G662="",G662="なし"),"",IF(AA662="合算",CJ662+N(Z662),IF(AA662="掛金・負担金別",(AY662+AZ662+BD662+BF662+BH662),SUM(AY662:BC662))))</f>
        <v/>
      </c>
      <c r="AD662" s="27"/>
      <c r="AE662" s="29" t="str">
        <f aca="false">IF(OR(G662="",G662="なし"),"",IF(AA662="掛金・負担金別",(BA662+BB662+BC662+BE662+BG662+BI662+N(Z662)),IF(AA662="経理区分別",BD662+BE662,"")))</f>
        <v/>
      </c>
      <c r="AF662" s="27"/>
      <c r="AG662" s="29" t="str">
        <f aca="false">IF(OR(G662="",G662="なし"),"",IF(AA662="経理区分別",BF662+BG662,""))</f>
        <v/>
      </c>
      <c r="AH662" s="27"/>
      <c r="AI662" s="29" t="str">
        <f aca="false">IF(OR(G662="",G662="なし"),"",IF(AA662="経理区分別",BH662+BI662+N(Z662),""))</f>
        <v/>
      </c>
      <c r="AJ662" s="27"/>
      <c r="AK662" s="26"/>
      <c r="AL662" s="26"/>
      <c r="AM662" s="30"/>
      <c r="AN662" s="31" t="n">
        <v>0</v>
      </c>
      <c r="AO662" s="31" t="n">
        <v>0</v>
      </c>
      <c r="AP662" s="31"/>
      <c r="AQ662" s="31"/>
      <c r="AR662" s="31" t="n">
        <v>0</v>
      </c>
      <c r="AS662" s="31" t="n">
        <v>132568</v>
      </c>
      <c r="AT662" s="31" t="n">
        <v>134598</v>
      </c>
      <c r="AU662" s="31" t="n">
        <v>9156</v>
      </c>
      <c r="AV662" s="31" t="n">
        <v>9156</v>
      </c>
      <c r="AW662" s="31" t="n">
        <v>1</v>
      </c>
      <c r="AX662" s="31" t="n">
        <v>1</v>
      </c>
      <c r="AY662" s="31" t="n">
        <f aca="false">IF($G662="",AN662,O662)</f>
        <v>0</v>
      </c>
      <c r="AZ662" s="31" t="n">
        <f aca="false">IF($G662="",AO662,P662)</f>
        <v>0</v>
      </c>
      <c r="BA662" s="31" t="n">
        <f aca="false">IF($G662="",AP662,T662)</f>
        <v>0</v>
      </c>
      <c r="BB662" s="31" t="n">
        <f aca="false">IF($G662="",AQ662,U662)</f>
        <v>0</v>
      </c>
      <c r="BC662" s="31" t="n">
        <f aca="false">IF($G662="",AR662,V662)</f>
        <v>0</v>
      </c>
      <c r="BD662" s="31" t="n">
        <f aca="false">IF($G662="",AS662,Q662)</f>
        <v>132568</v>
      </c>
      <c r="BE662" s="31" t="n">
        <f aca="false">IF($G662="",AT662,W662)</f>
        <v>134598</v>
      </c>
      <c r="BF662" s="31" t="n">
        <f aca="false">IF($G662="",AU662,R662)</f>
        <v>9156</v>
      </c>
      <c r="BG662" s="31" t="n">
        <f aca="false">IF($G662="",AV662,X662)</f>
        <v>9156</v>
      </c>
      <c r="BH662" s="31" t="n">
        <f aca="false">IF($G662="",AW662,S662)</f>
        <v>1</v>
      </c>
      <c r="BI662" s="31" t="n">
        <f aca="false">IF($G662="",AX662,Y662)</f>
        <v>1</v>
      </c>
      <c r="BJ662" s="31" t="n">
        <f aca="false">IF(CK662="N",BR662,ROUNDDOWN((I662-L662)*設定!$B$10/1000,0)+ROUNDDOWN((I662-L662)*設定!$B$11/1000,0))</f>
        <v>0</v>
      </c>
      <c r="BK662" s="31" t="n">
        <f aca="false">ROUNDDOWN((I662-L662)*設定!$C$10/1000,0)+ROUNDDOWN((I662-L662)*設定!$C$11/1000,0)+ROUNDDOWN(I662*設定!$C$12/1000,0)+IF(CL662="市局型",ROUNDDOWN(I662*設定!$C$16/1000,0),0)</f>
        <v>0</v>
      </c>
      <c r="BL662" s="31" t="n">
        <f aca="false">IF(CK662="N",BT662,ROUNDDOWN((J662-M662)*設定!$B$13/1000,0))</f>
        <v>0</v>
      </c>
      <c r="BM662" s="31" t="n">
        <f aca="false">ROUNDDOWN((J662-M662)*設定!$C$13/1000,0)+IF(CL662="市局型",ROUNDDOWN(J662*設定!$C$17/1000,0),0)</f>
        <v>0</v>
      </c>
      <c r="BN662" s="31" t="n">
        <f aca="false">IF(CK662="N",BV662,ROUNDDOWN((K662-N662)*設定!$B$14/1000,0))</f>
        <v>0</v>
      </c>
      <c r="BO662" s="31" t="n">
        <f aca="false">ROUNDDOWN((K662-N662)*設定!$C$14/1000,0)</f>
        <v>0</v>
      </c>
      <c r="BP662" s="31" t="n">
        <f aca="false">IF(CK662="N",BX662,ROUNDDOWN((J662-M662)*設定!$B$15/1000,0))</f>
        <v>0</v>
      </c>
      <c r="BQ662" s="31" t="n">
        <f aca="false">ROUNDDOWN((J662-M662)*設定!$C$15/1000,0)</f>
        <v>0</v>
      </c>
      <c r="BR662" s="31" t="n">
        <f aca="false">O662+P662</f>
        <v>0</v>
      </c>
      <c r="BS662" s="31" t="n">
        <f aca="false">T662+U662+V662</f>
        <v>0</v>
      </c>
      <c r="BT662" s="31" t="n">
        <f aca="false">Q662</f>
        <v>0</v>
      </c>
      <c r="BU662" s="31" t="n">
        <f aca="false">W662</f>
        <v>0</v>
      </c>
      <c r="BV662" s="31" t="n">
        <f aca="false">R662</f>
        <v>0</v>
      </c>
      <c r="BW662" s="31" t="n">
        <f aca="false">X662</f>
        <v>0</v>
      </c>
      <c r="BX662" s="31" t="n">
        <f aca="false">S662</f>
        <v>0</v>
      </c>
      <c r="BY662" s="31" t="n">
        <f aca="false">Y662</f>
        <v>0</v>
      </c>
      <c r="BZ662" s="32" t="n">
        <f aca="false">IF(BJ662=0,IF(BR662=0,0,1),(BR662-BJ662)/BJ662)</f>
        <v>0</v>
      </c>
      <c r="CA662" s="32" t="n">
        <f aca="false">IF(BK662=0,IF(BS662=0,0,1),(BS662-BK662)/BK662)</f>
        <v>0</v>
      </c>
      <c r="CB662" s="32" t="n">
        <f aca="false">IF(BL662=0,IF(BT662=0,0,1),(BT662-BL662)/BL662)</f>
        <v>0</v>
      </c>
      <c r="CC662" s="32" t="n">
        <f aca="false">IF(BM662=0,IF(BU662=0,0,1),(BU662-BM662)/BM662)</f>
        <v>0</v>
      </c>
      <c r="CD662" s="32" t="n">
        <f aca="false">IF(BN662=0,IF(BV662=0,0,1),(BV662-BN662)/BN662)</f>
        <v>0</v>
      </c>
      <c r="CE662" s="32" t="n">
        <f aca="false">IF(BO662=0,IF(BW662=0,0,1),(BW662-BO662)/BO662)</f>
        <v>0</v>
      </c>
      <c r="CF662" s="32" t="n">
        <f aca="false">IF(BP662=0,IF(BX662=0,0,1),(BX662-BP662)/BP662)</f>
        <v>0</v>
      </c>
      <c r="CG662" s="32" t="n">
        <f aca="false">IF(BQ662=0,IF(BY662=0,0,1),(BY662-BQ662)/BQ662)</f>
        <v>0</v>
      </c>
      <c r="CH662" s="32" t="n">
        <f aca="false">MAX(MAX(BZ662:CG662),-MIN(BZ662:CG662))</f>
        <v>-0</v>
      </c>
      <c r="CI662" s="31" t="n">
        <f aca="false">IF(CO662="","",SUMIFS($CJ$7:$CJ$696,$A$7:$A$696,CO662,$B$7:$B$696,B662))</f>
        <v>517418</v>
      </c>
      <c r="CJ662" s="31" t="n">
        <f aca="false">SUM(AY662:BI662)</f>
        <v>285480</v>
      </c>
      <c r="CK662" s="31" t="str">
        <f aca="false">IFERROR(INDEX(設定!$F$61:$F$106,MATCH(B662,設定!$B$61:$B$106,0)),"Y")</f>
        <v>Y</v>
      </c>
      <c r="CL662" s="31" t="str">
        <f aca="false">IFERROR(INDEX(設定!$G$61:$G$106,MATCH(B662,設定!$B$61:$B$106,0)),"外郭型")</f>
        <v>市局型</v>
      </c>
      <c r="CM662" s="33" t="str">
        <f aca="false">A662&amp;"|"&amp;B662</f>
        <v>2027-03 月例|教育委員会（教育給与課）</v>
      </c>
      <c r="CN662" s="34" t="str">
        <f aca="false">IFERROR(INDEX(設定!$D$61:$D$106,MATCH(B662,設定!$B$61:$B$106,0)),"Y")</f>
        <v>Y</v>
      </c>
      <c r="CO662" s="34" t="str">
        <f aca="false">IFERROR(INDEX(設定!$D$20:$D$34,MATCH(A662,設定!$A$20:$A$34,0))&amp;"","")</f>
        <v>2027-02 月例</v>
      </c>
    </row>
    <row r="663" customFormat="false" ht="15" hidden="true" customHeight="false" outlineLevel="0" collapsed="false">
      <c r="A663" s="22" t="s">
        <v>230</v>
      </c>
      <c r="B663" s="23" t="s">
        <v>180</v>
      </c>
      <c r="C663" s="10" t="str">
        <f aca="false">IF(G663="","未受領",IF(G663="なし","報告なし",IF(AL663="○","起票済",IF(OR(AK663="○",F663="一致",F663="入金不要"),"入金確認済","受領済"))))</f>
        <v>報告なし</v>
      </c>
      <c r="D663" s="10" t="str">
        <f aca="false">IF(OR(G663="",G663="なし"),"―",IF(CN663="N","対象外",IF(AND(I663="",J663="",K663=""),"標報未入力",IF(CH663&gt;=設定!$B$4,"要確認","問題なし"))))</f>
        <v>―</v>
      </c>
      <c r="E663" s="24" t="str">
        <f aca="false">IF(OR(G663="",G663="なし",CI663="",CJ663=0),"―",IF(CJ663=CI663,"前月同額",IF(CI663=0,"―",IF(ABS(CJ663/CI663-1)&gt;=設定!$B$5,"変動大 "&amp;TEXT(CJ663/CI663-1,"+0%;-0%"),"〇"))))</f>
        <v>―</v>
      </c>
      <c r="F663" s="10" t="str">
        <f aca="false">IF(OR(G663="",G663="なし"),"―",IF(CJ663=0,"入金不要",IF(COUNT(AD663,AF663,AH663,AJ663)=0,IF(AK663="○","手動確認","未入金"),IF(AND(N(AD663)=AC663,IF(AE663="",TRUE(),N(AF663)=AE663),IF(AG663="",TRUE(),N(AH663)=AG663),IF(AI663="",TRUE(),N(AJ663)=AI663)),"一致","不一致"))))</f>
        <v>―</v>
      </c>
      <c r="G663" s="25" t="s">
        <v>181</v>
      </c>
      <c r="H663" s="26"/>
      <c r="I663" s="27"/>
      <c r="J663" s="27"/>
      <c r="K663" s="27"/>
      <c r="L663" s="27"/>
      <c r="M663" s="27"/>
      <c r="N663" s="27"/>
      <c r="O663" s="27"/>
      <c r="P663" s="27"/>
      <c r="Q663" s="27"/>
      <c r="R663" s="27"/>
      <c r="S663" s="27"/>
      <c r="T663" s="27"/>
      <c r="U663" s="27"/>
      <c r="V663" s="27"/>
      <c r="W663" s="27"/>
      <c r="X663" s="27"/>
      <c r="Y663" s="27"/>
      <c r="Z663" s="27"/>
      <c r="AA663" s="10" t="str">
        <f aca="false">IFERROR(INDEX(設定!$E$61:$E$106,MATCH(B663,設定!$B$61:$B$106,0)),"合算")</f>
        <v>合算</v>
      </c>
      <c r="AB663" s="28"/>
      <c r="AC663" s="29" t="str">
        <f aca="false">IF(OR(G663="",G663="なし"),"",IF(AA663="合算",CJ663+N(Z663),IF(AA663="掛金・負担金別",(AY663+AZ663+BD663+BF663+BH663),SUM(AY663:BC663))))</f>
        <v/>
      </c>
      <c r="AD663" s="27"/>
      <c r="AE663" s="29" t="str">
        <f aca="false">IF(OR(G663="",G663="なし"),"",IF(AA663="掛金・負担金別",(BA663+BB663+BC663+BE663+BG663+BI663+N(Z663)),IF(AA663="経理区分別",BD663+BE663,"")))</f>
        <v/>
      </c>
      <c r="AF663" s="27"/>
      <c r="AG663" s="29" t="str">
        <f aca="false">IF(OR(G663="",G663="なし"),"",IF(AA663="経理区分別",BF663+BG663,""))</f>
        <v/>
      </c>
      <c r="AH663" s="27"/>
      <c r="AI663" s="29" t="str">
        <f aca="false">IF(OR(G663="",G663="なし"),"",IF(AA663="経理区分別",BH663+BI663+N(Z663),""))</f>
        <v/>
      </c>
      <c r="AJ663" s="27"/>
      <c r="AK663" s="26"/>
      <c r="AL663" s="26"/>
      <c r="AM663" s="30"/>
      <c r="AN663" s="31"/>
      <c r="AO663" s="31"/>
      <c r="AP663" s="31"/>
      <c r="AQ663" s="31"/>
      <c r="AR663" s="31"/>
      <c r="AS663" s="31"/>
      <c r="AT663" s="31"/>
      <c r="AU663" s="31"/>
      <c r="AV663" s="31"/>
      <c r="AW663" s="31"/>
      <c r="AX663" s="31"/>
      <c r="AY663" s="31" t="n">
        <f aca="false">IF($G663="",AN663,O663)</f>
        <v>0</v>
      </c>
      <c r="AZ663" s="31" t="n">
        <f aca="false">IF($G663="",AO663,P663)</f>
        <v>0</v>
      </c>
      <c r="BA663" s="31" t="n">
        <f aca="false">IF($G663="",AP663,T663)</f>
        <v>0</v>
      </c>
      <c r="BB663" s="31" t="n">
        <f aca="false">IF($G663="",AQ663,U663)</f>
        <v>0</v>
      </c>
      <c r="BC663" s="31" t="n">
        <f aca="false">IF($G663="",AR663,V663)</f>
        <v>0</v>
      </c>
      <c r="BD663" s="31" t="n">
        <f aca="false">IF($G663="",AS663,Q663)</f>
        <v>0</v>
      </c>
      <c r="BE663" s="31" t="n">
        <f aca="false">IF($G663="",AT663,W663)</f>
        <v>0</v>
      </c>
      <c r="BF663" s="31" t="n">
        <f aca="false">IF($G663="",AU663,R663)</f>
        <v>0</v>
      </c>
      <c r="BG663" s="31" t="n">
        <f aca="false">IF($G663="",AV663,X663)</f>
        <v>0</v>
      </c>
      <c r="BH663" s="31" t="n">
        <f aca="false">IF($G663="",AW663,S663)</f>
        <v>0</v>
      </c>
      <c r="BI663" s="31" t="n">
        <f aca="false">IF($G663="",AX663,Y663)</f>
        <v>0</v>
      </c>
      <c r="BJ663" s="31" t="n">
        <f aca="false">IF(CK663="N",BR663,ROUNDDOWN((I663-L663)*設定!$B$10/1000,0)+ROUNDDOWN((I663-L663)*設定!$B$11/1000,0))</f>
        <v>0</v>
      </c>
      <c r="BK663" s="31" t="n">
        <f aca="false">ROUNDDOWN((I663-L663)*設定!$C$10/1000,0)+ROUNDDOWN((I663-L663)*設定!$C$11/1000,0)+ROUNDDOWN(I663*設定!$C$12/1000,0)+IF(CL663="市局型",ROUNDDOWN(I663*設定!$C$16/1000,0),0)</f>
        <v>0</v>
      </c>
      <c r="BL663" s="31" t="n">
        <f aca="false">IF(CK663="N",BT663,ROUNDDOWN((J663-M663)*設定!$B$13/1000,0))</f>
        <v>0</v>
      </c>
      <c r="BM663" s="31" t="n">
        <f aca="false">ROUNDDOWN((J663-M663)*設定!$C$13/1000,0)+IF(CL663="市局型",ROUNDDOWN(J663*設定!$C$17/1000,0),0)</f>
        <v>0</v>
      </c>
      <c r="BN663" s="31" t="n">
        <f aca="false">IF(CK663="N",BV663,ROUNDDOWN((K663-N663)*設定!$B$14/1000,0))</f>
        <v>0</v>
      </c>
      <c r="BO663" s="31" t="n">
        <f aca="false">ROUNDDOWN((K663-N663)*設定!$C$14/1000,0)</f>
        <v>0</v>
      </c>
      <c r="BP663" s="31" t="n">
        <f aca="false">IF(CK663="N",BX663,ROUNDDOWN((J663-M663)*設定!$B$15/1000,0))</f>
        <v>0</v>
      </c>
      <c r="BQ663" s="31" t="n">
        <f aca="false">ROUNDDOWN((J663-M663)*設定!$C$15/1000,0)</f>
        <v>0</v>
      </c>
      <c r="BR663" s="31" t="n">
        <f aca="false">O663+P663</f>
        <v>0</v>
      </c>
      <c r="BS663" s="31" t="n">
        <f aca="false">T663+U663+V663</f>
        <v>0</v>
      </c>
      <c r="BT663" s="31" t="n">
        <f aca="false">Q663</f>
        <v>0</v>
      </c>
      <c r="BU663" s="31" t="n">
        <f aca="false">W663</f>
        <v>0</v>
      </c>
      <c r="BV663" s="31" t="n">
        <f aca="false">R663</f>
        <v>0</v>
      </c>
      <c r="BW663" s="31" t="n">
        <f aca="false">X663</f>
        <v>0</v>
      </c>
      <c r="BX663" s="31" t="n">
        <f aca="false">S663</f>
        <v>0</v>
      </c>
      <c r="BY663" s="31" t="n">
        <f aca="false">Y663</f>
        <v>0</v>
      </c>
      <c r="BZ663" s="32" t="n">
        <f aca="false">IF(BJ663=0,IF(BR663=0,0,1),(BR663-BJ663)/BJ663)</f>
        <v>0</v>
      </c>
      <c r="CA663" s="32" t="n">
        <f aca="false">IF(BK663=0,IF(BS663=0,0,1),(BS663-BK663)/BK663)</f>
        <v>0</v>
      </c>
      <c r="CB663" s="32" t="n">
        <f aca="false">IF(BL663=0,IF(BT663=0,0,1),(BT663-BL663)/BL663)</f>
        <v>0</v>
      </c>
      <c r="CC663" s="32" t="n">
        <f aca="false">IF(BM663=0,IF(BU663=0,0,1),(BU663-BM663)/BM663)</f>
        <v>0</v>
      </c>
      <c r="CD663" s="32" t="n">
        <f aca="false">IF(BN663=0,IF(BV663=0,0,1),(BV663-BN663)/BN663)</f>
        <v>0</v>
      </c>
      <c r="CE663" s="32" t="n">
        <f aca="false">IF(BO663=0,IF(BW663=0,0,1),(BW663-BO663)/BO663)</f>
        <v>0</v>
      </c>
      <c r="CF663" s="32" t="n">
        <f aca="false">IF(BP663=0,IF(BX663=0,0,1),(BX663-BP663)/BP663)</f>
        <v>0</v>
      </c>
      <c r="CG663" s="32" t="n">
        <f aca="false">IF(BQ663=0,IF(BY663=0,0,1),(BY663-BQ663)/BQ663)</f>
        <v>0</v>
      </c>
      <c r="CH663" s="32" t="n">
        <f aca="false">MAX(MAX(BZ663:CG663),-MIN(BZ663:CG663))</f>
        <v>-0</v>
      </c>
      <c r="CI663" s="31" t="n">
        <f aca="false">IF(CO663="","",SUMIFS($CJ$7:$CJ$696,$A$7:$A$696,CO663,$B$7:$B$696,B663))</f>
        <v>0</v>
      </c>
      <c r="CJ663" s="31" t="n">
        <f aca="false">SUM(AY663:BI663)</f>
        <v>0</v>
      </c>
      <c r="CK663" s="31" t="str">
        <f aca="false">IFERROR(INDEX(設定!$F$61:$F$106,MATCH(B663,設定!$B$61:$B$106,0)),"Y")</f>
        <v>N</v>
      </c>
      <c r="CL663" s="31" t="str">
        <f aca="false">IFERROR(INDEX(設定!$G$61:$G$106,MATCH(B663,設定!$B$61:$B$106,0)),"外郭型")</f>
        <v>外郭型</v>
      </c>
      <c r="CM663" s="33" t="str">
        <f aca="false">A663&amp;"|"&amp;B663</f>
        <v>2027-03 月例|地方税共同機構</v>
      </c>
      <c r="CN663" s="34" t="str">
        <f aca="false">IFERROR(INDEX(設定!$D$61:$D$106,MATCH(B663,設定!$B$61:$B$106,0)),"Y")</f>
        <v>Y</v>
      </c>
      <c r="CO663" s="34" t="str">
        <f aca="false">IFERROR(INDEX(設定!$D$20:$D$34,MATCH(A663,設定!$A$20:$A$34,0))&amp;"","")</f>
        <v>2027-02 月例</v>
      </c>
    </row>
    <row r="664" customFormat="false" ht="15" hidden="true" customHeight="false" outlineLevel="0" collapsed="false">
      <c r="A664" s="22" t="s">
        <v>230</v>
      </c>
      <c r="B664" s="23" t="s">
        <v>182</v>
      </c>
      <c r="C664" s="10" t="str">
        <f aca="false">IF(G664="","未受領",IF(G664="なし","報告なし",IF(AL664="○","起票済",IF(OR(AK664="○",F664="一致",F664="入金不要"),"入金確認済","受領済"))))</f>
        <v>未受領</v>
      </c>
      <c r="D664" s="10" t="str">
        <f aca="false">IF(OR(G664="",G664="なし"),"―",IF(CN664="N","対象外",IF(AND(I664="",J664="",K664=""),"標報未入力",IF(CH664&gt;=設定!$B$4,"要確認","問題なし"))))</f>
        <v>―</v>
      </c>
      <c r="E664" s="24" t="str">
        <f aca="false">IF(OR(G664="",G664="なし",CI664="",CJ664=0),"―",IF(CJ664=CI664,"前月同額",IF(CI664=0,"―",IF(ABS(CJ664/CI664-1)&gt;=設定!$B$5,"変動大 "&amp;TEXT(CJ664/CI664-1,"+0%;-0%"),"〇"))))</f>
        <v>―</v>
      </c>
      <c r="F664" s="10" t="str">
        <f aca="false">IF(OR(G664="",G664="なし"),"―",IF(CJ664=0,"入金不要",IF(COUNT(AD664,AF664,AH664,AJ664)=0,IF(AK664="○","手動確認","未入金"),IF(AND(N(AD664)=AC664,IF(AE664="",TRUE(),N(AF664)=AE664),IF(AG664="",TRUE(),N(AH664)=AG664),IF(AI664="",TRUE(),N(AJ664)=AI664)),"一致","不一致"))))</f>
        <v>―</v>
      </c>
      <c r="G664" s="25"/>
      <c r="H664" s="26"/>
      <c r="I664" s="27"/>
      <c r="J664" s="27"/>
      <c r="K664" s="27"/>
      <c r="L664" s="27"/>
      <c r="M664" s="27"/>
      <c r="N664" s="27"/>
      <c r="O664" s="27"/>
      <c r="P664" s="27"/>
      <c r="Q664" s="27"/>
      <c r="R664" s="27"/>
      <c r="S664" s="27"/>
      <c r="T664" s="27"/>
      <c r="U664" s="27"/>
      <c r="V664" s="27"/>
      <c r="W664" s="27"/>
      <c r="X664" s="27"/>
      <c r="Y664" s="27"/>
      <c r="Z664" s="27"/>
      <c r="AA664" s="10" t="str">
        <f aca="false">IFERROR(INDEX(設定!$E$61:$E$106,MATCH(B664,設定!$B$61:$B$106,0)),"合算")</f>
        <v>合算</v>
      </c>
      <c r="AB664" s="28"/>
      <c r="AC664" s="29" t="str">
        <f aca="false">IF(OR(G664="",G664="なし"),"",IF(AA664="合算",CJ664+N(Z664),IF(AA664="掛金・負担金別",(AY664+AZ664+BD664+BF664+BH664),SUM(AY664:BC664))))</f>
        <v/>
      </c>
      <c r="AD664" s="27"/>
      <c r="AE664" s="29" t="str">
        <f aca="false">IF(OR(G664="",G664="なし"),"",IF(AA664="掛金・負担金別",(BA664+BB664+BC664+BE664+BG664+BI664+N(Z664)),IF(AA664="経理区分別",BD664+BE664,"")))</f>
        <v/>
      </c>
      <c r="AF664" s="27"/>
      <c r="AG664" s="29" t="str">
        <f aca="false">IF(OR(G664="",G664="なし"),"",IF(AA664="経理区分別",BF664+BG664,""))</f>
        <v/>
      </c>
      <c r="AH664" s="27"/>
      <c r="AI664" s="29" t="str">
        <f aca="false">IF(OR(G664="",G664="なし"),"",IF(AA664="経理区分別",BH664+BI664+N(Z664),""))</f>
        <v/>
      </c>
      <c r="AJ664" s="27"/>
      <c r="AK664" s="26"/>
      <c r="AL664" s="26"/>
      <c r="AM664" s="30"/>
      <c r="AN664" s="31" t="n">
        <v>45750</v>
      </c>
      <c r="AO664" s="31" t="n">
        <v>3750</v>
      </c>
      <c r="AP664" s="31" t="n">
        <v>494100</v>
      </c>
      <c r="AQ664" s="31" t="n">
        <v>40500</v>
      </c>
      <c r="AR664" s="31" t="n">
        <v>545</v>
      </c>
      <c r="AS664" s="31" t="n">
        <v>27505</v>
      </c>
      <c r="AT664" s="31" t="n">
        <v>297625</v>
      </c>
      <c r="AU664" s="31" t="n">
        <v>4200</v>
      </c>
      <c r="AV664" s="31" t="n">
        <v>35112</v>
      </c>
      <c r="AW664" s="31" t="n">
        <v>0</v>
      </c>
      <c r="AX664" s="31" t="n">
        <v>1</v>
      </c>
      <c r="AY664" s="31" t="n">
        <f aca="false">IF($G664="",AN664,O664)</f>
        <v>45750</v>
      </c>
      <c r="AZ664" s="31" t="n">
        <f aca="false">IF($G664="",AO664,P664)</f>
        <v>3750</v>
      </c>
      <c r="BA664" s="31" t="n">
        <f aca="false">IF($G664="",AP664,T664)</f>
        <v>494100</v>
      </c>
      <c r="BB664" s="31" t="n">
        <f aca="false">IF($G664="",AQ664,U664)</f>
        <v>40500</v>
      </c>
      <c r="BC664" s="31" t="n">
        <f aca="false">IF($G664="",AR664,V664)</f>
        <v>545</v>
      </c>
      <c r="BD664" s="31" t="n">
        <f aca="false">IF($G664="",AS664,Q664)</f>
        <v>27505</v>
      </c>
      <c r="BE664" s="31" t="n">
        <f aca="false">IF($G664="",AT664,W664)</f>
        <v>297625</v>
      </c>
      <c r="BF664" s="31" t="n">
        <f aca="false">IF($G664="",AU664,R664)</f>
        <v>4200</v>
      </c>
      <c r="BG664" s="31" t="n">
        <f aca="false">IF($G664="",AV664,X664)</f>
        <v>35112</v>
      </c>
      <c r="BH664" s="31" t="n">
        <f aca="false">IF($G664="",AW664,S664)</f>
        <v>0</v>
      </c>
      <c r="BI664" s="31" t="n">
        <f aca="false">IF($G664="",AX664,Y664)</f>
        <v>1</v>
      </c>
      <c r="BJ664" s="31" t="n">
        <f aca="false">IF(CK664="N",BR664,ROUNDDOWN((I664-L664)*設定!$B$10/1000,0)+ROUNDDOWN((I664-L664)*設定!$B$11/1000,0))</f>
        <v>0</v>
      </c>
      <c r="BK664" s="31" t="n">
        <f aca="false">ROUNDDOWN((I664-L664)*設定!$C$10/1000,0)+ROUNDDOWN((I664-L664)*設定!$C$11/1000,0)+ROUNDDOWN(I664*設定!$C$12/1000,0)+IF(CL664="市局型",ROUNDDOWN(I664*設定!$C$16/1000,0),0)</f>
        <v>0</v>
      </c>
      <c r="BL664" s="31" t="n">
        <f aca="false">IF(CK664="N",BT664,ROUNDDOWN((J664-M664)*設定!$B$13/1000,0))</f>
        <v>0</v>
      </c>
      <c r="BM664" s="31" t="n">
        <f aca="false">ROUNDDOWN((J664-M664)*設定!$C$13/1000,0)+IF(CL664="市局型",ROUNDDOWN(J664*設定!$C$17/1000,0),0)</f>
        <v>0</v>
      </c>
      <c r="BN664" s="31" t="n">
        <f aca="false">IF(CK664="N",BV664,ROUNDDOWN((K664-N664)*設定!$B$14/1000,0))</f>
        <v>0</v>
      </c>
      <c r="BO664" s="31" t="n">
        <f aca="false">ROUNDDOWN((K664-N664)*設定!$C$14/1000,0)</f>
        <v>0</v>
      </c>
      <c r="BP664" s="31" t="n">
        <f aca="false">IF(CK664="N",BX664,ROUNDDOWN((J664-M664)*設定!$B$15/1000,0))</f>
        <v>0</v>
      </c>
      <c r="BQ664" s="31" t="n">
        <f aca="false">ROUNDDOWN((J664-M664)*設定!$C$15/1000,0)</f>
        <v>0</v>
      </c>
      <c r="BR664" s="31" t="n">
        <f aca="false">O664+P664</f>
        <v>0</v>
      </c>
      <c r="BS664" s="31" t="n">
        <f aca="false">T664+U664+V664</f>
        <v>0</v>
      </c>
      <c r="BT664" s="31" t="n">
        <f aca="false">Q664</f>
        <v>0</v>
      </c>
      <c r="BU664" s="31" t="n">
        <f aca="false">W664</f>
        <v>0</v>
      </c>
      <c r="BV664" s="31" t="n">
        <f aca="false">R664</f>
        <v>0</v>
      </c>
      <c r="BW664" s="31" t="n">
        <f aca="false">X664</f>
        <v>0</v>
      </c>
      <c r="BX664" s="31" t="n">
        <f aca="false">S664</f>
        <v>0</v>
      </c>
      <c r="BY664" s="31" t="n">
        <f aca="false">Y664</f>
        <v>0</v>
      </c>
      <c r="BZ664" s="32" t="n">
        <f aca="false">IF(BJ664=0,IF(BR664=0,0,1),(BR664-BJ664)/BJ664)</f>
        <v>0</v>
      </c>
      <c r="CA664" s="32" t="n">
        <f aca="false">IF(BK664=0,IF(BS664=0,0,1),(BS664-BK664)/BK664)</f>
        <v>0</v>
      </c>
      <c r="CB664" s="32" t="n">
        <f aca="false">IF(BL664=0,IF(BT664=0,0,1),(BT664-BL664)/BL664)</f>
        <v>0</v>
      </c>
      <c r="CC664" s="32" t="n">
        <f aca="false">IF(BM664=0,IF(BU664=0,0,1),(BU664-BM664)/BM664)</f>
        <v>0</v>
      </c>
      <c r="CD664" s="32" t="n">
        <f aca="false">IF(BN664=0,IF(BV664=0,0,1),(BV664-BN664)/BN664)</f>
        <v>0</v>
      </c>
      <c r="CE664" s="32" t="n">
        <f aca="false">IF(BO664=0,IF(BW664=0,0,1),(BW664-BO664)/BO664)</f>
        <v>0</v>
      </c>
      <c r="CF664" s="32" t="n">
        <f aca="false">IF(BP664=0,IF(BX664=0,0,1),(BX664-BP664)/BP664)</f>
        <v>0</v>
      </c>
      <c r="CG664" s="32" t="n">
        <f aca="false">IF(BQ664=0,IF(BY664=0,0,1),(BY664-BQ664)/BQ664)</f>
        <v>0</v>
      </c>
      <c r="CH664" s="32" t="n">
        <f aca="false">MAX(MAX(BZ664:CG664),-MIN(BZ664:CG664))</f>
        <v>-0</v>
      </c>
      <c r="CI664" s="31" t="n">
        <f aca="false">IF(CO664="","",SUMIFS($CJ$7:$CJ$696,$A$7:$A$696,CO664,$B$7:$B$696,B664))</f>
        <v>1189038</v>
      </c>
      <c r="CJ664" s="31" t="n">
        <f aca="false">SUM(AY664:BI664)</f>
        <v>949088</v>
      </c>
      <c r="CK664" s="31" t="str">
        <f aca="false">IFERROR(INDEX(設定!$F$61:$F$106,MATCH(B664,設定!$B$61:$B$106,0)),"Y")</f>
        <v>Y</v>
      </c>
      <c r="CL664" s="31" t="str">
        <f aca="false">IFERROR(INDEX(設定!$G$61:$G$106,MATCH(B664,設定!$B$61:$B$106,0)),"外郭型")</f>
        <v>外郭型</v>
      </c>
      <c r="CM664" s="33" t="str">
        <f aca="false">A664&amp;"|"&amp;B664</f>
        <v>2027-03 月例|平和文化センター</v>
      </c>
      <c r="CN664" s="34" t="str">
        <f aca="false">IFERROR(INDEX(設定!$D$61:$D$106,MATCH(B664,設定!$B$61:$B$106,0)),"Y")</f>
        <v>Y</v>
      </c>
      <c r="CO664" s="34" t="str">
        <f aca="false">IFERROR(INDEX(設定!$D$20:$D$34,MATCH(A664,設定!$A$20:$A$34,0))&amp;"","")</f>
        <v>2027-02 月例</v>
      </c>
    </row>
    <row r="665" customFormat="false" ht="15" hidden="true" customHeight="false" outlineLevel="0" collapsed="false">
      <c r="A665" s="22" t="s">
        <v>230</v>
      </c>
      <c r="B665" s="23" t="s">
        <v>183</v>
      </c>
      <c r="C665" s="10" t="str">
        <f aca="false">IF(G665="","未受領",IF(G665="なし","報告なし",IF(AL665="○","起票済",IF(OR(AK665="○",F665="一致",F665="入金不要"),"入金確認済","受領済"))))</f>
        <v>未受領</v>
      </c>
      <c r="D665" s="10" t="str">
        <f aca="false">IF(OR(G665="",G665="なし"),"―",IF(CN665="N","対象外",IF(AND(I665="",J665="",K665=""),"標報未入力",IF(CH665&gt;=設定!$B$4,"要確認","問題なし"))))</f>
        <v>―</v>
      </c>
      <c r="E665" s="24" t="str">
        <f aca="false">IF(OR(G665="",G665="なし",CI665="",CJ665=0),"―",IF(CJ665=CI665,"前月同額",IF(CI665=0,"―",IF(ABS(CJ665/CI665-1)&gt;=設定!$B$5,"変動大 "&amp;TEXT(CJ665/CI665-1,"+0%;-0%"),"〇"))))</f>
        <v>―</v>
      </c>
      <c r="F665" s="10" t="str">
        <f aca="false">IF(OR(G665="",G665="なし"),"―",IF(CJ665=0,"入金不要",IF(COUNT(AD665,AF665,AH665,AJ665)=0,IF(AK665="○","手動確認","未入金"),IF(AND(N(AD665)=AC665,IF(AE665="",TRUE(),N(AF665)=AE665),IF(AG665="",TRUE(),N(AH665)=AG665),IF(AI665="",TRUE(),N(AJ665)=AI665)),"一致","不一致"))))</f>
        <v>―</v>
      </c>
      <c r="G665" s="25"/>
      <c r="H665" s="26"/>
      <c r="I665" s="27"/>
      <c r="J665" s="27"/>
      <c r="K665" s="27"/>
      <c r="L665" s="27"/>
      <c r="M665" s="27"/>
      <c r="N665" s="27"/>
      <c r="O665" s="27"/>
      <c r="P665" s="27"/>
      <c r="Q665" s="27"/>
      <c r="R665" s="27"/>
      <c r="S665" s="27"/>
      <c r="T665" s="27"/>
      <c r="U665" s="27"/>
      <c r="V665" s="27"/>
      <c r="W665" s="27"/>
      <c r="X665" s="27"/>
      <c r="Y665" s="27"/>
      <c r="Z665" s="27"/>
      <c r="AA665" s="10" t="str">
        <f aca="false">IFERROR(INDEX(設定!$E$61:$E$106,MATCH(B665,設定!$B$61:$B$106,0)),"合算")</f>
        <v>合算</v>
      </c>
      <c r="AB665" s="28"/>
      <c r="AC665" s="29" t="str">
        <f aca="false">IF(OR(G665="",G665="なし"),"",IF(AA665="合算",CJ665+N(Z665),IF(AA665="掛金・負担金別",(AY665+AZ665+BD665+BF665+BH665),SUM(AY665:BC665))))</f>
        <v/>
      </c>
      <c r="AD665" s="27"/>
      <c r="AE665" s="29" t="str">
        <f aca="false">IF(OR(G665="",G665="なし"),"",IF(AA665="掛金・負担金別",(BA665+BB665+BC665+BE665+BG665+BI665+N(Z665)),IF(AA665="経理区分別",BD665+BE665,"")))</f>
        <v/>
      </c>
      <c r="AF665" s="27"/>
      <c r="AG665" s="29" t="str">
        <f aca="false">IF(OR(G665="",G665="なし"),"",IF(AA665="経理区分別",BF665+BG665,""))</f>
        <v/>
      </c>
      <c r="AH665" s="27"/>
      <c r="AI665" s="29" t="str">
        <f aca="false">IF(OR(G665="",G665="なし"),"",IF(AA665="経理区分別",BH665+BI665+N(Z665),""))</f>
        <v/>
      </c>
      <c r="AJ665" s="27"/>
      <c r="AK665" s="26"/>
      <c r="AL665" s="26"/>
      <c r="AM665" s="30"/>
      <c r="AN665" s="31"/>
      <c r="AO665" s="31"/>
      <c r="AP665" s="31" t="n">
        <v>1895880</v>
      </c>
      <c r="AQ665" s="31" t="n">
        <v>155400</v>
      </c>
      <c r="AR665" s="31" t="n">
        <v>1997</v>
      </c>
      <c r="AS665" s="31"/>
      <c r="AT665" s="31" t="n">
        <v>1280817</v>
      </c>
      <c r="AU665" s="31"/>
      <c r="AV665" s="31" t="n">
        <v>141726</v>
      </c>
      <c r="AW665" s="31"/>
      <c r="AX665" s="31" t="n">
        <v>1</v>
      </c>
      <c r="AY665" s="31" t="n">
        <f aca="false">IF($G665="",AN665,O665)</f>
        <v>0</v>
      </c>
      <c r="AZ665" s="31" t="n">
        <f aca="false">IF($G665="",AO665,P665)</f>
        <v>0</v>
      </c>
      <c r="BA665" s="31" t="n">
        <f aca="false">IF($G665="",AP665,T665)</f>
        <v>1895880</v>
      </c>
      <c r="BB665" s="31" t="n">
        <f aca="false">IF($G665="",AQ665,U665)</f>
        <v>155400</v>
      </c>
      <c r="BC665" s="31" t="n">
        <f aca="false">IF($G665="",AR665,V665)</f>
        <v>1997</v>
      </c>
      <c r="BD665" s="31" t="n">
        <f aca="false">IF($G665="",AS665,Q665)</f>
        <v>0</v>
      </c>
      <c r="BE665" s="31" t="n">
        <f aca="false">IF($G665="",AT665,W665)</f>
        <v>1280817</v>
      </c>
      <c r="BF665" s="31" t="n">
        <f aca="false">IF($G665="",AU665,R665)</f>
        <v>0</v>
      </c>
      <c r="BG665" s="31" t="n">
        <f aca="false">IF($G665="",AV665,X665)</f>
        <v>141726</v>
      </c>
      <c r="BH665" s="31" t="n">
        <f aca="false">IF($G665="",AW665,S665)</f>
        <v>0</v>
      </c>
      <c r="BI665" s="31" t="n">
        <f aca="false">IF($G665="",AX665,Y665)</f>
        <v>1</v>
      </c>
      <c r="BJ665" s="31" t="n">
        <f aca="false">IF(CK665="N",BR665,ROUNDDOWN((I665-L665)*設定!$B$10/1000,0)+ROUNDDOWN((I665-L665)*設定!$B$11/1000,0))</f>
        <v>0</v>
      </c>
      <c r="BK665" s="31" t="n">
        <f aca="false">ROUNDDOWN((I665-L665)*設定!$C$10/1000,0)+ROUNDDOWN((I665-L665)*設定!$C$11/1000,0)+ROUNDDOWN(I665*設定!$C$12/1000,0)+IF(CL665="市局型",ROUNDDOWN(I665*設定!$C$16/1000,0),0)</f>
        <v>0</v>
      </c>
      <c r="BL665" s="31" t="n">
        <f aca="false">IF(CK665="N",BT665,ROUNDDOWN((J665-M665)*設定!$B$13/1000,0))</f>
        <v>0</v>
      </c>
      <c r="BM665" s="31" t="n">
        <f aca="false">ROUNDDOWN((J665-M665)*設定!$C$13/1000,0)+IF(CL665="市局型",ROUNDDOWN(J665*設定!$C$17/1000,0),0)</f>
        <v>0</v>
      </c>
      <c r="BN665" s="31" t="n">
        <f aca="false">IF(CK665="N",BV665,ROUNDDOWN((K665-N665)*設定!$B$14/1000,0))</f>
        <v>0</v>
      </c>
      <c r="BO665" s="31" t="n">
        <f aca="false">ROUNDDOWN((K665-N665)*設定!$C$14/1000,0)</f>
        <v>0</v>
      </c>
      <c r="BP665" s="31" t="n">
        <f aca="false">IF(CK665="N",BX665,ROUNDDOWN((J665-M665)*設定!$B$15/1000,0))</f>
        <v>0</v>
      </c>
      <c r="BQ665" s="31" t="n">
        <f aca="false">ROUNDDOWN((J665-M665)*設定!$C$15/1000,0)</f>
        <v>0</v>
      </c>
      <c r="BR665" s="31" t="n">
        <f aca="false">O665+P665</f>
        <v>0</v>
      </c>
      <c r="BS665" s="31" t="n">
        <f aca="false">T665+U665+V665</f>
        <v>0</v>
      </c>
      <c r="BT665" s="31" t="n">
        <f aca="false">Q665</f>
        <v>0</v>
      </c>
      <c r="BU665" s="31" t="n">
        <f aca="false">W665</f>
        <v>0</v>
      </c>
      <c r="BV665" s="31" t="n">
        <f aca="false">R665</f>
        <v>0</v>
      </c>
      <c r="BW665" s="31" t="n">
        <f aca="false">X665</f>
        <v>0</v>
      </c>
      <c r="BX665" s="31" t="n">
        <f aca="false">S665</f>
        <v>0</v>
      </c>
      <c r="BY665" s="31" t="n">
        <f aca="false">Y665</f>
        <v>0</v>
      </c>
      <c r="BZ665" s="32" t="n">
        <f aca="false">IF(BJ665=0,IF(BR665=0,0,1),(BR665-BJ665)/BJ665)</f>
        <v>0</v>
      </c>
      <c r="CA665" s="32" t="n">
        <f aca="false">IF(BK665=0,IF(BS665=0,0,1),(BS665-BK665)/BK665)</f>
        <v>0</v>
      </c>
      <c r="CB665" s="32" t="n">
        <f aca="false">IF(BL665=0,IF(BT665=0,0,1),(BT665-BL665)/BL665)</f>
        <v>0</v>
      </c>
      <c r="CC665" s="32" t="n">
        <f aca="false">IF(BM665=0,IF(BU665=0,0,1),(BU665-BM665)/BM665)</f>
        <v>0</v>
      </c>
      <c r="CD665" s="32" t="n">
        <f aca="false">IF(BN665=0,IF(BV665=0,0,1),(BV665-BN665)/BN665)</f>
        <v>0</v>
      </c>
      <c r="CE665" s="32" t="n">
        <f aca="false">IF(BO665=0,IF(BW665=0,0,1),(BW665-BO665)/BO665)</f>
        <v>0</v>
      </c>
      <c r="CF665" s="32" t="n">
        <f aca="false">IF(BP665=0,IF(BX665=0,0,1),(BX665-BP665)/BP665)</f>
        <v>0</v>
      </c>
      <c r="CG665" s="32" t="n">
        <f aca="false">IF(BQ665=0,IF(BY665=0,0,1),(BY665-BQ665)/BQ665)</f>
        <v>0</v>
      </c>
      <c r="CH665" s="32" t="n">
        <f aca="false">MAX(MAX(BZ665:CG665),-MIN(BZ665:CG665))</f>
        <v>-0</v>
      </c>
      <c r="CI665" s="31" t="n">
        <f aca="false">IF(CO665="","",SUMIFS($CJ$7:$CJ$696,$A$7:$A$696,CO665,$B$7:$B$696,B665))</f>
        <v>3459927</v>
      </c>
      <c r="CJ665" s="31" t="n">
        <f aca="false">SUM(AY665:BI665)</f>
        <v>3475821</v>
      </c>
      <c r="CK665" s="31" t="str">
        <f aca="false">IFERROR(INDEX(設定!$F$61:$F$106,MATCH(B665,設定!$B$61:$B$106,0)),"Y")</f>
        <v>N</v>
      </c>
      <c r="CL665" s="31" t="str">
        <f aca="false">IFERROR(INDEX(設定!$G$61:$G$106,MATCH(B665,設定!$B$61:$B$106,0)),"外郭型")</f>
        <v>外郭型</v>
      </c>
      <c r="CM665" s="33" t="str">
        <f aca="false">A665&amp;"|"&amp;B665</f>
        <v>2027-03 月例|社会福祉事業団</v>
      </c>
      <c r="CN665" s="34" t="str">
        <f aca="false">IFERROR(INDEX(設定!$D$61:$D$106,MATCH(B665,設定!$B$61:$B$106,0)),"Y")</f>
        <v>Y</v>
      </c>
      <c r="CO665" s="34" t="str">
        <f aca="false">IFERROR(INDEX(設定!$D$20:$D$34,MATCH(A665,設定!$A$20:$A$34,0))&amp;"","")</f>
        <v>2027-02 月例</v>
      </c>
    </row>
    <row r="666" customFormat="false" ht="15" hidden="true" customHeight="false" outlineLevel="0" collapsed="false">
      <c r="A666" s="22" t="s">
        <v>230</v>
      </c>
      <c r="B666" s="23" t="s">
        <v>184</v>
      </c>
      <c r="C666" s="10" t="str">
        <f aca="false">IF(G666="","未受領",IF(G666="なし","報告なし",IF(AL666="○","起票済",IF(OR(AK666="○",F666="一致",F666="入金不要"),"入金確認済","受領済"))))</f>
        <v>未受領</v>
      </c>
      <c r="D666" s="10" t="str">
        <f aca="false">IF(OR(G666="",G666="なし"),"―",IF(CN666="N","対象外",IF(AND(I666="",J666="",K666=""),"標報未入力",IF(CH666&gt;=設定!$B$4,"要確認","問題なし"))))</f>
        <v>―</v>
      </c>
      <c r="E666" s="24" t="str">
        <f aca="false">IF(OR(G666="",G666="なし",CI666="",CJ666=0),"―",IF(CJ666=CI666,"前月同額",IF(CI666=0,"―",IF(ABS(CJ666/CI666-1)&gt;=設定!$B$5,"変動大 "&amp;TEXT(CJ666/CI666-1,"+0%;-0%"),"〇"))))</f>
        <v>―</v>
      </c>
      <c r="F666" s="10" t="str">
        <f aca="false">IF(OR(G666="",G666="なし"),"―",IF(CJ666=0,"入金不要",IF(COUNT(AD666,AF666,AH666,AJ666)=0,IF(AK666="○","手動確認","未入金"),IF(AND(N(AD666)=AC666,IF(AE666="",TRUE(),N(AF666)=AE666),IF(AG666="",TRUE(),N(AH666)=AG666),IF(AI666="",TRUE(),N(AJ666)=AI666)),"一致","不一致"))))</f>
        <v>―</v>
      </c>
      <c r="G666" s="25"/>
      <c r="H666" s="26"/>
      <c r="I666" s="27"/>
      <c r="J666" s="27"/>
      <c r="K666" s="27"/>
      <c r="L666" s="27"/>
      <c r="M666" s="27"/>
      <c r="N666" s="27"/>
      <c r="O666" s="27"/>
      <c r="P666" s="27"/>
      <c r="Q666" s="27"/>
      <c r="R666" s="27"/>
      <c r="S666" s="27"/>
      <c r="T666" s="27"/>
      <c r="U666" s="27"/>
      <c r="V666" s="27"/>
      <c r="W666" s="27"/>
      <c r="X666" s="27"/>
      <c r="Y666" s="27"/>
      <c r="Z666" s="27"/>
      <c r="AA666" s="10" t="str">
        <f aca="false">IFERROR(INDEX(設定!$E$61:$E$106,MATCH(B666,設定!$B$61:$B$106,0)),"合算")</f>
        <v>合算</v>
      </c>
      <c r="AB666" s="28"/>
      <c r="AC666" s="29" t="str">
        <f aca="false">IF(OR(G666="",G666="なし"),"",IF(AA666="合算",CJ666+N(Z666),IF(AA666="掛金・負担金別",(AY666+AZ666+BD666+BF666+BH666),SUM(AY666:BC666))))</f>
        <v/>
      </c>
      <c r="AD666" s="27"/>
      <c r="AE666" s="29" t="str">
        <f aca="false">IF(OR(G666="",G666="なし"),"",IF(AA666="掛金・負担金別",(BA666+BB666+BC666+BE666+BG666+BI666+N(Z666)),IF(AA666="経理区分別",BD666+BE666,"")))</f>
        <v/>
      </c>
      <c r="AF666" s="27"/>
      <c r="AG666" s="29" t="str">
        <f aca="false">IF(OR(G666="",G666="なし"),"",IF(AA666="経理区分別",BF666+BG666,""))</f>
        <v/>
      </c>
      <c r="AH666" s="27"/>
      <c r="AI666" s="29" t="str">
        <f aca="false">IF(OR(G666="",G666="なし"),"",IF(AA666="経理区分別",BH666+BI666+N(Z666),""))</f>
        <v/>
      </c>
      <c r="AJ666" s="27"/>
      <c r="AK666" s="26"/>
      <c r="AL666" s="26"/>
      <c r="AM666" s="30"/>
      <c r="AN666" s="31"/>
      <c r="AO666" s="31"/>
      <c r="AP666" s="31" t="n">
        <v>48495</v>
      </c>
      <c r="AQ666" s="31" t="n">
        <v>3975</v>
      </c>
      <c r="AR666" s="31" t="n">
        <v>50</v>
      </c>
      <c r="AS666" s="31"/>
      <c r="AT666" s="31" t="n">
        <v>29208</v>
      </c>
      <c r="AU666" s="31"/>
      <c r="AV666" s="31" t="n">
        <v>4452</v>
      </c>
      <c r="AW666" s="31"/>
      <c r="AX666" s="31" t="n">
        <v>1</v>
      </c>
      <c r="AY666" s="31" t="n">
        <f aca="false">IF($G666="",AN666,O666)</f>
        <v>0</v>
      </c>
      <c r="AZ666" s="31" t="n">
        <f aca="false">IF($G666="",AO666,P666)</f>
        <v>0</v>
      </c>
      <c r="BA666" s="31" t="n">
        <f aca="false">IF($G666="",AP666,T666)</f>
        <v>48495</v>
      </c>
      <c r="BB666" s="31" t="n">
        <f aca="false">IF($G666="",AQ666,U666)</f>
        <v>3975</v>
      </c>
      <c r="BC666" s="31" t="n">
        <f aca="false">IF($G666="",AR666,V666)</f>
        <v>50</v>
      </c>
      <c r="BD666" s="31" t="n">
        <f aca="false">IF($G666="",AS666,Q666)</f>
        <v>0</v>
      </c>
      <c r="BE666" s="31" t="n">
        <f aca="false">IF($G666="",AT666,W666)</f>
        <v>29208</v>
      </c>
      <c r="BF666" s="31" t="n">
        <f aca="false">IF($G666="",AU666,R666)</f>
        <v>0</v>
      </c>
      <c r="BG666" s="31" t="n">
        <f aca="false">IF($G666="",AV666,X666)</f>
        <v>4452</v>
      </c>
      <c r="BH666" s="31" t="n">
        <f aca="false">IF($G666="",AW666,S666)</f>
        <v>0</v>
      </c>
      <c r="BI666" s="31" t="n">
        <f aca="false">IF($G666="",AX666,Y666)</f>
        <v>1</v>
      </c>
      <c r="BJ666" s="31" t="n">
        <f aca="false">IF(CK666="N",BR666,ROUNDDOWN((I666-L666)*設定!$B$10/1000,0)+ROUNDDOWN((I666-L666)*設定!$B$11/1000,0))</f>
        <v>0</v>
      </c>
      <c r="BK666" s="31" t="n">
        <f aca="false">ROUNDDOWN((I666-L666)*設定!$C$10/1000,0)+ROUNDDOWN((I666-L666)*設定!$C$11/1000,0)+ROUNDDOWN(I666*設定!$C$12/1000,0)+IF(CL666="市局型",ROUNDDOWN(I666*設定!$C$16/1000,0),0)</f>
        <v>0</v>
      </c>
      <c r="BL666" s="31" t="n">
        <f aca="false">IF(CK666="N",BT666,ROUNDDOWN((J666-M666)*設定!$B$13/1000,0))</f>
        <v>0</v>
      </c>
      <c r="BM666" s="31" t="n">
        <f aca="false">ROUNDDOWN((J666-M666)*設定!$C$13/1000,0)+IF(CL666="市局型",ROUNDDOWN(J666*設定!$C$17/1000,0),0)</f>
        <v>0</v>
      </c>
      <c r="BN666" s="31" t="n">
        <f aca="false">IF(CK666="N",BV666,ROUNDDOWN((K666-N666)*設定!$B$14/1000,0))</f>
        <v>0</v>
      </c>
      <c r="BO666" s="31" t="n">
        <f aca="false">ROUNDDOWN((K666-N666)*設定!$C$14/1000,0)</f>
        <v>0</v>
      </c>
      <c r="BP666" s="31" t="n">
        <f aca="false">IF(CK666="N",BX666,ROUNDDOWN((J666-M666)*設定!$B$15/1000,0))</f>
        <v>0</v>
      </c>
      <c r="BQ666" s="31" t="n">
        <f aca="false">ROUNDDOWN((J666-M666)*設定!$C$15/1000,0)</f>
        <v>0</v>
      </c>
      <c r="BR666" s="31" t="n">
        <f aca="false">O666+P666</f>
        <v>0</v>
      </c>
      <c r="BS666" s="31" t="n">
        <f aca="false">T666+U666+V666</f>
        <v>0</v>
      </c>
      <c r="BT666" s="31" t="n">
        <f aca="false">Q666</f>
        <v>0</v>
      </c>
      <c r="BU666" s="31" t="n">
        <f aca="false">W666</f>
        <v>0</v>
      </c>
      <c r="BV666" s="31" t="n">
        <f aca="false">R666</f>
        <v>0</v>
      </c>
      <c r="BW666" s="31" t="n">
        <f aca="false">X666</f>
        <v>0</v>
      </c>
      <c r="BX666" s="31" t="n">
        <f aca="false">S666</f>
        <v>0</v>
      </c>
      <c r="BY666" s="31" t="n">
        <f aca="false">Y666</f>
        <v>0</v>
      </c>
      <c r="BZ666" s="32" t="n">
        <f aca="false">IF(BJ666=0,IF(BR666=0,0,1),(BR666-BJ666)/BJ666)</f>
        <v>0</v>
      </c>
      <c r="CA666" s="32" t="n">
        <f aca="false">IF(BK666=0,IF(BS666=0,0,1),(BS666-BK666)/BK666)</f>
        <v>0</v>
      </c>
      <c r="CB666" s="32" t="n">
        <f aca="false">IF(BL666=0,IF(BT666=0,0,1),(BT666-BL666)/BL666)</f>
        <v>0</v>
      </c>
      <c r="CC666" s="32" t="n">
        <f aca="false">IF(BM666=0,IF(BU666=0,0,1),(BU666-BM666)/BM666)</f>
        <v>0</v>
      </c>
      <c r="CD666" s="32" t="n">
        <f aca="false">IF(BN666=0,IF(BV666=0,0,1),(BV666-BN666)/BN666)</f>
        <v>0</v>
      </c>
      <c r="CE666" s="32" t="n">
        <f aca="false">IF(BO666=0,IF(BW666=0,0,1),(BW666-BO666)/BO666)</f>
        <v>0</v>
      </c>
      <c r="CF666" s="32" t="n">
        <f aca="false">IF(BP666=0,IF(BX666=0,0,1),(BX666-BP666)/BP666)</f>
        <v>0</v>
      </c>
      <c r="CG666" s="32" t="n">
        <f aca="false">IF(BQ666=0,IF(BY666=0,0,1),(BY666-BQ666)/BQ666)</f>
        <v>0</v>
      </c>
      <c r="CH666" s="32" t="n">
        <f aca="false">MAX(MAX(BZ666:CG666),-MIN(BZ666:CG666))</f>
        <v>-0</v>
      </c>
      <c r="CI666" s="31" t="n">
        <f aca="false">IF(CO666="","",SUMIFS($CJ$7:$CJ$696,$A$7:$A$696,CO666,$B$7:$B$696,B666))</f>
        <v>85915</v>
      </c>
      <c r="CJ666" s="31" t="n">
        <f aca="false">SUM(AY666:BI666)</f>
        <v>86181</v>
      </c>
      <c r="CK666" s="31" t="str">
        <f aca="false">IFERROR(INDEX(設定!$F$61:$F$106,MATCH(B666,設定!$B$61:$B$106,0)),"Y")</f>
        <v>N</v>
      </c>
      <c r="CL666" s="31" t="str">
        <f aca="false">IFERROR(INDEX(設定!$G$61:$G$106,MATCH(B666,設定!$B$61:$B$106,0)),"外郭型")</f>
        <v>外郭型</v>
      </c>
      <c r="CM666" s="33" t="str">
        <f aca="false">A666&amp;"|"&amp;B666</f>
        <v>2027-03 月例|原爆障害対策協議会</v>
      </c>
      <c r="CN666" s="34" t="str">
        <f aca="false">IFERROR(INDEX(設定!$D$61:$D$106,MATCH(B666,設定!$B$61:$B$106,0)),"Y")</f>
        <v>Y</v>
      </c>
      <c r="CO666" s="34" t="str">
        <f aca="false">IFERROR(INDEX(設定!$D$20:$D$34,MATCH(A666,設定!$A$20:$A$34,0))&amp;"","")</f>
        <v>2027-02 月例</v>
      </c>
    </row>
    <row r="667" customFormat="false" ht="15" hidden="true" customHeight="false" outlineLevel="0" collapsed="false">
      <c r="A667" s="22" t="s">
        <v>230</v>
      </c>
      <c r="B667" s="23" t="s">
        <v>185</v>
      </c>
      <c r="C667" s="10" t="str">
        <f aca="false">IF(G667="","未受領",IF(G667="なし","報告なし",IF(AL667="○","起票済",IF(OR(AK667="○",F667="一致",F667="入金不要"),"入金確認済","受領済"))))</f>
        <v>未受領</v>
      </c>
      <c r="D667" s="10" t="str">
        <f aca="false">IF(OR(G667="",G667="なし"),"―",IF(CN667="N","対象外",IF(AND(I667="",J667="",K667=""),"標報未入力",IF(CH667&gt;=設定!$B$4,"要確認","問題なし"))))</f>
        <v>―</v>
      </c>
      <c r="E667" s="24" t="str">
        <f aca="false">IF(OR(G667="",G667="なし",CI667="",CJ667=0),"―",IF(CJ667=CI667,"前月同額",IF(CI667=0,"―",IF(ABS(CJ667/CI667-1)&gt;=設定!$B$5,"変動大 "&amp;TEXT(CJ667/CI667-1,"+0%;-0%"),"〇"))))</f>
        <v>―</v>
      </c>
      <c r="F667" s="10" t="str">
        <f aca="false">IF(OR(G667="",G667="なし"),"―",IF(CJ667=0,"入金不要",IF(COUNT(AD667,AF667,AH667,AJ667)=0,IF(AK667="○","手動確認","未入金"),IF(AND(N(AD667)=AC667,IF(AE667="",TRUE(),N(AF667)=AE667),IF(AG667="",TRUE(),N(AH667)=AG667),IF(AI667="",TRUE(),N(AJ667)=AI667)),"一致","不一致"))))</f>
        <v>―</v>
      </c>
      <c r="G667" s="25"/>
      <c r="H667" s="26"/>
      <c r="I667" s="27"/>
      <c r="J667" s="27"/>
      <c r="K667" s="27"/>
      <c r="L667" s="27"/>
      <c r="M667" s="27"/>
      <c r="N667" s="27"/>
      <c r="O667" s="27"/>
      <c r="P667" s="27"/>
      <c r="Q667" s="27"/>
      <c r="R667" s="27"/>
      <c r="S667" s="27"/>
      <c r="T667" s="27"/>
      <c r="U667" s="27"/>
      <c r="V667" s="27"/>
      <c r="W667" s="27"/>
      <c r="X667" s="27"/>
      <c r="Y667" s="27"/>
      <c r="Z667" s="27"/>
      <c r="AA667" s="10" t="str">
        <f aca="false">IFERROR(INDEX(設定!$E$61:$E$106,MATCH(B667,設定!$B$61:$B$106,0)),"合算")</f>
        <v>合算</v>
      </c>
      <c r="AB667" s="28"/>
      <c r="AC667" s="29" t="str">
        <f aca="false">IF(OR(G667="",G667="なし"),"",IF(AA667="合算",CJ667+N(Z667),IF(AA667="掛金・負担金別",(AY667+AZ667+BD667+BF667+BH667),SUM(AY667:BC667))))</f>
        <v/>
      </c>
      <c r="AD667" s="27"/>
      <c r="AE667" s="29" t="str">
        <f aca="false">IF(OR(G667="",G667="なし"),"",IF(AA667="掛金・負担金別",(BA667+BB667+BC667+BE667+BG667+BI667+N(Z667)),IF(AA667="経理区分別",BD667+BE667,"")))</f>
        <v/>
      </c>
      <c r="AF667" s="27"/>
      <c r="AG667" s="29" t="str">
        <f aca="false">IF(OR(G667="",G667="なし"),"",IF(AA667="経理区分別",BF667+BG667,""))</f>
        <v/>
      </c>
      <c r="AH667" s="27"/>
      <c r="AI667" s="29" t="str">
        <f aca="false">IF(OR(G667="",G667="なし"),"",IF(AA667="経理区分別",BH667+BI667+N(Z667),""))</f>
        <v/>
      </c>
      <c r="AJ667" s="27"/>
      <c r="AK667" s="26"/>
      <c r="AL667" s="26"/>
      <c r="AM667" s="30"/>
      <c r="AN667" s="31"/>
      <c r="AO667" s="31"/>
      <c r="AP667" s="31" t="n">
        <v>425475</v>
      </c>
      <c r="AQ667" s="31" t="n">
        <v>34875</v>
      </c>
      <c r="AR667" s="31" t="n">
        <v>435</v>
      </c>
      <c r="AS667" s="31"/>
      <c r="AT667" s="31" t="n">
        <v>256260</v>
      </c>
      <c r="AU667" s="31"/>
      <c r="AV667" s="31" t="n">
        <v>34207</v>
      </c>
      <c r="AW667" s="31"/>
      <c r="AX667" s="31" t="n">
        <v>1</v>
      </c>
      <c r="AY667" s="31" t="n">
        <f aca="false">IF($G667="",AN667,O667)</f>
        <v>0</v>
      </c>
      <c r="AZ667" s="31" t="n">
        <f aca="false">IF($G667="",AO667,P667)</f>
        <v>0</v>
      </c>
      <c r="BA667" s="31" t="n">
        <f aca="false">IF($G667="",AP667,T667)</f>
        <v>425475</v>
      </c>
      <c r="BB667" s="31" t="n">
        <f aca="false">IF($G667="",AQ667,U667)</f>
        <v>34875</v>
      </c>
      <c r="BC667" s="31" t="n">
        <f aca="false">IF($G667="",AR667,V667)</f>
        <v>435</v>
      </c>
      <c r="BD667" s="31" t="n">
        <f aca="false">IF($G667="",AS667,Q667)</f>
        <v>0</v>
      </c>
      <c r="BE667" s="31" t="n">
        <f aca="false">IF($G667="",AT667,W667)</f>
        <v>256260</v>
      </c>
      <c r="BF667" s="31" t="n">
        <f aca="false">IF($G667="",AU667,R667)</f>
        <v>0</v>
      </c>
      <c r="BG667" s="31" t="n">
        <f aca="false">IF($G667="",AV667,X667)</f>
        <v>34207</v>
      </c>
      <c r="BH667" s="31" t="n">
        <f aca="false">IF($G667="",AW667,S667)</f>
        <v>0</v>
      </c>
      <c r="BI667" s="31" t="n">
        <f aca="false">IF($G667="",AX667,Y667)</f>
        <v>1</v>
      </c>
      <c r="BJ667" s="31" t="n">
        <f aca="false">IF(CK667="N",BR667,ROUNDDOWN((I667-L667)*設定!$B$10/1000,0)+ROUNDDOWN((I667-L667)*設定!$B$11/1000,0))</f>
        <v>0</v>
      </c>
      <c r="BK667" s="31" t="n">
        <f aca="false">ROUNDDOWN((I667-L667)*設定!$C$10/1000,0)+ROUNDDOWN((I667-L667)*設定!$C$11/1000,0)+ROUNDDOWN(I667*設定!$C$12/1000,0)+IF(CL667="市局型",ROUNDDOWN(I667*設定!$C$16/1000,0),0)</f>
        <v>0</v>
      </c>
      <c r="BL667" s="31" t="n">
        <f aca="false">IF(CK667="N",BT667,ROUNDDOWN((J667-M667)*設定!$B$13/1000,0))</f>
        <v>0</v>
      </c>
      <c r="BM667" s="31" t="n">
        <f aca="false">ROUNDDOWN((J667-M667)*設定!$C$13/1000,0)+IF(CL667="市局型",ROUNDDOWN(J667*設定!$C$17/1000,0),0)</f>
        <v>0</v>
      </c>
      <c r="BN667" s="31" t="n">
        <f aca="false">IF(CK667="N",BV667,ROUNDDOWN((K667-N667)*設定!$B$14/1000,0))</f>
        <v>0</v>
      </c>
      <c r="BO667" s="31" t="n">
        <f aca="false">ROUNDDOWN((K667-N667)*設定!$C$14/1000,0)</f>
        <v>0</v>
      </c>
      <c r="BP667" s="31" t="n">
        <f aca="false">IF(CK667="N",BX667,ROUNDDOWN((J667-M667)*設定!$B$15/1000,0))</f>
        <v>0</v>
      </c>
      <c r="BQ667" s="31" t="n">
        <f aca="false">ROUNDDOWN((J667-M667)*設定!$C$15/1000,0)</f>
        <v>0</v>
      </c>
      <c r="BR667" s="31" t="n">
        <f aca="false">O667+P667</f>
        <v>0</v>
      </c>
      <c r="BS667" s="31" t="n">
        <f aca="false">T667+U667+V667</f>
        <v>0</v>
      </c>
      <c r="BT667" s="31" t="n">
        <f aca="false">Q667</f>
        <v>0</v>
      </c>
      <c r="BU667" s="31" t="n">
        <f aca="false">W667</f>
        <v>0</v>
      </c>
      <c r="BV667" s="31" t="n">
        <f aca="false">R667</f>
        <v>0</v>
      </c>
      <c r="BW667" s="31" t="n">
        <f aca="false">X667</f>
        <v>0</v>
      </c>
      <c r="BX667" s="31" t="n">
        <f aca="false">S667</f>
        <v>0</v>
      </c>
      <c r="BY667" s="31" t="n">
        <f aca="false">Y667</f>
        <v>0</v>
      </c>
      <c r="BZ667" s="32" t="n">
        <f aca="false">IF(BJ667=0,IF(BR667=0,0,1),(BR667-BJ667)/BJ667)</f>
        <v>0</v>
      </c>
      <c r="CA667" s="32" t="n">
        <f aca="false">IF(BK667=0,IF(BS667=0,0,1),(BS667-BK667)/BK667)</f>
        <v>0</v>
      </c>
      <c r="CB667" s="32" t="n">
        <f aca="false">IF(BL667=0,IF(BT667=0,0,1),(BT667-BL667)/BL667)</f>
        <v>0</v>
      </c>
      <c r="CC667" s="32" t="n">
        <f aca="false">IF(BM667=0,IF(BU667=0,0,1),(BU667-BM667)/BM667)</f>
        <v>0</v>
      </c>
      <c r="CD667" s="32" t="n">
        <f aca="false">IF(BN667=0,IF(BV667=0,0,1),(BV667-BN667)/BN667)</f>
        <v>0</v>
      </c>
      <c r="CE667" s="32" t="n">
        <f aca="false">IF(BO667=0,IF(BW667=0,0,1),(BW667-BO667)/BO667)</f>
        <v>0</v>
      </c>
      <c r="CF667" s="32" t="n">
        <f aca="false">IF(BP667=0,IF(BX667=0,0,1),(BX667-BP667)/BP667)</f>
        <v>0</v>
      </c>
      <c r="CG667" s="32" t="n">
        <f aca="false">IF(BQ667=0,IF(BY667=0,0,1),(BY667-BQ667)/BQ667)</f>
        <v>0</v>
      </c>
      <c r="CH667" s="32" t="n">
        <f aca="false">MAX(MAX(BZ667:CG667),-MIN(BZ667:CG667))</f>
        <v>-0</v>
      </c>
      <c r="CI667" s="31" t="n">
        <f aca="false">IF(CO667="","",SUMIFS($CJ$7:$CJ$696,$A$7:$A$696,CO667,$B$7:$B$696,B667))</f>
        <v>751253</v>
      </c>
      <c r="CJ667" s="31" t="n">
        <f aca="false">SUM(AY667:BI667)</f>
        <v>751253</v>
      </c>
      <c r="CK667" s="31" t="str">
        <f aca="false">IFERROR(INDEX(設定!$F$61:$F$106,MATCH(B667,設定!$B$61:$B$106,0)),"Y")</f>
        <v>N</v>
      </c>
      <c r="CL667" s="31" t="str">
        <f aca="false">IFERROR(INDEX(設定!$G$61:$G$106,MATCH(B667,設定!$B$61:$B$106,0)),"外郭型")</f>
        <v>外郭型</v>
      </c>
      <c r="CM667" s="33" t="str">
        <f aca="false">A667&amp;"|"&amp;B667</f>
        <v>2027-03 月例|産業振興センター</v>
      </c>
      <c r="CN667" s="34" t="str">
        <f aca="false">IFERROR(INDEX(設定!$D$61:$D$106,MATCH(B667,設定!$B$61:$B$106,0)),"Y")</f>
        <v>Y</v>
      </c>
      <c r="CO667" s="34" t="str">
        <f aca="false">IFERROR(INDEX(設定!$D$20:$D$34,MATCH(A667,設定!$A$20:$A$34,0))&amp;"","")</f>
        <v>2027-02 月例</v>
      </c>
    </row>
    <row r="668" customFormat="false" ht="15" hidden="true" customHeight="false" outlineLevel="0" collapsed="false">
      <c r="A668" s="22" t="s">
        <v>230</v>
      </c>
      <c r="B668" s="23" t="s">
        <v>186</v>
      </c>
      <c r="C668" s="10" t="str">
        <f aca="false">IF(G668="","未受領",IF(G668="なし","報告なし",IF(AL668="○","起票済",IF(OR(AK668="○",F668="一致",F668="入金不要"),"入金確認済","受領済"))))</f>
        <v>未受領</v>
      </c>
      <c r="D668" s="10" t="str">
        <f aca="false">IF(OR(G668="",G668="なし"),"―",IF(CN668="N","対象外",IF(AND(I668="",J668="",K668=""),"標報未入力",IF(CH668&gt;=設定!$B$4,"要確認","問題なし"))))</f>
        <v>―</v>
      </c>
      <c r="E668" s="24" t="str">
        <f aca="false">IF(OR(G668="",G668="なし",CI668="",CJ668=0),"―",IF(CJ668=CI668,"前月同額",IF(CI668=0,"―",IF(ABS(CJ668/CI668-1)&gt;=設定!$B$5,"変動大 "&amp;TEXT(CJ668/CI668-1,"+0%;-0%"),"〇"))))</f>
        <v>―</v>
      </c>
      <c r="F668" s="10" t="str">
        <f aca="false">IF(OR(G668="",G668="なし"),"―",IF(CJ668=0,"入金不要",IF(COUNT(AD668,AF668,AH668,AJ668)=0,IF(AK668="○","手動確認","未入金"),IF(AND(N(AD668)=AC668,IF(AE668="",TRUE(),N(AF668)=AE668),IF(AG668="",TRUE(),N(AH668)=AG668),IF(AI668="",TRUE(),N(AJ668)=AI668)),"一致","不一致"))))</f>
        <v>―</v>
      </c>
      <c r="G668" s="25"/>
      <c r="H668" s="26"/>
      <c r="I668" s="27"/>
      <c r="J668" s="27"/>
      <c r="K668" s="27"/>
      <c r="L668" s="27"/>
      <c r="M668" s="27"/>
      <c r="N668" s="27"/>
      <c r="O668" s="27"/>
      <c r="P668" s="27"/>
      <c r="Q668" s="27"/>
      <c r="R668" s="27"/>
      <c r="S668" s="27"/>
      <c r="T668" s="27"/>
      <c r="U668" s="27"/>
      <c r="V668" s="27"/>
      <c r="W668" s="27"/>
      <c r="X668" s="27"/>
      <c r="Y668" s="27"/>
      <c r="Z668" s="27"/>
      <c r="AA668" s="10" t="str">
        <f aca="false">IFERROR(INDEX(設定!$E$61:$E$106,MATCH(B668,設定!$B$61:$B$106,0)),"合算")</f>
        <v>合算</v>
      </c>
      <c r="AB668" s="28"/>
      <c r="AC668" s="29" t="str">
        <f aca="false">IF(OR(G668="",G668="なし"),"",IF(AA668="合算",CJ668+N(Z668),IF(AA668="掛金・負担金別",(AY668+AZ668+BD668+BF668+BH668),SUM(AY668:BC668))))</f>
        <v/>
      </c>
      <c r="AD668" s="27"/>
      <c r="AE668" s="29" t="str">
        <f aca="false">IF(OR(G668="",G668="なし"),"",IF(AA668="掛金・負担金別",(BA668+BB668+BC668+BE668+BG668+BI668+N(Z668)),IF(AA668="経理区分別",BD668+BE668,"")))</f>
        <v/>
      </c>
      <c r="AF668" s="27"/>
      <c r="AG668" s="29" t="str">
        <f aca="false">IF(OR(G668="",G668="なし"),"",IF(AA668="経理区分別",BF668+BG668,""))</f>
        <v/>
      </c>
      <c r="AH668" s="27"/>
      <c r="AI668" s="29" t="str">
        <f aca="false">IF(OR(G668="",G668="なし"),"",IF(AA668="経理区分別",BH668+BI668+N(Z668),""))</f>
        <v/>
      </c>
      <c r="AJ668" s="27"/>
      <c r="AK668" s="26"/>
      <c r="AL668" s="26"/>
      <c r="AM668" s="30"/>
      <c r="AN668" s="31"/>
      <c r="AO668" s="31"/>
      <c r="AP668" s="31" t="n">
        <v>86010</v>
      </c>
      <c r="AQ668" s="31" t="n">
        <v>7050</v>
      </c>
      <c r="AR668" s="31" t="n">
        <v>88</v>
      </c>
      <c r="AS668" s="31"/>
      <c r="AT668" s="31" t="n">
        <v>51803</v>
      </c>
      <c r="AU668" s="31"/>
      <c r="AV668" s="31" t="n">
        <v>7426</v>
      </c>
      <c r="AW668" s="31"/>
      <c r="AX668" s="31" t="n">
        <v>1</v>
      </c>
      <c r="AY668" s="31" t="n">
        <f aca="false">IF($G668="",AN668,O668)</f>
        <v>0</v>
      </c>
      <c r="AZ668" s="31" t="n">
        <f aca="false">IF($G668="",AO668,P668)</f>
        <v>0</v>
      </c>
      <c r="BA668" s="31" t="n">
        <f aca="false">IF($G668="",AP668,T668)</f>
        <v>86010</v>
      </c>
      <c r="BB668" s="31" t="n">
        <f aca="false">IF($G668="",AQ668,U668)</f>
        <v>7050</v>
      </c>
      <c r="BC668" s="31" t="n">
        <f aca="false">IF($G668="",AR668,V668)</f>
        <v>88</v>
      </c>
      <c r="BD668" s="31" t="n">
        <f aca="false">IF($G668="",AS668,Q668)</f>
        <v>0</v>
      </c>
      <c r="BE668" s="31" t="n">
        <f aca="false">IF($G668="",AT668,W668)</f>
        <v>51803</v>
      </c>
      <c r="BF668" s="31" t="n">
        <f aca="false">IF($G668="",AU668,R668)</f>
        <v>0</v>
      </c>
      <c r="BG668" s="31" t="n">
        <f aca="false">IF($G668="",AV668,X668)</f>
        <v>7426</v>
      </c>
      <c r="BH668" s="31" t="n">
        <f aca="false">IF($G668="",AW668,S668)</f>
        <v>0</v>
      </c>
      <c r="BI668" s="31" t="n">
        <f aca="false">IF($G668="",AX668,Y668)</f>
        <v>1</v>
      </c>
      <c r="BJ668" s="31" t="n">
        <f aca="false">IF(CK668="N",BR668,ROUNDDOWN((I668-L668)*設定!$B$10/1000,0)+ROUNDDOWN((I668-L668)*設定!$B$11/1000,0))</f>
        <v>0</v>
      </c>
      <c r="BK668" s="31" t="n">
        <f aca="false">ROUNDDOWN((I668-L668)*設定!$C$10/1000,0)+ROUNDDOWN((I668-L668)*設定!$C$11/1000,0)+ROUNDDOWN(I668*設定!$C$12/1000,0)+IF(CL668="市局型",ROUNDDOWN(I668*設定!$C$16/1000,0),0)</f>
        <v>0</v>
      </c>
      <c r="BL668" s="31" t="n">
        <f aca="false">IF(CK668="N",BT668,ROUNDDOWN((J668-M668)*設定!$B$13/1000,0))</f>
        <v>0</v>
      </c>
      <c r="BM668" s="31" t="n">
        <f aca="false">ROUNDDOWN((J668-M668)*設定!$C$13/1000,0)+IF(CL668="市局型",ROUNDDOWN(J668*設定!$C$17/1000,0),0)</f>
        <v>0</v>
      </c>
      <c r="BN668" s="31" t="n">
        <f aca="false">IF(CK668="N",BV668,ROUNDDOWN((K668-N668)*設定!$B$14/1000,0))</f>
        <v>0</v>
      </c>
      <c r="BO668" s="31" t="n">
        <f aca="false">ROUNDDOWN((K668-N668)*設定!$C$14/1000,0)</f>
        <v>0</v>
      </c>
      <c r="BP668" s="31" t="n">
        <f aca="false">IF(CK668="N",BX668,ROUNDDOWN((J668-M668)*設定!$B$15/1000,0))</f>
        <v>0</v>
      </c>
      <c r="BQ668" s="31" t="n">
        <f aca="false">ROUNDDOWN((J668-M668)*設定!$C$15/1000,0)</f>
        <v>0</v>
      </c>
      <c r="BR668" s="31" t="n">
        <f aca="false">O668+P668</f>
        <v>0</v>
      </c>
      <c r="BS668" s="31" t="n">
        <f aca="false">T668+U668+V668</f>
        <v>0</v>
      </c>
      <c r="BT668" s="31" t="n">
        <f aca="false">Q668</f>
        <v>0</v>
      </c>
      <c r="BU668" s="31" t="n">
        <f aca="false">W668</f>
        <v>0</v>
      </c>
      <c r="BV668" s="31" t="n">
        <f aca="false">R668</f>
        <v>0</v>
      </c>
      <c r="BW668" s="31" t="n">
        <f aca="false">X668</f>
        <v>0</v>
      </c>
      <c r="BX668" s="31" t="n">
        <f aca="false">S668</f>
        <v>0</v>
      </c>
      <c r="BY668" s="31" t="n">
        <f aca="false">Y668</f>
        <v>0</v>
      </c>
      <c r="BZ668" s="32" t="n">
        <f aca="false">IF(BJ668=0,IF(BR668=0,0,1),(BR668-BJ668)/BJ668)</f>
        <v>0</v>
      </c>
      <c r="CA668" s="32" t="n">
        <f aca="false">IF(BK668=0,IF(BS668=0,0,1),(BS668-BK668)/BK668)</f>
        <v>0</v>
      </c>
      <c r="CB668" s="32" t="n">
        <f aca="false">IF(BL668=0,IF(BT668=0,0,1),(BT668-BL668)/BL668)</f>
        <v>0</v>
      </c>
      <c r="CC668" s="32" t="n">
        <f aca="false">IF(BM668=0,IF(BU668=0,0,1),(BU668-BM668)/BM668)</f>
        <v>0</v>
      </c>
      <c r="CD668" s="32" t="n">
        <f aca="false">IF(BN668=0,IF(BV668=0,0,1),(BV668-BN668)/BN668)</f>
        <v>0</v>
      </c>
      <c r="CE668" s="32" t="n">
        <f aca="false">IF(BO668=0,IF(BW668=0,0,1),(BW668-BO668)/BO668)</f>
        <v>0</v>
      </c>
      <c r="CF668" s="32" t="n">
        <f aca="false">IF(BP668=0,IF(BX668=0,0,1),(BX668-BP668)/BP668)</f>
        <v>0</v>
      </c>
      <c r="CG668" s="32" t="n">
        <f aca="false">IF(BQ668=0,IF(BY668=0,0,1),(BY668-BQ668)/BQ668)</f>
        <v>0</v>
      </c>
      <c r="CH668" s="32" t="n">
        <f aca="false">MAX(MAX(BZ668:CG668),-MIN(BZ668:CG668))</f>
        <v>-0</v>
      </c>
      <c r="CI668" s="31" t="n">
        <f aca="false">IF(CO668="","",SUMIFS($CJ$7:$CJ$696,$A$7:$A$696,CO668,$B$7:$B$696,B668))</f>
        <v>152378</v>
      </c>
      <c r="CJ668" s="31" t="n">
        <f aca="false">SUM(AY668:BI668)</f>
        <v>152378</v>
      </c>
      <c r="CK668" s="31" t="str">
        <f aca="false">IFERROR(INDEX(設定!$F$61:$F$106,MATCH(B668,設定!$B$61:$B$106,0)),"Y")</f>
        <v>N</v>
      </c>
      <c r="CL668" s="31" t="str">
        <f aca="false">IFERROR(INDEX(設定!$G$61:$G$106,MATCH(B668,設定!$B$61:$B$106,0)),"外郭型")</f>
        <v>外郭型</v>
      </c>
      <c r="CM668" s="33" t="str">
        <f aca="false">A668&amp;"|"&amp;B668</f>
        <v>2027-03 月例|ひろしま産業振興</v>
      </c>
      <c r="CN668" s="34" t="str">
        <f aca="false">IFERROR(INDEX(設定!$D$61:$D$106,MATCH(B668,設定!$B$61:$B$106,0)),"Y")</f>
        <v>Y</v>
      </c>
      <c r="CO668" s="34" t="str">
        <f aca="false">IFERROR(INDEX(設定!$D$20:$D$34,MATCH(A668,設定!$A$20:$A$34,0))&amp;"","")</f>
        <v>2027-02 月例</v>
      </c>
    </row>
    <row r="669" customFormat="false" ht="15" hidden="true" customHeight="false" outlineLevel="0" collapsed="false">
      <c r="A669" s="22" t="s">
        <v>230</v>
      </c>
      <c r="B669" s="23" t="s">
        <v>187</v>
      </c>
      <c r="C669" s="10" t="str">
        <f aca="false">IF(G669="","未受領",IF(G669="なし","報告なし",IF(AL669="○","起票済",IF(OR(AK669="○",F669="一致",F669="入金不要"),"入金確認済","受領済"))))</f>
        <v>未受領</v>
      </c>
      <c r="D669" s="10" t="str">
        <f aca="false">IF(OR(G669="",G669="なし"),"―",IF(CN669="N","対象外",IF(AND(I669="",J669="",K669=""),"標報未入力",IF(CH669&gt;=設定!$B$4,"要確認","問題なし"))))</f>
        <v>―</v>
      </c>
      <c r="E669" s="24" t="str">
        <f aca="false">IF(OR(G669="",G669="なし",CI669="",CJ669=0),"―",IF(CJ669=CI669,"前月同額",IF(CI669=0,"―",IF(ABS(CJ669/CI669-1)&gt;=設定!$B$5,"変動大 "&amp;TEXT(CJ669/CI669-1,"+0%;-0%"),"〇"))))</f>
        <v>―</v>
      </c>
      <c r="F669" s="10" t="str">
        <f aca="false">IF(OR(G669="",G669="なし"),"―",IF(CJ669=0,"入金不要",IF(COUNT(AD669,AF669,AH669,AJ669)=0,IF(AK669="○","手動確認","未入金"),IF(AND(N(AD669)=AC669,IF(AE669="",TRUE(),N(AF669)=AE669),IF(AG669="",TRUE(),N(AH669)=AG669),IF(AI669="",TRUE(),N(AJ669)=AI669)),"一致","不一致"))))</f>
        <v>―</v>
      </c>
      <c r="G669" s="25"/>
      <c r="H669" s="26"/>
      <c r="I669" s="27"/>
      <c r="J669" s="27"/>
      <c r="K669" s="27"/>
      <c r="L669" s="27"/>
      <c r="M669" s="27"/>
      <c r="N669" s="27"/>
      <c r="O669" s="27"/>
      <c r="P669" s="27"/>
      <c r="Q669" s="27"/>
      <c r="R669" s="27"/>
      <c r="S669" s="27"/>
      <c r="T669" s="27"/>
      <c r="U669" s="27"/>
      <c r="V669" s="27"/>
      <c r="W669" s="27"/>
      <c r="X669" s="27"/>
      <c r="Y669" s="27"/>
      <c r="Z669" s="27"/>
      <c r="AA669" s="10" t="str">
        <f aca="false">IFERROR(INDEX(設定!$E$61:$E$106,MATCH(B669,設定!$B$61:$B$106,0)),"合算")</f>
        <v>合算</v>
      </c>
      <c r="AB669" s="28"/>
      <c r="AC669" s="29" t="str">
        <f aca="false">IF(OR(G669="",G669="なし"),"",IF(AA669="合算",CJ669+N(Z669),IF(AA669="掛金・負担金別",(AY669+AZ669+BD669+BF669+BH669),SUM(AY669:BC669))))</f>
        <v/>
      </c>
      <c r="AD669" s="27"/>
      <c r="AE669" s="29" t="str">
        <f aca="false">IF(OR(G669="",G669="なし"),"",IF(AA669="掛金・負担金別",(BA669+BB669+BC669+BE669+BG669+BI669+N(Z669)),IF(AA669="経理区分別",BD669+BE669,"")))</f>
        <v/>
      </c>
      <c r="AF669" s="27"/>
      <c r="AG669" s="29" t="str">
        <f aca="false">IF(OR(G669="",G669="なし"),"",IF(AA669="経理区分別",BF669+BG669,""))</f>
        <v/>
      </c>
      <c r="AH669" s="27"/>
      <c r="AI669" s="29" t="str">
        <f aca="false">IF(OR(G669="",G669="なし"),"",IF(AA669="経理区分別",BH669+BI669+N(Z669),""))</f>
        <v/>
      </c>
      <c r="AJ669" s="27"/>
      <c r="AK669" s="26"/>
      <c r="AL669" s="26"/>
      <c r="AM669" s="30"/>
      <c r="AN669" s="31"/>
      <c r="AO669" s="31"/>
      <c r="AP669" s="31" t="n">
        <v>48495</v>
      </c>
      <c r="AQ669" s="31" t="n">
        <v>3975</v>
      </c>
      <c r="AR669" s="31" t="n">
        <v>49</v>
      </c>
      <c r="AS669" s="31"/>
      <c r="AT669" s="31" t="n">
        <v>29208</v>
      </c>
      <c r="AU669" s="31"/>
      <c r="AV669" s="31" t="n">
        <v>4187</v>
      </c>
      <c r="AW669" s="31"/>
      <c r="AX669" s="31" t="n">
        <v>1</v>
      </c>
      <c r="AY669" s="31" t="n">
        <f aca="false">IF($G669="",AN669,O669)</f>
        <v>0</v>
      </c>
      <c r="AZ669" s="31" t="n">
        <f aca="false">IF($G669="",AO669,P669)</f>
        <v>0</v>
      </c>
      <c r="BA669" s="31" t="n">
        <f aca="false">IF($G669="",AP669,T669)</f>
        <v>48495</v>
      </c>
      <c r="BB669" s="31" t="n">
        <f aca="false">IF($G669="",AQ669,U669)</f>
        <v>3975</v>
      </c>
      <c r="BC669" s="31" t="n">
        <f aca="false">IF($G669="",AR669,V669)</f>
        <v>49</v>
      </c>
      <c r="BD669" s="31" t="n">
        <f aca="false">IF($G669="",AS669,Q669)</f>
        <v>0</v>
      </c>
      <c r="BE669" s="31" t="n">
        <f aca="false">IF($G669="",AT669,W669)</f>
        <v>29208</v>
      </c>
      <c r="BF669" s="31" t="n">
        <f aca="false">IF($G669="",AU669,R669)</f>
        <v>0</v>
      </c>
      <c r="BG669" s="31" t="n">
        <f aca="false">IF($G669="",AV669,X669)</f>
        <v>4187</v>
      </c>
      <c r="BH669" s="31" t="n">
        <f aca="false">IF($G669="",AW669,S669)</f>
        <v>0</v>
      </c>
      <c r="BI669" s="31" t="n">
        <f aca="false">IF($G669="",AX669,Y669)</f>
        <v>1</v>
      </c>
      <c r="BJ669" s="31" t="n">
        <f aca="false">IF(CK669="N",BR669,ROUNDDOWN((I669-L669)*設定!$B$10/1000,0)+ROUNDDOWN((I669-L669)*設定!$B$11/1000,0))</f>
        <v>0</v>
      </c>
      <c r="BK669" s="31" t="n">
        <f aca="false">ROUNDDOWN((I669-L669)*設定!$C$10/1000,0)+ROUNDDOWN((I669-L669)*設定!$C$11/1000,0)+ROUNDDOWN(I669*設定!$C$12/1000,0)+IF(CL669="市局型",ROUNDDOWN(I669*設定!$C$16/1000,0),0)</f>
        <v>0</v>
      </c>
      <c r="BL669" s="31" t="n">
        <f aca="false">IF(CK669="N",BT669,ROUNDDOWN((J669-M669)*設定!$B$13/1000,0))</f>
        <v>0</v>
      </c>
      <c r="BM669" s="31" t="n">
        <f aca="false">ROUNDDOWN((J669-M669)*設定!$C$13/1000,0)+IF(CL669="市局型",ROUNDDOWN(J669*設定!$C$17/1000,0),0)</f>
        <v>0</v>
      </c>
      <c r="BN669" s="31" t="n">
        <f aca="false">IF(CK669="N",BV669,ROUNDDOWN((K669-N669)*設定!$B$14/1000,0))</f>
        <v>0</v>
      </c>
      <c r="BO669" s="31" t="n">
        <f aca="false">ROUNDDOWN((K669-N669)*設定!$C$14/1000,0)</f>
        <v>0</v>
      </c>
      <c r="BP669" s="31" t="n">
        <f aca="false">IF(CK669="N",BX669,ROUNDDOWN((J669-M669)*設定!$B$15/1000,0))</f>
        <v>0</v>
      </c>
      <c r="BQ669" s="31" t="n">
        <f aca="false">ROUNDDOWN((J669-M669)*設定!$C$15/1000,0)</f>
        <v>0</v>
      </c>
      <c r="BR669" s="31" t="n">
        <f aca="false">O669+P669</f>
        <v>0</v>
      </c>
      <c r="BS669" s="31" t="n">
        <f aca="false">T669+U669+V669</f>
        <v>0</v>
      </c>
      <c r="BT669" s="31" t="n">
        <f aca="false">Q669</f>
        <v>0</v>
      </c>
      <c r="BU669" s="31" t="n">
        <f aca="false">W669</f>
        <v>0</v>
      </c>
      <c r="BV669" s="31" t="n">
        <f aca="false">R669</f>
        <v>0</v>
      </c>
      <c r="BW669" s="31" t="n">
        <f aca="false">X669</f>
        <v>0</v>
      </c>
      <c r="BX669" s="31" t="n">
        <f aca="false">S669</f>
        <v>0</v>
      </c>
      <c r="BY669" s="31" t="n">
        <f aca="false">Y669</f>
        <v>0</v>
      </c>
      <c r="BZ669" s="32" t="n">
        <f aca="false">IF(BJ669=0,IF(BR669=0,0,1),(BR669-BJ669)/BJ669)</f>
        <v>0</v>
      </c>
      <c r="CA669" s="32" t="n">
        <f aca="false">IF(BK669=0,IF(BS669=0,0,1),(BS669-BK669)/BK669)</f>
        <v>0</v>
      </c>
      <c r="CB669" s="32" t="n">
        <f aca="false">IF(BL669=0,IF(BT669=0,0,1),(BT669-BL669)/BL669)</f>
        <v>0</v>
      </c>
      <c r="CC669" s="32" t="n">
        <f aca="false">IF(BM669=0,IF(BU669=0,0,1),(BU669-BM669)/BM669)</f>
        <v>0</v>
      </c>
      <c r="CD669" s="32" t="n">
        <f aca="false">IF(BN669=0,IF(BV669=0,0,1),(BV669-BN669)/BN669)</f>
        <v>0</v>
      </c>
      <c r="CE669" s="32" t="n">
        <f aca="false">IF(BO669=0,IF(BW669=0,0,1),(BW669-BO669)/BO669)</f>
        <v>0</v>
      </c>
      <c r="CF669" s="32" t="n">
        <f aca="false">IF(BP669=0,IF(BX669=0,0,1),(BX669-BP669)/BP669)</f>
        <v>0</v>
      </c>
      <c r="CG669" s="32" t="n">
        <f aca="false">IF(BQ669=0,IF(BY669=0,0,1),(BY669-BQ669)/BQ669)</f>
        <v>0</v>
      </c>
      <c r="CH669" s="32" t="n">
        <f aca="false">MAX(MAX(BZ669:CG669),-MIN(BZ669:CG669))</f>
        <v>-0</v>
      </c>
      <c r="CI669" s="31" t="n">
        <f aca="false">IF(CO669="","",SUMIFS($CJ$7:$CJ$696,$A$7:$A$696,CO669,$B$7:$B$696,B669))</f>
        <v>85915</v>
      </c>
      <c r="CJ669" s="31" t="n">
        <f aca="false">SUM(AY669:BI669)</f>
        <v>85915</v>
      </c>
      <c r="CK669" s="31" t="str">
        <f aca="false">IFERROR(INDEX(設定!$F$61:$F$106,MATCH(B669,設定!$B$61:$B$106,0)),"Y")</f>
        <v>N</v>
      </c>
      <c r="CL669" s="31" t="str">
        <f aca="false">IFERROR(INDEX(設定!$G$61:$G$106,MATCH(B669,設定!$B$61:$B$106,0)),"外郭型")</f>
        <v>外郭型</v>
      </c>
      <c r="CM669" s="33" t="str">
        <f aca="false">A669&amp;"|"&amp;B669</f>
        <v>2027-03 月例|都市整備公社　市</v>
      </c>
      <c r="CN669" s="34" t="str">
        <f aca="false">IFERROR(INDEX(設定!$D$61:$D$106,MATCH(B669,設定!$B$61:$B$106,0)),"Y")</f>
        <v>Y</v>
      </c>
      <c r="CO669" s="34" t="str">
        <f aca="false">IFERROR(INDEX(設定!$D$20:$D$34,MATCH(A669,設定!$A$20:$A$34,0))&amp;"","")</f>
        <v>2027-02 月例</v>
      </c>
    </row>
    <row r="670" customFormat="false" ht="15" hidden="true" customHeight="false" outlineLevel="0" collapsed="false">
      <c r="A670" s="22" t="s">
        <v>230</v>
      </c>
      <c r="B670" s="23" t="s">
        <v>188</v>
      </c>
      <c r="C670" s="10" t="str">
        <f aca="false">IF(G670="","未受領",IF(G670="なし","報告なし",IF(AL670="○","起票済",IF(OR(AK670="○",F670="一致",F670="入金不要"),"入金確認済","受領済"))))</f>
        <v>未受領</v>
      </c>
      <c r="D670" s="10" t="str">
        <f aca="false">IF(OR(G670="",G670="なし"),"―",IF(CN670="N","対象外",IF(AND(I670="",J670="",K670=""),"標報未入力",IF(CH670&gt;=設定!$B$4,"要確認","問題なし"))))</f>
        <v>―</v>
      </c>
      <c r="E670" s="24" t="str">
        <f aca="false">IF(OR(G670="",G670="なし",CI670="",CJ670=0),"―",IF(CJ670=CI670,"前月同額",IF(CI670=0,"―",IF(ABS(CJ670/CI670-1)&gt;=設定!$B$5,"変動大 "&amp;TEXT(CJ670/CI670-1,"+0%;-0%"),"〇"))))</f>
        <v>―</v>
      </c>
      <c r="F670" s="10" t="str">
        <f aca="false">IF(OR(G670="",G670="なし"),"―",IF(CJ670=0,"入金不要",IF(COUNT(AD670,AF670,AH670,AJ670)=0,IF(AK670="○","手動確認","未入金"),IF(AND(N(AD670)=AC670,IF(AE670="",TRUE(),N(AF670)=AE670),IF(AG670="",TRUE(),N(AH670)=AG670),IF(AI670="",TRUE(),N(AJ670)=AI670)),"一致","不一致"))))</f>
        <v>―</v>
      </c>
      <c r="G670" s="25"/>
      <c r="H670" s="26"/>
      <c r="I670" s="27"/>
      <c r="J670" s="27"/>
      <c r="K670" s="27"/>
      <c r="L670" s="27"/>
      <c r="M670" s="27"/>
      <c r="N670" s="27"/>
      <c r="O670" s="27"/>
      <c r="P670" s="27"/>
      <c r="Q670" s="27"/>
      <c r="R670" s="27"/>
      <c r="S670" s="27"/>
      <c r="T670" s="27"/>
      <c r="U670" s="27"/>
      <c r="V670" s="27"/>
      <c r="W670" s="27"/>
      <c r="X670" s="27"/>
      <c r="Y670" s="27"/>
      <c r="Z670" s="27"/>
      <c r="AA670" s="10" t="str">
        <f aca="false">IFERROR(INDEX(設定!$E$61:$E$106,MATCH(B670,設定!$B$61:$B$106,0)),"合算")</f>
        <v>合算</v>
      </c>
      <c r="AB670" s="28"/>
      <c r="AC670" s="29" t="str">
        <f aca="false">IF(OR(G670="",G670="なし"),"",IF(AA670="合算",CJ670+N(Z670),IF(AA670="掛金・負担金別",(AY670+AZ670+BD670+BF670+BH670),SUM(AY670:BC670))))</f>
        <v/>
      </c>
      <c r="AD670" s="27"/>
      <c r="AE670" s="29" t="str">
        <f aca="false">IF(OR(G670="",G670="なし"),"",IF(AA670="掛金・負担金別",(BA670+BB670+BC670+BE670+BG670+BI670+N(Z670)),IF(AA670="経理区分別",BD670+BE670,"")))</f>
        <v/>
      </c>
      <c r="AF670" s="27"/>
      <c r="AG670" s="29" t="str">
        <f aca="false">IF(OR(G670="",G670="なし"),"",IF(AA670="経理区分別",BF670+BG670,""))</f>
        <v/>
      </c>
      <c r="AH670" s="27"/>
      <c r="AI670" s="29" t="str">
        <f aca="false">IF(OR(G670="",G670="なし"),"",IF(AA670="経理区分別",BH670+BI670+N(Z670),""))</f>
        <v/>
      </c>
      <c r="AJ670" s="27"/>
      <c r="AK670" s="26"/>
      <c r="AL670" s="26"/>
      <c r="AM670" s="30"/>
      <c r="AN670" s="31"/>
      <c r="AO670" s="31"/>
      <c r="AP670" s="31" t="n">
        <v>124440</v>
      </c>
      <c r="AQ670" s="31" t="n">
        <v>10200</v>
      </c>
      <c r="AR670" s="31" t="n">
        <v>127</v>
      </c>
      <c r="AS670" s="31"/>
      <c r="AT670" s="31" t="n">
        <v>74949</v>
      </c>
      <c r="AU670" s="31"/>
      <c r="AV670" s="31" t="n">
        <v>7031</v>
      </c>
      <c r="AW670" s="31"/>
      <c r="AX670" s="31" t="n">
        <v>1</v>
      </c>
      <c r="AY670" s="31" t="n">
        <f aca="false">IF($G670="",AN670,O670)</f>
        <v>0</v>
      </c>
      <c r="AZ670" s="31" t="n">
        <f aca="false">IF($G670="",AO670,P670)</f>
        <v>0</v>
      </c>
      <c r="BA670" s="31" t="n">
        <f aca="false">IF($G670="",AP670,T670)</f>
        <v>124440</v>
      </c>
      <c r="BB670" s="31" t="n">
        <f aca="false">IF($G670="",AQ670,U670)</f>
        <v>10200</v>
      </c>
      <c r="BC670" s="31" t="n">
        <f aca="false">IF($G670="",AR670,V670)</f>
        <v>127</v>
      </c>
      <c r="BD670" s="31" t="n">
        <f aca="false">IF($G670="",AS670,Q670)</f>
        <v>0</v>
      </c>
      <c r="BE670" s="31" t="n">
        <f aca="false">IF($G670="",AT670,W670)</f>
        <v>74949</v>
      </c>
      <c r="BF670" s="31" t="n">
        <f aca="false">IF($G670="",AU670,R670)</f>
        <v>0</v>
      </c>
      <c r="BG670" s="31" t="n">
        <f aca="false">IF($G670="",AV670,X670)</f>
        <v>7031</v>
      </c>
      <c r="BH670" s="31" t="n">
        <f aca="false">IF($G670="",AW670,S670)</f>
        <v>0</v>
      </c>
      <c r="BI670" s="31" t="n">
        <f aca="false">IF($G670="",AX670,Y670)</f>
        <v>1</v>
      </c>
      <c r="BJ670" s="31" t="n">
        <f aca="false">IF(CK670="N",BR670,ROUNDDOWN((I670-L670)*設定!$B$10/1000,0)+ROUNDDOWN((I670-L670)*設定!$B$11/1000,0))</f>
        <v>0</v>
      </c>
      <c r="BK670" s="31" t="n">
        <f aca="false">ROUNDDOWN((I670-L670)*設定!$C$10/1000,0)+ROUNDDOWN((I670-L670)*設定!$C$11/1000,0)+ROUNDDOWN(I670*設定!$C$12/1000,0)+IF(CL670="市局型",ROUNDDOWN(I670*設定!$C$16/1000,0),0)</f>
        <v>0</v>
      </c>
      <c r="BL670" s="31" t="n">
        <f aca="false">IF(CK670="N",BT670,ROUNDDOWN((J670-M670)*設定!$B$13/1000,0))</f>
        <v>0</v>
      </c>
      <c r="BM670" s="31" t="n">
        <f aca="false">ROUNDDOWN((J670-M670)*設定!$C$13/1000,0)+IF(CL670="市局型",ROUNDDOWN(J670*設定!$C$17/1000,0),0)</f>
        <v>0</v>
      </c>
      <c r="BN670" s="31" t="n">
        <f aca="false">IF(CK670="N",BV670,ROUNDDOWN((K670-N670)*設定!$B$14/1000,0))</f>
        <v>0</v>
      </c>
      <c r="BO670" s="31" t="n">
        <f aca="false">ROUNDDOWN((K670-N670)*設定!$C$14/1000,0)</f>
        <v>0</v>
      </c>
      <c r="BP670" s="31" t="n">
        <f aca="false">IF(CK670="N",BX670,ROUNDDOWN((J670-M670)*設定!$B$15/1000,0))</f>
        <v>0</v>
      </c>
      <c r="BQ670" s="31" t="n">
        <f aca="false">ROUNDDOWN((J670-M670)*設定!$C$15/1000,0)</f>
        <v>0</v>
      </c>
      <c r="BR670" s="31" t="n">
        <f aca="false">O670+P670</f>
        <v>0</v>
      </c>
      <c r="BS670" s="31" t="n">
        <f aca="false">T670+U670+V670</f>
        <v>0</v>
      </c>
      <c r="BT670" s="31" t="n">
        <f aca="false">Q670</f>
        <v>0</v>
      </c>
      <c r="BU670" s="31" t="n">
        <f aca="false">W670</f>
        <v>0</v>
      </c>
      <c r="BV670" s="31" t="n">
        <f aca="false">R670</f>
        <v>0</v>
      </c>
      <c r="BW670" s="31" t="n">
        <f aca="false">X670</f>
        <v>0</v>
      </c>
      <c r="BX670" s="31" t="n">
        <f aca="false">S670</f>
        <v>0</v>
      </c>
      <c r="BY670" s="31" t="n">
        <f aca="false">Y670</f>
        <v>0</v>
      </c>
      <c r="BZ670" s="32" t="n">
        <f aca="false">IF(BJ670=0,IF(BR670=0,0,1),(BR670-BJ670)/BJ670)</f>
        <v>0</v>
      </c>
      <c r="CA670" s="32" t="n">
        <f aca="false">IF(BK670=0,IF(BS670=0,0,1),(BS670-BK670)/BK670)</f>
        <v>0</v>
      </c>
      <c r="CB670" s="32" t="n">
        <f aca="false">IF(BL670=0,IF(BT670=0,0,1),(BT670-BL670)/BL670)</f>
        <v>0</v>
      </c>
      <c r="CC670" s="32" t="n">
        <f aca="false">IF(BM670=0,IF(BU670=0,0,1),(BU670-BM670)/BM670)</f>
        <v>0</v>
      </c>
      <c r="CD670" s="32" t="n">
        <f aca="false">IF(BN670=0,IF(BV670=0,0,1),(BV670-BN670)/BN670)</f>
        <v>0</v>
      </c>
      <c r="CE670" s="32" t="n">
        <f aca="false">IF(BO670=0,IF(BW670=0,0,1),(BW670-BO670)/BO670)</f>
        <v>0</v>
      </c>
      <c r="CF670" s="32" t="n">
        <f aca="false">IF(BP670=0,IF(BX670=0,0,1),(BX670-BP670)/BP670)</f>
        <v>0</v>
      </c>
      <c r="CG670" s="32" t="n">
        <f aca="false">IF(BQ670=0,IF(BY670=0,0,1),(BY670-BQ670)/BQ670)</f>
        <v>0</v>
      </c>
      <c r="CH670" s="32" t="n">
        <f aca="false">MAX(MAX(BZ670:CG670),-MIN(BZ670:CG670))</f>
        <v>-0</v>
      </c>
      <c r="CI670" s="31" t="n">
        <f aca="false">IF(CO670="","",SUMIFS($CJ$7:$CJ$696,$A$7:$A$696,CO670,$B$7:$B$696,B670))</f>
        <v>213356</v>
      </c>
      <c r="CJ670" s="31" t="n">
        <f aca="false">SUM(AY670:BI670)</f>
        <v>216748</v>
      </c>
      <c r="CK670" s="31" t="str">
        <f aca="false">IFERROR(INDEX(設定!$F$61:$F$106,MATCH(B670,設定!$B$61:$B$106,0)),"Y")</f>
        <v>N</v>
      </c>
      <c r="CL670" s="31" t="str">
        <f aca="false">IFERROR(INDEX(設定!$G$61:$G$106,MATCH(B670,設定!$B$61:$B$106,0)),"外郭型")</f>
        <v>外郭型</v>
      </c>
      <c r="CM670" s="33" t="str">
        <f aca="false">A670&amp;"|"&amp;B670</f>
        <v>2027-03 月例|都市整備公社　消防</v>
      </c>
      <c r="CN670" s="34" t="str">
        <f aca="false">IFERROR(INDEX(設定!$D$61:$D$106,MATCH(B670,設定!$B$61:$B$106,0)),"Y")</f>
        <v>Y</v>
      </c>
      <c r="CO670" s="34" t="str">
        <f aca="false">IFERROR(INDEX(設定!$D$20:$D$34,MATCH(A670,設定!$A$20:$A$34,0))&amp;"","")</f>
        <v>2027-02 月例</v>
      </c>
    </row>
    <row r="671" customFormat="false" ht="15" hidden="true" customHeight="false" outlineLevel="0" collapsed="false">
      <c r="A671" s="22" t="s">
        <v>230</v>
      </c>
      <c r="B671" s="23" t="s">
        <v>189</v>
      </c>
      <c r="C671" s="10" t="str">
        <f aca="false">IF(G671="","未受領",IF(G671="なし","報告なし",IF(AL671="○","起票済",IF(OR(AK671="○",F671="一致",F671="入金不要"),"入金確認済","受領済"))))</f>
        <v>未受領</v>
      </c>
      <c r="D671" s="10" t="str">
        <f aca="false">IF(OR(G671="",G671="なし"),"―",IF(CN671="N","対象外",IF(AND(I671="",J671="",K671=""),"標報未入力",IF(CH671&gt;=設定!$B$4,"要確認","問題なし"))))</f>
        <v>―</v>
      </c>
      <c r="E671" s="24" t="str">
        <f aca="false">IF(OR(G671="",G671="なし",CI671="",CJ671=0),"―",IF(CJ671=CI671,"前月同額",IF(CI671=0,"―",IF(ABS(CJ671/CI671-1)&gt;=設定!$B$5,"変動大 "&amp;TEXT(CJ671/CI671-1,"+0%;-0%"),"〇"))))</f>
        <v>―</v>
      </c>
      <c r="F671" s="10" t="str">
        <f aca="false">IF(OR(G671="",G671="なし"),"―",IF(CJ671=0,"入金不要",IF(COUNT(AD671,AF671,AH671,AJ671)=0,IF(AK671="○","手動確認","未入金"),IF(AND(N(AD671)=AC671,IF(AE671="",TRUE(),N(AF671)=AE671),IF(AG671="",TRUE(),N(AH671)=AG671),IF(AI671="",TRUE(),N(AJ671)=AI671)),"一致","不一致"))))</f>
        <v>―</v>
      </c>
      <c r="G671" s="25"/>
      <c r="H671" s="26"/>
      <c r="I671" s="27"/>
      <c r="J671" s="27"/>
      <c r="K671" s="27"/>
      <c r="L671" s="27"/>
      <c r="M671" s="27"/>
      <c r="N671" s="27"/>
      <c r="O671" s="27"/>
      <c r="P671" s="27"/>
      <c r="Q671" s="27"/>
      <c r="R671" s="27"/>
      <c r="S671" s="27"/>
      <c r="T671" s="27"/>
      <c r="U671" s="27"/>
      <c r="V671" s="27"/>
      <c r="W671" s="27"/>
      <c r="X671" s="27"/>
      <c r="Y671" s="27"/>
      <c r="Z671" s="27"/>
      <c r="AA671" s="10" t="str">
        <f aca="false">IFERROR(INDEX(設定!$E$61:$E$106,MATCH(B671,設定!$B$61:$B$106,0)),"合算")</f>
        <v>合算</v>
      </c>
      <c r="AB671" s="28"/>
      <c r="AC671" s="29" t="str">
        <f aca="false">IF(OR(G671="",G671="なし"),"",IF(AA671="合算",CJ671+N(Z671),IF(AA671="掛金・負担金別",(AY671+AZ671+BD671+BF671+BH671),SUM(AY671:BC671))))</f>
        <v/>
      </c>
      <c r="AD671" s="27"/>
      <c r="AE671" s="29" t="str">
        <f aca="false">IF(OR(G671="",G671="なし"),"",IF(AA671="掛金・負担金別",(BA671+BB671+BC671+BE671+BG671+BI671+N(Z671)),IF(AA671="経理区分別",BD671+BE671,"")))</f>
        <v/>
      </c>
      <c r="AF671" s="27"/>
      <c r="AG671" s="29" t="str">
        <f aca="false">IF(OR(G671="",G671="なし"),"",IF(AA671="経理区分別",BF671+BG671,""))</f>
        <v/>
      </c>
      <c r="AH671" s="27"/>
      <c r="AI671" s="29" t="str">
        <f aca="false">IF(OR(G671="",G671="なし"),"",IF(AA671="経理区分別",BH671+BI671+N(Z671),""))</f>
        <v/>
      </c>
      <c r="AJ671" s="27"/>
      <c r="AK671" s="26"/>
      <c r="AL671" s="26"/>
      <c r="AM671" s="30"/>
      <c r="AN671" s="31" t="n">
        <v>245220</v>
      </c>
      <c r="AO671" s="31" t="n">
        <v>20100</v>
      </c>
      <c r="AP671" s="31" t="n">
        <v>245220</v>
      </c>
      <c r="AQ671" s="31" t="n">
        <v>20100</v>
      </c>
      <c r="AR671" s="31" t="n">
        <v>251</v>
      </c>
      <c r="AS671" s="31" t="n">
        <v>147425</v>
      </c>
      <c r="AT671" s="31" t="n">
        <v>147694</v>
      </c>
      <c r="AU671" s="31" t="n">
        <v>9559</v>
      </c>
      <c r="AV671" s="31" t="n">
        <v>9559</v>
      </c>
      <c r="AW671" s="31" t="n">
        <v>1</v>
      </c>
      <c r="AX671" s="31" t="n">
        <v>1</v>
      </c>
      <c r="AY671" s="31" t="n">
        <f aca="false">IF($G671="",AN671,O671)</f>
        <v>245220</v>
      </c>
      <c r="AZ671" s="31" t="n">
        <f aca="false">IF($G671="",AO671,P671)</f>
        <v>20100</v>
      </c>
      <c r="BA671" s="31" t="n">
        <f aca="false">IF($G671="",AP671,T671)</f>
        <v>245220</v>
      </c>
      <c r="BB671" s="31" t="n">
        <f aca="false">IF($G671="",AQ671,U671)</f>
        <v>20100</v>
      </c>
      <c r="BC671" s="31" t="n">
        <f aca="false">IF($G671="",AR671,V671)</f>
        <v>251</v>
      </c>
      <c r="BD671" s="31" t="n">
        <f aca="false">IF($G671="",AS671,Q671)</f>
        <v>147425</v>
      </c>
      <c r="BE671" s="31" t="n">
        <f aca="false">IF($G671="",AT671,W671)</f>
        <v>147694</v>
      </c>
      <c r="BF671" s="31" t="n">
        <f aca="false">IF($G671="",AU671,R671)</f>
        <v>9559</v>
      </c>
      <c r="BG671" s="31" t="n">
        <f aca="false">IF($G671="",AV671,X671)</f>
        <v>9559</v>
      </c>
      <c r="BH671" s="31" t="n">
        <f aca="false">IF($G671="",AW671,S671)</f>
        <v>1</v>
      </c>
      <c r="BI671" s="31" t="n">
        <f aca="false">IF($G671="",AX671,Y671)</f>
        <v>1</v>
      </c>
      <c r="BJ671" s="31" t="n">
        <f aca="false">IF(CK671="N",BR671,ROUNDDOWN((I671-L671)*設定!$B$10/1000,0)+ROUNDDOWN((I671-L671)*設定!$B$11/1000,0))</f>
        <v>0</v>
      </c>
      <c r="BK671" s="31" t="n">
        <f aca="false">ROUNDDOWN((I671-L671)*設定!$C$10/1000,0)+ROUNDDOWN((I671-L671)*設定!$C$11/1000,0)+ROUNDDOWN(I671*設定!$C$12/1000,0)+IF(CL671="市局型",ROUNDDOWN(I671*設定!$C$16/1000,0),0)</f>
        <v>0</v>
      </c>
      <c r="BL671" s="31" t="n">
        <f aca="false">IF(CK671="N",BT671,ROUNDDOWN((J671-M671)*設定!$B$13/1000,0))</f>
        <v>0</v>
      </c>
      <c r="BM671" s="31" t="n">
        <f aca="false">ROUNDDOWN((J671-M671)*設定!$C$13/1000,0)+IF(CL671="市局型",ROUNDDOWN(J671*設定!$C$17/1000,0),0)</f>
        <v>0</v>
      </c>
      <c r="BN671" s="31" t="n">
        <f aca="false">IF(CK671="N",BV671,ROUNDDOWN((K671-N671)*設定!$B$14/1000,0))</f>
        <v>0</v>
      </c>
      <c r="BO671" s="31" t="n">
        <f aca="false">ROUNDDOWN((K671-N671)*設定!$C$14/1000,0)</f>
        <v>0</v>
      </c>
      <c r="BP671" s="31" t="n">
        <f aca="false">IF(CK671="N",BX671,ROUNDDOWN((J671-M671)*設定!$B$15/1000,0))</f>
        <v>0</v>
      </c>
      <c r="BQ671" s="31" t="n">
        <f aca="false">ROUNDDOWN((J671-M671)*設定!$C$15/1000,0)</f>
        <v>0</v>
      </c>
      <c r="BR671" s="31" t="n">
        <f aca="false">O671+P671</f>
        <v>0</v>
      </c>
      <c r="BS671" s="31" t="n">
        <f aca="false">T671+U671+V671</f>
        <v>0</v>
      </c>
      <c r="BT671" s="31" t="n">
        <f aca="false">Q671</f>
        <v>0</v>
      </c>
      <c r="BU671" s="31" t="n">
        <f aca="false">W671</f>
        <v>0</v>
      </c>
      <c r="BV671" s="31" t="n">
        <f aca="false">R671</f>
        <v>0</v>
      </c>
      <c r="BW671" s="31" t="n">
        <f aca="false">X671</f>
        <v>0</v>
      </c>
      <c r="BX671" s="31" t="n">
        <f aca="false">S671</f>
        <v>0</v>
      </c>
      <c r="BY671" s="31" t="n">
        <f aca="false">Y671</f>
        <v>0</v>
      </c>
      <c r="BZ671" s="32" t="n">
        <f aca="false">IF(BJ671=0,IF(BR671=0,0,1),(BR671-BJ671)/BJ671)</f>
        <v>0</v>
      </c>
      <c r="CA671" s="32" t="n">
        <f aca="false">IF(BK671=0,IF(BS671=0,0,1),(BS671-BK671)/BK671)</f>
        <v>0</v>
      </c>
      <c r="CB671" s="32" t="n">
        <f aca="false">IF(BL671=0,IF(BT671=0,0,1),(BT671-BL671)/BL671)</f>
        <v>0</v>
      </c>
      <c r="CC671" s="32" t="n">
        <f aca="false">IF(BM671=0,IF(BU671=0,0,1),(BU671-BM671)/BM671)</f>
        <v>0</v>
      </c>
      <c r="CD671" s="32" t="n">
        <f aca="false">IF(BN671=0,IF(BV671=0,0,1),(BV671-BN671)/BN671)</f>
        <v>0</v>
      </c>
      <c r="CE671" s="32" t="n">
        <f aca="false">IF(BO671=0,IF(BW671=0,0,1),(BW671-BO671)/BO671)</f>
        <v>0</v>
      </c>
      <c r="CF671" s="32" t="n">
        <f aca="false">IF(BP671=0,IF(BX671=0,0,1),(BX671-BP671)/BP671)</f>
        <v>0</v>
      </c>
      <c r="CG671" s="32" t="n">
        <f aca="false">IF(BQ671=0,IF(BY671=0,0,1),(BY671-BQ671)/BQ671)</f>
        <v>0</v>
      </c>
      <c r="CH671" s="32" t="n">
        <f aca="false">MAX(MAX(BZ671:CG671),-MIN(BZ671:CG671))</f>
        <v>-0</v>
      </c>
      <c r="CI671" s="31" t="n">
        <f aca="false">IF(CO671="","",SUMIFS($CJ$7:$CJ$696,$A$7:$A$696,CO671,$B$7:$B$696,B671))</f>
        <v>845130</v>
      </c>
      <c r="CJ671" s="31" t="n">
        <f aca="false">SUM(AY671:BI671)</f>
        <v>845130</v>
      </c>
      <c r="CK671" s="31" t="str">
        <f aca="false">IFERROR(INDEX(設定!$F$61:$F$106,MATCH(B671,設定!$B$61:$B$106,0)),"Y")</f>
        <v>Y</v>
      </c>
      <c r="CL671" s="31" t="str">
        <f aca="false">IFERROR(INDEX(設定!$G$61:$G$106,MATCH(B671,設定!$B$61:$B$106,0)),"外郭型")</f>
        <v>外郭型</v>
      </c>
      <c r="CM671" s="33" t="str">
        <f aca="false">A671&amp;"|"&amp;B671</f>
        <v>2027-03 月例|日本下水道事業団</v>
      </c>
      <c r="CN671" s="34" t="str">
        <f aca="false">IFERROR(INDEX(設定!$D$61:$D$106,MATCH(B671,設定!$B$61:$B$106,0)),"Y")</f>
        <v>Y</v>
      </c>
      <c r="CO671" s="34" t="str">
        <f aca="false">IFERROR(INDEX(設定!$D$20:$D$34,MATCH(A671,設定!$A$20:$A$34,0))&amp;"","")</f>
        <v>2027-02 月例</v>
      </c>
    </row>
    <row r="672" customFormat="false" ht="15" hidden="true" customHeight="false" outlineLevel="0" collapsed="false">
      <c r="A672" s="22" t="s">
        <v>230</v>
      </c>
      <c r="B672" s="23" t="s">
        <v>190</v>
      </c>
      <c r="C672" s="10" t="str">
        <f aca="false">IF(G672="","未受領",IF(G672="なし","報告なし",IF(AL672="○","起票済",IF(OR(AK672="○",F672="一致",F672="入金不要"),"入金確認済","受領済"))))</f>
        <v>未受領</v>
      </c>
      <c r="D672" s="10" t="str">
        <f aca="false">IF(OR(G672="",G672="なし"),"―",IF(CN672="N","対象外",IF(AND(I672="",J672="",K672=""),"標報未入力",IF(CH672&gt;=設定!$B$4,"要確認","問題なし"))))</f>
        <v>―</v>
      </c>
      <c r="E672" s="24" t="str">
        <f aca="false">IF(OR(G672="",G672="なし",CI672="",CJ672=0),"―",IF(CJ672=CI672,"前月同額",IF(CI672=0,"―",IF(ABS(CJ672/CI672-1)&gt;=設定!$B$5,"変動大 "&amp;TEXT(CJ672/CI672-1,"+0%;-0%"),"〇"))))</f>
        <v>―</v>
      </c>
      <c r="F672" s="10" t="str">
        <f aca="false">IF(OR(G672="",G672="なし"),"―",IF(CJ672=0,"入金不要",IF(COUNT(AD672,AF672,AH672,AJ672)=0,IF(AK672="○","手動確認","未入金"),IF(AND(N(AD672)=AC672,IF(AE672="",TRUE(),N(AF672)=AE672),IF(AG672="",TRUE(),N(AH672)=AG672),IF(AI672="",TRUE(),N(AJ672)=AI672)),"一致","不一致"))))</f>
        <v>―</v>
      </c>
      <c r="G672" s="25"/>
      <c r="H672" s="26"/>
      <c r="I672" s="27"/>
      <c r="J672" s="27"/>
      <c r="K672" s="27"/>
      <c r="L672" s="27"/>
      <c r="M672" s="27"/>
      <c r="N672" s="27"/>
      <c r="O672" s="27"/>
      <c r="P672" s="27"/>
      <c r="Q672" s="27"/>
      <c r="R672" s="27"/>
      <c r="S672" s="27"/>
      <c r="T672" s="27"/>
      <c r="U672" s="27"/>
      <c r="V672" s="27"/>
      <c r="W672" s="27"/>
      <c r="X672" s="27"/>
      <c r="Y672" s="27"/>
      <c r="Z672" s="27"/>
      <c r="AA672" s="10" t="str">
        <f aca="false">IFERROR(INDEX(設定!$E$61:$E$106,MATCH(B672,設定!$B$61:$B$106,0)),"合算")</f>
        <v>合算</v>
      </c>
      <c r="AB672" s="28"/>
      <c r="AC672" s="29" t="str">
        <f aca="false">IF(OR(G672="",G672="なし"),"",IF(AA672="合算",CJ672+N(Z672),IF(AA672="掛金・負担金別",(AY672+AZ672+BD672+BF672+BH672),SUM(AY672:BC672))))</f>
        <v/>
      </c>
      <c r="AD672" s="27"/>
      <c r="AE672" s="29" t="str">
        <f aca="false">IF(OR(G672="",G672="なし"),"",IF(AA672="掛金・負担金別",(BA672+BB672+BC672+BE672+BG672+BI672+N(Z672)),IF(AA672="経理区分別",BD672+BE672,"")))</f>
        <v/>
      </c>
      <c r="AF672" s="27"/>
      <c r="AG672" s="29" t="str">
        <f aca="false">IF(OR(G672="",G672="なし"),"",IF(AA672="経理区分別",BF672+BG672,""))</f>
        <v/>
      </c>
      <c r="AH672" s="27"/>
      <c r="AI672" s="29" t="str">
        <f aca="false">IF(OR(G672="",G672="なし"),"",IF(AA672="経理区分別",BH672+BI672+N(Z672),""))</f>
        <v/>
      </c>
      <c r="AJ672" s="27"/>
      <c r="AK672" s="26"/>
      <c r="AL672" s="26"/>
      <c r="AM672" s="30"/>
      <c r="AN672" s="31" t="n">
        <v>40260</v>
      </c>
      <c r="AO672" s="31" t="n">
        <v>3300</v>
      </c>
      <c r="AP672" s="31" t="n">
        <v>40260</v>
      </c>
      <c r="AQ672" s="31" t="n">
        <v>3300</v>
      </c>
      <c r="AR672" s="31" t="n">
        <v>41</v>
      </c>
      <c r="AS672" s="31" t="n">
        <v>24204</v>
      </c>
      <c r="AT672" s="31" t="n">
        <v>24248</v>
      </c>
      <c r="AU672" s="31" t="n">
        <v>0</v>
      </c>
      <c r="AV672" s="31" t="n">
        <v>0</v>
      </c>
      <c r="AW672" s="31" t="n">
        <v>1</v>
      </c>
      <c r="AX672" s="31" t="n">
        <v>1</v>
      </c>
      <c r="AY672" s="31" t="n">
        <f aca="false">IF($G672="",AN672,O672)</f>
        <v>40260</v>
      </c>
      <c r="AZ672" s="31" t="n">
        <f aca="false">IF($G672="",AO672,P672)</f>
        <v>3300</v>
      </c>
      <c r="BA672" s="31" t="n">
        <f aca="false">IF($G672="",AP672,T672)</f>
        <v>40260</v>
      </c>
      <c r="BB672" s="31" t="n">
        <f aca="false">IF($G672="",AQ672,U672)</f>
        <v>3300</v>
      </c>
      <c r="BC672" s="31" t="n">
        <f aca="false">IF($G672="",AR672,V672)</f>
        <v>41</v>
      </c>
      <c r="BD672" s="31" t="n">
        <f aca="false">IF($G672="",AS672,Q672)</f>
        <v>24204</v>
      </c>
      <c r="BE672" s="31" t="n">
        <f aca="false">IF($G672="",AT672,W672)</f>
        <v>24248</v>
      </c>
      <c r="BF672" s="31" t="n">
        <f aca="false">IF($G672="",AU672,R672)</f>
        <v>0</v>
      </c>
      <c r="BG672" s="31" t="n">
        <f aca="false">IF($G672="",AV672,X672)</f>
        <v>0</v>
      </c>
      <c r="BH672" s="31" t="n">
        <f aca="false">IF($G672="",AW672,S672)</f>
        <v>1</v>
      </c>
      <c r="BI672" s="31" t="n">
        <f aca="false">IF($G672="",AX672,Y672)</f>
        <v>1</v>
      </c>
      <c r="BJ672" s="31" t="n">
        <f aca="false">IF(CK672="N",BR672,ROUNDDOWN((I672-L672)*設定!$B$10/1000,0)+ROUNDDOWN((I672-L672)*設定!$B$11/1000,0))</f>
        <v>0</v>
      </c>
      <c r="BK672" s="31" t="n">
        <f aca="false">ROUNDDOWN((I672-L672)*設定!$C$10/1000,0)+ROUNDDOWN((I672-L672)*設定!$C$11/1000,0)+ROUNDDOWN(I672*設定!$C$12/1000,0)+IF(CL672="市局型",ROUNDDOWN(I672*設定!$C$16/1000,0),0)</f>
        <v>0</v>
      </c>
      <c r="BL672" s="31" t="n">
        <f aca="false">IF(CK672="N",BT672,ROUNDDOWN((J672-M672)*設定!$B$13/1000,0))</f>
        <v>0</v>
      </c>
      <c r="BM672" s="31" t="n">
        <f aca="false">ROUNDDOWN((J672-M672)*設定!$C$13/1000,0)+IF(CL672="市局型",ROUNDDOWN(J672*設定!$C$17/1000,0),0)</f>
        <v>0</v>
      </c>
      <c r="BN672" s="31" t="n">
        <f aca="false">IF(CK672="N",BV672,ROUNDDOWN((K672-N672)*設定!$B$14/1000,0))</f>
        <v>0</v>
      </c>
      <c r="BO672" s="31" t="n">
        <f aca="false">ROUNDDOWN((K672-N672)*設定!$C$14/1000,0)</f>
        <v>0</v>
      </c>
      <c r="BP672" s="31" t="n">
        <f aca="false">IF(CK672="N",BX672,ROUNDDOWN((J672-M672)*設定!$B$15/1000,0))</f>
        <v>0</v>
      </c>
      <c r="BQ672" s="31" t="n">
        <f aca="false">ROUNDDOWN((J672-M672)*設定!$C$15/1000,0)</f>
        <v>0</v>
      </c>
      <c r="BR672" s="31" t="n">
        <f aca="false">O672+P672</f>
        <v>0</v>
      </c>
      <c r="BS672" s="31" t="n">
        <f aca="false">T672+U672+V672</f>
        <v>0</v>
      </c>
      <c r="BT672" s="31" t="n">
        <f aca="false">Q672</f>
        <v>0</v>
      </c>
      <c r="BU672" s="31" t="n">
        <f aca="false">W672</f>
        <v>0</v>
      </c>
      <c r="BV672" s="31" t="n">
        <f aca="false">R672</f>
        <v>0</v>
      </c>
      <c r="BW672" s="31" t="n">
        <f aca="false">X672</f>
        <v>0</v>
      </c>
      <c r="BX672" s="31" t="n">
        <f aca="false">S672</f>
        <v>0</v>
      </c>
      <c r="BY672" s="31" t="n">
        <f aca="false">Y672</f>
        <v>0</v>
      </c>
      <c r="BZ672" s="32" t="n">
        <f aca="false">IF(BJ672=0,IF(BR672=0,0,1),(BR672-BJ672)/BJ672)</f>
        <v>0</v>
      </c>
      <c r="CA672" s="32" t="n">
        <f aca="false">IF(BK672=0,IF(BS672=0,0,1),(BS672-BK672)/BK672)</f>
        <v>0</v>
      </c>
      <c r="CB672" s="32" t="n">
        <f aca="false">IF(BL672=0,IF(BT672=0,0,1),(BT672-BL672)/BL672)</f>
        <v>0</v>
      </c>
      <c r="CC672" s="32" t="n">
        <f aca="false">IF(BM672=0,IF(BU672=0,0,1),(BU672-BM672)/BM672)</f>
        <v>0</v>
      </c>
      <c r="CD672" s="32" t="n">
        <f aca="false">IF(BN672=0,IF(BV672=0,0,1),(BV672-BN672)/BN672)</f>
        <v>0</v>
      </c>
      <c r="CE672" s="32" t="n">
        <f aca="false">IF(BO672=0,IF(BW672=0,0,1),(BW672-BO672)/BO672)</f>
        <v>0</v>
      </c>
      <c r="CF672" s="32" t="n">
        <f aca="false">IF(BP672=0,IF(BX672=0,0,1),(BX672-BP672)/BP672)</f>
        <v>0</v>
      </c>
      <c r="CG672" s="32" t="n">
        <f aca="false">IF(BQ672=0,IF(BY672=0,0,1),(BY672-BQ672)/BQ672)</f>
        <v>0</v>
      </c>
      <c r="CH672" s="32" t="n">
        <f aca="false">MAX(MAX(BZ672:CG672),-MIN(BZ672:CG672))</f>
        <v>-0</v>
      </c>
      <c r="CI672" s="31" t="n">
        <f aca="false">IF(CO672="","",SUMIFS($CJ$7:$CJ$696,$A$7:$A$696,CO672,$B$7:$B$696,B672))</f>
        <v>135615</v>
      </c>
      <c r="CJ672" s="31" t="n">
        <f aca="false">SUM(AY672:BI672)</f>
        <v>135615</v>
      </c>
      <c r="CK672" s="31" t="str">
        <f aca="false">IFERROR(INDEX(設定!$F$61:$F$106,MATCH(B672,設定!$B$61:$B$106,0)),"Y")</f>
        <v>Y</v>
      </c>
      <c r="CL672" s="31" t="str">
        <f aca="false">IFERROR(INDEX(設定!$G$61:$G$106,MATCH(B672,設定!$B$61:$B$106,0)),"外郭型")</f>
        <v>外郭型</v>
      </c>
      <c r="CM672" s="33" t="str">
        <f aca="false">A672&amp;"|"&amp;B672</f>
        <v>2027-03 月例|地方公務員災害補償基金本部</v>
      </c>
      <c r="CN672" s="34" t="str">
        <f aca="false">IFERROR(INDEX(設定!$D$61:$D$106,MATCH(B672,設定!$B$61:$B$106,0)),"Y")</f>
        <v>Y</v>
      </c>
      <c r="CO672" s="34" t="str">
        <f aca="false">IFERROR(INDEX(設定!$D$20:$D$34,MATCH(A672,設定!$A$20:$A$34,0))&amp;"","")</f>
        <v>2027-02 月例</v>
      </c>
    </row>
    <row r="673" customFormat="false" ht="15" hidden="true" customHeight="false" outlineLevel="0" collapsed="false">
      <c r="A673" s="22" t="s">
        <v>230</v>
      </c>
      <c r="B673" s="23" t="s">
        <v>191</v>
      </c>
      <c r="C673" s="10" t="str">
        <f aca="false">IF(G673="","未受領",IF(G673="なし","報告なし",IF(AL673="○","起票済",IF(OR(AK673="○",F673="一致",F673="入金不要"),"入金確認済","受領済"))))</f>
        <v>未受領</v>
      </c>
      <c r="D673" s="10" t="str">
        <f aca="false">IF(OR(G673="",G673="なし"),"―",IF(CN673="N","対象外",IF(AND(I673="",J673="",K673=""),"標報未入力",IF(CH673&gt;=設定!$B$4,"要確認","問題なし"))))</f>
        <v>―</v>
      </c>
      <c r="E673" s="24" t="str">
        <f aca="false">IF(OR(G673="",G673="なし",CI673="",CJ673=0),"―",IF(CJ673=CI673,"前月同額",IF(CI673=0,"―",IF(ABS(CJ673/CI673-1)&gt;=設定!$B$5,"変動大 "&amp;TEXT(CJ673/CI673-1,"+0%;-0%"),"〇"))))</f>
        <v>―</v>
      </c>
      <c r="F673" s="10" t="str">
        <f aca="false">IF(OR(G673="",G673="なし"),"―",IF(CJ673=0,"入金不要",IF(COUNT(AD673,AF673,AH673,AJ673)=0,IF(AK673="○","手動確認","未入金"),IF(AND(N(AD673)=AC673,IF(AE673="",TRUE(),N(AF673)=AE673),IF(AG673="",TRUE(),N(AH673)=AG673),IF(AI673="",TRUE(),N(AJ673)=AI673)),"一致","不一致"))))</f>
        <v>―</v>
      </c>
      <c r="G673" s="25"/>
      <c r="H673" s="26"/>
      <c r="I673" s="27"/>
      <c r="J673" s="27"/>
      <c r="K673" s="27"/>
      <c r="L673" s="27"/>
      <c r="M673" s="27"/>
      <c r="N673" s="27"/>
      <c r="O673" s="27"/>
      <c r="P673" s="27"/>
      <c r="Q673" s="27"/>
      <c r="R673" s="27"/>
      <c r="S673" s="27"/>
      <c r="T673" s="27"/>
      <c r="U673" s="27"/>
      <c r="V673" s="27"/>
      <c r="W673" s="27"/>
      <c r="X673" s="27"/>
      <c r="Y673" s="27"/>
      <c r="Z673" s="27"/>
      <c r="AA673" s="10" t="str">
        <f aca="false">IFERROR(INDEX(設定!$E$61:$E$106,MATCH(B673,設定!$B$61:$B$106,0)),"合算")</f>
        <v>合算</v>
      </c>
      <c r="AB673" s="28"/>
      <c r="AC673" s="29" t="str">
        <f aca="false">IF(OR(G673="",G673="なし"),"",IF(AA673="合算",CJ673+N(Z673),IF(AA673="掛金・負担金別",(AY673+AZ673+BD673+BF673+BH673),SUM(AY673:BC673))))</f>
        <v/>
      </c>
      <c r="AD673" s="27"/>
      <c r="AE673" s="29" t="str">
        <f aca="false">IF(OR(G673="",G673="なし"),"",IF(AA673="掛金・負担金別",(BA673+BB673+BC673+BE673+BG673+BI673+N(Z673)),IF(AA673="経理区分別",BD673+BE673,"")))</f>
        <v/>
      </c>
      <c r="AF673" s="27"/>
      <c r="AG673" s="29" t="str">
        <f aca="false">IF(OR(G673="",G673="なし"),"",IF(AA673="経理区分別",BF673+BG673,""))</f>
        <v/>
      </c>
      <c r="AH673" s="27"/>
      <c r="AI673" s="29" t="str">
        <f aca="false">IF(OR(G673="",G673="なし"),"",IF(AA673="経理区分別",BH673+BI673+N(Z673),""))</f>
        <v/>
      </c>
      <c r="AJ673" s="27"/>
      <c r="AK673" s="26"/>
      <c r="AL673" s="26"/>
      <c r="AM673" s="30"/>
      <c r="AN673" s="31" t="n">
        <v>102480</v>
      </c>
      <c r="AO673" s="31" t="n">
        <v>8400</v>
      </c>
      <c r="AP673" s="31" t="n">
        <v>102480</v>
      </c>
      <c r="AQ673" s="31" t="n">
        <v>8400</v>
      </c>
      <c r="AR673" s="31" t="n">
        <v>105</v>
      </c>
      <c r="AS673" s="31" t="n">
        <v>61610</v>
      </c>
      <c r="AT673" s="31" t="n">
        <v>61723</v>
      </c>
      <c r="AU673" s="31" t="n">
        <v>4661</v>
      </c>
      <c r="AV673" s="31" t="n">
        <v>4661</v>
      </c>
      <c r="AW673" s="31" t="n">
        <v>1</v>
      </c>
      <c r="AX673" s="31" t="n">
        <v>1</v>
      </c>
      <c r="AY673" s="31" t="n">
        <f aca="false">IF($G673="",AN673,O673)</f>
        <v>102480</v>
      </c>
      <c r="AZ673" s="31" t="n">
        <f aca="false">IF($G673="",AO673,P673)</f>
        <v>8400</v>
      </c>
      <c r="BA673" s="31" t="n">
        <f aca="false">IF($G673="",AP673,T673)</f>
        <v>102480</v>
      </c>
      <c r="BB673" s="31" t="n">
        <f aca="false">IF($G673="",AQ673,U673)</f>
        <v>8400</v>
      </c>
      <c r="BC673" s="31" t="n">
        <f aca="false">IF($G673="",AR673,V673)</f>
        <v>105</v>
      </c>
      <c r="BD673" s="31" t="n">
        <f aca="false">IF($G673="",AS673,Q673)</f>
        <v>61610</v>
      </c>
      <c r="BE673" s="31" t="n">
        <f aca="false">IF($G673="",AT673,W673)</f>
        <v>61723</v>
      </c>
      <c r="BF673" s="31" t="n">
        <f aca="false">IF($G673="",AU673,R673)</f>
        <v>4661</v>
      </c>
      <c r="BG673" s="31" t="n">
        <f aca="false">IF($G673="",AV673,X673)</f>
        <v>4661</v>
      </c>
      <c r="BH673" s="31" t="n">
        <f aca="false">IF($G673="",AW673,S673)</f>
        <v>1</v>
      </c>
      <c r="BI673" s="31" t="n">
        <f aca="false">IF($G673="",AX673,Y673)</f>
        <v>1</v>
      </c>
      <c r="BJ673" s="31" t="n">
        <f aca="false">IF(CK673="N",BR673,ROUNDDOWN((I673-L673)*設定!$B$10/1000,0)+ROUNDDOWN((I673-L673)*設定!$B$11/1000,0))</f>
        <v>0</v>
      </c>
      <c r="BK673" s="31" t="n">
        <f aca="false">ROUNDDOWN((I673-L673)*設定!$C$10/1000,0)+ROUNDDOWN((I673-L673)*設定!$C$11/1000,0)+ROUNDDOWN(I673*設定!$C$12/1000,0)+IF(CL673="市局型",ROUNDDOWN(I673*設定!$C$16/1000,0),0)</f>
        <v>0</v>
      </c>
      <c r="BL673" s="31" t="n">
        <f aca="false">IF(CK673="N",BT673,ROUNDDOWN((J673-M673)*設定!$B$13/1000,0))</f>
        <v>0</v>
      </c>
      <c r="BM673" s="31" t="n">
        <f aca="false">ROUNDDOWN((J673-M673)*設定!$C$13/1000,0)+IF(CL673="市局型",ROUNDDOWN(J673*設定!$C$17/1000,0),0)</f>
        <v>0</v>
      </c>
      <c r="BN673" s="31" t="n">
        <f aca="false">IF(CK673="N",BV673,ROUNDDOWN((K673-N673)*設定!$B$14/1000,0))</f>
        <v>0</v>
      </c>
      <c r="BO673" s="31" t="n">
        <f aca="false">ROUNDDOWN((K673-N673)*設定!$C$14/1000,0)</f>
        <v>0</v>
      </c>
      <c r="BP673" s="31" t="n">
        <f aca="false">IF(CK673="N",BX673,ROUNDDOWN((J673-M673)*設定!$B$15/1000,0))</f>
        <v>0</v>
      </c>
      <c r="BQ673" s="31" t="n">
        <f aca="false">ROUNDDOWN((J673-M673)*設定!$C$15/1000,0)</f>
        <v>0</v>
      </c>
      <c r="BR673" s="31" t="n">
        <f aca="false">O673+P673</f>
        <v>0</v>
      </c>
      <c r="BS673" s="31" t="n">
        <f aca="false">T673+U673+V673</f>
        <v>0</v>
      </c>
      <c r="BT673" s="31" t="n">
        <f aca="false">Q673</f>
        <v>0</v>
      </c>
      <c r="BU673" s="31" t="n">
        <f aca="false">W673</f>
        <v>0</v>
      </c>
      <c r="BV673" s="31" t="n">
        <f aca="false">R673</f>
        <v>0</v>
      </c>
      <c r="BW673" s="31" t="n">
        <f aca="false">X673</f>
        <v>0</v>
      </c>
      <c r="BX673" s="31" t="n">
        <f aca="false">S673</f>
        <v>0</v>
      </c>
      <c r="BY673" s="31" t="n">
        <f aca="false">Y673</f>
        <v>0</v>
      </c>
      <c r="BZ673" s="32" t="n">
        <f aca="false">IF(BJ673=0,IF(BR673=0,0,1),(BR673-BJ673)/BJ673)</f>
        <v>0</v>
      </c>
      <c r="CA673" s="32" t="n">
        <f aca="false">IF(BK673=0,IF(BS673=0,0,1),(BS673-BK673)/BK673)</f>
        <v>0</v>
      </c>
      <c r="CB673" s="32" t="n">
        <f aca="false">IF(BL673=0,IF(BT673=0,0,1),(BT673-BL673)/BL673)</f>
        <v>0</v>
      </c>
      <c r="CC673" s="32" t="n">
        <f aca="false">IF(BM673=0,IF(BU673=0,0,1),(BU673-BM673)/BM673)</f>
        <v>0</v>
      </c>
      <c r="CD673" s="32" t="n">
        <f aca="false">IF(BN673=0,IF(BV673=0,0,1),(BV673-BN673)/BN673)</f>
        <v>0</v>
      </c>
      <c r="CE673" s="32" t="n">
        <f aca="false">IF(BO673=0,IF(BW673=0,0,1),(BW673-BO673)/BO673)</f>
        <v>0</v>
      </c>
      <c r="CF673" s="32" t="n">
        <f aca="false">IF(BP673=0,IF(BX673=0,0,1),(BX673-BP673)/BP673)</f>
        <v>0</v>
      </c>
      <c r="CG673" s="32" t="n">
        <f aca="false">IF(BQ673=0,IF(BY673=0,0,1),(BY673-BQ673)/BQ673)</f>
        <v>0</v>
      </c>
      <c r="CH673" s="32" t="n">
        <f aca="false">MAX(MAX(BZ673:CG673),-MIN(BZ673:CG673))</f>
        <v>-0</v>
      </c>
      <c r="CI673" s="31" t="n">
        <f aca="false">IF(CO673="","",SUMIFS($CJ$7:$CJ$696,$A$7:$A$696,CO673,$B$7:$B$696,B673))</f>
        <v>354522</v>
      </c>
      <c r="CJ673" s="31" t="n">
        <f aca="false">SUM(AY673:BI673)</f>
        <v>354522</v>
      </c>
      <c r="CK673" s="31" t="str">
        <f aca="false">IFERROR(INDEX(設定!$F$61:$F$106,MATCH(B673,設定!$B$61:$B$106,0)),"Y")</f>
        <v>Y</v>
      </c>
      <c r="CL673" s="31" t="str">
        <f aca="false">IFERROR(INDEX(設定!$G$61:$G$106,MATCH(B673,設定!$B$61:$B$106,0)),"外郭型")</f>
        <v>外郭型</v>
      </c>
      <c r="CM673" s="33" t="str">
        <f aca="false">A673&amp;"|"&amp;B673</f>
        <v>2027-03 月例|救急振興財団</v>
      </c>
      <c r="CN673" s="34" t="str">
        <f aca="false">IFERROR(INDEX(設定!$D$61:$D$106,MATCH(B673,設定!$B$61:$B$106,0)),"Y")</f>
        <v>Y</v>
      </c>
      <c r="CO673" s="34" t="str">
        <f aca="false">IFERROR(INDEX(設定!$D$20:$D$34,MATCH(A673,設定!$A$20:$A$34,0))&amp;"","")</f>
        <v>2027-02 月例</v>
      </c>
    </row>
    <row r="674" customFormat="false" ht="15" hidden="true" customHeight="false" outlineLevel="0" collapsed="false">
      <c r="A674" s="22" t="s">
        <v>230</v>
      </c>
      <c r="B674" s="23" t="s">
        <v>192</v>
      </c>
      <c r="C674" s="10" t="str">
        <f aca="false">IF(G674="","未受領",IF(G674="なし","報告なし",IF(AL674="○","起票済",IF(OR(AK674="○",F674="一致",F674="入金不要"),"入金確認済","受領済"))))</f>
        <v>未受領</v>
      </c>
      <c r="D674" s="10" t="str">
        <f aca="false">IF(OR(G674="",G674="なし"),"―",IF(CN674="N","対象外",IF(AND(I674="",J674="",K674=""),"標報未入力",IF(CH674&gt;=設定!$B$4,"要確認","問題なし"))))</f>
        <v>―</v>
      </c>
      <c r="E674" s="24" t="str">
        <f aca="false">IF(OR(G674="",G674="なし",CI674="",CJ674=0),"―",IF(CJ674=CI674,"前月同額",IF(CI674=0,"―",IF(ABS(CJ674/CI674-1)&gt;=設定!$B$5,"変動大 "&amp;TEXT(CJ674/CI674-1,"+0%;-0%"),"〇"))))</f>
        <v>―</v>
      </c>
      <c r="F674" s="10" t="str">
        <f aca="false">IF(OR(G674="",G674="なし"),"―",IF(CJ674=0,"入金不要",IF(COUNT(AD674,AF674,AH674,AJ674)=0,IF(AK674="○","手動確認","未入金"),IF(AND(N(AD674)=AC674,IF(AE674="",TRUE(),N(AF674)=AE674),IF(AG674="",TRUE(),N(AH674)=AG674),IF(AI674="",TRUE(),N(AJ674)=AI674)),"一致","不一致"))))</f>
        <v>―</v>
      </c>
      <c r="G674" s="25"/>
      <c r="H674" s="26"/>
      <c r="I674" s="27"/>
      <c r="J674" s="27"/>
      <c r="K674" s="27"/>
      <c r="L674" s="27"/>
      <c r="M674" s="27"/>
      <c r="N674" s="27"/>
      <c r="O674" s="27"/>
      <c r="P674" s="27"/>
      <c r="Q674" s="27"/>
      <c r="R674" s="27"/>
      <c r="S674" s="27"/>
      <c r="T674" s="27"/>
      <c r="U674" s="27"/>
      <c r="V674" s="27"/>
      <c r="W674" s="27"/>
      <c r="X674" s="27"/>
      <c r="Y674" s="27"/>
      <c r="Z674" s="27"/>
      <c r="AA674" s="10" t="str">
        <f aca="false">IFERROR(INDEX(設定!$E$61:$E$106,MATCH(B674,設定!$B$61:$B$106,0)),"合算")</f>
        <v>合算</v>
      </c>
      <c r="AB674" s="28"/>
      <c r="AC674" s="29" t="str">
        <f aca="false">IF(OR(G674="",G674="なし"),"",IF(AA674="合算",CJ674+N(Z674),IF(AA674="掛金・負担金別",(AY674+AZ674+BD674+BF674+BH674),SUM(AY674:BC674))))</f>
        <v/>
      </c>
      <c r="AD674" s="27"/>
      <c r="AE674" s="29" t="str">
        <f aca="false">IF(OR(G674="",G674="なし"),"",IF(AA674="掛金・負担金別",(BA674+BB674+BC674+BE674+BG674+BI674+N(Z674)),IF(AA674="経理区分別",BD674+BE674,"")))</f>
        <v/>
      </c>
      <c r="AF674" s="27"/>
      <c r="AG674" s="29" t="str">
        <f aca="false">IF(OR(G674="",G674="なし"),"",IF(AA674="経理区分別",BF674+BG674,""))</f>
        <v/>
      </c>
      <c r="AH674" s="27"/>
      <c r="AI674" s="29" t="str">
        <f aca="false">IF(OR(G674="",G674="なし"),"",IF(AA674="経理区分別",BH674+BI674+N(Z674),""))</f>
        <v/>
      </c>
      <c r="AJ674" s="27"/>
      <c r="AK674" s="26"/>
      <c r="AL674" s="26"/>
      <c r="AM674" s="30"/>
      <c r="AN674" s="31" t="n">
        <v>987285</v>
      </c>
      <c r="AO674" s="31" t="n">
        <v>80925</v>
      </c>
      <c r="AP674" s="31" t="n">
        <v>987285</v>
      </c>
      <c r="AQ674" s="31" t="n">
        <v>80925</v>
      </c>
      <c r="AR674" s="31" t="n">
        <v>1028</v>
      </c>
      <c r="AS674" s="31" t="n">
        <v>593546</v>
      </c>
      <c r="AT674" s="31" t="n">
        <v>594636</v>
      </c>
      <c r="AU674" s="31" t="n">
        <v>68124</v>
      </c>
      <c r="AV674" s="31" t="n">
        <v>68124</v>
      </c>
      <c r="AW674" s="31" t="n">
        <v>1</v>
      </c>
      <c r="AX674" s="31" t="n">
        <v>1</v>
      </c>
      <c r="AY674" s="31" t="n">
        <f aca="false">IF($G674="",AN674,O674)</f>
        <v>987285</v>
      </c>
      <c r="AZ674" s="31" t="n">
        <f aca="false">IF($G674="",AO674,P674)</f>
        <v>80925</v>
      </c>
      <c r="BA674" s="31" t="n">
        <f aca="false">IF($G674="",AP674,T674)</f>
        <v>987285</v>
      </c>
      <c r="BB674" s="31" t="n">
        <f aca="false">IF($G674="",AQ674,U674)</f>
        <v>80925</v>
      </c>
      <c r="BC674" s="31" t="n">
        <f aca="false">IF($G674="",AR674,V674)</f>
        <v>1028</v>
      </c>
      <c r="BD674" s="31" t="n">
        <f aca="false">IF($G674="",AS674,Q674)</f>
        <v>593546</v>
      </c>
      <c r="BE674" s="31" t="n">
        <f aca="false">IF($G674="",AT674,W674)</f>
        <v>594636</v>
      </c>
      <c r="BF674" s="31" t="n">
        <f aca="false">IF($G674="",AU674,R674)</f>
        <v>68124</v>
      </c>
      <c r="BG674" s="31" t="n">
        <f aca="false">IF($G674="",AV674,X674)</f>
        <v>68124</v>
      </c>
      <c r="BH674" s="31" t="n">
        <f aca="false">IF($G674="",AW674,S674)</f>
        <v>1</v>
      </c>
      <c r="BI674" s="31" t="n">
        <f aca="false">IF($G674="",AX674,Y674)</f>
        <v>1</v>
      </c>
      <c r="BJ674" s="31" t="n">
        <f aca="false">IF(CK674="N",BR674,ROUNDDOWN((I674-L674)*設定!$B$10/1000,0)+ROUNDDOWN((I674-L674)*設定!$B$11/1000,0))</f>
        <v>0</v>
      </c>
      <c r="BK674" s="31" t="n">
        <f aca="false">ROUNDDOWN((I674-L674)*設定!$C$10/1000,0)+ROUNDDOWN((I674-L674)*設定!$C$11/1000,0)+ROUNDDOWN(I674*設定!$C$12/1000,0)+IF(CL674="市局型",ROUNDDOWN(I674*設定!$C$16/1000,0),0)</f>
        <v>0</v>
      </c>
      <c r="BL674" s="31" t="n">
        <f aca="false">IF(CK674="N",BT674,ROUNDDOWN((J674-M674)*設定!$B$13/1000,0))</f>
        <v>0</v>
      </c>
      <c r="BM674" s="31" t="n">
        <f aca="false">ROUNDDOWN((J674-M674)*設定!$C$13/1000,0)+IF(CL674="市局型",ROUNDDOWN(J674*設定!$C$17/1000,0),0)</f>
        <v>0</v>
      </c>
      <c r="BN674" s="31" t="n">
        <f aca="false">IF(CK674="N",BV674,ROUNDDOWN((K674-N674)*設定!$B$14/1000,0))</f>
        <v>0</v>
      </c>
      <c r="BO674" s="31" t="n">
        <f aca="false">ROUNDDOWN((K674-N674)*設定!$C$14/1000,0)</f>
        <v>0</v>
      </c>
      <c r="BP674" s="31" t="n">
        <f aca="false">IF(CK674="N",BX674,ROUNDDOWN((J674-M674)*設定!$B$15/1000,0))</f>
        <v>0</v>
      </c>
      <c r="BQ674" s="31" t="n">
        <f aca="false">ROUNDDOWN((J674-M674)*設定!$C$15/1000,0)</f>
        <v>0</v>
      </c>
      <c r="BR674" s="31" t="n">
        <f aca="false">O674+P674</f>
        <v>0</v>
      </c>
      <c r="BS674" s="31" t="n">
        <f aca="false">T674+U674+V674</f>
        <v>0</v>
      </c>
      <c r="BT674" s="31" t="n">
        <f aca="false">Q674</f>
        <v>0</v>
      </c>
      <c r="BU674" s="31" t="n">
        <f aca="false">W674</f>
        <v>0</v>
      </c>
      <c r="BV674" s="31" t="n">
        <f aca="false">R674</f>
        <v>0</v>
      </c>
      <c r="BW674" s="31" t="n">
        <f aca="false">X674</f>
        <v>0</v>
      </c>
      <c r="BX674" s="31" t="n">
        <f aca="false">S674</f>
        <v>0</v>
      </c>
      <c r="BY674" s="31" t="n">
        <f aca="false">Y674</f>
        <v>0</v>
      </c>
      <c r="BZ674" s="32" t="n">
        <f aca="false">IF(BJ674=0,IF(BR674=0,0,1),(BR674-BJ674)/BJ674)</f>
        <v>0</v>
      </c>
      <c r="CA674" s="32" t="n">
        <f aca="false">IF(BK674=0,IF(BS674=0,0,1),(BS674-BK674)/BK674)</f>
        <v>0</v>
      </c>
      <c r="CB674" s="32" t="n">
        <f aca="false">IF(BL674=0,IF(BT674=0,0,1),(BT674-BL674)/BL674)</f>
        <v>0</v>
      </c>
      <c r="CC674" s="32" t="n">
        <f aca="false">IF(BM674=0,IF(BU674=0,0,1),(BU674-BM674)/BM674)</f>
        <v>0</v>
      </c>
      <c r="CD674" s="32" t="n">
        <f aca="false">IF(BN674=0,IF(BV674=0,0,1),(BV674-BN674)/BN674)</f>
        <v>0</v>
      </c>
      <c r="CE674" s="32" t="n">
        <f aca="false">IF(BO674=0,IF(BW674=0,0,1),(BW674-BO674)/BO674)</f>
        <v>0</v>
      </c>
      <c r="CF674" s="32" t="n">
        <f aca="false">IF(BP674=0,IF(BX674=0,0,1),(BX674-BP674)/BP674)</f>
        <v>0</v>
      </c>
      <c r="CG674" s="32" t="n">
        <f aca="false">IF(BQ674=0,IF(BY674=0,0,1),(BY674-BQ674)/BQ674)</f>
        <v>0</v>
      </c>
      <c r="CH674" s="32" t="n">
        <f aca="false">MAX(MAX(BZ674:CG674),-MIN(BZ674:CG674))</f>
        <v>-0</v>
      </c>
      <c r="CI674" s="31" t="n">
        <f aca="false">IF(CO674="","",SUMIFS($CJ$7:$CJ$696,$A$7:$A$696,CO674,$B$7:$B$696,B674))</f>
        <v>3222669</v>
      </c>
      <c r="CJ674" s="31" t="n">
        <f aca="false">SUM(AY674:BI674)</f>
        <v>3461880</v>
      </c>
      <c r="CK674" s="31" t="str">
        <f aca="false">IFERROR(INDEX(設定!$F$61:$F$106,MATCH(B674,設定!$B$61:$B$106,0)),"Y")</f>
        <v>Y</v>
      </c>
      <c r="CL674" s="31" t="str">
        <f aca="false">IFERROR(INDEX(設定!$G$61:$G$106,MATCH(B674,設定!$B$61:$B$106,0)),"外郭型")</f>
        <v>外郭型</v>
      </c>
      <c r="CM674" s="33" t="str">
        <f aca="false">A674&amp;"|"&amp;B674</f>
        <v>2027-03 月例|高速道路公社</v>
      </c>
      <c r="CN674" s="34" t="str">
        <f aca="false">IFERROR(INDEX(設定!$D$61:$D$106,MATCH(B674,設定!$B$61:$B$106,0)),"Y")</f>
        <v>Y</v>
      </c>
      <c r="CO674" s="34" t="str">
        <f aca="false">IFERROR(INDEX(設定!$D$20:$D$34,MATCH(A674,設定!$A$20:$A$34,0))&amp;"","")</f>
        <v>2027-02 月例</v>
      </c>
    </row>
    <row r="675" customFormat="false" ht="15" hidden="true" customHeight="false" outlineLevel="0" collapsed="false">
      <c r="A675" s="22" t="s">
        <v>230</v>
      </c>
      <c r="B675" s="23" t="s">
        <v>193</v>
      </c>
      <c r="C675" s="10" t="str">
        <f aca="false">IF(G675="","未受領",IF(G675="なし","報告なし",IF(AL675="○","起票済",IF(OR(AK675="○",F675="一致",F675="入金不要"),"入金確認済","受領済"))))</f>
        <v>未受領</v>
      </c>
      <c r="D675" s="10" t="str">
        <f aca="false">IF(OR(G675="",G675="なし"),"―",IF(CN675="N","対象外",IF(AND(I675="",J675="",K675=""),"標報未入力",IF(CH675&gt;=設定!$B$4,"要確認","問題なし"))))</f>
        <v>―</v>
      </c>
      <c r="E675" s="24" t="str">
        <f aca="false">IF(OR(G675="",G675="なし",CI675="",CJ675=0),"―",IF(CJ675=CI675,"前月同額",IF(CI675=0,"―",IF(ABS(CJ675/CI675-1)&gt;=設定!$B$5,"変動大 "&amp;TEXT(CJ675/CI675-1,"+0%;-0%"),"〇"))))</f>
        <v>―</v>
      </c>
      <c r="F675" s="10" t="str">
        <f aca="false">IF(OR(G675="",G675="なし"),"―",IF(CJ675=0,"入金不要",IF(COUNT(AD675,AF675,AH675,AJ675)=0,IF(AK675="○","手動確認","未入金"),IF(AND(N(AD675)=AC675,IF(AE675="",TRUE(),N(AF675)=AE675),IF(AG675="",TRUE(),N(AH675)=AG675),IF(AI675="",TRUE(),N(AJ675)=AI675)),"一致","不一致"))))</f>
        <v>―</v>
      </c>
      <c r="G675" s="25"/>
      <c r="H675" s="26"/>
      <c r="I675" s="27"/>
      <c r="J675" s="27"/>
      <c r="K675" s="27"/>
      <c r="L675" s="27"/>
      <c r="M675" s="27"/>
      <c r="N675" s="27"/>
      <c r="O675" s="27"/>
      <c r="P675" s="27"/>
      <c r="Q675" s="27"/>
      <c r="R675" s="27"/>
      <c r="S675" s="27"/>
      <c r="T675" s="27"/>
      <c r="U675" s="27"/>
      <c r="V675" s="27"/>
      <c r="W675" s="27"/>
      <c r="X675" s="27"/>
      <c r="Y675" s="27"/>
      <c r="Z675" s="27"/>
      <c r="AA675" s="10" t="str">
        <f aca="false">IFERROR(INDEX(設定!$E$61:$E$106,MATCH(B675,設定!$B$61:$B$106,0)),"合算")</f>
        <v>合算</v>
      </c>
      <c r="AB675" s="28"/>
      <c r="AC675" s="29" t="str">
        <f aca="false">IF(OR(G675="",G675="なし"),"",IF(AA675="合算",CJ675+N(Z675),IF(AA675="掛金・負担金別",(AY675+AZ675+BD675+BF675+BH675),SUM(AY675:BC675))))</f>
        <v/>
      </c>
      <c r="AD675" s="27"/>
      <c r="AE675" s="29" t="str">
        <f aca="false">IF(OR(G675="",G675="なし"),"",IF(AA675="掛金・負担金別",(BA675+BB675+BC675+BE675+BG675+BI675+N(Z675)),IF(AA675="経理区分別",BD675+BE675,"")))</f>
        <v/>
      </c>
      <c r="AF675" s="27"/>
      <c r="AG675" s="29" t="str">
        <f aca="false">IF(OR(G675="",G675="なし"),"",IF(AA675="経理区分別",BF675+BG675,""))</f>
        <v/>
      </c>
      <c r="AH675" s="27"/>
      <c r="AI675" s="29" t="str">
        <f aca="false">IF(OR(G675="",G675="なし"),"",IF(AA675="経理区分別",BH675+BI675+N(Z675),""))</f>
        <v/>
      </c>
      <c r="AJ675" s="27"/>
      <c r="AK675" s="26"/>
      <c r="AL675" s="26"/>
      <c r="AM675" s="30"/>
      <c r="AN675" s="31"/>
      <c r="AO675" s="31"/>
      <c r="AP675" s="31" t="n">
        <v>634095</v>
      </c>
      <c r="AQ675" s="31" t="n">
        <v>51975</v>
      </c>
      <c r="AR675" s="31" t="n">
        <v>689</v>
      </c>
      <c r="AS675" s="31"/>
      <c r="AT675" s="31" t="n">
        <v>381942</v>
      </c>
      <c r="AU675" s="31"/>
      <c r="AV675" s="31" t="n">
        <v>36120</v>
      </c>
      <c r="AW675" s="31"/>
      <c r="AX675" s="31" t="n">
        <v>1</v>
      </c>
      <c r="AY675" s="31" t="n">
        <f aca="false">IF($G675="",AN675,O675)</f>
        <v>0</v>
      </c>
      <c r="AZ675" s="31" t="n">
        <f aca="false">IF($G675="",AO675,P675)</f>
        <v>0</v>
      </c>
      <c r="BA675" s="31" t="n">
        <f aca="false">IF($G675="",AP675,T675)</f>
        <v>634095</v>
      </c>
      <c r="BB675" s="31" t="n">
        <f aca="false">IF($G675="",AQ675,U675)</f>
        <v>51975</v>
      </c>
      <c r="BC675" s="31" t="n">
        <f aca="false">IF($G675="",AR675,V675)</f>
        <v>689</v>
      </c>
      <c r="BD675" s="31" t="n">
        <f aca="false">IF($G675="",AS675,Q675)</f>
        <v>0</v>
      </c>
      <c r="BE675" s="31" t="n">
        <f aca="false">IF($G675="",AT675,W675)</f>
        <v>381942</v>
      </c>
      <c r="BF675" s="31" t="n">
        <f aca="false">IF($G675="",AU675,R675)</f>
        <v>0</v>
      </c>
      <c r="BG675" s="31" t="n">
        <f aca="false">IF($G675="",AV675,X675)</f>
        <v>36120</v>
      </c>
      <c r="BH675" s="31" t="n">
        <f aca="false">IF($G675="",AW675,S675)</f>
        <v>0</v>
      </c>
      <c r="BI675" s="31" t="n">
        <f aca="false">IF($G675="",AX675,Y675)</f>
        <v>1</v>
      </c>
      <c r="BJ675" s="31" t="n">
        <f aca="false">IF(CK675="N",BR675,ROUNDDOWN((I675-L675)*設定!$B$10/1000,0)+ROUNDDOWN((I675-L675)*設定!$B$11/1000,0))</f>
        <v>0</v>
      </c>
      <c r="BK675" s="31" t="n">
        <f aca="false">ROUNDDOWN((I675-L675)*設定!$C$10/1000,0)+ROUNDDOWN((I675-L675)*設定!$C$11/1000,0)+ROUNDDOWN(I675*設定!$C$12/1000,0)+IF(CL675="市局型",ROUNDDOWN(I675*設定!$C$16/1000,0),0)</f>
        <v>0</v>
      </c>
      <c r="BL675" s="31" t="n">
        <f aca="false">IF(CK675="N",BT675,ROUNDDOWN((J675-M675)*設定!$B$13/1000,0))</f>
        <v>0</v>
      </c>
      <c r="BM675" s="31" t="n">
        <f aca="false">ROUNDDOWN((J675-M675)*設定!$C$13/1000,0)+IF(CL675="市局型",ROUNDDOWN(J675*設定!$C$17/1000,0),0)</f>
        <v>0</v>
      </c>
      <c r="BN675" s="31" t="n">
        <f aca="false">IF(CK675="N",BV675,ROUNDDOWN((K675-N675)*設定!$B$14/1000,0))</f>
        <v>0</v>
      </c>
      <c r="BO675" s="31" t="n">
        <f aca="false">ROUNDDOWN((K675-N675)*設定!$C$14/1000,0)</f>
        <v>0</v>
      </c>
      <c r="BP675" s="31" t="n">
        <f aca="false">IF(CK675="N",BX675,ROUNDDOWN((J675-M675)*設定!$B$15/1000,0))</f>
        <v>0</v>
      </c>
      <c r="BQ675" s="31" t="n">
        <f aca="false">ROUNDDOWN((J675-M675)*設定!$C$15/1000,0)</f>
        <v>0</v>
      </c>
      <c r="BR675" s="31" t="n">
        <f aca="false">O675+P675</f>
        <v>0</v>
      </c>
      <c r="BS675" s="31" t="n">
        <f aca="false">T675+U675+V675</f>
        <v>0</v>
      </c>
      <c r="BT675" s="31" t="n">
        <f aca="false">Q675</f>
        <v>0</v>
      </c>
      <c r="BU675" s="31" t="n">
        <f aca="false">W675</f>
        <v>0</v>
      </c>
      <c r="BV675" s="31" t="n">
        <f aca="false">R675</f>
        <v>0</v>
      </c>
      <c r="BW675" s="31" t="n">
        <f aca="false">X675</f>
        <v>0</v>
      </c>
      <c r="BX675" s="31" t="n">
        <f aca="false">S675</f>
        <v>0</v>
      </c>
      <c r="BY675" s="31" t="n">
        <f aca="false">Y675</f>
        <v>0</v>
      </c>
      <c r="BZ675" s="32" t="n">
        <f aca="false">IF(BJ675=0,IF(BR675=0,0,1),(BR675-BJ675)/BJ675)</f>
        <v>0</v>
      </c>
      <c r="CA675" s="32" t="n">
        <f aca="false">IF(BK675=0,IF(BS675=0,0,1),(BS675-BK675)/BK675)</f>
        <v>0</v>
      </c>
      <c r="CB675" s="32" t="n">
        <f aca="false">IF(BL675=0,IF(BT675=0,0,1),(BT675-BL675)/BL675)</f>
        <v>0</v>
      </c>
      <c r="CC675" s="32" t="n">
        <f aca="false">IF(BM675=0,IF(BU675=0,0,1),(BU675-BM675)/BM675)</f>
        <v>0</v>
      </c>
      <c r="CD675" s="32" t="n">
        <f aca="false">IF(BN675=0,IF(BV675=0,0,1),(BV675-BN675)/BN675)</f>
        <v>0</v>
      </c>
      <c r="CE675" s="32" t="n">
        <f aca="false">IF(BO675=0,IF(BW675=0,0,1),(BW675-BO675)/BO675)</f>
        <v>0</v>
      </c>
      <c r="CF675" s="32" t="n">
        <f aca="false">IF(BP675=0,IF(BX675=0,0,1),(BX675-BP675)/BP675)</f>
        <v>0</v>
      </c>
      <c r="CG675" s="32" t="n">
        <f aca="false">IF(BQ675=0,IF(BY675=0,0,1),(BY675-BQ675)/BQ675)</f>
        <v>0</v>
      </c>
      <c r="CH675" s="32" t="n">
        <f aca="false">MAX(MAX(BZ675:CG675),-MIN(BZ675:CG675))</f>
        <v>-0</v>
      </c>
      <c r="CI675" s="31" t="n">
        <f aca="false">IF(CO675="","",SUMIFS($CJ$7:$CJ$696,$A$7:$A$696,CO675,$B$7:$B$696,B675))</f>
        <v>991086</v>
      </c>
      <c r="CJ675" s="31" t="n">
        <f aca="false">SUM(AY675:BI675)</f>
        <v>1104822</v>
      </c>
      <c r="CK675" s="31" t="str">
        <f aca="false">IFERROR(INDEX(設定!$F$61:$F$106,MATCH(B675,設定!$B$61:$B$106,0)),"Y")</f>
        <v>N</v>
      </c>
      <c r="CL675" s="31" t="str">
        <f aca="false">IFERROR(INDEX(設定!$G$61:$G$106,MATCH(B675,設定!$B$61:$B$106,0)),"外郭型")</f>
        <v>外郭型</v>
      </c>
      <c r="CM675" s="33" t="str">
        <f aca="false">A675&amp;"|"&amp;B675</f>
        <v>2027-03 月例|農林水産振興センタ</v>
      </c>
      <c r="CN675" s="34" t="str">
        <f aca="false">IFERROR(INDEX(設定!$D$61:$D$106,MATCH(B675,設定!$B$61:$B$106,0)),"Y")</f>
        <v>Y</v>
      </c>
      <c r="CO675" s="34" t="str">
        <f aca="false">IFERROR(INDEX(設定!$D$20:$D$34,MATCH(A675,設定!$A$20:$A$34,0))&amp;"","")</f>
        <v>2027-02 月例</v>
      </c>
    </row>
    <row r="676" customFormat="false" ht="15" hidden="true" customHeight="false" outlineLevel="0" collapsed="false">
      <c r="A676" s="22" t="s">
        <v>230</v>
      </c>
      <c r="B676" s="23" t="s">
        <v>194</v>
      </c>
      <c r="C676" s="10" t="str">
        <f aca="false">IF(G676="","未受領",IF(G676="なし","報告なし",IF(AL676="○","起票済",IF(OR(AK676="○",F676="一致",F676="入金不要"),"入金確認済","受領済"))))</f>
        <v>未受領</v>
      </c>
      <c r="D676" s="10" t="str">
        <f aca="false">IF(OR(G676="",G676="なし"),"―",IF(CN676="N","対象外",IF(AND(I676="",J676="",K676=""),"標報未入力",IF(CH676&gt;=設定!$B$4,"要確認","問題なし"))))</f>
        <v>―</v>
      </c>
      <c r="E676" s="24" t="str">
        <f aca="false">IF(OR(G676="",G676="なし",CI676="",CJ676=0),"―",IF(CJ676=CI676,"前月同額",IF(CI676=0,"―",IF(ABS(CJ676/CI676-1)&gt;=設定!$B$5,"変動大 "&amp;TEXT(CJ676/CI676-1,"+0%;-0%"),"〇"))))</f>
        <v>―</v>
      </c>
      <c r="F676" s="10" t="str">
        <f aca="false">IF(OR(G676="",G676="なし"),"―",IF(CJ676=0,"入金不要",IF(COUNT(AD676,AF676,AH676,AJ676)=0,IF(AK676="○","手動確認","未入金"),IF(AND(N(AD676)=AC676,IF(AE676="",TRUE(),N(AF676)=AE676),IF(AG676="",TRUE(),N(AH676)=AG676),IF(AI676="",TRUE(),N(AJ676)=AI676)),"一致","不一致"))))</f>
        <v>―</v>
      </c>
      <c r="G676" s="25"/>
      <c r="H676" s="26"/>
      <c r="I676" s="27"/>
      <c r="J676" s="27"/>
      <c r="K676" s="27"/>
      <c r="L676" s="27"/>
      <c r="M676" s="27"/>
      <c r="N676" s="27"/>
      <c r="O676" s="27"/>
      <c r="P676" s="27"/>
      <c r="Q676" s="27"/>
      <c r="R676" s="27"/>
      <c r="S676" s="27"/>
      <c r="T676" s="27"/>
      <c r="U676" s="27"/>
      <c r="V676" s="27"/>
      <c r="W676" s="27"/>
      <c r="X676" s="27"/>
      <c r="Y676" s="27"/>
      <c r="Z676" s="27"/>
      <c r="AA676" s="10" t="str">
        <f aca="false">IFERROR(INDEX(設定!$E$61:$E$106,MATCH(B676,設定!$B$61:$B$106,0)),"合算")</f>
        <v>合算</v>
      </c>
      <c r="AB676" s="28"/>
      <c r="AC676" s="29" t="str">
        <f aca="false">IF(OR(G676="",G676="なし"),"",IF(AA676="合算",CJ676+N(Z676),IF(AA676="掛金・負担金別",(AY676+AZ676+BD676+BF676+BH676),SUM(AY676:BC676))))</f>
        <v/>
      </c>
      <c r="AD676" s="27"/>
      <c r="AE676" s="29" t="str">
        <f aca="false">IF(OR(G676="",G676="なし"),"",IF(AA676="掛金・負担金別",(BA676+BB676+BC676+BE676+BG676+BI676+N(Z676)),IF(AA676="経理区分別",BD676+BE676,"")))</f>
        <v/>
      </c>
      <c r="AF676" s="27"/>
      <c r="AG676" s="29" t="str">
        <f aca="false">IF(OR(G676="",G676="なし"),"",IF(AA676="経理区分別",BF676+BG676,""))</f>
        <v/>
      </c>
      <c r="AH676" s="27"/>
      <c r="AI676" s="29" t="str">
        <f aca="false">IF(OR(G676="",G676="なし"),"",IF(AA676="経理区分別",BH676+BI676+N(Z676),""))</f>
        <v/>
      </c>
      <c r="AJ676" s="27"/>
      <c r="AK676" s="26"/>
      <c r="AL676" s="26"/>
      <c r="AM676" s="30"/>
      <c r="AN676" s="31"/>
      <c r="AO676" s="31"/>
      <c r="AP676" s="31" t="n">
        <v>1196820</v>
      </c>
      <c r="AQ676" s="31" t="n">
        <v>98100</v>
      </c>
      <c r="AR676" s="31" t="n">
        <v>1224</v>
      </c>
      <c r="AS676" s="31"/>
      <c r="AT676" s="31" t="n">
        <v>722488</v>
      </c>
      <c r="AU676" s="31"/>
      <c r="AV676" s="31" t="n">
        <v>97012</v>
      </c>
      <c r="AW676" s="31"/>
      <c r="AX676" s="31" t="n">
        <v>1</v>
      </c>
      <c r="AY676" s="31" t="n">
        <f aca="false">IF($G676="",AN676,O676)</f>
        <v>0</v>
      </c>
      <c r="AZ676" s="31" t="n">
        <f aca="false">IF($G676="",AO676,P676)</f>
        <v>0</v>
      </c>
      <c r="BA676" s="31" t="n">
        <f aca="false">IF($G676="",AP676,T676)</f>
        <v>1196820</v>
      </c>
      <c r="BB676" s="31" t="n">
        <f aca="false">IF($G676="",AQ676,U676)</f>
        <v>98100</v>
      </c>
      <c r="BC676" s="31" t="n">
        <f aca="false">IF($G676="",AR676,V676)</f>
        <v>1224</v>
      </c>
      <c r="BD676" s="31" t="n">
        <f aca="false">IF($G676="",AS676,Q676)</f>
        <v>0</v>
      </c>
      <c r="BE676" s="31" t="n">
        <f aca="false">IF($G676="",AT676,W676)</f>
        <v>722488</v>
      </c>
      <c r="BF676" s="31" t="n">
        <f aca="false">IF($G676="",AU676,R676)</f>
        <v>0</v>
      </c>
      <c r="BG676" s="31" t="n">
        <f aca="false">IF($G676="",AV676,X676)</f>
        <v>97012</v>
      </c>
      <c r="BH676" s="31" t="n">
        <f aca="false">IF($G676="",AW676,S676)</f>
        <v>0</v>
      </c>
      <c r="BI676" s="31" t="n">
        <f aca="false">IF($G676="",AX676,Y676)</f>
        <v>1</v>
      </c>
      <c r="BJ676" s="31" t="n">
        <f aca="false">IF(CK676="N",BR676,ROUNDDOWN((I676-L676)*設定!$B$10/1000,0)+ROUNDDOWN((I676-L676)*設定!$B$11/1000,0))</f>
        <v>0</v>
      </c>
      <c r="BK676" s="31" t="n">
        <f aca="false">ROUNDDOWN((I676-L676)*設定!$C$10/1000,0)+ROUNDDOWN((I676-L676)*設定!$C$11/1000,0)+ROUNDDOWN(I676*設定!$C$12/1000,0)+IF(CL676="市局型",ROUNDDOWN(I676*設定!$C$16/1000,0),0)</f>
        <v>0</v>
      </c>
      <c r="BL676" s="31" t="n">
        <f aca="false">IF(CK676="N",BT676,ROUNDDOWN((J676-M676)*設定!$B$13/1000,0))</f>
        <v>0</v>
      </c>
      <c r="BM676" s="31" t="n">
        <f aca="false">ROUNDDOWN((J676-M676)*設定!$C$13/1000,0)+IF(CL676="市局型",ROUNDDOWN(J676*設定!$C$17/1000,0),0)</f>
        <v>0</v>
      </c>
      <c r="BN676" s="31" t="n">
        <f aca="false">IF(CK676="N",BV676,ROUNDDOWN((K676-N676)*設定!$B$14/1000,0))</f>
        <v>0</v>
      </c>
      <c r="BO676" s="31" t="n">
        <f aca="false">ROUNDDOWN((K676-N676)*設定!$C$14/1000,0)</f>
        <v>0</v>
      </c>
      <c r="BP676" s="31" t="n">
        <f aca="false">IF(CK676="N",BX676,ROUNDDOWN((J676-M676)*設定!$B$15/1000,0))</f>
        <v>0</v>
      </c>
      <c r="BQ676" s="31" t="n">
        <f aca="false">ROUNDDOWN((J676-M676)*設定!$C$15/1000,0)</f>
        <v>0</v>
      </c>
      <c r="BR676" s="31" t="n">
        <f aca="false">O676+P676</f>
        <v>0</v>
      </c>
      <c r="BS676" s="31" t="n">
        <f aca="false">T676+U676+V676</f>
        <v>0</v>
      </c>
      <c r="BT676" s="31" t="n">
        <f aca="false">Q676</f>
        <v>0</v>
      </c>
      <c r="BU676" s="31" t="n">
        <f aca="false">W676</f>
        <v>0</v>
      </c>
      <c r="BV676" s="31" t="n">
        <f aca="false">R676</f>
        <v>0</v>
      </c>
      <c r="BW676" s="31" t="n">
        <f aca="false">X676</f>
        <v>0</v>
      </c>
      <c r="BX676" s="31" t="n">
        <f aca="false">S676</f>
        <v>0</v>
      </c>
      <c r="BY676" s="31" t="n">
        <f aca="false">Y676</f>
        <v>0</v>
      </c>
      <c r="BZ676" s="32" t="n">
        <f aca="false">IF(BJ676=0,IF(BR676=0,0,1),(BR676-BJ676)/BJ676)</f>
        <v>0</v>
      </c>
      <c r="CA676" s="32" t="n">
        <f aca="false">IF(BK676=0,IF(BS676=0,0,1),(BS676-BK676)/BK676)</f>
        <v>0</v>
      </c>
      <c r="CB676" s="32" t="n">
        <f aca="false">IF(BL676=0,IF(BT676=0,0,1),(BT676-BL676)/BL676)</f>
        <v>0</v>
      </c>
      <c r="CC676" s="32" t="n">
        <f aca="false">IF(BM676=0,IF(BU676=0,0,1),(BU676-BM676)/BM676)</f>
        <v>0</v>
      </c>
      <c r="CD676" s="32" t="n">
        <f aca="false">IF(BN676=0,IF(BV676=0,0,1),(BV676-BN676)/BN676)</f>
        <v>0</v>
      </c>
      <c r="CE676" s="32" t="n">
        <f aca="false">IF(BO676=0,IF(BW676=0,0,1),(BW676-BO676)/BO676)</f>
        <v>0</v>
      </c>
      <c r="CF676" s="32" t="n">
        <f aca="false">IF(BP676=0,IF(BX676=0,0,1),(BX676-BP676)/BP676)</f>
        <v>0</v>
      </c>
      <c r="CG676" s="32" t="n">
        <f aca="false">IF(BQ676=0,IF(BY676=0,0,1),(BY676-BQ676)/BQ676)</f>
        <v>0</v>
      </c>
      <c r="CH676" s="32" t="n">
        <f aca="false">MAX(MAX(BZ676:CG676),-MIN(BZ676:CG676))</f>
        <v>-0</v>
      </c>
      <c r="CI676" s="31" t="n">
        <f aca="false">IF(CO676="","",SUMIFS($CJ$7:$CJ$696,$A$7:$A$696,CO676,$B$7:$B$696,B676))</f>
        <v>2050017</v>
      </c>
      <c r="CJ676" s="31" t="n">
        <f aca="false">SUM(AY676:BI676)</f>
        <v>2115645</v>
      </c>
      <c r="CK676" s="31" t="str">
        <f aca="false">IFERROR(INDEX(設定!$F$61:$F$106,MATCH(B676,設定!$B$61:$B$106,0)),"Y")</f>
        <v>N</v>
      </c>
      <c r="CL676" s="31" t="str">
        <f aca="false">IFERROR(INDEX(設定!$G$61:$G$106,MATCH(B676,設定!$B$61:$B$106,0)),"外郭型")</f>
        <v>外郭型</v>
      </c>
      <c r="CM676" s="33" t="str">
        <f aca="false">A676&amp;"|"&amp;B676</f>
        <v>2027-03 月例|文化財団　市長部局</v>
      </c>
      <c r="CN676" s="34" t="str">
        <f aca="false">IFERROR(INDEX(設定!$D$61:$D$106,MATCH(B676,設定!$B$61:$B$106,0)),"Y")</f>
        <v>Y</v>
      </c>
      <c r="CO676" s="34" t="str">
        <f aca="false">IFERROR(INDEX(設定!$D$20:$D$34,MATCH(A676,設定!$A$20:$A$34,0))&amp;"","")</f>
        <v>2027-02 月例</v>
      </c>
    </row>
    <row r="677" customFormat="false" ht="15" hidden="true" customHeight="false" outlineLevel="0" collapsed="false">
      <c r="A677" s="22" t="s">
        <v>230</v>
      </c>
      <c r="B677" s="23" t="s">
        <v>195</v>
      </c>
      <c r="C677" s="10" t="str">
        <f aca="false">IF(G677="","未受領",IF(G677="なし","報告なし",IF(AL677="○","起票済",IF(OR(AK677="○",F677="一致",F677="入金不要"),"入金確認済","受領済"))))</f>
        <v>未受領</v>
      </c>
      <c r="D677" s="10" t="str">
        <f aca="false">IF(OR(G677="",G677="なし"),"―",IF(CN677="N","対象外",IF(AND(I677="",J677="",K677=""),"標報未入力",IF(CH677&gt;=設定!$B$4,"要確認","問題なし"))))</f>
        <v>―</v>
      </c>
      <c r="E677" s="24" t="str">
        <f aca="false">IF(OR(G677="",G677="なし",CI677="",CJ677=0),"―",IF(CJ677=CI677,"前月同額",IF(CI677=0,"―",IF(ABS(CJ677/CI677-1)&gt;=設定!$B$5,"変動大 "&amp;TEXT(CJ677/CI677-1,"+0%;-0%"),"〇"))))</f>
        <v>―</v>
      </c>
      <c r="F677" s="10" t="str">
        <f aca="false">IF(OR(G677="",G677="なし"),"―",IF(CJ677=0,"入金不要",IF(COUNT(AD677,AF677,AH677,AJ677)=0,IF(AK677="○","手動確認","未入金"),IF(AND(N(AD677)=AC677,IF(AE677="",TRUE(),N(AF677)=AE677),IF(AG677="",TRUE(),N(AH677)=AG677),IF(AI677="",TRUE(),N(AJ677)=AI677)),"一致","不一致"))))</f>
        <v>―</v>
      </c>
      <c r="G677" s="25"/>
      <c r="H677" s="26"/>
      <c r="I677" s="27"/>
      <c r="J677" s="27"/>
      <c r="K677" s="27"/>
      <c r="L677" s="27"/>
      <c r="M677" s="27"/>
      <c r="N677" s="27"/>
      <c r="O677" s="27"/>
      <c r="P677" s="27"/>
      <c r="Q677" s="27"/>
      <c r="R677" s="27"/>
      <c r="S677" s="27"/>
      <c r="T677" s="27"/>
      <c r="U677" s="27"/>
      <c r="V677" s="27"/>
      <c r="W677" s="27"/>
      <c r="X677" s="27"/>
      <c r="Y677" s="27"/>
      <c r="Z677" s="27"/>
      <c r="AA677" s="10" t="str">
        <f aca="false">IFERROR(INDEX(設定!$E$61:$E$106,MATCH(B677,設定!$B$61:$B$106,0)),"合算")</f>
        <v>合算</v>
      </c>
      <c r="AB677" s="28"/>
      <c r="AC677" s="29" t="str">
        <f aca="false">IF(OR(G677="",G677="なし"),"",IF(AA677="合算",CJ677+N(Z677),IF(AA677="掛金・負担金別",(AY677+AZ677+BD677+BF677+BH677),SUM(AY677:BC677))))</f>
        <v/>
      </c>
      <c r="AD677" s="27"/>
      <c r="AE677" s="29" t="str">
        <f aca="false">IF(OR(G677="",G677="なし"),"",IF(AA677="掛金・負担金別",(BA677+BB677+BC677+BE677+BG677+BI677+N(Z677)),IF(AA677="経理区分別",BD677+BE677,"")))</f>
        <v/>
      </c>
      <c r="AF677" s="27"/>
      <c r="AG677" s="29" t="str">
        <f aca="false">IF(OR(G677="",G677="なし"),"",IF(AA677="経理区分別",BF677+BG677,""))</f>
        <v/>
      </c>
      <c r="AH677" s="27"/>
      <c r="AI677" s="29" t="str">
        <f aca="false">IF(OR(G677="",G677="なし"),"",IF(AA677="経理区分別",BH677+BI677+N(Z677),""))</f>
        <v/>
      </c>
      <c r="AJ677" s="27"/>
      <c r="AK677" s="26"/>
      <c r="AL677" s="26"/>
      <c r="AM677" s="30"/>
      <c r="AN677" s="31"/>
      <c r="AO677" s="31"/>
      <c r="AP677" s="31" t="n">
        <v>0</v>
      </c>
      <c r="AQ677" s="31" t="n">
        <v>0</v>
      </c>
      <c r="AR677" s="31" t="n">
        <v>0</v>
      </c>
      <c r="AS677" s="31"/>
      <c r="AT677" s="31" t="n">
        <v>0</v>
      </c>
      <c r="AU677" s="31"/>
      <c r="AV677" s="31" t="n">
        <v>0</v>
      </c>
      <c r="AW677" s="31"/>
      <c r="AX677" s="31" t="n">
        <v>0</v>
      </c>
      <c r="AY677" s="31" t="n">
        <f aca="false">IF($G677="",AN677,O677)</f>
        <v>0</v>
      </c>
      <c r="AZ677" s="31" t="n">
        <f aca="false">IF($G677="",AO677,P677)</f>
        <v>0</v>
      </c>
      <c r="BA677" s="31" t="n">
        <f aca="false">IF($G677="",AP677,T677)</f>
        <v>0</v>
      </c>
      <c r="BB677" s="31" t="n">
        <f aca="false">IF($G677="",AQ677,U677)</f>
        <v>0</v>
      </c>
      <c r="BC677" s="31" t="n">
        <f aca="false">IF($G677="",AR677,V677)</f>
        <v>0</v>
      </c>
      <c r="BD677" s="31" t="n">
        <f aca="false">IF($G677="",AS677,Q677)</f>
        <v>0</v>
      </c>
      <c r="BE677" s="31" t="n">
        <f aca="false">IF($G677="",AT677,W677)</f>
        <v>0</v>
      </c>
      <c r="BF677" s="31" t="n">
        <f aca="false">IF($G677="",AU677,R677)</f>
        <v>0</v>
      </c>
      <c r="BG677" s="31" t="n">
        <f aca="false">IF($G677="",AV677,X677)</f>
        <v>0</v>
      </c>
      <c r="BH677" s="31" t="n">
        <f aca="false">IF($G677="",AW677,S677)</f>
        <v>0</v>
      </c>
      <c r="BI677" s="31" t="n">
        <f aca="false">IF($G677="",AX677,Y677)</f>
        <v>0</v>
      </c>
      <c r="BJ677" s="31" t="n">
        <f aca="false">IF(CK677="N",BR677,ROUNDDOWN((I677-L677)*設定!$B$10/1000,0)+ROUNDDOWN((I677-L677)*設定!$B$11/1000,0))</f>
        <v>0</v>
      </c>
      <c r="BK677" s="31" t="n">
        <f aca="false">ROUNDDOWN((I677-L677)*設定!$C$10/1000,0)+ROUNDDOWN((I677-L677)*設定!$C$11/1000,0)+ROUNDDOWN(I677*設定!$C$12/1000,0)+IF(CL677="市局型",ROUNDDOWN(I677*設定!$C$16/1000,0),0)</f>
        <v>0</v>
      </c>
      <c r="BL677" s="31" t="n">
        <f aca="false">IF(CK677="N",BT677,ROUNDDOWN((J677-M677)*設定!$B$13/1000,0))</f>
        <v>0</v>
      </c>
      <c r="BM677" s="31" t="n">
        <f aca="false">ROUNDDOWN((J677-M677)*設定!$C$13/1000,0)+IF(CL677="市局型",ROUNDDOWN(J677*設定!$C$17/1000,0),0)</f>
        <v>0</v>
      </c>
      <c r="BN677" s="31" t="n">
        <f aca="false">IF(CK677="N",BV677,ROUNDDOWN((K677-N677)*設定!$B$14/1000,0))</f>
        <v>0</v>
      </c>
      <c r="BO677" s="31" t="n">
        <f aca="false">ROUNDDOWN((K677-N677)*設定!$C$14/1000,0)</f>
        <v>0</v>
      </c>
      <c r="BP677" s="31" t="n">
        <f aca="false">IF(CK677="N",BX677,ROUNDDOWN((J677-M677)*設定!$B$15/1000,0))</f>
        <v>0</v>
      </c>
      <c r="BQ677" s="31" t="n">
        <f aca="false">ROUNDDOWN((J677-M677)*設定!$C$15/1000,0)</f>
        <v>0</v>
      </c>
      <c r="BR677" s="31" t="n">
        <f aca="false">O677+P677</f>
        <v>0</v>
      </c>
      <c r="BS677" s="31" t="n">
        <f aca="false">T677+U677+V677</f>
        <v>0</v>
      </c>
      <c r="BT677" s="31" t="n">
        <f aca="false">Q677</f>
        <v>0</v>
      </c>
      <c r="BU677" s="31" t="n">
        <f aca="false">W677</f>
        <v>0</v>
      </c>
      <c r="BV677" s="31" t="n">
        <f aca="false">R677</f>
        <v>0</v>
      </c>
      <c r="BW677" s="31" t="n">
        <f aca="false">X677</f>
        <v>0</v>
      </c>
      <c r="BX677" s="31" t="n">
        <f aca="false">S677</f>
        <v>0</v>
      </c>
      <c r="BY677" s="31" t="n">
        <f aca="false">Y677</f>
        <v>0</v>
      </c>
      <c r="BZ677" s="32" t="n">
        <f aca="false">IF(BJ677=0,IF(BR677=0,0,1),(BR677-BJ677)/BJ677)</f>
        <v>0</v>
      </c>
      <c r="CA677" s="32" t="n">
        <f aca="false">IF(BK677=0,IF(BS677=0,0,1),(BS677-BK677)/BK677)</f>
        <v>0</v>
      </c>
      <c r="CB677" s="32" t="n">
        <f aca="false">IF(BL677=0,IF(BT677=0,0,1),(BT677-BL677)/BL677)</f>
        <v>0</v>
      </c>
      <c r="CC677" s="32" t="n">
        <f aca="false">IF(BM677=0,IF(BU677=0,0,1),(BU677-BM677)/BM677)</f>
        <v>0</v>
      </c>
      <c r="CD677" s="32" t="n">
        <f aca="false">IF(BN677=0,IF(BV677=0,0,1),(BV677-BN677)/BN677)</f>
        <v>0</v>
      </c>
      <c r="CE677" s="32" t="n">
        <f aca="false">IF(BO677=0,IF(BW677=0,0,1),(BW677-BO677)/BO677)</f>
        <v>0</v>
      </c>
      <c r="CF677" s="32" t="n">
        <f aca="false">IF(BP677=0,IF(BX677=0,0,1),(BX677-BP677)/BP677)</f>
        <v>0</v>
      </c>
      <c r="CG677" s="32" t="n">
        <f aca="false">IF(BQ677=0,IF(BY677=0,0,1),(BY677-BQ677)/BQ677)</f>
        <v>0</v>
      </c>
      <c r="CH677" s="32" t="n">
        <f aca="false">MAX(MAX(BZ677:CG677),-MIN(BZ677:CG677))</f>
        <v>-0</v>
      </c>
      <c r="CI677" s="31" t="n">
        <f aca="false">IF(CO677="","",SUMIFS($CJ$7:$CJ$696,$A$7:$A$696,CO677,$B$7:$B$696,B677))</f>
        <v>0</v>
      </c>
      <c r="CJ677" s="31" t="n">
        <f aca="false">SUM(AY677:BI677)</f>
        <v>0</v>
      </c>
      <c r="CK677" s="31" t="str">
        <f aca="false">IFERROR(INDEX(設定!$F$61:$F$106,MATCH(B677,設定!$B$61:$B$106,0)),"Y")</f>
        <v>N</v>
      </c>
      <c r="CL677" s="31" t="str">
        <f aca="false">IFERROR(INDEX(設定!$G$61:$G$106,MATCH(B677,設定!$B$61:$B$106,0)),"外郭型")</f>
        <v>外郭型</v>
      </c>
      <c r="CM677" s="33" t="str">
        <f aca="false">A677&amp;"|"&amp;B677</f>
        <v>2027-03 月例|文化財団　教育委員会</v>
      </c>
      <c r="CN677" s="34" t="str">
        <f aca="false">IFERROR(INDEX(設定!$D$61:$D$106,MATCH(B677,設定!$B$61:$B$106,0)),"Y")</f>
        <v>Y</v>
      </c>
      <c r="CO677" s="34" t="str">
        <f aca="false">IFERROR(INDEX(設定!$D$20:$D$34,MATCH(A677,設定!$A$20:$A$34,0))&amp;"","")</f>
        <v>2027-02 月例</v>
      </c>
    </row>
    <row r="678" customFormat="false" ht="15" hidden="true" customHeight="false" outlineLevel="0" collapsed="false">
      <c r="A678" s="22" t="s">
        <v>230</v>
      </c>
      <c r="B678" s="23" t="s">
        <v>196</v>
      </c>
      <c r="C678" s="10" t="str">
        <f aca="false">IF(G678="","未受領",IF(G678="なし","報告なし",IF(AL678="○","起票済",IF(OR(AK678="○",F678="一致",F678="入金不要"),"入金確認済","受領済"))))</f>
        <v>未受領</v>
      </c>
      <c r="D678" s="10" t="str">
        <f aca="false">IF(OR(G678="",G678="なし"),"―",IF(CN678="N","対象外",IF(AND(I678="",J678="",K678=""),"標報未入力",IF(CH678&gt;=設定!$B$4,"要確認","問題なし"))))</f>
        <v>―</v>
      </c>
      <c r="E678" s="24" t="str">
        <f aca="false">IF(OR(G678="",G678="なし",CI678="",CJ678=0),"―",IF(CJ678=CI678,"前月同額",IF(CI678=0,"―",IF(ABS(CJ678/CI678-1)&gt;=設定!$B$5,"変動大 "&amp;TEXT(CJ678/CI678-1,"+0%;-0%"),"〇"))))</f>
        <v>―</v>
      </c>
      <c r="F678" s="10" t="str">
        <f aca="false">IF(OR(G678="",G678="なし"),"―",IF(CJ678=0,"入金不要",IF(COUNT(AD678,AF678,AH678,AJ678)=0,IF(AK678="○","手動確認","未入金"),IF(AND(N(AD678)=AC678,IF(AE678="",TRUE(),N(AF678)=AE678),IF(AG678="",TRUE(),N(AH678)=AG678),IF(AI678="",TRUE(),N(AJ678)=AI678)),"一致","不一致"))))</f>
        <v>―</v>
      </c>
      <c r="G678" s="25"/>
      <c r="H678" s="26"/>
      <c r="I678" s="27"/>
      <c r="J678" s="27"/>
      <c r="K678" s="27"/>
      <c r="L678" s="27"/>
      <c r="M678" s="27"/>
      <c r="N678" s="27"/>
      <c r="O678" s="27"/>
      <c r="P678" s="27"/>
      <c r="Q678" s="27"/>
      <c r="R678" s="27"/>
      <c r="S678" s="27"/>
      <c r="T678" s="27"/>
      <c r="U678" s="27"/>
      <c r="V678" s="27"/>
      <c r="W678" s="27"/>
      <c r="X678" s="27"/>
      <c r="Y678" s="27"/>
      <c r="Z678" s="27"/>
      <c r="AA678" s="10" t="str">
        <f aca="false">IFERROR(INDEX(設定!$E$61:$E$106,MATCH(B678,設定!$B$61:$B$106,0)),"合算")</f>
        <v>合算</v>
      </c>
      <c r="AB678" s="28"/>
      <c r="AC678" s="29" t="str">
        <f aca="false">IF(OR(G678="",G678="なし"),"",IF(AA678="合算",CJ678+N(Z678),IF(AA678="掛金・負担金別",(AY678+AZ678+BD678+BF678+BH678),SUM(AY678:BC678))))</f>
        <v/>
      </c>
      <c r="AD678" s="27"/>
      <c r="AE678" s="29" t="str">
        <f aca="false">IF(OR(G678="",G678="なし"),"",IF(AA678="掛金・負担金別",(BA678+BB678+BC678+BE678+BG678+BI678+N(Z678)),IF(AA678="経理区分別",BD678+BE678,"")))</f>
        <v/>
      </c>
      <c r="AF678" s="27"/>
      <c r="AG678" s="29" t="str">
        <f aca="false">IF(OR(G678="",G678="なし"),"",IF(AA678="経理区分別",BF678+BG678,""))</f>
        <v/>
      </c>
      <c r="AH678" s="27"/>
      <c r="AI678" s="29" t="str">
        <f aca="false">IF(OR(G678="",G678="なし"),"",IF(AA678="経理区分別",BH678+BI678+N(Z678),""))</f>
        <v/>
      </c>
      <c r="AJ678" s="27"/>
      <c r="AK678" s="26"/>
      <c r="AL678" s="26"/>
      <c r="AM678" s="30"/>
      <c r="AN678" s="31"/>
      <c r="AO678" s="31"/>
      <c r="AP678" s="31" t="n">
        <v>402600</v>
      </c>
      <c r="AQ678" s="31" t="n">
        <v>33000</v>
      </c>
      <c r="AR678" s="31" t="n">
        <v>412</v>
      </c>
      <c r="AS678" s="31"/>
      <c r="AT678" s="31" t="n">
        <v>242482</v>
      </c>
      <c r="AU678" s="31"/>
      <c r="AV678" s="31" t="n">
        <v>34760</v>
      </c>
      <c r="AW678" s="31"/>
      <c r="AX678" s="31" t="n">
        <v>1</v>
      </c>
      <c r="AY678" s="31" t="n">
        <f aca="false">IF($G678="",AN678,O678)</f>
        <v>0</v>
      </c>
      <c r="AZ678" s="31" t="n">
        <f aca="false">IF($G678="",AO678,P678)</f>
        <v>0</v>
      </c>
      <c r="BA678" s="31" t="n">
        <f aca="false">IF($G678="",AP678,T678)</f>
        <v>402600</v>
      </c>
      <c r="BB678" s="31" t="n">
        <f aca="false">IF($G678="",AQ678,U678)</f>
        <v>33000</v>
      </c>
      <c r="BC678" s="31" t="n">
        <f aca="false">IF($G678="",AR678,V678)</f>
        <v>412</v>
      </c>
      <c r="BD678" s="31" t="n">
        <f aca="false">IF($G678="",AS678,Q678)</f>
        <v>0</v>
      </c>
      <c r="BE678" s="31" t="n">
        <f aca="false">IF($G678="",AT678,W678)</f>
        <v>242482</v>
      </c>
      <c r="BF678" s="31" t="n">
        <f aca="false">IF($G678="",AU678,R678)</f>
        <v>0</v>
      </c>
      <c r="BG678" s="31" t="n">
        <f aca="false">IF($G678="",AV678,X678)</f>
        <v>34760</v>
      </c>
      <c r="BH678" s="31" t="n">
        <f aca="false">IF($G678="",AW678,S678)</f>
        <v>0</v>
      </c>
      <c r="BI678" s="31" t="n">
        <f aca="false">IF($G678="",AX678,Y678)</f>
        <v>1</v>
      </c>
      <c r="BJ678" s="31" t="n">
        <f aca="false">IF(CK678="N",BR678,ROUNDDOWN((I678-L678)*設定!$B$10/1000,0)+ROUNDDOWN((I678-L678)*設定!$B$11/1000,0))</f>
        <v>0</v>
      </c>
      <c r="BK678" s="31" t="n">
        <f aca="false">ROUNDDOWN((I678-L678)*設定!$C$10/1000,0)+ROUNDDOWN((I678-L678)*設定!$C$11/1000,0)+ROUNDDOWN(I678*設定!$C$12/1000,0)+IF(CL678="市局型",ROUNDDOWN(I678*設定!$C$16/1000,0),0)</f>
        <v>0</v>
      </c>
      <c r="BL678" s="31" t="n">
        <f aca="false">IF(CK678="N",BT678,ROUNDDOWN((J678-M678)*設定!$B$13/1000,0))</f>
        <v>0</v>
      </c>
      <c r="BM678" s="31" t="n">
        <f aca="false">ROUNDDOWN((J678-M678)*設定!$C$13/1000,0)+IF(CL678="市局型",ROUNDDOWN(J678*設定!$C$17/1000,0),0)</f>
        <v>0</v>
      </c>
      <c r="BN678" s="31" t="n">
        <f aca="false">IF(CK678="N",BV678,ROUNDDOWN((K678-N678)*設定!$B$14/1000,0))</f>
        <v>0</v>
      </c>
      <c r="BO678" s="31" t="n">
        <f aca="false">ROUNDDOWN((K678-N678)*設定!$C$14/1000,0)</f>
        <v>0</v>
      </c>
      <c r="BP678" s="31" t="n">
        <f aca="false">IF(CK678="N",BX678,ROUNDDOWN((J678-M678)*設定!$B$15/1000,0))</f>
        <v>0</v>
      </c>
      <c r="BQ678" s="31" t="n">
        <f aca="false">ROUNDDOWN((J678-M678)*設定!$C$15/1000,0)</f>
        <v>0</v>
      </c>
      <c r="BR678" s="31" t="n">
        <f aca="false">O678+P678</f>
        <v>0</v>
      </c>
      <c r="BS678" s="31" t="n">
        <f aca="false">T678+U678+V678</f>
        <v>0</v>
      </c>
      <c r="BT678" s="31" t="n">
        <f aca="false">Q678</f>
        <v>0</v>
      </c>
      <c r="BU678" s="31" t="n">
        <f aca="false">W678</f>
        <v>0</v>
      </c>
      <c r="BV678" s="31" t="n">
        <f aca="false">R678</f>
        <v>0</v>
      </c>
      <c r="BW678" s="31" t="n">
        <f aca="false">X678</f>
        <v>0</v>
      </c>
      <c r="BX678" s="31" t="n">
        <f aca="false">S678</f>
        <v>0</v>
      </c>
      <c r="BY678" s="31" t="n">
        <f aca="false">Y678</f>
        <v>0</v>
      </c>
      <c r="BZ678" s="32" t="n">
        <f aca="false">IF(BJ678=0,IF(BR678=0,0,1),(BR678-BJ678)/BJ678)</f>
        <v>0</v>
      </c>
      <c r="CA678" s="32" t="n">
        <f aca="false">IF(BK678=0,IF(BS678=0,0,1),(BS678-BK678)/BK678)</f>
        <v>0</v>
      </c>
      <c r="CB678" s="32" t="n">
        <f aca="false">IF(BL678=0,IF(BT678=0,0,1),(BT678-BL678)/BL678)</f>
        <v>0</v>
      </c>
      <c r="CC678" s="32" t="n">
        <f aca="false">IF(BM678=0,IF(BU678=0,0,1),(BU678-BM678)/BM678)</f>
        <v>0</v>
      </c>
      <c r="CD678" s="32" t="n">
        <f aca="false">IF(BN678=0,IF(BV678=0,0,1),(BV678-BN678)/BN678)</f>
        <v>0</v>
      </c>
      <c r="CE678" s="32" t="n">
        <f aca="false">IF(BO678=0,IF(BW678=0,0,1),(BW678-BO678)/BO678)</f>
        <v>0</v>
      </c>
      <c r="CF678" s="32" t="n">
        <f aca="false">IF(BP678=0,IF(BX678=0,0,1),(BX678-BP678)/BP678)</f>
        <v>0</v>
      </c>
      <c r="CG678" s="32" t="n">
        <f aca="false">IF(BQ678=0,IF(BY678=0,0,1),(BY678-BQ678)/BQ678)</f>
        <v>0</v>
      </c>
      <c r="CH678" s="32" t="n">
        <f aca="false">MAX(MAX(BZ678:CG678),-MIN(BZ678:CG678))</f>
        <v>-0</v>
      </c>
      <c r="CI678" s="31" t="n">
        <f aca="false">IF(CO678="","",SUMIFS($CJ$7:$CJ$696,$A$7:$A$696,CO678,$B$7:$B$696,B678))</f>
        <v>713255</v>
      </c>
      <c r="CJ678" s="31" t="n">
        <f aca="false">SUM(AY678:BI678)</f>
        <v>713255</v>
      </c>
      <c r="CK678" s="31" t="str">
        <f aca="false">IFERROR(INDEX(設定!$F$61:$F$106,MATCH(B678,設定!$B$61:$B$106,0)),"Y")</f>
        <v>N</v>
      </c>
      <c r="CL678" s="31" t="str">
        <f aca="false">IFERROR(INDEX(設定!$G$61:$G$106,MATCH(B678,設定!$B$61:$B$106,0)),"外郭型")</f>
        <v>外郭型</v>
      </c>
      <c r="CM678" s="33" t="str">
        <f aca="false">A678&amp;"|"&amp;B678</f>
        <v>2027-03 月例|みどり生きもの協会</v>
      </c>
      <c r="CN678" s="34" t="str">
        <f aca="false">IFERROR(INDEX(設定!$D$61:$D$106,MATCH(B678,設定!$B$61:$B$106,0)),"Y")</f>
        <v>Y</v>
      </c>
      <c r="CO678" s="34" t="str">
        <f aca="false">IFERROR(INDEX(設定!$D$20:$D$34,MATCH(A678,設定!$A$20:$A$34,0))&amp;"","")</f>
        <v>2027-02 月例</v>
      </c>
    </row>
    <row r="679" customFormat="false" ht="15" hidden="true" customHeight="false" outlineLevel="0" collapsed="false">
      <c r="A679" s="22" t="s">
        <v>230</v>
      </c>
      <c r="B679" s="23" t="s">
        <v>197</v>
      </c>
      <c r="C679" s="10" t="str">
        <f aca="false">IF(G679="","未受領",IF(G679="なし","報告なし",IF(AL679="○","起票済",IF(OR(AK679="○",F679="一致",F679="入金不要"),"入金確認済","受領済"))))</f>
        <v>未受領</v>
      </c>
      <c r="D679" s="10" t="str">
        <f aca="false">IF(OR(G679="",G679="なし"),"―",IF(CN679="N","対象外",IF(AND(I679="",J679="",K679=""),"標報未入力",IF(CH679&gt;=設定!$B$4,"要確認","問題なし"))))</f>
        <v>―</v>
      </c>
      <c r="E679" s="24" t="str">
        <f aca="false">IF(OR(G679="",G679="なし",CI679="",CJ679=0),"―",IF(CJ679=CI679,"前月同額",IF(CI679=0,"―",IF(ABS(CJ679/CI679-1)&gt;=設定!$B$5,"変動大 "&amp;TEXT(CJ679/CI679-1,"+0%;-0%"),"〇"))))</f>
        <v>―</v>
      </c>
      <c r="F679" s="10" t="str">
        <f aca="false">IF(OR(G679="",G679="なし"),"―",IF(CJ679=0,"入金不要",IF(COUNT(AD679,AF679,AH679,AJ679)=0,IF(AK679="○","手動確認","未入金"),IF(AND(N(AD679)=AC679,IF(AE679="",TRUE(),N(AF679)=AE679),IF(AG679="",TRUE(),N(AH679)=AG679),IF(AI679="",TRUE(),N(AJ679)=AI679)),"一致","不一致"))))</f>
        <v>―</v>
      </c>
      <c r="G679" s="25"/>
      <c r="H679" s="26"/>
      <c r="I679" s="27"/>
      <c r="J679" s="27"/>
      <c r="K679" s="27"/>
      <c r="L679" s="27"/>
      <c r="M679" s="27"/>
      <c r="N679" s="27"/>
      <c r="O679" s="27"/>
      <c r="P679" s="27"/>
      <c r="Q679" s="27"/>
      <c r="R679" s="27"/>
      <c r="S679" s="27"/>
      <c r="T679" s="27"/>
      <c r="U679" s="27"/>
      <c r="V679" s="27"/>
      <c r="W679" s="27"/>
      <c r="X679" s="27"/>
      <c r="Y679" s="27"/>
      <c r="Z679" s="27"/>
      <c r="AA679" s="10" t="str">
        <f aca="false">IFERROR(INDEX(設定!$E$61:$E$106,MATCH(B679,設定!$B$61:$B$106,0)),"合算")</f>
        <v>合算</v>
      </c>
      <c r="AB679" s="28"/>
      <c r="AC679" s="29" t="str">
        <f aca="false">IF(OR(G679="",G679="なし"),"",IF(AA679="合算",CJ679+N(Z679),IF(AA679="掛金・負担金別",(AY679+AZ679+BD679+BF679+BH679),SUM(AY679:BC679))))</f>
        <v/>
      </c>
      <c r="AD679" s="27"/>
      <c r="AE679" s="29" t="str">
        <f aca="false">IF(OR(G679="",G679="なし"),"",IF(AA679="掛金・負担金別",(BA679+BB679+BC679+BE679+BG679+BI679+N(Z679)),IF(AA679="経理区分別",BD679+BE679,"")))</f>
        <v/>
      </c>
      <c r="AF679" s="27"/>
      <c r="AG679" s="29" t="str">
        <f aca="false">IF(OR(G679="",G679="なし"),"",IF(AA679="経理区分別",BF679+BG679,""))</f>
        <v/>
      </c>
      <c r="AH679" s="27"/>
      <c r="AI679" s="29" t="str">
        <f aca="false">IF(OR(G679="",G679="なし"),"",IF(AA679="経理区分別",BH679+BI679+N(Z679),""))</f>
        <v/>
      </c>
      <c r="AJ679" s="27"/>
      <c r="AK679" s="26"/>
      <c r="AL679" s="26"/>
      <c r="AM679" s="30"/>
      <c r="AN679" s="31" t="n">
        <v>137250</v>
      </c>
      <c r="AO679" s="31" t="n">
        <v>11250</v>
      </c>
      <c r="AP679" s="31" t="n">
        <v>137250</v>
      </c>
      <c r="AQ679" s="31" t="n">
        <v>11250</v>
      </c>
      <c r="AR679" s="31" t="n">
        <v>140</v>
      </c>
      <c r="AS679" s="31" t="n">
        <v>82514</v>
      </c>
      <c r="AT679" s="31" t="n">
        <v>82665</v>
      </c>
      <c r="AU679" s="31" t="n">
        <v>8611</v>
      </c>
      <c r="AV679" s="31" t="n">
        <v>8611</v>
      </c>
      <c r="AW679" s="31" t="n">
        <v>1</v>
      </c>
      <c r="AX679" s="31" t="n">
        <v>1</v>
      </c>
      <c r="AY679" s="31" t="n">
        <f aca="false">IF($G679="",AN679,O679)</f>
        <v>137250</v>
      </c>
      <c r="AZ679" s="31" t="n">
        <f aca="false">IF($G679="",AO679,P679)</f>
        <v>11250</v>
      </c>
      <c r="BA679" s="31" t="n">
        <f aca="false">IF($G679="",AP679,T679)</f>
        <v>137250</v>
      </c>
      <c r="BB679" s="31" t="n">
        <f aca="false">IF($G679="",AQ679,U679)</f>
        <v>11250</v>
      </c>
      <c r="BC679" s="31" t="n">
        <f aca="false">IF($G679="",AR679,V679)</f>
        <v>140</v>
      </c>
      <c r="BD679" s="31" t="n">
        <f aca="false">IF($G679="",AS679,Q679)</f>
        <v>82514</v>
      </c>
      <c r="BE679" s="31" t="n">
        <f aca="false">IF($G679="",AT679,W679)</f>
        <v>82665</v>
      </c>
      <c r="BF679" s="31" t="n">
        <f aca="false">IF($G679="",AU679,R679)</f>
        <v>8611</v>
      </c>
      <c r="BG679" s="31" t="n">
        <f aca="false">IF($G679="",AV679,X679)</f>
        <v>8611</v>
      </c>
      <c r="BH679" s="31" t="n">
        <f aca="false">IF($G679="",AW679,S679)</f>
        <v>1</v>
      </c>
      <c r="BI679" s="31" t="n">
        <f aca="false">IF($G679="",AX679,Y679)</f>
        <v>1</v>
      </c>
      <c r="BJ679" s="31" t="n">
        <f aca="false">IF(CK679="N",BR679,ROUNDDOWN((I679-L679)*設定!$B$10/1000,0)+ROUNDDOWN((I679-L679)*設定!$B$11/1000,0))</f>
        <v>0</v>
      </c>
      <c r="BK679" s="31" t="n">
        <f aca="false">ROUNDDOWN((I679-L679)*設定!$C$10/1000,0)+ROUNDDOWN((I679-L679)*設定!$C$11/1000,0)+ROUNDDOWN(I679*設定!$C$12/1000,0)+IF(CL679="市局型",ROUNDDOWN(I679*設定!$C$16/1000,0),0)</f>
        <v>0</v>
      </c>
      <c r="BL679" s="31" t="n">
        <f aca="false">IF(CK679="N",BT679,ROUNDDOWN((J679-M679)*設定!$B$13/1000,0))</f>
        <v>0</v>
      </c>
      <c r="BM679" s="31" t="n">
        <f aca="false">ROUNDDOWN((J679-M679)*設定!$C$13/1000,0)+IF(CL679="市局型",ROUNDDOWN(J679*設定!$C$17/1000,0),0)</f>
        <v>0</v>
      </c>
      <c r="BN679" s="31" t="n">
        <f aca="false">IF(CK679="N",BV679,ROUNDDOWN((K679-N679)*設定!$B$14/1000,0))</f>
        <v>0</v>
      </c>
      <c r="BO679" s="31" t="n">
        <f aca="false">ROUNDDOWN((K679-N679)*設定!$C$14/1000,0)</f>
        <v>0</v>
      </c>
      <c r="BP679" s="31" t="n">
        <f aca="false">IF(CK679="N",BX679,ROUNDDOWN((J679-M679)*設定!$B$15/1000,0))</f>
        <v>0</v>
      </c>
      <c r="BQ679" s="31" t="n">
        <f aca="false">ROUNDDOWN((J679-M679)*設定!$C$15/1000,0)</f>
        <v>0</v>
      </c>
      <c r="BR679" s="31" t="n">
        <f aca="false">O679+P679</f>
        <v>0</v>
      </c>
      <c r="BS679" s="31" t="n">
        <f aca="false">T679+U679+V679</f>
        <v>0</v>
      </c>
      <c r="BT679" s="31" t="n">
        <f aca="false">Q679</f>
        <v>0</v>
      </c>
      <c r="BU679" s="31" t="n">
        <f aca="false">W679</f>
        <v>0</v>
      </c>
      <c r="BV679" s="31" t="n">
        <f aca="false">R679</f>
        <v>0</v>
      </c>
      <c r="BW679" s="31" t="n">
        <f aca="false">X679</f>
        <v>0</v>
      </c>
      <c r="BX679" s="31" t="n">
        <f aca="false">S679</f>
        <v>0</v>
      </c>
      <c r="BY679" s="31" t="n">
        <f aca="false">Y679</f>
        <v>0</v>
      </c>
      <c r="BZ679" s="32" t="n">
        <f aca="false">IF(BJ679=0,IF(BR679=0,0,1),(BR679-BJ679)/BJ679)</f>
        <v>0</v>
      </c>
      <c r="CA679" s="32" t="n">
        <f aca="false">IF(BK679=0,IF(BS679=0,0,1),(BS679-BK679)/BK679)</f>
        <v>0</v>
      </c>
      <c r="CB679" s="32" t="n">
        <f aca="false">IF(BL679=0,IF(BT679=0,0,1),(BT679-BL679)/BL679)</f>
        <v>0</v>
      </c>
      <c r="CC679" s="32" t="n">
        <f aca="false">IF(BM679=0,IF(BU679=0,0,1),(BU679-BM679)/BM679)</f>
        <v>0</v>
      </c>
      <c r="CD679" s="32" t="n">
        <f aca="false">IF(BN679=0,IF(BV679=0,0,1),(BV679-BN679)/BN679)</f>
        <v>0</v>
      </c>
      <c r="CE679" s="32" t="n">
        <f aca="false">IF(BO679=0,IF(BW679=0,0,1),(BW679-BO679)/BO679)</f>
        <v>0</v>
      </c>
      <c r="CF679" s="32" t="n">
        <f aca="false">IF(BP679=0,IF(BX679=0,0,1),(BX679-BP679)/BP679)</f>
        <v>0</v>
      </c>
      <c r="CG679" s="32" t="n">
        <f aca="false">IF(BQ679=0,IF(BY679=0,0,1),(BY679-BQ679)/BQ679)</f>
        <v>0</v>
      </c>
      <c r="CH679" s="32" t="n">
        <f aca="false">MAX(MAX(BZ679:CG679),-MIN(BZ679:CG679))</f>
        <v>-0</v>
      </c>
      <c r="CI679" s="31" t="n">
        <f aca="false">IF(CO679="","",SUMIFS($CJ$7:$CJ$696,$A$7:$A$696,CO679,$B$7:$B$696,B679))</f>
        <v>479543</v>
      </c>
      <c r="CJ679" s="31" t="n">
        <f aca="false">SUM(AY679:BI679)</f>
        <v>479543</v>
      </c>
      <c r="CK679" s="31" t="str">
        <f aca="false">IFERROR(INDEX(設定!$F$61:$F$106,MATCH(B679,設定!$B$61:$B$106,0)),"Y")</f>
        <v>Y</v>
      </c>
      <c r="CL679" s="31" t="str">
        <f aca="false">IFERROR(INDEX(設定!$G$61:$G$106,MATCH(B679,設定!$B$61:$B$106,0)),"外郭型")</f>
        <v>外郭型</v>
      </c>
      <c r="CM679" s="33" t="str">
        <f aca="false">A679&amp;"|"&amp;B679</f>
        <v>2027-03 月例|県下水道公社</v>
      </c>
      <c r="CN679" s="34" t="str">
        <f aca="false">IFERROR(INDEX(設定!$D$61:$D$106,MATCH(B679,設定!$B$61:$B$106,0)),"Y")</f>
        <v>Y</v>
      </c>
      <c r="CO679" s="34" t="str">
        <f aca="false">IFERROR(INDEX(設定!$D$20:$D$34,MATCH(A679,設定!$A$20:$A$34,0))&amp;"","")</f>
        <v>2027-02 月例</v>
      </c>
    </row>
    <row r="680" customFormat="false" ht="26.85" hidden="true" customHeight="false" outlineLevel="0" collapsed="false">
      <c r="A680" s="22" t="s">
        <v>230</v>
      </c>
      <c r="B680" s="35" t="s">
        <v>198</v>
      </c>
      <c r="C680" s="10" t="str">
        <f aca="false">IF(G680="","未受領",IF(G680="なし","報告なし",IF(AL680="○","起票済",IF(OR(AK680="○",F680="一致",F680="入金不要"),"入金確認済","受領済"))))</f>
        <v>未受領</v>
      </c>
      <c r="D680" s="10" t="str">
        <f aca="false">IF(OR(G680="",G680="なし"),"―",IF(CN680="N","対象外",IF(AND(I680="",J680="",K680=""),"標報未入力",IF(CH680&gt;=設定!$B$4,"要確認","問題なし"))))</f>
        <v>―</v>
      </c>
      <c r="E680" s="24" t="str">
        <f aca="false">IF(OR(G680="",G680="なし",CI680="",CJ680=0),"―",IF(CJ680=CI680,"前月同額",IF(CI680=0,"―",IF(ABS(CJ680/CI680-1)&gt;=設定!$B$5,"変動大 "&amp;TEXT(CJ680/CI680-1,"+0%;-0%"),"〇"))))</f>
        <v>―</v>
      </c>
      <c r="F680" s="10" t="str">
        <f aca="false">IF(OR(G680="",G680="なし"),"―",IF(CJ680=0,"入金不要",IF(COUNT(AD680,AF680,AH680,AJ680)=0,IF(AK680="○","手動確認","未入金"),IF(AND(N(AD680)=AC680,IF(AE680="",TRUE(),N(AF680)=AE680),IF(AG680="",TRUE(),N(AH680)=AG680),IF(AI680="",TRUE(),N(AJ680)=AI680)),"一致","不一致"))))</f>
        <v>―</v>
      </c>
      <c r="G680" s="25"/>
      <c r="H680" s="26"/>
      <c r="I680" s="27"/>
      <c r="J680" s="27"/>
      <c r="K680" s="27"/>
      <c r="L680" s="27"/>
      <c r="M680" s="27"/>
      <c r="N680" s="27"/>
      <c r="O680" s="27"/>
      <c r="P680" s="27"/>
      <c r="Q680" s="27"/>
      <c r="R680" s="27"/>
      <c r="S680" s="27"/>
      <c r="T680" s="27"/>
      <c r="U680" s="27"/>
      <c r="V680" s="27"/>
      <c r="W680" s="27"/>
      <c r="X680" s="27"/>
      <c r="Y680" s="27"/>
      <c r="Z680" s="27"/>
      <c r="AA680" s="10" t="str">
        <f aca="false">IFERROR(INDEX(設定!$E$61:$E$106,MATCH(B680,設定!$B$61:$B$106,0)),"合算")</f>
        <v>合算</v>
      </c>
      <c r="AB680" s="28"/>
      <c r="AC680" s="29" t="str">
        <f aca="false">IF(OR(G680="",G680="なし"),"",IF(AA680="合算",CJ680+N(Z680),IF(AA680="掛金・負担金別",(AY680+AZ680+BD680+BF680+BH680),SUM(AY680:BC680))))</f>
        <v/>
      </c>
      <c r="AD680" s="27"/>
      <c r="AE680" s="29" t="str">
        <f aca="false">IF(OR(G680="",G680="なし"),"",IF(AA680="掛金・負担金別",(BA680+BB680+BC680+BE680+BG680+BI680+N(Z680)),IF(AA680="経理区分別",BD680+BE680,"")))</f>
        <v/>
      </c>
      <c r="AF680" s="27"/>
      <c r="AG680" s="29" t="str">
        <f aca="false">IF(OR(G680="",G680="なし"),"",IF(AA680="経理区分別",BF680+BG680,""))</f>
        <v/>
      </c>
      <c r="AH680" s="27"/>
      <c r="AI680" s="29" t="str">
        <f aca="false">IF(OR(G680="",G680="なし"),"",IF(AA680="経理区分別",BH680+BI680+N(Z680),""))</f>
        <v/>
      </c>
      <c r="AJ680" s="27"/>
      <c r="AK680" s="26"/>
      <c r="AL680" s="26"/>
      <c r="AM680" s="30"/>
      <c r="AN680" s="31"/>
      <c r="AO680" s="31"/>
      <c r="AP680" s="31" t="n">
        <v>48495</v>
      </c>
      <c r="AQ680" s="31" t="n">
        <v>3975</v>
      </c>
      <c r="AR680" s="31" t="n">
        <v>50</v>
      </c>
      <c r="AS680" s="31"/>
      <c r="AT680" s="31" t="n">
        <v>29208</v>
      </c>
      <c r="AU680" s="31"/>
      <c r="AV680" s="31" t="n">
        <v>4452</v>
      </c>
      <c r="AW680" s="31"/>
      <c r="AX680" s="31" t="n">
        <v>1</v>
      </c>
      <c r="AY680" s="31" t="n">
        <f aca="false">IF($G680="",AN680,O680)</f>
        <v>0</v>
      </c>
      <c r="AZ680" s="31" t="n">
        <f aca="false">IF($G680="",AO680,P680)</f>
        <v>0</v>
      </c>
      <c r="BA680" s="31" t="n">
        <f aca="false">IF($G680="",AP680,T680)</f>
        <v>48495</v>
      </c>
      <c r="BB680" s="31" t="n">
        <f aca="false">IF($G680="",AQ680,U680)</f>
        <v>3975</v>
      </c>
      <c r="BC680" s="31" t="n">
        <f aca="false">IF($G680="",AR680,V680)</f>
        <v>50</v>
      </c>
      <c r="BD680" s="31" t="n">
        <f aca="false">IF($G680="",AS680,Q680)</f>
        <v>0</v>
      </c>
      <c r="BE680" s="31" t="n">
        <f aca="false">IF($G680="",AT680,W680)</f>
        <v>29208</v>
      </c>
      <c r="BF680" s="31" t="n">
        <f aca="false">IF($G680="",AU680,R680)</f>
        <v>0</v>
      </c>
      <c r="BG680" s="31" t="n">
        <f aca="false">IF($G680="",AV680,X680)</f>
        <v>4452</v>
      </c>
      <c r="BH680" s="31" t="n">
        <f aca="false">IF($G680="",AW680,S680)</f>
        <v>0</v>
      </c>
      <c r="BI680" s="31" t="n">
        <f aca="false">IF($G680="",AX680,Y680)</f>
        <v>1</v>
      </c>
      <c r="BJ680" s="31" t="n">
        <f aca="false">IF(CK680="N",BR680,ROUNDDOWN((I680-L680)*設定!$B$10/1000,0)+ROUNDDOWN((I680-L680)*設定!$B$11/1000,0))</f>
        <v>0</v>
      </c>
      <c r="BK680" s="31" t="n">
        <f aca="false">ROUNDDOWN((I680-L680)*設定!$C$10/1000,0)+ROUNDDOWN((I680-L680)*設定!$C$11/1000,0)+ROUNDDOWN(I680*設定!$C$12/1000,0)+IF(CL680="市局型",ROUNDDOWN(I680*設定!$C$16/1000,0),0)</f>
        <v>0</v>
      </c>
      <c r="BL680" s="31" t="n">
        <f aca="false">IF(CK680="N",BT680,ROUNDDOWN((J680-M680)*設定!$B$13/1000,0))</f>
        <v>0</v>
      </c>
      <c r="BM680" s="31" t="n">
        <f aca="false">ROUNDDOWN((J680-M680)*設定!$C$13/1000,0)+IF(CL680="市局型",ROUNDDOWN(J680*設定!$C$17/1000,0),0)</f>
        <v>0</v>
      </c>
      <c r="BN680" s="31" t="n">
        <f aca="false">IF(CK680="N",BV680,ROUNDDOWN((K680-N680)*設定!$B$14/1000,0))</f>
        <v>0</v>
      </c>
      <c r="BO680" s="31" t="n">
        <f aca="false">ROUNDDOWN((K680-N680)*設定!$C$14/1000,0)</f>
        <v>0</v>
      </c>
      <c r="BP680" s="31" t="n">
        <f aca="false">IF(CK680="N",BX680,ROUNDDOWN((J680-M680)*設定!$B$15/1000,0))</f>
        <v>0</v>
      </c>
      <c r="BQ680" s="31" t="n">
        <f aca="false">ROUNDDOWN((J680-M680)*設定!$C$15/1000,0)</f>
        <v>0</v>
      </c>
      <c r="BR680" s="31" t="n">
        <f aca="false">O680+P680</f>
        <v>0</v>
      </c>
      <c r="BS680" s="31" t="n">
        <f aca="false">T680+U680+V680</f>
        <v>0</v>
      </c>
      <c r="BT680" s="31" t="n">
        <f aca="false">Q680</f>
        <v>0</v>
      </c>
      <c r="BU680" s="31" t="n">
        <f aca="false">W680</f>
        <v>0</v>
      </c>
      <c r="BV680" s="31" t="n">
        <f aca="false">R680</f>
        <v>0</v>
      </c>
      <c r="BW680" s="31" t="n">
        <f aca="false">X680</f>
        <v>0</v>
      </c>
      <c r="BX680" s="31" t="n">
        <f aca="false">S680</f>
        <v>0</v>
      </c>
      <c r="BY680" s="31" t="n">
        <f aca="false">Y680</f>
        <v>0</v>
      </c>
      <c r="BZ680" s="32" t="n">
        <f aca="false">IF(BJ680=0,IF(BR680=0,0,1),(BR680-BJ680)/BJ680)</f>
        <v>0</v>
      </c>
      <c r="CA680" s="32" t="n">
        <f aca="false">IF(BK680=0,IF(BS680=0,0,1),(BS680-BK680)/BK680)</f>
        <v>0</v>
      </c>
      <c r="CB680" s="32" t="n">
        <f aca="false">IF(BL680=0,IF(BT680=0,0,1),(BT680-BL680)/BL680)</f>
        <v>0</v>
      </c>
      <c r="CC680" s="32" t="n">
        <f aca="false">IF(BM680=0,IF(BU680=0,0,1),(BU680-BM680)/BM680)</f>
        <v>0</v>
      </c>
      <c r="CD680" s="32" t="n">
        <f aca="false">IF(BN680=0,IF(BV680=0,0,1),(BV680-BN680)/BN680)</f>
        <v>0</v>
      </c>
      <c r="CE680" s="32" t="n">
        <f aca="false">IF(BO680=0,IF(BW680=0,0,1),(BW680-BO680)/BO680)</f>
        <v>0</v>
      </c>
      <c r="CF680" s="32" t="n">
        <f aca="false">IF(BP680=0,IF(BX680=0,0,1),(BX680-BP680)/BP680)</f>
        <v>0</v>
      </c>
      <c r="CG680" s="32" t="n">
        <f aca="false">IF(BQ680=0,IF(BY680=0,0,1),(BY680-BQ680)/BQ680)</f>
        <v>0</v>
      </c>
      <c r="CH680" s="32" t="n">
        <f aca="false">MAX(MAX(BZ680:CG680),-MIN(BZ680:CG680))</f>
        <v>-0</v>
      </c>
      <c r="CI680" s="31" t="n">
        <f aca="false">IF(CO680="","",SUMIFS($CJ$7:$CJ$696,$A$7:$A$696,CO680,$B$7:$B$696,B680))</f>
        <v>835973</v>
      </c>
      <c r="CJ680" s="31" t="n">
        <f aca="false">SUM(AY680:BI680)</f>
        <v>86181</v>
      </c>
      <c r="CK680" s="31" t="str">
        <f aca="false">IFERROR(INDEX(設定!$F$61:$F$106,MATCH(B680,設定!$B$61:$B$106,0)),"Y")</f>
        <v>N</v>
      </c>
      <c r="CL680" s="31" t="str">
        <f aca="false">IFERROR(INDEX(設定!$G$61:$G$106,MATCH(B680,設定!$B$61:$B$106,0)),"外郭型")</f>
        <v>外郭型</v>
      </c>
      <c r="CM680" s="36" t="str">
        <f aca="false">A680&amp;"|"&amp;B680</f>
        <v>2027-03 月例|バス協調・共創
プラットフォーム</v>
      </c>
      <c r="CN680" s="34" t="str">
        <f aca="false">IFERROR(INDEX(設定!$D$61:$D$106,MATCH(B680,設定!$B$61:$B$106,0)),"Y")</f>
        <v>Y</v>
      </c>
      <c r="CO680" s="34" t="str">
        <f aca="false">IFERROR(INDEX(設定!$D$20:$D$34,MATCH(A680,設定!$A$20:$A$34,0))&amp;"","")</f>
        <v>2027-02 月例</v>
      </c>
    </row>
    <row r="681" customFormat="false" ht="15" hidden="true" customHeight="false" outlineLevel="0" collapsed="false">
      <c r="A681" s="22" t="s">
        <v>230</v>
      </c>
      <c r="B681" s="23" t="s">
        <v>199</v>
      </c>
      <c r="C681" s="10" t="str">
        <f aca="false">IF(G681="","未受領",IF(G681="なし","報告なし",IF(AL681="○","起票済",IF(OR(AK681="○",F681="一致",F681="入金不要"),"入金確認済","受領済"))))</f>
        <v>未受領</v>
      </c>
      <c r="D681" s="10" t="str">
        <f aca="false">IF(OR(G681="",G681="なし"),"―",IF(CN681="N","対象外",IF(AND(I681="",J681="",K681=""),"標報未入力",IF(CH681&gt;=設定!$B$4,"要確認","問題なし"))))</f>
        <v>―</v>
      </c>
      <c r="E681" s="24" t="str">
        <f aca="false">IF(OR(G681="",G681="なし",CI681="",CJ681=0),"―",IF(CJ681=CI681,"前月同額",IF(CI681=0,"―",IF(ABS(CJ681/CI681-1)&gt;=設定!$B$5,"変動大 "&amp;TEXT(CJ681/CI681-1,"+0%;-0%"),"〇"))))</f>
        <v>―</v>
      </c>
      <c r="F681" s="10" t="str">
        <f aca="false">IF(OR(G681="",G681="なし"),"―",IF(CJ681=0,"入金不要",IF(COUNT(AD681,AF681,AH681,AJ681)=0,IF(AK681="○","手動確認","未入金"),IF(AND(N(AD681)=AC681,IF(AE681="",TRUE(),N(AF681)=AE681),IF(AG681="",TRUE(),N(AH681)=AG681),IF(AI681="",TRUE(),N(AJ681)=AI681)),"一致","不一致"))))</f>
        <v>―</v>
      </c>
      <c r="G681" s="25"/>
      <c r="H681" s="26"/>
      <c r="I681" s="27"/>
      <c r="J681" s="27"/>
      <c r="K681" s="27"/>
      <c r="L681" s="27"/>
      <c r="M681" s="27"/>
      <c r="N681" s="27"/>
      <c r="O681" s="27"/>
      <c r="P681" s="27"/>
      <c r="Q681" s="27"/>
      <c r="R681" s="27"/>
      <c r="S681" s="27"/>
      <c r="T681" s="27"/>
      <c r="U681" s="27"/>
      <c r="V681" s="27"/>
      <c r="W681" s="27"/>
      <c r="X681" s="27"/>
      <c r="Y681" s="27"/>
      <c r="Z681" s="27"/>
      <c r="AA681" s="10" t="str">
        <f aca="false">IFERROR(INDEX(設定!$E$61:$E$106,MATCH(B681,設定!$B$61:$B$106,0)),"合算")</f>
        <v>合算</v>
      </c>
      <c r="AB681" s="28"/>
      <c r="AC681" s="29" t="str">
        <f aca="false">IF(OR(G681="",G681="なし"),"",IF(AA681="合算",CJ681+N(Z681),IF(AA681="掛金・負担金別",(AY681+AZ681+BD681+BF681+BH681),SUM(AY681:BC681))))</f>
        <v/>
      </c>
      <c r="AD681" s="27"/>
      <c r="AE681" s="29" t="str">
        <f aca="false">IF(OR(G681="",G681="なし"),"",IF(AA681="掛金・負担金別",(BA681+BB681+BC681+BE681+BG681+BI681+N(Z681)),IF(AA681="経理区分別",BD681+BE681,"")))</f>
        <v/>
      </c>
      <c r="AF681" s="27"/>
      <c r="AG681" s="29" t="str">
        <f aca="false">IF(OR(G681="",G681="なし"),"",IF(AA681="経理区分別",BF681+BG681,""))</f>
        <v/>
      </c>
      <c r="AH681" s="27"/>
      <c r="AI681" s="29" t="str">
        <f aca="false">IF(OR(G681="",G681="なし"),"",IF(AA681="経理区分別",BH681+BI681+N(Z681),""))</f>
        <v/>
      </c>
      <c r="AJ681" s="27"/>
      <c r="AK681" s="26"/>
      <c r="AL681" s="26"/>
      <c r="AM681" s="30"/>
      <c r="AN681" s="31" t="n">
        <v>56730</v>
      </c>
      <c r="AO681" s="31" t="n">
        <v>4650</v>
      </c>
      <c r="AP681" s="31" t="n">
        <v>56730</v>
      </c>
      <c r="AQ681" s="31" t="n">
        <v>4650</v>
      </c>
      <c r="AR681" s="31" t="n">
        <v>58</v>
      </c>
      <c r="AS681" s="31" t="n">
        <v>34106</v>
      </c>
      <c r="AT681" s="31" t="n">
        <v>34168</v>
      </c>
      <c r="AU681" s="31" t="n">
        <v>4898</v>
      </c>
      <c r="AV681" s="31" t="n">
        <v>4898</v>
      </c>
      <c r="AW681" s="31" t="n">
        <v>1</v>
      </c>
      <c r="AX681" s="31" t="n">
        <v>1</v>
      </c>
      <c r="AY681" s="31" t="n">
        <f aca="false">IF($G681="",AN681,O681)</f>
        <v>56730</v>
      </c>
      <c r="AZ681" s="31" t="n">
        <f aca="false">IF($G681="",AO681,P681)</f>
        <v>4650</v>
      </c>
      <c r="BA681" s="31" t="n">
        <f aca="false">IF($G681="",AP681,T681)</f>
        <v>56730</v>
      </c>
      <c r="BB681" s="31" t="n">
        <f aca="false">IF($G681="",AQ681,U681)</f>
        <v>4650</v>
      </c>
      <c r="BC681" s="31" t="n">
        <f aca="false">IF($G681="",AR681,V681)</f>
        <v>58</v>
      </c>
      <c r="BD681" s="31" t="n">
        <f aca="false">IF($G681="",AS681,Q681)</f>
        <v>34106</v>
      </c>
      <c r="BE681" s="31" t="n">
        <f aca="false">IF($G681="",AT681,W681)</f>
        <v>34168</v>
      </c>
      <c r="BF681" s="31" t="n">
        <f aca="false">IF($G681="",AU681,R681)</f>
        <v>4898</v>
      </c>
      <c r="BG681" s="31" t="n">
        <f aca="false">IF($G681="",AV681,X681)</f>
        <v>4898</v>
      </c>
      <c r="BH681" s="31" t="n">
        <f aca="false">IF($G681="",AW681,S681)</f>
        <v>1</v>
      </c>
      <c r="BI681" s="31" t="n">
        <f aca="false">IF($G681="",AX681,Y681)</f>
        <v>1</v>
      </c>
      <c r="BJ681" s="31" t="n">
        <f aca="false">IF(CK681="N",BR681,ROUNDDOWN((I681-L681)*設定!$B$10/1000,0)+ROUNDDOWN((I681-L681)*設定!$B$11/1000,0))</f>
        <v>0</v>
      </c>
      <c r="BK681" s="31" t="n">
        <f aca="false">ROUNDDOWN((I681-L681)*設定!$C$10/1000,0)+ROUNDDOWN((I681-L681)*設定!$C$11/1000,0)+ROUNDDOWN(I681*設定!$C$12/1000,0)+IF(CL681="市局型",ROUNDDOWN(I681*設定!$C$16/1000,0),0)</f>
        <v>0</v>
      </c>
      <c r="BL681" s="31" t="n">
        <f aca="false">IF(CK681="N",BT681,ROUNDDOWN((J681-M681)*設定!$B$13/1000,0))</f>
        <v>0</v>
      </c>
      <c r="BM681" s="31" t="n">
        <f aca="false">ROUNDDOWN((J681-M681)*設定!$C$13/1000,0)+IF(CL681="市局型",ROUNDDOWN(J681*設定!$C$17/1000,0),0)</f>
        <v>0</v>
      </c>
      <c r="BN681" s="31" t="n">
        <f aca="false">IF(CK681="N",BV681,ROUNDDOWN((K681-N681)*設定!$B$14/1000,0))</f>
        <v>0</v>
      </c>
      <c r="BO681" s="31" t="n">
        <f aca="false">ROUNDDOWN((K681-N681)*設定!$C$14/1000,0)</f>
        <v>0</v>
      </c>
      <c r="BP681" s="31" t="n">
        <f aca="false">IF(CK681="N",BX681,ROUNDDOWN((J681-M681)*設定!$B$15/1000,0))</f>
        <v>0</v>
      </c>
      <c r="BQ681" s="31" t="n">
        <f aca="false">ROUNDDOWN((J681-M681)*設定!$C$15/1000,0)</f>
        <v>0</v>
      </c>
      <c r="BR681" s="31" t="n">
        <f aca="false">O681+P681</f>
        <v>0</v>
      </c>
      <c r="BS681" s="31" t="n">
        <f aca="false">T681+U681+V681</f>
        <v>0</v>
      </c>
      <c r="BT681" s="31" t="n">
        <f aca="false">Q681</f>
        <v>0</v>
      </c>
      <c r="BU681" s="31" t="n">
        <f aca="false">W681</f>
        <v>0</v>
      </c>
      <c r="BV681" s="31" t="n">
        <f aca="false">R681</f>
        <v>0</v>
      </c>
      <c r="BW681" s="31" t="n">
        <f aca="false">X681</f>
        <v>0</v>
      </c>
      <c r="BX681" s="31" t="n">
        <f aca="false">S681</f>
        <v>0</v>
      </c>
      <c r="BY681" s="31" t="n">
        <f aca="false">Y681</f>
        <v>0</v>
      </c>
      <c r="BZ681" s="32" t="n">
        <f aca="false">IF(BJ681=0,IF(BR681=0,0,1),(BR681-BJ681)/BJ681)</f>
        <v>0</v>
      </c>
      <c r="CA681" s="32" t="n">
        <f aca="false">IF(BK681=0,IF(BS681=0,0,1),(BS681-BK681)/BK681)</f>
        <v>0</v>
      </c>
      <c r="CB681" s="32" t="n">
        <f aca="false">IF(BL681=0,IF(BT681=0,0,1),(BT681-BL681)/BL681)</f>
        <v>0</v>
      </c>
      <c r="CC681" s="32" t="n">
        <f aca="false">IF(BM681=0,IF(BU681=0,0,1),(BU681-BM681)/BM681)</f>
        <v>0</v>
      </c>
      <c r="CD681" s="32" t="n">
        <f aca="false">IF(BN681=0,IF(BV681=0,0,1),(BV681-BN681)/BN681)</f>
        <v>0</v>
      </c>
      <c r="CE681" s="32" t="n">
        <f aca="false">IF(BO681=0,IF(BW681=0,0,1),(BW681-BO681)/BO681)</f>
        <v>0</v>
      </c>
      <c r="CF681" s="32" t="n">
        <f aca="false">IF(BP681=0,IF(BX681=0,0,1),(BX681-BP681)/BP681)</f>
        <v>0</v>
      </c>
      <c r="CG681" s="32" t="n">
        <f aca="false">IF(BQ681=0,IF(BY681=0,0,1),(BY681-BQ681)/BQ681)</f>
        <v>0</v>
      </c>
      <c r="CH681" s="32" t="n">
        <f aca="false">MAX(MAX(BZ681:CG681),-MIN(BZ681:CG681))</f>
        <v>-0</v>
      </c>
      <c r="CI681" s="31" t="n">
        <f aca="false">IF(CO681="","",SUMIFS($CJ$7:$CJ$696,$A$7:$A$696,CO681,$B$7:$B$696,B681))</f>
        <v>200890</v>
      </c>
      <c r="CJ681" s="31" t="n">
        <f aca="false">SUM(AY681:BI681)</f>
        <v>200890</v>
      </c>
      <c r="CK681" s="31" t="str">
        <f aca="false">IFERROR(INDEX(設定!$F$61:$F$106,MATCH(B681,設定!$B$61:$B$106,0)),"Y")</f>
        <v>Y</v>
      </c>
      <c r="CL681" s="31" t="str">
        <f aca="false">IFERROR(INDEX(設定!$G$61:$G$106,MATCH(B681,設定!$B$61:$B$106,0)),"外郭型")</f>
        <v>外郭型</v>
      </c>
      <c r="CM681" s="33" t="str">
        <f aca="false">A681&amp;"|"&amp;B681</f>
        <v>2027-03 月例|広島県市長会</v>
      </c>
      <c r="CN681" s="34" t="str">
        <f aca="false">IFERROR(INDEX(設定!$D$61:$D$106,MATCH(B681,設定!$B$61:$B$106,0)),"Y")</f>
        <v>Y</v>
      </c>
      <c r="CO681" s="34" t="str">
        <f aca="false">IFERROR(INDEX(設定!$D$20:$D$34,MATCH(A681,設定!$A$20:$A$34,0))&amp;"","")</f>
        <v>2027-02 月例</v>
      </c>
    </row>
    <row r="682" customFormat="false" ht="15" hidden="true" customHeight="false" outlineLevel="0" collapsed="false">
      <c r="A682" s="22" t="s">
        <v>230</v>
      </c>
      <c r="B682" s="23" t="s">
        <v>200</v>
      </c>
      <c r="C682" s="10" t="str">
        <f aca="false">IF(G682="","未受領",IF(G682="なし","報告なし",IF(AL682="○","起票済",IF(OR(AK682="○",F682="一致",F682="入金不要"),"入金確認済","受領済"))))</f>
        <v>未受領</v>
      </c>
      <c r="D682" s="10" t="str">
        <f aca="false">IF(OR(G682="",G682="なし"),"―",IF(CN682="N","対象外",IF(AND(I682="",J682="",K682=""),"標報未入力",IF(CH682&gt;=設定!$B$4,"要確認","問題なし"))))</f>
        <v>―</v>
      </c>
      <c r="E682" s="24" t="str">
        <f aca="false">IF(OR(G682="",G682="なし",CI682="",CJ682=0),"―",IF(CJ682=CI682,"前月同額",IF(CI682=0,"―",IF(ABS(CJ682/CI682-1)&gt;=設定!$B$5,"変動大 "&amp;TEXT(CJ682/CI682-1,"+0%;-0%"),"〇"))))</f>
        <v>―</v>
      </c>
      <c r="F682" s="10" t="str">
        <f aca="false">IF(OR(G682="",G682="なし"),"―",IF(CJ682=0,"入金不要",IF(COUNT(AD682,AF682,AH682,AJ682)=0,IF(AK682="○","手動確認","未入金"),IF(AND(N(AD682)=AC682,IF(AE682="",TRUE(),N(AF682)=AE682),IF(AG682="",TRUE(),N(AH682)=AG682),IF(AI682="",TRUE(),N(AJ682)=AI682)),"一致","不一致"))))</f>
        <v>―</v>
      </c>
      <c r="G682" s="25"/>
      <c r="H682" s="26"/>
      <c r="I682" s="27"/>
      <c r="J682" s="27"/>
      <c r="K682" s="27"/>
      <c r="L682" s="27"/>
      <c r="M682" s="27"/>
      <c r="N682" s="27"/>
      <c r="O682" s="27"/>
      <c r="P682" s="27"/>
      <c r="Q682" s="27"/>
      <c r="R682" s="27"/>
      <c r="S682" s="27"/>
      <c r="T682" s="27"/>
      <c r="U682" s="27"/>
      <c r="V682" s="27"/>
      <c r="W682" s="27"/>
      <c r="X682" s="27"/>
      <c r="Y682" s="27"/>
      <c r="Z682" s="27"/>
      <c r="AA682" s="10" t="str">
        <f aca="false">IFERROR(INDEX(設定!$E$61:$E$106,MATCH(B682,設定!$B$61:$B$106,0)),"合算")</f>
        <v>合算</v>
      </c>
      <c r="AB682" s="28"/>
      <c r="AC682" s="29" t="str">
        <f aca="false">IF(OR(G682="",G682="なし"),"",IF(AA682="合算",CJ682+N(Z682),IF(AA682="掛金・負担金別",(AY682+AZ682+BD682+BF682+BH682),SUM(AY682:BC682))))</f>
        <v/>
      </c>
      <c r="AD682" s="27"/>
      <c r="AE682" s="29" t="str">
        <f aca="false">IF(OR(G682="",G682="なし"),"",IF(AA682="掛金・負担金別",(BA682+BB682+BC682+BE682+BG682+BI682+N(Z682)),IF(AA682="経理区分別",BD682+BE682,"")))</f>
        <v/>
      </c>
      <c r="AF682" s="27"/>
      <c r="AG682" s="29" t="str">
        <f aca="false">IF(OR(G682="",G682="なし"),"",IF(AA682="経理区分別",BF682+BG682,""))</f>
        <v/>
      </c>
      <c r="AH682" s="27"/>
      <c r="AI682" s="29" t="str">
        <f aca="false">IF(OR(G682="",G682="なし"),"",IF(AA682="経理区分別",BH682+BI682+N(Z682),""))</f>
        <v/>
      </c>
      <c r="AJ682" s="27"/>
      <c r="AK682" s="26"/>
      <c r="AL682" s="26"/>
      <c r="AM682" s="30"/>
      <c r="AN682" s="31" t="n">
        <v>59475</v>
      </c>
      <c r="AO682" s="31" t="n">
        <v>4875</v>
      </c>
      <c r="AP682" s="31" t="n">
        <v>59475</v>
      </c>
      <c r="AQ682" s="31" t="n">
        <v>4875</v>
      </c>
      <c r="AR682" s="31" t="n">
        <v>61</v>
      </c>
      <c r="AS682" s="31" t="n">
        <v>41257</v>
      </c>
      <c r="AT682" s="31" t="n">
        <v>41332</v>
      </c>
      <c r="AU682" s="31" t="n">
        <v>5925</v>
      </c>
      <c r="AV682" s="31" t="n">
        <v>5925</v>
      </c>
      <c r="AW682" s="31" t="n">
        <v>1</v>
      </c>
      <c r="AX682" s="31" t="n">
        <v>1</v>
      </c>
      <c r="AY682" s="31" t="n">
        <f aca="false">IF($G682="",AN682,O682)</f>
        <v>59475</v>
      </c>
      <c r="AZ682" s="31" t="n">
        <f aca="false">IF($G682="",AO682,P682)</f>
        <v>4875</v>
      </c>
      <c r="BA682" s="31" t="n">
        <f aca="false">IF($G682="",AP682,T682)</f>
        <v>59475</v>
      </c>
      <c r="BB682" s="31" t="n">
        <f aca="false">IF($G682="",AQ682,U682)</f>
        <v>4875</v>
      </c>
      <c r="BC682" s="31" t="n">
        <f aca="false">IF($G682="",AR682,V682)</f>
        <v>61</v>
      </c>
      <c r="BD682" s="31" t="n">
        <f aca="false">IF($G682="",AS682,Q682)</f>
        <v>41257</v>
      </c>
      <c r="BE682" s="31" t="n">
        <f aca="false">IF($G682="",AT682,W682)</f>
        <v>41332</v>
      </c>
      <c r="BF682" s="31" t="n">
        <f aca="false">IF($G682="",AU682,R682)</f>
        <v>5925</v>
      </c>
      <c r="BG682" s="31" t="n">
        <f aca="false">IF($G682="",AV682,X682)</f>
        <v>5925</v>
      </c>
      <c r="BH682" s="31" t="n">
        <f aca="false">IF($G682="",AW682,S682)</f>
        <v>1</v>
      </c>
      <c r="BI682" s="31" t="n">
        <f aca="false">IF($G682="",AX682,Y682)</f>
        <v>1</v>
      </c>
      <c r="BJ682" s="31" t="n">
        <f aca="false">IF(CK682="N",BR682,ROUNDDOWN((I682-L682)*設定!$B$10/1000,0)+ROUNDDOWN((I682-L682)*設定!$B$11/1000,0))</f>
        <v>0</v>
      </c>
      <c r="BK682" s="31" t="n">
        <f aca="false">ROUNDDOWN((I682-L682)*設定!$C$10/1000,0)+ROUNDDOWN((I682-L682)*設定!$C$11/1000,0)+ROUNDDOWN(I682*設定!$C$12/1000,0)+IF(CL682="市局型",ROUNDDOWN(I682*設定!$C$16/1000,0),0)</f>
        <v>0</v>
      </c>
      <c r="BL682" s="31" t="n">
        <f aca="false">IF(CK682="N",BT682,ROUNDDOWN((J682-M682)*設定!$B$13/1000,0))</f>
        <v>0</v>
      </c>
      <c r="BM682" s="31" t="n">
        <f aca="false">ROUNDDOWN((J682-M682)*設定!$C$13/1000,0)+IF(CL682="市局型",ROUNDDOWN(J682*設定!$C$17/1000,0),0)</f>
        <v>0</v>
      </c>
      <c r="BN682" s="31" t="n">
        <f aca="false">IF(CK682="N",BV682,ROUNDDOWN((K682-N682)*設定!$B$14/1000,0))</f>
        <v>0</v>
      </c>
      <c r="BO682" s="31" t="n">
        <f aca="false">ROUNDDOWN((K682-N682)*設定!$C$14/1000,0)</f>
        <v>0</v>
      </c>
      <c r="BP682" s="31" t="n">
        <f aca="false">IF(CK682="N",BX682,ROUNDDOWN((J682-M682)*設定!$B$15/1000,0))</f>
        <v>0</v>
      </c>
      <c r="BQ682" s="31" t="n">
        <f aca="false">ROUNDDOWN((J682-M682)*設定!$C$15/1000,0)</f>
        <v>0</v>
      </c>
      <c r="BR682" s="31" t="n">
        <f aca="false">O682+P682</f>
        <v>0</v>
      </c>
      <c r="BS682" s="31" t="n">
        <f aca="false">T682+U682+V682</f>
        <v>0</v>
      </c>
      <c r="BT682" s="31" t="n">
        <f aca="false">Q682</f>
        <v>0</v>
      </c>
      <c r="BU682" s="31" t="n">
        <f aca="false">W682</f>
        <v>0</v>
      </c>
      <c r="BV682" s="31" t="n">
        <f aca="false">R682</f>
        <v>0</v>
      </c>
      <c r="BW682" s="31" t="n">
        <f aca="false">X682</f>
        <v>0</v>
      </c>
      <c r="BX682" s="31" t="n">
        <f aca="false">S682</f>
        <v>0</v>
      </c>
      <c r="BY682" s="31" t="n">
        <f aca="false">Y682</f>
        <v>0</v>
      </c>
      <c r="BZ682" s="32" t="n">
        <f aca="false">IF(BJ682=0,IF(BR682=0,0,1),(BR682-BJ682)/BJ682)</f>
        <v>0</v>
      </c>
      <c r="CA682" s="32" t="n">
        <f aca="false">IF(BK682=0,IF(BS682=0,0,1),(BS682-BK682)/BK682)</f>
        <v>0</v>
      </c>
      <c r="CB682" s="32" t="n">
        <f aca="false">IF(BL682=0,IF(BT682=0,0,1),(BT682-BL682)/BL682)</f>
        <v>0</v>
      </c>
      <c r="CC682" s="32" t="n">
        <f aca="false">IF(BM682=0,IF(BU682=0,0,1),(BU682-BM682)/BM682)</f>
        <v>0</v>
      </c>
      <c r="CD682" s="32" t="n">
        <f aca="false">IF(BN682=0,IF(BV682=0,0,1),(BV682-BN682)/BN682)</f>
        <v>0</v>
      </c>
      <c r="CE682" s="32" t="n">
        <f aca="false">IF(BO682=0,IF(BW682=0,0,1),(BW682-BO682)/BO682)</f>
        <v>0</v>
      </c>
      <c r="CF682" s="32" t="n">
        <f aca="false">IF(BP682=0,IF(BX682=0,0,1),(BX682-BP682)/BP682)</f>
        <v>0</v>
      </c>
      <c r="CG682" s="32" t="n">
        <f aca="false">IF(BQ682=0,IF(BY682=0,0,1),(BY682-BQ682)/BQ682)</f>
        <v>0</v>
      </c>
      <c r="CH682" s="32" t="n">
        <f aca="false">MAX(MAX(BZ682:CG682),-MIN(BZ682:CG682))</f>
        <v>-0</v>
      </c>
      <c r="CI682" s="31" t="n">
        <f aca="false">IF(CO682="","",SUMIFS($CJ$7:$CJ$696,$A$7:$A$696,CO682,$B$7:$B$696,B682))</f>
        <v>223202</v>
      </c>
      <c r="CJ682" s="31" t="n">
        <f aca="false">SUM(AY682:BI682)</f>
        <v>223202</v>
      </c>
      <c r="CK682" s="31" t="str">
        <f aca="false">IFERROR(INDEX(設定!$F$61:$F$106,MATCH(B682,設定!$B$61:$B$106,0)),"Y")</f>
        <v>Y</v>
      </c>
      <c r="CL682" s="31" t="str">
        <f aca="false">IFERROR(INDEX(設定!$G$61:$G$106,MATCH(B682,設定!$B$61:$B$106,0)),"外郭型")</f>
        <v>外郭型</v>
      </c>
      <c r="CM682" s="33" t="str">
        <f aca="false">A682&amp;"|"&amp;B682</f>
        <v>2027-03 月例|全国市町村研修財団</v>
      </c>
      <c r="CN682" s="34" t="str">
        <f aca="false">IFERROR(INDEX(設定!$D$61:$D$106,MATCH(B682,設定!$B$61:$B$106,0)),"Y")</f>
        <v>Y</v>
      </c>
      <c r="CO682" s="34" t="str">
        <f aca="false">IFERROR(INDEX(設定!$D$20:$D$34,MATCH(A682,設定!$A$20:$A$34,0))&amp;"","")</f>
        <v>2027-02 月例</v>
      </c>
    </row>
    <row r="683" customFormat="false" ht="15" hidden="true" customHeight="false" outlineLevel="0" collapsed="false">
      <c r="A683" s="22" t="s">
        <v>230</v>
      </c>
      <c r="B683" s="23" t="s">
        <v>201</v>
      </c>
      <c r="C683" s="10" t="str">
        <f aca="false">IF(G683="","未受領",IF(G683="なし","報告なし",IF(AL683="○","起票済",IF(OR(AK683="○",F683="一致",F683="入金不要"),"入金確認済","受領済"))))</f>
        <v>未受領</v>
      </c>
      <c r="D683" s="10" t="str">
        <f aca="false">IF(OR(G683="",G683="なし"),"―",IF(CN683="N","対象外",IF(AND(I683="",J683="",K683=""),"標報未入力",IF(CH683&gt;=設定!$B$4,"要確認","問題なし"))))</f>
        <v>―</v>
      </c>
      <c r="E683" s="24" t="str">
        <f aca="false">IF(OR(G683="",G683="なし",CI683="",CJ683=0),"―",IF(CJ683=CI683,"前月同額",IF(CI683=0,"―",IF(ABS(CJ683/CI683-1)&gt;=設定!$B$5,"変動大 "&amp;TEXT(CJ683/CI683-1,"+0%;-0%"),"〇"))))</f>
        <v>―</v>
      </c>
      <c r="F683" s="10" t="str">
        <f aca="false">IF(OR(G683="",G683="なし"),"―",IF(CJ683=0,"入金不要",IF(COUNT(AD683,AF683,AH683,AJ683)=0,IF(AK683="○","手動確認","未入金"),IF(AND(N(AD683)=AC683,IF(AE683="",TRUE(),N(AF683)=AE683),IF(AG683="",TRUE(),N(AH683)=AG683),IF(AI683="",TRUE(),N(AJ683)=AI683)),"一致","不一致"))))</f>
        <v>―</v>
      </c>
      <c r="G683" s="25"/>
      <c r="H683" s="26"/>
      <c r="I683" s="27"/>
      <c r="J683" s="27"/>
      <c r="K683" s="27"/>
      <c r="L683" s="27"/>
      <c r="M683" s="27"/>
      <c r="N683" s="27"/>
      <c r="O683" s="27"/>
      <c r="P683" s="27"/>
      <c r="Q683" s="27"/>
      <c r="R683" s="27"/>
      <c r="S683" s="27"/>
      <c r="T683" s="27"/>
      <c r="U683" s="27"/>
      <c r="V683" s="27"/>
      <c r="W683" s="27"/>
      <c r="X683" s="27"/>
      <c r="Y683" s="27"/>
      <c r="Z683" s="27"/>
      <c r="AA683" s="10" t="str">
        <f aca="false">IFERROR(INDEX(設定!$E$61:$E$106,MATCH(B683,設定!$B$61:$B$106,0)),"合算")</f>
        <v>合算</v>
      </c>
      <c r="AB683" s="28"/>
      <c r="AC683" s="29" t="str">
        <f aca="false">IF(OR(G683="",G683="なし"),"",IF(AA683="合算",CJ683+N(Z683),IF(AA683="掛金・負担金別",(AY683+AZ683+BD683+BF683+BH683),SUM(AY683:BC683))))</f>
        <v/>
      </c>
      <c r="AD683" s="27"/>
      <c r="AE683" s="29" t="str">
        <f aca="false">IF(OR(G683="",G683="なし"),"",IF(AA683="掛金・負担金別",(BA683+BB683+BC683+BE683+BG683+BI683+N(Z683)),IF(AA683="経理区分別",BD683+BE683,"")))</f>
        <v/>
      </c>
      <c r="AF683" s="27"/>
      <c r="AG683" s="29" t="str">
        <f aca="false">IF(OR(G683="",G683="なし"),"",IF(AA683="経理区分別",BF683+BG683,""))</f>
        <v/>
      </c>
      <c r="AH683" s="27"/>
      <c r="AI683" s="29" t="str">
        <f aca="false">IF(OR(G683="",G683="なし"),"",IF(AA683="経理区分別",BH683+BI683+N(Z683),""))</f>
        <v/>
      </c>
      <c r="AJ683" s="27"/>
      <c r="AK683" s="26"/>
      <c r="AL683" s="26"/>
      <c r="AM683" s="30"/>
      <c r="AN683" s="31" t="n">
        <v>53985</v>
      </c>
      <c r="AO683" s="31" t="n">
        <v>4425</v>
      </c>
      <c r="AP683" s="31" t="n">
        <v>53985</v>
      </c>
      <c r="AQ683" s="31" t="n">
        <v>4425</v>
      </c>
      <c r="AR683" s="31" t="n">
        <v>55</v>
      </c>
      <c r="AS683" s="31" t="n">
        <v>32455</v>
      </c>
      <c r="AT683" s="31" t="n">
        <v>32514</v>
      </c>
      <c r="AU683" s="31" t="n">
        <v>0</v>
      </c>
      <c r="AV683" s="31" t="n">
        <v>0</v>
      </c>
      <c r="AW683" s="31" t="n">
        <v>1</v>
      </c>
      <c r="AX683" s="31" t="n">
        <v>1</v>
      </c>
      <c r="AY683" s="31" t="n">
        <f aca="false">IF($G683="",AN683,O683)</f>
        <v>53985</v>
      </c>
      <c r="AZ683" s="31" t="n">
        <f aca="false">IF($G683="",AO683,P683)</f>
        <v>4425</v>
      </c>
      <c r="BA683" s="31" t="n">
        <f aca="false">IF($G683="",AP683,T683)</f>
        <v>53985</v>
      </c>
      <c r="BB683" s="31" t="n">
        <f aca="false">IF($G683="",AQ683,U683)</f>
        <v>4425</v>
      </c>
      <c r="BC683" s="31" t="n">
        <f aca="false">IF($G683="",AR683,V683)</f>
        <v>55</v>
      </c>
      <c r="BD683" s="31" t="n">
        <f aca="false">IF($G683="",AS683,Q683)</f>
        <v>32455</v>
      </c>
      <c r="BE683" s="31" t="n">
        <f aca="false">IF($G683="",AT683,W683)</f>
        <v>32514</v>
      </c>
      <c r="BF683" s="31" t="n">
        <f aca="false">IF($G683="",AU683,R683)</f>
        <v>0</v>
      </c>
      <c r="BG683" s="31" t="n">
        <f aca="false">IF($G683="",AV683,X683)</f>
        <v>0</v>
      </c>
      <c r="BH683" s="31" t="n">
        <f aca="false">IF($G683="",AW683,S683)</f>
        <v>1</v>
      </c>
      <c r="BI683" s="31" t="n">
        <f aca="false">IF($G683="",AX683,Y683)</f>
        <v>1</v>
      </c>
      <c r="BJ683" s="31" t="n">
        <f aca="false">IF(CK683="N",BR683,ROUNDDOWN((I683-L683)*設定!$B$10/1000,0)+ROUNDDOWN((I683-L683)*設定!$B$11/1000,0))</f>
        <v>0</v>
      </c>
      <c r="BK683" s="31" t="n">
        <f aca="false">ROUNDDOWN((I683-L683)*設定!$C$10/1000,0)+ROUNDDOWN((I683-L683)*設定!$C$11/1000,0)+ROUNDDOWN(I683*設定!$C$12/1000,0)+IF(CL683="市局型",ROUNDDOWN(I683*設定!$C$16/1000,0),0)</f>
        <v>0</v>
      </c>
      <c r="BL683" s="31" t="n">
        <f aca="false">IF(CK683="N",BT683,ROUNDDOWN((J683-M683)*設定!$B$13/1000,0))</f>
        <v>0</v>
      </c>
      <c r="BM683" s="31" t="n">
        <f aca="false">ROUNDDOWN((J683-M683)*設定!$C$13/1000,0)+IF(CL683="市局型",ROUNDDOWN(J683*設定!$C$17/1000,0),0)</f>
        <v>0</v>
      </c>
      <c r="BN683" s="31" t="n">
        <f aca="false">IF(CK683="N",BV683,ROUNDDOWN((K683-N683)*設定!$B$14/1000,0))</f>
        <v>0</v>
      </c>
      <c r="BO683" s="31" t="n">
        <f aca="false">ROUNDDOWN((K683-N683)*設定!$C$14/1000,0)</f>
        <v>0</v>
      </c>
      <c r="BP683" s="31" t="n">
        <f aca="false">IF(CK683="N",BX683,ROUNDDOWN((J683-M683)*設定!$B$15/1000,0))</f>
        <v>0</v>
      </c>
      <c r="BQ683" s="31" t="n">
        <f aca="false">ROUNDDOWN((J683-M683)*設定!$C$15/1000,0)</f>
        <v>0</v>
      </c>
      <c r="BR683" s="31" t="n">
        <f aca="false">O683+P683</f>
        <v>0</v>
      </c>
      <c r="BS683" s="31" t="n">
        <f aca="false">T683+U683+V683</f>
        <v>0</v>
      </c>
      <c r="BT683" s="31" t="n">
        <f aca="false">Q683</f>
        <v>0</v>
      </c>
      <c r="BU683" s="31" t="n">
        <f aca="false">W683</f>
        <v>0</v>
      </c>
      <c r="BV683" s="31" t="n">
        <f aca="false">R683</f>
        <v>0</v>
      </c>
      <c r="BW683" s="31" t="n">
        <f aca="false">X683</f>
        <v>0</v>
      </c>
      <c r="BX683" s="31" t="n">
        <f aca="false">S683</f>
        <v>0</v>
      </c>
      <c r="BY683" s="31" t="n">
        <f aca="false">Y683</f>
        <v>0</v>
      </c>
      <c r="BZ683" s="32" t="n">
        <f aca="false">IF(BJ683=0,IF(BR683=0,0,1),(BR683-BJ683)/BJ683)</f>
        <v>0</v>
      </c>
      <c r="CA683" s="32" t="n">
        <f aca="false">IF(BK683=0,IF(BS683=0,0,1),(BS683-BK683)/BK683)</f>
        <v>0</v>
      </c>
      <c r="CB683" s="32" t="n">
        <f aca="false">IF(BL683=0,IF(BT683=0,0,1),(BT683-BL683)/BL683)</f>
        <v>0</v>
      </c>
      <c r="CC683" s="32" t="n">
        <f aca="false">IF(BM683=0,IF(BU683=0,0,1),(BU683-BM683)/BM683)</f>
        <v>0</v>
      </c>
      <c r="CD683" s="32" t="n">
        <f aca="false">IF(BN683=0,IF(BV683=0,0,1),(BV683-BN683)/BN683)</f>
        <v>0</v>
      </c>
      <c r="CE683" s="32" t="n">
        <f aca="false">IF(BO683=0,IF(BW683=0,0,1),(BW683-BO683)/BO683)</f>
        <v>0</v>
      </c>
      <c r="CF683" s="32" t="n">
        <f aca="false">IF(BP683=0,IF(BX683=0,0,1),(BX683-BP683)/BP683)</f>
        <v>0</v>
      </c>
      <c r="CG683" s="32" t="n">
        <f aca="false">IF(BQ683=0,IF(BY683=0,0,1),(BY683-BQ683)/BQ683)</f>
        <v>0</v>
      </c>
      <c r="CH683" s="32" t="n">
        <f aca="false">MAX(MAX(BZ683:CG683),-MIN(BZ683:CG683))</f>
        <v>-0</v>
      </c>
      <c r="CI683" s="31" t="n">
        <f aca="false">IF(CO683="","",SUMIFS($CJ$7:$CJ$696,$A$7:$A$696,CO683,$B$7:$B$696,B683))</f>
        <v>181846</v>
      </c>
      <c r="CJ683" s="31" t="n">
        <f aca="false">SUM(AY683:BI683)</f>
        <v>181846</v>
      </c>
      <c r="CK683" s="31" t="str">
        <f aca="false">IFERROR(INDEX(設定!$F$61:$F$106,MATCH(B683,設定!$B$61:$B$106,0)),"Y")</f>
        <v>Y</v>
      </c>
      <c r="CL683" s="31" t="str">
        <f aca="false">IFERROR(INDEX(設定!$G$61:$G$106,MATCH(B683,設定!$B$61:$B$106,0)),"外郭型")</f>
        <v>外郭型</v>
      </c>
      <c r="CM683" s="33" t="str">
        <f aca="false">A683&amp;"|"&amp;B683</f>
        <v>2027-03 月例|都市再生機構</v>
      </c>
      <c r="CN683" s="34" t="str">
        <f aca="false">IFERROR(INDEX(設定!$D$61:$D$106,MATCH(B683,設定!$B$61:$B$106,0)),"Y")</f>
        <v>Y</v>
      </c>
      <c r="CO683" s="34" t="str">
        <f aca="false">IFERROR(INDEX(設定!$D$20:$D$34,MATCH(A683,設定!$A$20:$A$34,0))&amp;"","")</f>
        <v>2027-02 月例</v>
      </c>
    </row>
    <row r="684" customFormat="false" ht="15" hidden="true" customHeight="false" outlineLevel="0" collapsed="false">
      <c r="A684" s="22" t="s">
        <v>230</v>
      </c>
      <c r="B684" s="23" t="s">
        <v>202</v>
      </c>
      <c r="C684" s="10" t="str">
        <f aca="false">IF(G684="","未受領",IF(G684="なし","報告なし",IF(AL684="○","起票済",IF(OR(AK684="○",F684="一致",F684="入金不要"),"入金確認済","受領済"))))</f>
        <v>未受領</v>
      </c>
      <c r="D684" s="10" t="str">
        <f aca="false">IF(OR(G684="",G684="なし"),"―",IF(CN684="N","対象外",IF(AND(I684="",J684="",K684=""),"標報未入力",IF(CH684&gt;=設定!$B$4,"要確認","問題なし"))))</f>
        <v>―</v>
      </c>
      <c r="E684" s="24" t="str">
        <f aca="false">IF(OR(G684="",G684="なし",CI684="",CJ684=0),"―",IF(CJ684=CI684,"前月同額",IF(CI684=0,"―",IF(ABS(CJ684/CI684-1)&gt;=設定!$B$5,"変動大 "&amp;TEXT(CJ684/CI684-1,"+0%;-0%"),"〇"))))</f>
        <v>―</v>
      </c>
      <c r="F684" s="10" t="str">
        <f aca="false">IF(OR(G684="",G684="なし"),"―",IF(CJ684=0,"入金不要",IF(COUNT(AD684,AF684,AH684,AJ684)=0,IF(AK684="○","手動確認","未入金"),IF(AND(N(AD684)=AC684,IF(AE684="",TRUE(),N(AF684)=AE684),IF(AG684="",TRUE(),N(AH684)=AG684),IF(AI684="",TRUE(),N(AJ684)=AI684)),"一致","不一致"))))</f>
        <v>―</v>
      </c>
      <c r="G684" s="25"/>
      <c r="H684" s="26"/>
      <c r="I684" s="27"/>
      <c r="J684" s="27"/>
      <c r="K684" s="27"/>
      <c r="L684" s="27"/>
      <c r="M684" s="27"/>
      <c r="N684" s="27"/>
      <c r="O684" s="27"/>
      <c r="P684" s="27"/>
      <c r="Q684" s="27"/>
      <c r="R684" s="27"/>
      <c r="S684" s="27"/>
      <c r="T684" s="27"/>
      <c r="U684" s="27"/>
      <c r="V684" s="27"/>
      <c r="W684" s="27"/>
      <c r="X684" s="27"/>
      <c r="Y684" s="27"/>
      <c r="Z684" s="27"/>
      <c r="AA684" s="10" t="str">
        <f aca="false">IFERROR(INDEX(設定!$E$61:$E$106,MATCH(B684,設定!$B$61:$B$106,0)),"合算")</f>
        <v>合算</v>
      </c>
      <c r="AB684" s="28"/>
      <c r="AC684" s="29" t="str">
        <f aca="false">IF(OR(G684="",G684="なし"),"",IF(AA684="合算",CJ684+N(Z684),IF(AA684="掛金・負担金別",(AY684+AZ684+BD684+BF684+BH684),SUM(AY684:BC684))))</f>
        <v/>
      </c>
      <c r="AD684" s="27"/>
      <c r="AE684" s="29" t="str">
        <f aca="false">IF(OR(G684="",G684="なし"),"",IF(AA684="掛金・負担金別",(BA684+BB684+BC684+BE684+BG684+BI684+N(Z684)),IF(AA684="経理区分別",BD684+BE684,"")))</f>
        <v/>
      </c>
      <c r="AF684" s="27"/>
      <c r="AG684" s="29" t="str">
        <f aca="false">IF(OR(G684="",G684="なし"),"",IF(AA684="経理区分別",BF684+BG684,""))</f>
        <v/>
      </c>
      <c r="AH684" s="27"/>
      <c r="AI684" s="29" t="str">
        <f aca="false">IF(OR(G684="",G684="なし"),"",IF(AA684="経理区分別",BH684+BI684+N(Z684),""))</f>
        <v/>
      </c>
      <c r="AJ684" s="27"/>
      <c r="AK684" s="26"/>
      <c r="AL684" s="26"/>
      <c r="AM684" s="30"/>
      <c r="AN684" s="31" t="n">
        <v>1216950</v>
      </c>
      <c r="AO684" s="31" t="n">
        <v>99750</v>
      </c>
      <c r="AP684" s="31" t="n">
        <v>1216950</v>
      </c>
      <c r="AQ684" s="31" t="n">
        <v>99750</v>
      </c>
      <c r="AR684" s="31" t="n">
        <v>1360</v>
      </c>
      <c r="AS684" s="31" t="n">
        <v>731621</v>
      </c>
      <c r="AT684" s="31" t="n">
        <v>733082</v>
      </c>
      <c r="AU684" s="31" t="n">
        <v>69599</v>
      </c>
      <c r="AV684" s="31" t="n">
        <v>69599</v>
      </c>
      <c r="AW684" s="31" t="n">
        <v>1</v>
      </c>
      <c r="AX684" s="31" t="n">
        <v>1</v>
      </c>
      <c r="AY684" s="31" t="n">
        <f aca="false">IF($G684="",AN684,O684)</f>
        <v>1216950</v>
      </c>
      <c r="AZ684" s="31" t="n">
        <f aca="false">IF($G684="",AO684,P684)</f>
        <v>99750</v>
      </c>
      <c r="BA684" s="31" t="n">
        <f aca="false">IF($G684="",AP684,T684)</f>
        <v>1216950</v>
      </c>
      <c r="BB684" s="31" t="n">
        <f aca="false">IF($G684="",AQ684,U684)</f>
        <v>99750</v>
      </c>
      <c r="BC684" s="31" t="n">
        <f aca="false">IF($G684="",AR684,V684)</f>
        <v>1360</v>
      </c>
      <c r="BD684" s="31" t="n">
        <f aca="false">IF($G684="",AS684,Q684)</f>
        <v>731621</v>
      </c>
      <c r="BE684" s="31" t="n">
        <f aca="false">IF($G684="",AT684,W684)</f>
        <v>733082</v>
      </c>
      <c r="BF684" s="31" t="n">
        <f aca="false">IF($G684="",AU684,R684)</f>
        <v>69599</v>
      </c>
      <c r="BG684" s="31" t="n">
        <f aca="false">IF($G684="",AV684,X684)</f>
        <v>69599</v>
      </c>
      <c r="BH684" s="31" t="n">
        <f aca="false">IF($G684="",AW684,S684)</f>
        <v>1</v>
      </c>
      <c r="BI684" s="31" t="n">
        <f aca="false">IF($G684="",AX684,Y684)</f>
        <v>1</v>
      </c>
      <c r="BJ684" s="31" t="n">
        <f aca="false">IF(CK684="N",BR684,ROUNDDOWN((I684-L684)*設定!$B$10/1000,0)+ROUNDDOWN((I684-L684)*設定!$B$11/1000,0))</f>
        <v>0</v>
      </c>
      <c r="BK684" s="31" t="n">
        <f aca="false">ROUNDDOWN((I684-L684)*設定!$C$10/1000,0)+ROUNDDOWN((I684-L684)*設定!$C$11/1000,0)+ROUNDDOWN(I684*設定!$C$12/1000,0)+IF(CL684="市局型",ROUNDDOWN(I684*設定!$C$16/1000,0),0)</f>
        <v>0</v>
      </c>
      <c r="BL684" s="31" t="n">
        <f aca="false">IF(CK684="N",BT684,ROUNDDOWN((J684-M684)*設定!$B$13/1000,0))</f>
        <v>0</v>
      </c>
      <c r="BM684" s="31" t="n">
        <f aca="false">ROUNDDOWN((J684-M684)*設定!$C$13/1000,0)+IF(CL684="市局型",ROUNDDOWN(J684*設定!$C$17/1000,0),0)</f>
        <v>0</v>
      </c>
      <c r="BN684" s="31" t="n">
        <f aca="false">IF(CK684="N",BV684,ROUNDDOWN((K684-N684)*設定!$B$14/1000,0))</f>
        <v>0</v>
      </c>
      <c r="BO684" s="31" t="n">
        <f aca="false">ROUNDDOWN((K684-N684)*設定!$C$14/1000,0)</f>
        <v>0</v>
      </c>
      <c r="BP684" s="31" t="n">
        <f aca="false">IF(CK684="N",BX684,ROUNDDOWN((J684-M684)*設定!$B$15/1000,0))</f>
        <v>0</v>
      </c>
      <c r="BQ684" s="31" t="n">
        <f aca="false">ROUNDDOWN((J684-M684)*設定!$C$15/1000,0)</f>
        <v>0</v>
      </c>
      <c r="BR684" s="31" t="n">
        <f aca="false">O684+P684</f>
        <v>0</v>
      </c>
      <c r="BS684" s="31" t="n">
        <f aca="false">T684+U684+V684</f>
        <v>0</v>
      </c>
      <c r="BT684" s="31" t="n">
        <f aca="false">Q684</f>
        <v>0</v>
      </c>
      <c r="BU684" s="31" t="n">
        <f aca="false">W684</f>
        <v>0</v>
      </c>
      <c r="BV684" s="31" t="n">
        <f aca="false">R684</f>
        <v>0</v>
      </c>
      <c r="BW684" s="31" t="n">
        <f aca="false">X684</f>
        <v>0</v>
      </c>
      <c r="BX684" s="31" t="n">
        <f aca="false">S684</f>
        <v>0</v>
      </c>
      <c r="BY684" s="31" t="n">
        <f aca="false">Y684</f>
        <v>0</v>
      </c>
      <c r="BZ684" s="32" t="n">
        <f aca="false">IF(BJ684=0,IF(BR684=0,0,1),(BR684-BJ684)/BJ684)</f>
        <v>0</v>
      </c>
      <c r="CA684" s="32" t="n">
        <f aca="false">IF(BK684=0,IF(BS684=0,0,1),(BS684-BK684)/BK684)</f>
        <v>0</v>
      </c>
      <c r="CB684" s="32" t="n">
        <f aca="false">IF(BL684=0,IF(BT684=0,0,1),(BT684-BL684)/BL684)</f>
        <v>0</v>
      </c>
      <c r="CC684" s="32" t="n">
        <f aca="false">IF(BM684=0,IF(BU684=0,0,1),(BU684-BM684)/BM684)</f>
        <v>0</v>
      </c>
      <c r="CD684" s="32" t="n">
        <f aca="false">IF(BN684=0,IF(BV684=0,0,1),(BV684-BN684)/BN684)</f>
        <v>0</v>
      </c>
      <c r="CE684" s="32" t="n">
        <f aca="false">IF(BO684=0,IF(BW684=0,0,1),(BW684-BO684)/BO684)</f>
        <v>0</v>
      </c>
      <c r="CF684" s="32" t="n">
        <f aca="false">IF(BP684=0,IF(BX684=0,0,1),(BX684-BP684)/BP684)</f>
        <v>0</v>
      </c>
      <c r="CG684" s="32" t="n">
        <f aca="false">IF(BQ684=0,IF(BY684=0,0,1),(BY684-BQ684)/BQ684)</f>
        <v>0</v>
      </c>
      <c r="CH684" s="32" t="n">
        <f aca="false">MAX(MAX(BZ684:CG684),-MIN(BZ684:CG684))</f>
        <v>-0</v>
      </c>
      <c r="CI684" s="31" t="n">
        <f aca="false">IF(CO684="","",SUMIFS($CJ$7:$CJ$696,$A$7:$A$696,CO684,$B$7:$B$696,B684))</f>
        <v>4170621</v>
      </c>
      <c r="CJ684" s="31" t="n">
        <f aca="false">SUM(AY684:BI684)</f>
        <v>4238663</v>
      </c>
      <c r="CK684" s="31" t="str">
        <f aca="false">IFERROR(INDEX(設定!$F$61:$F$106,MATCH(B684,設定!$B$61:$B$106,0)),"Y")</f>
        <v>Y</v>
      </c>
      <c r="CL684" s="31" t="str">
        <f aca="false">IFERROR(INDEX(設定!$G$61:$G$106,MATCH(B684,設定!$B$61:$B$106,0)),"外郭型")</f>
        <v>外郭型</v>
      </c>
      <c r="CM684" s="33" t="str">
        <f aca="false">A684&amp;"|"&amp;B684</f>
        <v>2027-03 月例|広島市立大学</v>
      </c>
      <c r="CN684" s="34" t="str">
        <f aca="false">IFERROR(INDEX(設定!$D$61:$D$106,MATCH(B684,設定!$B$61:$B$106,0)),"Y")</f>
        <v>Y</v>
      </c>
      <c r="CO684" s="34" t="str">
        <f aca="false">IFERROR(INDEX(設定!$D$20:$D$34,MATCH(A684,設定!$A$20:$A$34,0))&amp;"","")</f>
        <v>2027-02 月例</v>
      </c>
    </row>
    <row r="685" customFormat="false" ht="15" hidden="true" customHeight="false" outlineLevel="0" collapsed="false">
      <c r="A685" s="22" t="s">
        <v>230</v>
      </c>
      <c r="B685" s="23" t="s">
        <v>203</v>
      </c>
      <c r="C685" s="10" t="str">
        <f aca="false">IF(G685="","未受領",IF(G685="なし","報告なし",IF(AL685="○","起票済",IF(OR(AK685="○",F685="一致",F685="入金不要"),"入金確認済","受領済"))))</f>
        <v>未受領</v>
      </c>
      <c r="D685" s="10" t="str">
        <f aca="false">IF(OR(G685="",G685="なし"),"―",IF(CN685="N","対象外",IF(AND(I685="",J685="",K685=""),"標報未入力",IF(CH685&gt;=設定!$B$4,"要確認","問題なし"))))</f>
        <v>―</v>
      </c>
      <c r="E685" s="24" t="str">
        <f aca="false">IF(OR(G685="",G685="なし",CI685="",CJ685=0),"―",IF(CJ685=CI685,"前月同額",IF(CI685=0,"―",IF(ABS(CJ685/CI685-1)&gt;=設定!$B$5,"変動大 "&amp;TEXT(CJ685/CI685-1,"+0%;-0%"),"〇"))))</f>
        <v>―</v>
      </c>
      <c r="F685" s="10" t="str">
        <f aca="false">IF(OR(G685="",G685="なし"),"―",IF(CJ685=0,"入金不要",IF(COUNT(AD685,AF685,AH685,AJ685)=0,IF(AK685="○","手動確認","未入金"),IF(AND(N(AD685)=AC685,IF(AE685="",TRUE(),N(AF685)=AE685),IF(AG685="",TRUE(),N(AH685)=AG685),IF(AI685="",TRUE(),N(AJ685)=AI685)),"一致","不一致"))))</f>
        <v>―</v>
      </c>
      <c r="G685" s="25"/>
      <c r="H685" s="26"/>
      <c r="I685" s="27"/>
      <c r="J685" s="27"/>
      <c r="K685" s="27"/>
      <c r="L685" s="27"/>
      <c r="M685" s="27"/>
      <c r="N685" s="27"/>
      <c r="O685" s="27"/>
      <c r="P685" s="27"/>
      <c r="Q685" s="27"/>
      <c r="R685" s="27"/>
      <c r="S685" s="27"/>
      <c r="T685" s="27"/>
      <c r="U685" s="27"/>
      <c r="V685" s="27"/>
      <c r="W685" s="27"/>
      <c r="X685" s="27"/>
      <c r="Y685" s="27"/>
      <c r="Z685" s="27"/>
      <c r="AA685" s="10" t="str">
        <f aca="false">IFERROR(INDEX(設定!$E$61:$E$106,MATCH(B685,設定!$B$61:$B$106,0)),"合算")</f>
        <v>合算</v>
      </c>
      <c r="AB685" s="28"/>
      <c r="AC685" s="29" t="str">
        <f aca="false">IF(OR(G685="",G685="なし"),"",IF(AA685="合算",CJ685+N(Z685),IF(AA685="掛金・負担金別",(AY685+AZ685+BD685+BF685+BH685),SUM(AY685:BC685))))</f>
        <v/>
      </c>
      <c r="AD685" s="27"/>
      <c r="AE685" s="29" t="str">
        <f aca="false">IF(OR(G685="",G685="なし"),"",IF(AA685="掛金・負担金別",(BA685+BB685+BC685+BE685+BG685+BI685+N(Z685)),IF(AA685="経理区分別",BD685+BE685,"")))</f>
        <v/>
      </c>
      <c r="AF685" s="27"/>
      <c r="AG685" s="29" t="str">
        <f aca="false">IF(OR(G685="",G685="なし"),"",IF(AA685="経理区分別",BF685+BG685,""))</f>
        <v/>
      </c>
      <c r="AH685" s="27"/>
      <c r="AI685" s="29" t="str">
        <f aca="false">IF(OR(G685="",G685="なし"),"",IF(AA685="経理区分別",BH685+BI685+N(Z685),""))</f>
        <v/>
      </c>
      <c r="AJ685" s="27"/>
      <c r="AK685" s="26"/>
      <c r="AL685" s="26"/>
      <c r="AM685" s="30"/>
      <c r="AN685" s="31"/>
      <c r="AO685" s="31"/>
      <c r="AP685" s="31" t="n">
        <v>245220</v>
      </c>
      <c r="AQ685" s="31" t="n">
        <v>20100</v>
      </c>
      <c r="AR685" s="31" t="n">
        <v>251</v>
      </c>
      <c r="AS685" s="31"/>
      <c r="AT685" s="31" t="n">
        <v>151001</v>
      </c>
      <c r="AU685" s="31"/>
      <c r="AV685" s="31" t="n">
        <v>10744</v>
      </c>
      <c r="AW685" s="31"/>
      <c r="AX685" s="31" t="n">
        <v>1</v>
      </c>
      <c r="AY685" s="31" t="n">
        <f aca="false">IF($G685="",AN685,O685)</f>
        <v>0</v>
      </c>
      <c r="AZ685" s="31" t="n">
        <f aca="false">IF($G685="",AO685,P685)</f>
        <v>0</v>
      </c>
      <c r="BA685" s="31" t="n">
        <f aca="false">IF($G685="",AP685,T685)</f>
        <v>245220</v>
      </c>
      <c r="BB685" s="31" t="n">
        <f aca="false">IF($G685="",AQ685,U685)</f>
        <v>20100</v>
      </c>
      <c r="BC685" s="31" t="n">
        <f aca="false">IF($G685="",AR685,V685)</f>
        <v>251</v>
      </c>
      <c r="BD685" s="31" t="n">
        <f aca="false">IF($G685="",AS685,Q685)</f>
        <v>0</v>
      </c>
      <c r="BE685" s="31" t="n">
        <f aca="false">IF($G685="",AT685,W685)</f>
        <v>151001</v>
      </c>
      <c r="BF685" s="31" t="n">
        <f aca="false">IF($G685="",AU685,R685)</f>
        <v>0</v>
      </c>
      <c r="BG685" s="31" t="n">
        <f aca="false">IF($G685="",AV685,X685)</f>
        <v>10744</v>
      </c>
      <c r="BH685" s="31" t="n">
        <f aca="false">IF($G685="",AW685,S685)</f>
        <v>0</v>
      </c>
      <c r="BI685" s="31" t="n">
        <f aca="false">IF($G685="",AX685,Y685)</f>
        <v>1</v>
      </c>
      <c r="BJ685" s="31" t="n">
        <f aca="false">IF(CK685="N",BR685,ROUNDDOWN((I685-L685)*設定!$B$10/1000,0)+ROUNDDOWN((I685-L685)*設定!$B$11/1000,0))</f>
        <v>0</v>
      </c>
      <c r="BK685" s="31" t="n">
        <f aca="false">ROUNDDOWN((I685-L685)*設定!$C$10/1000,0)+ROUNDDOWN((I685-L685)*設定!$C$11/1000,0)+ROUNDDOWN(I685*設定!$C$12/1000,0)+IF(CL685="市局型",ROUNDDOWN(I685*設定!$C$16/1000,0),0)</f>
        <v>0</v>
      </c>
      <c r="BL685" s="31" t="n">
        <f aca="false">IF(CK685="N",BT685,ROUNDDOWN((J685-M685)*設定!$B$13/1000,0))</f>
        <v>0</v>
      </c>
      <c r="BM685" s="31" t="n">
        <f aca="false">ROUNDDOWN((J685-M685)*設定!$C$13/1000,0)+IF(CL685="市局型",ROUNDDOWN(J685*設定!$C$17/1000,0),0)</f>
        <v>0</v>
      </c>
      <c r="BN685" s="31" t="n">
        <f aca="false">IF(CK685="N",BV685,ROUNDDOWN((K685-N685)*設定!$B$14/1000,0))</f>
        <v>0</v>
      </c>
      <c r="BO685" s="31" t="n">
        <f aca="false">ROUNDDOWN((K685-N685)*設定!$C$14/1000,0)</f>
        <v>0</v>
      </c>
      <c r="BP685" s="31" t="n">
        <f aca="false">IF(CK685="N",BX685,ROUNDDOWN((J685-M685)*設定!$B$15/1000,0))</f>
        <v>0</v>
      </c>
      <c r="BQ685" s="31" t="n">
        <f aca="false">ROUNDDOWN((J685-M685)*設定!$C$15/1000,0)</f>
        <v>0</v>
      </c>
      <c r="BR685" s="31" t="n">
        <f aca="false">O685+P685</f>
        <v>0</v>
      </c>
      <c r="BS685" s="31" t="n">
        <f aca="false">T685+U685+V685</f>
        <v>0</v>
      </c>
      <c r="BT685" s="31" t="n">
        <f aca="false">Q685</f>
        <v>0</v>
      </c>
      <c r="BU685" s="31" t="n">
        <f aca="false">W685</f>
        <v>0</v>
      </c>
      <c r="BV685" s="31" t="n">
        <f aca="false">R685</f>
        <v>0</v>
      </c>
      <c r="BW685" s="31" t="n">
        <f aca="false">X685</f>
        <v>0</v>
      </c>
      <c r="BX685" s="31" t="n">
        <f aca="false">S685</f>
        <v>0</v>
      </c>
      <c r="BY685" s="31" t="n">
        <f aca="false">Y685</f>
        <v>0</v>
      </c>
      <c r="BZ685" s="32" t="n">
        <f aca="false">IF(BJ685=0,IF(BR685=0,0,1),(BR685-BJ685)/BJ685)</f>
        <v>0</v>
      </c>
      <c r="CA685" s="32" t="n">
        <f aca="false">IF(BK685=0,IF(BS685=0,0,1),(BS685-BK685)/BK685)</f>
        <v>0</v>
      </c>
      <c r="CB685" s="32" t="n">
        <f aca="false">IF(BL685=0,IF(BT685=0,0,1),(BT685-BL685)/BL685)</f>
        <v>0</v>
      </c>
      <c r="CC685" s="32" t="n">
        <f aca="false">IF(BM685=0,IF(BU685=0,0,1),(BU685-BM685)/BM685)</f>
        <v>0</v>
      </c>
      <c r="CD685" s="32" t="n">
        <f aca="false">IF(BN685=0,IF(BV685=0,0,1),(BV685-BN685)/BN685)</f>
        <v>0</v>
      </c>
      <c r="CE685" s="32" t="n">
        <f aca="false">IF(BO685=0,IF(BW685=0,0,1),(BW685-BO685)/BO685)</f>
        <v>0</v>
      </c>
      <c r="CF685" s="32" t="n">
        <f aca="false">IF(BP685=0,IF(BX685=0,0,1),(BX685-BP685)/BP685)</f>
        <v>0</v>
      </c>
      <c r="CG685" s="32" t="n">
        <f aca="false">IF(BQ685=0,IF(BY685=0,0,1),(BY685-BQ685)/BQ685)</f>
        <v>0</v>
      </c>
      <c r="CH685" s="32" t="n">
        <f aca="false">MAX(MAX(BZ685:CG685),-MIN(BZ685:CG685))</f>
        <v>-0</v>
      </c>
      <c r="CI685" s="31" t="n">
        <f aca="false">IF(CO685="","",SUMIFS($CJ$7:$CJ$696,$A$7:$A$696,CO685,$B$7:$B$696,B685))</f>
        <v>427317</v>
      </c>
      <c r="CJ685" s="31" t="n">
        <f aca="false">SUM(AY685:BI685)</f>
        <v>427317</v>
      </c>
      <c r="CK685" s="31" t="str">
        <f aca="false">IFERROR(INDEX(設定!$F$61:$F$106,MATCH(B685,設定!$B$61:$B$106,0)),"Y")</f>
        <v>N</v>
      </c>
      <c r="CL685" s="31" t="str">
        <f aca="false">IFERROR(INDEX(設定!$G$61:$G$106,MATCH(B685,設定!$B$61:$B$106,0)),"外郭型")</f>
        <v>外郭型</v>
      </c>
      <c r="CM685" s="33" t="str">
        <f aca="false">A685&amp;"|"&amp;B685</f>
        <v>2027-03 月例|社会福祉協議会</v>
      </c>
      <c r="CN685" s="34" t="str">
        <f aca="false">IFERROR(INDEX(設定!$D$61:$D$106,MATCH(B685,設定!$B$61:$B$106,0)),"Y")</f>
        <v>Y</v>
      </c>
      <c r="CO685" s="34" t="str">
        <f aca="false">IFERROR(INDEX(設定!$D$20:$D$34,MATCH(A685,設定!$A$20:$A$34,0))&amp;"","")</f>
        <v>2027-02 月例</v>
      </c>
    </row>
    <row r="686" customFormat="false" ht="15" hidden="true" customHeight="false" outlineLevel="0" collapsed="false">
      <c r="A686" s="22" t="s">
        <v>230</v>
      </c>
      <c r="B686" s="23" t="s">
        <v>204</v>
      </c>
      <c r="C686" s="10" t="str">
        <f aca="false">IF(G686="","未受領",IF(G686="なし","報告なし",IF(AL686="○","起票済",IF(OR(AK686="○",F686="一致",F686="入金不要"),"入金確認済","受領済"))))</f>
        <v>未受領</v>
      </c>
      <c r="D686" s="10" t="str">
        <f aca="false">IF(OR(G686="",G686="なし"),"―",IF(CN686="N","対象外",IF(AND(I686="",J686="",K686=""),"標報未入力",IF(CH686&gt;=設定!$B$4,"要確認","問題なし"))))</f>
        <v>―</v>
      </c>
      <c r="E686" s="24" t="str">
        <f aca="false">IF(OR(G686="",G686="なし",CI686="",CJ686=0),"―",IF(CJ686=CI686,"前月同額",IF(CI686=0,"―",IF(ABS(CJ686/CI686-1)&gt;=設定!$B$5,"変動大 "&amp;TEXT(CJ686/CI686-1,"+0%;-0%"),"〇"))))</f>
        <v>―</v>
      </c>
      <c r="F686" s="10" t="str">
        <f aca="false">IF(OR(G686="",G686="なし"),"―",IF(CJ686=0,"入金不要",IF(COUNT(AD686,AF686,AH686,AJ686)=0,IF(AK686="○","手動確認","未入金"),IF(AND(N(AD686)=AC686,IF(AE686="",TRUE(),N(AF686)=AE686),IF(AG686="",TRUE(),N(AH686)=AG686),IF(AI686="",TRUE(),N(AJ686)=AI686)),"一致","不一致"))))</f>
        <v>―</v>
      </c>
      <c r="G686" s="25"/>
      <c r="H686" s="26"/>
      <c r="I686" s="27"/>
      <c r="J686" s="27"/>
      <c r="K686" s="27"/>
      <c r="L686" s="27"/>
      <c r="M686" s="27"/>
      <c r="N686" s="27"/>
      <c r="O686" s="27"/>
      <c r="P686" s="27"/>
      <c r="Q686" s="27"/>
      <c r="R686" s="27"/>
      <c r="S686" s="27"/>
      <c r="T686" s="27"/>
      <c r="U686" s="27"/>
      <c r="V686" s="27"/>
      <c r="W686" s="27"/>
      <c r="X686" s="27"/>
      <c r="Y686" s="27"/>
      <c r="Z686" s="27"/>
      <c r="AA686" s="10" t="str">
        <f aca="false">IFERROR(INDEX(設定!$E$61:$E$106,MATCH(B686,設定!$B$61:$B$106,0)),"合算")</f>
        <v>合算</v>
      </c>
      <c r="AB686" s="28"/>
      <c r="AC686" s="29" t="str">
        <f aca="false">IF(OR(G686="",G686="なし"),"",IF(AA686="合算",CJ686+N(Z686),IF(AA686="掛金・負担金別",(AY686+AZ686+BD686+BF686+BH686),SUM(AY686:BC686))))</f>
        <v/>
      </c>
      <c r="AD686" s="27"/>
      <c r="AE686" s="29" t="str">
        <f aca="false">IF(OR(G686="",G686="なし"),"",IF(AA686="掛金・負担金別",(BA686+BB686+BC686+BE686+BG686+BI686+N(Z686)),IF(AA686="経理区分別",BD686+BE686,"")))</f>
        <v/>
      </c>
      <c r="AF686" s="27"/>
      <c r="AG686" s="29" t="str">
        <f aca="false">IF(OR(G686="",G686="なし"),"",IF(AA686="経理区分別",BF686+BG686,""))</f>
        <v/>
      </c>
      <c r="AH686" s="27"/>
      <c r="AI686" s="29" t="str">
        <f aca="false">IF(OR(G686="",G686="なし"),"",IF(AA686="経理区分別",BH686+BI686+N(Z686),""))</f>
        <v/>
      </c>
      <c r="AJ686" s="27"/>
      <c r="AK686" s="26"/>
      <c r="AL686" s="26"/>
      <c r="AM686" s="30"/>
      <c r="AN686" s="31" t="n">
        <v>122457286</v>
      </c>
      <c r="AO686" s="31" t="n">
        <v>10042357</v>
      </c>
      <c r="AP686" s="31" t="n">
        <v>169847748</v>
      </c>
      <c r="AQ686" s="31" t="n">
        <v>10042357</v>
      </c>
      <c r="AR686" s="31" t="n">
        <v>134868</v>
      </c>
      <c r="AS686" s="31" t="n">
        <v>95166395</v>
      </c>
      <c r="AT686" s="31" t="n">
        <v>95340690</v>
      </c>
      <c r="AU686" s="31" t="n">
        <v>8029163</v>
      </c>
      <c r="AV686" s="31" t="n">
        <v>8029163</v>
      </c>
      <c r="AW686" s="31" t="n">
        <v>1</v>
      </c>
      <c r="AX686" s="31" t="n">
        <v>1</v>
      </c>
      <c r="AY686" s="31" t="n">
        <f aca="false">IF($G686="",AN686,O686)</f>
        <v>122457286</v>
      </c>
      <c r="AZ686" s="31" t="n">
        <f aca="false">IF($G686="",AO686,P686)</f>
        <v>10042357</v>
      </c>
      <c r="BA686" s="31" t="n">
        <f aca="false">IF($G686="",AP686,T686)</f>
        <v>169847748</v>
      </c>
      <c r="BB686" s="31" t="n">
        <f aca="false">IF($G686="",AQ686,U686)</f>
        <v>10042357</v>
      </c>
      <c r="BC686" s="31" t="n">
        <f aca="false">IF($G686="",AR686,V686)</f>
        <v>134868</v>
      </c>
      <c r="BD686" s="31" t="n">
        <f aca="false">IF($G686="",AS686,Q686)</f>
        <v>95166395</v>
      </c>
      <c r="BE686" s="31" t="n">
        <f aca="false">IF($G686="",AT686,W686)</f>
        <v>95340690</v>
      </c>
      <c r="BF686" s="31" t="n">
        <f aca="false">IF($G686="",AU686,R686)</f>
        <v>8029163</v>
      </c>
      <c r="BG686" s="31" t="n">
        <f aca="false">IF($G686="",AV686,X686)</f>
        <v>8029163</v>
      </c>
      <c r="BH686" s="31" t="n">
        <f aca="false">IF($G686="",AW686,S686)</f>
        <v>1</v>
      </c>
      <c r="BI686" s="31" t="n">
        <f aca="false">IF($G686="",AX686,Y686)</f>
        <v>1</v>
      </c>
      <c r="BJ686" s="31" t="n">
        <f aca="false">IF(CK686="N",BR686,ROUNDDOWN((I686-L686)*設定!$B$10/1000,0)+ROUNDDOWN((I686-L686)*設定!$B$11/1000,0))</f>
        <v>0</v>
      </c>
      <c r="BK686" s="31" t="n">
        <f aca="false">ROUNDDOWN((I686-L686)*設定!$C$10/1000,0)+ROUNDDOWN((I686-L686)*設定!$C$11/1000,0)+ROUNDDOWN(I686*設定!$C$12/1000,0)+IF(CL686="市局型",ROUNDDOWN(I686*設定!$C$16/1000,0),0)</f>
        <v>0</v>
      </c>
      <c r="BL686" s="31" t="n">
        <f aca="false">IF(CK686="N",BT686,ROUNDDOWN((J686-M686)*設定!$B$13/1000,0))</f>
        <v>0</v>
      </c>
      <c r="BM686" s="31" t="n">
        <f aca="false">ROUNDDOWN((J686-M686)*設定!$C$13/1000,0)+IF(CL686="市局型",ROUNDDOWN(J686*設定!$C$17/1000,0),0)</f>
        <v>0</v>
      </c>
      <c r="BN686" s="31" t="n">
        <f aca="false">IF(CK686="N",BV686,ROUNDDOWN((K686-N686)*設定!$B$14/1000,0))</f>
        <v>0</v>
      </c>
      <c r="BO686" s="31" t="n">
        <f aca="false">ROUNDDOWN((K686-N686)*設定!$C$14/1000,0)</f>
        <v>0</v>
      </c>
      <c r="BP686" s="31" t="n">
        <f aca="false">IF(CK686="N",BX686,ROUNDDOWN((J686-M686)*設定!$B$15/1000,0))</f>
        <v>0</v>
      </c>
      <c r="BQ686" s="31" t="n">
        <f aca="false">ROUNDDOWN((J686-M686)*設定!$C$15/1000,0)</f>
        <v>0</v>
      </c>
      <c r="BR686" s="31" t="n">
        <f aca="false">O686+P686</f>
        <v>0</v>
      </c>
      <c r="BS686" s="31" t="n">
        <f aca="false">T686+U686+V686</f>
        <v>0</v>
      </c>
      <c r="BT686" s="31" t="n">
        <f aca="false">Q686</f>
        <v>0</v>
      </c>
      <c r="BU686" s="31" t="n">
        <f aca="false">W686</f>
        <v>0</v>
      </c>
      <c r="BV686" s="31" t="n">
        <f aca="false">R686</f>
        <v>0</v>
      </c>
      <c r="BW686" s="31" t="n">
        <f aca="false">X686</f>
        <v>0</v>
      </c>
      <c r="BX686" s="31" t="n">
        <f aca="false">S686</f>
        <v>0</v>
      </c>
      <c r="BY686" s="31" t="n">
        <f aca="false">Y686</f>
        <v>0</v>
      </c>
      <c r="BZ686" s="32" t="n">
        <f aca="false">IF(BJ686=0,IF(BR686=0,0,1),(BR686-BJ686)/BJ686)</f>
        <v>0</v>
      </c>
      <c r="CA686" s="32" t="n">
        <f aca="false">IF(BK686=0,IF(BS686=0,0,1),(BS686-BK686)/BK686)</f>
        <v>0</v>
      </c>
      <c r="CB686" s="32" t="n">
        <f aca="false">IF(BL686=0,IF(BT686=0,0,1),(BT686-BL686)/BL686)</f>
        <v>0</v>
      </c>
      <c r="CC686" s="32" t="n">
        <f aca="false">IF(BM686=0,IF(BU686=0,0,1),(BU686-BM686)/BM686)</f>
        <v>0</v>
      </c>
      <c r="CD686" s="32" t="n">
        <f aca="false">IF(BN686=0,IF(BV686=0,0,1),(BV686-BN686)/BN686)</f>
        <v>0</v>
      </c>
      <c r="CE686" s="32" t="n">
        <f aca="false">IF(BO686=0,IF(BW686=0,0,1),(BW686-BO686)/BO686)</f>
        <v>0</v>
      </c>
      <c r="CF686" s="32" t="n">
        <f aca="false">IF(BP686=0,IF(BX686=0,0,1),(BX686-BP686)/BP686)</f>
        <v>0</v>
      </c>
      <c r="CG686" s="32" t="n">
        <f aca="false">IF(BQ686=0,IF(BY686=0,0,1),(BY686-BQ686)/BQ686)</f>
        <v>0</v>
      </c>
      <c r="CH686" s="32" t="n">
        <f aca="false">MAX(MAX(BZ686:CG686),-MIN(BZ686:CG686))</f>
        <v>-0</v>
      </c>
      <c r="CI686" s="31" t="n">
        <f aca="false">IF(CO686="","",SUMIFS($CJ$7:$CJ$696,$A$7:$A$696,CO686,$B$7:$B$696,B686))</f>
        <v>535537494</v>
      </c>
      <c r="CJ686" s="31" t="n">
        <f aca="false">SUM(AY686:BI686)</f>
        <v>519090029</v>
      </c>
      <c r="CK686" s="31" t="str">
        <f aca="false">IFERROR(INDEX(設定!$F$61:$F$106,MATCH(B686,設定!$B$61:$B$106,0)),"Y")</f>
        <v>Y</v>
      </c>
      <c r="CL686" s="31" t="str">
        <f aca="false">IFERROR(INDEX(設定!$G$61:$G$106,MATCH(B686,設定!$B$61:$B$106,0)),"外郭型")</f>
        <v>外郭型</v>
      </c>
      <c r="CM686" s="33" t="str">
        <f aca="false">A686&amp;"|"&amp;B686</f>
        <v>2027-03 月例|市立病院機構</v>
      </c>
      <c r="CN686" s="34" t="str">
        <f aca="false">IFERROR(INDEX(設定!$D$61:$D$106,MATCH(B686,設定!$B$61:$B$106,0)),"Y")</f>
        <v>N</v>
      </c>
      <c r="CO686" s="34" t="str">
        <f aca="false">IFERROR(INDEX(設定!$D$20:$D$34,MATCH(A686,設定!$A$20:$A$34,0))&amp;"","")</f>
        <v>2027-02 月例</v>
      </c>
    </row>
    <row r="687" customFormat="false" ht="15" hidden="true" customHeight="false" outlineLevel="0" collapsed="false">
      <c r="A687" s="22" t="s">
        <v>230</v>
      </c>
      <c r="B687" s="23" t="s">
        <v>205</v>
      </c>
      <c r="C687" s="10" t="str">
        <f aca="false">IF(G687="","未受領",IF(G687="なし","報告なし",IF(AL687="○","起票済",IF(OR(AK687="○",F687="一致",F687="入金不要"),"入金確認済","受領済"))))</f>
        <v>未受領</v>
      </c>
      <c r="D687" s="10" t="str">
        <f aca="false">IF(OR(G687="",G687="なし"),"―",IF(CN687="N","対象外",IF(AND(I687="",J687="",K687=""),"標報未入力",IF(CH687&gt;=設定!$B$4,"要確認","問題なし"))))</f>
        <v>―</v>
      </c>
      <c r="E687" s="24" t="str">
        <f aca="false">IF(OR(G687="",G687="なし",CI687="",CJ687=0),"―",IF(CJ687=CI687,"前月同額",IF(CI687=0,"―",IF(ABS(CJ687/CI687-1)&gt;=設定!$B$5,"変動大 "&amp;TEXT(CJ687/CI687-1,"+0%;-0%"),"〇"))))</f>
        <v>―</v>
      </c>
      <c r="F687" s="10" t="str">
        <f aca="false">IF(OR(G687="",G687="なし"),"―",IF(CJ687=0,"入金不要",IF(COUNT(AD687,AF687,AH687,AJ687)=0,IF(AK687="○","手動確認","未入金"),IF(AND(N(AD687)=AC687,IF(AE687="",TRUE(),N(AF687)=AE687),IF(AG687="",TRUE(),N(AH687)=AG687),IF(AI687="",TRUE(),N(AJ687)=AI687)),"一致","不一致"))))</f>
        <v>―</v>
      </c>
      <c r="G687" s="25"/>
      <c r="H687" s="26"/>
      <c r="I687" s="27"/>
      <c r="J687" s="27"/>
      <c r="K687" s="27"/>
      <c r="L687" s="27"/>
      <c r="M687" s="27"/>
      <c r="N687" s="27"/>
      <c r="O687" s="27"/>
      <c r="P687" s="27"/>
      <c r="Q687" s="27"/>
      <c r="R687" s="27"/>
      <c r="S687" s="27"/>
      <c r="T687" s="27"/>
      <c r="U687" s="27"/>
      <c r="V687" s="27"/>
      <c r="W687" s="27"/>
      <c r="X687" s="27"/>
      <c r="Y687" s="27"/>
      <c r="Z687" s="27"/>
      <c r="AA687" s="10" t="str">
        <f aca="false">IFERROR(INDEX(設定!$E$61:$E$106,MATCH(B687,設定!$B$61:$B$106,0)),"合算")</f>
        <v>合算</v>
      </c>
      <c r="AB687" s="28"/>
      <c r="AC687" s="29" t="str">
        <f aca="false">IF(OR(G687="",G687="なし"),"",IF(AA687="合算",CJ687+N(Z687),IF(AA687="掛金・負担金別",(AY687+AZ687+BD687+BF687+BH687),SUM(AY687:BC687))))</f>
        <v/>
      </c>
      <c r="AD687" s="27"/>
      <c r="AE687" s="29" t="str">
        <f aca="false">IF(OR(G687="",G687="なし"),"",IF(AA687="掛金・負担金別",(BA687+BB687+BC687+BE687+BG687+BI687+N(Z687)),IF(AA687="経理区分別",BD687+BE687,"")))</f>
        <v/>
      </c>
      <c r="AF687" s="27"/>
      <c r="AG687" s="29" t="str">
        <f aca="false">IF(OR(G687="",G687="なし"),"",IF(AA687="経理区分別",BF687+BG687,""))</f>
        <v/>
      </c>
      <c r="AH687" s="27"/>
      <c r="AI687" s="29" t="str">
        <f aca="false">IF(OR(G687="",G687="なし"),"",IF(AA687="経理区分別",BH687+BI687+N(Z687),""))</f>
        <v/>
      </c>
      <c r="AJ687" s="27"/>
      <c r="AK687" s="26"/>
      <c r="AL687" s="26"/>
      <c r="AM687" s="30"/>
      <c r="AN687" s="31"/>
      <c r="AO687" s="31"/>
      <c r="AP687" s="31"/>
      <c r="AQ687" s="31"/>
      <c r="AR687" s="31"/>
      <c r="AS687" s="31" t="n">
        <v>99012</v>
      </c>
      <c r="AT687" s="31" t="n">
        <v>99196</v>
      </c>
      <c r="AU687" s="31" t="n">
        <v>13524</v>
      </c>
      <c r="AV687" s="31" t="n">
        <v>13524</v>
      </c>
      <c r="AW687" s="31" t="n">
        <v>1</v>
      </c>
      <c r="AX687" s="31" t="n">
        <v>1</v>
      </c>
      <c r="AY687" s="31" t="n">
        <f aca="false">IF($G687="",AN687,O687)</f>
        <v>0</v>
      </c>
      <c r="AZ687" s="31" t="n">
        <f aca="false">IF($G687="",AO687,P687)</f>
        <v>0</v>
      </c>
      <c r="BA687" s="31" t="n">
        <f aca="false">IF($G687="",AP687,T687)</f>
        <v>0</v>
      </c>
      <c r="BB687" s="31" t="n">
        <f aca="false">IF($G687="",AQ687,U687)</f>
        <v>0</v>
      </c>
      <c r="BC687" s="31" t="n">
        <f aca="false">IF($G687="",AR687,V687)</f>
        <v>0</v>
      </c>
      <c r="BD687" s="31" t="n">
        <f aca="false">IF($G687="",AS687,Q687)</f>
        <v>99012</v>
      </c>
      <c r="BE687" s="31" t="n">
        <f aca="false">IF($G687="",AT687,W687)</f>
        <v>99196</v>
      </c>
      <c r="BF687" s="31" t="n">
        <f aca="false">IF($G687="",AU687,R687)</f>
        <v>13524</v>
      </c>
      <c r="BG687" s="31" t="n">
        <f aca="false">IF($G687="",AV687,X687)</f>
        <v>13524</v>
      </c>
      <c r="BH687" s="31" t="n">
        <f aca="false">IF($G687="",AW687,S687)</f>
        <v>1</v>
      </c>
      <c r="BI687" s="31" t="n">
        <f aca="false">IF($G687="",AX687,Y687)</f>
        <v>1</v>
      </c>
      <c r="BJ687" s="31" t="n">
        <f aca="false">IF(CK687="N",BR687,ROUNDDOWN((I687-L687)*設定!$B$10/1000,0)+ROUNDDOWN((I687-L687)*設定!$B$11/1000,0))</f>
        <v>0</v>
      </c>
      <c r="BK687" s="31" t="n">
        <f aca="false">ROUNDDOWN((I687-L687)*設定!$C$10/1000,0)+ROUNDDOWN((I687-L687)*設定!$C$11/1000,0)+ROUNDDOWN(I687*設定!$C$12/1000,0)+IF(CL687="市局型",ROUNDDOWN(I687*設定!$C$16/1000,0),0)</f>
        <v>0</v>
      </c>
      <c r="BL687" s="31" t="n">
        <f aca="false">IF(CK687="N",BT687,ROUNDDOWN((J687-M687)*設定!$B$13/1000,0))</f>
        <v>0</v>
      </c>
      <c r="BM687" s="31" t="n">
        <f aca="false">ROUNDDOWN((J687-M687)*設定!$C$13/1000,0)+IF(CL687="市局型",ROUNDDOWN(J687*設定!$C$17/1000,0),0)</f>
        <v>0</v>
      </c>
      <c r="BN687" s="31" t="n">
        <f aca="false">IF(CK687="N",BV687,ROUNDDOWN((K687-N687)*設定!$B$14/1000,0))</f>
        <v>0</v>
      </c>
      <c r="BO687" s="31" t="n">
        <f aca="false">ROUNDDOWN((K687-N687)*設定!$C$14/1000,0)</f>
        <v>0</v>
      </c>
      <c r="BP687" s="31" t="n">
        <f aca="false">IF(CK687="N",BX687,ROUNDDOWN((J687-M687)*設定!$B$15/1000,0))</f>
        <v>0</v>
      </c>
      <c r="BQ687" s="31" t="n">
        <f aca="false">ROUNDDOWN((J687-M687)*設定!$C$15/1000,0)</f>
        <v>0</v>
      </c>
      <c r="BR687" s="31" t="n">
        <f aca="false">O687+P687</f>
        <v>0</v>
      </c>
      <c r="BS687" s="31" t="n">
        <f aca="false">T687+U687+V687</f>
        <v>0</v>
      </c>
      <c r="BT687" s="31" t="n">
        <f aca="false">Q687</f>
        <v>0</v>
      </c>
      <c r="BU687" s="31" t="n">
        <f aca="false">W687</f>
        <v>0</v>
      </c>
      <c r="BV687" s="31" t="n">
        <f aca="false">R687</f>
        <v>0</v>
      </c>
      <c r="BW687" s="31" t="n">
        <f aca="false">X687</f>
        <v>0</v>
      </c>
      <c r="BX687" s="31" t="n">
        <f aca="false">S687</f>
        <v>0</v>
      </c>
      <c r="BY687" s="31" t="n">
        <f aca="false">Y687</f>
        <v>0</v>
      </c>
      <c r="BZ687" s="32" t="n">
        <f aca="false">IF(BJ687=0,IF(BR687=0,0,1),(BR687-BJ687)/BJ687)</f>
        <v>0</v>
      </c>
      <c r="CA687" s="32" t="n">
        <f aca="false">IF(BK687=0,IF(BS687=0,0,1),(BS687-BK687)/BK687)</f>
        <v>0</v>
      </c>
      <c r="CB687" s="32" t="n">
        <f aca="false">IF(BL687=0,IF(BT687=0,0,1),(BT687-BL687)/BL687)</f>
        <v>0</v>
      </c>
      <c r="CC687" s="32" t="n">
        <f aca="false">IF(BM687=0,IF(BU687=0,0,1),(BU687-BM687)/BM687)</f>
        <v>0</v>
      </c>
      <c r="CD687" s="32" t="n">
        <f aca="false">IF(BN687=0,IF(BV687=0,0,1),(BV687-BN687)/BN687)</f>
        <v>0</v>
      </c>
      <c r="CE687" s="32" t="n">
        <f aca="false">IF(BO687=0,IF(BW687=0,0,1),(BW687-BO687)/BO687)</f>
        <v>0</v>
      </c>
      <c r="CF687" s="32" t="n">
        <f aca="false">IF(BP687=0,IF(BX687=0,0,1),(BX687-BP687)/BP687)</f>
        <v>0</v>
      </c>
      <c r="CG687" s="32" t="n">
        <f aca="false">IF(BQ687=0,IF(BY687=0,0,1),(BY687-BQ687)/BQ687)</f>
        <v>0</v>
      </c>
      <c r="CH687" s="32" t="n">
        <f aca="false">MAX(MAX(BZ687:CG687),-MIN(BZ687:CG687))</f>
        <v>-0</v>
      </c>
      <c r="CI687" s="31" t="n">
        <f aca="false">IF(CO687="","",SUMIFS($CJ$7:$CJ$696,$A$7:$A$696,CO687,$B$7:$B$696,B687))</f>
        <v>241422</v>
      </c>
      <c r="CJ687" s="31" t="n">
        <f aca="false">SUM(AY687:BI687)</f>
        <v>225258</v>
      </c>
      <c r="CK687" s="31" t="str">
        <f aca="false">IFERROR(INDEX(設定!$F$61:$F$106,MATCH(B687,設定!$B$61:$B$106,0)),"Y")</f>
        <v>Y</v>
      </c>
      <c r="CL687" s="31" t="str">
        <f aca="false">IFERROR(INDEX(設定!$G$61:$G$106,MATCH(B687,設定!$B$61:$B$106,0)),"外郭型")</f>
        <v>外郭型</v>
      </c>
      <c r="CM687" s="33" t="str">
        <f aca="false">A687&amp;"|"&amp;B687</f>
        <v>2027-03 月例|職員共済組合</v>
      </c>
      <c r="CN687" s="34" t="str">
        <f aca="false">IFERROR(INDEX(設定!$D$61:$D$106,MATCH(B687,設定!$B$61:$B$106,0)),"Y")</f>
        <v>N</v>
      </c>
      <c r="CO687" s="34" t="str">
        <f aca="false">IFERROR(INDEX(設定!$D$20:$D$34,MATCH(A687,設定!$A$20:$A$34,0))&amp;"","")</f>
        <v>2027-02 月例</v>
      </c>
    </row>
    <row r="688" customFormat="false" ht="26.85" hidden="true" customHeight="false" outlineLevel="0" collapsed="false">
      <c r="A688" s="22" t="s">
        <v>230</v>
      </c>
      <c r="B688" s="35" t="s">
        <v>216</v>
      </c>
      <c r="C688" s="10" t="str">
        <f aca="false">IF(G688="","未受領",IF(G688="なし","報告なし",IF(AL688="○","起票済",IF(OR(AK688="○",F688="一致",F688="入金不要"),"入金確認済","受領済"))))</f>
        <v>報告なし</v>
      </c>
      <c r="D688" s="10" t="str">
        <f aca="false">IF(OR(G688="",G688="なし"),"―",IF(CN688="N","対象外",IF(AND(I688="",J688="",K688=""),"標報未入力",IF(CH688&gt;=設定!$B$4,"要確認","問題なし"))))</f>
        <v>―</v>
      </c>
      <c r="E688" s="24" t="str">
        <f aca="false">IF(OR(G688="",G688="なし",CI688="",CJ688=0),"―",IF(CJ688=CI688,"前月同額",IF(CI688=0,"―",IF(ABS(CJ688/CI688-1)&gt;=設定!$B$5,"変動大 "&amp;TEXT(CJ688/CI688-1,"+0%;-0%"),"〇"))))</f>
        <v>―</v>
      </c>
      <c r="F688" s="10" t="str">
        <f aca="false">IF(OR(G688="",G688="なし"),"―",IF(CJ688=0,"入金不要",IF(COUNT(AD688,AF688,AH688,AJ688)=0,IF(AK688="○","手動確認","未入金"),IF(AND(N(AD688)=AC688,IF(AE688="",TRUE(),N(AF688)=AE688),IF(AG688="",TRUE(),N(AH688)=AG688),IF(AI688="",TRUE(),N(AJ688)=AI688)),"一致","不一致"))))</f>
        <v>―</v>
      </c>
      <c r="G688" s="25" t="s">
        <v>181</v>
      </c>
      <c r="H688" s="26"/>
      <c r="I688" s="27"/>
      <c r="J688" s="27"/>
      <c r="K688" s="27"/>
      <c r="L688" s="27"/>
      <c r="M688" s="27"/>
      <c r="N688" s="27"/>
      <c r="O688" s="27"/>
      <c r="P688" s="27"/>
      <c r="Q688" s="27"/>
      <c r="R688" s="27"/>
      <c r="S688" s="27"/>
      <c r="T688" s="27"/>
      <c r="U688" s="27"/>
      <c r="V688" s="27"/>
      <c r="W688" s="27"/>
      <c r="X688" s="27"/>
      <c r="Y688" s="27"/>
      <c r="Z688" s="27"/>
      <c r="AA688" s="10" t="str">
        <f aca="false">IFERROR(INDEX(設定!$E$61:$E$106,MATCH(B688,設定!$B$61:$B$106,0)),"合算")</f>
        <v>合算</v>
      </c>
      <c r="AB688" s="28"/>
      <c r="AC688" s="29" t="str">
        <f aca="false">IF(OR(G688="",G688="なし"),"",IF(AA688="合算",CJ688+N(Z688),IF(AA688="掛金・負担金別",(AY688+AZ688+BD688+BF688+BH688),SUM(AY688:BC688))))</f>
        <v/>
      </c>
      <c r="AD688" s="27"/>
      <c r="AE688" s="29" t="str">
        <f aca="false">IF(OR(G688="",G688="なし"),"",IF(AA688="掛金・負担金別",(BA688+BB688+BC688+BE688+BG688+BI688+N(Z688)),IF(AA688="経理区分別",BD688+BE688,"")))</f>
        <v/>
      </c>
      <c r="AF688" s="27"/>
      <c r="AG688" s="29" t="str">
        <f aca="false">IF(OR(G688="",G688="なし"),"",IF(AA688="経理区分別",BF688+BG688,""))</f>
        <v/>
      </c>
      <c r="AH688" s="27"/>
      <c r="AI688" s="29" t="str">
        <f aca="false">IF(OR(G688="",G688="なし"),"",IF(AA688="経理区分別",BH688+BI688+N(Z688),""))</f>
        <v/>
      </c>
      <c r="AJ688" s="27"/>
      <c r="AK688" s="26"/>
      <c r="AL688" s="26"/>
      <c r="AM688" s="30"/>
      <c r="AN688" s="31"/>
      <c r="AO688" s="31"/>
      <c r="AP688" s="31"/>
      <c r="AQ688" s="31"/>
      <c r="AR688" s="31"/>
      <c r="AS688" s="31"/>
      <c r="AT688" s="31"/>
      <c r="AU688" s="31"/>
      <c r="AV688" s="31"/>
      <c r="AW688" s="31"/>
      <c r="AX688" s="31"/>
      <c r="AY688" s="31" t="n">
        <f aca="false">IF($G688="",AN688,O688)</f>
        <v>0</v>
      </c>
      <c r="AZ688" s="31" t="n">
        <f aca="false">IF($G688="",AO688,P688)</f>
        <v>0</v>
      </c>
      <c r="BA688" s="31" t="n">
        <f aca="false">IF($G688="",AP688,T688)</f>
        <v>0</v>
      </c>
      <c r="BB688" s="31" t="n">
        <f aca="false">IF($G688="",AQ688,U688)</f>
        <v>0</v>
      </c>
      <c r="BC688" s="31" t="n">
        <f aca="false">IF($G688="",AR688,V688)</f>
        <v>0</v>
      </c>
      <c r="BD688" s="31" t="n">
        <f aca="false">IF($G688="",AS688,Q688)</f>
        <v>0</v>
      </c>
      <c r="BE688" s="31" t="n">
        <f aca="false">IF($G688="",AT688,W688)</f>
        <v>0</v>
      </c>
      <c r="BF688" s="31" t="n">
        <f aca="false">IF($G688="",AU688,R688)</f>
        <v>0</v>
      </c>
      <c r="BG688" s="31" t="n">
        <f aca="false">IF($G688="",AV688,X688)</f>
        <v>0</v>
      </c>
      <c r="BH688" s="31" t="n">
        <f aca="false">IF($G688="",AW688,S688)</f>
        <v>0</v>
      </c>
      <c r="BI688" s="31" t="n">
        <f aca="false">IF($G688="",AX688,Y688)</f>
        <v>0</v>
      </c>
      <c r="BJ688" s="31" t="n">
        <f aca="false">IF(CK688="N",BR688,ROUNDDOWN((I688-L688)*設定!$B$10/1000,0)+ROUNDDOWN((I688-L688)*設定!$B$11/1000,0))</f>
        <v>0</v>
      </c>
      <c r="BK688" s="31" t="n">
        <f aca="false">ROUNDDOWN((I688-L688)*設定!$C$10/1000,0)+ROUNDDOWN((I688-L688)*設定!$C$11/1000,0)+ROUNDDOWN(I688*設定!$C$12/1000,0)+IF(CL688="市局型",ROUNDDOWN(I688*設定!$C$16/1000,0),0)</f>
        <v>0</v>
      </c>
      <c r="BL688" s="31" t="n">
        <f aca="false">IF(CK688="N",BT688,ROUNDDOWN((J688-M688)*設定!$B$13/1000,0))</f>
        <v>0</v>
      </c>
      <c r="BM688" s="31" t="n">
        <f aca="false">ROUNDDOWN((J688-M688)*設定!$C$13/1000,0)+IF(CL688="市局型",ROUNDDOWN(J688*設定!$C$17/1000,0),0)</f>
        <v>0</v>
      </c>
      <c r="BN688" s="31" t="n">
        <f aca="false">IF(CK688="N",BV688,ROUNDDOWN((K688-N688)*設定!$B$14/1000,0))</f>
        <v>0</v>
      </c>
      <c r="BO688" s="31" t="n">
        <f aca="false">ROUNDDOWN((K688-N688)*設定!$C$14/1000,0)</f>
        <v>0</v>
      </c>
      <c r="BP688" s="31" t="n">
        <f aca="false">IF(CK688="N",BX688,ROUNDDOWN((J688-M688)*設定!$B$15/1000,0))</f>
        <v>0</v>
      </c>
      <c r="BQ688" s="31" t="n">
        <f aca="false">ROUNDDOWN((J688-M688)*設定!$C$15/1000,0)</f>
        <v>0</v>
      </c>
      <c r="BR688" s="31" t="n">
        <f aca="false">O688+P688</f>
        <v>0</v>
      </c>
      <c r="BS688" s="31" t="n">
        <f aca="false">T688+U688+V688</f>
        <v>0</v>
      </c>
      <c r="BT688" s="31" t="n">
        <f aca="false">Q688</f>
        <v>0</v>
      </c>
      <c r="BU688" s="31" t="n">
        <f aca="false">W688</f>
        <v>0</v>
      </c>
      <c r="BV688" s="31" t="n">
        <f aca="false">R688</f>
        <v>0</v>
      </c>
      <c r="BW688" s="31" t="n">
        <f aca="false">X688</f>
        <v>0</v>
      </c>
      <c r="BX688" s="31" t="n">
        <f aca="false">S688</f>
        <v>0</v>
      </c>
      <c r="BY688" s="31" t="n">
        <f aca="false">Y688</f>
        <v>0</v>
      </c>
      <c r="BZ688" s="32" t="n">
        <f aca="false">IF(BJ688=0,IF(BR688=0,0,1),(BR688-BJ688)/BJ688)</f>
        <v>0</v>
      </c>
      <c r="CA688" s="32" t="n">
        <f aca="false">IF(BK688=0,IF(BS688=0,0,1),(BS688-BK688)/BK688)</f>
        <v>0</v>
      </c>
      <c r="CB688" s="32" t="n">
        <f aca="false">IF(BL688=0,IF(BT688=0,0,1),(BT688-BL688)/BL688)</f>
        <v>0</v>
      </c>
      <c r="CC688" s="32" t="n">
        <f aca="false">IF(BM688=0,IF(BU688=0,0,1),(BU688-BM688)/BM688)</f>
        <v>0</v>
      </c>
      <c r="CD688" s="32" t="n">
        <f aca="false">IF(BN688=0,IF(BV688=0,0,1),(BV688-BN688)/BN688)</f>
        <v>0</v>
      </c>
      <c r="CE688" s="32" t="n">
        <f aca="false">IF(BO688=0,IF(BW688=0,0,1),(BW688-BO688)/BO688)</f>
        <v>0</v>
      </c>
      <c r="CF688" s="32" t="n">
        <f aca="false">IF(BP688=0,IF(BX688=0,0,1),(BX688-BP688)/BP688)</f>
        <v>0</v>
      </c>
      <c r="CG688" s="32" t="n">
        <f aca="false">IF(BQ688=0,IF(BY688=0,0,1),(BY688-BQ688)/BQ688)</f>
        <v>0</v>
      </c>
      <c r="CH688" s="32" t="n">
        <f aca="false">MAX(MAX(BZ688:CG688),-MIN(BZ688:CG688))</f>
        <v>-0</v>
      </c>
      <c r="CI688" s="31" t="n">
        <f aca="false">IF(CO688="","",SUMIFS($CJ$7:$CJ$696,$A$7:$A$696,CO688,$B$7:$B$696,B688))</f>
        <v>0</v>
      </c>
      <c r="CJ688" s="31" t="n">
        <f aca="false">SUM(AY688:BI688)</f>
        <v>0</v>
      </c>
      <c r="CK688" s="31" t="str">
        <f aca="false">IFERROR(INDEX(設定!$F$61:$F$106,MATCH(B688,設定!$B$61:$B$106,0)),"Y")</f>
        <v>N</v>
      </c>
      <c r="CL688" s="31" t="str">
        <f aca="false">IFERROR(INDEX(設定!$G$61:$G$106,MATCH(B688,設定!$B$61:$B$106,0)),"外郭型")</f>
        <v>外郭型</v>
      </c>
      <c r="CM688" s="36" t="str">
        <f aca="false">A688&amp;"|"&amp;B688</f>
        <v>2027-03 月例|地方公共団体
情報システム機構</v>
      </c>
      <c r="CN688" s="34" t="str">
        <f aca="false">IFERROR(INDEX(設定!$D$61:$D$106,MATCH(B688,設定!$B$61:$B$106,0)),"Y")</f>
        <v>Y</v>
      </c>
      <c r="CO688" s="34" t="str">
        <f aca="false">IFERROR(INDEX(設定!$D$20:$D$34,MATCH(A688,設定!$A$20:$A$34,0))&amp;"","")</f>
        <v>2027-02 月例</v>
      </c>
    </row>
    <row r="689" customFormat="false" ht="15" hidden="true" customHeight="false" outlineLevel="0" collapsed="false">
      <c r="A689" s="22" t="s">
        <v>230</v>
      </c>
      <c r="B689" s="23" t="s">
        <v>207</v>
      </c>
      <c r="C689" s="10" t="str">
        <f aca="false">IF(G689="","未受領",IF(G689="なし","報告なし",IF(AL689="○","起票済",IF(OR(AK689="○",F689="一致",F689="入金不要"),"入金確認済","受領済"))))</f>
        <v>未受領</v>
      </c>
      <c r="D689" s="10" t="str">
        <f aca="false">IF(OR(G689="",G689="なし"),"―",IF(CN689="N","対象外",IF(AND(I689="",J689="",K689=""),"標報未入力",IF(CH689&gt;=設定!$B$4,"要確認","問題なし"))))</f>
        <v>―</v>
      </c>
      <c r="E689" s="24" t="str">
        <f aca="false">IF(OR(G689="",G689="なし",CI689="",CJ689=0),"―",IF(CJ689=CI689,"前月同額",IF(CI689=0,"―",IF(ABS(CJ689/CI689-1)&gt;=設定!$B$5,"変動大 "&amp;TEXT(CJ689/CI689-1,"+0%;-0%"),"〇"))))</f>
        <v>―</v>
      </c>
      <c r="F689" s="10" t="str">
        <f aca="false">IF(OR(G689="",G689="なし"),"―",IF(CJ689=0,"入金不要",IF(COUNT(AD689,AF689,AH689,AJ689)=0,IF(AK689="○","手動確認","未入金"),IF(AND(N(AD689)=AC689,IF(AE689="",TRUE(),N(AF689)=AE689),IF(AG689="",TRUE(),N(AH689)=AG689),IF(AI689="",TRUE(),N(AJ689)=AI689)),"一致","不一致"))))</f>
        <v>―</v>
      </c>
      <c r="G689" s="25"/>
      <c r="H689" s="26"/>
      <c r="I689" s="27"/>
      <c r="J689" s="27"/>
      <c r="K689" s="27"/>
      <c r="L689" s="27"/>
      <c r="M689" s="27"/>
      <c r="N689" s="27"/>
      <c r="O689" s="27"/>
      <c r="P689" s="27"/>
      <c r="Q689" s="27"/>
      <c r="R689" s="27"/>
      <c r="S689" s="27"/>
      <c r="T689" s="27"/>
      <c r="U689" s="27"/>
      <c r="V689" s="27"/>
      <c r="W689" s="27"/>
      <c r="X689" s="27"/>
      <c r="Y689" s="27"/>
      <c r="Z689" s="27"/>
      <c r="AA689" s="10" t="str">
        <f aca="false">IFERROR(INDEX(設定!$E$61:$E$106,MATCH(B689,設定!$B$61:$B$106,0)),"合算")</f>
        <v>合算</v>
      </c>
      <c r="AB689" s="28"/>
      <c r="AC689" s="29" t="str">
        <f aca="false">IF(OR(G689="",G689="なし"),"",IF(AA689="合算",CJ689+N(Z689),IF(AA689="掛金・負担金別",(AY689+AZ689+BD689+BF689+BH689),SUM(AY689:BC689))))</f>
        <v/>
      </c>
      <c r="AD689" s="27"/>
      <c r="AE689" s="29" t="str">
        <f aca="false">IF(OR(G689="",G689="なし"),"",IF(AA689="掛金・負担金別",(BA689+BB689+BC689+BE689+BG689+BI689+N(Z689)),IF(AA689="経理区分別",BD689+BE689,"")))</f>
        <v/>
      </c>
      <c r="AF689" s="27"/>
      <c r="AG689" s="29" t="str">
        <f aca="false">IF(OR(G689="",G689="なし"),"",IF(AA689="経理区分別",BF689+BG689,""))</f>
        <v/>
      </c>
      <c r="AH689" s="27"/>
      <c r="AI689" s="29" t="str">
        <f aca="false">IF(OR(G689="",G689="なし"),"",IF(AA689="経理区分別",BH689+BI689+N(Z689),""))</f>
        <v/>
      </c>
      <c r="AJ689" s="27"/>
      <c r="AK689" s="26"/>
      <c r="AL689" s="26"/>
      <c r="AM689" s="30"/>
      <c r="AN689" s="31" t="n">
        <v>59475</v>
      </c>
      <c r="AO689" s="31" t="n">
        <v>4875</v>
      </c>
      <c r="AP689" s="31" t="n">
        <v>59475</v>
      </c>
      <c r="AQ689" s="31" t="n">
        <v>4875</v>
      </c>
      <c r="AR689" s="31" t="n">
        <v>61</v>
      </c>
      <c r="AS689" s="31" t="n">
        <v>41257</v>
      </c>
      <c r="AT689" s="31" t="n">
        <v>41332</v>
      </c>
      <c r="AU689" s="31" t="n">
        <v>5925</v>
      </c>
      <c r="AV689" s="31" t="n">
        <v>5925</v>
      </c>
      <c r="AW689" s="31" t="n">
        <v>1</v>
      </c>
      <c r="AX689" s="31" t="n">
        <v>1</v>
      </c>
      <c r="AY689" s="31" t="n">
        <f aca="false">IF($G689="",AN689,O689)</f>
        <v>59475</v>
      </c>
      <c r="AZ689" s="31" t="n">
        <f aca="false">IF($G689="",AO689,P689)</f>
        <v>4875</v>
      </c>
      <c r="BA689" s="31" t="n">
        <f aca="false">IF($G689="",AP689,T689)</f>
        <v>59475</v>
      </c>
      <c r="BB689" s="31" t="n">
        <f aca="false">IF($G689="",AQ689,U689)</f>
        <v>4875</v>
      </c>
      <c r="BC689" s="31" t="n">
        <f aca="false">IF($G689="",AR689,V689)</f>
        <v>61</v>
      </c>
      <c r="BD689" s="31" t="n">
        <f aca="false">IF($G689="",AS689,Q689)</f>
        <v>41257</v>
      </c>
      <c r="BE689" s="31" t="n">
        <f aca="false">IF($G689="",AT689,W689)</f>
        <v>41332</v>
      </c>
      <c r="BF689" s="31" t="n">
        <f aca="false">IF($G689="",AU689,R689)</f>
        <v>5925</v>
      </c>
      <c r="BG689" s="31" t="n">
        <f aca="false">IF($G689="",AV689,X689)</f>
        <v>5925</v>
      </c>
      <c r="BH689" s="31" t="n">
        <f aca="false">IF($G689="",AW689,S689)</f>
        <v>1</v>
      </c>
      <c r="BI689" s="31" t="n">
        <f aca="false">IF($G689="",AX689,Y689)</f>
        <v>1</v>
      </c>
      <c r="BJ689" s="31" t="n">
        <f aca="false">IF(CK689="N",BR689,ROUNDDOWN((I689-L689)*設定!$B$10/1000,0)+ROUNDDOWN((I689-L689)*設定!$B$11/1000,0))</f>
        <v>0</v>
      </c>
      <c r="BK689" s="31" t="n">
        <f aca="false">ROUNDDOWN((I689-L689)*設定!$C$10/1000,0)+ROUNDDOWN((I689-L689)*設定!$C$11/1000,0)+ROUNDDOWN(I689*設定!$C$12/1000,0)+IF(CL689="市局型",ROUNDDOWN(I689*設定!$C$16/1000,0),0)</f>
        <v>0</v>
      </c>
      <c r="BL689" s="31" t="n">
        <f aca="false">IF(CK689="N",BT689,ROUNDDOWN((J689-M689)*設定!$B$13/1000,0))</f>
        <v>0</v>
      </c>
      <c r="BM689" s="31" t="n">
        <f aca="false">ROUNDDOWN((J689-M689)*設定!$C$13/1000,0)+IF(CL689="市局型",ROUNDDOWN(J689*設定!$C$17/1000,0),0)</f>
        <v>0</v>
      </c>
      <c r="BN689" s="31" t="n">
        <f aca="false">IF(CK689="N",BV689,ROUNDDOWN((K689-N689)*設定!$B$14/1000,0))</f>
        <v>0</v>
      </c>
      <c r="BO689" s="31" t="n">
        <f aca="false">ROUNDDOWN((K689-N689)*設定!$C$14/1000,0)</f>
        <v>0</v>
      </c>
      <c r="BP689" s="31" t="n">
        <f aca="false">IF(CK689="N",BX689,ROUNDDOWN((J689-M689)*設定!$B$15/1000,0))</f>
        <v>0</v>
      </c>
      <c r="BQ689" s="31" t="n">
        <f aca="false">ROUNDDOWN((J689-M689)*設定!$C$15/1000,0)</f>
        <v>0</v>
      </c>
      <c r="BR689" s="31" t="n">
        <f aca="false">O689+P689</f>
        <v>0</v>
      </c>
      <c r="BS689" s="31" t="n">
        <f aca="false">T689+U689+V689</f>
        <v>0</v>
      </c>
      <c r="BT689" s="31" t="n">
        <f aca="false">Q689</f>
        <v>0</v>
      </c>
      <c r="BU689" s="31" t="n">
        <f aca="false">W689</f>
        <v>0</v>
      </c>
      <c r="BV689" s="31" t="n">
        <f aca="false">R689</f>
        <v>0</v>
      </c>
      <c r="BW689" s="31" t="n">
        <f aca="false">X689</f>
        <v>0</v>
      </c>
      <c r="BX689" s="31" t="n">
        <f aca="false">S689</f>
        <v>0</v>
      </c>
      <c r="BY689" s="31" t="n">
        <f aca="false">Y689</f>
        <v>0</v>
      </c>
      <c r="BZ689" s="32" t="n">
        <f aca="false">IF(BJ689=0,IF(BR689=0,0,1),(BR689-BJ689)/BJ689)</f>
        <v>0</v>
      </c>
      <c r="CA689" s="32" t="n">
        <f aca="false">IF(BK689=0,IF(BS689=0,0,1),(BS689-BK689)/BK689)</f>
        <v>0</v>
      </c>
      <c r="CB689" s="32" t="n">
        <f aca="false">IF(BL689=0,IF(BT689=0,0,1),(BT689-BL689)/BL689)</f>
        <v>0</v>
      </c>
      <c r="CC689" s="32" t="n">
        <f aca="false">IF(BM689=0,IF(BU689=0,0,1),(BU689-BM689)/BM689)</f>
        <v>0</v>
      </c>
      <c r="CD689" s="32" t="n">
        <f aca="false">IF(BN689=0,IF(BV689=0,0,1),(BV689-BN689)/BN689)</f>
        <v>0</v>
      </c>
      <c r="CE689" s="32" t="n">
        <f aca="false">IF(BO689=0,IF(BW689=0,0,1),(BW689-BO689)/BO689)</f>
        <v>0</v>
      </c>
      <c r="CF689" s="32" t="n">
        <f aca="false">IF(BP689=0,IF(BX689=0,0,1),(BX689-BP689)/BP689)</f>
        <v>0</v>
      </c>
      <c r="CG689" s="32" t="n">
        <f aca="false">IF(BQ689=0,IF(BY689=0,0,1),(BY689-BQ689)/BQ689)</f>
        <v>0</v>
      </c>
      <c r="CH689" s="32" t="n">
        <f aca="false">MAX(MAX(BZ689:CG689),-MIN(BZ689:CG689))</f>
        <v>-0</v>
      </c>
      <c r="CI689" s="31" t="n">
        <f aca="false">IF(CO689="","",SUMIFS($CJ$7:$CJ$696,$A$7:$A$696,CO689,$B$7:$B$696,B689))</f>
        <v>223202</v>
      </c>
      <c r="CJ689" s="31" t="n">
        <f aca="false">SUM(AY689:BI689)</f>
        <v>223202</v>
      </c>
      <c r="CK689" s="31" t="str">
        <f aca="false">IFERROR(INDEX(設定!$F$61:$F$106,MATCH(B689,設定!$B$61:$B$106,0)),"Y")</f>
        <v>Y</v>
      </c>
      <c r="CL689" s="31" t="str">
        <f aca="false">IFERROR(INDEX(設定!$G$61:$G$106,MATCH(B689,設定!$B$61:$B$106,0)),"外郭型")</f>
        <v>外郭型</v>
      </c>
      <c r="CM689" s="33" t="str">
        <f aca="false">A689&amp;"|"&amp;B689</f>
        <v>2027-03 月例|全国市長会</v>
      </c>
      <c r="CN689" s="34" t="str">
        <f aca="false">IFERROR(INDEX(設定!$D$61:$D$106,MATCH(B689,設定!$B$61:$B$106,0)),"Y")</f>
        <v>Y</v>
      </c>
      <c r="CO689" s="34" t="str">
        <f aca="false">IFERROR(INDEX(設定!$D$20:$D$34,MATCH(A689,設定!$A$20:$A$34,0))&amp;"","")</f>
        <v>2027-02 月例</v>
      </c>
    </row>
    <row r="690" customFormat="false" ht="15" hidden="true" customHeight="false" outlineLevel="0" collapsed="false">
      <c r="A690" s="22" t="s">
        <v>230</v>
      </c>
      <c r="B690" s="23" t="s">
        <v>208</v>
      </c>
      <c r="C690" s="10" t="str">
        <f aca="false">IF(G690="","未受領",IF(G690="なし","報告なし",IF(AL690="○","起票済",IF(OR(AK690="○",F690="一致",F690="入金不要"),"入金確認済","受領済"))))</f>
        <v>未受領</v>
      </c>
      <c r="D690" s="10" t="str">
        <f aca="false">IF(OR(G690="",G690="なし"),"―",IF(CN690="N","対象外",IF(AND(I690="",J690="",K690=""),"標報未入力",IF(CH690&gt;=設定!$B$4,"要確認","問題なし"))))</f>
        <v>―</v>
      </c>
      <c r="E690" s="24" t="str">
        <f aca="false">IF(OR(G690="",G690="なし",CI690="",CJ690=0),"―",IF(CJ690=CI690,"前月同額",IF(CI690=0,"―",IF(ABS(CJ690/CI690-1)&gt;=設定!$B$5,"変動大 "&amp;TEXT(CJ690/CI690-1,"+0%;-0%"),"〇"))))</f>
        <v>―</v>
      </c>
      <c r="F690" s="10" t="str">
        <f aca="false">IF(OR(G690="",G690="なし"),"―",IF(CJ690=0,"入金不要",IF(COUNT(AD690,AF690,AH690,AJ690)=0,IF(AK690="○","手動確認","未入金"),IF(AND(N(AD690)=AC690,IF(AE690="",TRUE(),N(AF690)=AE690),IF(AG690="",TRUE(),N(AH690)=AG690),IF(AI690="",TRUE(),N(AJ690)=AI690)),"一致","不一致"))))</f>
        <v>―</v>
      </c>
      <c r="G690" s="25"/>
      <c r="H690" s="26"/>
      <c r="I690" s="27"/>
      <c r="J690" s="27"/>
      <c r="K690" s="27"/>
      <c r="L690" s="27"/>
      <c r="M690" s="27"/>
      <c r="N690" s="27"/>
      <c r="O690" s="27"/>
      <c r="P690" s="27"/>
      <c r="Q690" s="27"/>
      <c r="R690" s="27"/>
      <c r="S690" s="27"/>
      <c r="T690" s="27"/>
      <c r="U690" s="27"/>
      <c r="V690" s="27"/>
      <c r="W690" s="27"/>
      <c r="X690" s="27"/>
      <c r="Y690" s="27"/>
      <c r="Z690" s="27"/>
      <c r="AA690" s="10" t="str">
        <f aca="false">IFERROR(INDEX(設定!$E$61:$E$106,MATCH(B690,設定!$B$61:$B$106,0)),"合算")</f>
        <v>合算</v>
      </c>
      <c r="AB690" s="28"/>
      <c r="AC690" s="29" t="str">
        <f aca="false">IF(OR(G690="",G690="なし"),"",IF(AA690="合算",CJ690+N(Z690),IF(AA690="掛金・負担金別",(AY690+AZ690+BD690+BF690+BH690),SUM(AY690:BC690))))</f>
        <v/>
      </c>
      <c r="AD690" s="27"/>
      <c r="AE690" s="29" t="str">
        <f aca="false">IF(OR(G690="",G690="なし"),"",IF(AA690="掛金・負担金別",(BA690+BB690+BC690+BE690+BG690+BI690+N(Z690)),IF(AA690="経理区分別",BD690+BE690,"")))</f>
        <v/>
      </c>
      <c r="AF690" s="27"/>
      <c r="AG690" s="29" t="str">
        <f aca="false">IF(OR(G690="",G690="なし"),"",IF(AA690="経理区分別",BF690+BG690,""))</f>
        <v/>
      </c>
      <c r="AH690" s="27"/>
      <c r="AI690" s="29" t="str">
        <f aca="false">IF(OR(G690="",G690="なし"),"",IF(AA690="経理区分別",BH690+BI690+N(Z690),""))</f>
        <v/>
      </c>
      <c r="AJ690" s="27"/>
      <c r="AK690" s="26"/>
      <c r="AL690" s="26"/>
      <c r="AM690" s="30"/>
      <c r="AN690" s="31" t="n">
        <v>185745</v>
      </c>
      <c r="AO690" s="31" t="n">
        <v>15225</v>
      </c>
      <c r="AP690" s="31" t="n">
        <v>185745</v>
      </c>
      <c r="AQ690" s="31" t="n">
        <v>15225</v>
      </c>
      <c r="AR690" s="31" t="n">
        <v>193</v>
      </c>
      <c r="AS690" s="31" t="n">
        <v>0</v>
      </c>
      <c r="AT690" s="31"/>
      <c r="AU690" s="31" t="n">
        <v>0</v>
      </c>
      <c r="AV690" s="31"/>
      <c r="AW690" s="31" t="n">
        <v>0</v>
      </c>
      <c r="AX690" s="31"/>
      <c r="AY690" s="31" t="n">
        <f aca="false">IF($G690="",AN690,O690)</f>
        <v>185745</v>
      </c>
      <c r="AZ690" s="31" t="n">
        <f aca="false">IF($G690="",AO690,P690)</f>
        <v>15225</v>
      </c>
      <c r="BA690" s="31" t="n">
        <f aca="false">IF($G690="",AP690,T690)</f>
        <v>185745</v>
      </c>
      <c r="BB690" s="31" t="n">
        <f aca="false">IF($G690="",AQ690,U690)</f>
        <v>15225</v>
      </c>
      <c r="BC690" s="31" t="n">
        <f aca="false">IF($G690="",AR690,V690)</f>
        <v>193</v>
      </c>
      <c r="BD690" s="31" t="n">
        <f aca="false">IF($G690="",AS690,Q690)</f>
        <v>0</v>
      </c>
      <c r="BE690" s="31" t="n">
        <f aca="false">IF($G690="",AT690,W690)</f>
        <v>0</v>
      </c>
      <c r="BF690" s="31" t="n">
        <f aca="false">IF($G690="",AU690,R690)</f>
        <v>0</v>
      </c>
      <c r="BG690" s="31" t="n">
        <f aca="false">IF($G690="",AV690,X690)</f>
        <v>0</v>
      </c>
      <c r="BH690" s="31" t="n">
        <f aca="false">IF($G690="",AW690,S690)</f>
        <v>0</v>
      </c>
      <c r="BI690" s="31" t="n">
        <f aca="false">IF($G690="",AX690,Y690)</f>
        <v>0</v>
      </c>
      <c r="BJ690" s="31" t="n">
        <f aca="false">IF(CK690="N",BR690,ROUNDDOWN((I690-L690)*設定!$B$10/1000,0)+ROUNDDOWN((I690-L690)*設定!$B$11/1000,0))</f>
        <v>0</v>
      </c>
      <c r="BK690" s="31" t="n">
        <f aca="false">ROUNDDOWN((I690-L690)*設定!$C$10/1000,0)+ROUNDDOWN((I690-L690)*設定!$C$11/1000,0)+ROUNDDOWN(I690*設定!$C$12/1000,0)+IF(CL690="市局型",ROUNDDOWN(I690*設定!$C$16/1000,0),0)</f>
        <v>0</v>
      </c>
      <c r="BL690" s="31" t="n">
        <f aca="false">IF(CK690="N",BT690,ROUNDDOWN((J690-M690)*設定!$B$13/1000,0))</f>
        <v>0</v>
      </c>
      <c r="BM690" s="31" t="n">
        <f aca="false">ROUNDDOWN((J690-M690)*設定!$C$13/1000,0)+IF(CL690="市局型",ROUNDDOWN(J690*設定!$C$17/1000,0),0)</f>
        <v>0</v>
      </c>
      <c r="BN690" s="31" t="n">
        <f aca="false">IF(CK690="N",BV690,ROUNDDOWN((K690-N690)*設定!$B$14/1000,0))</f>
        <v>0</v>
      </c>
      <c r="BO690" s="31" t="n">
        <f aca="false">ROUNDDOWN((K690-N690)*設定!$C$14/1000,0)</f>
        <v>0</v>
      </c>
      <c r="BP690" s="31" t="n">
        <f aca="false">IF(CK690="N",BX690,ROUNDDOWN((J690-M690)*設定!$B$15/1000,0))</f>
        <v>0</v>
      </c>
      <c r="BQ690" s="31" t="n">
        <f aca="false">ROUNDDOWN((J690-M690)*設定!$C$15/1000,0)</f>
        <v>0</v>
      </c>
      <c r="BR690" s="31" t="n">
        <f aca="false">O690+P690</f>
        <v>0</v>
      </c>
      <c r="BS690" s="31" t="n">
        <f aca="false">T690+U690+V690</f>
        <v>0</v>
      </c>
      <c r="BT690" s="31" t="n">
        <f aca="false">Q690</f>
        <v>0</v>
      </c>
      <c r="BU690" s="31" t="n">
        <f aca="false">W690</f>
        <v>0</v>
      </c>
      <c r="BV690" s="31" t="n">
        <f aca="false">R690</f>
        <v>0</v>
      </c>
      <c r="BW690" s="31" t="n">
        <f aca="false">X690</f>
        <v>0</v>
      </c>
      <c r="BX690" s="31" t="n">
        <f aca="false">S690</f>
        <v>0</v>
      </c>
      <c r="BY690" s="31" t="n">
        <f aca="false">Y690</f>
        <v>0</v>
      </c>
      <c r="BZ690" s="32" t="n">
        <f aca="false">IF(BJ690=0,IF(BR690=0,0,1),(BR690-BJ690)/BJ690)</f>
        <v>0</v>
      </c>
      <c r="CA690" s="32" t="n">
        <f aca="false">IF(BK690=0,IF(BS690=0,0,1),(BS690-BK690)/BK690)</f>
        <v>0</v>
      </c>
      <c r="CB690" s="32" t="n">
        <f aca="false">IF(BL690=0,IF(BT690=0,0,1),(BT690-BL690)/BL690)</f>
        <v>0</v>
      </c>
      <c r="CC690" s="32" t="n">
        <f aca="false">IF(BM690=0,IF(BU690=0,0,1),(BU690-BM690)/BM690)</f>
        <v>0</v>
      </c>
      <c r="CD690" s="32" t="n">
        <f aca="false">IF(BN690=0,IF(BV690=0,0,1),(BV690-BN690)/BN690)</f>
        <v>0</v>
      </c>
      <c r="CE690" s="32" t="n">
        <f aca="false">IF(BO690=0,IF(BW690=0,0,1),(BW690-BO690)/BO690)</f>
        <v>0</v>
      </c>
      <c r="CF690" s="32" t="n">
        <f aca="false">IF(BP690=0,IF(BX690=0,0,1),(BX690-BP690)/BP690)</f>
        <v>0</v>
      </c>
      <c r="CG690" s="32" t="n">
        <f aca="false">IF(BQ690=0,IF(BY690=0,0,1),(BY690-BQ690)/BQ690)</f>
        <v>0</v>
      </c>
      <c r="CH690" s="32" t="n">
        <f aca="false">MAX(MAX(BZ690:CG690),-MIN(BZ690:CG690))</f>
        <v>-0</v>
      </c>
      <c r="CI690" s="31" t="n">
        <f aca="false">IF(CO690="","",SUMIFS($CJ$7:$CJ$696,$A$7:$A$696,CO690,$B$7:$B$696,B690))</f>
        <v>314969</v>
      </c>
      <c r="CJ690" s="31" t="n">
        <f aca="false">SUM(AY690:BI690)</f>
        <v>402133</v>
      </c>
      <c r="CK690" s="31" t="str">
        <f aca="false">IFERROR(INDEX(設定!$F$61:$F$106,MATCH(B690,設定!$B$61:$B$106,0)),"Y")</f>
        <v>Y</v>
      </c>
      <c r="CL690" s="31" t="str">
        <f aca="false">IFERROR(INDEX(設定!$G$61:$G$106,MATCH(B690,設定!$B$61:$B$106,0)),"外郭型")</f>
        <v>外郭型</v>
      </c>
      <c r="CM690" s="33" t="str">
        <f aca="false">A690&amp;"|"&amp;B690</f>
        <v>2027-03 月例|高速交通（株）</v>
      </c>
      <c r="CN690" s="34" t="str">
        <f aca="false">IFERROR(INDEX(設定!$D$61:$D$106,MATCH(B690,設定!$B$61:$B$106,0)),"Y")</f>
        <v>Y</v>
      </c>
      <c r="CO690" s="34" t="str">
        <f aca="false">IFERROR(INDEX(設定!$D$20:$D$34,MATCH(A690,設定!$A$20:$A$34,0))&amp;"","")</f>
        <v>2027-02 月例</v>
      </c>
    </row>
    <row r="691" customFormat="false" ht="15" hidden="true" customHeight="false" outlineLevel="0" collapsed="false">
      <c r="A691" s="22" t="s">
        <v>230</v>
      </c>
      <c r="B691" s="23" t="s">
        <v>209</v>
      </c>
      <c r="C691" s="10" t="str">
        <f aca="false">IF(G691="","未受領",IF(G691="なし","報告なし",IF(AL691="○","起票済",IF(OR(AK691="○",F691="一致",F691="入金不要"),"入金確認済","受領済"))))</f>
        <v>未受領</v>
      </c>
      <c r="D691" s="10" t="str">
        <f aca="false">IF(OR(G691="",G691="なし"),"―",IF(CN691="N","対象外",IF(AND(I691="",J691="",K691=""),"標報未入力",IF(CH691&gt;=設定!$B$4,"要確認","問題なし"))))</f>
        <v>―</v>
      </c>
      <c r="E691" s="24" t="str">
        <f aca="false">IF(OR(G691="",G691="なし",CI691="",CJ691=0),"―",IF(CJ691=CI691,"前月同額",IF(CI691=0,"―",IF(ABS(CJ691/CI691-1)&gt;=設定!$B$5,"変動大 "&amp;TEXT(CJ691/CI691-1,"+0%;-0%"),"〇"))))</f>
        <v>―</v>
      </c>
      <c r="F691" s="10" t="str">
        <f aca="false">IF(OR(G691="",G691="なし"),"―",IF(CJ691=0,"入金不要",IF(COUNT(AD691,AF691,AH691,AJ691)=0,IF(AK691="○","手動確認","未入金"),IF(AND(N(AD691)=AC691,IF(AE691="",TRUE(),N(AF691)=AE691),IF(AG691="",TRUE(),N(AH691)=AG691),IF(AI691="",TRUE(),N(AJ691)=AI691)),"一致","不一致"))))</f>
        <v>―</v>
      </c>
      <c r="G691" s="25"/>
      <c r="H691" s="26"/>
      <c r="I691" s="27"/>
      <c r="J691" s="27"/>
      <c r="K691" s="27"/>
      <c r="L691" s="27"/>
      <c r="M691" s="27"/>
      <c r="N691" s="27"/>
      <c r="O691" s="27"/>
      <c r="P691" s="27"/>
      <c r="Q691" s="27"/>
      <c r="R691" s="27"/>
      <c r="S691" s="27"/>
      <c r="T691" s="27"/>
      <c r="U691" s="27"/>
      <c r="V691" s="27"/>
      <c r="W691" s="27"/>
      <c r="X691" s="27"/>
      <c r="Y691" s="27"/>
      <c r="Z691" s="27"/>
      <c r="AA691" s="10" t="str">
        <f aca="false">IFERROR(INDEX(設定!$E$61:$E$106,MATCH(B691,設定!$B$61:$B$106,0)),"合算")</f>
        <v>合算</v>
      </c>
      <c r="AB691" s="28"/>
      <c r="AC691" s="29" t="str">
        <f aca="false">IF(OR(G691="",G691="なし"),"",IF(AA691="合算",CJ691+N(Z691),IF(AA691="掛金・負担金別",(AY691+AZ691+BD691+BF691+BH691),SUM(AY691:BC691))))</f>
        <v/>
      </c>
      <c r="AD691" s="27"/>
      <c r="AE691" s="29" t="str">
        <f aca="false">IF(OR(G691="",G691="なし"),"",IF(AA691="掛金・負担金別",(BA691+BB691+BC691+BE691+BG691+BI691+N(Z691)),IF(AA691="経理区分別",BD691+BE691,"")))</f>
        <v/>
      </c>
      <c r="AF691" s="27"/>
      <c r="AG691" s="29" t="str">
        <f aca="false">IF(OR(G691="",G691="なし"),"",IF(AA691="経理区分別",BF691+BG691,""))</f>
        <v/>
      </c>
      <c r="AH691" s="27"/>
      <c r="AI691" s="29" t="str">
        <f aca="false">IF(OR(G691="",G691="なし"),"",IF(AA691="経理区分別",BH691+BI691+N(Z691),""))</f>
        <v/>
      </c>
      <c r="AJ691" s="27"/>
      <c r="AK691" s="26"/>
      <c r="AL691" s="26"/>
      <c r="AM691" s="30"/>
      <c r="AN691" s="31" t="n">
        <v>53985</v>
      </c>
      <c r="AO691" s="31" t="n">
        <v>4425</v>
      </c>
      <c r="AP691" s="31" t="n">
        <v>53985</v>
      </c>
      <c r="AQ691" s="31" t="n">
        <v>4425</v>
      </c>
      <c r="AR691" s="31" t="n">
        <v>55</v>
      </c>
      <c r="AS691" s="31"/>
      <c r="AT691" s="31"/>
      <c r="AU691" s="31"/>
      <c r="AV691" s="31"/>
      <c r="AW691" s="31"/>
      <c r="AX691" s="31"/>
      <c r="AY691" s="31" t="n">
        <f aca="false">IF($G691="",AN691,O691)</f>
        <v>53985</v>
      </c>
      <c r="AZ691" s="31" t="n">
        <f aca="false">IF($G691="",AO691,P691)</f>
        <v>4425</v>
      </c>
      <c r="BA691" s="31" t="n">
        <f aca="false">IF($G691="",AP691,T691)</f>
        <v>53985</v>
      </c>
      <c r="BB691" s="31" t="n">
        <f aca="false">IF($G691="",AQ691,U691)</f>
        <v>4425</v>
      </c>
      <c r="BC691" s="31" t="n">
        <f aca="false">IF($G691="",AR691,V691)</f>
        <v>55</v>
      </c>
      <c r="BD691" s="31" t="n">
        <f aca="false">IF($G691="",AS691,Q691)</f>
        <v>0</v>
      </c>
      <c r="BE691" s="31" t="n">
        <f aca="false">IF($G691="",AT691,W691)</f>
        <v>0</v>
      </c>
      <c r="BF691" s="31" t="n">
        <f aca="false">IF($G691="",AU691,R691)</f>
        <v>0</v>
      </c>
      <c r="BG691" s="31" t="n">
        <f aca="false">IF($G691="",AV691,X691)</f>
        <v>0</v>
      </c>
      <c r="BH691" s="31" t="n">
        <f aca="false">IF($G691="",AW691,S691)</f>
        <v>0</v>
      </c>
      <c r="BI691" s="31" t="n">
        <f aca="false">IF($G691="",AX691,Y691)</f>
        <v>0</v>
      </c>
      <c r="BJ691" s="31" t="n">
        <f aca="false">IF(CK691="N",BR691,ROUNDDOWN((I691-L691)*設定!$B$10/1000,0)+ROUNDDOWN((I691-L691)*設定!$B$11/1000,0))</f>
        <v>0</v>
      </c>
      <c r="BK691" s="31" t="n">
        <f aca="false">ROUNDDOWN((I691-L691)*設定!$C$10/1000,0)+ROUNDDOWN((I691-L691)*設定!$C$11/1000,0)+ROUNDDOWN(I691*設定!$C$12/1000,0)+IF(CL691="市局型",ROUNDDOWN(I691*設定!$C$16/1000,0),0)</f>
        <v>0</v>
      </c>
      <c r="BL691" s="31" t="n">
        <f aca="false">IF(CK691="N",BT691,ROUNDDOWN((J691-M691)*設定!$B$13/1000,0))</f>
        <v>0</v>
      </c>
      <c r="BM691" s="31" t="n">
        <f aca="false">ROUNDDOWN((J691-M691)*設定!$C$13/1000,0)+IF(CL691="市局型",ROUNDDOWN(J691*設定!$C$17/1000,0),0)</f>
        <v>0</v>
      </c>
      <c r="BN691" s="31" t="n">
        <f aca="false">IF(CK691="N",BV691,ROUNDDOWN((K691-N691)*設定!$B$14/1000,0))</f>
        <v>0</v>
      </c>
      <c r="BO691" s="31" t="n">
        <f aca="false">ROUNDDOWN((K691-N691)*設定!$C$14/1000,0)</f>
        <v>0</v>
      </c>
      <c r="BP691" s="31" t="n">
        <f aca="false">IF(CK691="N",BX691,ROUNDDOWN((J691-M691)*設定!$B$15/1000,0))</f>
        <v>0</v>
      </c>
      <c r="BQ691" s="31" t="n">
        <f aca="false">ROUNDDOWN((J691-M691)*設定!$C$15/1000,0)</f>
        <v>0</v>
      </c>
      <c r="BR691" s="31" t="n">
        <f aca="false">O691+P691</f>
        <v>0</v>
      </c>
      <c r="BS691" s="31" t="n">
        <f aca="false">T691+U691+V691</f>
        <v>0</v>
      </c>
      <c r="BT691" s="31" t="n">
        <f aca="false">Q691</f>
        <v>0</v>
      </c>
      <c r="BU691" s="31" t="n">
        <f aca="false">W691</f>
        <v>0</v>
      </c>
      <c r="BV691" s="31" t="n">
        <f aca="false">R691</f>
        <v>0</v>
      </c>
      <c r="BW691" s="31" t="n">
        <f aca="false">X691</f>
        <v>0</v>
      </c>
      <c r="BX691" s="31" t="n">
        <f aca="false">S691</f>
        <v>0</v>
      </c>
      <c r="BY691" s="31" t="n">
        <f aca="false">Y691</f>
        <v>0</v>
      </c>
      <c r="BZ691" s="32" t="n">
        <f aca="false">IF(BJ691=0,IF(BR691=0,0,1),(BR691-BJ691)/BJ691)</f>
        <v>0</v>
      </c>
      <c r="CA691" s="32" t="n">
        <f aca="false">IF(BK691=0,IF(BS691=0,0,1),(BS691-BK691)/BK691)</f>
        <v>0</v>
      </c>
      <c r="CB691" s="32" t="n">
        <f aca="false">IF(BL691=0,IF(BT691=0,0,1),(BT691-BL691)/BL691)</f>
        <v>0</v>
      </c>
      <c r="CC691" s="32" t="n">
        <f aca="false">IF(BM691=0,IF(BU691=0,0,1),(BU691-BM691)/BM691)</f>
        <v>0</v>
      </c>
      <c r="CD691" s="32" t="n">
        <f aca="false">IF(BN691=0,IF(BV691=0,0,1),(BV691-BN691)/BN691)</f>
        <v>0</v>
      </c>
      <c r="CE691" s="32" t="n">
        <f aca="false">IF(BO691=0,IF(BW691=0,0,1),(BW691-BO691)/BO691)</f>
        <v>0</v>
      </c>
      <c r="CF691" s="32" t="n">
        <f aca="false">IF(BP691=0,IF(BX691=0,0,1),(BX691-BP691)/BP691)</f>
        <v>0</v>
      </c>
      <c r="CG691" s="32" t="n">
        <f aca="false">IF(BQ691=0,IF(BY691=0,0,1),(BY691-BQ691)/BQ691)</f>
        <v>0</v>
      </c>
      <c r="CH691" s="32" t="n">
        <f aca="false">MAX(MAX(BZ691:CG691),-MIN(BZ691:CG691))</f>
        <v>-0</v>
      </c>
      <c r="CI691" s="31" t="n">
        <f aca="false">IF(CO691="","",SUMIFS($CJ$7:$CJ$696,$A$7:$A$696,CO691,$B$7:$B$696,B691))</f>
        <v>116875</v>
      </c>
      <c r="CJ691" s="31" t="n">
        <f aca="false">SUM(AY691:BI691)</f>
        <v>116875</v>
      </c>
      <c r="CK691" s="31" t="str">
        <f aca="false">IFERROR(INDEX(設定!$F$61:$F$106,MATCH(B691,設定!$B$61:$B$106,0)),"Y")</f>
        <v>Y</v>
      </c>
      <c r="CL691" s="31" t="str">
        <f aca="false">IFERROR(INDEX(設定!$G$61:$G$106,MATCH(B691,設定!$B$61:$B$106,0)),"外郭型")</f>
        <v>外郭型</v>
      </c>
      <c r="CM691" s="33" t="str">
        <f aca="false">A691&amp;"|"&amp;B691</f>
        <v>2027-03 月例|広島駅南口開発（株）</v>
      </c>
      <c r="CN691" s="34" t="str">
        <f aca="false">IFERROR(INDEX(設定!$D$61:$D$106,MATCH(B691,設定!$B$61:$B$106,0)),"Y")</f>
        <v>Y</v>
      </c>
      <c r="CO691" s="34" t="str">
        <f aca="false">IFERROR(INDEX(設定!$D$20:$D$34,MATCH(A691,設定!$A$20:$A$34,0))&amp;"","")</f>
        <v>2027-02 月例</v>
      </c>
    </row>
    <row r="692" customFormat="false" ht="15" hidden="true" customHeight="false" outlineLevel="0" collapsed="false">
      <c r="A692" s="22" t="s">
        <v>230</v>
      </c>
      <c r="B692" s="23" t="s">
        <v>210</v>
      </c>
      <c r="C692" s="10" t="str">
        <f aca="false">IF(G692="","未受領",IF(G692="なし","報告なし",IF(AL692="○","起票済",IF(OR(AK692="○",F692="一致",F692="入金不要"),"入金確認済","受領済"))))</f>
        <v>未受領</v>
      </c>
      <c r="D692" s="10" t="str">
        <f aca="false">IF(OR(G692="",G692="なし"),"―",IF(CN692="N","対象外",IF(AND(I692="",J692="",K692=""),"標報未入力",IF(CH692&gt;=設定!$B$4,"要確認","問題なし"))))</f>
        <v>―</v>
      </c>
      <c r="E692" s="24" t="str">
        <f aca="false">IF(OR(G692="",G692="なし",CI692="",CJ692=0),"―",IF(CJ692=CI692,"前月同額",IF(CI692=0,"―",IF(ABS(CJ692/CI692-1)&gt;=設定!$B$5,"変動大 "&amp;TEXT(CJ692/CI692-1,"+0%;-0%"),"〇"))))</f>
        <v>―</v>
      </c>
      <c r="F692" s="10" t="str">
        <f aca="false">IF(OR(G692="",G692="なし"),"―",IF(CJ692=0,"入金不要",IF(COUNT(AD692,AF692,AH692,AJ692)=0,IF(AK692="○","手動確認","未入金"),IF(AND(N(AD692)=AC692,IF(AE692="",TRUE(),N(AF692)=AE692),IF(AG692="",TRUE(),N(AH692)=AG692),IF(AI692="",TRUE(),N(AJ692)=AI692)),"一致","不一致"))))</f>
        <v>―</v>
      </c>
      <c r="G692" s="25"/>
      <c r="H692" s="26"/>
      <c r="I692" s="27"/>
      <c r="J692" s="27"/>
      <c r="K692" s="27"/>
      <c r="L692" s="27"/>
      <c r="M692" s="27"/>
      <c r="N692" s="27"/>
      <c r="O692" s="27"/>
      <c r="P692" s="27"/>
      <c r="Q692" s="27"/>
      <c r="R692" s="27"/>
      <c r="S692" s="27"/>
      <c r="T692" s="27"/>
      <c r="U692" s="27"/>
      <c r="V692" s="27"/>
      <c r="W692" s="27"/>
      <c r="X692" s="27"/>
      <c r="Y692" s="27"/>
      <c r="Z692" s="27"/>
      <c r="AA692" s="10" t="str">
        <f aca="false">IFERROR(INDEX(設定!$E$61:$E$106,MATCH(B692,設定!$B$61:$B$106,0)),"合算")</f>
        <v>合算</v>
      </c>
      <c r="AB692" s="28"/>
      <c r="AC692" s="29" t="str">
        <f aca="false">IF(OR(G692="",G692="なし"),"",IF(AA692="合算",CJ692+N(Z692),IF(AA692="掛金・負担金別",(AY692+AZ692+BD692+BF692+BH692),SUM(AY692:BC692))))</f>
        <v/>
      </c>
      <c r="AD692" s="27"/>
      <c r="AE692" s="29" t="str">
        <f aca="false">IF(OR(G692="",G692="なし"),"",IF(AA692="掛金・負担金別",(BA692+BB692+BC692+BE692+BG692+BI692+N(Z692)),IF(AA692="経理区分別",BD692+BE692,"")))</f>
        <v/>
      </c>
      <c r="AF692" s="27"/>
      <c r="AG692" s="29" t="str">
        <f aca="false">IF(OR(G692="",G692="なし"),"",IF(AA692="経理区分別",BF692+BG692,""))</f>
        <v/>
      </c>
      <c r="AH692" s="27"/>
      <c r="AI692" s="29" t="str">
        <f aca="false">IF(OR(G692="",G692="なし"),"",IF(AA692="経理区分別",BH692+BI692+N(Z692),""))</f>
        <v/>
      </c>
      <c r="AJ692" s="27"/>
      <c r="AK692" s="26"/>
      <c r="AL692" s="26"/>
      <c r="AM692" s="30"/>
      <c r="AN692" s="31" t="n">
        <v>29280</v>
      </c>
      <c r="AO692" s="31" t="n">
        <v>2400</v>
      </c>
      <c r="AP692" s="31" t="n">
        <v>29280</v>
      </c>
      <c r="AQ692" s="31" t="n">
        <v>2400</v>
      </c>
      <c r="AR692" s="31"/>
      <c r="AS692" s="31" t="n">
        <v>17603</v>
      </c>
      <c r="AT692" s="31" t="n">
        <v>17635</v>
      </c>
      <c r="AU692" s="31" t="n">
        <v>2528</v>
      </c>
      <c r="AV692" s="31" t="n">
        <v>2528</v>
      </c>
      <c r="AW692" s="31" t="n">
        <v>1</v>
      </c>
      <c r="AX692" s="31" t="n">
        <v>1</v>
      </c>
      <c r="AY692" s="31" t="n">
        <f aca="false">IF($G692="",AN692,O692)</f>
        <v>29280</v>
      </c>
      <c r="AZ692" s="31" t="n">
        <f aca="false">IF($G692="",AO692,P692)</f>
        <v>2400</v>
      </c>
      <c r="BA692" s="31" t="n">
        <f aca="false">IF($G692="",AP692,T692)</f>
        <v>29280</v>
      </c>
      <c r="BB692" s="31" t="n">
        <f aca="false">IF($G692="",AQ692,U692)</f>
        <v>2400</v>
      </c>
      <c r="BC692" s="31" t="n">
        <f aca="false">IF($G692="",AR692,V692)</f>
        <v>0</v>
      </c>
      <c r="BD692" s="31" t="n">
        <f aca="false">IF($G692="",AS692,Q692)</f>
        <v>17603</v>
      </c>
      <c r="BE692" s="31" t="n">
        <f aca="false">IF($G692="",AT692,W692)</f>
        <v>17635</v>
      </c>
      <c r="BF692" s="31" t="n">
        <f aca="false">IF($G692="",AU692,R692)</f>
        <v>2528</v>
      </c>
      <c r="BG692" s="31" t="n">
        <f aca="false">IF($G692="",AV692,X692)</f>
        <v>2528</v>
      </c>
      <c r="BH692" s="31" t="n">
        <f aca="false">IF($G692="",AW692,S692)</f>
        <v>1</v>
      </c>
      <c r="BI692" s="31" t="n">
        <f aca="false">IF($G692="",AX692,Y692)</f>
        <v>1</v>
      </c>
      <c r="BJ692" s="31" t="n">
        <f aca="false">IF(CK692="N",BR692,ROUNDDOWN((I692-L692)*設定!$B$10/1000,0)+ROUNDDOWN((I692-L692)*設定!$B$11/1000,0))</f>
        <v>0</v>
      </c>
      <c r="BK692" s="31" t="n">
        <f aca="false">ROUNDDOWN((I692-L692)*設定!$C$10/1000,0)+ROUNDDOWN((I692-L692)*設定!$C$11/1000,0)+ROUNDDOWN(I692*設定!$C$12/1000,0)+IF(CL692="市局型",ROUNDDOWN(I692*設定!$C$16/1000,0),0)</f>
        <v>0</v>
      </c>
      <c r="BL692" s="31" t="n">
        <f aca="false">IF(CK692="N",BT692,ROUNDDOWN((J692-M692)*設定!$B$13/1000,0))</f>
        <v>0</v>
      </c>
      <c r="BM692" s="31" t="n">
        <f aca="false">ROUNDDOWN((J692-M692)*設定!$C$13/1000,0)+IF(CL692="市局型",ROUNDDOWN(J692*設定!$C$17/1000,0),0)</f>
        <v>0</v>
      </c>
      <c r="BN692" s="31" t="n">
        <f aca="false">IF(CK692="N",BV692,ROUNDDOWN((K692-N692)*設定!$B$14/1000,0))</f>
        <v>0</v>
      </c>
      <c r="BO692" s="31" t="n">
        <f aca="false">ROUNDDOWN((K692-N692)*設定!$C$14/1000,0)</f>
        <v>0</v>
      </c>
      <c r="BP692" s="31" t="n">
        <f aca="false">IF(CK692="N",BX692,ROUNDDOWN((J692-M692)*設定!$B$15/1000,0))</f>
        <v>0</v>
      </c>
      <c r="BQ692" s="31" t="n">
        <f aca="false">ROUNDDOWN((J692-M692)*設定!$C$15/1000,0)</f>
        <v>0</v>
      </c>
      <c r="BR692" s="31" t="n">
        <f aca="false">O692+P692</f>
        <v>0</v>
      </c>
      <c r="BS692" s="31" t="n">
        <f aca="false">T692+U692+V692</f>
        <v>0</v>
      </c>
      <c r="BT692" s="31" t="n">
        <f aca="false">Q692</f>
        <v>0</v>
      </c>
      <c r="BU692" s="31" t="n">
        <f aca="false">W692</f>
        <v>0</v>
      </c>
      <c r="BV692" s="31" t="n">
        <f aca="false">R692</f>
        <v>0</v>
      </c>
      <c r="BW692" s="31" t="n">
        <f aca="false">X692</f>
        <v>0</v>
      </c>
      <c r="BX692" s="31" t="n">
        <f aca="false">S692</f>
        <v>0</v>
      </c>
      <c r="BY692" s="31" t="n">
        <f aca="false">Y692</f>
        <v>0</v>
      </c>
      <c r="BZ692" s="32" t="n">
        <f aca="false">IF(BJ692=0,IF(BR692=0,0,1),(BR692-BJ692)/BJ692)</f>
        <v>0</v>
      </c>
      <c r="CA692" s="32" t="n">
        <f aca="false">IF(BK692=0,IF(BS692=0,0,1),(BS692-BK692)/BK692)</f>
        <v>0</v>
      </c>
      <c r="CB692" s="32" t="n">
        <f aca="false">IF(BL692=0,IF(BT692=0,0,1),(BT692-BL692)/BL692)</f>
        <v>0</v>
      </c>
      <c r="CC692" s="32" t="n">
        <f aca="false">IF(BM692=0,IF(BU692=0,0,1),(BU692-BM692)/BM692)</f>
        <v>0</v>
      </c>
      <c r="CD692" s="32" t="n">
        <f aca="false">IF(BN692=0,IF(BV692=0,0,1),(BV692-BN692)/BN692)</f>
        <v>0</v>
      </c>
      <c r="CE692" s="32" t="n">
        <f aca="false">IF(BO692=0,IF(BW692=0,0,1),(BW692-BO692)/BO692)</f>
        <v>0</v>
      </c>
      <c r="CF692" s="32" t="n">
        <f aca="false">IF(BP692=0,IF(BX692=0,0,1),(BX692-BP692)/BP692)</f>
        <v>0</v>
      </c>
      <c r="CG692" s="32" t="n">
        <f aca="false">IF(BQ692=0,IF(BY692=0,0,1),(BY692-BQ692)/BQ692)</f>
        <v>0</v>
      </c>
      <c r="CH692" s="32" t="n">
        <f aca="false">MAX(MAX(BZ692:CG692),-MIN(BZ692:CG692))</f>
        <v>-0</v>
      </c>
      <c r="CI692" s="31" t="n">
        <f aca="false">IF(CO692="","",SUMIFS($CJ$7:$CJ$696,$A$7:$A$696,CO692,$B$7:$B$696,B692))</f>
        <v>103656</v>
      </c>
      <c r="CJ692" s="31" t="n">
        <f aca="false">SUM(AY692:BI692)</f>
        <v>103656</v>
      </c>
      <c r="CK692" s="31" t="str">
        <f aca="false">IFERROR(INDEX(設定!$F$61:$F$106,MATCH(B692,設定!$B$61:$B$106,0)),"Y")</f>
        <v>Y</v>
      </c>
      <c r="CL692" s="31" t="str">
        <f aca="false">IFERROR(INDEX(設定!$G$61:$G$106,MATCH(B692,設定!$B$61:$B$106,0)),"外郭型")</f>
        <v>外郭型</v>
      </c>
      <c r="CM692" s="33" t="str">
        <f aca="false">A692&amp;"|"&amp;B692</f>
        <v>2027-03 月例|市職員労働組合</v>
      </c>
      <c r="CN692" s="34" t="str">
        <f aca="false">IFERROR(INDEX(設定!$D$61:$D$106,MATCH(B692,設定!$B$61:$B$106,0)),"Y")</f>
        <v>Y</v>
      </c>
      <c r="CO692" s="34" t="str">
        <f aca="false">IFERROR(INDEX(設定!$D$20:$D$34,MATCH(A692,設定!$A$20:$A$34,0))&amp;"","")</f>
        <v>2027-02 月例</v>
      </c>
    </row>
    <row r="693" customFormat="false" ht="15" hidden="true" customHeight="false" outlineLevel="0" collapsed="false">
      <c r="A693" s="22" t="s">
        <v>230</v>
      </c>
      <c r="B693" s="23" t="s">
        <v>211</v>
      </c>
      <c r="C693" s="10" t="str">
        <f aca="false">IF(G693="","未受領",IF(G693="なし","報告なし",IF(AL693="○","起票済",IF(OR(AK693="○",F693="一致",F693="入金不要"),"入金確認済","受領済"))))</f>
        <v>報告なし</v>
      </c>
      <c r="D693" s="10" t="str">
        <f aca="false">IF(OR(G693="",G693="なし"),"―",IF(CN693="N","対象外",IF(AND(I693="",J693="",K693=""),"標報未入力",IF(CH693&gt;=設定!$B$4,"要確認","問題なし"))))</f>
        <v>―</v>
      </c>
      <c r="E693" s="24" t="str">
        <f aca="false">IF(OR(G693="",G693="なし",CI693="",CJ693=0),"―",IF(CJ693=CI693,"前月同額",IF(CI693=0,"―",IF(ABS(CJ693/CI693-1)&gt;=設定!$B$5,"変動大 "&amp;TEXT(CJ693/CI693-1,"+0%;-0%"),"〇"))))</f>
        <v>―</v>
      </c>
      <c r="F693" s="10" t="str">
        <f aca="false">IF(OR(G693="",G693="なし"),"―",IF(CJ693=0,"入金不要",IF(COUNT(AD693,AF693,AH693,AJ693)=0,IF(AK693="○","手動確認","未入金"),IF(AND(N(AD693)=AC693,IF(AE693="",TRUE(),N(AF693)=AE693),IF(AG693="",TRUE(),N(AH693)=AG693),IF(AI693="",TRUE(),N(AJ693)=AI693)),"一致","不一致"))))</f>
        <v>―</v>
      </c>
      <c r="G693" s="25" t="s">
        <v>181</v>
      </c>
      <c r="H693" s="26"/>
      <c r="I693" s="27"/>
      <c r="J693" s="27"/>
      <c r="K693" s="27"/>
      <c r="L693" s="27"/>
      <c r="M693" s="27"/>
      <c r="N693" s="27"/>
      <c r="O693" s="27"/>
      <c r="P693" s="27"/>
      <c r="Q693" s="27"/>
      <c r="R693" s="27"/>
      <c r="S693" s="27"/>
      <c r="T693" s="27"/>
      <c r="U693" s="27"/>
      <c r="V693" s="27"/>
      <c r="W693" s="27"/>
      <c r="X693" s="27"/>
      <c r="Y693" s="27"/>
      <c r="Z693" s="27"/>
      <c r="AA693" s="10" t="str">
        <f aca="false">IFERROR(INDEX(設定!$E$61:$E$106,MATCH(B693,設定!$B$61:$B$106,0)),"合算")</f>
        <v>合算</v>
      </c>
      <c r="AB693" s="28"/>
      <c r="AC693" s="29" t="str">
        <f aca="false">IF(OR(G693="",G693="なし"),"",IF(AA693="合算",CJ693+N(Z693),IF(AA693="掛金・負担金別",(AY693+AZ693+BD693+BF693+BH693),SUM(AY693:BC693))))</f>
        <v/>
      </c>
      <c r="AD693" s="27"/>
      <c r="AE693" s="29" t="str">
        <f aca="false">IF(OR(G693="",G693="なし"),"",IF(AA693="掛金・負担金別",(BA693+BB693+BC693+BE693+BG693+BI693+N(Z693)),IF(AA693="経理区分別",BD693+BE693,"")))</f>
        <v/>
      </c>
      <c r="AF693" s="27"/>
      <c r="AG693" s="29" t="str">
        <f aca="false">IF(OR(G693="",G693="なし"),"",IF(AA693="経理区分別",BF693+BG693,""))</f>
        <v/>
      </c>
      <c r="AH693" s="27"/>
      <c r="AI693" s="29" t="str">
        <f aca="false">IF(OR(G693="",G693="なし"),"",IF(AA693="経理区分別",BH693+BI693+N(Z693),""))</f>
        <v/>
      </c>
      <c r="AJ693" s="27"/>
      <c r="AK693" s="26"/>
      <c r="AL693" s="26"/>
      <c r="AM693" s="30"/>
      <c r="AN693" s="31"/>
      <c r="AO693" s="31"/>
      <c r="AP693" s="31"/>
      <c r="AQ693" s="31"/>
      <c r="AR693" s="31"/>
      <c r="AS693" s="31"/>
      <c r="AT693" s="31"/>
      <c r="AU693" s="31"/>
      <c r="AV693" s="31"/>
      <c r="AW693" s="31"/>
      <c r="AX693" s="31"/>
      <c r="AY693" s="31" t="n">
        <f aca="false">IF($G693="",AN693,O693)</f>
        <v>0</v>
      </c>
      <c r="AZ693" s="31" t="n">
        <f aca="false">IF($G693="",AO693,P693)</f>
        <v>0</v>
      </c>
      <c r="BA693" s="31" t="n">
        <f aca="false">IF($G693="",AP693,T693)</f>
        <v>0</v>
      </c>
      <c r="BB693" s="31" t="n">
        <f aca="false">IF($G693="",AQ693,U693)</f>
        <v>0</v>
      </c>
      <c r="BC693" s="31" t="n">
        <f aca="false">IF($G693="",AR693,V693)</f>
        <v>0</v>
      </c>
      <c r="BD693" s="31" t="n">
        <f aca="false">IF($G693="",AS693,Q693)</f>
        <v>0</v>
      </c>
      <c r="BE693" s="31" t="n">
        <f aca="false">IF($G693="",AT693,W693)</f>
        <v>0</v>
      </c>
      <c r="BF693" s="31" t="n">
        <f aca="false">IF($G693="",AU693,R693)</f>
        <v>0</v>
      </c>
      <c r="BG693" s="31" t="n">
        <f aca="false">IF($G693="",AV693,X693)</f>
        <v>0</v>
      </c>
      <c r="BH693" s="31" t="n">
        <f aca="false">IF($G693="",AW693,S693)</f>
        <v>0</v>
      </c>
      <c r="BI693" s="31" t="n">
        <f aca="false">IF($G693="",AX693,Y693)</f>
        <v>0</v>
      </c>
      <c r="BJ693" s="31" t="n">
        <f aca="false">IF(CK693="N",BR693,ROUNDDOWN((I693-L693)*設定!$B$10/1000,0)+ROUNDDOWN((I693-L693)*設定!$B$11/1000,0))</f>
        <v>0</v>
      </c>
      <c r="BK693" s="31" t="n">
        <f aca="false">ROUNDDOWN((I693-L693)*設定!$C$10/1000,0)+ROUNDDOWN((I693-L693)*設定!$C$11/1000,0)+ROUNDDOWN(I693*設定!$C$12/1000,0)+IF(CL693="市局型",ROUNDDOWN(I693*設定!$C$16/1000,0),0)</f>
        <v>0</v>
      </c>
      <c r="BL693" s="31" t="n">
        <f aca="false">IF(CK693="N",BT693,ROUNDDOWN((J693-M693)*設定!$B$13/1000,0))</f>
        <v>0</v>
      </c>
      <c r="BM693" s="31" t="n">
        <f aca="false">ROUNDDOWN((J693-M693)*設定!$C$13/1000,0)+IF(CL693="市局型",ROUNDDOWN(J693*設定!$C$17/1000,0),0)</f>
        <v>0</v>
      </c>
      <c r="BN693" s="31" t="n">
        <f aca="false">IF(CK693="N",BV693,ROUNDDOWN((K693-N693)*設定!$B$14/1000,0))</f>
        <v>0</v>
      </c>
      <c r="BO693" s="31" t="n">
        <f aca="false">ROUNDDOWN((K693-N693)*設定!$C$14/1000,0)</f>
        <v>0</v>
      </c>
      <c r="BP693" s="31" t="n">
        <f aca="false">IF(CK693="N",BX693,ROUNDDOWN((J693-M693)*設定!$B$15/1000,0))</f>
        <v>0</v>
      </c>
      <c r="BQ693" s="31" t="n">
        <f aca="false">ROUNDDOWN((J693-M693)*設定!$C$15/1000,0)</f>
        <v>0</v>
      </c>
      <c r="BR693" s="31" t="n">
        <f aca="false">O693+P693</f>
        <v>0</v>
      </c>
      <c r="BS693" s="31" t="n">
        <f aca="false">T693+U693+V693</f>
        <v>0</v>
      </c>
      <c r="BT693" s="31" t="n">
        <f aca="false">Q693</f>
        <v>0</v>
      </c>
      <c r="BU693" s="31" t="n">
        <f aca="false">W693</f>
        <v>0</v>
      </c>
      <c r="BV693" s="31" t="n">
        <f aca="false">R693</f>
        <v>0</v>
      </c>
      <c r="BW693" s="31" t="n">
        <f aca="false">X693</f>
        <v>0</v>
      </c>
      <c r="BX693" s="31" t="n">
        <f aca="false">S693</f>
        <v>0</v>
      </c>
      <c r="BY693" s="31" t="n">
        <f aca="false">Y693</f>
        <v>0</v>
      </c>
      <c r="BZ693" s="32" t="n">
        <f aca="false">IF(BJ693=0,IF(BR693=0,0,1),(BR693-BJ693)/BJ693)</f>
        <v>0</v>
      </c>
      <c r="CA693" s="32" t="n">
        <f aca="false">IF(BK693=0,IF(BS693=0,0,1),(BS693-BK693)/BK693)</f>
        <v>0</v>
      </c>
      <c r="CB693" s="32" t="n">
        <f aca="false">IF(BL693=0,IF(BT693=0,0,1),(BT693-BL693)/BL693)</f>
        <v>0</v>
      </c>
      <c r="CC693" s="32" t="n">
        <f aca="false">IF(BM693=0,IF(BU693=0,0,1),(BU693-BM693)/BM693)</f>
        <v>0</v>
      </c>
      <c r="CD693" s="32" t="n">
        <f aca="false">IF(BN693=0,IF(BV693=0,0,1),(BV693-BN693)/BN693)</f>
        <v>0</v>
      </c>
      <c r="CE693" s="32" t="n">
        <f aca="false">IF(BO693=0,IF(BW693=0,0,1),(BW693-BO693)/BO693)</f>
        <v>0</v>
      </c>
      <c r="CF693" s="32" t="n">
        <f aca="false">IF(BP693=0,IF(BX693=0,0,1),(BX693-BP693)/BP693)</f>
        <v>0</v>
      </c>
      <c r="CG693" s="32" t="n">
        <f aca="false">IF(BQ693=0,IF(BY693=0,0,1),(BY693-BQ693)/BQ693)</f>
        <v>0</v>
      </c>
      <c r="CH693" s="32" t="n">
        <f aca="false">MAX(MAX(BZ693:CG693),-MIN(BZ693:CG693))</f>
        <v>-0</v>
      </c>
      <c r="CI693" s="31" t="n">
        <f aca="false">IF(CO693="","",SUMIFS($CJ$7:$CJ$696,$A$7:$A$696,CO693,$B$7:$B$696,B693))</f>
        <v>0</v>
      </c>
      <c r="CJ693" s="31" t="n">
        <f aca="false">SUM(AY693:BI693)</f>
        <v>0</v>
      </c>
      <c r="CK693" s="31" t="str">
        <f aca="false">IFERROR(INDEX(設定!$F$61:$F$106,MATCH(B693,設定!$B$61:$B$106,0)),"Y")</f>
        <v>N</v>
      </c>
      <c r="CL693" s="31" t="str">
        <f aca="false">IFERROR(INDEX(設定!$G$61:$G$106,MATCH(B693,設定!$B$61:$B$106,0)),"外郭型")</f>
        <v>外郭型</v>
      </c>
      <c r="CM693" s="33" t="str">
        <f aca="false">A693&amp;"|"&amp;B693</f>
        <v>2027-03 月例|自治労労働組合</v>
      </c>
      <c r="CN693" s="34" t="str">
        <f aca="false">IFERROR(INDEX(設定!$D$61:$D$106,MATCH(B693,設定!$B$61:$B$106,0)),"Y")</f>
        <v>Y</v>
      </c>
      <c r="CO693" s="34" t="str">
        <f aca="false">IFERROR(INDEX(設定!$D$20:$D$34,MATCH(A693,設定!$A$20:$A$34,0))&amp;"","")</f>
        <v>2027-02 月例</v>
      </c>
    </row>
    <row r="694" customFormat="false" ht="15" hidden="true" customHeight="false" outlineLevel="0" collapsed="false">
      <c r="A694" s="22" t="s">
        <v>230</v>
      </c>
      <c r="B694" s="23" t="s">
        <v>212</v>
      </c>
      <c r="C694" s="10" t="str">
        <f aca="false">IF(G694="","未受領",IF(G694="なし","報告なし",IF(AL694="○","起票済",IF(OR(AK694="○",F694="一致",F694="入金不要"),"入金確認済","受領済"))))</f>
        <v>未受領</v>
      </c>
      <c r="D694" s="10" t="str">
        <f aca="false">IF(OR(G694="",G694="なし"),"―",IF(CN694="N","対象外",IF(AND(I694="",J694="",K694=""),"標報未入力",IF(CH694&gt;=設定!$B$4,"要確認","問題なし"))))</f>
        <v>―</v>
      </c>
      <c r="E694" s="24" t="str">
        <f aca="false">IF(OR(G694="",G694="なし",CI694="",CJ694=0),"―",IF(CJ694=CI694,"前月同額",IF(CI694=0,"―",IF(ABS(CJ694/CI694-1)&gt;=設定!$B$5,"変動大 "&amp;TEXT(CJ694/CI694-1,"+0%;-0%"),"〇"))))</f>
        <v>―</v>
      </c>
      <c r="F694" s="10" t="str">
        <f aca="false">IF(OR(G694="",G694="なし"),"―",IF(CJ694=0,"入金不要",IF(COUNT(AD694,AF694,AH694,AJ694)=0,IF(AK694="○","手動確認","未入金"),IF(AND(N(AD694)=AC694,IF(AE694="",TRUE(),N(AF694)=AE694),IF(AG694="",TRUE(),N(AH694)=AG694),IF(AI694="",TRUE(),N(AJ694)=AI694)),"一致","不一致"))))</f>
        <v>―</v>
      </c>
      <c r="G694" s="25"/>
      <c r="H694" s="26"/>
      <c r="I694" s="27"/>
      <c r="J694" s="27"/>
      <c r="K694" s="27"/>
      <c r="L694" s="27"/>
      <c r="M694" s="27"/>
      <c r="N694" s="27"/>
      <c r="O694" s="27"/>
      <c r="P694" s="27"/>
      <c r="Q694" s="27"/>
      <c r="R694" s="27"/>
      <c r="S694" s="27"/>
      <c r="T694" s="27"/>
      <c r="U694" s="27"/>
      <c r="V694" s="27"/>
      <c r="W694" s="27"/>
      <c r="X694" s="27"/>
      <c r="Y694" s="27"/>
      <c r="Z694" s="27"/>
      <c r="AA694" s="10" t="str">
        <f aca="false">IFERROR(INDEX(設定!$E$61:$E$106,MATCH(B694,設定!$B$61:$B$106,0)),"合算")</f>
        <v>合算</v>
      </c>
      <c r="AB694" s="28"/>
      <c r="AC694" s="29" t="str">
        <f aca="false">IF(OR(G694="",G694="なし"),"",IF(AA694="合算",CJ694+N(Z694),IF(AA694="掛金・負担金別",(AY694+AZ694+BD694+BF694+BH694),SUM(AY694:BC694))))</f>
        <v/>
      </c>
      <c r="AD694" s="27"/>
      <c r="AE694" s="29" t="str">
        <f aca="false">IF(OR(G694="",G694="なし"),"",IF(AA694="掛金・負担金別",(BA694+BB694+BC694+BE694+BG694+BI694+N(Z694)),IF(AA694="経理区分別",BD694+BE694,"")))</f>
        <v/>
      </c>
      <c r="AF694" s="27"/>
      <c r="AG694" s="29" t="str">
        <f aca="false">IF(OR(G694="",G694="なし"),"",IF(AA694="経理区分別",BF694+BG694,""))</f>
        <v/>
      </c>
      <c r="AH694" s="27"/>
      <c r="AI694" s="29" t="str">
        <f aca="false">IF(OR(G694="",G694="なし"),"",IF(AA694="経理区分別",BH694+BI694+N(Z694),""))</f>
        <v/>
      </c>
      <c r="AJ694" s="27"/>
      <c r="AK694" s="26"/>
      <c r="AL694" s="26"/>
      <c r="AM694" s="30"/>
      <c r="AN694" s="31" t="n">
        <v>27450</v>
      </c>
      <c r="AO694" s="31" t="n">
        <v>2250</v>
      </c>
      <c r="AP694" s="31" t="n">
        <v>27450</v>
      </c>
      <c r="AQ694" s="31" t="n">
        <v>2250</v>
      </c>
      <c r="AR694" s="31"/>
      <c r="AS694" s="31" t="n">
        <v>33006</v>
      </c>
      <c r="AT694" s="31" t="n">
        <v>33066</v>
      </c>
      <c r="AU694" s="31" t="n">
        <v>2370</v>
      </c>
      <c r="AV694" s="31" t="n">
        <v>2370</v>
      </c>
      <c r="AW694" s="31" t="n">
        <v>1</v>
      </c>
      <c r="AX694" s="31" t="n">
        <v>1</v>
      </c>
      <c r="AY694" s="31" t="n">
        <f aca="false">IF($G694="",AN694,O694)</f>
        <v>27450</v>
      </c>
      <c r="AZ694" s="31" t="n">
        <f aca="false">IF($G694="",AO694,P694)</f>
        <v>2250</v>
      </c>
      <c r="BA694" s="31" t="n">
        <f aca="false">IF($G694="",AP694,T694)</f>
        <v>27450</v>
      </c>
      <c r="BB694" s="31" t="n">
        <f aca="false">IF($G694="",AQ694,U694)</f>
        <v>2250</v>
      </c>
      <c r="BC694" s="31" t="n">
        <f aca="false">IF($G694="",AR694,V694)</f>
        <v>0</v>
      </c>
      <c r="BD694" s="31" t="n">
        <f aca="false">IF($G694="",AS694,Q694)</f>
        <v>33006</v>
      </c>
      <c r="BE694" s="31" t="n">
        <f aca="false">IF($G694="",AT694,W694)</f>
        <v>33066</v>
      </c>
      <c r="BF694" s="31" t="n">
        <f aca="false">IF($G694="",AU694,R694)</f>
        <v>2370</v>
      </c>
      <c r="BG694" s="31" t="n">
        <f aca="false">IF($G694="",AV694,X694)</f>
        <v>2370</v>
      </c>
      <c r="BH694" s="31" t="n">
        <f aca="false">IF($G694="",AW694,S694)</f>
        <v>1</v>
      </c>
      <c r="BI694" s="31" t="n">
        <f aca="false">IF($G694="",AX694,Y694)</f>
        <v>1</v>
      </c>
      <c r="BJ694" s="31" t="n">
        <f aca="false">IF(CK694="N",BR694,ROUNDDOWN((I694-L694)*設定!$B$10/1000,0)+ROUNDDOWN((I694-L694)*設定!$B$11/1000,0))</f>
        <v>0</v>
      </c>
      <c r="BK694" s="31" t="n">
        <f aca="false">ROUNDDOWN((I694-L694)*設定!$C$10/1000,0)+ROUNDDOWN((I694-L694)*設定!$C$11/1000,0)+ROUNDDOWN(I694*設定!$C$12/1000,0)+IF(CL694="市局型",ROUNDDOWN(I694*設定!$C$16/1000,0),0)</f>
        <v>0</v>
      </c>
      <c r="BL694" s="31" t="n">
        <f aca="false">IF(CK694="N",BT694,ROUNDDOWN((J694-M694)*設定!$B$13/1000,0))</f>
        <v>0</v>
      </c>
      <c r="BM694" s="31" t="n">
        <f aca="false">ROUNDDOWN((J694-M694)*設定!$C$13/1000,0)+IF(CL694="市局型",ROUNDDOWN(J694*設定!$C$17/1000,0),0)</f>
        <v>0</v>
      </c>
      <c r="BN694" s="31" t="n">
        <f aca="false">IF(CK694="N",BV694,ROUNDDOWN((K694-N694)*設定!$B$14/1000,0))</f>
        <v>0</v>
      </c>
      <c r="BO694" s="31" t="n">
        <f aca="false">ROUNDDOWN((K694-N694)*設定!$C$14/1000,0)</f>
        <v>0</v>
      </c>
      <c r="BP694" s="31" t="n">
        <f aca="false">IF(CK694="N",BX694,ROUNDDOWN((J694-M694)*設定!$B$15/1000,0))</f>
        <v>0</v>
      </c>
      <c r="BQ694" s="31" t="n">
        <f aca="false">ROUNDDOWN((J694-M694)*設定!$C$15/1000,0)</f>
        <v>0</v>
      </c>
      <c r="BR694" s="31" t="n">
        <f aca="false">O694+P694</f>
        <v>0</v>
      </c>
      <c r="BS694" s="31" t="n">
        <f aca="false">T694+U694+V694</f>
        <v>0</v>
      </c>
      <c r="BT694" s="31" t="n">
        <f aca="false">Q694</f>
        <v>0</v>
      </c>
      <c r="BU694" s="31" t="n">
        <f aca="false">W694</f>
        <v>0</v>
      </c>
      <c r="BV694" s="31" t="n">
        <f aca="false">R694</f>
        <v>0</v>
      </c>
      <c r="BW694" s="31" t="n">
        <f aca="false">X694</f>
        <v>0</v>
      </c>
      <c r="BX694" s="31" t="n">
        <f aca="false">S694</f>
        <v>0</v>
      </c>
      <c r="BY694" s="31" t="n">
        <f aca="false">Y694</f>
        <v>0</v>
      </c>
      <c r="BZ694" s="32" t="n">
        <f aca="false">IF(BJ694=0,IF(BR694=0,0,1),(BR694-BJ694)/BJ694)</f>
        <v>0</v>
      </c>
      <c r="CA694" s="32" t="n">
        <f aca="false">IF(BK694=0,IF(BS694=0,0,1),(BS694-BK694)/BK694)</f>
        <v>0</v>
      </c>
      <c r="CB694" s="32" t="n">
        <f aca="false">IF(BL694=0,IF(BT694=0,0,1),(BT694-BL694)/BL694)</f>
        <v>0</v>
      </c>
      <c r="CC694" s="32" t="n">
        <f aca="false">IF(BM694=0,IF(BU694=0,0,1),(BU694-BM694)/BM694)</f>
        <v>0</v>
      </c>
      <c r="CD694" s="32" t="n">
        <f aca="false">IF(BN694=0,IF(BV694=0,0,1),(BV694-BN694)/BN694)</f>
        <v>0</v>
      </c>
      <c r="CE694" s="32" t="n">
        <f aca="false">IF(BO694=0,IF(BW694=0,0,1),(BW694-BO694)/BO694)</f>
        <v>0</v>
      </c>
      <c r="CF694" s="32" t="n">
        <f aca="false">IF(BP694=0,IF(BX694=0,0,1),(BX694-BP694)/BP694)</f>
        <v>0</v>
      </c>
      <c r="CG694" s="32" t="n">
        <f aca="false">IF(BQ694=0,IF(BY694=0,0,1),(BY694-BQ694)/BQ694)</f>
        <v>0</v>
      </c>
      <c r="CH694" s="32" t="n">
        <f aca="false">MAX(MAX(BZ694:CG694),-MIN(BZ694:CG694))</f>
        <v>-0</v>
      </c>
      <c r="CI694" s="31" t="n">
        <f aca="false">IF(CO694="","",SUMIFS($CJ$7:$CJ$696,$A$7:$A$696,CO694,$B$7:$B$696,B694))</f>
        <v>130214</v>
      </c>
      <c r="CJ694" s="31" t="n">
        <f aca="false">SUM(AY694:BI694)</f>
        <v>130214</v>
      </c>
      <c r="CK694" s="31" t="str">
        <f aca="false">IFERROR(INDEX(設定!$F$61:$F$106,MATCH(B694,設定!$B$61:$B$106,0)),"Y")</f>
        <v>Y</v>
      </c>
      <c r="CL694" s="31" t="str">
        <f aca="false">IFERROR(INDEX(設定!$G$61:$G$106,MATCH(B694,設定!$B$61:$B$106,0)),"外郭型")</f>
        <v>外郭型</v>
      </c>
      <c r="CM694" s="33" t="str">
        <f aca="false">A694&amp;"|"&amp;B694</f>
        <v>2027-03 月例|病院労働組合</v>
      </c>
      <c r="CN694" s="34" t="str">
        <f aca="false">IFERROR(INDEX(設定!$D$61:$D$106,MATCH(B694,設定!$B$61:$B$106,0)),"Y")</f>
        <v>Y</v>
      </c>
      <c r="CO694" s="34" t="str">
        <f aca="false">IFERROR(INDEX(設定!$D$20:$D$34,MATCH(A694,設定!$A$20:$A$34,0))&amp;"","")</f>
        <v>2027-02 月例</v>
      </c>
    </row>
    <row r="695" customFormat="false" ht="15" hidden="true" customHeight="false" outlineLevel="0" collapsed="false">
      <c r="A695" s="22" t="s">
        <v>230</v>
      </c>
      <c r="B695" s="23" t="s">
        <v>213</v>
      </c>
      <c r="C695" s="10" t="str">
        <f aca="false">IF(G695="","未受領",IF(G695="なし","報告なし",IF(AL695="○","起票済",IF(OR(AK695="○",F695="一致",F695="入金不要"),"入金確認済","受領済"))))</f>
        <v>報告なし</v>
      </c>
      <c r="D695" s="10" t="str">
        <f aca="false">IF(OR(G695="",G695="なし"),"―",IF(CN695="N","対象外",IF(AND(I695="",J695="",K695=""),"標報未入力",IF(CH695&gt;=設定!$B$4,"要確認","問題なし"))))</f>
        <v>―</v>
      </c>
      <c r="E695" s="24" t="str">
        <f aca="false">IF(OR(G695="",G695="なし",CI695="",CJ695=0),"―",IF(CJ695=CI695,"前月同額",IF(CI695=0,"―",IF(ABS(CJ695/CI695-1)&gt;=設定!$B$5,"変動大 "&amp;TEXT(CJ695/CI695-1,"+0%;-0%"),"〇"))))</f>
        <v>―</v>
      </c>
      <c r="F695" s="10" t="str">
        <f aca="false">IF(OR(G695="",G695="なし"),"―",IF(CJ695=0,"入金不要",IF(COUNT(AD695,AF695,AH695,AJ695)=0,IF(AK695="○","手動確認","未入金"),IF(AND(N(AD695)=AC695,IF(AE695="",TRUE(),N(AF695)=AE695),IF(AG695="",TRUE(),N(AH695)=AG695),IF(AI695="",TRUE(),N(AJ695)=AI695)),"一致","不一致"))))</f>
        <v>―</v>
      </c>
      <c r="G695" s="25" t="s">
        <v>181</v>
      </c>
      <c r="H695" s="26"/>
      <c r="I695" s="27"/>
      <c r="J695" s="27"/>
      <c r="K695" s="27"/>
      <c r="L695" s="27"/>
      <c r="M695" s="27"/>
      <c r="N695" s="27"/>
      <c r="O695" s="27"/>
      <c r="P695" s="27"/>
      <c r="Q695" s="27"/>
      <c r="R695" s="27"/>
      <c r="S695" s="27"/>
      <c r="T695" s="27"/>
      <c r="U695" s="27"/>
      <c r="V695" s="27"/>
      <c r="W695" s="27"/>
      <c r="X695" s="27"/>
      <c r="Y695" s="27"/>
      <c r="Z695" s="27"/>
      <c r="AA695" s="10" t="str">
        <f aca="false">IFERROR(INDEX(設定!$E$61:$E$106,MATCH(B695,設定!$B$61:$B$106,0)),"合算")</f>
        <v>合算</v>
      </c>
      <c r="AB695" s="28"/>
      <c r="AC695" s="29" t="str">
        <f aca="false">IF(OR(G695="",G695="なし"),"",IF(AA695="合算",CJ695+N(Z695),IF(AA695="掛金・負担金別",(AY695+AZ695+BD695+BF695+BH695),SUM(AY695:BC695))))</f>
        <v/>
      </c>
      <c r="AD695" s="27"/>
      <c r="AE695" s="29" t="str">
        <f aca="false">IF(OR(G695="",G695="なし"),"",IF(AA695="掛金・負担金別",(BA695+BB695+BC695+BE695+BG695+BI695+N(Z695)),IF(AA695="経理区分別",BD695+BE695,"")))</f>
        <v/>
      </c>
      <c r="AF695" s="27"/>
      <c r="AG695" s="29" t="str">
        <f aca="false">IF(OR(G695="",G695="なし"),"",IF(AA695="経理区分別",BF695+BG695,""))</f>
        <v/>
      </c>
      <c r="AH695" s="27"/>
      <c r="AI695" s="29" t="str">
        <f aca="false">IF(OR(G695="",G695="なし"),"",IF(AA695="経理区分別",BH695+BI695+N(Z695),""))</f>
        <v/>
      </c>
      <c r="AJ695" s="27"/>
      <c r="AK695" s="26"/>
      <c r="AL695" s="26"/>
      <c r="AM695" s="30"/>
      <c r="AN695" s="31"/>
      <c r="AO695" s="31"/>
      <c r="AP695" s="31"/>
      <c r="AQ695" s="31"/>
      <c r="AR695" s="31"/>
      <c r="AS695" s="31"/>
      <c r="AT695" s="31"/>
      <c r="AU695" s="31"/>
      <c r="AV695" s="31"/>
      <c r="AW695" s="31"/>
      <c r="AX695" s="31"/>
      <c r="AY695" s="31" t="n">
        <f aca="false">IF($G695="",AN695,O695)</f>
        <v>0</v>
      </c>
      <c r="AZ695" s="31" t="n">
        <f aca="false">IF($G695="",AO695,P695)</f>
        <v>0</v>
      </c>
      <c r="BA695" s="31" t="n">
        <f aca="false">IF($G695="",AP695,T695)</f>
        <v>0</v>
      </c>
      <c r="BB695" s="31" t="n">
        <f aca="false">IF($G695="",AQ695,U695)</f>
        <v>0</v>
      </c>
      <c r="BC695" s="31" t="n">
        <f aca="false">IF($G695="",AR695,V695)</f>
        <v>0</v>
      </c>
      <c r="BD695" s="31" t="n">
        <f aca="false">IF($G695="",AS695,Q695)</f>
        <v>0</v>
      </c>
      <c r="BE695" s="31" t="n">
        <f aca="false">IF($G695="",AT695,W695)</f>
        <v>0</v>
      </c>
      <c r="BF695" s="31" t="n">
        <f aca="false">IF($G695="",AU695,R695)</f>
        <v>0</v>
      </c>
      <c r="BG695" s="31" t="n">
        <f aca="false">IF($G695="",AV695,X695)</f>
        <v>0</v>
      </c>
      <c r="BH695" s="31" t="n">
        <f aca="false">IF($G695="",AW695,S695)</f>
        <v>0</v>
      </c>
      <c r="BI695" s="31" t="n">
        <f aca="false">IF($G695="",AX695,Y695)</f>
        <v>0</v>
      </c>
      <c r="BJ695" s="31" t="n">
        <f aca="false">IF(CK695="N",BR695,ROUNDDOWN((I695-L695)*設定!$B$10/1000,0)+ROUNDDOWN((I695-L695)*設定!$B$11/1000,0))</f>
        <v>0</v>
      </c>
      <c r="BK695" s="31" t="n">
        <f aca="false">ROUNDDOWN((I695-L695)*設定!$C$10/1000,0)+ROUNDDOWN((I695-L695)*設定!$C$11/1000,0)+ROUNDDOWN(I695*設定!$C$12/1000,0)+IF(CL695="市局型",ROUNDDOWN(I695*設定!$C$16/1000,0),0)</f>
        <v>0</v>
      </c>
      <c r="BL695" s="31" t="n">
        <f aca="false">IF(CK695="N",BT695,ROUNDDOWN((J695-M695)*設定!$B$13/1000,0))</f>
        <v>0</v>
      </c>
      <c r="BM695" s="31" t="n">
        <f aca="false">ROUNDDOWN((J695-M695)*設定!$C$13/1000,0)+IF(CL695="市局型",ROUNDDOWN(J695*設定!$C$17/1000,0),0)</f>
        <v>0</v>
      </c>
      <c r="BN695" s="31" t="n">
        <f aca="false">IF(CK695="N",BV695,ROUNDDOWN((K695-N695)*設定!$B$14/1000,0))</f>
        <v>0</v>
      </c>
      <c r="BO695" s="31" t="n">
        <f aca="false">ROUNDDOWN((K695-N695)*設定!$C$14/1000,0)</f>
        <v>0</v>
      </c>
      <c r="BP695" s="31" t="n">
        <f aca="false">IF(CK695="N",BX695,ROUNDDOWN((J695-M695)*設定!$B$15/1000,0))</f>
        <v>0</v>
      </c>
      <c r="BQ695" s="31" t="n">
        <f aca="false">ROUNDDOWN((J695-M695)*設定!$C$15/1000,0)</f>
        <v>0</v>
      </c>
      <c r="BR695" s="31" t="n">
        <f aca="false">O695+P695</f>
        <v>0</v>
      </c>
      <c r="BS695" s="31" t="n">
        <f aca="false">T695+U695+V695</f>
        <v>0</v>
      </c>
      <c r="BT695" s="31" t="n">
        <f aca="false">Q695</f>
        <v>0</v>
      </c>
      <c r="BU695" s="31" t="n">
        <f aca="false">W695</f>
        <v>0</v>
      </c>
      <c r="BV695" s="31" t="n">
        <f aca="false">R695</f>
        <v>0</v>
      </c>
      <c r="BW695" s="31" t="n">
        <f aca="false">X695</f>
        <v>0</v>
      </c>
      <c r="BX695" s="31" t="n">
        <f aca="false">S695</f>
        <v>0</v>
      </c>
      <c r="BY695" s="31" t="n">
        <f aca="false">Y695</f>
        <v>0</v>
      </c>
      <c r="BZ695" s="32" t="n">
        <f aca="false">IF(BJ695=0,IF(BR695=0,0,1),(BR695-BJ695)/BJ695)</f>
        <v>0</v>
      </c>
      <c r="CA695" s="32" t="n">
        <f aca="false">IF(BK695=0,IF(BS695=0,0,1),(BS695-BK695)/BK695)</f>
        <v>0</v>
      </c>
      <c r="CB695" s="32" t="n">
        <f aca="false">IF(BL695=0,IF(BT695=0,0,1),(BT695-BL695)/BL695)</f>
        <v>0</v>
      </c>
      <c r="CC695" s="32" t="n">
        <f aca="false">IF(BM695=0,IF(BU695=0,0,1),(BU695-BM695)/BM695)</f>
        <v>0</v>
      </c>
      <c r="CD695" s="32" t="n">
        <f aca="false">IF(BN695=0,IF(BV695=0,0,1),(BV695-BN695)/BN695)</f>
        <v>0</v>
      </c>
      <c r="CE695" s="32" t="n">
        <f aca="false">IF(BO695=0,IF(BW695=0,0,1),(BW695-BO695)/BO695)</f>
        <v>0</v>
      </c>
      <c r="CF695" s="32" t="n">
        <f aca="false">IF(BP695=0,IF(BX695=0,0,1),(BX695-BP695)/BP695)</f>
        <v>0</v>
      </c>
      <c r="CG695" s="32" t="n">
        <f aca="false">IF(BQ695=0,IF(BY695=0,0,1),(BY695-BQ695)/BQ695)</f>
        <v>0</v>
      </c>
      <c r="CH695" s="32" t="n">
        <f aca="false">MAX(MAX(BZ695:CG695),-MIN(BZ695:CG695))</f>
        <v>-0</v>
      </c>
      <c r="CI695" s="31" t="n">
        <f aca="false">IF(CO695="","",SUMIFS($CJ$7:$CJ$696,$A$7:$A$696,CO695,$B$7:$B$696,B695))</f>
        <v>0</v>
      </c>
      <c r="CJ695" s="31" t="n">
        <f aca="false">SUM(AY695:BI695)</f>
        <v>0</v>
      </c>
      <c r="CK695" s="31" t="str">
        <f aca="false">IFERROR(INDEX(設定!$F$61:$F$106,MATCH(B695,設定!$B$61:$B$106,0)),"Y")</f>
        <v>N</v>
      </c>
      <c r="CL695" s="31" t="str">
        <f aca="false">IFERROR(INDEX(設定!$G$61:$G$106,MATCH(B695,設定!$B$61:$B$106,0)),"外郭型")</f>
        <v>外郭型</v>
      </c>
      <c r="CM695" s="33" t="str">
        <f aca="false">A695&amp;"|"&amp;B695</f>
        <v>2027-03 月例|水道労働組合</v>
      </c>
      <c r="CN695" s="34" t="str">
        <f aca="false">IFERROR(INDEX(設定!$D$61:$D$106,MATCH(B695,設定!$B$61:$B$106,0)),"Y")</f>
        <v>Y</v>
      </c>
      <c r="CO695" s="34" t="str">
        <f aca="false">IFERROR(INDEX(設定!$D$20:$D$34,MATCH(A695,設定!$A$20:$A$34,0))&amp;"","")</f>
        <v>2027-02 月例</v>
      </c>
    </row>
    <row r="696" customFormat="false" ht="15" hidden="true" customHeight="false" outlineLevel="0" collapsed="false">
      <c r="A696" s="22" t="s">
        <v>230</v>
      </c>
      <c r="B696" s="23" t="s">
        <v>214</v>
      </c>
      <c r="C696" s="10" t="str">
        <f aca="false">IF(G696="","未受領",IF(G696="なし","報告なし",IF(AL696="○","起票済",IF(OR(AK696="○",F696="一致",F696="入金不要"),"入金確認済","受領済"))))</f>
        <v>未受領</v>
      </c>
      <c r="D696" s="10" t="str">
        <f aca="false">IF(OR(G696="",G696="なし"),"―",IF(CN696="N","対象外",IF(AND(I696="",J696="",K696=""),"標報未入力",IF(CH696&gt;=設定!$B$4,"要確認","問題なし"))))</f>
        <v>―</v>
      </c>
      <c r="E696" s="24" t="str">
        <f aca="false">IF(OR(G696="",G696="なし",CI696="",CJ696=0),"―",IF(CJ696=CI696,"前月同額",IF(CI696=0,"―",IF(ABS(CJ696/CI696-1)&gt;=設定!$B$5,"変動大 "&amp;TEXT(CJ696/CI696-1,"+0%;-0%"),"〇"))))</f>
        <v>―</v>
      </c>
      <c r="F696" s="10" t="str">
        <f aca="false">IF(OR(G696="",G696="なし"),"―",IF(CJ696=0,"入金不要",IF(COUNT(AD696,AF696,AH696,AJ696)=0,IF(AK696="○","手動確認","未入金"),IF(AND(N(AD696)=AC696,IF(AE696="",TRUE(),N(AF696)=AE696),IF(AG696="",TRUE(),N(AH696)=AG696),IF(AI696="",TRUE(),N(AJ696)=AI696)),"一致","不一致"))))</f>
        <v>―</v>
      </c>
      <c r="G696" s="25"/>
      <c r="H696" s="26"/>
      <c r="I696" s="27"/>
      <c r="J696" s="27"/>
      <c r="K696" s="27"/>
      <c r="L696" s="27"/>
      <c r="M696" s="27"/>
      <c r="N696" s="27"/>
      <c r="O696" s="27"/>
      <c r="P696" s="27"/>
      <c r="Q696" s="27"/>
      <c r="R696" s="27"/>
      <c r="S696" s="27"/>
      <c r="T696" s="27"/>
      <c r="U696" s="27"/>
      <c r="V696" s="27"/>
      <c r="W696" s="27"/>
      <c r="X696" s="27"/>
      <c r="Y696" s="27"/>
      <c r="Z696" s="27"/>
      <c r="AA696" s="10" t="str">
        <f aca="false">IFERROR(INDEX(設定!$E$61:$E$106,MATCH(B696,設定!$B$61:$B$106,0)),"合算")</f>
        <v>合算</v>
      </c>
      <c r="AB696" s="28"/>
      <c r="AC696" s="29" t="str">
        <f aca="false">IF(OR(G696="",G696="なし"),"",IF(AA696="合算",CJ696+N(Z696),IF(AA696="掛金・負担金別",(AY696+AZ696+BD696+BF696+BH696),SUM(AY696:BC696))))</f>
        <v/>
      </c>
      <c r="AD696" s="27"/>
      <c r="AE696" s="29" t="str">
        <f aca="false">IF(OR(G696="",G696="なし"),"",IF(AA696="掛金・負担金別",(BA696+BB696+BC696+BE696+BG696+BI696+N(Z696)),IF(AA696="経理区分別",BD696+BE696,"")))</f>
        <v/>
      </c>
      <c r="AF696" s="27"/>
      <c r="AG696" s="29" t="str">
        <f aca="false">IF(OR(G696="",G696="なし"),"",IF(AA696="経理区分別",BF696+BG696,""))</f>
        <v/>
      </c>
      <c r="AH696" s="27"/>
      <c r="AI696" s="29" t="str">
        <f aca="false">IF(OR(G696="",G696="なし"),"",IF(AA696="経理区分別",BH696+BI696+N(Z696),""))</f>
        <v/>
      </c>
      <c r="AJ696" s="27"/>
      <c r="AK696" s="26"/>
      <c r="AL696" s="26"/>
      <c r="AM696" s="30"/>
      <c r="AN696" s="31"/>
      <c r="AO696" s="31"/>
      <c r="AP696" s="31"/>
      <c r="AQ696" s="31"/>
      <c r="AR696" s="31"/>
      <c r="AS696" s="31" t="n">
        <v>112219</v>
      </c>
      <c r="AT696" s="31"/>
      <c r="AU696" s="31" t="n">
        <v>17136</v>
      </c>
      <c r="AV696" s="31"/>
      <c r="AW696" s="31" t="n">
        <v>1</v>
      </c>
      <c r="AX696" s="31"/>
      <c r="AY696" s="31" t="n">
        <f aca="false">IF($G696="",AN696,O696)</f>
        <v>0</v>
      </c>
      <c r="AZ696" s="31" t="n">
        <f aca="false">IF($G696="",AO696,P696)</f>
        <v>0</v>
      </c>
      <c r="BA696" s="31" t="n">
        <f aca="false">IF($G696="",AP696,T696)</f>
        <v>0</v>
      </c>
      <c r="BB696" s="31" t="n">
        <f aca="false">IF($G696="",AQ696,U696)</f>
        <v>0</v>
      </c>
      <c r="BC696" s="31" t="n">
        <f aca="false">IF($G696="",AR696,V696)</f>
        <v>0</v>
      </c>
      <c r="BD696" s="31" t="n">
        <f aca="false">IF($G696="",AS696,Q696)</f>
        <v>112219</v>
      </c>
      <c r="BE696" s="31" t="n">
        <f aca="false">IF($G696="",AT696,W696)</f>
        <v>0</v>
      </c>
      <c r="BF696" s="31" t="n">
        <f aca="false">IF($G696="",AU696,R696)</f>
        <v>17136</v>
      </c>
      <c r="BG696" s="31" t="n">
        <f aca="false">IF($G696="",AV696,X696)</f>
        <v>0</v>
      </c>
      <c r="BH696" s="31" t="n">
        <f aca="false">IF($G696="",AW696,S696)</f>
        <v>1</v>
      </c>
      <c r="BI696" s="31" t="n">
        <f aca="false">IF($G696="",AX696,Y696)</f>
        <v>0</v>
      </c>
      <c r="BJ696" s="31" t="n">
        <f aca="false">IF(CK696="N",BR696,ROUNDDOWN((I696-L696)*設定!$B$10/1000,0)+ROUNDDOWN((I696-L696)*設定!$B$11/1000,0))</f>
        <v>0</v>
      </c>
      <c r="BK696" s="31" t="n">
        <f aca="false">ROUNDDOWN((I696-L696)*設定!$C$10/1000,0)+ROUNDDOWN((I696-L696)*設定!$C$11/1000,0)+ROUNDDOWN(I696*設定!$C$12/1000,0)+IF(CL696="市局型",ROUNDDOWN(I696*設定!$C$16/1000,0),0)</f>
        <v>0</v>
      </c>
      <c r="BL696" s="31" t="n">
        <f aca="false">IF(CK696="N",BT696,ROUNDDOWN((J696-M696)*設定!$B$13/1000,0))</f>
        <v>0</v>
      </c>
      <c r="BM696" s="31" t="n">
        <f aca="false">ROUNDDOWN((J696-M696)*設定!$C$13/1000,0)+IF(CL696="市局型",ROUNDDOWN(J696*設定!$C$17/1000,0),0)</f>
        <v>0</v>
      </c>
      <c r="BN696" s="31" t="n">
        <f aca="false">IF(CK696="N",BV696,ROUNDDOWN((K696-N696)*設定!$B$14/1000,0))</f>
        <v>0</v>
      </c>
      <c r="BO696" s="31" t="n">
        <f aca="false">ROUNDDOWN((K696-N696)*設定!$C$14/1000,0)</f>
        <v>0</v>
      </c>
      <c r="BP696" s="31" t="n">
        <f aca="false">IF(CK696="N",BX696,ROUNDDOWN((J696-M696)*設定!$B$15/1000,0))</f>
        <v>0</v>
      </c>
      <c r="BQ696" s="31" t="n">
        <f aca="false">ROUNDDOWN((J696-M696)*設定!$C$15/1000,0)</f>
        <v>0</v>
      </c>
      <c r="BR696" s="31" t="n">
        <f aca="false">O696+P696</f>
        <v>0</v>
      </c>
      <c r="BS696" s="31" t="n">
        <f aca="false">T696+U696+V696</f>
        <v>0</v>
      </c>
      <c r="BT696" s="31" t="n">
        <f aca="false">Q696</f>
        <v>0</v>
      </c>
      <c r="BU696" s="31" t="n">
        <f aca="false">W696</f>
        <v>0</v>
      </c>
      <c r="BV696" s="31" t="n">
        <f aca="false">R696</f>
        <v>0</v>
      </c>
      <c r="BW696" s="31" t="n">
        <f aca="false">X696</f>
        <v>0</v>
      </c>
      <c r="BX696" s="31" t="n">
        <f aca="false">S696</f>
        <v>0</v>
      </c>
      <c r="BY696" s="31" t="n">
        <f aca="false">Y696</f>
        <v>0</v>
      </c>
      <c r="BZ696" s="32" t="n">
        <f aca="false">IF(BJ696=0,IF(BR696=0,0,1),(BR696-BJ696)/BJ696)</f>
        <v>0</v>
      </c>
      <c r="CA696" s="32" t="n">
        <f aca="false">IF(BK696=0,IF(BS696=0,0,1),(BS696-BK696)/BK696)</f>
        <v>0</v>
      </c>
      <c r="CB696" s="32" t="n">
        <f aca="false">IF(BL696=0,IF(BT696=0,0,1),(BT696-BL696)/BL696)</f>
        <v>0</v>
      </c>
      <c r="CC696" s="32" t="n">
        <f aca="false">IF(BM696=0,IF(BU696=0,0,1),(BU696-BM696)/BM696)</f>
        <v>0</v>
      </c>
      <c r="CD696" s="32" t="n">
        <f aca="false">IF(BN696=0,IF(BV696=0,0,1),(BV696-BN696)/BN696)</f>
        <v>0</v>
      </c>
      <c r="CE696" s="32" t="n">
        <f aca="false">IF(BO696=0,IF(BW696=0,0,1),(BW696-BO696)/BO696)</f>
        <v>0</v>
      </c>
      <c r="CF696" s="32" t="n">
        <f aca="false">IF(BP696=0,IF(BX696=0,0,1),(BX696-BP696)/BP696)</f>
        <v>0</v>
      </c>
      <c r="CG696" s="32" t="n">
        <f aca="false">IF(BQ696=0,IF(BY696=0,0,1),(BY696-BQ696)/BQ696)</f>
        <v>0</v>
      </c>
      <c r="CH696" s="32" t="n">
        <f aca="false">MAX(MAX(BZ696:CG696),-MIN(BZ696:CG696))</f>
        <v>-0</v>
      </c>
      <c r="CI696" s="31" t="n">
        <f aca="false">IF(CO696="","",SUMIFS($CJ$7:$CJ$696,$A$7:$A$696,CO696,$B$7:$B$696,B696))</f>
        <v>934276</v>
      </c>
      <c r="CJ696" s="31" t="n">
        <f aca="false">SUM(AY696:BI696)</f>
        <v>129356</v>
      </c>
      <c r="CK696" s="31" t="str">
        <f aca="false">IFERROR(INDEX(設定!$F$61:$F$106,MATCH(B696,設定!$B$61:$B$106,0)),"Y")</f>
        <v>Y</v>
      </c>
      <c r="CL696" s="31" t="str">
        <f aca="false">IFERROR(INDEX(設定!$G$61:$G$106,MATCH(B696,設定!$B$61:$B$106,0)),"外郭型")</f>
        <v>外郭型</v>
      </c>
      <c r="CM696" s="33" t="str">
        <f aca="false">A696&amp;"|"&amp;B696</f>
        <v>2027-03 月例|任意継続組合員</v>
      </c>
      <c r="CN696" s="34" t="str">
        <f aca="false">IFERROR(INDEX(設定!$D$61:$D$106,MATCH(B696,設定!$B$61:$B$106,0)),"Y")</f>
        <v>N</v>
      </c>
      <c r="CO696" s="34" t="str">
        <f aca="false">IFERROR(INDEX(設定!$D$20:$D$34,MATCH(A696,設定!$A$20:$A$34,0))&amp;"","")</f>
        <v>2027-02 月例</v>
      </c>
    </row>
  </sheetData>
  <autoFilter ref="A6:CO696">
    <filterColumn colId="0">
      <filters>
        <filter val="2026-10 月例"/>
      </filters>
    </filterColumn>
  </autoFilter>
  <mergeCells count="12">
    <mergeCell ref="C5:F5"/>
    <mergeCell ref="G5:H5"/>
    <mergeCell ref="I5:N5"/>
    <mergeCell ref="O5:S5"/>
    <mergeCell ref="T5:Y5"/>
    <mergeCell ref="AA5:AJ5"/>
    <mergeCell ref="AK5:AL5"/>
    <mergeCell ref="AN5:AX5"/>
    <mergeCell ref="AY5:BI5"/>
    <mergeCell ref="BJ5:BQ5"/>
    <mergeCell ref="BR5:BY5"/>
    <mergeCell ref="BZ5:CG5"/>
  </mergeCells>
  <conditionalFormatting sqref="C7:C696">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fRule type="expression" priority="5" aboveAverage="0" equalAverage="0" bottom="0" percent="0" rank="0" text="" dxfId="19">
      <formula>C7="報告なし"</formula>
    </cfRule>
  </conditionalFormatting>
  <conditionalFormatting sqref="D7:D696">
    <cfRule type="expression" priority="6" aboveAverage="0" equalAverage="0" bottom="0" percent="0" rank="0" text="" dxfId="1">
      <formula>D7="要確認"</formula>
    </cfRule>
    <cfRule type="expression" priority="7" aboveAverage="0" equalAverage="0" bottom="0" percent="0" rank="0" text="" dxfId="2">
      <formula>D7="問題なし"</formula>
    </cfRule>
    <cfRule type="expression" priority="8" aboveAverage="0" equalAverage="0" bottom="0" percent="0" rank="0" text="" dxfId="19">
      <formula>D7="標報未入力"</formula>
    </cfRule>
  </conditionalFormatting>
  <conditionalFormatting sqref="E7:E696">
    <cfRule type="expression" priority="9" aboveAverage="0" equalAverage="0" bottom="0" percent="0" rank="0" text="" dxfId="20">
      <formula>LEFT(E7,3)="変動大"</formula>
    </cfRule>
    <cfRule type="expression" priority="10" aboveAverage="0" equalAverage="0" bottom="0" percent="0" rank="0" text="" dxfId="20">
      <formula>E7="前月同額"</formula>
    </cfRule>
  </conditionalFormatting>
  <conditionalFormatting sqref="F7:F696">
    <cfRule type="expression" priority="11" aboveAverage="0" equalAverage="0" bottom="0" percent="0" rank="0" text="" dxfId="1">
      <formula>F7="不一致"</formula>
    </cfRule>
    <cfRule type="expression" priority="12" aboveAverage="0" equalAverage="0" bottom="0" percent="0" rank="0" text="" dxfId="2">
      <formula>F7="一致"</formula>
    </cfRule>
    <cfRule type="expression" priority="13" aboveAverage="0" equalAverage="0" bottom="0" percent="0" rank="0" text="" dxfId="19">
      <formula>F7="未入金"</formula>
    </cfRule>
  </conditionalFormatting>
  <conditionalFormatting sqref="B7:B696">
    <cfRule type="expression" priority="14" aboveAverage="0" equalAverage="0" bottom="0" percent="0" rank="0" text="" dxfId="21">
      <formula>$D7="要確認"</formula>
    </cfRule>
  </conditionalFormatting>
  <conditionalFormatting sqref="A7:A696">
    <cfRule type="expression" priority="15" aboveAverage="0" equalAverage="0" bottom="0" percent="0" rank="0" text="" dxfId="22">
      <formula>$A7=ホーム!$C$4</formula>
    </cfRule>
  </conditionalFormatting>
  <dataValidations count="2">
    <dataValidation allowBlank="true" errorStyle="stop" operator="between" showDropDown="false" showErrorMessage="false" showInputMessage="false" sqref="H7:H696" type="list">
      <formula1>"Excel,PDF,FAX,紙,メール,その他"</formula1>
      <formula2>0</formula2>
    </dataValidation>
    <dataValidation allowBlank="true" errorStyle="stop" operator="between" showDropDown="false" showErrorMessage="false" showInputMessage="false" sqref="AK7:AL696"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AK5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26"/>
    <col collapsed="false" customWidth="true" hidden="true" outlineLevel="0" max="2" min="2" style="0" width="5"/>
    <col collapsed="false" customWidth="true" hidden="false" outlineLevel="0" max="3" min="3" style="0" width="10"/>
    <col collapsed="false" customWidth="true" hidden="false" outlineLevel="0" max="4" min="4" style="0" width="11"/>
    <col collapsed="false" customWidth="true" hidden="false" outlineLevel="0" max="10" min="5" style="0" width="12"/>
    <col collapsed="false" customWidth="true" hidden="false" outlineLevel="0" max="11" min="11" style="0" width="9"/>
    <col collapsed="false" customWidth="true" hidden="false" outlineLevel="0" max="13" min="12" style="0" width="12"/>
    <col collapsed="false" customWidth="true" hidden="false" outlineLevel="0" max="14" min="14" style="0" width="9"/>
    <col collapsed="false" customWidth="true" hidden="false" outlineLevel="0" max="16" min="15" style="0" width="12"/>
    <col collapsed="false" customWidth="true" hidden="false" outlineLevel="0" max="17" min="17" style="0" width="9"/>
    <col collapsed="false" customWidth="true" hidden="false" outlineLevel="0" max="19" min="18" style="0" width="12"/>
    <col collapsed="false" customWidth="true" hidden="false" outlineLevel="0" max="20" min="20" style="0" width="9"/>
    <col collapsed="false" customWidth="true" hidden="false" outlineLevel="0" max="22" min="21" style="0" width="12"/>
    <col collapsed="false" customWidth="true" hidden="false" outlineLevel="0" max="23" min="23" style="0" width="9"/>
    <col collapsed="false" customWidth="true" hidden="false" outlineLevel="0" max="25" min="24" style="0" width="12"/>
    <col collapsed="false" customWidth="true" hidden="false" outlineLevel="0" max="26" min="26" style="0" width="9"/>
    <col collapsed="false" customWidth="true" hidden="false" outlineLevel="0" max="28" min="27" style="0" width="12"/>
    <col collapsed="false" customWidth="true" hidden="false" outlineLevel="0" max="29" min="29" style="0" width="9"/>
    <col collapsed="false" customWidth="true" hidden="false" outlineLevel="0" max="31" min="30" style="0" width="12"/>
    <col collapsed="false" customWidth="true" hidden="false" outlineLevel="0" max="32" min="32" style="0" width="9"/>
    <col collapsed="false" customWidth="true" hidden="true" outlineLevel="1" max="37" min="33" style="0" width="6"/>
  </cols>
  <sheetData>
    <row r="1" customFormat="false" ht="19.4" hidden="false" customHeight="false" outlineLevel="0" collapsed="false">
      <c r="A1" s="16" t="s">
        <v>231</v>
      </c>
    </row>
    <row r="2" customFormat="false" ht="17.35" hidden="false" customHeight="false" outlineLevel="0" collapsed="false">
      <c r="A2" s="37" t="s">
        <v>232</v>
      </c>
      <c r="B2" s="38" t="str">
        <f aca="false">ホーム!C4</f>
        <v>2026-10 月例</v>
      </c>
    </row>
    <row r="3" customFormat="false" ht="17.35" hidden="false" customHeight="false" outlineLevel="0" collapsed="false">
      <c r="A3" s="2" t="s">
        <v>233</v>
      </c>
    </row>
    <row r="4" customFormat="false" ht="17.35" hidden="false" customHeight="false" outlineLevel="0" collapsed="false">
      <c r="A4" s="5" t="s">
        <v>234</v>
      </c>
    </row>
    <row r="5" customFormat="false" ht="15" hidden="false" customHeight="true" outlineLevel="0" collapsed="false">
      <c r="A5" s="3"/>
      <c r="B5" s="3"/>
      <c r="C5" s="3"/>
      <c r="D5" s="3"/>
      <c r="E5" s="3"/>
      <c r="F5" s="3"/>
      <c r="G5" s="3"/>
      <c r="H5" s="3"/>
      <c r="I5" s="3" t="s">
        <v>235</v>
      </c>
      <c r="J5" s="3"/>
      <c r="K5" s="3"/>
      <c r="L5" s="3" t="s">
        <v>236</v>
      </c>
      <c r="M5" s="3"/>
      <c r="N5" s="3"/>
      <c r="O5" s="3" t="s">
        <v>237</v>
      </c>
      <c r="P5" s="3"/>
      <c r="Q5" s="3"/>
      <c r="R5" s="3" t="s">
        <v>238</v>
      </c>
      <c r="S5" s="3"/>
      <c r="T5" s="3"/>
      <c r="U5" s="3" t="s">
        <v>239</v>
      </c>
      <c r="V5" s="3"/>
      <c r="W5" s="3"/>
      <c r="X5" s="3" t="s">
        <v>240</v>
      </c>
      <c r="Y5" s="3"/>
      <c r="Z5" s="3"/>
      <c r="AA5" s="3" t="s">
        <v>241</v>
      </c>
      <c r="AB5" s="3"/>
      <c r="AC5" s="3"/>
      <c r="AD5" s="3" t="s">
        <v>242</v>
      </c>
      <c r="AE5" s="3"/>
      <c r="AF5" s="3"/>
      <c r="AG5" s="39"/>
      <c r="AH5" s="40"/>
      <c r="AI5" s="40"/>
      <c r="AJ5" s="40"/>
      <c r="AK5" s="40"/>
    </row>
    <row r="6" customFormat="false" ht="30" hidden="false" customHeight="true" outlineLevel="0" collapsed="false">
      <c r="A6" s="3" t="s">
        <v>74</v>
      </c>
      <c r="B6" s="21" t="s">
        <v>243</v>
      </c>
      <c r="C6" s="3" t="s">
        <v>41</v>
      </c>
      <c r="D6" s="3" t="s">
        <v>75</v>
      </c>
      <c r="E6" s="3" t="s">
        <v>76</v>
      </c>
      <c r="F6" s="3" t="s">
        <v>244</v>
      </c>
      <c r="G6" s="3" t="s">
        <v>245</v>
      </c>
      <c r="H6" s="3" t="s">
        <v>246</v>
      </c>
      <c r="I6" s="3" t="s">
        <v>247</v>
      </c>
      <c r="J6" s="3" t="s">
        <v>248</v>
      </c>
      <c r="K6" s="3" t="s">
        <v>249</v>
      </c>
      <c r="L6" s="3" t="s">
        <v>247</v>
      </c>
      <c r="M6" s="3" t="s">
        <v>248</v>
      </c>
      <c r="N6" s="3" t="s">
        <v>249</v>
      </c>
      <c r="O6" s="3" t="s">
        <v>247</v>
      </c>
      <c r="P6" s="3" t="s">
        <v>248</v>
      </c>
      <c r="Q6" s="3" t="s">
        <v>249</v>
      </c>
      <c r="R6" s="3" t="s">
        <v>247</v>
      </c>
      <c r="S6" s="3" t="s">
        <v>248</v>
      </c>
      <c r="T6" s="3" t="s">
        <v>249</v>
      </c>
      <c r="U6" s="3" t="s">
        <v>247</v>
      </c>
      <c r="V6" s="3" t="s">
        <v>248</v>
      </c>
      <c r="W6" s="3" t="s">
        <v>249</v>
      </c>
      <c r="X6" s="3" t="s">
        <v>247</v>
      </c>
      <c r="Y6" s="3" t="s">
        <v>248</v>
      </c>
      <c r="Z6" s="3" t="s">
        <v>249</v>
      </c>
      <c r="AA6" s="3" t="s">
        <v>247</v>
      </c>
      <c r="AB6" s="3" t="s">
        <v>248</v>
      </c>
      <c r="AC6" s="3" t="s">
        <v>249</v>
      </c>
      <c r="AD6" s="3" t="s">
        <v>247</v>
      </c>
      <c r="AE6" s="3" t="s">
        <v>248</v>
      </c>
      <c r="AF6" s="3" t="s">
        <v>249</v>
      </c>
      <c r="AG6" s="21" t="s">
        <v>250</v>
      </c>
      <c r="AH6" s="21" t="s">
        <v>251</v>
      </c>
      <c r="AI6" s="21" t="s">
        <v>252</v>
      </c>
      <c r="AJ6" s="21" t="s">
        <v>253</v>
      </c>
      <c r="AK6" s="21" t="s">
        <v>157</v>
      </c>
    </row>
    <row r="7" customFormat="false" ht="15" hidden="false" customHeight="false" outlineLevel="0" collapsed="false">
      <c r="A7" s="41" t="str">
        <f aca="false">設定!B61</f>
        <v>市長部局</v>
      </c>
      <c r="B7" s="33" t="n">
        <f aca="false">IFERROR(MATCH(ホーム!$C$4&amp;"|"&amp;A7,報告入力!$CM$7:$CM$696,0),"")</f>
        <v>323</v>
      </c>
      <c r="C7" s="10" t="str">
        <f aca="false">IF($B7="","",INDEX(報告入力!$C$7:$C$696,$B7))</f>
        <v>未受領</v>
      </c>
      <c r="D7" s="10" t="str">
        <f aca="false">IF($B7="","",INDEX(報告入力!$D$7:$D$696,$B7))</f>
        <v>―</v>
      </c>
      <c r="E7" s="24" t="str">
        <f aca="false">IF($B7="","",INDEX(報告入力!$E$7:$E$696,$B7))</f>
        <v>―</v>
      </c>
      <c r="F7" s="42" t="n">
        <f aca="false">IF($B7="","",INDEX(報告入力!$I$7:$I$696,$B7))</f>
        <v>0</v>
      </c>
      <c r="G7" s="42" t="n">
        <f aca="false">IF($B7="","",INDEX(報告入力!$J$7:$J$696,$B7))</f>
        <v>0</v>
      </c>
      <c r="H7" s="42" t="n">
        <f aca="false">IF($B7="","",INDEX(報告入力!$K$7:$K$696,$B7))</f>
        <v>0</v>
      </c>
      <c r="I7" s="42" t="str">
        <f aca="false">IF($AG7=1,INDEX(報告入力!$BR$7:$BR$696,$B7),"")</f>
        <v/>
      </c>
      <c r="J7" s="42" t="str">
        <f aca="false">IF($AH7=1,INDEX(報告入力!$BJ$7:$BJ$696,$B7),"")</f>
        <v/>
      </c>
      <c r="K7" s="43" t="str">
        <f aca="false">IF($AH7=1,INDEX(報告入力!$BZ$7:$BZ$696,$B7),"")</f>
        <v/>
      </c>
      <c r="L7" s="42" t="str">
        <f aca="false">IF($AG7=1,INDEX(報告入力!$BS$7:$BS$696,$B7),"")</f>
        <v/>
      </c>
      <c r="M7" s="42" t="str">
        <f aca="false">IF($AH7=1,INDEX(報告入力!$BK$7:$BK$696,$B7),"")</f>
        <v/>
      </c>
      <c r="N7" s="43" t="str">
        <f aca="false">IF($AH7=1,INDEX(報告入力!$CA$7:$CA$696,$B7),"")</f>
        <v/>
      </c>
      <c r="O7" s="42" t="str">
        <f aca="false">IF($AG7=1,INDEX(報告入力!$BT$7:$BT$696,$B7),"")</f>
        <v/>
      </c>
      <c r="P7" s="42" t="str">
        <f aca="false">IF($AH7=1,INDEX(報告入力!$BL$7:$BL$696,$B7),"")</f>
        <v/>
      </c>
      <c r="Q7" s="43" t="str">
        <f aca="false">IF($AH7=1,INDEX(報告入力!$CB$7:$CB$696,$B7),"")</f>
        <v/>
      </c>
      <c r="R7" s="42" t="str">
        <f aca="false">IF($AG7=1,INDEX(報告入力!$BU$7:$BU$696,$B7),"")</f>
        <v/>
      </c>
      <c r="S7" s="42" t="str">
        <f aca="false">IF($AH7=1,INDEX(報告入力!$BM$7:$BM$696,$B7),"")</f>
        <v/>
      </c>
      <c r="T7" s="43" t="str">
        <f aca="false">IF($AH7=1,INDEX(報告入力!$CC$7:$CC$696,$B7),"")</f>
        <v/>
      </c>
      <c r="U7" s="42" t="str">
        <f aca="false">IF($AG7=1,INDEX(報告入力!$BV$7:$BV$696,$B7),"")</f>
        <v/>
      </c>
      <c r="V7" s="42" t="str">
        <f aca="false">IF($AH7=1,INDEX(報告入力!$BN$7:$BN$696,$B7),"")</f>
        <v/>
      </c>
      <c r="W7" s="43" t="str">
        <f aca="false">IF($AH7=1,INDEX(報告入力!$CD$7:$CD$696,$B7),"")</f>
        <v/>
      </c>
      <c r="X7" s="42" t="str">
        <f aca="false">IF($AG7=1,INDEX(報告入力!$BW$7:$BW$696,$B7),"")</f>
        <v/>
      </c>
      <c r="Y7" s="42" t="str">
        <f aca="false">IF($AH7=1,INDEX(報告入力!$BO$7:$BO$696,$B7),"")</f>
        <v/>
      </c>
      <c r="Z7" s="43" t="str">
        <f aca="false">IF($AH7=1,INDEX(報告入力!$CE$7:$CE$696,$B7),"")</f>
        <v/>
      </c>
      <c r="AA7" s="42" t="str">
        <f aca="false">IF($AG7=1,INDEX(報告入力!$BX$7:$BX$696,$B7),"")</f>
        <v/>
      </c>
      <c r="AB7" s="42" t="str">
        <f aca="false">IF($AH7=1,INDEX(報告入力!$BP$7:$BP$696,$B7),"")</f>
        <v/>
      </c>
      <c r="AC7" s="43" t="str">
        <f aca="false">IF($AH7=1,INDEX(報告入力!$CF$7:$CF$696,$B7),"")</f>
        <v/>
      </c>
      <c r="AD7" s="42" t="str">
        <f aca="false">IF($AG7=1,INDEX(報告入力!$BY$7:$BY$696,$B7),"")</f>
        <v/>
      </c>
      <c r="AE7" s="42" t="str">
        <f aca="false">IF($AH7=1,INDEX(報告入力!$BQ$7:$BQ$696,$B7),"")</f>
        <v/>
      </c>
      <c r="AF7" s="43" t="str">
        <f aca="false">IF($AH7=1,INDEX(報告入力!$CG$7:$CG$696,$B7),"")</f>
        <v/>
      </c>
      <c r="AG7" s="33" t="n">
        <f aca="false">IF($B7="",0,IF(OR(C7="未受領",C7="報告なし"),0,1))</f>
        <v>0</v>
      </c>
      <c r="AH7" s="33" t="n">
        <f aca="false">IF(OR(D7="問題なし",D7="要確認"),1,0)</f>
        <v>0</v>
      </c>
      <c r="AI7" s="33" t="n">
        <f aca="false">IF(C7="未受領",MAX(AI$6:AI6)+1,"")</f>
        <v>1</v>
      </c>
      <c r="AJ7" s="33" t="str">
        <f aca="false">IF(D7="要確認",MAX(AJ$6:AJ6)+1,"")</f>
        <v/>
      </c>
      <c r="AK7" s="32" t="str">
        <f aca="false">IF(D7="要確認",INDEX(報告入力!$CH$7:$CH$696,$B7),"")</f>
        <v/>
      </c>
    </row>
    <row r="8" customFormat="false" ht="15" hidden="false" customHeight="false" outlineLevel="0" collapsed="false">
      <c r="A8" s="41" t="str">
        <f aca="false">設定!B62</f>
        <v>下水道局</v>
      </c>
      <c r="B8" s="33" t="n">
        <f aca="false">IFERROR(MATCH(ホーム!$C$4&amp;"|"&amp;A8,報告入力!$CM$7:$CM$696,0),"")</f>
        <v>324</v>
      </c>
      <c r="C8" s="10" t="str">
        <f aca="false">IF($B8="","",INDEX(報告入力!$C$7:$C$696,$B8))</f>
        <v>未受領</v>
      </c>
      <c r="D8" s="10" t="str">
        <f aca="false">IF($B8="","",INDEX(報告入力!$D$7:$D$696,$B8))</f>
        <v>―</v>
      </c>
      <c r="E8" s="24" t="str">
        <f aca="false">IF($B8="","",INDEX(報告入力!$E$7:$E$696,$B8))</f>
        <v>―</v>
      </c>
      <c r="F8" s="42" t="n">
        <f aca="false">IF($B8="","",INDEX(報告入力!$I$7:$I$696,$B8))</f>
        <v>0</v>
      </c>
      <c r="G8" s="42" t="n">
        <f aca="false">IF($B8="","",INDEX(報告入力!$J$7:$J$696,$B8))</f>
        <v>0</v>
      </c>
      <c r="H8" s="42" t="n">
        <f aca="false">IF($B8="","",INDEX(報告入力!$K$7:$K$696,$B8))</f>
        <v>0</v>
      </c>
      <c r="I8" s="42" t="str">
        <f aca="false">IF($AG8=1,INDEX(報告入力!$BR$7:$BR$696,$B8),"")</f>
        <v/>
      </c>
      <c r="J8" s="42" t="str">
        <f aca="false">IF($AH8=1,INDEX(報告入力!$BJ$7:$BJ$696,$B8),"")</f>
        <v/>
      </c>
      <c r="K8" s="43" t="str">
        <f aca="false">IF($AH8=1,INDEX(報告入力!$BZ$7:$BZ$696,$B8),"")</f>
        <v/>
      </c>
      <c r="L8" s="42" t="str">
        <f aca="false">IF($AG8=1,INDEX(報告入力!$BS$7:$BS$696,$B8),"")</f>
        <v/>
      </c>
      <c r="M8" s="42" t="str">
        <f aca="false">IF($AH8=1,INDEX(報告入力!$BK$7:$BK$696,$B8),"")</f>
        <v/>
      </c>
      <c r="N8" s="43" t="str">
        <f aca="false">IF($AH8=1,INDEX(報告入力!$CA$7:$CA$696,$B8),"")</f>
        <v/>
      </c>
      <c r="O8" s="42" t="str">
        <f aca="false">IF($AG8=1,INDEX(報告入力!$BT$7:$BT$696,$B8),"")</f>
        <v/>
      </c>
      <c r="P8" s="42" t="str">
        <f aca="false">IF($AH8=1,INDEX(報告入力!$BL$7:$BL$696,$B8),"")</f>
        <v/>
      </c>
      <c r="Q8" s="43" t="str">
        <f aca="false">IF($AH8=1,INDEX(報告入力!$CB$7:$CB$696,$B8),"")</f>
        <v/>
      </c>
      <c r="R8" s="42" t="str">
        <f aca="false">IF($AG8=1,INDEX(報告入力!$BU$7:$BU$696,$B8),"")</f>
        <v/>
      </c>
      <c r="S8" s="42" t="str">
        <f aca="false">IF($AH8=1,INDEX(報告入力!$BM$7:$BM$696,$B8),"")</f>
        <v/>
      </c>
      <c r="T8" s="43" t="str">
        <f aca="false">IF($AH8=1,INDEX(報告入力!$CC$7:$CC$696,$B8),"")</f>
        <v/>
      </c>
      <c r="U8" s="42" t="str">
        <f aca="false">IF($AG8=1,INDEX(報告入力!$BV$7:$BV$696,$B8),"")</f>
        <v/>
      </c>
      <c r="V8" s="42" t="str">
        <f aca="false">IF($AH8=1,INDEX(報告入力!$BN$7:$BN$696,$B8),"")</f>
        <v/>
      </c>
      <c r="W8" s="43" t="str">
        <f aca="false">IF($AH8=1,INDEX(報告入力!$CD$7:$CD$696,$B8),"")</f>
        <v/>
      </c>
      <c r="X8" s="42" t="str">
        <f aca="false">IF($AG8=1,INDEX(報告入力!$BW$7:$BW$696,$B8),"")</f>
        <v/>
      </c>
      <c r="Y8" s="42" t="str">
        <f aca="false">IF($AH8=1,INDEX(報告入力!$BO$7:$BO$696,$B8),"")</f>
        <v/>
      </c>
      <c r="Z8" s="43" t="str">
        <f aca="false">IF($AH8=1,INDEX(報告入力!$CE$7:$CE$696,$B8),"")</f>
        <v/>
      </c>
      <c r="AA8" s="42" t="str">
        <f aca="false">IF($AG8=1,INDEX(報告入力!$BX$7:$BX$696,$B8),"")</f>
        <v/>
      </c>
      <c r="AB8" s="42" t="str">
        <f aca="false">IF($AH8=1,INDEX(報告入力!$BP$7:$BP$696,$B8),"")</f>
        <v/>
      </c>
      <c r="AC8" s="43" t="str">
        <f aca="false">IF($AH8=1,INDEX(報告入力!$CF$7:$CF$696,$B8),"")</f>
        <v/>
      </c>
      <c r="AD8" s="42" t="str">
        <f aca="false">IF($AG8=1,INDEX(報告入力!$BY$7:$BY$696,$B8),"")</f>
        <v/>
      </c>
      <c r="AE8" s="42" t="str">
        <f aca="false">IF($AH8=1,INDEX(報告入力!$BQ$7:$BQ$696,$B8),"")</f>
        <v/>
      </c>
      <c r="AF8" s="43" t="str">
        <f aca="false">IF($AH8=1,INDEX(報告入力!$CG$7:$CG$696,$B8),"")</f>
        <v/>
      </c>
      <c r="AG8" s="33" t="n">
        <f aca="false">IF($B8="",0,IF(OR(C8="未受領",C8="報告なし"),0,1))</f>
        <v>0</v>
      </c>
      <c r="AH8" s="33" t="n">
        <f aca="false">IF(OR(D8="問題なし",D8="要確認"),1,0)</f>
        <v>0</v>
      </c>
      <c r="AI8" s="33" t="n">
        <f aca="false">IF(C8="未受領",MAX(AI$6:AI7)+1,"")</f>
        <v>2</v>
      </c>
      <c r="AJ8" s="33" t="str">
        <f aca="false">IF(D8="要確認",MAX(AJ$6:AJ7)+1,"")</f>
        <v/>
      </c>
      <c r="AK8" s="32" t="str">
        <f aca="false">IF(D8="要確認",INDEX(報告入力!$CH$7:$CH$696,$B8),"")</f>
        <v/>
      </c>
    </row>
    <row r="9" customFormat="false" ht="15" hidden="false" customHeight="false" outlineLevel="0" collapsed="false">
      <c r="A9" s="41" t="str">
        <f aca="false">設定!B63</f>
        <v>消防局</v>
      </c>
      <c r="B9" s="33" t="n">
        <f aca="false">IFERROR(MATCH(ホーム!$C$4&amp;"|"&amp;A9,報告入力!$CM$7:$CM$696,0),"")</f>
        <v>325</v>
      </c>
      <c r="C9" s="10" t="str">
        <f aca="false">IF($B9="","",INDEX(報告入力!$C$7:$C$696,$B9))</f>
        <v>未受領</v>
      </c>
      <c r="D9" s="10" t="str">
        <f aca="false">IF($B9="","",INDEX(報告入力!$D$7:$D$696,$B9))</f>
        <v>―</v>
      </c>
      <c r="E9" s="24" t="str">
        <f aca="false">IF($B9="","",INDEX(報告入力!$E$7:$E$696,$B9))</f>
        <v>―</v>
      </c>
      <c r="F9" s="42" t="n">
        <f aca="false">IF($B9="","",INDEX(報告入力!$I$7:$I$696,$B9))</f>
        <v>0</v>
      </c>
      <c r="G9" s="42" t="n">
        <f aca="false">IF($B9="","",INDEX(報告入力!$J$7:$J$696,$B9))</f>
        <v>0</v>
      </c>
      <c r="H9" s="42" t="n">
        <f aca="false">IF($B9="","",INDEX(報告入力!$K$7:$K$696,$B9))</f>
        <v>0</v>
      </c>
      <c r="I9" s="42" t="str">
        <f aca="false">IF($AG9=1,INDEX(報告入力!$BR$7:$BR$696,$B9),"")</f>
        <v/>
      </c>
      <c r="J9" s="42" t="str">
        <f aca="false">IF($AH9=1,INDEX(報告入力!$BJ$7:$BJ$696,$B9),"")</f>
        <v/>
      </c>
      <c r="K9" s="43" t="str">
        <f aca="false">IF($AH9=1,INDEX(報告入力!$BZ$7:$BZ$696,$B9),"")</f>
        <v/>
      </c>
      <c r="L9" s="42" t="str">
        <f aca="false">IF($AG9=1,INDEX(報告入力!$BS$7:$BS$696,$B9),"")</f>
        <v/>
      </c>
      <c r="M9" s="42" t="str">
        <f aca="false">IF($AH9=1,INDEX(報告入力!$BK$7:$BK$696,$B9),"")</f>
        <v/>
      </c>
      <c r="N9" s="43" t="str">
        <f aca="false">IF($AH9=1,INDEX(報告入力!$CA$7:$CA$696,$B9),"")</f>
        <v/>
      </c>
      <c r="O9" s="42" t="str">
        <f aca="false">IF($AG9=1,INDEX(報告入力!$BT$7:$BT$696,$B9),"")</f>
        <v/>
      </c>
      <c r="P9" s="42" t="str">
        <f aca="false">IF($AH9=1,INDEX(報告入力!$BL$7:$BL$696,$B9),"")</f>
        <v/>
      </c>
      <c r="Q9" s="43" t="str">
        <f aca="false">IF($AH9=1,INDEX(報告入力!$CB$7:$CB$696,$B9),"")</f>
        <v/>
      </c>
      <c r="R9" s="42" t="str">
        <f aca="false">IF($AG9=1,INDEX(報告入力!$BU$7:$BU$696,$B9),"")</f>
        <v/>
      </c>
      <c r="S9" s="42" t="str">
        <f aca="false">IF($AH9=1,INDEX(報告入力!$BM$7:$BM$696,$B9),"")</f>
        <v/>
      </c>
      <c r="T9" s="43" t="str">
        <f aca="false">IF($AH9=1,INDEX(報告入力!$CC$7:$CC$696,$B9),"")</f>
        <v/>
      </c>
      <c r="U9" s="42" t="str">
        <f aca="false">IF($AG9=1,INDEX(報告入力!$BV$7:$BV$696,$B9),"")</f>
        <v/>
      </c>
      <c r="V9" s="42" t="str">
        <f aca="false">IF($AH9=1,INDEX(報告入力!$BN$7:$BN$696,$B9),"")</f>
        <v/>
      </c>
      <c r="W9" s="43" t="str">
        <f aca="false">IF($AH9=1,INDEX(報告入力!$CD$7:$CD$696,$B9),"")</f>
        <v/>
      </c>
      <c r="X9" s="42" t="str">
        <f aca="false">IF($AG9=1,INDEX(報告入力!$BW$7:$BW$696,$B9),"")</f>
        <v/>
      </c>
      <c r="Y9" s="42" t="str">
        <f aca="false">IF($AH9=1,INDEX(報告入力!$BO$7:$BO$696,$B9),"")</f>
        <v/>
      </c>
      <c r="Z9" s="43" t="str">
        <f aca="false">IF($AH9=1,INDEX(報告入力!$CE$7:$CE$696,$B9),"")</f>
        <v/>
      </c>
      <c r="AA9" s="42" t="str">
        <f aca="false">IF($AG9=1,INDEX(報告入力!$BX$7:$BX$696,$B9),"")</f>
        <v/>
      </c>
      <c r="AB9" s="42" t="str">
        <f aca="false">IF($AH9=1,INDEX(報告入力!$BP$7:$BP$696,$B9),"")</f>
        <v/>
      </c>
      <c r="AC9" s="43" t="str">
        <f aca="false">IF($AH9=1,INDEX(報告入力!$CF$7:$CF$696,$B9),"")</f>
        <v/>
      </c>
      <c r="AD9" s="42" t="str">
        <f aca="false">IF($AG9=1,INDEX(報告入力!$BY$7:$BY$696,$B9),"")</f>
        <v/>
      </c>
      <c r="AE9" s="42" t="str">
        <f aca="false">IF($AH9=1,INDEX(報告入力!$BQ$7:$BQ$696,$B9),"")</f>
        <v/>
      </c>
      <c r="AF9" s="43" t="str">
        <f aca="false">IF($AH9=1,INDEX(報告入力!$CG$7:$CG$696,$B9),"")</f>
        <v/>
      </c>
      <c r="AG9" s="33" t="n">
        <f aca="false">IF($B9="",0,IF(OR(C9="未受領",C9="報告なし"),0,1))</f>
        <v>0</v>
      </c>
      <c r="AH9" s="33" t="n">
        <f aca="false">IF(OR(D9="問題なし",D9="要確認"),1,0)</f>
        <v>0</v>
      </c>
      <c r="AI9" s="33" t="n">
        <f aca="false">IF(C9="未受領",MAX(AI$6:AI8)+1,"")</f>
        <v>3</v>
      </c>
      <c r="AJ9" s="33" t="str">
        <f aca="false">IF(D9="要確認",MAX(AJ$6:AJ8)+1,"")</f>
        <v/>
      </c>
      <c r="AK9" s="32" t="str">
        <f aca="false">IF(D9="要確認",INDEX(報告入力!$CH$7:$CH$696,$B9),"")</f>
        <v/>
      </c>
    </row>
    <row r="10" customFormat="false" ht="15" hidden="false" customHeight="false" outlineLevel="0" collapsed="false">
      <c r="A10" s="41" t="str">
        <f aca="false">設定!B64</f>
        <v>議会事務局</v>
      </c>
      <c r="B10" s="33" t="n">
        <f aca="false">IFERROR(MATCH(ホーム!$C$4&amp;"|"&amp;A10,報告入力!$CM$7:$CM$696,0),"")</f>
        <v>326</v>
      </c>
      <c r="C10" s="10" t="str">
        <f aca="false">IF($B10="","",INDEX(報告入力!$C$7:$C$696,$B10))</f>
        <v>未受領</v>
      </c>
      <c r="D10" s="10" t="str">
        <f aca="false">IF($B10="","",INDEX(報告入力!$D$7:$D$696,$B10))</f>
        <v>―</v>
      </c>
      <c r="E10" s="24" t="str">
        <f aca="false">IF($B10="","",INDEX(報告入力!$E$7:$E$696,$B10))</f>
        <v>―</v>
      </c>
      <c r="F10" s="42" t="n">
        <f aca="false">IF($B10="","",INDEX(報告入力!$I$7:$I$696,$B10))</f>
        <v>0</v>
      </c>
      <c r="G10" s="42" t="n">
        <f aca="false">IF($B10="","",INDEX(報告入力!$J$7:$J$696,$B10))</f>
        <v>0</v>
      </c>
      <c r="H10" s="42" t="n">
        <f aca="false">IF($B10="","",INDEX(報告入力!$K$7:$K$696,$B10))</f>
        <v>0</v>
      </c>
      <c r="I10" s="42" t="str">
        <f aca="false">IF($AG10=1,INDEX(報告入力!$BR$7:$BR$696,$B10),"")</f>
        <v/>
      </c>
      <c r="J10" s="42" t="str">
        <f aca="false">IF($AH10=1,INDEX(報告入力!$BJ$7:$BJ$696,$B10),"")</f>
        <v/>
      </c>
      <c r="K10" s="43" t="str">
        <f aca="false">IF($AH10=1,INDEX(報告入力!$BZ$7:$BZ$696,$B10),"")</f>
        <v/>
      </c>
      <c r="L10" s="42" t="str">
        <f aca="false">IF($AG10=1,INDEX(報告入力!$BS$7:$BS$696,$B10),"")</f>
        <v/>
      </c>
      <c r="M10" s="42" t="str">
        <f aca="false">IF($AH10=1,INDEX(報告入力!$BK$7:$BK$696,$B10),"")</f>
        <v/>
      </c>
      <c r="N10" s="43" t="str">
        <f aca="false">IF($AH10=1,INDEX(報告入力!$CA$7:$CA$696,$B10),"")</f>
        <v/>
      </c>
      <c r="O10" s="42" t="str">
        <f aca="false">IF($AG10=1,INDEX(報告入力!$BT$7:$BT$696,$B10),"")</f>
        <v/>
      </c>
      <c r="P10" s="42" t="str">
        <f aca="false">IF($AH10=1,INDEX(報告入力!$BL$7:$BL$696,$B10),"")</f>
        <v/>
      </c>
      <c r="Q10" s="43" t="str">
        <f aca="false">IF($AH10=1,INDEX(報告入力!$CB$7:$CB$696,$B10),"")</f>
        <v/>
      </c>
      <c r="R10" s="42" t="str">
        <f aca="false">IF($AG10=1,INDEX(報告入力!$BU$7:$BU$696,$B10),"")</f>
        <v/>
      </c>
      <c r="S10" s="42" t="str">
        <f aca="false">IF($AH10=1,INDEX(報告入力!$BM$7:$BM$696,$B10),"")</f>
        <v/>
      </c>
      <c r="T10" s="43" t="str">
        <f aca="false">IF($AH10=1,INDEX(報告入力!$CC$7:$CC$696,$B10),"")</f>
        <v/>
      </c>
      <c r="U10" s="42" t="str">
        <f aca="false">IF($AG10=1,INDEX(報告入力!$BV$7:$BV$696,$B10),"")</f>
        <v/>
      </c>
      <c r="V10" s="42" t="str">
        <f aca="false">IF($AH10=1,INDEX(報告入力!$BN$7:$BN$696,$B10),"")</f>
        <v/>
      </c>
      <c r="W10" s="43" t="str">
        <f aca="false">IF($AH10=1,INDEX(報告入力!$CD$7:$CD$696,$B10),"")</f>
        <v/>
      </c>
      <c r="X10" s="42" t="str">
        <f aca="false">IF($AG10=1,INDEX(報告入力!$BW$7:$BW$696,$B10),"")</f>
        <v/>
      </c>
      <c r="Y10" s="42" t="str">
        <f aca="false">IF($AH10=1,INDEX(報告入力!$BO$7:$BO$696,$B10),"")</f>
        <v/>
      </c>
      <c r="Z10" s="43" t="str">
        <f aca="false">IF($AH10=1,INDEX(報告入力!$CE$7:$CE$696,$B10),"")</f>
        <v/>
      </c>
      <c r="AA10" s="42" t="str">
        <f aca="false">IF($AG10=1,INDEX(報告入力!$BX$7:$BX$696,$B10),"")</f>
        <v/>
      </c>
      <c r="AB10" s="42" t="str">
        <f aca="false">IF($AH10=1,INDEX(報告入力!$BP$7:$BP$696,$B10),"")</f>
        <v/>
      </c>
      <c r="AC10" s="43" t="str">
        <f aca="false">IF($AH10=1,INDEX(報告入力!$CF$7:$CF$696,$B10),"")</f>
        <v/>
      </c>
      <c r="AD10" s="42" t="str">
        <f aca="false">IF($AG10=1,INDEX(報告入力!$BY$7:$BY$696,$B10),"")</f>
        <v/>
      </c>
      <c r="AE10" s="42" t="str">
        <f aca="false">IF($AH10=1,INDEX(報告入力!$BQ$7:$BQ$696,$B10),"")</f>
        <v/>
      </c>
      <c r="AF10" s="43" t="str">
        <f aca="false">IF($AH10=1,INDEX(報告入力!$CG$7:$CG$696,$B10),"")</f>
        <v/>
      </c>
      <c r="AG10" s="33" t="n">
        <f aca="false">IF($B10="",0,IF(OR(C10="未受領",C10="報告なし"),0,1))</f>
        <v>0</v>
      </c>
      <c r="AH10" s="33" t="n">
        <f aca="false">IF(OR(D10="問題なし",D10="要確認"),1,0)</f>
        <v>0</v>
      </c>
      <c r="AI10" s="33" t="n">
        <f aca="false">IF(C10="未受領",MAX(AI$6:AI9)+1,"")</f>
        <v>4</v>
      </c>
      <c r="AJ10" s="33" t="str">
        <f aca="false">IF(D10="要確認",MAX(AJ$6:AJ9)+1,"")</f>
        <v/>
      </c>
      <c r="AK10" s="32" t="str">
        <f aca="false">IF(D10="要確認",INDEX(報告入力!$CH$7:$CH$696,$B10),"")</f>
        <v/>
      </c>
    </row>
    <row r="11" customFormat="false" ht="15" hidden="false" customHeight="false" outlineLevel="0" collapsed="false">
      <c r="A11" s="41" t="str">
        <f aca="false">設定!B65</f>
        <v>教育委員会（総務課）</v>
      </c>
      <c r="B11" s="33" t="n">
        <f aca="false">IFERROR(MATCH(ホーム!$C$4&amp;"|"&amp;A11,報告入力!$CM$7:$CM$696,0),"")</f>
        <v>327</v>
      </c>
      <c r="C11" s="10" t="str">
        <f aca="false">IF($B11="","",INDEX(報告入力!$C$7:$C$696,$B11))</f>
        <v>未受領</v>
      </c>
      <c r="D11" s="10" t="str">
        <f aca="false">IF($B11="","",INDEX(報告入力!$D$7:$D$696,$B11))</f>
        <v>―</v>
      </c>
      <c r="E11" s="24" t="str">
        <f aca="false">IF($B11="","",INDEX(報告入力!$E$7:$E$696,$B11))</f>
        <v>―</v>
      </c>
      <c r="F11" s="42" t="n">
        <f aca="false">IF($B11="","",INDEX(報告入力!$I$7:$I$696,$B11))</f>
        <v>0</v>
      </c>
      <c r="G11" s="42" t="n">
        <f aca="false">IF($B11="","",INDEX(報告入力!$J$7:$J$696,$B11))</f>
        <v>0</v>
      </c>
      <c r="H11" s="42" t="n">
        <f aca="false">IF($B11="","",INDEX(報告入力!$K$7:$K$696,$B11))</f>
        <v>0</v>
      </c>
      <c r="I11" s="42" t="str">
        <f aca="false">IF($AG11=1,INDEX(報告入力!$BR$7:$BR$696,$B11),"")</f>
        <v/>
      </c>
      <c r="J11" s="42" t="str">
        <f aca="false">IF($AH11=1,INDEX(報告入力!$BJ$7:$BJ$696,$B11),"")</f>
        <v/>
      </c>
      <c r="K11" s="43" t="str">
        <f aca="false">IF($AH11=1,INDEX(報告入力!$BZ$7:$BZ$696,$B11),"")</f>
        <v/>
      </c>
      <c r="L11" s="42" t="str">
        <f aca="false">IF($AG11=1,INDEX(報告入力!$BS$7:$BS$696,$B11),"")</f>
        <v/>
      </c>
      <c r="M11" s="42" t="str">
        <f aca="false">IF($AH11=1,INDEX(報告入力!$BK$7:$BK$696,$B11),"")</f>
        <v/>
      </c>
      <c r="N11" s="43" t="str">
        <f aca="false">IF($AH11=1,INDEX(報告入力!$CA$7:$CA$696,$B11),"")</f>
        <v/>
      </c>
      <c r="O11" s="42" t="str">
        <f aca="false">IF($AG11=1,INDEX(報告入力!$BT$7:$BT$696,$B11),"")</f>
        <v/>
      </c>
      <c r="P11" s="42" t="str">
        <f aca="false">IF($AH11=1,INDEX(報告入力!$BL$7:$BL$696,$B11),"")</f>
        <v/>
      </c>
      <c r="Q11" s="43" t="str">
        <f aca="false">IF($AH11=1,INDEX(報告入力!$CB$7:$CB$696,$B11),"")</f>
        <v/>
      </c>
      <c r="R11" s="42" t="str">
        <f aca="false">IF($AG11=1,INDEX(報告入力!$BU$7:$BU$696,$B11),"")</f>
        <v/>
      </c>
      <c r="S11" s="42" t="str">
        <f aca="false">IF($AH11=1,INDEX(報告入力!$BM$7:$BM$696,$B11),"")</f>
        <v/>
      </c>
      <c r="T11" s="43" t="str">
        <f aca="false">IF($AH11=1,INDEX(報告入力!$CC$7:$CC$696,$B11),"")</f>
        <v/>
      </c>
      <c r="U11" s="42" t="str">
        <f aca="false">IF($AG11=1,INDEX(報告入力!$BV$7:$BV$696,$B11),"")</f>
        <v/>
      </c>
      <c r="V11" s="42" t="str">
        <f aca="false">IF($AH11=1,INDEX(報告入力!$BN$7:$BN$696,$B11),"")</f>
        <v/>
      </c>
      <c r="W11" s="43" t="str">
        <f aca="false">IF($AH11=1,INDEX(報告入力!$CD$7:$CD$696,$B11),"")</f>
        <v/>
      </c>
      <c r="X11" s="42" t="str">
        <f aca="false">IF($AG11=1,INDEX(報告入力!$BW$7:$BW$696,$B11),"")</f>
        <v/>
      </c>
      <c r="Y11" s="42" t="str">
        <f aca="false">IF($AH11=1,INDEX(報告入力!$BO$7:$BO$696,$B11),"")</f>
        <v/>
      </c>
      <c r="Z11" s="43" t="str">
        <f aca="false">IF($AH11=1,INDEX(報告入力!$CE$7:$CE$696,$B11),"")</f>
        <v/>
      </c>
      <c r="AA11" s="42" t="str">
        <f aca="false">IF($AG11=1,INDEX(報告入力!$BX$7:$BX$696,$B11),"")</f>
        <v/>
      </c>
      <c r="AB11" s="42" t="str">
        <f aca="false">IF($AH11=1,INDEX(報告入力!$BP$7:$BP$696,$B11),"")</f>
        <v/>
      </c>
      <c r="AC11" s="43" t="str">
        <f aca="false">IF($AH11=1,INDEX(報告入力!$CF$7:$CF$696,$B11),"")</f>
        <v/>
      </c>
      <c r="AD11" s="42" t="str">
        <f aca="false">IF($AG11=1,INDEX(報告入力!$BY$7:$BY$696,$B11),"")</f>
        <v/>
      </c>
      <c r="AE11" s="42" t="str">
        <f aca="false">IF($AH11=1,INDEX(報告入力!$BQ$7:$BQ$696,$B11),"")</f>
        <v/>
      </c>
      <c r="AF11" s="43" t="str">
        <f aca="false">IF($AH11=1,INDEX(報告入力!$CG$7:$CG$696,$B11),"")</f>
        <v/>
      </c>
      <c r="AG11" s="33" t="n">
        <f aca="false">IF($B11="",0,IF(OR(C11="未受領",C11="報告なし"),0,1))</f>
        <v>0</v>
      </c>
      <c r="AH11" s="33" t="n">
        <f aca="false">IF(OR(D11="問題なし",D11="要確認"),1,0)</f>
        <v>0</v>
      </c>
      <c r="AI11" s="33" t="n">
        <f aca="false">IF(C11="未受領",MAX(AI$6:AI10)+1,"")</f>
        <v>5</v>
      </c>
      <c r="AJ11" s="33" t="str">
        <f aca="false">IF(D11="要確認",MAX(AJ$6:AJ10)+1,"")</f>
        <v/>
      </c>
      <c r="AK11" s="32" t="str">
        <f aca="false">IF(D11="要確認",INDEX(報告入力!$CH$7:$CH$696,$B11),"")</f>
        <v/>
      </c>
    </row>
    <row r="12" customFormat="false" ht="15" hidden="false" customHeight="false" outlineLevel="0" collapsed="false">
      <c r="A12" s="41" t="str">
        <f aca="false">設定!B66</f>
        <v>選挙管理委員会</v>
      </c>
      <c r="B12" s="33" t="n">
        <f aca="false">IFERROR(MATCH(ホーム!$C$4&amp;"|"&amp;A12,報告入力!$CM$7:$CM$696,0),"")</f>
        <v>328</v>
      </c>
      <c r="C12" s="10" t="str">
        <f aca="false">IF($B12="","",INDEX(報告入力!$C$7:$C$696,$B12))</f>
        <v>未受領</v>
      </c>
      <c r="D12" s="10" t="str">
        <f aca="false">IF($B12="","",INDEX(報告入力!$D$7:$D$696,$B12))</f>
        <v>―</v>
      </c>
      <c r="E12" s="24" t="str">
        <f aca="false">IF($B12="","",INDEX(報告入力!$E$7:$E$696,$B12))</f>
        <v>―</v>
      </c>
      <c r="F12" s="42" t="n">
        <f aca="false">IF($B12="","",INDEX(報告入力!$I$7:$I$696,$B12))</f>
        <v>0</v>
      </c>
      <c r="G12" s="42" t="n">
        <f aca="false">IF($B12="","",INDEX(報告入力!$J$7:$J$696,$B12))</f>
        <v>0</v>
      </c>
      <c r="H12" s="42" t="n">
        <f aca="false">IF($B12="","",INDEX(報告入力!$K$7:$K$696,$B12))</f>
        <v>0</v>
      </c>
      <c r="I12" s="42" t="str">
        <f aca="false">IF($AG12=1,INDEX(報告入力!$BR$7:$BR$696,$B12),"")</f>
        <v/>
      </c>
      <c r="J12" s="42" t="str">
        <f aca="false">IF($AH12=1,INDEX(報告入力!$BJ$7:$BJ$696,$B12),"")</f>
        <v/>
      </c>
      <c r="K12" s="43" t="str">
        <f aca="false">IF($AH12=1,INDEX(報告入力!$BZ$7:$BZ$696,$B12),"")</f>
        <v/>
      </c>
      <c r="L12" s="42" t="str">
        <f aca="false">IF($AG12=1,INDEX(報告入力!$BS$7:$BS$696,$B12),"")</f>
        <v/>
      </c>
      <c r="M12" s="42" t="str">
        <f aca="false">IF($AH12=1,INDEX(報告入力!$BK$7:$BK$696,$B12),"")</f>
        <v/>
      </c>
      <c r="N12" s="43" t="str">
        <f aca="false">IF($AH12=1,INDEX(報告入力!$CA$7:$CA$696,$B12),"")</f>
        <v/>
      </c>
      <c r="O12" s="42" t="str">
        <f aca="false">IF($AG12=1,INDEX(報告入力!$BT$7:$BT$696,$B12),"")</f>
        <v/>
      </c>
      <c r="P12" s="42" t="str">
        <f aca="false">IF($AH12=1,INDEX(報告入力!$BL$7:$BL$696,$B12),"")</f>
        <v/>
      </c>
      <c r="Q12" s="43" t="str">
        <f aca="false">IF($AH12=1,INDEX(報告入力!$CB$7:$CB$696,$B12),"")</f>
        <v/>
      </c>
      <c r="R12" s="42" t="str">
        <f aca="false">IF($AG12=1,INDEX(報告入力!$BU$7:$BU$696,$B12),"")</f>
        <v/>
      </c>
      <c r="S12" s="42" t="str">
        <f aca="false">IF($AH12=1,INDEX(報告入力!$BM$7:$BM$696,$B12),"")</f>
        <v/>
      </c>
      <c r="T12" s="43" t="str">
        <f aca="false">IF($AH12=1,INDEX(報告入力!$CC$7:$CC$696,$B12),"")</f>
        <v/>
      </c>
      <c r="U12" s="42" t="str">
        <f aca="false">IF($AG12=1,INDEX(報告入力!$BV$7:$BV$696,$B12),"")</f>
        <v/>
      </c>
      <c r="V12" s="42" t="str">
        <f aca="false">IF($AH12=1,INDEX(報告入力!$BN$7:$BN$696,$B12),"")</f>
        <v/>
      </c>
      <c r="W12" s="43" t="str">
        <f aca="false">IF($AH12=1,INDEX(報告入力!$CD$7:$CD$696,$B12),"")</f>
        <v/>
      </c>
      <c r="X12" s="42" t="str">
        <f aca="false">IF($AG12=1,INDEX(報告入力!$BW$7:$BW$696,$B12),"")</f>
        <v/>
      </c>
      <c r="Y12" s="42" t="str">
        <f aca="false">IF($AH12=1,INDEX(報告入力!$BO$7:$BO$696,$B12),"")</f>
        <v/>
      </c>
      <c r="Z12" s="43" t="str">
        <f aca="false">IF($AH12=1,INDEX(報告入力!$CE$7:$CE$696,$B12),"")</f>
        <v/>
      </c>
      <c r="AA12" s="42" t="str">
        <f aca="false">IF($AG12=1,INDEX(報告入力!$BX$7:$BX$696,$B12),"")</f>
        <v/>
      </c>
      <c r="AB12" s="42" t="str">
        <f aca="false">IF($AH12=1,INDEX(報告入力!$BP$7:$BP$696,$B12),"")</f>
        <v/>
      </c>
      <c r="AC12" s="43" t="str">
        <f aca="false">IF($AH12=1,INDEX(報告入力!$CF$7:$CF$696,$B12),"")</f>
        <v/>
      </c>
      <c r="AD12" s="42" t="str">
        <f aca="false">IF($AG12=1,INDEX(報告入力!$BY$7:$BY$696,$B12),"")</f>
        <v/>
      </c>
      <c r="AE12" s="42" t="str">
        <f aca="false">IF($AH12=1,INDEX(報告入力!$BQ$7:$BQ$696,$B12),"")</f>
        <v/>
      </c>
      <c r="AF12" s="43" t="str">
        <f aca="false">IF($AH12=1,INDEX(報告入力!$CG$7:$CG$696,$B12),"")</f>
        <v/>
      </c>
      <c r="AG12" s="33" t="n">
        <f aca="false">IF($B12="",0,IF(OR(C12="未受領",C12="報告なし"),0,1))</f>
        <v>0</v>
      </c>
      <c r="AH12" s="33" t="n">
        <f aca="false">IF(OR(D12="問題なし",D12="要確認"),1,0)</f>
        <v>0</v>
      </c>
      <c r="AI12" s="33" t="n">
        <f aca="false">IF(C12="未受領",MAX(AI$6:AI11)+1,"")</f>
        <v>6</v>
      </c>
      <c r="AJ12" s="33" t="str">
        <f aca="false">IF(D12="要確認",MAX(AJ$6:AJ11)+1,"")</f>
        <v/>
      </c>
      <c r="AK12" s="32" t="str">
        <f aca="false">IF(D12="要確認",INDEX(報告入力!$CH$7:$CH$696,$B12),"")</f>
        <v/>
      </c>
    </row>
    <row r="13" customFormat="false" ht="15" hidden="false" customHeight="false" outlineLevel="0" collapsed="false">
      <c r="A13" s="41" t="str">
        <f aca="false">設定!B67</f>
        <v>人事委員会</v>
      </c>
      <c r="B13" s="33" t="n">
        <f aca="false">IFERROR(MATCH(ホーム!$C$4&amp;"|"&amp;A13,報告入力!$CM$7:$CM$696,0),"")</f>
        <v>329</v>
      </c>
      <c r="C13" s="10" t="str">
        <f aca="false">IF($B13="","",INDEX(報告入力!$C$7:$C$696,$B13))</f>
        <v>未受領</v>
      </c>
      <c r="D13" s="10" t="str">
        <f aca="false">IF($B13="","",INDEX(報告入力!$D$7:$D$696,$B13))</f>
        <v>―</v>
      </c>
      <c r="E13" s="24" t="str">
        <f aca="false">IF($B13="","",INDEX(報告入力!$E$7:$E$696,$B13))</f>
        <v>―</v>
      </c>
      <c r="F13" s="42" t="n">
        <f aca="false">IF($B13="","",INDEX(報告入力!$I$7:$I$696,$B13))</f>
        <v>0</v>
      </c>
      <c r="G13" s="42" t="n">
        <f aca="false">IF($B13="","",INDEX(報告入力!$J$7:$J$696,$B13))</f>
        <v>0</v>
      </c>
      <c r="H13" s="42" t="n">
        <f aca="false">IF($B13="","",INDEX(報告入力!$K$7:$K$696,$B13))</f>
        <v>0</v>
      </c>
      <c r="I13" s="42" t="str">
        <f aca="false">IF($AG13=1,INDEX(報告入力!$BR$7:$BR$696,$B13),"")</f>
        <v/>
      </c>
      <c r="J13" s="42" t="str">
        <f aca="false">IF($AH13=1,INDEX(報告入力!$BJ$7:$BJ$696,$B13),"")</f>
        <v/>
      </c>
      <c r="K13" s="43" t="str">
        <f aca="false">IF($AH13=1,INDEX(報告入力!$BZ$7:$BZ$696,$B13),"")</f>
        <v/>
      </c>
      <c r="L13" s="42" t="str">
        <f aca="false">IF($AG13=1,INDEX(報告入力!$BS$7:$BS$696,$B13),"")</f>
        <v/>
      </c>
      <c r="M13" s="42" t="str">
        <f aca="false">IF($AH13=1,INDEX(報告入力!$BK$7:$BK$696,$B13),"")</f>
        <v/>
      </c>
      <c r="N13" s="43" t="str">
        <f aca="false">IF($AH13=1,INDEX(報告入力!$CA$7:$CA$696,$B13),"")</f>
        <v/>
      </c>
      <c r="O13" s="42" t="str">
        <f aca="false">IF($AG13=1,INDEX(報告入力!$BT$7:$BT$696,$B13),"")</f>
        <v/>
      </c>
      <c r="P13" s="42" t="str">
        <f aca="false">IF($AH13=1,INDEX(報告入力!$BL$7:$BL$696,$B13),"")</f>
        <v/>
      </c>
      <c r="Q13" s="43" t="str">
        <f aca="false">IF($AH13=1,INDEX(報告入力!$CB$7:$CB$696,$B13),"")</f>
        <v/>
      </c>
      <c r="R13" s="42" t="str">
        <f aca="false">IF($AG13=1,INDEX(報告入力!$BU$7:$BU$696,$B13),"")</f>
        <v/>
      </c>
      <c r="S13" s="42" t="str">
        <f aca="false">IF($AH13=1,INDEX(報告入力!$BM$7:$BM$696,$B13),"")</f>
        <v/>
      </c>
      <c r="T13" s="43" t="str">
        <f aca="false">IF($AH13=1,INDEX(報告入力!$CC$7:$CC$696,$B13),"")</f>
        <v/>
      </c>
      <c r="U13" s="42" t="str">
        <f aca="false">IF($AG13=1,INDEX(報告入力!$BV$7:$BV$696,$B13),"")</f>
        <v/>
      </c>
      <c r="V13" s="42" t="str">
        <f aca="false">IF($AH13=1,INDEX(報告入力!$BN$7:$BN$696,$B13),"")</f>
        <v/>
      </c>
      <c r="W13" s="43" t="str">
        <f aca="false">IF($AH13=1,INDEX(報告入力!$CD$7:$CD$696,$B13),"")</f>
        <v/>
      </c>
      <c r="X13" s="42" t="str">
        <f aca="false">IF($AG13=1,INDEX(報告入力!$BW$7:$BW$696,$B13),"")</f>
        <v/>
      </c>
      <c r="Y13" s="42" t="str">
        <f aca="false">IF($AH13=1,INDEX(報告入力!$BO$7:$BO$696,$B13),"")</f>
        <v/>
      </c>
      <c r="Z13" s="43" t="str">
        <f aca="false">IF($AH13=1,INDEX(報告入力!$CE$7:$CE$696,$B13),"")</f>
        <v/>
      </c>
      <c r="AA13" s="42" t="str">
        <f aca="false">IF($AG13=1,INDEX(報告入力!$BX$7:$BX$696,$B13),"")</f>
        <v/>
      </c>
      <c r="AB13" s="42" t="str">
        <f aca="false">IF($AH13=1,INDEX(報告入力!$BP$7:$BP$696,$B13),"")</f>
        <v/>
      </c>
      <c r="AC13" s="43" t="str">
        <f aca="false">IF($AH13=1,INDEX(報告入力!$CF$7:$CF$696,$B13),"")</f>
        <v/>
      </c>
      <c r="AD13" s="42" t="str">
        <f aca="false">IF($AG13=1,INDEX(報告入力!$BY$7:$BY$696,$B13),"")</f>
        <v/>
      </c>
      <c r="AE13" s="42" t="str">
        <f aca="false">IF($AH13=1,INDEX(報告入力!$BQ$7:$BQ$696,$B13),"")</f>
        <v/>
      </c>
      <c r="AF13" s="43" t="str">
        <f aca="false">IF($AH13=1,INDEX(報告入力!$CG$7:$CG$696,$B13),"")</f>
        <v/>
      </c>
      <c r="AG13" s="33" t="n">
        <f aca="false">IF($B13="",0,IF(OR(C13="未受領",C13="報告なし"),0,1))</f>
        <v>0</v>
      </c>
      <c r="AH13" s="33" t="n">
        <f aca="false">IF(OR(D13="問題なし",D13="要確認"),1,0)</f>
        <v>0</v>
      </c>
      <c r="AI13" s="33" t="n">
        <f aca="false">IF(C13="未受領",MAX(AI$6:AI12)+1,"")</f>
        <v>7</v>
      </c>
      <c r="AJ13" s="33" t="str">
        <f aca="false">IF(D13="要確認",MAX(AJ$6:AJ12)+1,"")</f>
        <v/>
      </c>
      <c r="AK13" s="32" t="str">
        <f aca="false">IF(D13="要確認",INDEX(報告入力!$CH$7:$CH$696,$B13),"")</f>
        <v/>
      </c>
    </row>
    <row r="14" customFormat="false" ht="15" hidden="false" customHeight="false" outlineLevel="0" collapsed="false">
      <c r="A14" s="41" t="str">
        <f aca="false">設定!B68</f>
        <v>監査事務局</v>
      </c>
      <c r="B14" s="33" t="n">
        <f aca="false">IFERROR(MATCH(ホーム!$C$4&amp;"|"&amp;A14,報告入力!$CM$7:$CM$696,0),"")</f>
        <v>330</v>
      </c>
      <c r="C14" s="10" t="str">
        <f aca="false">IF($B14="","",INDEX(報告入力!$C$7:$C$696,$B14))</f>
        <v>未受領</v>
      </c>
      <c r="D14" s="10" t="str">
        <f aca="false">IF($B14="","",INDEX(報告入力!$D$7:$D$696,$B14))</f>
        <v>―</v>
      </c>
      <c r="E14" s="24" t="str">
        <f aca="false">IF($B14="","",INDEX(報告入力!$E$7:$E$696,$B14))</f>
        <v>―</v>
      </c>
      <c r="F14" s="42" t="n">
        <f aca="false">IF($B14="","",INDEX(報告入力!$I$7:$I$696,$B14))</f>
        <v>0</v>
      </c>
      <c r="G14" s="42" t="n">
        <f aca="false">IF($B14="","",INDEX(報告入力!$J$7:$J$696,$B14))</f>
        <v>0</v>
      </c>
      <c r="H14" s="42" t="n">
        <f aca="false">IF($B14="","",INDEX(報告入力!$K$7:$K$696,$B14))</f>
        <v>0</v>
      </c>
      <c r="I14" s="42" t="str">
        <f aca="false">IF($AG14=1,INDEX(報告入力!$BR$7:$BR$696,$B14),"")</f>
        <v/>
      </c>
      <c r="J14" s="42" t="str">
        <f aca="false">IF($AH14=1,INDEX(報告入力!$BJ$7:$BJ$696,$B14),"")</f>
        <v/>
      </c>
      <c r="K14" s="43" t="str">
        <f aca="false">IF($AH14=1,INDEX(報告入力!$BZ$7:$BZ$696,$B14),"")</f>
        <v/>
      </c>
      <c r="L14" s="42" t="str">
        <f aca="false">IF($AG14=1,INDEX(報告入力!$BS$7:$BS$696,$B14),"")</f>
        <v/>
      </c>
      <c r="M14" s="42" t="str">
        <f aca="false">IF($AH14=1,INDEX(報告入力!$BK$7:$BK$696,$B14),"")</f>
        <v/>
      </c>
      <c r="N14" s="43" t="str">
        <f aca="false">IF($AH14=1,INDEX(報告入力!$CA$7:$CA$696,$B14),"")</f>
        <v/>
      </c>
      <c r="O14" s="42" t="str">
        <f aca="false">IF($AG14=1,INDEX(報告入力!$BT$7:$BT$696,$B14),"")</f>
        <v/>
      </c>
      <c r="P14" s="42" t="str">
        <f aca="false">IF($AH14=1,INDEX(報告入力!$BL$7:$BL$696,$B14),"")</f>
        <v/>
      </c>
      <c r="Q14" s="43" t="str">
        <f aca="false">IF($AH14=1,INDEX(報告入力!$CB$7:$CB$696,$B14),"")</f>
        <v/>
      </c>
      <c r="R14" s="42" t="str">
        <f aca="false">IF($AG14=1,INDEX(報告入力!$BU$7:$BU$696,$B14),"")</f>
        <v/>
      </c>
      <c r="S14" s="42" t="str">
        <f aca="false">IF($AH14=1,INDEX(報告入力!$BM$7:$BM$696,$B14),"")</f>
        <v/>
      </c>
      <c r="T14" s="43" t="str">
        <f aca="false">IF($AH14=1,INDEX(報告入力!$CC$7:$CC$696,$B14),"")</f>
        <v/>
      </c>
      <c r="U14" s="42" t="str">
        <f aca="false">IF($AG14=1,INDEX(報告入力!$BV$7:$BV$696,$B14),"")</f>
        <v/>
      </c>
      <c r="V14" s="42" t="str">
        <f aca="false">IF($AH14=1,INDEX(報告入力!$BN$7:$BN$696,$B14),"")</f>
        <v/>
      </c>
      <c r="W14" s="43" t="str">
        <f aca="false">IF($AH14=1,INDEX(報告入力!$CD$7:$CD$696,$B14),"")</f>
        <v/>
      </c>
      <c r="X14" s="42" t="str">
        <f aca="false">IF($AG14=1,INDEX(報告入力!$BW$7:$BW$696,$B14),"")</f>
        <v/>
      </c>
      <c r="Y14" s="42" t="str">
        <f aca="false">IF($AH14=1,INDEX(報告入力!$BO$7:$BO$696,$B14),"")</f>
        <v/>
      </c>
      <c r="Z14" s="43" t="str">
        <f aca="false">IF($AH14=1,INDEX(報告入力!$CE$7:$CE$696,$B14),"")</f>
        <v/>
      </c>
      <c r="AA14" s="42" t="str">
        <f aca="false">IF($AG14=1,INDEX(報告入力!$BX$7:$BX$696,$B14),"")</f>
        <v/>
      </c>
      <c r="AB14" s="42" t="str">
        <f aca="false">IF($AH14=1,INDEX(報告入力!$BP$7:$BP$696,$B14),"")</f>
        <v/>
      </c>
      <c r="AC14" s="43" t="str">
        <f aca="false">IF($AH14=1,INDEX(報告入力!$CF$7:$CF$696,$B14),"")</f>
        <v/>
      </c>
      <c r="AD14" s="42" t="str">
        <f aca="false">IF($AG14=1,INDEX(報告入力!$BY$7:$BY$696,$B14),"")</f>
        <v/>
      </c>
      <c r="AE14" s="42" t="str">
        <f aca="false">IF($AH14=1,INDEX(報告入力!$BQ$7:$BQ$696,$B14),"")</f>
        <v/>
      </c>
      <c r="AF14" s="43" t="str">
        <f aca="false">IF($AH14=1,INDEX(報告入力!$CG$7:$CG$696,$B14),"")</f>
        <v/>
      </c>
      <c r="AG14" s="33" t="n">
        <f aca="false">IF($B14="",0,IF(OR(C14="未受領",C14="報告なし"),0,1))</f>
        <v>0</v>
      </c>
      <c r="AH14" s="33" t="n">
        <f aca="false">IF(OR(D14="問題なし",D14="要確認"),1,0)</f>
        <v>0</v>
      </c>
      <c r="AI14" s="33" t="n">
        <f aca="false">IF(C14="未受領",MAX(AI$6:AI13)+1,"")</f>
        <v>8</v>
      </c>
      <c r="AJ14" s="33" t="str">
        <f aca="false">IF(D14="要確認",MAX(AJ$6:AJ13)+1,"")</f>
        <v/>
      </c>
      <c r="AK14" s="32" t="str">
        <f aca="false">IF(D14="要確認",INDEX(報告入力!$CH$7:$CH$696,$B14),"")</f>
        <v/>
      </c>
    </row>
    <row r="15" customFormat="false" ht="15" hidden="false" customHeight="false" outlineLevel="0" collapsed="false">
      <c r="A15" s="41" t="str">
        <f aca="false">設定!B69</f>
        <v>農業委員会</v>
      </c>
      <c r="B15" s="33" t="n">
        <f aca="false">IFERROR(MATCH(ホーム!$C$4&amp;"|"&amp;A15,報告入力!$CM$7:$CM$696,0),"")</f>
        <v>331</v>
      </c>
      <c r="C15" s="10" t="str">
        <f aca="false">IF($B15="","",INDEX(報告入力!$C$7:$C$696,$B15))</f>
        <v>未受領</v>
      </c>
      <c r="D15" s="10" t="str">
        <f aca="false">IF($B15="","",INDEX(報告入力!$D$7:$D$696,$B15))</f>
        <v>―</v>
      </c>
      <c r="E15" s="24" t="str">
        <f aca="false">IF($B15="","",INDEX(報告入力!$E$7:$E$696,$B15))</f>
        <v>―</v>
      </c>
      <c r="F15" s="42" t="n">
        <f aca="false">IF($B15="","",INDEX(報告入力!$I$7:$I$696,$B15))</f>
        <v>0</v>
      </c>
      <c r="G15" s="42" t="n">
        <f aca="false">IF($B15="","",INDEX(報告入力!$J$7:$J$696,$B15))</f>
        <v>0</v>
      </c>
      <c r="H15" s="42" t="n">
        <f aca="false">IF($B15="","",INDEX(報告入力!$K$7:$K$696,$B15))</f>
        <v>0</v>
      </c>
      <c r="I15" s="42" t="str">
        <f aca="false">IF($AG15=1,INDEX(報告入力!$BR$7:$BR$696,$B15),"")</f>
        <v/>
      </c>
      <c r="J15" s="42" t="str">
        <f aca="false">IF($AH15=1,INDEX(報告入力!$BJ$7:$BJ$696,$B15),"")</f>
        <v/>
      </c>
      <c r="K15" s="43" t="str">
        <f aca="false">IF($AH15=1,INDEX(報告入力!$BZ$7:$BZ$696,$B15),"")</f>
        <v/>
      </c>
      <c r="L15" s="42" t="str">
        <f aca="false">IF($AG15=1,INDEX(報告入力!$BS$7:$BS$696,$B15),"")</f>
        <v/>
      </c>
      <c r="M15" s="42" t="str">
        <f aca="false">IF($AH15=1,INDEX(報告入力!$BK$7:$BK$696,$B15),"")</f>
        <v/>
      </c>
      <c r="N15" s="43" t="str">
        <f aca="false">IF($AH15=1,INDEX(報告入力!$CA$7:$CA$696,$B15),"")</f>
        <v/>
      </c>
      <c r="O15" s="42" t="str">
        <f aca="false">IF($AG15=1,INDEX(報告入力!$BT$7:$BT$696,$B15),"")</f>
        <v/>
      </c>
      <c r="P15" s="42" t="str">
        <f aca="false">IF($AH15=1,INDEX(報告入力!$BL$7:$BL$696,$B15),"")</f>
        <v/>
      </c>
      <c r="Q15" s="43" t="str">
        <f aca="false">IF($AH15=1,INDEX(報告入力!$CB$7:$CB$696,$B15),"")</f>
        <v/>
      </c>
      <c r="R15" s="42" t="str">
        <f aca="false">IF($AG15=1,INDEX(報告入力!$BU$7:$BU$696,$B15),"")</f>
        <v/>
      </c>
      <c r="S15" s="42" t="str">
        <f aca="false">IF($AH15=1,INDEX(報告入力!$BM$7:$BM$696,$B15),"")</f>
        <v/>
      </c>
      <c r="T15" s="43" t="str">
        <f aca="false">IF($AH15=1,INDEX(報告入力!$CC$7:$CC$696,$B15),"")</f>
        <v/>
      </c>
      <c r="U15" s="42" t="str">
        <f aca="false">IF($AG15=1,INDEX(報告入力!$BV$7:$BV$696,$B15),"")</f>
        <v/>
      </c>
      <c r="V15" s="42" t="str">
        <f aca="false">IF($AH15=1,INDEX(報告入力!$BN$7:$BN$696,$B15),"")</f>
        <v/>
      </c>
      <c r="W15" s="43" t="str">
        <f aca="false">IF($AH15=1,INDEX(報告入力!$CD$7:$CD$696,$B15),"")</f>
        <v/>
      </c>
      <c r="X15" s="42" t="str">
        <f aca="false">IF($AG15=1,INDEX(報告入力!$BW$7:$BW$696,$B15),"")</f>
        <v/>
      </c>
      <c r="Y15" s="42" t="str">
        <f aca="false">IF($AH15=1,INDEX(報告入力!$BO$7:$BO$696,$B15),"")</f>
        <v/>
      </c>
      <c r="Z15" s="43" t="str">
        <f aca="false">IF($AH15=1,INDEX(報告入力!$CE$7:$CE$696,$B15),"")</f>
        <v/>
      </c>
      <c r="AA15" s="42" t="str">
        <f aca="false">IF($AG15=1,INDEX(報告入力!$BX$7:$BX$696,$B15),"")</f>
        <v/>
      </c>
      <c r="AB15" s="42" t="str">
        <f aca="false">IF($AH15=1,INDEX(報告入力!$BP$7:$BP$696,$B15),"")</f>
        <v/>
      </c>
      <c r="AC15" s="43" t="str">
        <f aca="false">IF($AH15=1,INDEX(報告入力!$CF$7:$CF$696,$B15),"")</f>
        <v/>
      </c>
      <c r="AD15" s="42" t="str">
        <f aca="false">IF($AG15=1,INDEX(報告入力!$BY$7:$BY$696,$B15),"")</f>
        <v/>
      </c>
      <c r="AE15" s="42" t="str">
        <f aca="false">IF($AH15=1,INDEX(報告入力!$BQ$7:$BQ$696,$B15),"")</f>
        <v/>
      </c>
      <c r="AF15" s="43" t="str">
        <f aca="false">IF($AH15=1,INDEX(報告入力!$CG$7:$CG$696,$B15),"")</f>
        <v/>
      </c>
      <c r="AG15" s="33" t="n">
        <f aca="false">IF($B15="",0,IF(OR(C15="未受領",C15="報告なし"),0,1))</f>
        <v>0</v>
      </c>
      <c r="AH15" s="33" t="n">
        <f aca="false">IF(OR(D15="問題なし",D15="要確認"),1,0)</f>
        <v>0</v>
      </c>
      <c r="AI15" s="33" t="n">
        <f aca="false">IF(C15="未受領",MAX(AI$6:AI14)+1,"")</f>
        <v>9</v>
      </c>
      <c r="AJ15" s="33" t="str">
        <f aca="false">IF(D15="要確認",MAX(AJ$6:AJ14)+1,"")</f>
        <v/>
      </c>
      <c r="AK15" s="32" t="str">
        <f aca="false">IF(D15="要確認",INDEX(報告入力!$CH$7:$CH$696,$B15),"")</f>
        <v/>
      </c>
    </row>
    <row r="16" customFormat="false" ht="15" hidden="false" customHeight="false" outlineLevel="0" collapsed="false">
      <c r="A16" s="41" t="str">
        <f aca="false">設定!B70</f>
        <v>水道局</v>
      </c>
      <c r="B16" s="33" t="n">
        <f aca="false">IFERROR(MATCH(ホーム!$C$4&amp;"|"&amp;A16,報告入力!$CM$7:$CM$696,0),"")</f>
        <v>332</v>
      </c>
      <c r="C16" s="10" t="str">
        <f aca="false">IF($B16="","",INDEX(報告入力!$C$7:$C$696,$B16))</f>
        <v>未受領</v>
      </c>
      <c r="D16" s="10" t="str">
        <f aca="false">IF($B16="","",INDEX(報告入力!$D$7:$D$696,$B16))</f>
        <v>―</v>
      </c>
      <c r="E16" s="24" t="str">
        <f aca="false">IF($B16="","",INDEX(報告入力!$E$7:$E$696,$B16))</f>
        <v>―</v>
      </c>
      <c r="F16" s="42" t="n">
        <f aca="false">IF($B16="","",INDEX(報告入力!$I$7:$I$696,$B16))</f>
        <v>0</v>
      </c>
      <c r="G16" s="42" t="n">
        <f aca="false">IF($B16="","",INDEX(報告入力!$J$7:$J$696,$B16))</f>
        <v>0</v>
      </c>
      <c r="H16" s="42" t="n">
        <f aca="false">IF($B16="","",INDEX(報告入力!$K$7:$K$696,$B16))</f>
        <v>0</v>
      </c>
      <c r="I16" s="42" t="str">
        <f aca="false">IF($AG16=1,INDEX(報告入力!$BR$7:$BR$696,$B16),"")</f>
        <v/>
      </c>
      <c r="J16" s="42" t="str">
        <f aca="false">IF($AH16=1,INDEX(報告入力!$BJ$7:$BJ$696,$B16),"")</f>
        <v/>
      </c>
      <c r="K16" s="43" t="str">
        <f aca="false">IF($AH16=1,INDEX(報告入力!$BZ$7:$BZ$696,$B16),"")</f>
        <v/>
      </c>
      <c r="L16" s="42" t="str">
        <f aca="false">IF($AG16=1,INDEX(報告入力!$BS$7:$BS$696,$B16),"")</f>
        <v/>
      </c>
      <c r="M16" s="42" t="str">
        <f aca="false">IF($AH16=1,INDEX(報告入力!$BK$7:$BK$696,$B16),"")</f>
        <v/>
      </c>
      <c r="N16" s="43" t="str">
        <f aca="false">IF($AH16=1,INDEX(報告入力!$CA$7:$CA$696,$B16),"")</f>
        <v/>
      </c>
      <c r="O16" s="42" t="str">
        <f aca="false">IF($AG16=1,INDEX(報告入力!$BT$7:$BT$696,$B16),"")</f>
        <v/>
      </c>
      <c r="P16" s="42" t="str">
        <f aca="false">IF($AH16=1,INDEX(報告入力!$BL$7:$BL$696,$B16),"")</f>
        <v/>
      </c>
      <c r="Q16" s="43" t="str">
        <f aca="false">IF($AH16=1,INDEX(報告入力!$CB$7:$CB$696,$B16),"")</f>
        <v/>
      </c>
      <c r="R16" s="42" t="str">
        <f aca="false">IF($AG16=1,INDEX(報告入力!$BU$7:$BU$696,$B16),"")</f>
        <v/>
      </c>
      <c r="S16" s="42" t="str">
        <f aca="false">IF($AH16=1,INDEX(報告入力!$BM$7:$BM$696,$B16),"")</f>
        <v/>
      </c>
      <c r="T16" s="43" t="str">
        <f aca="false">IF($AH16=1,INDEX(報告入力!$CC$7:$CC$696,$B16),"")</f>
        <v/>
      </c>
      <c r="U16" s="42" t="str">
        <f aca="false">IF($AG16=1,INDEX(報告入力!$BV$7:$BV$696,$B16),"")</f>
        <v/>
      </c>
      <c r="V16" s="42" t="str">
        <f aca="false">IF($AH16=1,INDEX(報告入力!$BN$7:$BN$696,$B16),"")</f>
        <v/>
      </c>
      <c r="W16" s="43" t="str">
        <f aca="false">IF($AH16=1,INDEX(報告入力!$CD$7:$CD$696,$B16),"")</f>
        <v/>
      </c>
      <c r="X16" s="42" t="str">
        <f aca="false">IF($AG16=1,INDEX(報告入力!$BW$7:$BW$696,$B16),"")</f>
        <v/>
      </c>
      <c r="Y16" s="42" t="str">
        <f aca="false">IF($AH16=1,INDEX(報告入力!$BO$7:$BO$696,$B16),"")</f>
        <v/>
      </c>
      <c r="Z16" s="43" t="str">
        <f aca="false">IF($AH16=1,INDEX(報告入力!$CE$7:$CE$696,$B16),"")</f>
        <v/>
      </c>
      <c r="AA16" s="42" t="str">
        <f aca="false">IF($AG16=1,INDEX(報告入力!$BX$7:$BX$696,$B16),"")</f>
        <v/>
      </c>
      <c r="AB16" s="42" t="str">
        <f aca="false">IF($AH16=1,INDEX(報告入力!$BP$7:$BP$696,$B16),"")</f>
        <v/>
      </c>
      <c r="AC16" s="43" t="str">
        <f aca="false">IF($AH16=1,INDEX(報告入力!$CF$7:$CF$696,$B16),"")</f>
        <v/>
      </c>
      <c r="AD16" s="42" t="str">
        <f aca="false">IF($AG16=1,INDEX(報告入力!$BY$7:$BY$696,$B16),"")</f>
        <v/>
      </c>
      <c r="AE16" s="42" t="str">
        <f aca="false">IF($AH16=1,INDEX(報告入力!$BQ$7:$BQ$696,$B16),"")</f>
        <v/>
      </c>
      <c r="AF16" s="43" t="str">
        <f aca="false">IF($AH16=1,INDEX(報告入力!$CG$7:$CG$696,$B16),"")</f>
        <v/>
      </c>
      <c r="AG16" s="33" t="n">
        <f aca="false">IF($B16="",0,IF(OR(C16="未受領",C16="報告なし"),0,1))</f>
        <v>0</v>
      </c>
      <c r="AH16" s="33" t="n">
        <f aca="false">IF(OR(D16="問題なし",D16="要確認"),1,0)</f>
        <v>0</v>
      </c>
      <c r="AI16" s="33" t="n">
        <f aca="false">IF(C16="未受領",MAX(AI$6:AI15)+1,"")</f>
        <v>10</v>
      </c>
      <c r="AJ16" s="33" t="str">
        <f aca="false">IF(D16="要確認",MAX(AJ$6:AJ15)+1,"")</f>
        <v/>
      </c>
      <c r="AK16" s="32" t="str">
        <f aca="false">IF(D16="要確認",INDEX(報告入力!$CH$7:$CH$696,$B16),"")</f>
        <v/>
      </c>
    </row>
    <row r="17" customFormat="false" ht="15" hidden="false" customHeight="false" outlineLevel="0" collapsed="false">
      <c r="A17" s="41" t="str">
        <f aca="false">設定!B71</f>
        <v>医療政策課(安芸市民)</v>
      </c>
      <c r="B17" s="33" t="n">
        <f aca="false">IFERROR(MATCH(ホーム!$C$4&amp;"|"&amp;A17,報告入力!$CM$7:$CM$696,0),"")</f>
        <v>333</v>
      </c>
      <c r="C17" s="10" t="str">
        <f aca="false">IF($B17="","",INDEX(報告入力!$C$7:$C$696,$B17))</f>
        <v>未受領</v>
      </c>
      <c r="D17" s="10" t="str">
        <f aca="false">IF($B17="","",INDEX(報告入力!$D$7:$D$696,$B17))</f>
        <v>―</v>
      </c>
      <c r="E17" s="24" t="str">
        <f aca="false">IF($B17="","",INDEX(報告入力!$E$7:$E$696,$B17))</f>
        <v>―</v>
      </c>
      <c r="F17" s="42" t="n">
        <f aca="false">IF($B17="","",INDEX(報告入力!$I$7:$I$696,$B17))</f>
        <v>0</v>
      </c>
      <c r="G17" s="42" t="n">
        <f aca="false">IF($B17="","",INDEX(報告入力!$J$7:$J$696,$B17))</f>
        <v>0</v>
      </c>
      <c r="H17" s="42" t="n">
        <f aca="false">IF($B17="","",INDEX(報告入力!$K$7:$K$696,$B17))</f>
        <v>0</v>
      </c>
      <c r="I17" s="42" t="str">
        <f aca="false">IF($AG17=1,INDEX(報告入力!$BR$7:$BR$696,$B17),"")</f>
        <v/>
      </c>
      <c r="J17" s="42" t="str">
        <f aca="false">IF($AH17=1,INDEX(報告入力!$BJ$7:$BJ$696,$B17),"")</f>
        <v/>
      </c>
      <c r="K17" s="43" t="str">
        <f aca="false">IF($AH17=1,INDEX(報告入力!$BZ$7:$BZ$696,$B17),"")</f>
        <v/>
      </c>
      <c r="L17" s="42" t="str">
        <f aca="false">IF($AG17=1,INDEX(報告入力!$BS$7:$BS$696,$B17),"")</f>
        <v/>
      </c>
      <c r="M17" s="42" t="str">
        <f aca="false">IF($AH17=1,INDEX(報告入力!$BK$7:$BK$696,$B17),"")</f>
        <v/>
      </c>
      <c r="N17" s="43" t="str">
        <f aca="false">IF($AH17=1,INDEX(報告入力!$CA$7:$CA$696,$B17),"")</f>
        <v/>
      </c>
      <c r="O17" s="42" t="str">
        <f aca="false">IF($AG17=1,INDEX(報告入力!$BT$7:$BT$696,$B17),"")</f>
        <v/>
      </c>
      <c r="P17" s="42" t="str">
        <f aca="false">IF($AH17=1,INDEX(報告入力!$BL$7:$BL$696,$B17),"")</f>
        <v/>
      </c>
      <c r="Q17" s="43" t="str">
        <f aca="false">IF($AH17=1,INDEX(報告入力!$CB$7:$CB$696,$B17),"")</f>
        <v/>
      </c>
      <c r="R17" s="42" t="str">
        <f aca="false">IF($AG17=1,INDEX(報告入力!$BU$7:$BU$696,$B17),"")</f>
        <v/>
      </c>
      <c r="S17" s="42" t="str">
        <f aca="false">IF($AH17=1,INDEX(報告入力!$BM$7:$BM$696,$B17),"")</f>
        <v/>
      </c>
      <c r="T17" s="43" t="str">
        <f aca="false">IF($AH17=1,INDEX(報告入力!$CC$7:$CC$696,$B17),"")</f>
        <v/>
      </c>
      <c r="U17" s="42" t="str">
        <f aca="false">IF($AG17=1,INDEX(報告入力!$BV$7:$BV$696,$B17),"")</f>
        <v/>
      </c>
      <c r="V17" s="42" t="str">
        <f aca="false">IF($AH17=1,INDEX(報告入力!$BN$7:$BN$696,$B17),"")</f>
        <v/>
      </c>
      <c r="W17" s="43" t="str">
        <f aca="false">IF($AH17=1,INDEX(報告入力!$CD$7:$CD$696,$B17),"")</f>
        <v/>
      </c>
      <c r="X17" s="42" t="str">
        <f aca="false">IF($AG17=1,INDEX(報告入力!$BW$7:$BW$696,$B17),"")</f>
        <v/>
      </c>
      <c r="Y17" s="42" t="str">
        <f aca="false">IF($AH17=1,INDEX(報告入力!$BO$7:$BO$696,$B17),"")</f>
        <v/>
      </c>
      <c r="Z17" s="43" t="str">
        <f aca="false">IF($AH17=1,INDEX(報告入力!$CE$7:$CE$696,$B17),"")</f>
        <v/>
      </c>
      <c r="AA17" s="42" t="str">
        <f aca="false">IF($AG17=1,INDEX(報告入力!$BX$7:$BX$696,$B17),"")</f>
        <v/>
      </c>
      <c r="AB17" s="42" t="str">
        <f aca="false">IF($AH17=1,INDEX(報告入力!$BP$7:$BP$696,$B17),"")</f>
        <v/>
      </c>
      <c r="AC17" s="43" t="str">
        <f aca="false">IF($AH17=1,INDEX(報告入力!$CF$7:$CF$696,$B17),"")</f>
        <v/>
      </c>
      <c r="AD17" s="42" t="str">
        <f aca="false">IF($AG17=1,INDEX(報告入力!$BY$7:$BY$696,$B17),"")</f>
        <v/>
      </c>
      <c r="AE17" s="42" t="str">
        <f aca="false">IF($AH17=1,INDEX(報告入力!$BQ$7:$BQ$696,$B17),"")</f>
        <v/>
      </c>
      <c r="AF17" s="43" t="str">
        <f aca="false">IF($AH17=1,INDEX(報告入力!$CG$7:$CG$696,$B17),"")</f>
        <v/>
      </c>
      <c r="AG17" s="33" t="n">
        <f aca="false">IF($B17="",0,IF(OR(C17="未受領",C17="報告なし"),0,1))</f>
        <v>0</v>
      </c>
      <c r="AH17" s="33" t="n">
        <f aca="false">IF(OR(D17="問題なし",D17="要確認"),1,0)</f>
        <v>0</v>
      </c>
      <c r="AI17" s="33" t="n">
        <f aca="false">IF(C17="未受領",MAX(AI$6:AI16)+1,"")</f>
        <v>11</v>
      </c>
      <c r="AJ17" s="33" t="str">
        <f aca="false">IF(D17="要確認",MAX(AJ$6:AJ16)+1,"")</f>
        <v/>
      </c>
      <c r="AK17" s="32" t="str">
        <f aca="false">IF(D17="要確認",INDEX(報告入力!$CH$7:$CH$696,$B17),"")</f>
        <v/>
      </c>
    </row>
    <row r="18" customFormat="false" ht="15" hidden="false" customHeight="false" outlineLevel="0" collapsed="false">
      <c r="A18" s="41" t="str">
        <f aca="false">設定!B72</f>
        <v>教育委員会（教育給与課）</v>
      </c>
      <c r="B18" s="33" t="n">
        <f aca="false">IFERROR(MATCH(ホーム!$C$4&amp;"|"&amp;A18,報告入力!$CM$7:$CM$696,0),"")</f>
        <v>334</v>
      </c>
      <c r="C18" s="10" t="str">
        <f aca="false">IF($B18="","",INDEX(報告入力!$C$7:$C$696,$B18))</f>
        <v>未受領</v>
      </c>
      <c r="D18" s="10" t="str">
        <f aca="false">IF($B18="","",INDEX(報告入力!$D$7:$D$696,$B18))</f>
        <v>―</v>
      </c>
      <c r="E18" s="24" t="str">
        <f aca="false">IF($B18="","",INDEX(報告入力!$E$7:$E$696,$B18))</f>
        <v>―</v>
      </c>
      <c r="F18" s="42" t="n">
        <f aca="false">IF($B18="","",INDEX(報告入力!$I$7:$I$696,$B18))</f>
        <v>0</v>
      </c>
      <c r="G18" s="42" t="n">
        <f aca="false">IF($B18="","",INDEX(報告入力!$J$7:$J$696,$B18))</f>
        <v>0</v>
      </c>
      <c r="H18" s="42" t="n">
        <f aca="false">IF($B18="","",INDEX(報告入力!$K$7:$K$696,$B18))</f>
        <v>0</v>
      </c>
      <c r="I18" s="42" t="str">
        <f aca="false">IF($AG18=1,INDEX(報告入力!$BR$7:$BR$696,$B18),"")</f>
        <v/>
      </c>
      <c r="J18" s="42" t="str">
        <f aca="false">IF($AH18=1,INDEX(報告入力!$BJ$7:$BJ$696,$B18),"")</f>
        <v/>
      </c>
      <c r="K18" s="43" t="str">
        <f aca="false">IF($AH18=1,INDEX(報告入力!$BZ$7:$BZ$696,$B18),"")</f>
        <v/>
      </c>
      <c r="L18" s="42" t="str">
        <f aca="false">IF($AG18=1,INDEX(報告入力!$BS$7:$BS$696,$B18),"")</f>
        <v/>
      </c>
      <c r="M18" s="42" t="str">
        <f aca="false">IF($AH18=1,INDEX(報告入力!$BK$7:$BK$696,$B18),"")</f>
        <v/>
      </c>
      <c r="N18" s="43" t="str">
        <f aca="false">IF($AH18=1,INDEX(報告入力!$CA$7:$CA$696,$B18),"")</f>
        <v/>
      </c>
      <c r="O18" s="42" t="str">
        <f aca="false">IF($AG18=1,INDEX(報告入力!$BT$7:$BT$696,$B18),"")</f>
        <v/>
      </c>
      <c r="P18" s="42" t="str">
        <f aca="false">IF($AH18=1,INDEX(報告入力!$BL$7:$BL$696,$B18),"")</f>
        <v/>
      </c>
      <c r="Q18" s="43" t="str">
        <f aca="false">IF($AH18=1,INDEX(報告入力!$CB$7:$CB$696,$B18),"")</f>
        <v/>
      </c>
      <c r="R18" s="42" t="str">
        <f aca="false">IF($AG18=1,INDEX(報告入力!$BU$7:$BU$696,$B18),"")</f>
        <v/>
      </c>
      <c r="S18" s="42" t="str">
        <f aca="false">IF($AH18=1,INDEX(報告入力!$BM$7:$BM$696,$B18),"")</f>
        <v/>
      </c>
      <c r="T18" s="43" t="str">
        <f aca="false">IF($AH18=1,INDEX(報告入力!$CC$7:$CC$696,$B18),"")</f>
        <v/>
      </c>
      <c r="U18" s="42" t="str">
        <f aca="false">IF($AG18=1,INDEX(報告入力!$BV$7:$BV$696,$B18),"")</f>
        <v/>
      </c>
      <c r="V18" s="42" t="str">
        <f aca="false">IF($AH18=1,INDEX(報告入力!$BN$7:$BN$696,$B18),"")</f>
        <v/>
      </c>
      <c r="W18" s="43" t="str">
        <f aca="false">IF($AH18=1,INDEX(報告入力!$CD$7:$CD$696,$B18),"")</f>
        <v/>
      </c>
      <c r="X18" s="42" t="str">
        <f aca="false">IF($AG18=1,INDEX(報告入力!$BW$7:$BW$696,$B18),"")</f>
        <v/>
      </c>
      <c r="Y18" s="42" t="str">
        <f aca="false">IF($AH18=1,INDEX(報告入力!$BO$7:$BO$696,$B18),"")</f>
        <v/>
      </c>
      <c r="Z18" s="43" t="str">
        <f aca="false">IF($AH18=1,INDEX(報告入力!$CE$7:$CE$696,$B18),"")</f>
        <v/>
      </c>
      <c r="AA18" s="42" t="str">
        <f aca="false">IF($AG18=1,INDEX(報告入力!$BX$7:$BX$696,$B18),"")</f>
        <v/>
      </c>
      <c r="AB18" s="42" t="str">
        <f aca="false">IF($AH18=1,INDEX(報告入力!$BP$7:$BP$696,$B18),"")</f>
        <v/>
      </c>
      <c r="AC18" s="43" t="str">
        <f aca="false">IF($AH18=1,INDEX(報告入力!$CF$7:$CF$696,$B18),"")</f>
        <v/>
      </c>
      <c r="AD18" s="42" t="str">
        <f aca="false">IF($AG18=1,INDEX(報告入力!$BY$7:$BY$696,$B18),"")</f>
        <v/>
      </c>
      <c r="AE18" s="42" t="str">
        <f aca="false">IF($AH18=1,INDEX(報告入力!$BQ$7:$BQ$696,$B18),"")</f>
        <v/>
      </c>
      <c r="AF18" s="43" t="str">
        <f aca="false">IF($AH18=1,INDEX(報告入力!$CG$7:$CG$696,$B18),"")</f>
        <v/>
      </c>
      <c r="AG18" s="33" t="n">
        <f aca="false">IF($B18="",0,IF(OR(C18="未受領",C18="報告なし"),0,1))</f>
        <v>0</v>
      </c>
      <c r="AH18" s="33" t="n">
        <f aca="false">IF(OR(D18="問題なし",D18="要確認"),1,0)</f>
        <v>0</v>
      </c>
      <c r="AI18" s="33" t="n">
        <f aca="false">IF(C18="未受領",MAX(AI$6:AI17)+1,"")</f>
        <v>12</v>
      </c>
      <c r="AJ18" s="33" t="str">
        <f aca="false">IF(D18="要確認",MAX(AJ$6:AJ17)+1,"")</f>
        <v/>
      </c>
      <c r="AK18" s="32" t="str">
        <f aca="false">IF(D18="要確認",INDEX(報告入力!$CH$7:$CH$696,$B18),"")</f>
        <v/>
      </c>
    </row>
    <row r="19" customFormat="false" ht="15" hidden="false" customHeight="false" outlineLevel="0" collapsed="false">
      <c r="A19" s="41" t="str">
        <f aca="false">設定!B73</f>
        <v>地方税共同機構</v>
      </c>
      <c r="B19" s="33" t="n">
        <f aca="false">IFERROR(MATCH(ホーム!$C$4&amp;"|"&amp;A19,報告入力!$CM$7:$CM$696,0),"")</f>
        <v>335</v>
      </c>
      <c r="C19" s="10" t="str">
        <f aca="false">IF($B19="","",INDEX(報告入力!$C$7:$C$696,$B19))</f>
        <v>報告なし</v>
      </c>
      <c r="D19" s="10" t="str">
        <f aca="false">IF($B19="","",INDEX(報告入力!$D$7:$D$696,$B19))</f>
        <v>―</v>
      </c>
      <c r="E19" s="24" t="str">
        <f aca="false">IF($B19="","",INDEX(報告入力!$E$7:$E$696,$B19))</f>
        <v>―</v>
      </c>
      <c r="F19" s="42" t="n">
        <f aca="false">IF($B19="","",INDEX(報告入力!$I$7:$I$696,$B19))</f>
        <v>0</v>
      </c>
      <c r="G19" s="42" t="n">
        <f aca="false">IF($B19="","",INDEX(報告入力!$J$7:$J$696,$B19))</f>
        <v>0</v>
      </c>
      <c r="H19" s="42" t="n">
        <f aca="false">IF($B19="","",INDEX(報告入力!$K$7:$K$696,$B19))</f>
        <v>0</v>
      </c>
      <c r="I19" s="42" t="str">
        <f aca="false">IF($AG19=1,INDEX(報告入力!$BR$7:$BR$696,$B19),"")</f>
        <v/>
      </c>
      <c r="J19" s="42" t="str">
        <f aca="false">IF($AH19=1,INDEX(報告入力!$BJ$7:$BJ$696,$B19),"")</f>
        <v/>
      </c>
      <c r="K19" s="43" t="str">
        <f aca="false">IF($AH19=1,INDEX(報告入力!$BZ$7:$BZ$696,$B19),"")</f>
        <v/>
      </c>
      <c r="L19" s="42" t="str">
        <f aca="false">IF($AG19=1,INDEX(報告入力!$BS$7:$BS$696,$B19),"")</f>
        <v/>
      </c>
      <c r="M19" s="42" t="str">
        <f aca="false">IF($AH19=1,INDEX(報告入力!$BK$7:$BK$696,$B19),"")</f>
        <v/>
      </c>
      <c r="N19" s="43" t="str">
        <f aca="false">IF($AH19=1,INDEX(報告入力!$CA$7:$CA$696,$B19),"")</f>
        <v/>
      </c>
      <c r="O19" s="42" t="str">
        <f aca="false">IF($AG19=1,INDEX(報告入力!$BT$7:$BT$696,$B19),"")</f>
        <v/>
      </c>
      <c r="P19" s="42" t="str">
        <f aca="false">IF($AH19=1,INDEX(報告入力!$BL$7:$BL$696,$B19),"")</f>
        <v/>
      </c>
      <c r="Q19" s="43" t="str">
        <f aca="false">IF($AH19=1,INDEX(報告入力!$CB$7:$CB$696,$B19),"")</f>
        <v/>
      </c>
      <c r="R19" s="42" t="str">
        <f aca="false">IF($AG19=1,INDEX(報告入力!$BU$7:$BU$696,$B19),"")</f>
        <v/>
      </c>
      <c r="S19" s="42" t="str">
        <f aca="false">IF($AH19=1,INDEX(報告入力!$BM$7:$BM$696,$B19),"")</f>
        <v/>
      </c>
      <c r="T19" s="43" t="str">
        <f aca="false">IF($AH19=1,INDEX(報告入力!$CC$7:$CC$696,$B19),"")</f>
        <v/>
      </c>
      <c r="U19" s="42" t="str">
        <f aca="false">IF($AG19=1,INDEX(報告入力!$BV$7:$BV$696,$B19),"")</f>
        <v/>
      </c>
      <c r="V19" s="42" t="str">
        <f aca="false">IF($AH19=1,INDEX(報告入力!$BN$7:$BN$696,$B19),"")</f>
        <v/>
      </c>
      <c r="W19" s="43" t="str">
        <f aca="false">IF($AH19=1,INDEX(報告入力!$CD$7:$CD$696,$B19),"")</f>
        <v/>
      </c>
      <c r="X19" s="42" t="str">
        <f aca="false">IF($AG19=1,INDEX(報告入力!$BW$7:$BW$696,$B19),"")</f>
        <v/>
      </c>
      <c r="Y19" s="42" t="str">
        <f aca="false">IF($AH19=1,INDEX(報告入力!$BO$7:$BO$696,$B19),"")</f>
        <v/>
      </c>
      <c r="Z19" s="43" t="str">
        <f aca="false">IF($AH19=1,INDEX(報告入力!$CE$7:$CE$696,$B19),"")</f>
        <v/>
      </c>
      <c r="AA19" s="42" t="str">
        <f aca="false">IF($AG19=1,INDEX(報告入力!$BX$7:$BX$696,$B19),"")</f>
        <v/>
      </c>
      <c r="AB19" s="42" t="str">
        <f aca="false">IF($AH19=1,INDEX(報告入力!$BP$7:$BP$696,$B19),"")</f>
        <v/>
      </c>
      <c r="AC19" s="43" t="str">
        <f aca="false">IF($AH19=1,INDEX(報告入力!$CF$7:$CF$696,$B19),"")</f>
        <v/>
      </c>
      <c r="AD19" s="42" t="str">
        <f aca="false">IF($AG19=1,INDEX(報告入力!$BY$7:$BY$696,$B19),"")</f>
        <v/>
      </c>
      <c r="AE19" s="42" t="str">
        <f aca="false">IF($AH19=1,INDEX(報告入力!$BQ$7:$BQ$696,$B19),"")</f>
        <v/>
      </c>
      <c r="AF19" s="43" t="str">
        <f aca="false">IF($AH19=1,INDEX(報告入力!$CG$7:$CG$696,$B19),"")</f>
        <v/>
      </c>
      <c r="AG19" s="33" t="n">
        <f aca="false">IF($B19="",0,IF(OR(C19="未受領",C19="報告なし"),0,1))</f>
        <v>0</v>
      </c>
      <c r="AH19" s="33" t="n">
        <f aca="false">IF(OR(D19="問題なし",D19="要確認"),1,0)</f>
        <v>0</v>
      </c>
      <c r="AI19" s="33" t="str">
        <f aca="false">IF(C19="未受領",MAX(AI$6:AI18)+1,"")</f>
        <v/>
      </c>
      <c r="AJ19" s="33" t="str">
        <f aca="false">IF(D19="要確認",MAX(AJ$6:AJ18)+1,"")</f>
        <v/>
      </c>
      <c r="AK19" s="32" t="str">
        <f aca="false">IF(D19="要確認",INDEX(報告入力!$CH$7:$CH$696,$B19),"")</f>
        <v/>
      </c>
    </row>
    <row r="20" customFormat="false" ht="15" hidden="false" customHeight="false" outlineLevel="0" collapsed="false">
      <c r="A20" s="41" t="str">
        <f aca="false">設定!B74</f>
        <v>平和文化センター</v>
      </c>
      <c r="B20" s="33" t="n">
        <f aca="false">IFERROR(MATCH(ホーム!$C$4&amp;"|"&amp;A20,報告入力!$CM$7:$CM$696,0),"")</f>
        <v>336</v>
      </c>
      <c r="C20" s="10" t="str">
        <f aca="false">IF($B20="","",INDEX(報告入力!$C$7:$C$696,$B20))</f>
        <v>未受領</v>
      </c>
      <c r="D20" s="10" t="str">
        <f aca="false">IF($B20="","",INDEX(報告入力!$D$7:$D$696,$B20))</f>
        <v>―</v>
      </c>
      <c r="E20" s="24" t="str">
        <f aca="false">IF($B20="","",INDEX(報告入力!$E$7:$E$696,$B20))</f>
        <v>―</v>
      </c>
      <c r="F20" s="42" t="n">
        <f aca="false">IF($B20="","",INDEX(報告入力!$I$7:$I$696,$B20))</f>
        <v>0</v>
      </c>
      <c r="G20" s="42" t="n">
        <f aca="false">IF($B20="","",INDEX(報告入力!$J$7:$J$696,$B20))</f>
        <v>0</v>
      </c>
      <c r="H20" s="42" t="n">
        <f aca="false">IF($B20="","",INDEX(報告入力!$K$7:$K$696,$B20))</f>
        <v>0</v>
      </c>
      <c r="I20" s="42" t="str">
        <f aca="false">IF($AG20=1,INDEX(報告入力!$BR$7:$BR$696,$B20),"")</f>
        <v/>
      </c>
      <c r="J20" s="42" t="str">
        <f aca="false">IF($AH20=1,INDEX(報告入力!$BJ$7:$BJ$696,$B20),"")</f>
        <v/>
      </c>
      <c r="K20" s="43" t="str">
        <f aca="false">IF($AH20=1,INDEX(報告入力!$BZ$7:$BZ$696,$B20),"")</f>
        <v/>
      </c>
      <c r="L20" s="42" t="str">
        <f aca="false">IF($AG20=1,INDEX(報告入力!$BS$7:$BS$696,$B20),"")</f>
        <v/>
      </c>
      <c r="M20" s="42" t="str">
        <f aca="false">IF($AH20=1,INDEX(報告入力!$BK$7:$BK$696,$B20),"")</f>
        <v/>
      </c>
      <c r="N20" s="43" t="str">
        <f aca="false">IF($AH20=1,INDEX(報告入力!$CA$7:$CA$696,$B20),"")</f>
        <v/>
      </c>
      <c r="O20" s="42" t="str">
        <f aca="false">IF($AG20=1,INDEX(報告入力!$BT$7:$BT$696,$B20),"")</f>
        <v/>
      </c>
      <c r="P20" s="42" t="str">
        <f aca="false">IF($AH20=1,INDEX(報告入力!$BL$7:$BL$696,$B20),"")</f>
        <v/>
      </c>
      <c r="Q20" s="43" t="str">
        <f aca="false">IF($AH20=1,INDEX(報告入力!$CB$7:$CB$696,$B20),"")</f>
        <v/>
      </c>
      <c r="R20" s="42" t="str">
        <f aca="false">IF($AG20=1,INDEX(報告入力!$BU$7:$BU$696,$B20),"")</f>
        <v/>
      </c>
      <c r="S20" s="42" t="str">
        <f aca="false">IF($AH20=1,INDEX(報告入力!$BM$7:$BM$696,$B20),"")</f>
        <v/>
      </c>
      <c r="T20" s="43" t="str">
        <f aca="false">IF($AH20=1,INDEX(報告入力!$CC$7:$CC$696,$B20),"")</f>
        <v/>
      </c>
      <c r="U20" s="42" t="str">
        <f aca="false">IF($AG20=1,INDEX(報告入力!$BV$7:$BV$696,$B20),"")</f>
        <v/>
      </c>
      <c r="V20" s="42" t="str">
        <f aca="false">IF($AH20=1,INDEX(報告入力!$BN$7:$BN$696,$B20),"")</f>
        <v/>
      </c>
      <c r="W20" s="43" t="str">
        <f aca="false">IF($AH20=1,INDEX(報告入力!$CD$7:$CD$696,$B20),"")</f>
        <v/>
      </c>
      <c r="X20" s="42" t="str">
        <f aca="false">IF($AG20=1,INDEX(報告入力!$BW$7:$BW$696,$B20),"")</f>
        <v/>
      </c>
      <c r="Y20" s="42" t="str">
        <f aca="false">IF($AH20=1,INDEX(報告入力!$BO$7:$BO$696,$B20),"")</f>
        <v/>
      </c>
      <c r="Z20" s="43" t="str">
        <f aca="false">IF($AH20=1,INDEX(報告入力!$CE$7:$CE$696,$B20),"")</f>
        <v/>
      </c>
      <c r="AA20" s="42" t="str">
        <f aca="false">IF($AG20=1,INDEX(報告入力!$BX$7:$BX$696,$B20),"")</f>
        <v/>
      </c>
      <c r="AB20" s="42" t="str">
        <f aca="false">IF($AH20=1,INDEX(報告入力!$BP$7:$BP$696,$B20),"")</f>
        <v/>
      </c>
      <c r="AC20" s="43" t="str">
        <f aca="false">IF($AH20=1,INDEX(報告入力!$CF$7:$CF$696,$B20),"")</f>
        <v/>
      </c>
      <c r="AD20" s="42" t="str">
        <f aca="false">IF($AG20=1,INDEX(報告入力!$BY$7:$BY$696,$B20),"")</f>
        <v/>
      </c>
      <c r="AE20" s="42" t="str">
        <f aca="false">IF($AH20=1,INDEX(報告入力!$BQ$7:$BQ$696,$B20),"")</f>
        <v/>
      </c>
      <c r="AF20" s="43" t="str">
        <f aca="false">IF($AH20=1,INDEX(報告入力!$CG$7:$CG$696,$B20),"")</f>
        <v/>
      </c>
      <c r="AG20" s="33" t="n">
        <f aca="false">IF($B20="",0,IF(OR(C20="未受領",C20="報告なし"),0,1))</f>
        <v>0</v>
      </c>
      <c r="AH20" s="33" t="n">
        <f aca="false">IF(OR(D20="問題なし",D20="要確認"),1,0)</f>
        <v>0</v>
      </c>
      <c r="AI20" s="33" t="n">
        <f aca="false">IF(C20="未受領",MAX(AI$6:AI19)+1,"")</f>
        <v>13</v>
      </c>
      <c r="AJ20" s="33" t="str">
        <f aca="false">IF(D20="要確認",MAX(AJ$6:AJ19)+1,"")</f>
        <v/>
      </c>
      <c r="AK20" s="32" t="str">
        <f aca="false">IF(D20="要確認",INDEX(報告入力!$CH$7:$CH$696,$B20),"")</f>
        <v/>
      </c>
    </row>
    <row r="21" customFormat="false" ht="15" hidden="false" customHeight="false" outlineLevel="0" collapsed="false">
      <c r="A21" s="41" t="str">
        <f aca="false">設定!B75</f>
        <v>社会福祉事業団</v>
      </c>
      <c r="B21" s="33" t="n">
        <f aca="false">IFERROR(MATCH(ホーム!$C$4&amp;"|"&amp;A21,報告入力!$CM$7:$CM$696,0),"")</f>
        <v>337</v>
      </c>
      <c r="C21" s="10" t="str">
        <f aca="false">IF($B21="","",INDEX(報告入力!$C$7:$C$696,$B21))</f>
        <v>未受領</v>
      </c>
      <c r="D21" s="10" t="str">
        <f aca="false">IF($B21="","",INDEX(報告入力!$D$7:$D$696,$B21))</f>
        <v>―</v>
      </c>
      <c r="E21" s="24" t="str">
        <f aca="false">IF($B21="","",INDEX(報告入力!$E$7:$E$696,$B21))</f>
        <v>―</v>
      </c>
      <c r="F21" s="42" t="n">
        <f aca="false">IF($B21="","",INDEX(報告入力!$I$7:$I$696,$B21))</f>
        <v>0</v>
      </c>
      <c r="G21" s="42" t="n">
        <f aca="false">IF($B21="","",INDEX(報告入力!$J$7:$J$696,$B21))</f>
        <v>0</v>
      </c>
      <c r="H21" s="42" t="n">
        <f aca="false">IF($B21="","",INDEX(報告入力!$K$7:$K$696,$B21))</f>
        <v>0</v>
      </c>
      <c r="I21" s="42" t="str">
        <f aca="false">IF($AG21=1,INDEX(報告入力!$BR$7:$BR$696,$B21),"")</f>
        <v/>
      </c>
      <c r="J21" s="42" t="str">
        <f aca="false">IF($AH21=1,INDEX(報告入力!$BJ$7:$BJ$696,$B21),"")</f>
        <v/>
      </c>
      <c r="K21" s="43" t="str">
        <f aca="false">IF($AH21=1,INDEX(報告入力!$BZ$7:$BZ$696,$B21),"")</f>
        <v/>
      </c>
      <c r="L21" s="42" t="str">
        <f aca="false">IF($AG21=1,INDEX(報告入力!$BS$7:$BS$696,$B21),"")</f>
        <v/>
      </c>
      <c r="M21" s="42" t="str">
        <f aca="false">IF($AH21=1,INDEX(報告入力!$BK$7:$BK$696,$B21),"")</f>
        <v/>
      </c>
      <c r="N21" s="43" t="str">
        <f aca="false">IF($AH21=1,INDEX(報告入力!$CA$7:$CA$696,$B21),"")</f>
        <v/>
      </c>
      <c r="O21" s="42" t="str">
        <f aca="false">IF($AG21=1,INDEX(報告入力!$BT$7:$BT$696,$B21),"")</f>
        <v/>
      </c>
      <c r="P21" s="42" t="str">
        <f aca="false">IF($AH21=1,INDEX(報告入力!$BL$7:$BL$696,$B21),"")</f>
        <v/>
      </c>
      <c r="Q21" s="43" t="str">
        <f aca="false">IF($AH21=1,INDEX(報告入力!$CB$7:$CB$696,$B21),"")</f>
        <v/>
      </c>
      <c r="R21" s="42" t="str">
        <f aca="false">IF($AG21=1,INDEX(報告入力!$BU$7:$BU$696,$B21),"")</f>
        <v/>
      </c>
      <c r="S21" s="42" t="str">
        <f aca="false">IF($AH21=1,INDEX(報告入力!$BM$7:$BM$696,$B21),"")</f>
        <v/>
      </c>
      <c r="T21" s="43" t="str">
        <f aca="false">IF($AH21=1,INDEX(報告入力!$CC$7:$CC$696,$B21),"")</f>
        <v/>
      </c>
      <c r="U21" s="42" t="str">
        <f aca="false">IF($AG21=1,INDEX(報告入力!$BV$7:$BV$696,$B21),"")</f>
        <v/>
      </c>
      <c r="V21" s="42" t="str">
        <f aca="false">IF($AH21=1,INDEX(報告入力!$BN$7:$BN$696,$B21),"")</f>
        <v/>
      </c>
      <c r="W21" s="43" t="str">
        <f aca="false">IF($AH21=1,INDEX(報告入力!$CD$7:$CD$696,$B21),"")</f>
        <v/>
      </c>
      <c r="X21" s="42" t="str">
        <f aca="false">IF($AG21=1,INDEX(報告入力!$BW$7:$BW$696,$B21),"")</f>
        <v/>
      </c>
      <c r="Y21" s="42" t="str">
        <f aca="false">IF($AH21=1,INDEX(報告入力!$BO$7:$BO$696,$B21),"")</f>
        <v/>
      </c>
      <c r="Z21" s="43" t="str">
        <f aca="false">IF($AH21=1,INDEX(報告入力!$CE$7:$CE$696,$B21),"")</f>
        <v/>
      </c>
      <c r="AA21" s="42" t="str">
        <f aca="false">IF($AG21=1,INDEX(報告入力!$BX$7:$BX$696,$B21),"")</f>
        <v/>
      </c>
      <c r="AB21" s="42" t="str">
        <f aca="false">IF($AH21=1,INDEX(報告入力!$BP$7:$BP$696,$B21),"")</f>
        <v/>
      </c>
      <c r="AC21" s="43" t="str">
        <f aca="false">IF($AH21=1,INDEX(報告入力!$CF$7:$CF$696,$B21),"")</f>
        <v/>
      </c>
      <c r="AD21" s="42" t="str">
        <f aca="false">IF($AG21=1,INDEX(報告入力!$BY$7:$BY$696,$B21),"")</f>
        <v/>
      </c>
      <c r="AE21" s="42" t="str">
        <f aca="false">IF($AH21=1,INDEX(報告入力!$BQ$7:$BQ$696,$B21),"")</f>
        <v/>
      </c>
      <c r="AF21" s="43" t="str">
        <f aca="false">IF($AH21=1,INDEX(報告入力!$CG$7:$CG$696,$B21),"")</f>
        <v/>
      </c>
      <c r="AG21" s="33" t="n">
        <f aca="false">IF($B21="",0,IF(OR(C21="未受領",C21="報告なし"),0,1))</f>
        <v>0</v>
      </c>
      <c r="AH21" s="33" t="n">
        <f aca="false">IF(OR(D21="問題なし",D21="要確認"),1,0)</f>
        <v>0</v>
      </c>
      <c r="AI21" s="33" t="n">
        <f aca="false">IF(C21="未受領",MAX(AI$6:AI20)+1,"")</f>
        <v>14</v>
      </c>
      <c r="AJ21" s="33" t="str">
        <f aca="false">IF(D21="要確認",MAX(AJ$6:AJ20)+1,"")</f>
        <v/>
      </c>
      <c r="AK21" s="32" t="str">
        <f aca="false">IF(D21="要確認",INDEX(報告入力!$CH$7:$CH$696,$B21),"")</f>
        <v/>
      </c>
    </row>
    <row r="22" customFormat="false" ht="15" hidden="false" customHeight="false" outlineLevel="0" collapsed="false">
      <c r="A22" s="41" t="str">
        <f aca="false">設定!B76</f>
        <v>原爆障害対策協議会</v>
      </c>
      <c r="B22" s="33" t="n">
        <f aca="false">IFERROR(MATCH(ホーム!$C$4&amp;"|"&amp;A22,報告入力!$CM$7:$CM$696,0),"")</f>
        <v>338</v>
      </c>
      <c r="C22" s="10" t="str">
        <f aca="false">IF($B22="","",INDEX(報告入力!$C$7:$C$696,$B22))</f>
        <v>未受領</v>
      </c>
      <c r="D22" s="10" t="str">
        <f aca="false">IF($B22="","",INDEX(報告入力!$D$7:$D$696,$B22))</f>
        <v>―</v>
      </c>
      <c r="E22" s="24" t="str">
        <f aca="false">IF($B22="","",INDEX(報告入力!$E$7:$E$696,$B22))</f>
        <v>―</v>
      </c>
      <c r="F22" s="42" t="n">
        <f aca="false">IF($B22="","",INDEX(報告入力!$I$7:$I$696,$B22))</f>
        <v>0</v>
      </c>
      <c r="G22" s="42" t="n">
        <f aca="false">IF($B22="","",INDEX(報告入力!$J$7:$J$696,$B22))</f>
        <v>0</v>
      </c>
      <c r="H22" s="42" t="n">
        <f aca="false">IF($B22="","",INDEX(報告入力!$K$7:$K$696,$B22))</f>
        <v>0</v>
      </c>
      <c r="I22" s="42" t="str">
        <f aca="false">IF($AG22=1,INDEX(報告入力!$BR$7:$BR$696,$B22),"")</f>
        <v/>
      </c>
      <c r="J22" s="42" t="str">
        <f aca="false">IF($AH22=1,INDEX(報告入力!$BJ$7:$BJ$696,$B22),"")</f>
        <v/>
      </c>
      <c r="K22" s="43" t="str">
        <f aca="false">IF($AH22=1,INDEX(報告入力!$BZ$7:$BZ$696,$B22),"")</f>
        <v/>
      </c>
      <c r="L22" s="42" t="str">
        <f aca="false">IF($AG22=1,INDEX(報告入力!$BS$7:$BS$696,$B22),"")</f>
        <v/>
      </c>
      <c r="M22" s="42" t="str">
        <f aca="false">IF($AH22=1,INDEX(報告入力!$BK$7:$BK$696,$B22),"")</f>
        <v/>
      </c>
      <c r="N22" s="43" t="str">
        <f aca="false">IF($AH22=1,INDEX(報告入力!$CA$7:$CA$696,$B22),"")</f>
        <v/>
      </c>
      <c r="O22" s="42" t="str">
        <f aca="false">IF($AG22=1,INDEX(報告入力!$BT$7:$BT$696,$B22),"")</f>
        <v/>
      </c>
      <c r="P22" s="42" t="str">
        <f aca="false">IF($AH22=1,INDEX(報告入力!$BL$7:$BL$696,$B22),"")</f>
        <v/>
      </c>
      <c r="Q22" s="43" t="str">
        <f aca="false">IF($AH22=1,INDEX(報告入力!$CB$7:$CB$696,$B22),"")</f>
        <v/>
      </c>
      <c r="R22" s="42" t="str">
        <f aca="false">IF($AG22=1,INDEX(報告入力!$BU$7:$BU$696,$B22),"")</f>
        <v/>
      </c>
      <c r="S22" s="42" t="str">
        <f aca="false">IF($AH22=1,INDEX(報告入力!$BM$7:$BM$696,$B22),"")</f>
        <v/>
      </c>
      <c r="T22" s="43" t="str">
        <f aca="false">IF($AH22=1,INDEX(報告入力!$CC$7:$CC$696,$B22),"")</f>
        <v/>
      </c>
      <c r="U22" s="42" t="str">
        <f aca="false">IF($AG22=1,INDEX(報告入力!$BV$7:$BV$696,$B22),"")</f>
        <v/>
      </c>
      <c r="V22" s="42" t="str">
        <f aca="false">IF($AH22=1,INDEX(報告入力!$BN$7:$BN$696,$B22),"")</f>
        <v/>
      </c>
      <c r="W22" s="43" t="str">
        <f aca="false">IF($AH22=1,INDEX(報告入力!$CD$7:$CD$696,$B22),"")</f>
        <v/>
      </c>
      <c r="X22" s="42" t="str">
        <f aca="false">IF($AG22=1,INDEX(報告入力!$BW$7:$BW$696,$B22),"")</f>
        <v/>
      </c>
      <c r="Y22" s="42" t="str">
        <f aca="false">IF($AH22=1,INDEX(報告入力!$BO$7:$BO$696,$B22),"")</f>
        <v/>
      </c>
      <c r="Z22" s="43" t="str">
        <f aca="false">IF($AH22=1,INDEX(報告入力!$CE$7:$CE$696,$B22),"")</f>
        <v/>
      </c>
      <c r="AA22" s="42" t="str">
        <f aca="false">IF($AG22=1,INDEX(報告入力!$BX$7:$BX$696,$B22),"")</f>
        <v/>
      </c>
      <c r="AB22" s="42" t="str">
        <f aca="false">IF($AH22=1,INDEX(報告入力!$BP$7:$BP$696,$B22),"")</f>
        <v/>
      </c>
      <c r="AC22" s="43" t="str">
        <f aca="false">IF($AH22=1,INDEX(報告入力!$CF$7:$CF$696,$B22),"")</f>
        <v/>
      </c>
      <c r="AD22" s="42" t="str">
        <f aca="false">IF($AG22=1,INDEX(報告入力!$BY$7:$BY$696,$B22),"")</f>
        <v/>
      </c>
      <c r="AE22" s="42" t="str">
        <f aca="false">IF($AH22=1,INDEX(報告入力!$BQ$7:$BQ$696,$B22),"")</f>
        <v/>
      </c>
      <c r="AF22" s="43" t="str">
        <f aca="false">IF($AH22=1,INDEX(報告入力!$CG$7:$CG$696,$B22),"")</f>
        <v/>
      </c>
      <c r="AG22" s="33" t="n">
        <f aca="false">IF($B22="",0,IF(OR(C22="未受領",C22="報告なし"),0,1))</f>
        <v>0</v>
      </c>
      <c r="AH22" s="33" t="n">
        <f aca="false">IF(OR(D22="問題なし",D22="要確認"),1,0)</f>
        <v>0</v>
      </c>
      <c r="AI22" s="33" t="n">
        <f aca="false">IF(C22="未受領",MAX(AI$6:AI21)+1,"")</f>
        <v>15</v>
      </c>
      <c r="AJ22" s="33" t="str">
        <f aca="false">IF(D22="要確認",MAX(AJ$6:AJ21)+1,"")</f>
        <v/>
      </c>
      <c r="AK22" s="32" t="str">
        <f aca="false">IF(D22="要確認",INDEX(報告入力!$CH$7:$CH$696,$B22),"")</f>
        <v/>
      </c>
    </row>
    <row r="23" customFormat="false" ht="15" hidden="false" customHeight="false" outlineLevel="0" collapsed="false">
      <c r="A23" s="41" t="str">
        <f aca="false">設定!B77</f>
        <v>産業振興センター</v>
      </c>
      <c r="B23" s="33" t="n">
        <f aca="false">IFERROR(MATCH(ホーム!$C$4&amp;"|"&amp;A23,報告入力!$CM$7:$CM$696,0),"")</f>
        <v>339</v>
      </c>
      <c r="C23" s="10" t="str">
        <f aca="false">IF($B23="","",INDEX(報告入力!$C$7:$C$696,$B23))</f>
        <v>未受領</v>
      </c>
      <c r="D23" s="10" t="str">
        <f aca="false">IF($B23="","",INDEX(報告入力!$D$7:$D$696,$B23))</f>
        <v>―</v>
      </c>
      <c r="E23" s="24" t="str">
        <f aca="false">IF($B23="","",INDEX(報告入力!$E$7:$E$696,$B23))</f>
        <v>―</v>
      </c>
      <c r="F23" s="42" t="n">
        <f aca="false">IF($B23="","",INDEX(報告入力!$I$7:$I$696,$B23))</f>
        <v>0</v>
      </c>
      <c r="G23" s="42" t="n">
        <f aca="false">IF($B23="","",INDEX(報告入力!$J$7:$J$696,$B23))</f>
        <v>0</v>
      </c>
      <c r="H23" s="42" t="n">
        <f aca="false">IF($B23="","",INDEX(報告入力!$K$7:$K$696,$B23))</f>
        <v>0</v>
      </c>
      <c r="I23" s="42" t="str">
        <f aca="false">IF($AG23=1,INDEX(報告入力!$BR$7:$BR$696,$B23),"")</f>
        <v/>
      </c>
      <c r="J23" s="42" t="str">
        <f aca="false">IF($AH23=1,INDEX(報告入力!$BJ$7:$BJ$696,$B23),"")</f>
        <v/>
      </c>
      <c r="K23" s="43" t="str">
        <f aca="false">IF($AH23=1,INDEX(報告入力!$BZ$7:$BZ$696,$B23),"")</f>
        <v/>
      </c>
      <c r="L23" s="42" t="str">
        <f aca="false">IF($AG23=1,INDEX(報告入力!$BS$7:$BS$696,$B23),"")</f>
        <v/>
      </c>
      <c r="M23" s="42" t="str">
        <f aca="false">IF($AH23=1,INDEX(報告入力!$BK$7:$BK$696,$B23),"")</f>
        <v/>
      </c>
      <c r="N23" s="43" t="str">
        <f aca="false">IF($AH23=1,INDEX(報告入力!$CA$7:$CA$696,$B23),"")</f>
        <v/>
      </c>
      <c r="O23" s="42" t="str">
        <f aca="false">IF($AG23=1,INDEX(報告入力!$BT$7:$BT$696,$B23),"")</f>
        <v/>
      </c>
      <c r="P23" s="42" t="str">
        <f aca="false">IF($AH23=1,INDEX(報告入力!$BL$7:$BL$696,$B23),"")</f>
        <v/>
      </c>
      <c r="Q23" s="43" t="str">
        <f aca="false">IF($AH23=1,INDEX(報告入力!$CB$7:$CB$696,$B23),"")</f>
        <v/>
      </c>
      <c r="R23" s="42" t="str">
        <f aca="false">IF($AG23=1,INDEX(報告入力!$BU$7:$BU$696,$B23),"")</f>
        <v/>
      </c>
      <c r="S23" s="42" t="str">
        <f aca="false">IF($AH23=1,INDEX(報告入力!$BM$7:$BM$696,$B23),"")</f>
        <v/>
      </c>
      <c r="T23" s="43" t="str">
        <f aca="false">IF($AH23=1,INDEX(報告入力!$CC$7:$CC$696,$B23),"")</f>
        <v/>
      </c>
      <c r="U23" s="42" t="str">
        <f aca="false">IF($AG23=1,INDEX(報告入力!$BV$7:$BV$696,$B23),"")</f>
        <v/>
      </c>
      <c r="V23" s="42" t="str">
        <f aca="false">IF($AH23=1,INDEX(報告入力!$BN$7:$BN$696,$B23),"")</f>
        <v/>
      </c>
      <c r="W23" s="43" t="str">
        <f aca="false">IF($AH23=1,INDEX(報告入力!$CD$7:$CD$696,$B23),"")</f>
        <v/>
      </c>
      <c r="X23" s="42" t="str">
        <f aca="false">IF($AG23=1,INDEX(報告入力!$BW$7:$BW$696,$B23),"")</f>
        <v/>
      </c>
      <c r="Y23" s="42" t="str">
        <f aca="false">IF($AH23=1,INDEX(報告入力!$BO$7:$BO$696,$B23),"")</f>
        <v/>
      </c>
      <c r="Z23" s="43" t="str">
        <f aca="false">IF($AH23=1,INDEX(報告入力!$CE$7:$CE$696,$B23),"")</f>
        <v/>
      </c>
      <c r="AA23" s="42" t="str">
        <f aca="false">IF($AG23=1,INDEX(報告入力!$BX$7:$BX$696,$B23),"")</f>
        <v/>
      </c>
      <c r="AB23" s="42" t="str">
        <f aca="false">IF($AH23=1,INDEX(報告入力!$BP$7:$BP$696,$B23),"")</f>
        <v/>
      </c>
      <c r="AC23" s="43" t="str">
        <f aca="false">IF($AH23=1,INDEX(報告入力!$CF$7:$CF$696,$B23),"")</f>
        <v/>
      </c>
      <c r="AD23" s="42" t="str">
        <f aca="false">IF($AG23=1,INDEX(報告入力!$BY$7:$BY$696,$B23),"")</f>
        <v/>
      </c>
      <c r="AE23" s="42" t="str">
        <f aca="false">IF($AH23=1,INDEX(報告入力!$BQ$7:$BQ$696,$B23),"")</f>
        <v/>
      </c>
      <c r="AF23" s="43" t="str">
        <f aca="false">IF($AH23=1,INDEX(報告入力!$CG$7:$CG$696,$B23),"")</f>
        <v/>
      </c>
      <c r="AG23" s="33" t="n">
        <f aca="false">IF($B23="",0,IF(OR(C23="未受領",C23="報告なし"),0,1))</f>
        <v>0</v>
      </c>
      <c r="AH23" s="33" t="n">
        <f aca="false">IF(OR(D23="問題なし",D23="要確認"),1,0)</f>
        <v>0</v>
      </c>
      <c r="AI23" s="33" t="n">
        <f aca="false">IF(C23="未受領",MAX(AI$6:AI22)+1,"")</f>
        <v>16</v>
      </c>
      <c r="AJ23" s="33" t="str">
        <f aca="false">IF(D23="要確認",MAX(AJ$6:AJ22)+1,"")</f>
        <v/>
      </c>
      <c r="AK23" s="32" t="str">
        <f aca="false">IF(D23="要確認",INDEX(報告入力!$CH$7:$CH$696,$B23),"")</f>
        <v/>
      </c>
    </row>
    <row r="24" customFormat="false" ht="15" hidden="false" customHeight="false" outlineLevel="0" collapsed="false">
      <c r="A24" s="41" t="str">
        <f aca="false">設定!B78</f>
        <v>ひろしま産業振興</v>
      </c>
      <c r="B24" s="33" t="n">
        <f aca="false">IFERROR(MATCH(ホーム!$C$4&amp;"|"&amp;A24,報告入力!$CM$7:$CM$696,0),"")</f>
        <v>340</v>
      </c>
      <c r="C24" s="10" t="str">
        <f aca="false">IF($B24="","",INDEX(報告入力!$C$7:$C$696,$B24))</f>
        <v>未受領</v>
      </c>
      <c r="D24" s="10" t="str">
        <f aca="false">IF($B24="","",INDEX(報告入力!$D$7:$D$696,$B24))</f>
        <v>―</v>
      </c>
      <c r="E24" s="24" t="str">
        <f aca="false">IF($B24="","",INDEX(報告入力!$E$7:$E$696,$B24))</f>
        <v>―</v>
      </c>
      <c r="F24" s="42" t="n">
        <f aca="false">IF($B24="","",INDEX(報告入力!$I$7:$I$696,$B24))</f>
        <v>0</v>
      </c>
      <c r="G24" s="42" t="n">
        <f aca="false">IF($B24="","",INDEX(報告入力!$J$7:$J$696,$B24))</f>
        <v>0</v>
      </c>
      <c r="H24" s="42" t="n">
        <f aca="false">IF($B24="","",INDEX(報告入力!$K$7:$K$696,$B24))</f>
        <v>0</v>
      </c>
      <c r="I24" s="42" t="str">
        <f aca="false">IF($AG24=1,INDEX(報告入力!$BR$7:$BR$696,$B24),"")</f>
        <v/>
      </c>
      <c r="J24" s="42" t="str">
        <f aca="false">IF($AH24=1,INDEX(報告入力!$BJ$7:$BJ$696,$B24),"")</f>
        <v/>
      </c>
      <c r="K24" s="43" t="str">
        <f aca="false">IF($AH24=1,INDEX(報告入力!$BZ$7:$BZ$696,$B24),"")</f>
        <v/>
      </c>
      <c r="L24" s="42" t="str">
        <f aca="false">IF($AG24=1,INDEX(報告入力!$BS$7:$BS$696,$B24),"")</f>
        <v/>
      </c>
      <c r="M24" s="42" t="str">
        <f aca="false">IF($AH24=1,INDEX(報告入力!$BK$7:$BK$696,$B24),"")</f>
        <v/>
      </c>
      <c r="N24" s="43" t="str">
        <f aca="false">IF($AH24=1,INDEX(報告入力!$CA$7:$CA$696,$B24),"")</f>
        <v/>
      </c>
      <c r="O24" s="42" t="str">
        <f aca="false">IF($AG24=1,INDEX(報告入力!$BT$7:$BT$696,$B24),"")</f>
        <v/>
      </c>
      <c r="P24" s="42" t="str">
        <f aca="false">IF($AH24=1,INDEX(報告入力!$BL$7:$BL$696,$B24),"")</f>
        <v/>
      </c>
      <c r="Q24" s="43" t="str">
        <f aca="false">IF($AH24=1,INDEX(報告入力!$CB$7:$CB$696,$B24),"")</f>
        <v/>
      </c>
      <c r="R24" s="42" t="str">
        <f aca="false">IF($AG24=1,INDEX(報告入力!$BU$7:$BU$696,$B24),"")</f>
        <v/>
      </c>
      <c r="S24" s="42" t="str">
        <f aca="false">IF($AH24=1,INDEX(報告入力!$BM$7:$BM$696,$B24),"")</f>
        <v/>
      </c>
      <c r="T24" s="43" t="str">
        <f aca="false">IF($AH24=1,INDEX(報告入力!$CC$7:$CC$696,$B24),"")</f>
        <v/>
      </c>
      <c r="U24" s="42" t="str">
        <f aca="false">IF($AG24=1,INDEX(報告入力!$BV$7:$BV$696,$B24),"")</f>
        <v/>
      </c>
      <c r="V24" s="42" t="str">
        <f aca="false">IF($AH24=1,INDEX(報告入力!$BN$7:$BN$696,$B24),"")</f>
        <v/>
      </c>
      <c r="W24" s="43" t="str">
        <f aca="false">IF($AH24=1,INDEX(報告入力!$CD$7:$CD$696,$B24),"")</f>
        <v/>
      </c>
      <c r="X24" s="42" t="str">
        <f aca="false">IF($AG24=1,INDEX(報告入力!$BW$7:$BW$696,$B24),"")</f>
        <v/>
      </c>
      <c r="Y24" s="42" t="str">
        <f aca="false">IF($AH24=1,INDEX(報告入力!$BO$7:$BO$696,$B24),"")</f>
        <v/>
      </c>
      <c r="Z24" s="43" t="str">
        <f aca="false">IF($AH24=1,INDEX(報告入力!$CE$7:$CE$696,$B24),"")</f>
        <v/>
      </c>
      <c r="AA24" s="42" t="str">
        <f aca="false">IF($AG24=1,INDEX(報告入力!$BX$7:$BX$696,$B24),"")</f>
        <v/>
      </c>
      <c r="AB24" s="42" t="str">
        <f aca="false">IF($AH24=1,INDEX(報告入力!$BP$7:$BP$696,$B24),"")</f>
        <v/>
      </c>
      <c r="AC24" s="43" t="str">
        <f aca="false">IF($AH24=1,INDEX(報告入力!$CF$7:$CF$696,$B24),"")</f>
        <v/>
      </c>
      <c r="AD24" s="42" t="str">
        <f aca="false">IF($AG24=1,INDEX(報告入力!$BY$7:$BY$696,$B24),"")</f>
        <v/>
      </c>
      <c r="AE24" s="42" t="str">
        <f aca="false">IF($AH24=1,INDEX(報告入力!$BQ$7:$BQ$696,$B24),"")</f>
        <v/>
      </c>
      <c r="AF24" s="43" t="str">
        <f aca="false">IF($AH24=1,INDEX(報告入力!$CG$7:$CG$696,$B24),"")</f>
        <v/>
      </c>
      <c r="AG24" s="33" t="n">
        <f aca="false">IF($B24="",0,IF(OR(C24="未受領",C24="報告なし"),0,1))</f>
        <v>0</v>
      </c>
      <c r="AH24" s="33" t="n">
        <f aca="false">IF(OR(D24="問題なし",D24="要確認"),1,0)</f>
        <v>0</v>
      </c>
      <c r="AI24" s="33" t="n">
        <f aca="false">IF(C24="未受領",MAX(AI$6:AI23)+1,"")</f>
        <v>17</v>
      </c>
      <c r="AJ24" s="33" t="str">
        <f aca="false">IF(D24="要確認",MAX(AJ$6:AJ23)+1,"")</f>
        <v/>
      </c>
      <c r="AK24" s="32" t="str">
        <f aca="false">IF(D24="要確認",INDEX(報告入力!$CH$7:$CH$696,$B24),"")</f>
        <v/>
      </c>
    </row>
    <row r="25" customFormat="false" ht="15" hidden="false" customHeight="false" outlineLevel="0" collapsed="false">
      <c r="A25" s="41" t="str">
        <f aca="false">設定!B79</f>
        <v>都市整備公社　市</v>
      </c>
      <c r="B25" s="33" t="n">
        <f aca="false">IFERROR(MATCH(ホーム!$C$4&amp;"|"&amp;A25,報告入力!$CM$7:$CM$696,0),"")</f>
        <v>341</v>
      </c>
      <c r="C25" s="10" t="str">
        <f aca="false">IF($B25="","",INDEX(報告入力!$C$7:$C$696,$B25))</f>
        <v>未受領</v>
      </c>
      <c r="D25" s="10" t="str">
        <f aca="false">IF($B25="","",INDEX(報告入力!$D$7:$D$696,$B25))</f>
        <v>―</v>
      </c>
      <c r="E25" s="24" t="str">
        <f aca="false">IF($B25="","",INDEX(報告入力!$E$7:$E$696,$B25))</f>
        <v>―</v>
      </c>
      <c r="F25" s="42" t="n">
        <f aca="false">IF($B25="","",INDEX(報告入力!$I$7:$I$696,$B25))</f>
        <v>0</v>
      </c>
      <c r="G25" s="42" t="n">
        <f aca="false">IF($B25="","",INDEX(報告入力!$J$7:$J$696,$B25))</f>
        <v>0</v>
      </c>
      <c r="H25" s="42" t="n">
        <f aca="false">IF($B25="","",INDEX(報告入力!$K$7:$K$696,$B25))</f>
        <v>0</v>
      </c>
      <c r="I25" s="42" t="str">
        <f aca="false">IF($AG25=1,INDEX(報告入力!$BR$7:$BR$696,$B25),"")</f>
        <v/>
      </c>
      <c r="J25" s="42" t="str">
        <f aca="false">IF($AH25=1,INDEX(報告入力!$BJ$7:$BJ$696,$B25),"")</f>
        <v/>
      </c>
      <c r="K25" s="43" t="str">
        <f aca="false">IF($AH25=1,INDEX(報告入力!$BZ$7:$BZ$696,$B25),"")</f>
        <v/>
      </c>
      <c r="L25" s="42" t="str">
        <f aca="false">IF($AG25=1,INDEX(報告入力!$BS$7:$BS$696,$B25),"")</f>
        <v/>
      </c>
      <c r="M25" s="42" t="str">
        <f aca="false">IF($AH25=1,INDEX(報告入力!$BK$7:$BK$696,$B25),"")</f>
        <v/>
      </c>
      <c r="N25" s="43" t="str">
        <f aca="false">IF($AH25=1,INDEX(報告入力!$CA$7:$CA$696,$B25),"")</f>
        <v/>
      </c>
      <c r="O25" s="42" t="str">
        <f aca="false">IF($AG25=1,INDEX(報告入力!$BT$7:$BT$696,$B25),"")</f>
        <v/>
      </c>
      <c r="P25" s="42" t="str">
        <f aca="false">IF($AH25=1,INDEX(報告入力!$BL$7:$BL$696,$B25),"")</f>
        <v/>
      </c>
      <c r="Q25" s="43" t="str">
        <f aca="false">IF($AH25=1,INDEX(報告入力!$CB$7:$CB$696,$B25),"")</f>
        <v/>
      </c>
      <c r="R25" s="42" t="str">
        <f aca="false">IF($AG25=1,INDEX(報告入力!$BU$7:$BU$696,$B25),"")</f>
        <v/>
      </c>
      <c r="S25" s="42" t="str">
        <f aca="false">IF($AH25=1,INDEX(報告入力!$BM$7:$BM$696,$B25),"")</f>
        <v/>
      </c>
      <c r="T25" s="43" t="str">
        <f aca="false">IF($AH25=1,INDEX(報告入力!$CC$7:$CC$696,$B25),"")</f>
        <v/>
      </c>
      <c r="U25" s="42" t="str">
        <f aca="false">IF($AG25=1,INDEX(報告入力!$BV$7:$BV$696,$B25),"")</f>
        <v/>
      </c>
      <c r="V25" s="42" t="str">
        <f aca="false">IF($AH25=1,INDEX(報告入力!$BN$7:$BN$696,$B25),"")</f>
        <v/>
      </c>
      <c r="W25" s="43" t="str">
        <f aca="false">IF($AH25=1,INDEX(報告入力!$CD$7:$CD$696,$B25),"")</f>
        <v/>
      </c>
      <c r="X25" s="42" t="str">
        <f aca="false">IF($AG25=1,INDEX(報告入力!$BW$7:$BW$696,$B25),"")</f>
        <v/>
      </c>
      <c r="Y25" s="42" t="str">
        <f aca="false">IF($AH25=1,INDEX(報告入力!$BO$7:$BO$696,$B25),"")</f>
        <v/>
      </c>
      <c r="Z25" s="43" t="str">
        <f aca="false">IF($AH25=1,INDEX(報告入力!$CE$7:$CE$696,$B25),"")</f>
        <v/>
      </c>
      <c r="AA25" s="42" t="str">
        <f aca="false">IF($AG25=1,INDEX(報告入力!$BX$7:$BX$696,$B25),"")</f>
        <v/>
      </c>
      <c r="AB25" s="42" t="str">
        <f aca="false">IF($AH25=1,INDEX(報告入力!$BP$7:$BP$696,$B25),"")</f>
        <v/>
      </c>
      <c r="AC25" s="43" t="str">
        <f aca="false">IF($AH25=1,INDEX(報告入力!$CF$7:$CF$696,$B25),"")</f>
        <v/>
      </c>
      <c r="AD25" s="42" t="str">
        <f aca="false">IF($AG25=1,INDEX(報告入力!$BY$7:$BY$696,$B25),"")</f>
        <v/>
      </c>
      <c r="AE25" s="42" t="str">
        <f aca="false">IF($AH25=1,INDEX(報告入力!$BQ$7:$BQ$696,$B25),"")</f>
        <v/>
      </c>
      <c r="AF25" s="43" t="str">
        <f aca="false">IF($AH25=1,INDEX(報告入力!$CG$7:$CG$696,$B25),"")</f>
        <v/>
      </c>
      <c r="AG25" s="33" t="n">
        <f aca="false">IF($B25="",0,IF(OR(C25="未受領",C25="報告なし"),0,1))</f>
        <v>0</v>
      </c>
      <c r="AH25" s="33" t="n">
        <f aca="false">IF(OR(D25="問題なし",D25="要確認"),1,0)</f>
        <v>0</v>
      </c>
      <c r="AI25" s="33" t="n">
        <f aca="false">IF(C25="未受領",MAX(AI$6:AI24)+1,"")</f>
        <v>18</v>
      </c>
      <c r="AJ25" s="33" t="str">
        <f aca="false">IF(D25="要確認",MAX(AJ$6:AJ24)+1,"")</f>
        <v/>
      </c>
      <c r="AK25" s="32" t="str">
        <f aca="false">IF(D25="要確認",INDEX(報告入力!$CH$7:$CH$696,$B25),"")</f>
        <v/>
      </c>
    </row>
    <row r="26" customFormat="false" ht="15" hidden="false" customHeight="false" outlineLevel="0" collapsed="false">
      <c r="A26" s="41" t="str">
        <f aca="false">設定!B80</f>
        <v>都市整備公社　消防</v>
      </c>
      <c r="B26" s="33" t="n">
        <f aca="false">IFERROR(MATCH(ホーム!$C$4&amp;"|"&amp;A26,報告入力!$CM$7:$CM$696,0),"")</f>
        <v>342</v>
      </c>
      <c r="C26" s="10" t="str">
        <f aca="false">IF($B26="","",INDEX(報告入力!$C$7:$C$696,$B26))</f>
        <v>未受領</v>
      </c>
      <c r="D26" s="10" t="str">
        <f aca="false">IF($B26="","",INDEX(報告入力!$D$7:$D$696,$B26))</f>
        <v>―</v>
      </c>
      <c r="E26" s="24" t="str">
        <f aca="false">IF($B26="","",INDEX(報告入力!$E$7:$E$696,$B26))</f>
        <v>―</v>
      </c>
      <c r="F26" s="42" t="n">
        <f aca="false">IF($B26="","",INDEX(報告入力!$I$7:$I$696,$B26))</f>
        <v>0</v>
      </c>
      <c r="G26" s="42" t="n">
        <f aca="false">IF($B26="","",INDEX(報告入力!$J$7:$J$696,$B26))</f>
        <v>0</v>
      </c>
      <c r="H26" s="42" t="n">
        <f aca="false">IF($B26="","",INDEX(報告入力!$K$7:$K$696,$B26))</f>
        <v>0</v>
      </c>
      <c r="I26" s="42" t="str">
        <f aca="false">IF($AG26=1,INDEX(報告入力!$BR$7:$BR$696,$B26),"")</f>
        <v/>
      </c>
      <c r="J26" s="42" t="str">
        <f aca="false">IF($AH26=1,INDEX(報告入力!$BJ$7:$BJ$696,$B26),"")</f>
        <v/>
      </c>
      <c r="K26" s="43" t="str">
        <f aca="false">IF($AH26=1,INDEX(報告入力!$BZ$7:$BZ$696,$B26),"")</f>
        <v/>
      </c>
      <c r="L26" s="42" t="str">
        <f aca="false">IF($AG26=1,INDEX(報告入力!$BS$7:$BS$696,$B26),"")</f>
        <v/>
      </c>
      <c r="M26" s="42" t="str">
        <f aca="false">IF($AH26=1,INDEX(報告入力!$BK$7:$BK$696,$B26),"")</f>
        <v/>
      </c>
      <c r="N26" s="43" t="str">
        <f aca="false">IF($AH26=1,INDEX(報告入力!$CA$7:$CA$696,$B26),"")</f>
        <v/>
      </c>
      <c r="O26" s="42" t="str">
        <f aca="false">IF($AG26=1,INDEX(報告入力!$BT$7:$BT$696,$B26),"")</f>
        <v/>
      </c>
      <c r="P26" s="42" t="str">
        <f aca="false">IF($AH26=1,INDEX(報告入力!$BL$7:$BL$696,$B26),"")</f>
        <v/>
      </c>
      <c r="Q26" s="43" t="str">
        <f aca="false">IF($AH26=1,INDEX(報告入力!$CB$7:$CB$696,$B26),"")</f>
        <v/>
      </c>
      <c r="R26" s="42" t="str">
        <f aca="false">IF($AG26=1,INDEX(報告入力!$BU$7:$BU$696,$B26),"")</f>
        <v/>
      </c>
      <c r="S26" s="42" t="str">
        <f aca="false">IF($AH26=1,INDEX(報告入力!$BM$7:$BM$696,$B26),"")</f>
        <v/>
      </c>
      <c r="T26" s="43" t="str">
        <f aca="false">IF($AH26=1,INDEX(報告入力!$CC$7:$CC$696,$B26),"")</f>
        <v/>
      </c>
      <c r="U26" s="42" t="str">
        <f aca="false">IF($AG26=1,INDEX(報告入力!$BV$7:$BV$696,$B26),"")</f>
        <v/>
      </c>
      <c r="V26" s="42" t="str">
        <f aca="false">IF($AH26=1,INDEX(報告入力!$BN$7:$BN$696,$B26),"")</f>
        <v/>
      </c>
      <c r="W26" s="43" t="str">
        <f aca="false">IF($AH26=1,INDEX(報告入力!$CD$7:$CD$696,$B26),"")</f>
        <v/>
      </c>
      <c r="X26" s="42" t="str">
        <f aca="false">IF($AG26=1,INDEX(報告入力!$BW$7:$BW$696,$B26),"")</f>
        <v/>
      </c>
      <c r="Y26" s="42" t="str">
        <f aca="false">IF($AH26=1,INDEX(報告入力!$BO$7:$BO$696,$B26),"")</f>
        <v/>
      </c>
      <c r="Z26" s="43" t="str">
        <f aca="false">IF($AH26=1,INDEX(報告入力!$CE$7:$CE$696,$B26),"")</f>
        <v/>
      </c>
      <c r="AA26" s="42" t="str">
        <f aca="false">IF($AG26=1,INDEX(報告入力!$BX$7:$BX$696,$B26),"")</f>
        <v/>
      </c>
      <c r="AB26" s="42" t="str">
        <f aca="false">IF($AH26=1,INDEX(報告入力!$BP$7:$BP$696,$B26),"")</f>
        <v/>
      </c>
      <c r="AC26" s="43" t="str">
        <f aca="false">IF($AH26=1,INDEX(報告入力!$CF$7:$CF$696,$B26),"")</f>
        <v/>
      </c>
      <c r="AD26" s="42" t="str">
        <f aca="false">IF($AG26=1,INDEX(報告入力!$BY$7:$BY$696,$B26),"")</f>
        <v/>
      </c>
      <c r="AE26" s="42" t="str">
        <f aca="false">IF($AH26=1,INDEX(報告入力!$BQ$7:$BQ$696,$B26),"")</f>
        <v/>
      </c>
      <c r="AF26" s="43" t="str">
        <f aca="false">IF($AH26=1,INDEX(報告入力!$CG$7:$CG$696,$B26),"")</f>
        <v/>
      </c>
      <c r="AG26" s="33" t="n">
        <f aca="false">IF($B26="",0,IF(OR(C26="未受領",C26="報告なし"),0,1))</f>
        <v>0</v>
      </c>
      <c r="AH26" s="33" t="n">
        <f aca="false">IF(OR(D26="問題なし",D26="要確認"),1,0)</f>
        <v>0</v>
      </c>
      <c r="AI26" s="33" t="n">
        <f aca="false">IF(C26="未受領",MAX(AI$6:AI25)+1,"")</f>
        <v>19</v>
      </c>
      <c r="AJ26" s="33" t="str">
        <f aca="false">IF(D26="要確認",MAX(AJ$6:AJ25)+1,"")</f>
        <v/>
      </c>
      <c r="AK26" s="32" t="str">
        <f aca="false">IF(D26="要確認",INDEX(報告入力!$CH$7:$CH$696,$B26),"")</f>
        <v/>
      </c>
    </row>
    <row r="27" customFormat="false" ht="15" hidden="false" customHeight="false" outlineLevel="0" collapsed="false">
      <c r="A27" s="41" t="str">
        <f aca="false">設定!B81</f>
        <v>日本下水道事業団</v>
      </c>
      <c r="B27" s="33" t="n">
        <f aca="false">IFERROR(MATCH(ホーム!$C$4&amp;"|"&amp;A27,報告入力!$CM$7:$CM$696,0),"")</f>
        <v>343</v>
      </c>
      <c r="C27" s="10" t="str">
        <f aca="false">IF($B27="","",INDEX(報告入力!$C$7:$C$696,$B27))</f>
        <v>受領済</v>
      </c>
      <c r="D27" s="10" t="str">
        <f aca="false">IF($B27="","",INDEX(報告入力!$D$7:$D$696,$B27))</f>
        <v>標報未入力</v>
      </c>
      <c r="E27" s="24" t="str">
        <f aca="false">IF($B27="","",INDEX(報告入力!$E$7:$E$696,$B27))</f>
        <v>前月同額</v>
      </c>
      <c r="F27" s="42" t="n">
        <f aca="false">IF($B27="","",INDEX(報告入力!$I$7:$I$696,$B27))</f>
        <v>0</v>
      </c>
      <c r="G27" s="42" t="n">
        <f aca="false">IF($B27="","",INDEX(報告入力!$J$7:$J$696,$B27))</f>
        <v>0</v>
      </c>
      <c r="H27" s="42" t="n">
        <f aca="false">IF($B27="","",INDEX(報告入力!$K$7:$K$696,$B27))</f>
        <v>0</v>
      </c>
      <c r="I27" s="42" t="n">
        <f aca="false">IF($AG27=1,INDEX(報告入力!$BR$7:$BR$696,$B27),"")</f>
        <v>267300</v>
      </c>
      <c r="J27" s="42" t="str">
        <f aca="false">IF($AH27=1,INDEX(報告入力!$BJ$7:$BJ$696,$B27),"")</f>
        <v/>
      </c>
      <c r="K27" s="43" t="str">
        <f aca="false">IF($AH27=1,INDEX(報告入力!$BZ$7:$BZ$696,$B27),"")</f>
        <v/>
      </c>
      <c r="L27" s="42" t="n">
        <f aca="false">IF($AG27=1,INDEX(報告入力!$BS$7:$BS$696,$B27),"")</f>
        <v>267534</v>
      </c>
      <c r="M27" s="42" t="str">
        <f aca="false">IF($AH27=1,INDEX(報告入力!$BK$7:$BK$696,$B27),"")</f>
        <v/>
      </c>
      <c r="N27" s="43" t="str">
        <f aca="false">IF($AH27=1,INDEX(報告入力!$CA$7:$CA$696,$B27),"")</f>
        <v/>
      </c>
      <c r="O27" s="42" t="n">
        <f aca="false">IF($AG27=1,INDEX(報告入力!$BT$7:$BT$696,$B27),"")</f>
        <v>140021</v>
      </c>
      <c r="P27" s="42" t="str">
        <f aca="false">IF($AH27=1,INDEX(報告入力!$BL$7:$BL$696,$B27),"")</f>
        <v/>
      </c>
      <c r="Q27" s="43" t="str">
        <f aca="false">IF($AH27=1,INDEX(報告入力!$CB$7:$CB$696,$B27),"")</f>
        <v/>
      </c>
      <c r="R27" s="42" t="n">
        <f aca="false">IF($AG27=1,INDEX(報告入力!$BU$7:$BU$696,$B27),"")</f>
        <v>140157</v>
      </c>
      <c r="S27" s="42" t="str">
        <f aca="false">IF($AH27=1,INDEX(報告入力!$BM$7:$BM$696,$B27),"")</f>
        <v/>
      </c>
      <c r="T27" s="43" t="str">
        <f aca="false">IF($AH27=1,INDEX(報告入力!$CC$7:$CC$696,$B27),"")</f>
        <v/>
      </c>
      <c r="U27" s="42" t="n">
        <f aca="false">IF($AG27=1,INDEX(報告入力!$BV$7:$BV$696,$B27),"")</f>
        <v>10270</v>
      </c>
      <c r="V27" s="42" t="str">
        <f aca="false">IF($AH27=1,INDEX(報告入力!$BN$7:$BN$696,$B27),"")</f>
        <v/>
      </c>
      <c r="W27" s="43" t="str">
        <f aca="false">IF($AH27=1,INDEX(報告入力!$CD$7:$CD$696,$B27),"")</f>
        <v/>
      </c>
      <c r="X27" s="42" t="n">
        <f aca="false">IF($AG27=1,INDEX(報告入力!$BW$7:$BW$696,$B27),"")</f>
        <v>10270</v>
      </c>
      <c r="Y27" s="42" t="str">
        <f aca="false">IF($AH27=1,INDEX(報告入力!$BO$7:$BO$696,$B27),"")</f>
        <v/>
      </c>
      <c r="Z27" s="43" t="str">
        <f aca="false">IF($AH27=1,INDEX(報告入力!$CE$7:$CE$696,$B27),"")</f>
        <v/>
      </c>
      <c r="AA27" s="42" t="n">
        <f aca="false">IF($AG27=1,INDEX(報告入力!$BX$7:$BX$696,$B27),"")</f>
        <v>3104</v>
      </c>
      <c r="AB27" s="42" t="str">
        <f aca="false">IF($AH27=1,INDEX(報告入力!$BP$7:$BP$696,$B27),"")</f>
        <v/>
      </c>
      <c r="AC27" s="43" t="str">
        <f aca="false">IF($AH27=1,INDEX(報告入力!$CF$7:$CF$696,$B27),"")</f>
        <v/>
      </c>
      <c r="AD27" s="42" t="n">
        <f aca="false">IF($AG27=1,INDEX(報告入力!$BY$7:$BY$696,$B27),"")</f>
        <v>3105</v>
      </c>
      <c r="AE27" s="42" t="str">
        <f aca="false">IF($AH27=1,INDEX(報告入力!$BQ$7:$BQ$696,$B27),"")</f>
        <v/>
      </c>
      <c r="AF27" s="43" t="str">
        <f aca="false">IF($AH27=1,INDEX(報告入力!$CG$7:$CG$696,$B27),"")</f>
        <v/>
      </c>
      <c r="AG27" s="33" t="n">
        <f aca="false">IF($B27="",0,IF(OR(C27="未受領",C27="報告なし"),0,1))</f>
        <v>1</v>
      </c>
      <c r="AH27" s="33" t="n">
        <f aca="false">IF(OR(D27="問題なし",D27="要確認"),1,0)</f>
        <v>0</v>
      </c>
      <c r="AI27" s="33" t="str">
        <f aca="false">IF(C27="未受領",MAX(AI$6:AI26)+1,"")</f>
        <v/>
      </c>
      <c r="AJ27" s="33" t="str">
        <f aca="false">IF(D27="要確認",MAX(AJ$6:AJ26)+1,"")</f>
        <v/>
      </c>
      <c r="AK27" s="32" t="str">
        <f aca="false">IF(D27="要確認",INDEX(報告入力!$CH$7:$CH$696,$B27),"")</f>
        <v/>
      </c>
    </row>
    <row r="28" customFormat="false" ht="15" hidden="false" customHeight="false" outlineLevel="0" collapsed="false">
      <c r="A28" s="41" t="str">
        <f aca="false">設定!B82</f>
        <v>地方公務員災害補償基金本部</v>
      </c>
      <c r="B28" s="33" t="n">
        <f aca="false">IFERROR(MATCH(ホーム!$C$4&amp;"|"&amp;A28,報告入力!$CM$7:$CM$696,0),"")</f>
        <v>344</v>
      </c>
      <c r="C28" s="10" t="str">
        <f aca="false">IF($B28="","",INDEX(報告入力!$C$7:$C$696,$B28))</f>
        <v>受領済</v>
      </c>
      <c r="D28" s="10" t="str">
        <f aca="false">IF($B28="","",INDEX(報告入力!$D$7:$D$696,$B28))</f>
        <v>標報未入力</v>
      </c>
      <c r="E28" s="24" t="str">
        <f aca="false">IF($B28="","",INDEX(報告入力!$E$7:$E$696,$B28))</f>
        <v>前月同額</v>
      </c>
      <c r="F28" s="42" t="n">
        <f aca="false">IF($B28="","",INDEX(報告入力!$I$7:$I$696,$B28))</f>
        <v>0</v>
      </c>
      <c r="G28" s="42" t="n">
        <f aca="false">IF($B28="","",INDEX(報告入力!$J$7:$J$696,$B28))</f>
        <v>0</v>
      </c>
      <c r="H28" s="42" t="n">
        <f aca="false">IF($B28="","",INDEX(報告入力!$K$7:$K$696,$B28))</f>
        <v>0</v>
      </c>
      <c r="I28" s="42" t="n">
        <f aca="false">IF($AG28=1,INDEX(報告入力!$BR$7:$BR$696,$B28),"")</f>
        <v>46530</v>
      </c>
      <c r="J28" s="42" t="str">
        <f aca="false">IF($AH28=1,INDEX(報告入力!$BJ$7:$BJ$696,$B28),"")</f>
        <v/>
      </c>
      <c r="K28" s="43" t="str">
        <f aca="false">IF($AH28=1,INDEX(報告入力!$BZ$7:$BZ$696,$B28),"")</f>
        <v/>
      </c>
      <c r="L28" s="42" t="n">
        <f aca="false">IF($AG28=1,INDEX(報告入力!$BS$7:$BS$696,$B28),"")</f>
        <v>46570</v>
      </c>
      <c r="M28" s="42" t="str">
        <f aca="false">IF($AH28=1,INDEX(報告入力!$BK$7:$BK$696,$B28),"")</f>
        <v/>
      </c>
      <c r="N28" s="43" t="str">
        <f aca="false">IF($AH28=1,INDEX(報告入力!$CA$7:$CA$696,$B28),"")</f>
        <v/>
      </c>
      <c r="O28" s="42" t="n">
        <f aca="false">IF($AG28=1,INDEX(報告入力!$BT$7:$BT$696,$B28),"")</f>
        <v>24374</v>
      </c>
      <c r="P28" s="42" t="str">
        <f aca="false">IF($AH28=1,INDEX(報告入力!$BL$7:$BL$696,$B28),"")</f>
        <v/>
      </c>
      <c r="Q28" s="43" t="str">
        <f aca="false">IF($AH28=1,INDEX(報告入力!$CB$7:$CB$696,$B28),"")</f>
        <v/>
      </c>
      <c r="R28" s="42" t="n">
        <f aca="false">IF($AG28=1,INDEX(報告入力!$BU$7:$BU$696,$B28),"")</f>
        <v>24397</v>
      </c>
      <c r="S28" s="42" t="str">
        <f aca="false">IF($AH28=1,INDEX(報告入力!$BM$7:$BM$696,$B28),"")</f>
        <v/>
      </c>
      <c r="T28" s="43" t="str">
        <f aca="false">IF($AH28=1,INDEX(報告入力!$CC$7:$CC$696,$B28),"")</f>
        <v/>
      </c>
      <c r="U28" s="42" t="n">
        <f aca="false">IF($AG28=1,INDEX(報告入力!$BV$7:$BV$696,$B28),"")</f>
        <v>0</v>
      </c>
      <c r="V28" s="42" t="str">
        <f aca="false">IF($AH28=1,INDEX(報告入力!$BN$7:$BN$696,$B28),"")</f>
        <v/>
      </c>
      <c r="W28" s="43" t="str">
        <f aca="false">IF($AH28=1,INDEX(報告入力!$CD$7:$CD$696,$B28),"")</f>
        <v/>
      </c>
      <c r="X28" s="42" t="n">
        <f aca="false">IF($AG28=1,INDEX(報告入力!$BW$7:$BW$696,$B28),"")</f>
        <v>0</v>
      </c>
      <c r="Y28" s="42" t="str">
        <f aca="false">IF($AH28=1,INDEX(報告入力!$BO$7:$BO$696,$B28),"")</f>
        <v/>
      </c>
      <c r="Z28" s="43" t="str">
        <f aca="false">IF($AH28=1,INDEX(報告入力!$CE$7:$CE$696,$B28),"")</f>
        <v/>
      </c>
      <c r="AA28" s="42" t="n">
        <f aca="false">IF($AG28=1,INDEX(報告入力!$BX$7:$BX$696,$B28),"")</f>
        <v>540</v>
      </c>
      <c r="AB28" s="42" t="str">
        <f aca="false">IF($AH28=1,INDEX(報告入力!$BP$7:$BP$696,$B28),"")</f>
        <v/>
      </c>
      <c r="AC28" s="43" t="str">
        <f aca="false">IF($AH28=1,INDEX(報告入力!$CF$7:$CF$696,$B28),"")</f>
        <v/>
      </c>
      <c r="AD28" s="42" t="n">
        <f aca="false">IF($AG28=1,INDEX(報告入力!$BY$7:$BY$696,$B28),"")</f>
        <v>540</v>
      </c>
      <c r="AE28" s="42" t="str">
        <f aca="false">IF($AH28=1,INDEX(報告入力!$BQ$7:$BQ$696,$B28),"")</f>
        <v/>
      </c>
      <c r="AF28" s="43" t="str">
        <f aca="false">IF($AH28=1,INDEX(報告入力!$CG$7:$CG$696,$B28),"")</f>
        <v/>
      </c>
      <c r="AG28" s="33" t="n">
        <f aca="false">IF($B28="",0,IF(OR(C28="未受領",C28="報告なし"),0,1))</f>
        <v>1</v>
      </c>
      <c r="AH28" s="33" t="n">
        <f aca="false">IF(OR(D28="問題なし",D28="要確認"),1,0)</f>
        <v>0</v>
      </c>
      <c r="AI28" s="33" t="str">
        <f aca="false">IF(C28="未受領",MAX(AI$6:AI27)+1,"")</f>
        <v/>
      </c>
      <c r="AJ28" s="33" t="str">
        <f aca="false">IF(D28="要確認",MAX(AJ$6:AJ27)+1,"")</f>
        <v/>
      </c>
      <c r="AK28" s="32" t="str">
        <f aca="false">IF(D28="要確認",INDEX(報告入力!$CH$7:$CH$696,$B28),"")</f>
        <v/>
      </c>
    </row>
    <row r="29" customFormat="false" ht="15" hidden="false" customHeight="false" outlineLevel="0" collapsed="false">
      <c r="A29" s="41" t="str">
        <f aca="false">設定!B83</f>
        <v>救急振興財団</v>
      </c>
      <c r="B29" s="33" t="n">
        <f aca="false">IFERROR(MATCH(ホーム!$C$4&amp;"|"&amp;A29,報告入力!$CM$7:$CM$696,0),"")</f>
        <v>345</v>
      </c>
      <c r="C29" s="10" t="str">
        <f aca="false">IF($B29="","",INDEX(報告入力!$C$7:$C$696,$B29))</f>
        <v>未受領</v>
      </c>
      <c r="D29" s="10" t="str">
        <f aca="false">IF($B29="","",INDEX(報告入力!$D$7:$D$696,$B29))</f>
        <v>―</v>
      </c>
      <c r="E29" s="24" t="str">
        <f aca="false">IF($B29="","",INDEX(報告入力!$E$7:$E$696,$B29))</f>
        <v>―</v>
      </c>
      <c r="F29" s="42" t="n">
        <f aca="false">IF($B29="","",INDEX(報告入力!$I$7:$I$696,$B29))</f>
        <v>0</v>
      </c>
      <c r="G29" s="42" t="n">
        <f aca="false">IF($B29="","",INDEX(報告入力!$J$7:$J$696,$B29))</f>
        <v>0</v>
      </c>
      <c r="H29" s="42" t="n">
        <f aca="false">IF($B29="","",INDEX(報告入力!$K$7:$K$696,$B29))</f>
        <v>0</v>
      </c>
      <c r="I29" s="42" t="str">
        <f aca="false">IF($AG29=1,INDEX(報告入力!$BR$7:$BR$696,$B29),"")</f>
        <v/>
      </c>
      <c r="J29" s="42" t="str">
        <f aca="false">IF($AH29=1,INDEX(報告入力!$BJ$7:$BJ$696,$B29),"")</f>
        <v/>
      </c>
      <c r="K29" s="43" t="str">
        <f aca="false">IF($AH29=1,INDEX(報告入力!$BZ$7:$BZ$696,$B29),"")</f>
        <v/>
      </c>
      <c r="L29" s="42" t="str">
        <f aca="false">IF($AG29=1,INDEX(報告入力!$BS$7:$BS$696,$B29),"")</f>
        <v/>
      </c>
      <c r="M29" s="42" t="str">
        <f aca="false">IF($AH29=1,INDEX(報告入力!$BK$7:$BK$696,$B29),"")</f>
        <v/>
      </c>
      <c r="N29" s="43" t="str">
        <f aca="false">IF($AH29=1,INDEX(報告入力!$CA$7:$CA$696,$B29),"")</f>
        <v/>
      </c>
      <c r="O29" s="42" t="str">
        <f aca="false">IF($AG29=1,INDEX(報告入力!$BT$7:$BT$696,$B29),"")</f>
        <v/>
      </c>
      <c r="P29" s="42" t="str">
        <f aca="false">IF($AH29=1,INDEX(報告入力!$BL$7:$BL$696,$B29),"")</f>
        <v/>
      </c>
      <c r="Q29" s="43" t="str">
        <f aca="false">IF($AH29=1,INDEX(報告入力!$CB$7:$CB$696,$B29),"")</f>
        <v/>
      </c>
      <c r="R29" s="42" t="str">
        <f aca="false">IF($AG29=1,INDEX(報告入力!$BU$7:$BU$696,$B29),"")</f>
        <v/>
      </c>
      <c r="S29" s="42" t="str">
        <f aca="false">IF($AH29=1,INDEX(報告入力!$BM$7:$BM$696,$B29),"")</f>
        <v/>
      </c>
      <c r="T29" s="43" t="str">
        <f aca="false">IF($AH29=1,INDEX(報告入力!$CC$7:$CC$696,$B29),"")</f>
        <v/>
      </c>
      <c r="U29" s="42" t="str">
        <f aca="false">IF($AG29=1,INDEX(報告入力!$BV$7:$BV$696,$B29),"")</f>
        <v/>
      </c>
      <c r="V29" s="42" t="str">
        <f aca="false">IF($AH29=1,INDEX(報告入力!$BN$7:$BN$696,$B29),"")</f>
        <v/>
      </c>
      <c r="W29" s="43" t="str">
        <f aca="false">IF($AH29=1,INDEX(報告入力!$CD$7:$CD$696,$B29),"")</f>
        <v/>
      </c>
      <c r="X29" s="42" t="str">
        <f aca="false">IF($AG29=1,INDEX(報告入力!$BW$7:$BW$696,$B29),"")</f>
        <v/>
      </c>
      <c r="Y29" s="42" t="str">
        <f aca="false">IF($AH29=1,INDEX(報告入力!$BO$7:$BO$696,$B29),"")</f>
        <v/>
      </c>
      <c r="Z29" s="43" t="str">
        <f aca="false">IF($AH29=1,INDEX(報告入力!$CE$7:$CE$696,$B29),"")</f>
        <v/>
      </c>
      <c r="AA29" s="42" t="str">
        <f aca="false">IF($AG29=1,INDEX(報告入力!$BX$7:$BX$696,$B29),"")</f>
        <v/>
      </c>
      <c r="AB29" s="42" t="str">
        <f aca="false">IF($AH29=1,INDEX(報告入力!$BP$7:$BP$696,$B29),"")</f>
        <v/>
      </c>
      <c r="AC29" s="43" t="str">
        <f aca="false">IF($AH29=1,INDEX(報告入力!$CF$7:$CF$696,$B29),"")</f>
        <v/>
      </c>
      <c r="AD29" s="42" t="str">
        <f aca="false">IF($AG29=1,INDEX(報告入力!$BY$7:$BY$696,$B29),"")</f>
        <v/>
      </c>
      <c r="AE29" s="42" t="str">
        <f aca="false">IF($AH29=1,INDEX(報告入力!$BQ$7:$BQ$696,$B29),"")</f>
        <v/>
      </c>
      <c r="AF29" s="43" t="str">
        <f aca="false">IF($AH29=1,INDEX(報告入力!$CG$7:$CG$696,$B29),"")</f>
        <v/>
      </c>
      <c r="AG29" s="33" t="n">
        <f aca="false">IF($B29="",0,IF(OR(C29="未受領",C29="報告なし"),0,1))</f>
        <v>0</v>
      </c>
      <c r="AH29" s="33" t="n">
        <f aca="false">IF(OR(D29="問題なし",D29="要確認"),1,0)</f>
        <v>0</v>
      </c>
      <c r="AI29" s="33" t="n">
        <f aca="false">IF(C29="未受領",MAX(AI$6:AI28)+1,"")</f>
        <v>20</v>
      </c>
      <c r="AJ29" s="33" t="str">
        <f aca="false">IF(D29="要確認",MAX(AJ$6:AJ28)+1,"")</f>
        <v/>
      </c>
      <c r="AK29" s="32" t="str">
        <f aca="false">IF(D29="要確認",INDEX(報告入力!$CH$7:$CH$696,$B29),"")</f>
        <v/>
      </c>
    </row>
    <row r="30" customFormat="false" ht="15" hidden="false" customHeight="false" outlineLevel="0" collapsed="false">
      <c r="A30" s="41" t="str">
        <f aca="false">設定!B84</f>
        <v>高速道路公社</v>
      </c>
      <c r="B30" s="33" t="n">
        <f aca="false">IFERROR(MATCH(ホーム!$C$4&amp;"|"&amp;A30,報告入力!$CM$7:$CM$696,0),"")</f>
        <v>346</v>
      </c>
      <c r="C30" s="10" t="str">
        <f aca="false">IF($B30="","",INDEX(報告入力!$C$7:$C$696,$B30))</f>
        <v>未受領</v>
      </c>
      <c r="D30" s="10" t="str">
        <f aca="false">IF($B30="","",INDEX(報告入力!$D$7:$D$696,$B30))</f>
        <v>―</v>
      </c>
      <c r="E30" s="24" t="str">
        <f aca="false">IF($B30="","",INDEX(報告入力!$E$7:$E$696,$B30))</f>
        <v>―</v>
      </c>
      <c r="F30" s="42" t="n">
        <f aca="false">IF($B30="","",INDEX(報告入力!$I$7:$I$696,$B30))</f>
        <v>0</v>
      </c>
      <c r="G30" s="42" t="n">
        <f aca="false">IF($B30="","",INDEX(報告入力!$J$7:$J$696,$B30))</f>
        <v>0</v>
      </c>
      <c r="H30" s="42" t="n">
        <f aca="false">IF($B30="","",INDEX(報告入力!$K$7:$K$696,$B30))</f>
        <v>0</v>
      </c>
      <c r="I30" s="42" t="str">
        <f aca="false">IF($AG30=1,INDEX(報告入力!$BR$7:$BR$696,$B30),"")</f>
        <v/>
      </c>
      <c r="J30" s="42" t="str">
        <f aca="false">IF($AH30=1,INDEX(報告入力!$BJ$7:$BJ$696,$B30),"")</f>
        <v/>
      </c>
      <c r="K30" s="43" t="str">
        <f aca="false">IF($AH30=1,INDEX(報告入力!$BZ$7:$BZ$696,$B30),"")</f>
        <v/>
      </c>
      <c r="L30" s="42" t="str">
        <f aca="false">IF($AG30=1,INDEX(報告入力!$BS$7:$BS$696,$B30),"")</f>
        <v/>
      </c>
      <c r="M30" s="42" t="str">
        <f aca="false">IF($AH30=1,INDEX(報告入力!$BK$7:$BK$696,$B30),"")</f>
        <v/>
      </c>
      <c r="N30" s="43" t="str">
        <f aca="false">IF($AH30=1,INDEX(報告入力!$CA$7:$CA$696,$B30),"")</f>
        <v/>
      </c>
      <c r="O30" s="42" t="str">
        <f aca="false">IF($AG30=1,INDEX(報告入力!$BT$7:$BT$696,$B30),"")</f>
        <v/>
      </c>
      <c r="P30" s="42" t="str">
        <f aca="false">IF($AH30=1,INDEX(報告入力!$BL$7:$BL$696,$B30),"")</f>
        <v/>
      </c>
      <c r="Q30" s="43" t="str">
        <f aca="false">IF($AH30=1,INDEX(報告入力!$CB$7:$CB$696,$B30),"")</f>
        <v/>
      </c>
      <c r="R30" s="42" t="str">
        <f aca="false">IF($AG30=1,INDEX(報告入力!$BU$7:$BU$696,$B30),"")</f>
        <v/>
      </c>
      <c r="S30" s="42" t="str">
        <f aca="false">IF($AH30=1,INDEX(報告入力!$BM$7:$BM$696,$B30),"")</f>
        <v/>
      </c>
      <c r="T30" s="43" t="str">
        <f aca="false">IF($AH30=1,INDEX(報告入力!$CC$7:$CC$696,$B30),"")</f>
        <v/>
      </c>
      <c r="U30" s="42" t="str">
        <f aca="false">IF($AG30=1,INDEX(報告入力!$BV$7:$BV$696,$B30),"")</f>
        <v/>
      </c>
      <c r="V30" s="42" t="str">
        <f aca="false">IF($AH30=1,INDEX(報告入力!$BN$7:$BN$696,$B30),"")</f>
        <v/>
      </c>
      <c r="W30" s="43" t="str">
        <f aca="false">IF($AH30=1,INDEX(報告入力!$CD$7:$CD$696,$B30),"")</f>
        <v/>
      </c>
      <c r="X30" s="42" t="str">
        <f aca="false">IF($AG30=1,INDEX(報告入力!$BW$7:$BW$696,$B30),"")</f>
        <v/>
      </c>
      <c r="Y30" s="42" t="str">
        <f aca="false">IF($AH30=1,INDEX(報告入力!$BO$7:$BO$696,$B30),"")</f>
        <v/>
      </c>
      <c r="Z30" s="43" t="str">
        <f aca="false">IF($AH30=1,INDEX(報告入力!$CE$7:$CE$696,$B30),"")</f>
        <v/>
      </c>
      <c r="AA30" s="42" t="str">
        <f aca="false">IF($AG30=1,INDEX(報告入力!$BX$7:$BX$696,$B30),"")</f>
        <v/>
      </c>
      <c r="AB30" s="42" t="str">
        <f aca="false">IF($AH30=1,INDEX(報告入力!$BP$7:$BP$696,$B30),"")</f>
        <v/>
      </c>
      <c r="AC30" s="43" t="str">
        <f aca="false">IF($AH30=1,INDEX(報告入力!$CF$7:$CF$696,$B30),"")</f>
        <v/>
      </c>
      <c r="AD30" s="42" t="str">
        <f aca="false">IF($AG30=1,INDEX(報告入力!$BY$7:$BY$696,$B30),"")</f>
        <v/>
      </c>
      <c r="AE30" s="42" t="str">
        <f aca="false">IF($AH30=1,INDEX(報告入力!$BQ$7:$BQ$696,$B30),"")</f>
        <v/>
      </c>
      <c r="AF30" s="43" t="str">
        <f aca="false">IF($AH30=1,INDEX(報告入力!$CG$7:$CG$696,$B30),"")</f>
        <v/>
      </c>
      <c r="AG30" s="33" t="n">
        <f aca="false">IF($B30="",0,IF(OR(C30="未受領",C30="報告なし"),0,1))</f>
        <v>0</v>
      </c>
      <c r="AH30" s="33" t="n">
        <f aca="false">IF(OR(D30="問題なし",D30="要確認"),1,0)</f>
        <v>0</v>
      </c>
      <c r="AI30" s="33" t="n">
        <f aca="false">IF(C30="未受領",MAX(AI$6:AI29)+1,"")</f>
        <v>21</v>
      </c>
      <c r="AJ30" s="33" t="str">
        <f aca="false">IF(D30="要確認",MAX(AJ$6:AJ29)+1,"")</f>
        <v/>
      </c>
      <c r="AK30" s="32" t="str">
        <f aca="false">IF(D30="要確認",INDEX(報告入力!$CH$7:$CH$696,$B30),"")</f>
        <v/>
      </c>
    </row>
    <row r="31" customFormat="false" ht="15" hidden="false" customHeight="false" outlineLevel="0" collapsed="false">
      <c r="A31" s="41" t="str">
        <f aca="false">設定!B85</f>
        <v>農林水産振興センタ</v>
      </c>
      <c r="B31" s="33" t="n">
        <f aca="false">IFERROR(MATCH(ホーム!$C$4&amp;"|"&amp;A31,報告入力!$CM$7:$CM$696,0),"")</f>
        <v>347</v>
      </c>
      <c r="C31" s="10" t="str">
        <f aca="false">IF($B31="","",INDEX(報告入力!$C$7:$C$696,$B31))</f>
        <v>未受領</v>
      </c>
      <c r="D31" s="10" t="str">
        <f aca="false">IF($B31="","",INDEX(報告入力!$D$7:$D$696,$B31))</f>
        <v>―</v>
      </c>
      <c r="E31" s="24" t="str">
        <f aca="false">IF($B31="","",INDEX(報告入力!$E$7:$E$696,$B31))</f>
        <v>―</v>
      </c>
      <c r="F31" s="42" t="n">
        <f aca="false">IF($B31="","",INDEX(報告入力!$I$7:$I$696,$B31))</f>
        <v>0</v>
      </c>
      <c r="G31" s="42" t="n">
        <f aca="false">IF($B31="","",INDEX(報告入力!$J$7:$J$696,$B31))</f>
        <v>0</v>
      </c>
      <c r="H31" s="42" t="n">
        <f aca="false">IF($B31="","",INDEX(報告入力!$K$7:$K$696,$B31))</f>
        <v>0</v>
      </c>
      <c r="I31" s="42" t="str">
        <f aca="false">IF($AG31=1,INDEX(報告入力!$BR$7:$BR$696,$B31),"")</f>
        <v/>
      </c>
      <c r="J31" s="42" t="str">
        <f aca="false">IF($AH31=1,INDEX(報告入力!$BJ$7:$BJ$696,$B31),"")</f>
        <v/>
      </c>
      <c r="K31" s="43" t="str">
        <f aca="false">IF($AH31=1,INDEX(報告入力!$BZ$7:$BZ$696,$B31),"")</f>
        <v/>
      </c>
      <c r="L31" s="42" t="str">
        <f aca="false">IF($AG31=1,INDEX(報告入力!$BS$7:$BS$696,$B31),"")</f>
        <v/>
      </c>
      <c r="M31" s="42" t="str">
        <f aca="false">IF($AH31=1,INDEX(報告入力!$BK$7:$BK$696,$B31),"")</f>
        <v/>
      </c>
      <c r="N31" s="43" t="str">
        <f aca="false">IF($AH31=1,INDEX(報告入力!$CA$7:$CA$696,$B31),"")</f>
        <v/>
      </c>
      <c r="O31" s="42" t="str">
        <f aca="false">IF($AG31=1,INDEX(報告入力!$BT$7:$BT$696,$B31),"")</f>
        <v/>
      </c>
      <c r="P31" s="42" t="str">
        <f aca="false">IF($AH31=1,INDEX(報告入力!$BL$7:$BL$696,$B31),"")</f>
        <v/>
      </c>
      <c r="Q31" s="43" t="str">
        <f aca="false">IF($AH31=1,INDEX(報告入力!$CB$7:$CB$696,$B31),"")</f>
        <v/>
      </c>
      <c r="R31" s="42" t="str">
        <f aca="false">IF($AG31=1,INDEX(報告入力!$BU$7:$BU$696,$B31),"")</f>
        <v/>
      </c>
      <c r="S31" s="42" t="str">
        <f aca="false">IF($AH31=1,INDEX(報告入力!$BM$7:$BM$696,$B31),"")</f>
        <v/>
      </c>
      <c r="T31" s="43" t="str">
        <f aca="false">IF($AH31=1,INDEX(報告入力!$CC$7:$CC$696,$B31),"")</f>
        <v/>
      </c>
      <c r="U31" s="42" t="str">
        <f aca="false">IF($AG31=1,INDEX(報告入力!$BV$7:$BV$696,$B31),"")</f>
        <v/>
      </c>
      <c r="V31" s="42" t="str">
        <f aca="false">IF($AH31=1,INDEX(報告入力!$BN$7:$BN$696,$B31),"")</f>
        <v/>
      </c>
      <c r="W31" s="43" t="str">
        <f aca="false">IF($AH31=1,INDEX(報告入力!$CD$7:$CD$696,$B31),"")</f>
        <v/>
      </c>
      <c r="X31" s="42" t="str">
        <f aca="false">IF($AG31=1,INDEX(報告入力!$BW$7:$BW$696,$B31),"")</f>
        <v/>
      </c>
      <c r="Y31" s="42" t="str">
        <f aca="false">IF($AH31=1,INDEX(報告入力!$BO$7:$BO$696,$B31),"")</f>
        <v/>
      </c>
      <c r="Z31" s="43" t="str">
        <f aca="false">IF($AH31=1,INDEX(報告入力!$CE$7:$CE$696,$B31),"")</f>
        <v/>
      </c>
      <c r="AA31" s="42" t="str">
        <f aca="false">IF($AG31=1,INDEX(報告入力!$BX$7:$BX$696,$B31),"")</f>
        <v/>
      </c>
      <c r="AB31" s="42" t="str">
        <f aca="false">IF($AH31=1,INDEX(報告入力!$BP$7:$BP$696,$B31),"")</f>
        <v/>
      </c>
      <c r="AC31" s="43" t="str">
        <f aca="false">IF($AH31=1,INDEX(報告入力!$CF$7:$CF$696,$B31),"")</f>
        <v/>
      </c>
      <c r="AD31" s="42" t="str">
        <f aca="false">IF($AG31=1,INDEX(報告入力!$BY$7:$BY$696,$B31),"")</f>
        <v/>
      </c>
      <c r="AE31" s="42" t="str">
        <f aca="false">IF($AH31=1,INDEX(報告入力!$BQ$7:$BQ$696,$B31),"")</f>
        <v/>
      </c>
      <c r="AF31" s="43" t="str">
        <f aca="false">IF($AH31=1,INDEX(報告入力!$CG$7:$CG$696,$B31),"")</f>
        <v/>
      </c>
      <c r="AG31" s="33" t="n">
        <f aca="false">IF($B31="",0,IF(OR(C31="未受領",C31="報告なし"),0,1))</f>
        <v>0</v>
      </c>
      <c r="AH31" s="33" t="n">
        <f aca="false">IF(OR(D31="問題なし",D31="要確認"),1,0)</f>
        <v>0</v>
      </c>
      <c r="AI31" s="33" t="n">
        <f aca="false">IF(C31="未受領",MAX(AI$6:AI30)+1,"")</f>
        <v>22</v>
      </c>
      <c r="AJ31" s="33" t="str">
        <f aca="false">IF(D31="要確認",MAX(AJ$6:AJ30)+1,"")</f>
        <v/>
      </c>
      <c r="AK31" s="32" t="str">
        <f aca="false">IF(D31="要確認",INDEX(報告入力!$CH$7:$CH$696,$B31),"")</f>
        <v/>
      </c>
    </row>
    <row r="32" customFormat="false" ht="15" hidden="false" customHeight="false" outlineLevel="0" collapsed="false">
      <c r="A32" s="41" t="str">
        <f aca="false">設定!B86</f>
        <v>文化財団　市長部局</v>
      </c>
      <c r="B32" s="33" t="n">
        <f aca="false">IFERROR(MATCH(ホーム!$C$4&amp;"|"&amp;A32,報告入力!$CM$7:$CM$696,0),"")</f>
        <v>348</v>
      </c>
      <c r="C32" s="10" t="str">
        <f aca="false">IF($B32="","",INDEX(報告入力!$C$7:$C$696,$B32))</f>
        <v>未受領</v>
      </c>
      <c r="D32" s="10" t="str">
        <f aca="false">IF($B32="","",INDEX(報告入力!$D$7:$D$696,$B32))</f>
        <v>―</v>
      </c>
      <c r="E32" s="24" t="str">
        <f aca="false">IF($B32="","",INDEX(報告入力!$E$7:$E$696,$B32))</f>
        <v>―</v>
      </c>
      <c r="F32" s="42" t="n">
        <f aca="false">IF($B32="","",INDEX(報告入力!$I$7:$I$696,$B32))</f>
        <v>0</v>
      </c>
      <c r="G32" s="42" t="n">
        <f aca="false">IF($B32="","",INDEX(報告入力!$J$7:$J$696,$B32))</f>
        <v>0</v>
      </c>
      <c r="H32" s="42" t="n">
        <f aca="false">IF($B32="","",INDEX(報告入力!$K$7:$K$696,$B32))</f>
        <v>0</v>
      </c>
      <c r="I32" s="42" t="str">
        <f aca="false">IF($AG32=1,INDEX(報告入力!$BR$7:$BR$696,$B32),"")</f>
        <v/>
      </c>
      <c r="J32" s="42" t="str">
        <f aca="false">IF($AH32=1,INDEX(報告入力!$BJ$7:$BJ$696,$B32),"")</f>
        <v/>
      </c>
      <c r="K32" s="43" t="str">
        <f aca="false">IF($AH32=1,INDEX(報告入力!$BZ$7:$BZ$696,$B32),"")</f>
        <v/>
      </c>
      <c r="L32" s="42" t="str">
        <f aca="false">IF($AG32=1,INDEX(報告入力!$BS$7:$BS$696,$B32),"")</f>
        <v/>
      </c>
      <c r="M32" s="42" t="str">
        <f aca="false">IF($AH32=1,INDEX(報告入力!$BK$7:$BK$696,$B32),"")</f>
        <v/>
      </c>
      <c r="N32" s="43" t="str">
        <f aca="false">IF($AH32=1,INDEX(報告入力!$CA$7:$CA$696,$B32),"")</f>
        <v/>
      </c>
      <c r="O32" s="42" t="str">
        <f aca="false">IF($AG32=1,INDEX(報告入力!$BT$7:$BT$696,$B32),"")</f>
        <v/>
      </c>
      <c r="P32" s="42" t="str">
        <f aca="false">IF($AH32=1,INDEX(報告入力!$BL$7:$BL$696,$B32),"")</f>
        <v/>
      </c>
      <c r="Q32" s="43" t="str">
        <f aca="false">IF($AH32=1,INDEX(報告入力!$CB$7:$CB$696,$B32),"")</f>
        <v/>
      </c>
      <c r="R32" s="42" t="str">
        <f aca="false">IF($AG32=1,INDEX(報告入力!$BU$7:$BU$696,$B32),"")</f>
        <v/>
      </c>
      <c r="S32" s="42" t="str">
        <f aca="false">IF($AH32=1,INDEX(報告入力!$BM$7:$BM$696,$B32),"")</f>
        <v/>
      </c>
      <c r="T32" s="43" t="str">
        <f aca="false">IF($AH32=1,INDEX(報告入力!$CC$7:$CC$696,$B32),"")</f>
        <v/>
      </c>
      <c r="U32" s="42" t="str">
        <f aca="false">IF($AG32=1,INDEX(報告入力!$BV$7:$BV$696,$B32),"")</f>
        <v/>
      </c>
      <c r="V32" s="42" t="str">
        <f aca="false">IF($AH32=1,INDEX(報告入力!$BN$7:$BN$696,$B32),"")</f>
        <v/>
      </c>
      <c r="W32" s="43" t="str">
        <f aca="false">IF($AH32=1,INDEX(報告入力!$CD$7:$CD$696,$B32),"")</f>
        <v/>
      </c>
      <c r="X32" s="42" t="str">
        <f aca="false">IF($AG32=1,INDEX(報告入力!$BW$7:$BW$696,$B32),"")</f>
        <v/>
      </c>
      <c r="Y32" s="42" t="str">
        <f aca="false">IF($AH32=1,INDEX(報告入力!$BO$7:$BO$696,$B32),"")</f>
        <v/>
      </c>
      <c r="Z32" s="43" t="str">
        <f aca="false">IF($AH32=1,INDEX(報告入力!$CE$7:$CE$696,$B32),"")</f>
        <v/>
      </c>
      <c r="AA32" s="42" t="str">
        <f aca="false">IF($AG32=1,INDEX(報告入力!$BX$7:$BX$696,$B32),"")</f>
        <v/>
      </c>
      <c r="AB32" s="42" t="str">
        <f aca="false">IF($AH32=1,INDEX(報告入力!$BP$7:$BP$696,$B32),"")</f>
        <v/>
      </c>
      <c r="AC32" s="43" t="str">
        <f aca="false">IF($AH32=1,INDEX(報告入力!$CF$7:$CF$696,$B32),"")</f>
        <v/>
      </c>
      <c r="AD32" s="42" t="str">
        <f aca="false">IF($AG32=1,INDEX(報告入力!$BY$7:$BY$696,$B32),"")</f>
        <v/>
      </c>
      <c r="AE32" s="42" t="str">
        <f aca="false">IF($AH32=1,INDEX(報告入力!$BQ$7:$BQ$696,$B32),"")</f>
        <v/>
      </c>
      <c r="AF32" s="43" t="str">
        <f aca="false">IF($AH32=1,INDEX(報告入力!$CG$7:$CG$696,$B32),"")</f>
        <v/>
      </c>
      <c r="AG32" s="33" t="n">
        <f aca="false">IF($B32="",0,IF(OR(C32="未受領",C32="報告なし"),0,1))</f>
        <v>0</v>
      </c>
      <c r="AH32" s="33" t="n">
        <f aca="false">IF(OR(D32="問題なし",D32="要確認"),1,0)</f>
        <v>0</v>
      </c>
      <c r="AI32" s="33" t="n">
        <f aca="false">IF(C32="未受領",MAX(AI$6:AI31)+1,"")</f>
        <v>23</v>
      </c>
      <c r="AJ32" s="33" t="str">
        <f aca="false">IF(D32="要確認",MAX(AJ$6:AJ31)+1,"")</f>
        <v/>
      </c>
      <c r="AK32" s="32" t="str">
        <f aca="false">IF(D32="要確認",INDEX(報告入力!$CH$7:$CH$696,$B32),"")</f>
        <v/>
      </c>
    </row>
    <row r="33" customFormat="false" ht="15" hidden="false" customHeight="false" outlineLevel="0" collapsed="false">
      <c r="A33" s="41" t="str">
        <f aca="false">設定!B87</f>
        <v>文化財団　教育委員会</v>
      </c>
      <c r="B33" s="33" t="n">
        <f aca="false">IFERROR(MATCH(ホーム!$C$4&amp;"|"&amp;A33,報告入力!$CM$7:$CM$696,0),"")</f>
        <v>349</v>
      </c>
      <c r="C33" s="10" t="str">
        <f aca="false">IF($B33="","",INDEX(報告入力!$C$7:$C$696,$B33))</f>
        <v>未受領</v>
      </c>
      <c r="D33" s="10" t="str">
        <f aca="false">IF($B33="","",INDEX(報告入力!$D$7:$D$696,$B33))</f>
        <v>―</v>
      </c>
      <c r="E33" s="24" t="str">
        <f aca="false">IF($B33="","",INDEX(報告入力!$E$7:$E$696,$B33))</f>
        <v>―</v>
      </c>
      <c r="F33" s="42" t="n">
        <f aca="false">IF($B33="","",INDEX(報告入力!$I$7:$I$696,$B33))</f>
        <v>0</v>
      </c>
      <c r="G33" s="42" t="n">
        <f aca="false">IF($B33="","",INDEX(報告入力!$J$7:$J$696,$B33))</f>
        <v>0</v>
      </c>
      <c r="H33" s="42" t="n">
        <f aca="false">IF($B33="","",INDEX(報告入力!$K$7:$K$696,$B33))</f>
        <v>0</v>
      </c>
      <c r="I33" s="42" t="str">
        <f aca="false">IF($AG33=1,INDEX(報告入力!$BR$7:$BR$696,$B33),"")</f>
        <v/>
      </c>
      <c r="J33" s="42" t="str">
        <f aca="false">IF($AH33=1,INDEX(報告入力!$BJ$7:$BJ$696,$B33),"")</f>
        <v/>
      </c>
      <c r="K33" s="43" t="str">
        <f aca="false">IF($AH33=1,INDEX(報告入力!$BZ$7:$BZ$696,$B33),"")</f>
        <v/>
      </c>
      <c r="L33" s="42" t="str">
        <f aca="false">IF($AG33=1,INDEX(報告入力!$BS$7:$BS$696,$B33),"")</f>
        <v/>
      </c>
      <c r="M33" s="42" t="str">
        <f aca="false">IF($AH33=1,INDEX(報告入力!$BK$7:$BK$696,$B33),"")</f>
        <v/>
      </c>
      <c r="N33" s="43" t="str">
        <f aca="false">IF($AH33=1,INDEX(報告入力!$CA$7:$CA$696,$B33),"")</f>
        <v/>
      </c>
      <c r="O33" s="42" t="str">
        <f aca="false">IF($AG33=1,INDEX(報告入力!$BT$7:$BT$696,$B33),"")</f>
        <v/>
      </c>
      <c r="P33" s="42" t="str">
        <f aca="false">IF($AH33=1,INDEX(報告入力!$BL$7:$BL$696,$B33),"")</f>
        <v/>
      </c>
      <c r="Q33" s="43" t="str">
        <f aca="false">IF($AH33=1,INDEX(報告入力!$CB$7:$CB$696,$B33),"")</f>
        <v/>
      </c>
      <c r="R33" s="42" t="str">
        <f aca="false">IF($AG33=1,INDEX(報告入力!$BU$7:$BU$696,$B33),"")</f>
        <v/>
      </c>
      <c r="S33" s="42" t="str">
        <f aca="false">IF($AH33=1,INDEX(報告入力!$BM$7:$BM$696,$B33),"")</f>
        <v/>
      </c>
      <c r="T33" s="43" t="str">
        <f aca="false">IF($AH33=1,INDEX(報告入力!$CC$7:$CC$696,$B33),"")</f>
        <v/>
      </c>
      <c r="U33" s="42" t="str">
        <f aca="false">IF($AG33=1,INDEX(報告入力!$BV$7:$BV$696,$B33),"")</f>
        <v/>
      </c>
      <c r="V33" s="42" t="str">
        <f aca="false">IF($AH33=1,INDEX(報告入力!$BN$7:$BN$696,$B33),"")</f>
        <v/>
      </c>
      <c r="W33" s="43" t="str">
        <f aca="false">IF($AH33=1,INDEX(報告入力!$CD$7:$CD$696,$B33),"")</f>
        <v/>
      </c>
      <c r="X33" s="42" t="str">
        <f aca="false">IF($AG33=1,INDEX(報告入力!$BW$7:$BW$696,$B33),"")</f>
        <v/>
      </c>
      <c r="Y33" s="42" t="str">
        <f aca="false">IF($AH33=1,INDEX(報告入力!$BO$7:$BO$696,$B33),"")</f>
        <v/>
      </c>
      <c r="Z33" s="43" t="str">
        <f aca="false">IF($AH33=1,INDEX(報告入力!$CE$7:$CE$696,$B33),"")</f>
        <v/>
      </c>
      <c r="AA33" s="42" t="str">
        <f aca="false">IF($AG33=1,INDEX(報告入力!$BX$7:$BX$696,$B33),"")</f>
        <v/>
      </c>
      <c r="AB33" s="42" t="str">
        <f aca="false">IF($AH33=1,INDEX(報告入力!$BP$7:$BP$696,$B33),"")</f>
        <v/>
      </c>
      <c r="AC33" s="43" t="str">
        <f aca="false">IF($AH33=1,INDEX(報告入力!$CF$7:$CF$696,$B33),"")</f>
        <v/>
      </c>
      <c r="AD33" s="42" t="str">
        <f aca="false">IF($AG33=1,INDEX(報告入力!$BY$7:$BY$696,$B33),"")</f>
        <v/>
      </c>
      <c r="AE33" s="42" t="str">
        <f aca="false">IF($AH33=1,INDEX(報告入力!$BQ$7:$BQ$696,$B33),"")</f>
        <v/>
      </c>
      <c r="AF33" s="43" t="str">
        <f aca="false">IF($AH33=1,INDEX(報告入力!$CG$7:$CG$696,$B33),"")</f>
        <v/>
      </c>
      <c r="AG33" s="33" t="n">
        <f aca="false">IF($B33="",0,IF(OR(C33="未受領",C33="報告なし"),0,1))</f>
        <v>0</v>
      </c>
      <c r="AH33" s="33" t="n">
        <f aca="false">IF(OR(D33="問題なし",D33="要確認"),1,0)</f>
        <v>0</v>
      </c>
      <c r="AI33" s="33" t="n">
        <f aca="false">IF(C33="未受領",MAX(AI$6:AI32)+1,"")</f>
        <v>24</v>
      </c>
      <c r="AJ33" s="33" t="str">
        <f aca="false">IF(D33="要確認",MAX(AJ$6:AJ32)+1,"")</f>
        <v/>
      </c>
      <c r="AK33" s="32" t="str">
        <f aca="false">IF(D33="要確認",INDEX(報告入力!$CH$7:$CH$696,$B33),"")</f>
        <v/>
      </c>
    </row>
    <row r="34" customFormat="false" ht="15" hidden="false" customHeight="false" outlineLevel="0" collapsed="false">
      <c r="A34" s="41" t="str">
        <f aca="false">設定!B88</f>
        <v>みどり生きもの協会</v>
      </c>
      <c r="B34" s="33" t="n">
        <f aca="false">IFERROR(MATCH(ホーム!$C$4&amp;"|"&amp;A34,報告入力!$CM$7:$CM$696,0),"")</f>
        <v>350</v>
      </c>
      <c r="C34" s="10" t="str">
        <f aca="false">IF($B34="","",INDEX(報告入力!$C$7:$C$696,$B34))</f>
        <v>未受領</v>
      </c>
      <c r="D34" s="10" t="str">
        <f aca="false">IF($B34="","",INDEX(報告入力!$D$7:$D$696,$B34))</f>
        <v>―</v>
      </c>
      <c r="E34" s="24" t="str">
        <f aca="false">IF($B34="","",INDEX(報告入力!$E$7:$E$696,$B34))</f>
        <v>―</v>
      </c>
      <c r="F34" s="42" t="n">
        <f aca="false">IF($B34="","",INDEX(報告入力!$I$7:$I$696,$B34))</f>
        <v>0</v>
      </c>
      <c r="G34" s="42" t="n">
        <f aca="false">IF($B34="","",INDEX(報告入力!$J$7:$J$696,$B34))</f>
        <v>0</v>
      </c>
      <c r="H34" s="42" t="n">
        <f aca="false">IF($B34="","",INDEX(報告入力!$K$7:$K$696,$B34))</f>
        <v>0</v>
      </c>
      <c r="I34" s="42" t="str">
        <f aca="false">IF($AG34=1,INDEX(報告入力!$BR$7:$BR$696,$B34),"")</f>
        <v/>
      </c>
      <c r="J34" s="42" t="str">
        <f aca="false">IF($AH34=1,INDEX(報告入力!$BJ$7:$BJ$696,$B34),"")</f>
        <v/>
      </c>
      <c r="K34" s="43" t="str">
        <f aca="false">IF($AH34=1,INDEX(報告入力!$BZ$7:$BZ$696,$B34),"")</f>
        <v/>
      </c>
      <c r="L34" s="42" t="str">
        <f aca="false">IF($AG34=1,INDEX(報告入力!$BS$7:$BS$696,$B34),"")</f>
        <v/>
      </c>
      <c r="M34" s="42" t="str">
        <f aca="false">IF($AH34=1,INDEX(報告入力!$BK$7:$BK$696,$B34),"")</f>
        <v/>
      </c>
      <c r="N34" s="43" t="str">
        <f aca="false">IF($AH34=1,INDEX(報告入力!$CA$7:$CA$696,$B34),"")</f>
        <v/>
      </c>
      <c r="O34" s="42" t="str">
        <f aca="false">IF($AG34=1,INDEX(報告入力!$BT$7:$BT$696,$B34),"")</f>
        <v/>
      </c>
      <c r="P34" s="42" t="str">
        <f aca="false">IF($AH34=1,INDEX(報告入力!$BL$7:$BL$696,$B34),"")</f>
        <v/>
      </c>
      <c r="Q34" s="43" t="str">
        <f aca="false">IF($AH34=1,INDEX(報告入力!$CB$7:$CB$696,$B34),"")</f>
        <v/>
      </c>
      <c r="R34" s="42" t="str">
        <f aca="false">IF($AG34=1,INDEX(報告入力!$BU$7:$BU$696,$B34),"")</f>
        <v/>
      </c>
      <c r="S34" s="42" t="str">
        <f aca="false">IF($AH34=1,INDEX(報告入力!$BM$7:$BM$696,$B34),"")</f>
        <v/>
      </c>
      <c r="T34" s="43" t="str">
        <f aca="false">IF($AH34=1,INDEX(報告入力!$CC$7:$CC$696,$B34),"")</f>
        <v/>
      </c>
      <c r="U34" s="42" t="str">
        <f aca="false">IF($AG34=1,INDEX(報告入力!$BV$7:$BV$696,$B34),"")</f>
        <v/>
      </c>
      <c r="V34" s="42" t="str">
        <f aca="false">IF($AH34=1,INDEX(報告入力!$BN$7:$BN$696,$B34),"")</f>
        <v/>
      </c>
      <c r="W34" s="43" t="str">
        <f aca="false">IF($AH34=1,INDEX(報告入力!$CD$7:$CD$696,$B34),"")</f>
        <v/>
      </c>
      <c r="X34" s="42" t="str">
        <f aca="false">IF($AG34=1,INDEX(報告入力!$BW$7:$BW$696,$B34),"")</f>
        <v/>
      </c>
      <c r="Y34" s="42" t="str">
        <f aca="false">IF($AH34=1,INDEX(報告入力!$BO$7:$BO$696,$B34),"")</f>
        <v/>
      </c>
      <c r="Z34" s="43" t="str">
        <f aca="false">IF($AH34=1,INDEX(報告入力!$CE$7:$CE$696,$B34),"")</f>
        <v/>
      </c>
      <c r="AA34" s="42" t="str">
        <f aca="false">IF($AG34=1,INDEX(報告入力!$BX$7:$BX$696,$B34),"")</f>
        <v/>
      </c>
      <c r="AB34" s="42" t="str">
        <f aca="false">IF($AH34=1,INDEX(報告入力!$BP$7:$BP$696,$B34),"")</f>
        <v/>
      </c>
      <c r="AC34" s="43" t="str">
        <f aca="false">IF($AH34=1,INDEX(報告入力!$CF$7:$CF$696,$B34),"")</f>
        <v/>
      </c>
      <c r="AD34" s="42" t="str">
        <f aca="false">IF($AG34=1,INDEX(報告入力!$BY$7:$BY$696,$B34),"")</f>
        <v/>
      </c>
      <c r="AE34" s="42" t="str">
        <f aca="false">IF($AH34=1,INDEX(報告入力!$BQ$7:$BQ$696,$B34),"")</f>
        <v/>
      </c>
      <c r="AF34" s="43" t="str">
        <f aca="false">IF($AH34=1,INDEX(報告入力!$CG$7:$CG$696,$B34),"")</f>
        <v/>
      </c>
      <c r="AG34" s="33" t="n">
        <f aca="false">IF($B34="",0,IF(OR(C34="未受領",C34="報告なし"),0,1))</f>
        <v>0</v>
      </c>
      <c r="AH34" s="33" t="n">
        <f aca="false">IF(OR(D34="問題なし",D34="要確認"),1,0)</f>
        <v>0</v>
      </c>
      <c r="AI34" s="33" t="n">
        <f aca="false">IF(C34="未受領",MAX(AI$6:AI33)+1,"")</f>
        <v>25</v>
      </c>
      <c r="AJ34" s="33" t="str">
        <f aca="false">IF(D34="要確認",MAX(AJ$6:AJ33)+1,"")</f>
        <v/>
      </c>
      <c r="AK34" s="32" t="str">
        <f aca="false">IF(D34="要確認",INDEX(報告入力!$CH$7:$CH$696,$B34),"")</f>
        <v/>
      </c>
    </row>
    <row r="35" customFormat="false" ht="15" hidden="false" customHeight="false" outlineLevel="0" collapsed="false">
      <c r="A35" s="41" t="str">
        <f aca="false">設定!B89</f>
        <v>県下水道公社</v>
      </c>
      <c r="B35" s="33" t="n">
        <f aca="false">IFERROR(MATCH(ホーム!$C$4&amp;"|"&amp;A35,報告入力!$CM$7:$CM$696,0),"")</f>
        <v>351</v>
      </c>
      <c r="C35" s="10" t="str">
        <f aca="false">IF($B35="","",INDEX(報告入力!$C$7:$C$696,$B35))</f>
        <v>未受領</v>
      </c>
      <c r="D35" s="10" t="str">
        <f aca="false">IF($B35="","",INDEX(報告入力!$D$7:$D$696,$B35))</f>
        <v>―</v>
      </c>
      <c r="E35" s="24" t="str">
        <f aca="false">IF($B35="","",INDEX(報告入力!$E$7:$E$696,$B35))</f>
        <v>―</v>
      </c>
      <c r="F35" s="42" t="n">
        <f aca="false">IF($B35="","",INDEX(報告入力!$I$7:$I$696,$B35))</f>
        <v>0</v>
      </c>
      <c r="G35" s="42" t="n">
        <f aca="false">IF($B35="","",INDEX(報告入力!$J$7:$J$696,$B35))</f>
        <v>0</v>
      </c>
      <c r="H35" s="42" t="n">
        <f aca="false">IF($B35="","",INDEX(報告入力!$K$7:$K$696,$B35))</f>
        <v>0</v>
      </c>
      <c r="I35" s="42" t="str">
        <f aca="false">IF($AG35=1,INDEX(報告入力!$BR$7:$BR$696,$B35),"")</f>
        <v/>
      </c>
      <c r="J35" s="42" t="str">
        <f aca="false">IF($AH35=1,INDEX(報告入力!$BJ$7:$BJ$696,$B35),"")</f>
        <v/>
      </c>
      <c r="K35" s="43" t="str">
        <f aca="false">IF($AH35=1,INDEX(報告入力!$BZ$7:$BZ$696,$B35),"")</f>
        <v/>
      </c>
      <c r="L35" s="42" t="str">
        <f aca="false">IF($AG35=1,INDEX(報告入力!$BS$7:$BS$696,$B35),"")</f>
        <v/>
      </c>
      <c r="M35" s="42" t="str">
        <f aca="false">IF($AH35=1,INDEX(報告入力!$BK$7:$BK$696,$B35),"")</f>
        <v/>
      </c>
      <c r="N35" s="43" t="str">
        <f aca="false">IF($AH35=1,INDEX(報告入力!$CA$7:$CA$696,$B35),"")</f>
        <v/>
      </c>
      <c r="O35" s="42" t="str">
        <f aca="false">IF($AG35=1,INDEX(報告入力!$BT$7:$BT$696,$B35),"")</f>
        <v/>
      </c>
      <c r="P35" s="42" t="str">
        <f aca="false">IF($AH35=1,INDEX(報告入力!$BL$7:$BL$696,$B35),"")</f>
        <v/>
      </c>
      <c r="Q35" s="43" t="str">
        <f aca="false">IF($AH35=1,INDEX(報告入力!$CB$7:$CB$696,$B35),"")</f>
        <v/>
      </c>
      <c r="R35" s="42" t="str">
        <f aca="false">IF($AG35=1,INDEX(報告入力!$BU$7:$BU$696,$B35),"")</f>
        <v/>
      </c>
      <c r="S35" s="42" t="str">
        <f aca="false">IF($AH35=1,INDEX(報告入力!$BM$7:$BM$696,$B35),"")</f>
        <v/>
      </c>
      <c r="T35" s="43" t="str">
        <f aca="false">IF($AH35=1,INDEX(報告入力!$CC$7:$CC$696,$B35),"")</f>
        <v/>
      </c>
      <c r="U35" s="42" t="str">
        <f aca="false">IF($AG35=1,INDEX(報告入力!$BV$7:$BV$696,$B35),"")</f>
        <v/>
      </c>
      <c r="V35" s="42" t="str">
        <f aca="false">IF($AH35=1,INDEX(報告入力!$BN$7:$BN$696,$B35),"")</f>
        <v/>
      </c>
      <c r="W35" s="43" t="str">
        <f aca="false">IF($AH35=1,INDEX(報告入力!$CD$7:$CD$696,$B35),"")</f>
        <v/>
      </c>
      <c r="X35" s="42" t="str">
        <f aca="false">IF($AG35=1,INDEX(報告入力!$BW$7:$BW$696,$B35),"")</f>
        <v/>
      </c>
      <c r="Y35" s="42" t="str">
        <f aca="false">IF($AH35=1,INDEX(報告入力!$BO$7:$BO$696,$B35),"")</f>
        <v/>
      </c>
      <c r="Z35" s="43" t="str">
        <f aca="false">IF($AH35=1,INDEX(報告入力!$CE$7:$CE$696,$B35),"")</f>
        <v/>
      </c>
      <c r="AA35" s="42" t="str">
        <f aca="false">IF($AG35=1,INDEX(報告入力!$BX$7:$BX$696,$B35),"")</f>
        <v/>
      </c>
      <c r="AB35" s="42" t="str">
        <f aca="false">IF($AH35=1,INDEX(報告入力!$BP$7:$BP$696,$B35),"")</f>
        <v/>
      </c>
      <c r="AC35" s="43" t="str">
        <f aca="false">IF($AH35=1,INDEX(報告入力!$CF$7:$CF$696,$B35),"")</f>
        <v/>
      </c>
      <c r="AD35" s="42" t="str">
        <f aca="false">IF($AG35=1,INDEX(報告入力!$BY$7:$BY$696,$B35),"")</f>
        <v/>
      </c>
      <c r="AE35" s="42" t="str">
        <f aca="false">IF($AH35=1,INDEX(報告入力!$BQ$7:$BQ$696,$B35),"")</f>
        <v/>
      </c>
      <c r="AF35" s="43" t="str">
        <f aca="false">IF($AH35=1,INDEX(報告入力!$CG$7:$CG$696,$B35),"")</f>
        <v/>
      </c>
      <c r="AG35" s="33" t="n">
        <f aca="false">IF($B35="",0,IF(OR(C35="未受領",C35="報告なし"),0,1))</f>
        <v>0</v>
      </c>
      <c r="AH35" s="33" t="n">
        <f aca="false">IF(OR(D35="問題なし",D35="要確認"),1,0)</f>
        <v>0</v>
      </c>
      <c r="AI35" s="33" t="n">
        <f aca="false">IF(C35="未受領",MAX(AI$6:AI34)+1,"")</f>
        <v>26</v>
      </c>
      <c r="AJ35" s="33" t="str">
        <f aca="false">IF(D35="要確認",MAX(AJ$6:AJ34)+1,"")</f>
        <v/>
      </c>
      <c r="AK35" s="32" t="str">
        <f aca="false">IF(D35="要確認",INDEX(報告入力!$CH$7:$CH$696,$B35),"")</f>
        <v/>
      </c>
    </row>
    <row r="36" customFormat="false" ht="26.85" hidden="false" customHeight="false" outlineLevel="0" collapsed="false">
      <c r="A36" s="41" t="str">
        <f aca="false">設定!B90</f>
        <v>バス協調・共創
プラットフォーム</v>
      </c>
      <c r="B36" s="33" t="n">
        <f aca="false">IFERROR(MATCH(ホーム!$C$4&amp;"|"&amp;A36,報告入力!$CM$7:$CM$696,0),"")</f>
        <v>352</v>
      </c>
      <c r="C36" s="10" t="str">
        <f aca="false">IF($B36="","",INDEX(報告入力!$C$7:$C$696,$B36))</f>
        <v>未受領</v>
      </c>
      <c r="D36" s="10" t="str">
        <f aca="false">IF($B36="","",INDEX(報告入力!$D$7:$D$696,$B36))</f>
        <v>―</v>
      </c>
      <c r="E36" s="24" t="str">
        <f aca="false">IF($B36="","",INDEX(報告入力!$E$7:$E$696,$B36))</f>
        <v>―</v>
      </c>
      <c r="F36" s="42" t="n">
        <f aca="false">IF($B36="","",INDEX(報告入力!$I$7:$I$696,$B36))</f>
        <v>0</v>
      </c>
      <c r="G36" s="42" t="n">
        <f aca="false">IF($B36="","",INDEX(報告入力!$J$7:$J$696,$B36))</f>
        <v>0</v>
      </c>
      <c r="H36" s="42" t="n">
        <f aca="false">IF($B36="","",INDEX(報告入力!$K$7:$K$696,$B36))</f>
        <v>0</v>
      </c>
      <c r="I36" s="42" t="str">
        <f aca="false">IF($AG36=1,INDEX(報告入力!$BR$7:$BR$696,$B36),"")</f>
        <v/>
      </c>
      <c r="J36" s="42" t="str">
        <f aca="false">IF($AH36=1,INDEX(報告入力!$BJ$7:$BJ$696,$B36),"")</f>
        <v/>
      </c>
      <c r="K36" s="43" t="str">
        <f aca="false">IF($AH36=1,INDEX(報告入力!$BZ$7:$BZ$696,$B36),"")</f>
        <v/>
      </c>
      <c r="L36" s="42" t="str">
        <f aca="false">IF($AG36=1,INDEX(報告入力!$BS$7:$BS$696,$B36),"")</f>
        <v/>
      </c>
      <c r="M36" s="42" t="str">
        <f aca="false">IF($AH36=1,INDEX(報告入力!$BK$7:$BK$696,$B36),"")</f>
        <v/>
      </c>
      <c r="N36" s="43" t="str">
        <f aca="false">IF($AH36=1,INDEX(報告入力!$CA$7:$CA$696,$B36),"")</f>
        <v/>
      </c>
      <c r="O36" s="42" t="str">
        <f aca="false">IF($AG36=1,INDEX(報告入力!$BT$7:$BT$696,$B36),"")</f>
        <v/>
      </c>
      <c r="P36" s="42" t="str">
        <f aca="false">IF($AH36=1,INDEX(報告入力!$BL$7:$BL$696,$B36),"")</f>
        <v/>
      </c>
      <c r="Q36" s="43" t="str">
        <f aca="false">IF($AH36=1,INDEX(報告入力!$CB$7:$CB$696,$B36),"")</f>
        <v/>
      </c>
      <c r="R36" s="42" t="str">
        <f aca="false">IF($AG36=1,INDEX(報告入力!$BU$7:$BU$696,$B36),"")</f>
        <v/>
      </c>
      <c r="S36" s="42" t="str">
        <f aca="false">IF($AH36=1,INDEX(報告入力!$BM$7:$BM$696,$B36),"")</f>
        <v/>
      </c>
      <c r="T36" s="43" t="str">
        <f aca="false">IF($AH36=1,INDEX(報告入力!$CC$7:$CC$696,$B36),"")</f>
        <v/>
      </c>
      <c r="U36" s="42" t="str">
        <f aca="false">IF($AG36=1,INDEX(報告入力!$BV$7:$BV$696,$B36),"")</f>
        <v/>
      </c>
      <c r="V36" s="42" t="str">
        <f aca="false">IF($AH36=1,INDEX(報告入力!$BN$7:$BN$696,$B36),"")</f>
        <v/>
      </c>
      <c r="W36" s="43" t="str">
        <f aca="false">IF($AH36=1,INDEX(報告入力!$CD$7:$CD$696,$B36),"")</f>
        <v/>
      </c>
      <c r="X36" s="42" t="str">
        <f aca="false">IF($AG36=1,INDEX(報告入力!$BW$7:$BW$696,$B36),"")</f>
        <v/>
      </c>
      <c r="Y36" s="42" t="str">
        <f aca="false">IF($AH36=1,INDEX(報告入力!$BO$7:$BO$696,$B36),"")</f>
        <v/>
      </c>
      <c r="Z36" s="43" t="str">
        <f aca="false">IF($AH36=1,INDEX(報告入力!$CE$7:$CE$696,$B36),"")</f>
        <v/>
      </c>
      <c r="AA36" s="42" t="str">
        <f aca="false">IF($AG36=1,INDEX(報告入力!$BX$7:$BX$696,$B36),"")</f>
        <v/>
      </c>
      <c r="AB36" s="42" t="str">
        <f aca="false">IF($AH36=1,INDEX(報告入力!$BP$7:$BP$696,$B36),"")</f>
        <v/>
      </c>
      <c r="AC36" s="43" t="str">
        <f aca="false">IF($AH36=1,INDEX(報告入力!$CF$7:$CF$696,$B36),"")</f>
        <v/>
      </c>
      <c r="AD36" s="42" t="str">
        <f aca="false">IF($AG36=1,INDEX(報告入力!$BY$7:$BY$696,$B36),"")</f>
        <v/>
      </c>
      <c r="AE36" s="42" t="str">
        <f aca="false">IF($AH36=1,INDEX(報告入力!$BQ$7:$BQ$696,$B36),"")</f>
        <v/>
      </c>
      <c r="AF36" s="43" t="str">
        <f aca="false">IF($AH36=1,INDEX(報告入力!$CG$7:$CG$696,$B36),"")</f>
        <v/>
      </c>
      <c r="AG36" s="33" t="n">
        <f aca="false">IF($B36="",0,IF(OR(C36="未受領",C36="報告なし"),0,1))</f>
        <v>0</v>
      </c>
      <c r="AH36" s="33" t="n">
        <f aca="false">IF(OR(D36="問題なし",D36="要確認"),1,0)</f>
        <v>0</v>
      </c>
      <c r="AI36" s="33" t="n">
        <f aca="false">IF(C36="未受領",MAX(AI$6:AI35)+1,"")</f>
        <v>27</v>
      </c>
      <c r="AJ36" s="33" t="str">
        <f aca="false">IF(D36="要確認",MAX(AJ$6:AJ35)+1,"")</f>
        <v/>
      </c>
      <c r="AK36" s="32" t="str">
        <f aca="false">IF(D36="要確認",INDEX(報告入力!$CH$7:$CH$696,$B36),"")</f>
        <v/>
      </c>
    </row>
    <row r="37" customFormat="false" ht="15" hidden="false" customHeight="false" outlineLevel="0" collapsed="false">
      <c r="A37" s="41" t="str">
        <f aca="false">設定!B91</f>
        <v>広島県市長会</v>
      </c>
      <c r="B37" s="33" t="n">
        <f aca="false">IFERROR(MATCH(ホーム!$C$4&amp;"|"&amp;A37,報告入力!$CM$7:$CM$696,0),"")</f>
        <v>353</v>
      </c>
      <c r="C37" s="10" t="str">
        <f aca="false">IF($B37="","",INDEX(報告入力!$C$7:$C$696,$B37))</f>
        <v>受領済</v>
      </c>
      <c r="D37" s="10" t="str">
        <f aca="false">IF($B37="","",INDEX(報告入力!$D$7:$D$696,$B37))</f>
        <v>標報未入力</v>
      </c>
      <c r="E37" s="24" t="str">
        <f aca="false">IF($B37="","",INDEX(報告入力!$E$7:$E$696,$B37))</f>
        <v>前月同額</v>
      </c>
      <c r="F37" s="42" t="n">
        <f aca="false">IF($B37="","",INDEX(報告入力!$I$7:$I$696,$B37))</f>
        <v>0</v>
      </c>
      <c r="G37" s="42" t="n">
        <f aca="false">IF($B37="","",INDEX(報告入力!$J$7:$J$696,$B37))</f>
        <v>0</v>
      </c>
      <c r="H37" s="42" t="n">
        <f aca="false">IF($B37="","",INDEX(報告入力!$K$7:$K$696,$B37))</f>
        <v>0</v>
      </c>
      <c r="I37" s="42" t="n">
        <f aca="false">IF($AG37=1,INDEX(報告入力!$BR$7:$BR$696,$B37),"")</f>
        <v>58410</v>
      </c>
      <c r="J37" s="42" t="str">
        <f aca="false">IF($AH37=1,INDEX(報告入力!$BJ$7:$BJ$696,$B37),"")</f>
        <v/>
      </c>
      <c r="K37" s="43" t="str">
        <f aca="false">IF($AH37=1,INDEX(報告入力!$BZ$7:$BZ$696,$B37),"")</f>
        <v/>
      </c>
      <c r="L37" s="42" t="n">
        <f aca="false">IF($AG37=1,INDEX(報告入力!$BS$7:$BS$696,$B37),"")</f>
        <v>58461</v>
      </c>
      <c r="M37" s="42" t="str">
        <f aca="false">IF($AH37=1,INDEX(報告入力!$BK$7:$BK$696,$B37),"")</f>
        <v/>
      </c>
      <c r="N37" s="43" t="str">
        <f aca="false">IF($AH37=1,INDEX(報告入力!$CA$7:$CA$696,$B37),"")</f>
        <v/>
      </c>
      <c r="O37" s="42" t="n">
        <f aca="false">IF($AG37=1,INDEX(報告入力!$BT$7:$BT$696,$B37),"")</f>
        <v>30597</v>
      </c>
      <c r="P37" s="42" t="str">
        <f aca="false">IF($AH37=1,INDEX(報告入力!$BL$7:$BL$696,$B37),"")</f>
        <v/>
      </c>
      <c r="Q37" s="43" t="str">
        <f aca="false">IF($AH37=1,INDEX(報告入力!$CB$7:$CB$696,$B37),"")</f>
        <v/>
      </c>
      <c r="R37" s="42" t="n">
        <f aca="false">IF($AG37=1,INDEX(報告入力!$BU$7:$BU$696,$B37),"")</f>
        <v>30626</v>
      </c>
      <c r="S37" s="42" t="str">
        <f aca="false">IF($AH37=1,INDEX(報告入力!$BM$7:$BM$696,$B37),"")</f>
        <v/>
      </c>
      <c r="T37" s="43" t="str">
        <f aca="false">IF($AH37=1,INDEX(報告入力!$CC$7:$CC$696,$B37),"")</f>
        <v/>
      </c>
      <c r="U37" s="42" t="n">
        <f aca="false">IF($AG37=1,INDEX(報告入力!$BV$7:$BV$696,$B37),"")</f>
        <v>4661</v>
      </c>
      <c r="V37" s="42" t="str">
        <f aca="false">IF($AH37=1,INDEX(報告入力!$BN$7:$BN$696,$B37),"")</f>
        <v/>
      </c>
      <c r="W37" s="43" t="str">
        <f aca="false">IF($AH37=1,INDEX(報告入力!$CD$7:$CD$696,$B37),"")</f>
        <v/>
      </c>
      <c r="X37" s="42" t="n">
        <f aca="false">IF($AG37=1,INDEX(報告入力!$BW$7:$BW$696,$B37),"")</f>
        <v>4661</v>
      </c>
      <c r="Y37" s="42" t="str">
        <f aca="false">IF($AH37=1,INDEX(報告入力!$BO$7:$BO$696,$B37),"")</f>
        <v/>
      </c>
      <c r="Z37" s="43" t="str">
        <f aca="false">IF($AH37=1,INDEX(報告入力!$CE$7:$CE$696,$B37),"")</f>
        <v/>
      </c>
      <c r="AA37" s="42" t="n">
        <f aca="false">IF($AG37=1,INDEX(報告入力!$BX$7:$BX$696,$B37),"")</f>
        <v>678</v>
      </c>
      <c r="AB37" s="42" t="str">
        <f aca="false">IF($AH37=1,INDEX(報告入力!$BP$7:$BP$696,$B37),"")</f>
        <v/>
      </c>
      <c r="AC37" s="43" t="str">
        <f aca="false">IF($AH37=1,INDEX(報告入力!$CF$7:$CF$696,$B37),"")</f>
        <v/>
      </c>
      <c r="AD37" s="42" t="n">
        <f aca="false">IF($AG37=1,INDEX(報告入力!$BY$7:$BY$696,$B37),"")</f>
        <v>678</v>
      </c>
      <c r="AE37" s="42" t="str">
        <f aca="false">IF($AH37=1,INDEX(報告入力!$BQ$7:$BQ$696,$B37),"")</f>
        <v/>
      </c>
      <c r="AF37" s="43" t="str">
        <f aca="false">IF($AH37=1,INDEX(報告入力!$CG$7:$CG$696,$B37),"")</f>
        <v/>
      </c>
      <c r="AG37" s="33" t="n">
        <f aca="false">IF($B37="",0,IF(OR(C37="未受領",C37="報告なし"),0,1))</f>
        <v>1</v>
      </c>
      <c r="AH37" s="33" t="n">
        <f aca="false">IF(OR(D37="問題なし",D37="要確認"),1,0)</f>
        <v>0</v>
      </c>
      <c r="AI37" s="33" t="str">
        <f aca="false">IF(C37="未受領",MAX(AI$6:AI36)+1,"")</f>
        <v/>
      </c>
      <c r="AJ37" s="33" t="str">
        <f aca="false">IF(D37="要確認",MAX(AJ$6:AJ36)+1,"")</f>
        <v/>
      </c>
      <c r="AK37" s="32" t="str">
        <f aca="false">IF(D37="要確認",INDEX(報告入力!$CH$7:$CH$696,$B37),"")</f>
        <v/>
      </c>
    </row>
    <row r="38" customFormat="false" ht="15" hidden="false" customHeight="false" outlineLevel="0" collapsed="false">
      <c r="A38" s="41" t="str">
        <f aca="false">設定!B92</f>
        <v>全国市町村研修財団</v>
      </c>
      <c r="B38" s="33" t="n">
        <f aca="false">IFERROR(MATCH(ホーム!$C$4&amp;"|"&amp;A38,報告入力!$CM$7:$CM$696,0),"")</f>
        <v>354</v>
      </c>
      <c r="C38" s="10" t="str">
        <f aca="false">IF($B38="","",INDEX(報告入力!$C$7:$C$696,$B38))</f>
        <v>受領済</v>
      </c>
      <c r="D38" s="10" t="str">
        <f aca="false">IF($B38="","",INDEX(報告入力!$D$7:$D$696,$B38))</f>
        <v>標報未入力</v>
      </c>
      <c r="E38" s="24" t="str">
        <f aca="false">IF($B38="","",INDEX(報告入力!$E$7:$E$696,$B38))</f>
        <v>前月同額</v>
      </c>
      <c r="F38" s="42" t="n">
        <f aca="false">IF($B38="","",INDEX(報告入力!$I$7:$I$696,$B38))</f>
        <v>0</v>
      </c>
      <c r="G38" s="42" t="n">
        <f aca="false">IF($B38="","",INDEX(報告入力!$J$7:$J$696,$B38))</f>
        <v>0</v>
      </c>
      <c r="H38" s="42" t="n">
        <f aca="false">IF($B38="","",INDEX(報告入力!$K$7:$K$696,$B38))</f>
        <v>0</v>
      </c>
      <c r="I38" s="42" t="n">
        <f aca="false">IF($AG38=1,INDEX(報告入力!$BR$7:$BR$696,$B38),"")</f>
        <v>64350</v>
      </c>
      <c r="J38" s="42" t="str">
        <f aca="false">IF($AH38=1,INDEX(報告入力!$BJ$7:$BJ$696,$B38),"")</f>
        <v/>
      </c>
      <c r="K38" s="43" t="str">
        <f aca="false">IF($AH38=1,INDEX(報告入力!$BZ$7:$BZ$696,$B38),"")</f>
        <v/>
      </c>
      <c r="L38" s="42" t="n">
        <f aca="false">IF($AG38=1,INDEX(報告入力!$BS$7:$BS$696,$B38),"")</f>
        <v>64406</v>
      </c>
      <c r="M38" s="42" t="str">
        <f aca="false">IF($AH38=1,INDEX(報告入力!$BK$7:$BK$696,$B38),"")</f>
        <v/>
      </c>
      <c r="N38" s="43" t="str">
        <f aca="false">IF($AH38=1,INDEX(報告入力!$CA$7:$CA$696,$B38),"")</f>
        <v/>
      </c>
      <c r="O38" s="42" t="n">
        <f aca="false">IF($AG38=1,INDEX(報告入力!$BT$7:$BT$696,$B38),"")</f>
        <v>36820</v>
      </c>
      <c r="P38" s="42" t="str">
        <f aca="false">IF($AH38=1,INDEX(報告入力!$BL$7:$BL$696,$B38),"")</f>
        <v/>
      </c>
      <c r="Q38" s="43" t="str">
        <f aca="false">IF($AH38=1,INDEX(報告入力!$CB$7:$CB$696,$B38),"")</f>
        <v/>
      </c>
      <c r="R38" s="42" t="n">
        <f aca="false">IF($AG38=1,INDEX(報告入力!$BU$7:$BU$696,$B38),"")</f>
        <v>36856</v>
      </c>
      <c r="S38" s="42" t="str">
        <f aca="false">IF($AH38=1,INDEX(報告入力!$BM$7:$BM$696,$B38),"")</f>
        <v/>
      </c>
      <c r="T38" s="43" t="str">
        <f aca="false">IF($AH38=1,INDEX(報告入力!$CC$7:$CC$696,$B38),"")</f>
        <v/>
      </c>
      <c r="U38" s="42" t="n">
        <f aca="false">IF($AG38=1,INDEX(報告入力!$BV$7:$BV$696,$B38),"")</f>
        <v>5609</v>
      </c>
      <c r="V38" s="42" t="str">
        <f aca="false">IF($AH38=1,INDEX(報告入力!$BN$7:$BN$696,$B38),"")</f>
        <v/>
      </c>
      <c r="W38" s="43" t="str">
        <f aca="false">IF($AH38=1,INDEX(報告入力!$CD$7:$CD$696,$B38),"")</f>
        <v/>
      </c>
      <c r="X38" s="42" t="n">
        <f aca="false">IF($AG38=1,INDEX(報告入力!$BW$7:$BW$696,$B38),"")</f>
        <v>5609</v>
      </c>
      <c r="Y38" s="42" t="str">
        <f aca="false">IF($AH38=1,INDEX(報告入力!$BO$7:$BO$696,$B38),"")</f>
        <v/>
      </c>
      <c r="Z38" s="43" t="str">
        <f aca="false">IF($AH38=1,INDEX(報告入力!$CE$7:$CE$696,$B38),"")</f>
        <v/>
      </c>
      <c r="AA38" s="42" t="n">
        <f aca="false">IF($AG38=1,INDEX(報告入力!$BX$7:$BX$696,$B38),"")</f>
        <v>816</v>
      </c>
      <c r="AB38" s="42" t="str">
        <f aca="false">IF($AH38=1,INDEX(報告入力!$BP$7:$BP$696,$B38),"")</f>
        <v/>
      </c>
      <c r="AC38" s="43" t="str">
        <f aca="false">IF($AH38=1,INDEX(報告入力!$CF$7:$CF$696,$B38),"")</f>
        <v/>
      </c>
      <c r="AD38" s="42" t="n">
        <f aca="false">IF($AG38=1,INDEX(報告入力!$BY$7:$BY$696,$B38),"")</f>
        <v>816</v>
      </c>
      <c r="AE38" s="42" t="str">
        <f aca="false">IF($AH38=1,INDEX(報告入力!$BQ$7:$BQ$696,$B38),"")</f>
        <v/>
      </c>
      <c r="AF38" s="43" t="str">
        <f aca="false">IF($AH38=1,INDEX(報告入力!$CG$7:$CG$696,$B38),"")</f>
        <v/>
      </c>
      <c r="AG38" s="33" t="n">
        <f aca="false">IF($B38="",0,IF(OR(C38="未受領",C38="報告なし"),0,1))</f>
        <v>1</v>
      </c>
      <c r="AH38" s="33" t="n">
        <f aca="false">IF(OR(D38="問題なし",D38="要確認"),1,0)</f>
        <v>0</v>
      </c>
      <c r="AI38" s="33" t="str">
        <f aca="false">IF(C38="未受領",MAX(AI$6:AI37)+1,"")</f>
        <v/>
      </c>
      <c r="AJ38" s="33" t="str">
        <f aca="false">IF(D38="要確認",MAX(AJ$6:AJ37)+1,"")</f>
        <v/>
      </c>
      <c r="AK38" s="32" t="str">
        <f aca="false">IF(D38="要確認",INDEX(報告入力!$CH$7:$CH$696,$B38),"")</f>
        <v/>
      </c>
    </row>
    <row r="39" customFormat="false" ht="15" hidden="false" customHeight="false" outlineLevel="0" collapsed="false">
      <c r="A39" s="41" t="str">
        <f aca="false">設定!B93</f>
        <v>都市再生機構</v>
      </c>
      <c r="B39" s="33" t="n">
        <f aca="false">IFERROR(MATCH(ホーム!$C$4&amp;"|"&amp;A39,報告入力!$CM$7:$CM$696,0),"")</f>
        <v>355</v>
      </c>
      <c r="C39" s="10" t="str">
        <f aca="false">IF($B39="","",INDEX(報告入力!$C$7:$C$696,$B39))</f>
        <v>受領済</v>
      </c>
      <c r="D39" s="10" t="str">
        <f aca="false">IF($B39="","",INDEX(報告入力!$D$7:$D$696,$B39))</f>
        <v>標報未入力</v>
      </c>
      <c r="E39" s="24" t="str">
        <f aca="false">IF($B39="","",INDEX(報告入力!$E$7:$E$696,$B39))</f>
        <v>前月同額</v>
      </c>
      <c r="F39" s="42" t="n">
        <f aca="false">IF($B39="","",INDEX(報告入力!$I$7:$I$696,$B39))</f>
        <v>0</v>
      </c>
      <c r="G39" s="42" t="n">
        <f aca="false">IF($B39="","",INDEX(報告入力!$J$7:$J$696,$B39))</f>
        <v>0</v>
      </c>
      <c r="H39" s="42" t="n">
        <f aca="false">IF($B39="","",INDEX(報告入力!$K$7:$K$696,$B39))</f>
        <v>0</v>
      </c>
      <c r="I39" s="42" t="n">
        <f aca="false">IF($AG39=1,INDEX(報告入力!$BR$7:$BR$696,$B39),"")</f>
        <v>49500</v>
      </c>
      <c r="J39" s="42" t="str">
        <f aca="false">IF($AH39=1,INDEX(報告入力!$BJ$7:$BJ$696,$B39),"")</f>
        <v/>
      </c>
      <c r="K39" s="43" t="str">
        <f aca="false">IF($AH39=1,INDEX(報告入力!$BZ$7:$BZ$696,$B39),"")</f>
        <v/>
      </c>
      <c r="L39" s="42" t="n">
        <f aca="false">IF($AG39=1,INDEX(報告入力!$BS$7:$BS$696,$B39),"")</f>
        <v>49543</v>
      </c>
      <c r="M39" s="42" t="str">
        <f aca="false">IF($AH39=1,INDEX(報告入力!$BK$7:$BK$696,$B39),"")</f>
        <v/>
      </c>
      <c r="N39" s="43" t="str">
        <f aca="false">IF($AH39=1,INDEX(報告入力!$CA$7:$CA$696,$B39),"")</f>
        <v/>
      </c>
      <c r="O39" s="42" t="n">
        <f aca="false">IF($AG39=1,INDEX(報告入力!$BT$7:$BT$696,$B39),"")</f>
        <v>25930</v>
      </c>
      <c r="P39" s="42" t="str">
        <f aca="false">IF($AH39=1,INDEX(報告入力!$BL$7:$BL$696,$B39),"")</f>
        <v/>
      </c>
      <c r="Q39" s="43" t="str">
        <f aca="false">IF($AH39=1,INDEX(報告入力!$CB$7:$CB$696,$B39),"")</f>
        <v/>
      </c>
      <c r="R39" s="42" t="n">
        <f aca="false">IF($AG39=1,INDEX(報告入力!$BU$7:$BU$696,$B39),"")</f>
        <v>25955</v>
      </c>
      <c r="S39" s="42" t="str">
        <f aca="false">IF($AH39=1,INDEX(報告入力!$BM$7:$BM$696,$B39),"")</f>
        <v/>
      </c>
      <c r="T39" s="43" t="str">
        <f aca="false">IF($AH39=1,INDEX(報告入力!$CC$7:$CC$696,$B39),"")</f>
        <v/>
      </c>
      <c r="U39" s="42" t="n">
        <f aca="false">IF($AG39=1,INDEX(報告入力!$BV$7:$BV$696,$B39),"")</f>
        <v>0</v>
      </c>
      <c r="V39" s="42" t="str">
        <f aca="false">IF($AH39=1,INDEX(報告入力!$BN$7:$BN$696,$B39),"")</f>
        <v/>
      </c>
      <c r="W39" s="43" t="str">
        <f aca="false">IF($AH39=1,INDEX(報告入力!$CD$7:$CD$696,$B39),"")</f>
        <v/>
      </c>
      <c r="X39" s="42" t="n">
        <f aca="false">IF($AG39=1,INDEX(報告入力!$BW$7:$BW$696,$B39),"")</f>
        <v>0</v>
      </c>
      <c r="Y39" s="42" t="str">
        <f aca="false">IF($AH39=1,INDEX(報告入力!$BO$7:$BO$696,$B39),"")</f>
        <v/>
      </c>
      <c r="Z39" s="43" t="str">
        <f aca="false">IF($AH39=1,INDEX(報告入力!$CE$7:$CE$696,$B39),"")</f>
        <v/>
      </c>
      <c r="AA39" s="42" t="n">
        <f aca="false">IF($AG39=1,INDEX(報告入力!$BX$7:$BX$696,$B39),"")</f>
        <v>575</v>
      </c>
      <c r="AB39" s="42" t="str">
        <f aca="false">IF($AH39=1,INDEX(報告入力!$BP$7:$BP$696,$B39),"")</f>
        <v/>
      </c>
      <c r="AC39" s="43" t="str">
        <f aca="false">IF($AH39=1,INDEX(報告入力!$CF$7:$CF$696,$B39),"")</f>
        <v/>
      </c>
      <c r="AD39" s="42" t="n">
        <f aca="false">IF($AG39=1,INDEX(報告入力!$BY$7:$BY$696,$B39),"")</f>
        <v>575</v>
      </c>
      <c r="AE39" s="42" t="str">
        <f aca="false">IF($AH39=1,INDEX(報告入力!$BQ$7:$BQ$696,$B39),"")</f>
        <v/>
      </c>
      <c r="AF39" s="43" t="str">
        <f aca="false">IF($AH39=1,INDEX(報告入力!$CG$7:$CG$696,$B39),"")</f>
        <v/>
      </c>
      <c r="AG39" s="33" t="n">
        <f aca="false">IF($B39="",0,IF(OR(C39="未受領",C39="報告なし"),0,1))</f>
        <v>1</v>
      </c>
      <c r="AH39" s="33" t="n">
        <f aca="false">IF(OR(D39="問題なし",D39="要確認"),1,0)</f>
        <v>0</v>
      </c>
      <c r="AI39" s="33" t="str">
        <f aca="false">IF(C39="未受領",MAX(AI$6:AI38)+1,"")</f>
        <v/>
      </c>
      <c r="AJ39" s="33" t="str">
        <f aca="false">IF(D39="要確認",MAX(AJ$6:AJ38)+1,"")</f>
        <v/>
      </c>
      <c r="AK39" s="32" t="str">
        <f aca="false">IF(D39="要確認",INDEX(報告入力!$CH$7:$CH$696,$B39),"")</f>
        <v/>
      </c>
    </row>
    <row r="40" customFormat="false" ht="15" hidden="false" customHeight="false" outlineLevel="0" collapsed="false">
      <c r="A40" s="41" t="str">
        <f aca="false">設定!B94</f>
        <v>広島市立大学</v>
      </c>
      <c r="B40" s="33" t="n">
        <f aca="false">IFERROR(MATCH(ホーム!$C$4&amp;"|"&amp;A40,報告入力!$CM$7:$CM$696,0),"")</f>
        <v>356</v>
      </c>
      <c r="C40" s="10" t="str">
        <f aca="false">IF($B40="","",INDEX(報告入力!$C$7:$C$696,$B40))</f>
        <v>未受領</v>
      </c>
      <c r="D40" s="10" t="str">
        <f aca="false">IF($B40="","",INDEX(報告入力!$D$7:$D$696,$B40))</f>
        <v>―</v>
      </c>
      <c r="E40" s="24" t="str">
        <f aca="false">IF($B40="","",INDEX(報告入力!$E$7:$E$696,$B40))</f>
        <v>―</v>
      </c>
      <c r="F40" s="42" t="n">
        <f aca="false">IF($B40="","",INDEX(報告入力!$I$7:$I$696,$B40))</f>
        <v>0</v>
      </c>
      <c r="G40" s="42" t="n">
        <f aca="false">IF($B40="","",INDEX(報告入力!$J$7:$J$696,$B40))</f>
        <v>0</v>
      </c>
      <c r="H40" s="42" t="n">
        <f aca="false">IF($B40="","",INDEX(報告入力!$K$7:$K$696,$B40))</f>
        <v>0</v>
      </c>
      <c r="I40" s="42" t="str">
        <f aca="false">IF($AG40=1,INDEX(報告入力!$BR$7:$BR$696,$B40),"")</f>
        <v/>
      </c>
      <c r="J40" s="42" t="str">
        <f aca="false">IF($AH40=1,INDEX(報告入力!$BJ$7:$BJ$696,$B40),"")</f>
        <v/>
      </c>
      <c r="K40" s="43" t="str">
        <f aca="false">IF($AH40=1,INDEX(報告入力!$BZ$7:$BZ$696,$B40),"")</f>
        <v/>
      </c>
      <c r="L40" s="42" t="str">
        <f aca="false">IF($AG40=1,INDEX(報告入力!$BS$7:$BS$696,$B40),"")</f>
        <v/>
      </c>
      <c r="M40" s="42" t="str">
        <f aca="false">IF($AH40=1,INDEX(報告入力!$BK$7:$BK$696,$B40),"")</f>
        <v/>
      </c>
      <c r="N40" s="43" t="str">
        <f aca="false">IF($AH40=1,INDEX(報告入力!$CA$7:$CA$696,$B40),"")</f>
        <v/>
      </c>
      <c r="O40" s="42" t="str">
        <f aca="false">IF($AG40=1,INDEX(報告入力!$BT$7:$BT$696,$B40),"")</f>
        <v/>
      </c>
      <c r="P40" s="42" t="str">
        <f aca="false">IF($AH40=1,INDEX(報告入力!$BL$7:$BL$696,$B40),"")</f>
        <v/>
      </c>
      <c r="Q40" s="43" t="str">
        <f aca="false">IF($AH40=1,INDEX(報告入力!$CB$7:$CB$696,$B40),"")</f>
        <v/>
      </c>
      <c r="R40" s="42" t="str">
        <f aca="false">IF($AG40=1,INDEX(報告入力!$BU$7:$BU$696,$B40),"")</f>
        <v/>
      </c>
      <c r="S40" s="42" t="str">
        <f aca="false">IF($AH40=1,INDEX(報告入力!$BM$7:$BM$696,$B40),"")</f>
        <v/>
      </c>
      <c r="T40" s="43" t="str">
        <f aca="false">IF($AH40=1,INDEX(報告入力!$CC$7:$CC$696,$B40),"")</f>
        <v/>
      </c>
      <c r="U40" s="42" t="str">
        <f aca="false">IF($AG40=1,INDEX(報告入力!$BV$7:$BV$696,$B40),"")</f>
        <v/>
      </c>
      <c r="V40" s="42" t="str">
        <f aca="false">IF($AH40=1,INDEX(報告入力!$BN$7:$BN$696,$B40),"")</f>
        <v/>
      </c>
      <c r="W40" s="43" t="str">
        <f aca="false">IF($AH40=1,INDEX(報告入力!$CD$7:$CD$696,$B40),"")</f>
        <v/>
      </c>
      <c r="X40" s="42" t="str">
        <f aca="false">IF($AG40=1,INDEX(報告入力!$BW$7:$BW$696,$B40),"")</f>
        <v/>
      </c>
      <c r="Y40" s="42" t="str">
        <f aca="false">IF($AH40=1,INDEX(報告入力!$BO$7:$BO$696,$B40),"")</f>
        <v/>
      </c>
      <c r="Z40" s="43" t="str">
        <f aca="false">IF($AH40=1,INDEX(報告入力!$CE$7:$CE$696,$B40),"")</f>
        <v/>
      </c>
      <c r="AA40" s="42" t="str">
        <f aca="false">IF($AG40=1,INDEX(報告入力!$BX$7:$BX$696,$B40),"")</f>
        <v/>
      </c>
      <c r="AB40" s="42" t="str">
        <f aca="false">IF($AH40=1,INDEX(報告入力!$BP$7:$BP$696,$B40),"")</f>
        <v/>
      </c>
      <c r="AC40" s="43" t="str">
        <f aca="false">IF($AH40=1,INDEX(報告入力!$CF$7:$CF$696,$B40),"")</f>
        <v/>
      </c>
      <c r="AD40" s="42" t="str">
        <f aca="false">IF($AG40=1,INDEX(報告入力!$BY$7:$BY$696,$B40),"")</f>
        <v/>
      </c>
      <c r="AE40" s="42" t="str">
        <f aca="false">IF($AH40=1,INDEX(報告入力!$BQ$7:$BQ$696,$B40),"")</f>
        <v/>
      </c>
      <c r="AF40" s="43" t="str">
        <f aca="false">IF($AH40=1,INDEX(報告入力!$CG$7:$CG$696,$B40),"")</f>
        <v/>
      </c>
      <c r="AG40" s="33" t="n">
        <f aca="false">IF($B40="",0,IF(OR(C40="未受領",C40="報告なし"),0,1))</f>
        <v>0</v>
      </c>
      <c r="AH40" s="33" t="n">
        <f aca="false">IF(OR(D40="問題なし",D40="要確認"),1,0)</f>
        <v>0</v>
      </c>
      <c r="AI40" s="33" t="n">
        <f aca="false">IF(C40="未受領",MAX(AI$6:AI39)+1,"")</f>
        <v>28</v>
      </c>
      <c r="AJ40" s="33" t="str">
        <f aca="false">IF(D40="要確認",MAX(AJ$6:AJ39)+1,"")</f>
        <v/>
      </c>
      <c r="AK40" s="32" t="str">
        <f aca="false">IF(D40="要確認",INDEX(報告入力!$CH$7:$CH$696,$B40),"")</f>
        <v/>
      </c>
    </row>
    <row r="41" customFormat="false" ht="15" hidden="false" customHeight="false" outlineLevel="0" collapsed="false">
      <c r="A41" s="41" t="str">
        <f aca="false">設定!B95</f>
        <v>社会福祉協議会</v>
      </c>
      <c r="B41" s="33" t="n">
        <f aca="false">IFERROR(MATCH(ホーム!$C$4&amp;"|"&amp;A41,報告入力!$CM$7:$CM$696,0),"")</f>
        <v>357</v>
      </c>
      <c r="C41" s="10" t="str">
        <f aca="false">IF($B41="","",INDEX(報告入力!$C$7:$C$696,$B41))</f>
        <v>未受領</v>
      </c>
      <c r="D41" s="10" t="str">
        <f aca="false">IF($B41="","",INDEX(報告入力!$D$7:$D$696,$B41))</f>
        <v>―</v>
      </c>
      <c r="E41" s="24" t="str">
        <f aca="false">IF($B41="","",INDEX(報告入力!$E$7:$E$696,$B41))</f>
        <v>―</v>
      </c>
      <c r="F41" s="42" t="n">
        <f aca="false">IF($B41="","",INDEX(報告入力!$I$7:$I$696,$B41))</f>
        <v>0</v>
      </c>
      <c r="G41" s="42" t="n">
        <f aca="false">IF($B41="","",INDEX(報告入力!$J$7:$J$696,$B41))</f>
        <v>0</v>
      </c>
      <c r="H41" s="42" t="n">
        <f aca="false">IF($B41="","",INDEX(報告入力!$K$7:$K$696,$B41))</f>
        <v>0</v>
      </c>
      <c r="I41" s="42" t="str">
        <f aca="false">IF($AG41=1,INDEX(報告入力!$BR$7:$BR$696,$B41),"")</f>
        <v/>
      </c>
      <c r="J41" s="42" t="str">
        <f aca="false">IF($AH41=1,INDEX(報告入力!$BJ$7:$BJ$696,$B41),"")</f>
        <v/>
      </c>
      <c r="K41" s="43" t="str">
        <f aca="false">IF($AH41=1,INDEX(報告入力!$BZ$7:$BZ$696,$B41),"")</f>
        <v/>
      </c>
      <c r="L41" s="42" t="str">
        <f aca="false">IF($AG41=1,INDEX(報告入力!$BS$7:$BS$696,$B41),"")</f>
        <v/>
      </c>
      <c r="M41" s="42" t="str">
        <f aca="false">IF($AH41=1,INDEX(報告入力!$BK$7:$BK$696,$B41),"")</f>
        <v/>
      </c>
      <c r="N41" s="43" t="str">
        <f aca="false">IF($AH41=1,INDEX(報告入力!$CA$7:$CA$696,$B41),"")</f>
        <v/>
      </c>
      <c r="O41" s="42" t="str">
        <f aca="false">IF($AG41=1,INDEX(報告入力!$BT$7:$BT$696,$B41),"")</f>
        <v/>
      </c>
      <c r="P41" s="42" t="str">
        <f aca="false">IF($AH41=1,INDEX(報告入力!$BL$7:$BL$696,$B41),"")</f>
        <v/>
      </c>
      <c r="Q41" s="43" t="str">
        <f aca="false">IF($AH41=1,INDEX(報告入力!$CB$7:$CB$696,$B41),"")</f>
        <v/>
      </c>
      <c r="R41" s="42" t="str">
        <f aca="false">IF($AG41=1,INDEX(報告入力!$BU$7:$BU$696,$B41),"")</f>
        <v/>
      </c>
      <c r="S41" s="42" t="str">
        <f aca="false">IF($AH41=1,INDEX(報告入力!$BM$7:$BM$696,$B41),"")</f>
        <v/>
      </c>
      <c r="T41" s="43" t="str">
        <f aca="false">IF($AH41=1,INDEX(報告入力!$CC$7:$CC$696,$B41),"")</f>
        <v/>
      </c>
      <c r="U41" s="42" t="str">
        <f aca="false">IF($AG41=1,INDEX(報告入力!$BV$7:$BV$696,$B41),"")</f>
        <v/>
      </c>
      <c r="V41" s="42" t="str">
        <f aca="false">IF($AH41=1,INDEX(報告入力!$BN$7:$BN$696,$B41),"")</f>
        <v/>
      </c>
      <c r="W41" s="43" t="str">
        <f aca="false">IF($AH41=1,INDEX(報告入力!$CD$7:$CD$696,$B41),"")</f>
        <v/>
      </c>
      <c r="X41" s="42" t="str">
        <f aca="false">IF($AG41=1,INDEX(報告入力!$BW$7:$BW$696,$B41),"")</f>
        <v/>
      </c>
      <c r="Y41" s="42" t="str">
        <f aca="false">IF($AH41=1,INDEX(報告入力!$BO$7:$BO$696,$B41),"")</f>
        <v/>
      </c>
      <c r="Z41" s="43" t="str">
        <f aca="false">IF($AH41=1,INDEX(報告入力!$CE$7:$CE$696,$B41),"")</f>
        <v/>
      </c>
      <c r="AA41" s="42" t="str">
        <f aca="false">IF($AG41=1,INDEX(報告入力!$BX$7:$BX$696,$B41),"")</f>
        <v/>
      </c>
      <c r="AB41" s="42" t="str">
        <f aca="false">IF($AH41=1,INDEX(報告入力!$BP$7:$BP$696,$B41),"")</f>
        <v/>
      </c>
      <c r="AC41" s="43" t="str">
        <f aca="false">IF($AH41=1,INDEX(報告入力!$CF$7:$CF$696,$B41),"")</f>
        <v/>
      </c>
      <c r="AD41" s="42" t="str">
        <f aca="false">IF($AG41=1,INDEX(報告入力!$BY$7:$BY$696,$B41),"")</f>
        <v/>
      </c>
      <c r="AE41" s="42" t="str">
        <f aca="false">IF($AH41=1,INDEX(報告入力!$BQ$7:$BQ$696,$B41),"")</f>
        <v/>
      </c>
      <c r="AF41" s="43" t="str">
        <f aca="false">IF($AH41=1,INDEX(報告入力!$CG$7:$CG$696,$B41),"")</f>
        <v/>
      </c>
      <c r="AG41" s="33" t="n">
        <f aca="false">IF($B41="",0,IF(OR(C41="未受領",C41="報告なし"),0,1))</f>
        <v>0</v>
      </c>
      <c r="AH41" s="33" t="n">
        <f aca="false">IF(OR(D41="問題なし",D41="要確認"),1,0)</f>
        <v>0</v>
      </c>
      <c r="AI41" s="33" t="n">
        <f aca="false">IF(C41="未受領",MAX(AI$6:AI40)+1,"")</f>
        <v>29</v>
      </c>
      <c r="AJ41" s="33" t="str">
        <f aca="false">IF(D41="要確認",MAX(AJ$6:AJ40)+1,"")</f>
        <v/>
      </c>
      <c r="AK41" s="32" t="str">
        <f aca="false">IF(D41="要確認",INDEX(報告入力!$CH$7:$CH$696,$B41),"")</f>
        <v/>
      </c>
    </row>
    <row r="42" customFormat="false" ht="15" hidden="false" customHeight="false" outlineLevel="0" collapsed="false">
      <c r="A42" s="41" t="str">
        <f aca="false">設定!B96</f>
        <v>市立病院機構</v>
      </c>
      <c r="B42" s="33" t="n">
        <f aca="false">IFERROR(MATCH(ホーム!$C$4&amp;"|"&amp;A42,報告入力!$CM$7:$CM$696,0),"")</f>
        <v>358</v>
      </c>
      <c r="C42" s="10" t="str">
        <f aca="false">IF($B42="","",INDEX(報告入力!$C$7:$C$696,$B42))</f>
        <v>未受領</v>
      </c>
      <c r="D42" s="10" t="str">
        <f aca="false">IF($B42="","",INDEX(報告入力!$D$7:$D$696,$B42))</f>
        <v>―</v>
      </c>
      <c r="E42" s="24" t="str">
        <f aca="false">IF($B42="","",INDEX(報告入力!$E$7:$E$696,$B42))</f>
        <v>―</v>
      </c>
      <c r="F42" s="42" t="n">
        <f aca="false">IF($B42="","",INDEX(報告入力!$I$7:$I$696,$B42))</f>
        <v>0</v>
      </c>
      <c r="G42" s="42" t="n">
        <f aca="false">IF($B42="","",INDEX(報告入力!$J$7:$J$696,$B42))</f>
        <v>0</v>
      </c>
      <c r="H42" s="42" t="n">
        <f aca="false">IF($B42="","",INDEX(報告入力!$K$7:$K$696,$B42))</f>
        <v>0</v>
      </c>
      <c r="I42" s="42" t="str">
        <f aca="false">IF($AG42=1,INDEX(報告入力!$BR$7:$BR$696,$B42),"")</f>
        <v/>
      </c>
      <c r="J42" s="42" t="str">
        <f aca="false">IF($AH42=1,INDEX(報告入力!$BJ$7:$BJ$696,$B42),"")</f>
        <v/>
      </c>
      <c r="K42" s="43" t="str">
        <f aca="false">IF($AH42=1,INDEX(報告入力!$BZ$7:$BZ$696,$B42),"")</f>
        <v/>
      </c>
      <c r="L42" s="42" t="str">
        <f aca="false">IF($AG42=1,INDEX(報告入力!$BS$7:$BS$696,$B42),"")</f>
        <v/>
      </c>
      <c r="M42" s="42" t="str">
        <f aca="false">IF($AH42=1,INDEX(報告入力!$BK$7:$BK$696,$B42),"")</f>
        <v/>
      </c>
      <c r="N42" s="43" t="str">
        <f aca="false">IF($AH42=1,INDEX(報告入力!$CA$7:$CA$696,$B42),"")</f>
        <v/>
      </c>
      <c r="O42" s="42" t="str">
        <f aca="false">IF($AG42=1,INDEX(報告入力!$BT$7:$BT$696,$B42),"")</f>
        <v/>
      </c>
      <c r="P42" s="42" t="str">
        <f aca="false">IF($AH42=1,INDEX(報告入力!$BL$7:$BL$696,$B42),"")</f>
        <v/>
      </c>
      <c r="Q42" s="43" t="str">
        <f aca="false">IF($AH42=1,INDEX(報告入力!$CB$7:$CB$696,$B42),"")</f>
        <v/>
      </c>
      <c r="R42" s="42" t="str">
        <f aca="false">IF($AG42=1,INDEX(報告入力!$BU$7:$BU$696,$B42),"")</f>
        <v/>
      </c>
      <c r="S42" s="42" t="str">
        <f aca="false">IF($AH42=1,INDEX(報告入力!$BM$7:$BM$696,$B42),"")</f>
        <v/>
      </c>
      <c r="T42" s="43" t="str">
        <f aca="false">IF($AH42=1,INDEX(報告入力!$CC$7:$CC$696,$B42),"")</f>
        <v/>
      </c>
      <c r="U42" s="42" t="str">
        <f aca="false">IF($AG42=1,INDEX(報告入力!$BV$7:$BV$696,$B42),"")</f>
        <v/>
      </c>
      <c r="V42" s="42" t="str">
        <f aca="false">IF($AH42=1,INDEX(報告入力!$BN$7:$BN$696,$B42),"")</f>
        <v/>
      </c>
      <c r="W42" s="43" t="str">
        <f aca="false">IF($AH42=1,INDEX(報告入力!$CD$7:$CD$696,$B42),"")</f>
        <v/>
      </c>
      <c r="X42" s="42" t="str">
        <f aca="false">IF($AG42=1,INDEX(報告入力!$BW$7:$BW$696,$B42),"")</f>
        <v/>
      </c>
      <c r="Y42" s="42" t="str">
        <f aca="false">IF($AH42=1,INDEX(報告入力!$BO$7:$BO$696,$B42),"")</f>
        <v/>
      </c>
      <c r="Z42" s="43" t="str">
        <f aca="false">IF($AH42=1,INDEX(報告入力!$CE$7:$CE$696,$B42),"")</f>
        <v/>
      </c>
      <c r="AA42" s="42" t="str">
        <f aca="false">IF($AG42=1,INDEX(報告入力!$BX$7:$BX$696,$B42),"")</f>
        <v/>
      </c>
      <c r="AB42" s="42" t="str">
        <f aca="false">IF($AH42=1,INDEX(報告入力!$BP$7:$BP$696,$B42),"")</f>
        <v/>
      </c>
      <c r="AC42" s="43" t="str">
        <f aca="false">IF($AH42=1,INDEX(報告入力!$CF$7:$CF$696,$B42),"")</f>
        <v/>
      </c>
      <c r="AD42" s="42" t="str">
        <f aca="false">IF($AG42=1,INDEX(報告入力!$BY$7:$BY$696,$B42),"")</f>
        <v/>
      </c>
      <c r="AE42" s="42" t="str">
        <f aca="false">IF($AH42=1,INDEX(報告入力!$BQ$7:$BQ$696,$B42),"")</f>
        <v/>
      </c>
      <c r="AF42" s="43" t="str">
        <f aca="false">IF($AH42=1,INDEX(報告入力!$CG$7:$CG$696,$B42),"")</f>
        <v/>
      </c>
      <c r="AG42" s="33" t="n">
        <f aca="false">IF($B42="",0,IF(OR(C42="未受領",C42="報告なし"),0,1))</f>
        <v>0</v>
      </c>
      <c r="AH42" s="33" t="n">
        <f aca="false">IF(OR(D42="問題なし",D42="要確認"),1,0)</f>
        <v>0</v>
      </c>
      <c r="AI42" s="33" t="n">
        <f aca="false">IF(C42="未受領",MAX(AI$6:AI41)+1,"")</f>
        <v>30</v>
      </c>
      <c r="AJ42" s="33" t="str">
        <f aca="false">IF(D42="要確認",MAX(AJ$6:AJ41)+1,"")</f>
        <v/>
      </c>
      <c r="AK42" s="32" t="str">
        <f aca="false">IF(D42="要確認",INDEX(報告入力!$CH$7:$CH$696,$B42),"")</f>
        <v/>
      </c>
    </row>
    <row r="43" customFormat="false" ht="15" hidden="false" customHeight="false" outlineLevel="0" collapsed="false">
      <c r="A43" s="41" t="str">
        <f aca="false">設定!B97</f>
        <v>職員共済組合</v>
      </c>
      <c r="B43" s="33" t="n">
        <f aca="false">IFERROR(MATCH(ホーム!$C$4&amp;"|"&amp;A43,報告入力!$CM$7:$CM$696,0),"")</f>
        <v>359</v>
      </c>
      <c r="C43" s="10" t="str">
        <f aca="false">IF($B43="","",INDEX(報告入力!$C$7:$C$696,$B43))</f>
        <v>未受領</v>
      </c>
      <c r="D43" s="10" t="str">
        <f aca="false">IF($B43="","",INDEX(報告入力!$D$7:$D$696,$B43))</f>
        <v>―</v>
      </c>
      <c r="E43" s="24" t="str">
        <f aca="false">IF($B43="","",INDEX(報告入力!$E$7:$E$696,$B43))</f>
        <v>―</v>
      </c>
      <c r="F43" s="42" t="n">
        <f aca="false">IF($B43="","",INDEX(報告入力!$I$7:$I$696,$B43))</f>
        <v>0</v>
      </c>
      <c r="G43" s="42" t="n">
        <f aca="false">IF($B43="","",INDEX(報告入力!$J$7:$J$696,$B43))</f>
        <v>0</v>
      </c>
      <c r="H43" s="42" t="n">
        <f aca="false">IF($B43="","",INDEX(報告入力!$K$7:$K$696,$B43))</f>
        <v>0</v>
      </c>
      <c r="I43" s="42" t="str">
        <f aca="false">IF($AG43=1,INDEX(報告入力!$BR$7:$BR$696,$B43),"")</f>
        <v/>
      </c>
      <c r="J43" s="42" t="str">
        <f aca="false">IF($AH43=1,INDEX(報告入力!$BJ$7:$BJ$696,$B43),"")</f>
        <v/>
      </c>
      <c r="K43" s="43" t="str">
        <f aca="false">IF($AH43=1,INDEX(報告入力!$BZ$7:$BZ$696,$B43),"")</f>
        <v/>
      </c>
      <c r="L43" s="42" t="str">
        <f aca="false">IF($AG43=1,INDEX(報告入力!$BS$7:$BS$696,$B43),"")</f>
        <v/>
      </c>
      <c r="M43" s="42" t="str">
        <f aca="false">IF($AH43=1,INDEX(報告入力!$BK$7:$BK$696,$B43),"")</f>
        <v/>
      </c>
      <c r="N43" s="43" t="str">
        <f aca="false">IF($AH43=1,INDEX(報告入力!$CA$7:$CA$696,$B43),"")</f>
        <v/>
      </c>
      <c r="O43" s="42" t="str">
        <f aca="false">IF($AG43=1,INDEX(報告入力!$BT$7:$BT$696,$B43),"")</f>
        <v/>
      </c>
      <c r="P43" s="42" t="str">
        <f aca="false">IF($AH43=1,INDEX(報告入力!$BL$7:$BL$696,$B43),"")</f>
        <v/>
      </c>
      <c r="Q43" s="43" t="str">
        <f aca="false">IF($AH43=1,INDEX(報告入力!$CB$7:$CB$696,$B43),"")</f>
        <v/>
      </c>
      <c r="R43" s="42" t="str">
        <f aca="false">IF($AG43=1,INDEX(報告入力!$BU$7:$BU$696,$B43),"")</f>
        <v/>
      </c>
      <c r="S43" s="42" t="str">
        <f aca="false">IF($AH43=1,INDEX(報告入力!$BM$7:$BM$696,$B43),"")</f>
        <v/>
      </c>
      <c r="T43" s="43" t="str">
        <f aca="false">IF($AH43=1,INDEX(報告入力!$CC$7:$CC$696,$B43),"")</f>
        <v/>
      </c>
      <c r="U43" s="42" t="str">
        <f aca="false">IF($AG43=1,INDEX(報告入力!$BV$7:$BV$696,$B43),"")</f>
        <v/>
      </c>
      <c r="V43" s="42" t="str">
        <f aca="false">IF($AH43=1,INDEX(報告入力!$BN$7:$BN$696,$B43),"")</f>
        <v/>
      </c>
      <c r="W43" s="43" t="str">
        <f aca="false">IF($AH43=1,INDEX(報告入力!$CD$7:$CD$696,$B43),"")</f>
        <v/>
      </c>
      <c r="X43" s="42" t="str">
        <f aca="false">IF($AG43=1,INDEX(報告入力!$BW$7:$BW$696,$B43),"")</f>
        <v/>
      </c>
      <c r="Y43" s="42" t="str">
        <f aca="false">IF($AH43=1,INDEX(報告入力!$BO$7:$BO$696,$B43),"")</f>
        <v/>
      </c>
      <c r="Z43" s="43" t="str">
        <f aca="false">IF($AH43=1,INDEX(報告入力!$CE$7:$CE$696,$B43),"")</f>
        <v/>
      </c>
      <c r="AA43" s="42" t="str">
        <f aca="false">IF($AG43=1,INDEX(報告入力!$BX$7:$BX$696,$B43),"")</f>
        <v/>
      </c>
      <c r="AB43" s="42" t="str">
        <f aca="false">IF($AH43=1,INDEX(報告入力!$BP$7:$BP$696,$B43),"")</f>
        <v/>
      </c>
      <c r="AC43" s="43" t="str">
        <f aca="false">IF($AH43=1,INDEX(報告入力!$CF$7:$CF$696,$B43),"")</f>
        <v/>
      </c>
      <c r="AD43" s="42" t="str">
        <f aca="false">IF($AG43=1,INDEX(報告入力!$BY$7:$BY$696,$B43),"")</f>
        <v/>
      </c>
      <c r="AE43" s="42" t="str">
        <f aca="false">IF($AH43=1,INDEX(報告入力!$BQ$7:$BQ$696,$B43),"")</f>
        <v/>
      </c>
      <c r="AF43" s="43" t="str">
        <f aca="false">IF($AH43=1,INDEX(報告入力!$CG$7:$CG$696,$B43),"")</f>
        <v/>
      </c>
      <c r="AG43" s="33" t="n">
        <f aca="false">IF($B43="",0,IF(OR(C43="未受領",C43="報告なし"),0,1))</f>
        <v>0</v>
      </c>
      <c r="AH43" s="33" t="n">
        <f aca="false">IF(OR(D43="問題なし",D43="要確認"),1,0)</f>
        <v>0</v>
      </c>
      <c r="AI43" s="33" t="n">
        <f aca="false">IF(C43="未受領",MAX(AI$6:AI42)+1,"")</f>
        <v>31</v>
      </c>
      <c r="AJ43" s="33" t="str">
        <f aca="false">IF(D43="要確認",MAX(AJ$6:AJ42)+1,"")</f>
        <v/>
      </c>
      <c r="AK43" s="32" t="str">
        <f aca="false">IF(D43="要確認",INDEX(報告入力!$CH$7:$CH$696,$B43),"")</f>
        <v/>
      </c>
    </row>
    <row r="44" customFormat="false" ht="26.85" hidden="false" customHeight="false" outlineLevel="0" collapsed="false">
      <c r="A44" s="41" t="str">
        <f aca="false">設定!B98</f>
        <v>地方公共団体
情報システム機構</v>
      </c>
      <c r="B44" s="33" t="n">
        <f aca="false">IFERROR(MATCH(ホーム!$C$4&amp;"|"&amp;A44,報告入力!$CM$7:$CM$696,0),"")</f>
        <v>360</v>
      </c>
      <c r="C44" s="10" t="str">
        <f aca="false">IF($B44="","",INDEX(報告入力!$C$7:$C$696,$B44))</f>
        <v>報告なし</v>
      </c>
      <c r="D44" s="10" t="str">
        <f aca="false">IF($B44="","",INDEX(報告入力!$D$7:$D$696,$B44))</f>
        <v>―</v>
      </c>
      <c r="E44" s="24" t="str">
        <f aca="false">IF($B44="","",INDEX(報告入力!$E$7:$E$696,$B44))</f>
        <v>―</v>
      </c>
      <c r="F44" s="42" t="n">
        <f aca="false">IF($B44="","",INDEX(報告入力!$I$7:$I$696,$B44))</f>
        <v>0</v>
      </c>
      <c r="G44" s="42" t="n">
        <f aca="false">IF($B44="","",INDEX(報告入力!$J$7:$J$696,$B44))</f>
        <v>0</v>
      </c>
      <c r="H44" s="42" t="n">
        <f aca="false">IF($B44="","",INDEX(報告入力!$K$7:$K$696,$B44))</f>
        <v>0</v>
      </c>
      <c r="I44" s="42" t="str">
        <f aca="false">IF($AG44=1,INDEX(報告入力!$BR$7:$BR$696,$B44),"")</f>
        <v/>
      </c>
      <c r="J44" s="42" t="str">
        <f aca="false">IF($AH44=1,INDEX(報告入力!$BJ$7:$BJ$696,$B44),"")</f>
        <v/>
      </c>
      <c r="K44" s="43" t="str">
        <f aca="false">IF($AH44=1,INDEX(報告入力!$BZ$7:$BZ$696,$B44),"")</f>
        <v/>
      </c>
      <c r="L44" s="42" t="str">
        <f aca="false">IF($AG44=1,INDEX(報告入力!$BS$7:$BS$696,$B44),"")</f>
        <v/>
      </c>
      <c r="M44" s="42" t="str">
        <f aca="false">IF($AH44=1,INDEX(報告入力!$BK$7:$BK$696,$B44),"")</f>
        <v/>
      </c>
      <c r="N44" s="43" t="str">
        <f aca="false">IF($AH44=1,INDEX(報告入力!$CA$7:$CA$696,$B44),"")</f>
        <v/>
      </c>
      <c r="O44" s="42" t="str">
        <f aca="false">IF($AG44=1,INDEX(報告入力!$BT$7:$BT$696,$B44),"")</f>
        <v/>
      </c>
      <c r="P44" s="42" t="str">
        <f aca="false">IF($AH44=1,INDEX(報告入力!$BL$7:$BL$696,$B44),"")</f>
        <v/>
      </c>
      <c r="Q44" s="43" t="str">
        <f aca="false">IF($AH44=1,INDEX(報告入力!$CB$7:$CB$696,$B44),"")</f>
        <v/>
      </c>
      <c r="R44" s="42" t="str">
        <f aca="false">IF($AG44=1,INDEX(報告入力!$BU$7:$BU$696,$B44),"")</f>
        <v/>
      </c>
      <c r="S44" s="42" t="str">
        <f aca="false">IF($AH44=1,INDEX(報告入力!$BM$7:$BM$696,$B44),"")</f>
        <v/>
      </c>
      <c r="T44" s="43" t="str">
        <f aca="false">IF($AH44=1,INDEX(報告入力!$CC$7:$CC$696,$B44),"")</f>
        <v/>
      </c>
      <c r="U44" s="42" t="str">
        <f aca="false">IF($AG44=1,INDEX(報告入力!$BV$7:$BV$696,$B44),"")</f>
        <v/>
      </c>
      <c r="V44" s="42" t="str">
        <f aca="false">IF($AH44=1,INDEX(報告入力!$BN$7:$BN$696,$B44),"")</f>
        <v/>
      </c>
      <c r="W44" s="43" t="str">
        <f aca="false">IF($AH44=1,INDEX(報告入力!$CD$7:$CD$696,$B44),"")</f>
        <v/>
      </c>
      <c r="X44" s="42" t="str">
        <f aca="false">IF($AG44=1,INDEX(報告入力!$BW$7:$BW$696,$B44),"")</f>
        <v/>
      </c>
      <c r="Y44" s="42" t="str">
        <f aca="false">IF($AH44=1,INDEX(報告入力!$BO$7:$BO$696,$B44),"")</f>
        <v/>
      </c>
      <c r="Z44" s="43" t="str">
        <f aca="false">IF($AH44=1,INDEX(報告入力!$CE$7:$CE$696,$B44),"")</f>
        <v/>
      </c>
      <c r="AA44" s="42" t="str">
        <f aca="false">IF($AG44=1,INDEX(報告入力!$BX$7:$BX$696,$B44),"")</f>
        <v/>
      </c>
      <c r="AB44" s="42" t="str">
        <f aca="false">IF($AH44=1,INDEX(報告入力!$BP$7:$BP$696,$B44),"")</f>
        <v/>
      </c>
      <c r="AC44" s="43" t="str">
        <f aca="false">IF($AH44=1,INDEX(報告入力!$CF$7:$CF$696,$B44),"")</f>
        <v/>
      </c>
      <c r="AD44" s="42" t="str">
        <f aca="false">IF($AG44=1,INDEX(報告入力!$BY$7:$BY$696,$B44),"")</f>
        <v/>
      </c>
      <c r="AE44" s="42" t="str">
        <f aca="false">IF($AH44=1,INDEX(報告入力!$BQ$7:$BQ$696,$B44),"")</f>
        <v/>
      </c>
      <c r="AF44" s="43" t="str">
        <f aca="false">IF($AH44=1,INDEX(報告入力!$CG$7:$CG$696,$B44),"")</f>
        <v/>
      </c>
      <c r="AG44" s="33" t="n">
        <f aca="false">IF($B44="",0,IF(OR(C44="未受領",C44="報告なし"),0,1))</f>
        <v>0</v>
      </c>
      <c r="AH44" s="33" t="n">
        <f aca="false">IF(OR(D44="問題なし",D44="要確認"),1,0)</f>
        <v>0</v>
      </c>
      <c r="AI44" s="33" t="str">
        <f aca="false">IF(C44="未受領",MAX(AI$6:AI43)+1,"")</f>
        <v/>
      </c>
      <c r="AJ44" s="33" t="str">
        <f aca="false">IF(D44="要確認",MAX(AJ$6:AJ43)+1,"")</f>
        <v/>
      </c>
      <c r="AK44" s="32" t="str">
        <f aca="false">IF(D44="要確認",INDEX(報告入力!$CH$7:$CH$696,$B44),"")</f>
        <v/>
      </c>
    </row>
    <row r="45" customFormat="false" ht="15" hidden="false" customHeight="false" outlineLevel="0" collapsed="false">
      <c r="A45" s="41" t="str">
        <f aca="false">設定!B99</f>
        <v>全国市長会</v>
      </c>
      <c r="B45" s="33" t="n">
        <f aca="false">IFERROR(MATCH(ホーム!$C$4&amp;"|"&amp;A45,報告入力!$CM$7:$CM$696,0),"")</f>
        <v>361</v>
      </c>
      <c r="C45" s="10" t="str">
        <f aca="false">IF($B45="","",INDEX(報告入力!$C$7:$C$696,$B45))</f>
        <v>受領済</v>
      </c>
      <c r="D45" s="10" t="str">
        <f aca="false">IF($B45="","",INDEX(報告入力!$D$7:$D$696,$B45))</f>
        <v>標報未入力</v>
      </c>
      <c r="E45" s="24" t="str">
        <f aca="false">IF($B45="","",INDEX(報告入力!$E$7:$E$696,$B45))</f>
        <v>前月同額</v>
      </c>
      <c r="F45" s="42" t="n">
        <f aca="false">IF($B45="","",INDEX(報告入力!$I$7:$I$696,$B45))</f>
        <v>0</v>
      </c>
      <c r="G45" s="42" t="n">
        <f aca="false">IF($B45="","",INDEX(報告入力!$J$7:$J$696,$B45))</f>
        <v>0</v>
      </c>
      <c r="H45" s="42" t="n">
        <f aca="false">IF($B45="","",INDEX(報告入力!$K$7:$K$696,$B45))</f>
        <v>0</v>
      </c>
      <c r="I45" s="42" t="n">
        <f aca="false">IF($AG45=1,INDEX(報告入力!$BR$7:$BR$696,$B45),"")</f>
        <v>128700</v>
      </c>
      <c r="J45" s="42" t="str">
        <f aca="false">IF($AH45=1,INDEX(報告入力!$BJ$7:$BJ$696,$B45),"")</f>
        <v/>
      </c>
      <c r="K45" s="43" t="str">
        <f aca="false">IF($AH45=1,INDEX(報告入力!$BZ$7:$BZ$696,$B45),"")</f>
        <v/>
      </c>
      <c r="L45" s="42" t="n">
        <f aca="false">IF($AG45=1,INDEX(報告入力!$BS$7:$BS$696,$B45),"")</f>
        <v>128812</v>
      </c>
      <c r="M45" s="42" t="str">
        <f aca="false">IF($AH45=1,INDEX(報告入力!$BK$7:$BK$696,$B45),"")</f>
        <v/>
      </c>
      <c r="N45" s="43" t="str">
        <f aca="false">IF($AH45=1,INDEX(報告入力!$CA$7:$CA$696,$B45),"")</f>
        <v/>
      </c>
      <c r="O45" s="42" t="n">
        <f aca="false">IF($AG45=1,INDEX(報告入力!$BT$7:$BT$696,$B45),"")</f>
        <v>86605</v>
      </c>
      <c r="P45" s="42" t="str">
        <f aca="false">IF($AH45=1,INDEX(報告入力!$BL$7:$BL$696,$B45),"")</f>
        <v/>
      </c>
      <c r="Q45" s="43" t="str">
        <f aca="false">IF($AH45=1,INDEX(報告入力!$CB$7:$CB$696,$B45),"")</f>
        <v/>
      </c>
      <c r="R45" s="42" t="n">
        <f aca="false">IF($AG45=1,INDEX(報告入力!$BU$7:$BU$696,$B45),"")</f>
        <v>86689</v>
      </c>
      <c r="S45" s="42" t="str">
        <f aca="false">IF($AH45=1,INDEX(報告入力!$BM$7:$BM$696,$B45),"")</f>
        <v/>
      </c>
      <c r="T45" s="43" t="str">
        <f aca="false">IF($AH45=1,INDEX(報告入力!$CC$7:$CC$696,$B45),"")</f>
        <v/>
      </c>
      <c r="U45" s="42" t="n">
        <f aca="false">IF($AG45=1,INDEX(報告入力!$BV$7:$BV$696,$B45),"")</f>
        <v>13193</v>
      </c>
      <c r="V45" s="42" t="str">
        <f aca="false">IF($AH45=1,INDEX(報告入力!$BN$7:$BN$696,$B45),"")</f>
        <v/>
      </c>
      <c r="W45" s="43" t="str">
        <f aca="false">IF($AH45=1,INDEX(報告入力!$CD$7:$CD$696,$B45),"")</f>
        <v/>
      </c>
      <c r="X45" s="42" t="n">
        <f aca="false">IF($AG45=1,INDEX(報告入力!$BW$7:$BW$696,$B45),"")</f>
        <v>13193</v>
      </c>
      <c r="Y45" s="42" t="str">
        <f aca="false">IF($AH45=1,INDEX(報告入力!$BO$7:$BO$696,$B45),"")</f>
        <v/>
      </c>
      <c r="Z45" s="43" t="str">
        <f aca="false">IF($AH45=1,INDEX(報告入力!$CE$7:$CE$696,$B45),"")</f>
        <v/>
      </c>
      <c r="AA45" s="42" t="n">
        <f aca="false">IF($AG45=1,INDEX(報告入力!$BX$7:$BX$696,$B45),"")</f>
        <v>1920</v>
      </c>
      <c r="AB45" s="42" t="str">
        <f aca="false">IF($AH45=1,INDEX(報告入力!$BP$7:$BP$696,$B45),"")</f>
        <v/>
      </c>
      <c r="AC45" s="43" t="str">
        <f aca="false">IF($AH45=1,INDEX(報告入力!$CF$7:$CF$696,$B45),"")</f>
        <v/>
      </c>
      <c r="AD45" s="42" t="n">
        <f aca="false">IF($AG45=1,INDEX(報告入力!$BY$7:$BY$696,$B45),"")</f>
        <v>1920</v>
      </c>
      <c r="AE45" s="42" t="str">
        <f aca="false">IF($AH45=1,INDEX(報告入力!$BQ$7:$BQ$696,$B45),"")</f>
        <v/>
      </c>
      <c r="AF45" s="43" t="str">
        <f aca="false">IF($AH45=1,INDEX(報告入力!$CG$7:$CG$696,$B45),"")</f>
        <v/>
      </c>
      <c r="AG45" s="33" t="n">
        <f aca="false">IF($B45="",0,IF(OR(C45="未受領",C45="報告なし"),0,1))</f>
        <v>1</v>
      </c>
      <c r="AH45" s="33" t="n">
        <f aca="false">IF(OR(D45="問題なし",D45="要確認"),1,0)</f>
        <v>0</v>
      </c>
      <c r="AI45" s="33" t="str">
        <f aca="false">IF(C45="未受領",MAX(AI$6:AI44)+1,"")</f>
        <v/>
      </c>
      <c r="AJ45" s="33" t="str">
        <f aca="false">IF(D45="要確認",MAX(AJ$6:AJ44)+1,"")</f>
        <v/>
      </c>
      <c r="AK45" s="32" t="str">
        <f aca="false">IF(D45="要確認",INDEX(報告入力!$CH$7:$CH$696,$B45),"")</f>
        <v/>
      </c>
    </row>
    <row r="46" customFormat="false" ht="15" hidden="false" customHeight="false" outlineLevel="0" collapsed="false">
      <c r="A46" s="41" t="str">
        <f aca="false">設定!B100</f>
        <v>高速交通（株）</v>
      </c>
      <c r="B46" s="33" t="n">
        <f aca="false">IFERROR(MATCH(ホーム!$C$4&amp;"|"&amp;A46,報告入力!$CM$7:$CM$696,0),"")</f>
        <v>362</v>
      </c>
      <c r="C46" s="10" t="str">
        <f aca="false">IF($B46="","",INDEX(報告入力!$C$7:$C$696,$B46))</f>
        <v>未受領</v>
      </c>
      <c r="D46" s="10" t="str">
        <f aca="false">IF($B46="","",INDEX(報告入力!$D$7:$D$696,$B46))</f>
        <v>―</v>
      </c>
      <c r="E46" s="24" t="str">
        <f aca="false">IF($B46="","",INDEX(報告入力!$E$7:$E$696,$B46))</f>
        <v>―</v>
      </c>
      <c r="F46" s="42" t="n">
        <f aca="false">IF($B46="","",INDEX(報告入力!$I$7:$I$696,$B46))</f>
        <v>0</v>
      </c>
      <c r="G46" s="42" t="n">
        <f aca="false">IF($B46="","",INDEX(報告入力!$J$7:$J$696,$B46))</f>
        <v>0</v>
      </c>
      <c r="H46" s="42" t="n">
        <f aca="false">IF($B46="","",INDEX(報告入力!$K$7:$K$696,$B46))</f>
        <v>0</v>
      </c>
      <c r="I46" s="42" t="str">
        <f aca="false">IF($AG46=1,INDEX(報告入力!$BR$7:$BR$696,$B46),"")</f>
        <v/>
      </c>
      <c r="J46" s="42" t="str">
        <f aca="false">IF($AH46=1,INDEX(報告入力!$BJ$7:$BJ$696,$B46),"")</f>
        <v/>
      </c>
      <c r="K46" s="43" t="str">
        <f aca="false">IF($AH46=1,INDEX(報告入力!$BZ$7:$BZ$696,$B46),"")</f>
        <v/>
      </c>
      <c r="L46" s="42" t="str">
        <f aca="false">IF($AG46=1,INDEX(報告入力!$BS$7:$BS$696,$B46),"")</f>
        <v/>
      </c>
      <c r="M46" s="42" t="str">
        <f aca="false">IF($AH46=1,INDEX(報告入力!$BK$7:$BK$696,$B46),"")</f>
        <v/>
      </c>
      <c r="N46" s="43" t="str">
        <f aca="false">IF($AH46=1,INDEX(報告入力!$CA$7:$CA$696,$B46),"")</f>
        <v/>
      </c>
      <c r="O46" s="42" t="str">
        <f aca="false">IF($AG46=1,INDEX(報告入力!$BT$7:$BT$696,$B46),"")</f>
        <v/>
      </c>
      <c r="P46" s="42" t="str">
        <f aca="false">IF($AH46=1,INDEX(報告入力!$BL$7:$BL$696,$B46),"")</f>
        <v/>
      </c>
      <c r="Q46" s="43" t="str">
        <f aca="false">IF($AH46=1,INDEX(報告入力!$CB$7:$CB$696,$B46),"")</f>
        <v/>
      </c>
      <c r="R46" s="42" t="str">
        <f aca="false">IF($AG46=1,INDEX(報告入力!$BU$7:$BU$696,$B46),"")</f>
        <v/>
      </c>
      <c r="S46" s="42" t="str">
        <f aca="false">IF($AH46=1,INDEX(報告入力!$BM$7:$BM$696,$B46),"")</f>
        <v/>
      </c>
      <c r="T46" s="43" t="str">
        <f aca="false">IF($AH46=1,INDEX(報告入力!$CC$7:$CC$696,$B46),"")</f>
        <v/>
      </c>
      <c r="U46" s="42" t="str">
        <f aca="false">IF($AG46=1,INDEX(報告入力!$BV$7:$BV$696,$B46),"")</f>
        <v/>
      </c>
      <c r="V46" s="42" t="str">
        <f aca="false">IF($AH46=1,INDEX(報告入力!$BN$7:$BN$696,$B46),"")</f>
        <v/>
      </c>
      <c r="W46" s="43" t="str">
        <f aca="false">IF($AH46=1,INDEX(報告入力!$CD$7:$CD$696,$B46),"")</f>
        <v/>
      </c>
      <c r="X46" s="42" t="str">
        <f aca="false">IF($AG46=1,INDEX(報告入力!$BW$7:$BW$696,$B46),"")</f>
        <v/>
      </c>
      <c r="Y46" s="42" t="str">
        <f aca="false">IF($AH46=1,INDEX(報告入力!$BO$7:$BO$696,$B46),"")</f>
        <v/>
      </c>
      <c r="Z46" s="43" t="str">
        <f aca="false">IF($AH46=1,INDEX(報告入力!$CE$7:$CE$696,$B46),"")</f>
        <v/>
      </c>
      <c r="AA46" s="42" t="str">
        <f aca="false">IF($AG46=1,INDEX(報告入力!$BX$7:$BX$696,$B46),"")</f>
        <v/>
      </c>
      <c r="AB46" s="42" t="str">
        <f aca="false">IF($AH46=1,INDEX(報告入力!$BP$7:$BP$696,$B46),"")</f>
        <v/>
      </c>
      <c r="AC46" s="43" t="str">
        <f aca="false">IF($AH46=1,INDEX(報告入力!$CF$7:$CF$696,$B46),"")</f>
        <v/>
      </c>
      <c r="AD46" s="42" t="str">
        <f aca="false">IF($AG46=1,INDEX(報告入力!$BY$7:$BY$696,$B46),"")</f>
        <v/>
      </c>
      <c r="AE46" s="42" t="str">
        <f aca="false">IF($AH46=1,INDEX(報告入力!$BQ$7:$BQ$696,$B46),"")</f>
        <v/>
      </c>
      <c r="AF46" s="43" t="str">
        <f aca="false">IF($AH46=1,INDEX(報告入力!$CG$7:$CG$696,$B46),"")</f>
        <v/>
      </c>
      <c r="AG46" s="33" t="n">
        <f aca="false">IF($B46="",0,IF(OR(C46="未受領",C46="報告なし"),0,1))</f>
        <v>0</v>
      </c>
      <c r="AH46" s="33" t="n">
        <f aca="false">IF(OR(D46="問題なし",D46="要確認"),1,0)</f>
        <v>0</v>
      </c>
      <c r="AI46" s="33" t="n">
        <f aca="false">IF(C46="未受領",MAX(AI$6:AI45)+1,"")</f>
        <v>32</v>
      </c>
      <c r="AJ46" s="33" t="str">
        <f aca="false">IF(D46="要確認",MAX(AJ$6:AJ45)+1,"")</f>
        <v/>
      </c>
      <c r="AK46" s="32" t="str">
        <f aca="false">IF(D46="要確認",INDEX(報告入力!$CH$7:$CH$696,$B46),"")</f>
        <v/>
      </c>
    </row>
    <row r="47" customFormat="false" ht="15" hidden="false" customHeight="false" outlineLevel="0" collapsed="false">
      <c r="A47" s="41" t="str">
        <f aca="false">設定!B101</f>
        <v>広島駅南口開発（株）</v>
      </c>
      <c r="B47" s="33" t="n">
        <f aca="false">IFERROR(MATCH(ホーム!$C$4&amp;"|"&amp;A47,報告入力!$CM$7:$CM$696,0),"")</f>
        <v>363</v>
      </c>
      <c r="C47" s="10" t="str">
        <f aca="false">IF($B47="","",INDEX(報告入力!$C$7:$C$696,$B47))</f>
        <v>受領済</v>
      </c>
      <c r="D47" s="10" t="str">
        <f aca="false">IF($B47="","",INDEX(報告入力!$D$7:$D$696,$B47))</f>
        <v>標報未入力</v>
      </c>
      <c r="E47" s="24" t="str">
        <f aca="false">IF($B47="","",INDEX(報告入力!$E$7:$E$696,$B47))</f>
        <v>前月同額</v>
      </c>
      <c r="F47" s="42" t="n">
        <f aca="false">IF($B47="","",INDEX(報告入力!$I$7:$I$696,$B47))</f>
        <v>0</v>
      </c>
      <c r="G47" s="42" t="n">
        <f aca="false">IF($B47="","",INDEX(報告入力!$J$7:$J$696,$B47))</f>
        <v>0</v>
      </c>
      <c r="H47" s="42" t="n">
        <f aca="false">IF($B47="","",INDEX(報告入力!$K$7:$K$696,$B47))</f>
        <v>0</v>
      </c>
      <c r="I47" s="42" t="n">
        <f aca="false">IF($AG47=1,INDEX(報告入力!$BR$7:$BR$696,$B47),"")</f>
        <v>58410</v>
      </c>
      <c r="J47" s="42" t="str">
        <f aca="false">IF($AH47=1,INDEX(報告入力!$BJ$7:$BJ$696,$B47),"")</f>
        <v/>
      </c>
      <c r="K47" s="43" t="str">
        <f aca="false">IF($AH47=1,INDEX(報告入力!$BZ$7:$BZ$696,$B47),"")</f>
        <v/>
      </c>
      <c r="L47" s="42" t="n">
        <f aca="false">IF($AG47=1,INDEX(報告入力!$BS$7:$BS$696,$B47),"")</f>
        <v>58461</v>
      </c>
      <c r="M47" s="42" t="str">
        <f aca="false">IF($AH47=1,INDEX(報告入力!$BK$7:$BK$696,$B47),"")</f>
        <v/>
      </c>
      <c r="N47" s="43" t="str">
        <f aca="false">IF($AH47=1,INDEX(報告入力!$CA$7:$CA$696,$B47),"")</f>
        <v/>
      </c>
      <c r="O47" s="42" t="n">
        <f aca="false">IF($AG47=1,INDEX(報告入力!$BT$7:$BT$696,$B47),"")</f>
        <v>0</v>
      </c>
      <c r="P47" s="42" t="str">
        <f aca="false">IF($AH47=1,INDEX(報告入力!$BL$7:$BL$696,$B47),"")</f>
        <v/>
      </c>
      <c r="Q47" s="43" t="str">
        <f aca="false">IF($AH47=1,INDEX(報告入力!$CB$7:$CB$696,$B47),"")</f>
        <v/>
      </c>
      <c r="R47" s="42" t="n">
        <f aca="false">IF($AG47=1,INDEX(報告入力!$BU$7:$BU$696,$B47),"")</f>
        <v>0</v>
      </c>
      <c r="S47" s="42" t="str">
        <f aca="false">IF($AH47=1,INDEX(報告入力!$BM$7:$BM$696,$B47),"")</f>
        <v/>
      </c>
      <c r="T47" s="43" t="str">
        <f aca="false">IF($AH47=1,INDEX(報告入力!$CC$7:$CC$696,$B47),"")</f>
        <v/>
      </c>
      <c r="U47" s="42" t="n">
        <f aca="false">IF($AG47=1,INDEX(報告入力!$BV$7:$BV$696,$B47),"")</f>
        <v>0</v>
      </c>
      <c r="V47" s="42" t="str">
        <f aca="false">IF($AH47=1,INDEX(報告入力!$BN$7:$BN$696,$B47),"")</f>
        <v/>
      </c>
      <c r="W47" s="43" t="str">
        <f aca="false">IF($AH47=1,INDEX(報告入力!$CD$7:$CD$696,$B47),"")</f>
        <v/>
      </c>
      <c r="X47" s="42" t="n">
        <f aca="false">IF($AG47=1,INDEX(報告入力!$BW$7:$BW$696,$B47),"")</f>
        <v>0</v>
      </c>
      <c r="Y47" s="42" t="str">
        <f aca="false">IF($AH47=1,INDEX(報告入力!$BO$7:$BO$696,$B47),"")</f>
        <v/>
      </c>
      <c r="Z47" s="43" t="str">
        <f aca="false">IF($AH47=1,INDEX(報告入力!$CE$7:$CE$696,$B47),"")</f>
        <v/>
      </c>
      <c r="AA47" s="42" t="n">
        <f aca="false">IF($AG47=1,INDEX(報告入力!$BX$7:$BX$696,$B47),"")</f>
        <v>0</v>
      </c>
      <c r="AB47" s="42" t="str">
        <f aca="false">IF($AH47=1,INDEX(報告入力!$BP$7:$BP$696,$B47),"")</f>
        <v/>
      </c>
      <c r="AC47" s="43" t="str">
        <f aca="false">IF($AH47=1,INDEX(報告入力!$CF$7:$CF$696,$B47),"")</f>
        <v/>
      </c>
      <c r="AD47" s="42" t="n">
        <f aca="false">IF($AG47=1,INDEX(報告入力!$BY$7:$BY$696,$B47),"")</f>
        <v>0</v>
      </c>
      <c r="AE47" s="42" t="str">
        <f aca="false">IF($AH47=1,INDEX(報告入力!$BQ$7:$BQ$696,$B47),"")</f>
        <v/>
      </c>
      <c r="AF47" s="43" t="str">
        <f aca="false">IF($AH47=1,INDEX(報告入力!$CG$7:$CG$696,$B47),"")</f>
        <v/>
      </c>
      <c r="AG47" s="33" t="n">
        <f aca="false">IF($B47="",0,IF(OR(C47="未受領",C47="報告なし"),0,1))</f>
        <v>1</v>
      </c>
      <c r="AH47" s="33" t="n">
        <f aca="false">IF(OR(D47="問題なし",D47="要確認"),1,0)</f>
        <v>0</v>
      </c>
      <c r="AI47" s="33" t="str">
        <f aca="false">IF(C47="未受領",MAX(AI$6:AI46)+1,"")</f>
        <v/>
      </c>
      <c r="AJ47" s="33" t="str">
        <f aca="false">IF(D47="要確認",MAX(AJ$6:AJ46)+1,"")</f>
        <v/>
      </c>
      <c r="AK47" s="32" t="str">
        <f aca="false">IF(D47="要確認",INDEX(報告入力!$CH$7:$CH$696,$B47),"")</f>
        <v/>
      </c>
    </row>
    <row r="48" customFormat="false" ht="15" hidden="false" customHeight="false" outlineLevel="0" collapsed="false">
      <c r="A48" s="41" t="str">
        <f aca="false">設定!B102</f>
        <v>市職員労働組合</v>
      </c>
      <c r="B48" s="33" t="n">
        <f aca="false">IFERROR(MATCH(ホーム!$C$4&amp;"|"&amp;A48,報告入力!$CM$7:$CM$696,0),"")</f>
        <v>364</v>
      </c>
      <c r="C48" s="10" t="str">
        <f aca="false">IF($B48="","",INDEX(報告入力!$C$7:$C$696,$B48))</f>
        <v>未受領</v>
      </c>
      <c r="D48" s="10" t="str">
        <f aca="false">IF($B48="","",INDEX(報告入力!$D$7:$D$696,$B48))</f>
        <v>―</v>
      </c>
      <c r="E48" s="24" t="str">
        <f aca="false">IF($B48="","",INDEX(報告入力!$E$7:$E$696,$B48))</f>
        <v>―</v>
      </c>
      <c r="F48" s="42" t="n">
        <f aca="false">IF($B48="","",INDEX(報告入力!$I$7:$I$696,$B48))</f>
        <v>0</v>
      </c>
      <c r="G48" s="42" t="n">
        <f aca="false">IF($B48="","",INDEX(報告入力!$J$7:$J$696,$B48))</f>
        <v>0</v>
      </c>
      <c r="H48" s="42" t="n">
        <f aca="false">IF($B48="","",INDEX(報告入力!$K$7:$K$696,$B48))</f>
        <v>0</v>
      </c>
      <c r="I48" s="42" t="str">
        <f aca="false">IF($AG48=1,INDEX(報告入力!$BR$7:$BR$696,$B48),"")</f>
        <v/>
      </c>
      <c r="J48" s="42" t="str">
        <f aca="false">IF($AH48=1,INDEX(報告入力!$BJ$7:$BJ$696,$B48),"")</f>
        <v/>
      </c>
      <c r="K48" s="43" t="str">
        <f aca="false">IF($AH48=1,INDEX(報告入力!$BZ$7:$BZ$696,$B48),"")</f>
        <v/>
      </c>
      <c r="L48" s="42" t="str">
        <f aca="false">IF($AG48=1,INDEX(報告入力!$BS$7:$BS$696,$B48),"")</f>
        <v/>
      </c>
      <c r="M48" s="42" t="str">
        <f aca="false">IF($AH48=1,INDEX(報告入力!$BK$7:$BK$696,$B48),"")</f>
        <v/>
      </c>
      <c r="N48" s="43" t="str">
        <f aca="false">IF($AH48=1,INDEX(報告入力!$CA$7:$CA$696,$B48),"")</f>
        <v/>
      </c>
      <c r="O48" s="42" t="str">
        <f aca="false">IF($AG48=1,INDEX(報告入力!$BT$7:$BT$696,$B48),"")</f>
        <v/>
      </c>
      <c r="P48" s="42" t="str">
        <f aca="false">IF($AH48=1,INDEX(報告入力!$BL$7:$BL$696,$B48),"")</f>
        <v/>
      </c>
      <c r="Q48" s="43" t="str">
        <f aca="false">IF($AH48=1,INDEX(報告入力!$CB$7:$CB$696,$B48),"")</f>
        <v/>
      </c>
      <c r="R48" s="42" t="str">
        <f aca="false">IF($AG48=1,INDEX(報告入力!$BU$7:$BU$696,$B48),"")</f>
        <v/>
      </c>
      <c r="S48" s="42" t="str">
        <f aca="false">IF($AH48=1,INDEX(報告入力!$BM$7:$BM$696,$B48),"")</f>
        <v/>
      </c>
      <c r="T48" s="43" t="str">
        <f aca="false">IF($AH48=1,INDEX(報告入力!$CC$7:$CC$696,$B48),"")</f>
        <v/>
      </c>
      <c r="U48" s="42" t="str">
        <f aca="false">IF($AG48=1,INDEX(報告入力!$BV$7:$BV$696,$B48),"")</f>
        <v/>
      </c>
      <c r="V48" s="42" t="str">
        <f aca="false">IF($AH48=1,INDEX(報告入力!$BN$7:$BN$696,$B48),"")</f>
        <v/>
      </c>
      <c r="W48" s="43" t="str">
        <f aca="false">IF($AH48=1,INDEX(報告入力!$CD$7:$CD$696,$B48),"")</f>
        <v/>
      </c>
      <c r="X48" s="42" t="str">
        <f aca="false">IF($AG48=1,INDEX(報告入力!$BW$7:$BW$696,$B48),"")</f>
        <v/>
      </c>
      <c r="Y48" s="42" t="str">
        <f aca="false">IF($AH48=1,INDEX(報告入力!$BO$7:$BO$696,$B48),"")</f>
        <v/>
      </c>
      <c r="Z48" s="43" t="str">
        <f aca="false">IF($AH48=1,INDEX(報告入力!$CE$7:$CE$696,$B48),"")</f>
        <v/>
      </c>
      <c r="AA48" s="42" t="str">
        <f aca="false">IF($AG48=1,INDEX(報告入力!$BX$7:$BX$696,$B48),"")</f>
        <v/>
      </c>
      <c r="AB48" s="42" t="str">
        <f aca="false">IF($AH48=1,INDEX(報告入力!$BP$7:$BP$696,$B48),"")</f>
        <v/>
      </c>
      <c r="AC48" s="43" t="str">
        <f aca="false">IF($AH48=1,INDEX(報告入力!$CF$7:$CF$696,$B48),"")</f>
        <v/>
      </c>
      <c r="AD48" s="42" t="str">
        <f aca="false">IF($AG48=1,INDEX(報告入力!$BY$7:$BY$696,$B48),"")</f>
        <v/>
      </c>
      <c r="AE48" s="42" t="str">
        <f aca="false">IF($AH48=1,INDEX(報告入力!$BQ$7:$BQ$696,$B48),"")</f>
        <v/>
      </c>
      <c r="AF48" s="43" t="str">
        <f aca="false">IF($AH48=1,INDEX(報告入力!$CG$7:$CG$696,$B48),"")</f>
        <v/>
      </c>
      <c r="AG48" s="33" t="n">
        <f aca="false">IF($B48="",0,IF(OR(C48="未受領",C48="報告なし"),0,1))</f>
        <v>0</v>
      </c>
      <c r="AH48" s="33" t="n">
        <f aca="false">IF(OR(D48="問題なし",D48="要確認"),1,0)</f>
        <v>0</v>
      </c>
      <c r="AI48" s="33" t="n">
        <f aca="false">IF(C48="未受領",MAX(AI$6:AI47)+1,"")</f>
        <v>33</v>
      </c>
      <c r="AJ48" s="33" t="str">
        <f aca="false">IF(D48="要確認",MAX(AJ$6:AJ47)+1,"")</f>
        <v/>
      </c>
      <c r="AK48" s="32" t="str">
        <f aca="false">IF(D48="要確認",INDEX(報告入力!$CH$7:$CH$696,$B48),"")</f>
        <v/>
      </c>
    </row>
    <row r="49" customFormat="false" ht="15" hidden="false" customHeight="false" outlineLevel="0" collapsed="false">
      <c r="A49" s="41" t="str">
        <f aca="false">設定!B103</f>
        <v>自治労労働組合</v>
      </c>
      <c r="B49" s="33" t="n">
        <f aca="false">IFERROR(MATCH(ホーム!$C$4&amp;"|"&amp;A49,報告入力!$CM$7:$CM$696,0),"")</f>
        <v>365</v>
      </c>
      <c r="C49" s="10" t="str">
        <f aca="false">IF($B49="","",INDEX(報告入力!$C$7:$C$696,$B49))</f>
        <v>未受領</v>
      </c>
      <c r="D49" s="10" t="str">
        <f aca="false">IF($B49="","",INDEX(報告入力!$D$7:$D$696,$B49))</f>
        <v>―</v>
      </c>
      <c r="E49" s="24" t="str">
        <f aca="false">IF($B49="","",INDEX(報告入力!$E$7:$E$696,$B49))</f>
        <v>―</v>
      </c>
      <c r="F49" s="42" t="n">
        <f aca="false">IF($B49="","",INDEX(報告入力!$I$7:$I$696,$B49))</f>
        <v>0</v>
      </c>
      <c r="G49" s="42" t="n">
        <f aca="false">IF($B49="","",INDEX(報告入力!$J$7:$J$696,$B49))</f>
        <v>0</v>
      </c>
      <c r="H49" s="42" t="n">
        <f aca="false">IF($B49="","",INDEX(報告入力!$K$7:$K$696,$B49))</f>
        <v>0</v>
      </c>
      <c r="I49" s="42" t="str">
        <f aca="false">IF($AG49=1,INDEX(報告入力!$BR$7:$BR$696,$B49),"")</f>
        <v/>
      </c>
      <c r="J49" s="42" t="str">
        <f aca="false">IF($AH49=1,INDEX(報告入力!$BJ$7:$BJ$696,$B49),"")</f>
        <v/>
      </c>
      <c r="K49" s="43" t="str">
        <f aca="false">IF($AH49=1,INDEX(報告入力!$BZ$7:$BZ$696,$B49),"")</f>
        <v/>
      </c>
      <c r="L49" s="42" t="str">
        <f aca="false">IF($AG49=1,INDEX(報告入力!$BS$7:$BS$696,$B49),"")</f>
        <v/>
      </c>
      <c r="M49" s="42" t="str">
        <f aca="false">IF($AH49=1,INDEX(報告入力!$BK$7:$BK$696,$B49),"")</f>
        <v/>
      </c>
      <c r="N49" s="43" t="str">
        <f aca="false">IF($AH49=1,INDEX(報告入力!$CA$7:$CA$696,$B49),"")</f>
        <v/>
      </c>
      <c r="O49" s="42" t="str">
        <f aca="false">IF($AG49=1,INDEX(報告入力!$BT$7:$BT$696,$B49),"")</f>
        <v/>
      </c>
      <c r="P49" s="42" t="str">
        <f aca="false">IF($AH49=1,INDEX(報告入力!$BL$7:$BL$696,$B49),"")</f>
        <v/>
      </c>
      <c r="Q49" s="43" t="str">
        <f aca="false">IF($AH49=1,INDEX(報告入力!$CB$7:$CB$696,$B49),"")</f>
        <v/>
      </c>
      <c r="R49" s="42" t="str">
        <f aca="false">IF($AG49=1,INDEX(報告入力!$BU$7:$BU$696,$B49),"")</f>
        <v/>
      </c>
      <c r="S49" s="42" t="str">
        <f aca="false">IF($AH49=1,INDEX(報告入力!$BM$7:$BM$696,$B49),"")</f>
        <v/>
      </c>
      <c r="T49" s="43" t="str">
        <f aca="false">IF($AH49=1,INDEX(報告入力!$CC$7:$CC$696,$B49),"")</f>
        <v/>
      </c>
      <c r="U49" s="42" t="str">
        <f aca="false">IF($AG49=1,INDEX(報告入力!$BV$7:$BV$696,$B49),"")</f>
        <v/>
      </c>
      <c r="V49" s="42" t="str">
        <f aca="false">IF($AH49=1,INDEX(報告入力!$BN$7:$BN$696,$B49),"")</f>
        <v/>
      </c>
      <c r="W49" s="43" t="str">
        <f aca="false">IF($AH49=1,INDEX(報告入力!$CD$7:$CD$696,$B49),"")</f>
        <v/>
      </c>
      <c r="X49" s="42" t="str">
        <f aca="false">IF($AG49=1,INDEX(報告入力!$BW$7:$BW$696,$B49),"")</f>
        <v/>
      </c>
      <c r="Y49" s="42" t="str">
        <f aca="false">IF($AH49=1,INDEX(報告入力!$BO$7:$BO$696,$B49),"")</f>
        <v/>
      </c>
      <c r="Z49" s="43" t="str">
        <f aca="false">IF($AH49=1,INDEX(報告入力!$CE$7:$CE$696,$B49),"")</f>
        <v/>
      </c>
      <c r="AA49" s="42" t="str">
        <f aca="false">IF($AG49=1,INDEX(報告入力!$BX$7:$BX$696,$B49),"")</f>
        <v/>
      </c>
      <c r="AB49" s="42" t="str">
        <f aca="false">IF($AH49=1,INDEX(報告入力!$BP$7:$BP$696,$B49),"")</f>
        <v/>
      </c>
      <c r="AC49" s="43" t="str">
        <f aca="false">IF($AH49=1,INDEX(報告入力!$CF$7:$CF$696,$B49),"")</f>
        <v/>
      </c>
      <c r="AD49" s="42" t="str">
        <f aca="false">IF($AG49=1,INDEX(報告入力!$BY$7:$BY$696,$B49),"")</f>
        <v/>
      </c>
      <c r="AE49" s="42" t="str">
        <f aca="false">IF($AH49=1,INDEX(報告入力!$BQ$7:$BQ$696,$B49),"")</f>
        <v/>
      </c>
      <c r="AF49" s="43" t="str">
        <f aca="false">IF($AH49=1,INDEX(報告入力!$CG$7:$CG$696,$B49),"")</f>
        <v/>
      </c>
      <c r="AG49" s="33" t="n">
        <f aca="false">IF($B49="",0,IF(OR(C49="未受領",C49="報告なし"),0,1))</f>
        <v>0</v>
      </c>
      <c r="AH49" s="33" t="n">
        <f aca="false">IF(OR(D49="問題なし",D49="要確認"),1,0)</f>
        <v>0</v>
      </c>
      <c r="AI49" s="33" t="n">
        <f aca="false">IF(C49="未受領",MAX(AI$6:AI48)+1,"")</f>
        <v>34</v>
      </c>
      <c r="AJ49" s="33" t="str">
        <f aca="false">IF(D49="要確認",MAX(AJ$6:AJ48)+1,"")</f>
        <v/>
      </c>
      <c r="AK49" s="32" t="str">
        <f aca="false">IF(D49="要確認",INDEX(報告入力!$CH$7:$CH$696,$B49),"")</f>
        <v/>
      </c>
    </row>
    <row r="50" customFormat="false" ht="15" hidden="false" customHeight="false" outlineLevel="0" collapsed="false">
      <c r="A50" s="41" t="str">
        <f aca="false">設定!B104</f>
        <v>病院労働組合</v>
      </c>
      <c r="B50" s="33" t="n">
        <f aca="false">IFERROR(MATCH(ホーム!$C$4&amp;"|"&amp;A50,報告入力!$CM$7:$CM$696,0),"")</f>
        <v>366</v>
      </c>
      <c r="C50" s="10" t="str">
        <f aca="false">IF($B50="","",INDEX(報告入力!$C$7:$C$696,$B50))</f>
        <v>受領済</v>
      </c>
      <c r="D50" s="10" t="str">
        <f aca="false">IF($B50="","",INDEX(報告入力!$D$7:$D$696,$B50))</f>
        <v>標報未入力</v>
      </c>
      <c r="E50" s="24" t="str">
        <f aca="false">IF($B50="","",INDEX(報告入力!$E$7:$E$696,$B50))</f>
        <v>前月同額</v>
      </c>
      <c r="F50" s="42" t="n">
        <f aca="false">IF($B50="","",INDEX(報告入力!$I$7:$I$696,$B50))</f>
        <v>0</v>
      </c>
      <c r="G50" s="42" t="n">
        <f aca="false">IF($B50="","",INDEX(報告入力!$J$7:$J$696,$B50))</f>
        <v>0</v>
      </c>
      <c r="H50" s="42" t="n">
        <f aca="false">IF($B50="","",INDEX(報告入力!$K$7:$K$696,$B50))</f>
        <v>0</v>
      </c>
      <c r="I50" s="42" t="n">
        <f aca="false">IF($AG50=1,INDEX(報告入力!$BR$7:$BR$696,$B50),"")</f>
        <v>31680</v>
      </c>
      <c r="J50" s="42" t="str">
        <f aca="false">IF($AH50=1,INDEX(報告入力!$BJ$7:$BJ$696,$B50),"")</f>
        <v/>
      </c>
      <c r="K50" s="43" t="str">
        <f aca="false">IF($AH50=1,INDEX(報告入力!$BZ$7:$BZ$696,$B50),"")</f>
        <v/>
      </c>
      <c r="L50" s="42" t="n">
        <f aca="false">IF($AG50=1,INDEX(報告入力!$BS$7:$BS$696,$B50),"")</f>
        <v>31680</v>
      </c>
      <c r="M50" s="42" t="str">
        <f aca="false">IF($AH50=1,INDEX(報告入力!$BK$7:$BK$696,$B50),"")</f>
        <v/>
      </c>
      <c r="N50" s="43" t="str">
        <f aca="false">IF($AH50=1,INDEX(報告入力!$CA$7:$CA$696,$B50),"")</f>
        <v/>
      </c>
      <c r="O50" s="42" t="n">
        <f aca="false">IF($AG50=1,INDEX(報告入力!$BT$7:$BT$696,$B50),"")</f>
        <v>32153</v>
      </c>
      <c r="P50" s="42" t="str">
        <f aca="false">IF($AH50=1,INDEX(報告入力!$BL$7:$BL$696,$B50),"")</f>
        <v/>
      </c>
      <c r="Q50" s="43" t="str">
        <f aca="false">IF($AH50=1,INDEX(報告入力!$CB$7:$CB$696,$B50),"")</f>
        <v/>
      </c>
      <c r="R50" s="42" t="n">
        <f aca="false">IF($AG50=1,INDEX(報告入力!$BU$7:$BU$696,$B50),"")</f>
        <v>32184</v>
      </c>
      <c r="S50" s="42" t="str">
        <f aca="false">IF($AH50=1,INDEX(報告入力!$BM$7:$BM$696,$B50),"")</f>
        <v/>
      </c>
      <c r="T50" s="43" t="str">
        <f aca="false">IF($AH50=1,INDEX(報告入力!$CC$7:$CC$696,$B50),"")</f>
        <v/>
      </c>
      <c r="U50" s="42" t="n">
        <f aca="false">IF($AG50=1,INDEX(報告入力!$BV$7:$BV$696,$B50),"")</f>
        <v>2370</v>
      </c>
      <c r="V50" s="42" t="str">
        <f aca="false">IF($AH50=1,INDEX(報告入力!$BN$7:$BN$696,$B50),"")</f>
        <v/>
      </c>
      <c r="W50" s="43" t="str">
        <f aca="false">IF($AH50=1,INDEX(報告入力!$CD$7:$CD$696,$B50),"")</f>
        <v/>
      </c>
      <c r="X50" s="42" t="n">
        <f aca="false">IF($AG50=1,INDEX(報告入力!$BW$7:$BW$696,$B50),"")</f>
        <v>2370</v>
      </c>
      <c r="Y50" s="42" t="str">
        <f aca="false">IF($AH50=1,INDEX(報告入力!$BO$7:$BO$696,$B50),"")</f>
        <v/>
      </c>
      <c r="Z50" s="43" t="str">
        <f aca="false">IF($AH50=1,INDEX(報告入力!$CE$7:$CE$696,$B50),"")</f>
        <v/>
      </c>
      <c r="AA50" s="42" t="n">
        <f aca="false">IF($AG50=1,INDEX(報告入力!$BX$7:$BX$696,$B50),"")</f>
        <v>713</v>
      </c>
      <c r="AB50" s="42" t="str">
        <f aca="false">IF($AH50=1,INDEX(報告入力!$BP$7:$BP$696,$B50),"")</f>
        <v/>
      </c>
      <c r="AC50" s="43" t="str">
        <f aca="false">IF($AH50=1,INDEX(報告入力!$CF$7:$CF$696,$B50),"")</f>
        <v/>
      </c>
      <c r="AD50" s="42" t="n">
        <f aca="false">IF($AG50=1,INDEX(報告入力!$BY$7:$BY$696,$B50),"")</f>
        <v>713</v>
      </c>
      <c r="AE50" s="42" t="str">
        <f aca="false">IF($AH50=1,INDEX(報告入力!$BQ$7:$BQ$696,$B50),"")</f>
        <v/>
      </c>
      <c r="AF50" s="43" t="str">
        <f aca="false">IF($AH50=1,INDEX(報告入力!$CG$7:$CG$696,$B50),"")</f>
        <v/>
      </c>
      <c r="AG50" s="33" t="n">
        <f aca="false">IF($B50="",0,IF(OR(C50="未受領",C50="報告なし"),0,1))</f>
        <v>1</v>
      </c>
      <c r="AH50" s="33" t="n">
        <f aca="false">IF(OR(D50="問題なし",D50="要確認"),1,0)</f>
        <v>0</v>
      </c>
      <c r="AI50" s="33" t="str">
        <f aca="false">IF(C50="未受領",MAX(AI$6:AI49)+1,"")</f>
        <v/>
      </c>
      <c r="AJ50" s="33" t="str">
        <f aca="false">IF(D50="要確認",MAX(AJ$6:AJ49)+1,"")</f>
        <v/>
      </c>
      <c r="AK50" s="32" t="str">
        <f aca="false">IF(D50="要確認",INDEX(報告入力!$CH$7:$CH$696,$B50),"")</f>
        <v/>
      </c>
    </row>
    <row r="51" customFormat="false" ht="15" hidden="false" customHeight="false" outlineLevel="0" collapsed="false">
      <c r="A51" s="41" t="str">
        <f aca="false">設定!B105</f>
        <v>水道労働組合</v>
      </c>
      <c r="B51" s="33" t="n">
        <f aca="false">IFERROR(MATCH(ホーム!$C$4&amp;"|"&amp;A51,報告入力!$CM$7:$CM$696,0),"")</f>
        <v>367</v>
      </c>
      <c r="C51" s="10" t="str">
        <f aca="false">IF($B51="","",INDEX(報告入力!$C$7:$C$696,$B51))</f>
        <v>報告なし</v>
      </c>
      <c r="D51" s="10" t="str">
        <f aca="false">IF($B51="","",INDEX(報告入力!$D$7:$D$696,$B51))</f>
        <v>―</v>
      </c>
      <c r="E51" s="24" t="str">
        <f aca="false">IF($B51="","",INDEX(報告入力!$E$7:$E$696,$B51))</f>
        <v>―</v>
      </c>
      <c r="F51" s="42" t="n">
        <f aca="false">IF($B51="","",INDEX(報告入力!$I$7:$I$696,$B51))</f>
        <v>0</v>
      </c>
      <c r="G51" s="42" t="n">
        <f aca="false">IF($B51="","",INDEX(報告入力!$J$7:$J$696,$B51))</f>
        <v>0</v>
      </c>
      <c r="H51" s="42" t="n">
        <f aca="false">IF($B51="","",INDEX(報告入力!$K$7:$K$696,$B51))</f>
        <v>0</v>
      </c>
      <c r="I51" s="42" t="str">
        <f aca="false">IF($AG51=1,INDEX(報告入力!$BR$7:$BR$696,$B51),"")</f>
        <v/>
      </c>
      <c r="J51" s="42" t="str">
        <f aca="false">IF($AH51=1,INDEX(報告入力!$BJ$7:$BJ$696,$B51),"")</f>
        <v/>
      </c>
      <c r="K51" s="43" t="str">
        <f aca="false">IF($AH51=1,INDEX(報告入力!$BZ$7:$BZ$696,$B51),"")</f>
        <v/>
      </c>
      <c r="L51" s="42" t="str">
        <f aca="false">IF($AG51=1,INDEX(報告入力!$BS$7:$BS$696,$B51),"")</f>
        <v/>
      </c>
      <c r="M51" s="42" t="str">
        <f aca="false">IF($AH51=1,INDEX(報告入力!$BK$7:$BK$696,$B51),"")</f>
        <v/>
      </c>
      <c r="N51" s="43" t="str">
        <f aca="false">IF($AH51=1,INDEX(報告入力!$CA$7:$CA$696,$B51),"")</f>
        <v/>
      </c>
      <c r="O51" s="42" t="str">
        <f aca="false">IF($AG51=1,INDEX(報告入力!$BT$7:$BT$696,$B51),"")</f>
        <v/>
      </c>
      <c r="P51" s="42" t="str">
        <f aca="false">IF($AH51=1,INDEX(報告入力!$BL$7:$BL$696,$B51),"")</f>
        <v/>
      </c>
      <c r="Q51" s="43" t="str">
        <f aca="false">IF($AH51=1,INDEX(報告入力!$CB$7:$CB$696,$B51),"")</f>
        <v/>
      </c>
      <c r="R51" s="42" t="str">
        <f aca="false">IF($AG51=1,INDEX(報告入力!$BU$7:$BU$696,$B51),"")</f>
        <v/>
      </c>
      <c r="S51" s="42" t="str">
        <f aca="false">IF($AH51=1,INDEX(報告入力!$BM$7:$BM$696,$B51),"")</f>
        <v/>
      </c>
      <c r="T51" s="43" t="str">
        <f aca="false">IF($AH51=1,INDEX(報告入力!$CC$7:$CC$696,$B51),"")</f>
        <v/>
      </c>
      <c r="U51" s="42" t="str">
        <f aca="false">IF($AG51=1,INDEX(報告入力!$BV$7:$BV$696,$B51),"")</f>
        <v/>
      </c>
      <c r="V51" s="42" t="str">
        <f aca="false">IF($AH51=1,INDEX(報告入力!$BN$7:$BN$696,$B51),"")</f>
        <v/>
      </c>
      <c r="W51" s="43" t="str">
        <f aca="false">IF($AH51=1,INDEX(報告入力!$CD$7:$CD$696,$B51),"")</f>
        <v/>
      </c>
      <c r="X51" s="42" t="str">
        <f aca="false">IF($AG51=1,INDEX(報告入力!$BW$7:$BW$696,$B51),"")</f>
        <v/>
      </c>
      <c r="Y51" s="42" t="str">
        <f aca="false">IF($AH51=1,INDEX(報告入力!$BO$7:$BO$696,$B51),"")</f>
        <v/>
      </c>
      <c r="Z51" s="43" t="str">
        <f aca="false">IF($AH51=1,INDEX(報告入力!$CE$7:$CE$696,$B51),"")</f>
        <v/>
      </c>
      <c r="AA51" s="42" t="str">
        <f aca="false">IF($AG51=1,INDEX(報告入力!$BX$7:$BX$696,$B51),"")</f>
        <v/>
      </c>
      <c r="AB51" s="42" t="str">
        <f aca="false">IF($AH51=1,INDEX(報告入力!$BP$7:$BP$696,$B51),"")</f>
        <v/>
      </c>
      <c r="AC51" s="43" t="str">
        <f aca="false">IF($AH51=1,INDEX(報告入力!$CF$7:$CF$696,$B51),"")</f>
        <v/>
      </c>
      <c r="AD51" s="42" t="str">
        <f aca="false">IF($AG51=1,INDEX(報告入力!$BY$7:$BY$696,$B51),"")</f>
        <v/>
      </c>
      <c r="AE51" s="42" t="str">
        <f aca="false">IF($AH51=1,INDEX(報告入力!$BQ$7:$BQ$696,$B51),"")</f>
        <v/>
      </c>
      <c r="AF51" s="43" t="str">
        <f aca="false">IF($AH51=1,INDEX(報告入力!$CG$7:$CG$696,$B51),"")</f>
        <v/>
      </c>
      <c r="AG51" s="33" t="n">
        <f aca="false">IF($B51="",0,IF(OR(C51="未受領",C51="報告なし"),0,1))</f>
        <v>0</v>
      </c>
      <c r="AH51" s="33" t="n">
        <f aca="false">IF(OR(D51="問題なし",D51="要確認"),1,0)</f>
        <v>0</v>
      </c>
      <c r="AI51" s="33" t="str">
        <f aca="false">IF(C51="未受領",MAX(AI$6:AI50)+1,"")</f>
        <v/>
      </c>
      <c r="AJ51" s="33" t="str">
        <f aca="false">IF(D51="要確認",MAX(AJ$6:AJ50)+1,"")</f>
        <v/>
      </c>
      <c r="AK51" s="32" t="str">
        <f aca="false">IF(D51="要確認",INDEX(報告入力!$CH$7:$CH$696,$B51),"")</f>
        <v/>
      </c>
    </row>
    <row r="52" customFormat="false" ht="15" hidden="false" customHeight="false" outlineLevel="0" collapsed="false">
      <c r="A52" s="41" t="str">
        <f aca="false">設定!B106</f>
        <v>任意継続組合員</v>
      </c>
      <c r="B52" s="33" t="n">
        <f aca="false">IFERROR(MATCH(ホーム!$C$4&amp;"|"&amp;A52,報告入力!$CM$7:$CM$696,0),"")</f>
        <v>368</v>
      </c>
      <c r="C52" s="10" t="str">
        <f aca="false">IF($B52="","",INDEX(報告入力!$C$7:$C$696,$B52))</f>
        <v>未受領</v>
      </c>
      <c r="D52" s="10" t="str">
        <f aca="false">IF($B52="","",INDEX(報告入力!$D$7:$D$696,$B52))</f>
        <v>―</v>
      </c>
      <c r="E52" s="24" t="str">
        <f aca="false">IF($B52="","",INDEX(報告入力!$E$7:$E$696,$B52))</f>
        <v>―</v>
      </c>
      <c r="F52" s="42" t="n">
        <f aca="false">IF($B52="","",INDEX(報告入力!$I$7:$I$696,$B52))</f>
        <v>0</v>
      </c>
      <c r="G52" s="42" t="n">
        <f aca="false">IF($B52="","",INDEX(報告入力!$J$7:$J$696,$B52))</f>
        <v>0</v>
      </c>
      <c r="H52" s="42" t="n">
        <f aca="false">IF($B52="","",INDEX(報告入力!$K$7:$K$696,$B52))</f>
        <v>0</v>
      </c>
      <c r="I52" s="42" t="str">
        <f aca="false">IF($AG52=1,INDEX(報告入力!$BR$7:$BR$696,$B52),"")</f>
        <v/>
      </c>
      <c r="J52" s="42" t="str">
        <f aca="false">IF($AH52=1,INDEX(報告入力!$BJ$7:$BJ$696,$B52),"")</f>
        <v/>
      </c>
      <c r="K52" s="43" t="str">
        <f aca="false">IF($AH52=1,INDEX(報告入力!$BZ$7:$BZ$696,$B52),"")</f>
        <v/>
      </c>
      <c r="L52" s="42" t="str">
        <f aca="false">IF($AG52=1,INDEX(報告入力!$BS$7:$BS$696,$B52),"")</f>
        <v/>
      </c>
      <c r="M52" s="42" t="str">
        <f aca="false">IF($AH52=1,INDEX(報告入力!$BK$7:$BK$696,$B52),"")</f>
        <v/>
      </c>
      <c r="N52" s="43" t="str">
        <f aca="false">IF($AH52=1,INDEX(報告入力!$CA$7:$CA$696,$B52),"")</f>
        <v/>
      </c>
      <c r="O52" s="42" t="str">
        <f aca="false">IF($AG52=1,INDEX(報告入力!$BT$7:$BT$696,$B52),"")</f>
        <v/>
      </c>
      <c r="P52" s="42" t="str">
        <f aca="false">IF($AH52=1,INDEX(報告入力!$BL$7:$BL$696,$B52),"")</f>
        <v/>
      </c>
      <c r="Q52" s="43" t="str">
        <f aca="false">IF($AH52=1,INDEX(報告入力!$CB$7:$CB$696,$B52),"")</f>
        <v/>
      </c>
      <c r="R52" s="42" t="str">
        <f aca="false">IF($AG52=1,INDEX(報告入力!$BU$7:$BU$696,$B52),"")</f>
        <v/>
      </c>
      <c r="S52" s="42" t="str">
        <f aca="false">IF($AH52=1,INDEX(報告入力!$BM$7:$BM$696,$B52),"")</f>
        <v/>
      </c>
      <c r="T52" s="43" t="str">
        <f aca="false">IF($AH52=1,INDEX(報告入力!$CC$7:$CC$696,$B52),"")</f>
        <v/>
      </c>
      <c r="U52" s="42" t="str">
        <f aca="false">IF($AG52=1,INDEX(報告入力!$BV$7:$BV$696,$B52),"")</f>
        <v/>
      </c>
      <c r="V52" s="42" t="str">
        <f aca="false">IF($AH52=1,INDEX(報告入力!$BN$7:$BN$696,$B52),"")</f>
        <v/>
      </c>
      <c r="W52" s="43" t="str">
        <f aca="false">IF($AH52=1,INDEX(報告入力!$CD$7:$CD$696,$B52),"")</f>
        <v/>
      </c>
      <c r="X52" s="42" t="str">
        <f aca="false">IF($AG52=1,INDEX(報告入力!$BW$7:$BW$696,$B52),"")</f>
        <v/>
      </c>
      <c r="Y52" s="42" t="str">
        <f aca="false">IF($AH52=1,INDEX(報告入力!$BO$7:$BO$696,$B52),"")</f>
        <v/>
      </c>
      <c r="Z52" s="43" t="str">
        <f aca="false">IF($AH52=1,INDEX(報告入力!$CE$7:$CE$696,$B52),"")</f>
        <v/>
      </c>
      <c r="AA52" s="42" t="str">
        <f aca="false">IF($AG52=1,INDEX(報告入力!$BX$7:$BX$696,$B52),"")</f>
        <v/>
      </c>
      <c r="AB52" s="42" t="str">
        <f aca="false">IF($AH52=1,INDEX(報告入力!$BP$7:$BP$696,$B52),"")</f>
        <v/>
      </c>
      <c r="AC52" s="43" t="str">
        <f aca="false">IF($AH52=1,INDEX(報告入力!$CF$7:$CF$696,$B52),"")</f>
        <v/>
      </c>
      <c r="AD52" s="42" t="str">
        <f aca="false">IF($AG52=1,INDEX(報告入力!$BY$7:$BY$696,$B52),"")</f>
        <v/>
      </c>
      <c r="AE52" s="42" t="str">
        <f aca="false">IF($AH52=1,INDEX(報告入力!$BQ$7:$BQ$696,$B52),"")</f>
        <v/>
      </c>
      <c r="AF52" s="43" t="str">
        <f aca="false">IF($AH52=1,INDEX(報告入力!$CG$7:$CG$696,$B52),"")</f>
        <v/>
      </c>
      <c r="AG52" s="33" t="n">
        <f aca="false">IF($B52="",0,IF(OR(C52="未受領",C52="報告なし"),0,1))</f>
        <v>0</v>
      </c>
      <c r="AH52" s="33" t="n">
        <f aca="false">IF(OR(D52="問題なし",D52="要確認"),1,0)</f>
        <v>0</v>
      </c>
      <c r="AI52" s="33" t="n">
        <f aca="false">IF(C52="未受領",MAX(AI$6:AI51)+1,"")</f>
        <v>35</v>
      </c>
      <c r="AJ52" s="33" t="str">
        <f aca="false">IF(D52="要確認",MAX(AJ$6:AJ51)+1,"")</f>
        <v/>
      </c>
      <c r="AK52" s="32" t="str">
        <f aca="false">IF(D52="要確認",INDEX(報告入力!$CH$7:$CH$696,$B52),"")</f>
        <v/>
      </c>
    </row>
  </sheetData>
  <mergeCells count="8">
    <mergeCell ref="I5:K5"/>
    <mergeCell ref="L5:N5"/>
    <mergeCell ref="O5:Q5"/>
    <mergeCell ref="R5:T5"/>
    <mergeCell ref="U5:W5"/>
    <mergeCell ref="X5:Z5"/>
    <mergeCell ref="AA5:AC5"/>
    <mergeCell ref="AD5:AF5"/>
  </mergeCells>
  <conditionalFormatting sqref="C7:C52">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onditionalFormatting>
  <conditionalFormatting sqref="D7:D52">
    <cfRule type="expression" priority="5" aboveAverage="0" equalAverage="0" bottom="0" percent="0" rank="0" text="" dxfId="1">
      <formula>D7="要確認"</formula>
    </cfRule>
    <cfRule type="expression" priority="6" aboveAverage="0" equalAverage="0" bottom="0" percent="0" rank="0" text="" dxfId="2">
      <formula>D7="問題なし"</formula>
    </cfRule>
  </conditionalFormatting>
  <conditionalFormatting sqref="E7:E52">
    <cfRule type="expression" priority="7" aboveAverage="0" equalAverage="0" bottom="0" percent="0" rank="0" text="" dxfId="20">
      <formula>OR(LEFT(E7,3)="変動大",E7="前月同額")</formula>
    </cfRule>
  </conditionalFormatting>
  <conditionalFormatting sqref="A7:A52">
    <cfRule type="expression" priority="8" aboveAverage="0" equalAverage="0" bottom="0" percent="0" rank="0" text="" dxfId="21">
      <formula>$D7="要確認"</formula>
    </cfRule>
  </conditionalFormatting>
  <conditionalFormatting sqref="K7:K52">
    <cfRule type="expression" priority="9" aboveAverage="0" equalAverage="0" bottom="0" percent="0" rank="0" text="" dxfId="1">
      <formula>AND(ISNUMBER(K7),ABS(K7)&gt;=設定!$B$4)</formula>
    </cfRule>
  </conditionalFormatting>
  <conditionalFormatting sqref="N7:N52">
    <cfRule type="expression" priority="10" aboveAverage="0" equalAverage="0" bottom="0" percent="0" rank="0" text="" dxfId="1">
      <formula>AND(ISNUMBER(N7),ABS(N7)&gt;=設定!$B$4)</formula>
    </cfRule>
  </conditionalFormatting>
  <conditionalFormatting sqref="Q7:Q52">
    <cfRule type="expression" priority="11" aboveAverage="0" equalAverage="0" bottom="0" percent="0" rank="0" text="" dxfId="1">
      <formula>AND(ISNUMBER(Q7),ABS(Q7)&gt;=設定!$B$4)</formula>
    </cfRule>
  </conditionalFormatting>
  <conditionalFormatting sqref="T7:T52">
    <cfRule type="expression" priority="12" aboveAverage="0" equalAverage="0" bottom="0" percent="0" rank="0" text="" dxfId="1">
      <formula>AND(ISNUMBER(T7),ABS(T7)&gt;=設定!$B$4)</formula>
    </cfRule>
  </conditionalFormatting>
  <conditionalFormatting sqref="W7:W52">
    <cfRule type="expression" priority="13" aboveAverage="0" equalAverage="0" bottom="0" percent="0" rank="0" text="" dxfId="1">
      <formula>AND(ISNUMBER(W7),ABS(W7)&gt;=設定!$B$4)</formula>
    </cfRule>
  </conditionalFormatting>
  <conditionalFormatting sqref="Z7:Z52">
    <cfRule type="expression" priority="14" aboveAverage="0" equalAverage="0" bottom="0" percent="0" rank="0" text="" dxfId="1">
      <formula>AND(ISNUMBER(Z7),ABS(Z7)&gt;=設定!$B$4)</formula>
    </cfRule>
  </conditionalFormatting>
  <conditionalFormatting sqref="AC7:AC52">
    <cfRule type="expression" priority="15" aboveAverage="0" equalAverage="0" bottom="0" percent="0" rank="0" text="" dxfId="1">
      <formula>AND(ISNUMBER(AC7),ABS(AC7)&gt;=設定!$B$4)</formula>
    </cfRule>
  </conditionalFormatting>
  <conditionalFormatting sqref="AF7:AF52">
    <cfRule type="expression" priority="16" aboveAverage="0" equalAverage="0" bottom="0" percent="0" rank="0" text="" dxfId="1">
      <formula>AND(ISNUMBER(AF7),ABS(AF7)&gt;=設定!$B$4)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5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421875" defaultRowHeight="15" zeroHeight="false" outlineLevelRow="0" outlineLevelCol="1"/>
  <cols>
    <col collapsed="false" customWidth="true" hidden="false" outlineLevel="0" max="1" min="1" style="0" width="7"/>
    <col collapsed="false" customWidth="true" hidden="false" outlineLevel="0" max="2" min="2" style="0" width="26"/>
    <col collapsed="false" customWidth="true" hidden="false" outlineLevel="0" max="3" min="3" style="0" width="9"/>
    <col collapsed="false" customWidth="true" hidden="false" outlineLevel="0" max="4" min="4" style="0" width="28"/>
    <col collapsed="false" customWidth="true" hidden="false" outlineLevel="0" max="5" min="5" style="0" width="14"/>
    <col collapsed="false" customWidth="true" hidden="false" outlineLevel="0" max="6" min="6" style="0" width="16"/>
    <col collapsed="false" customWidth="true" hidden="false" outlineLevel="0" max="7" min="7" style="0" width="13"/>
    <col collapsed="false" customWidth="true" hidden="false" outlineLevel="0" max="8" min="8" style="0" width="14"/>
    <col collapsed="false" customWidth="true" hidden="false" outlineLevel="0" max="9" min="9" style="0" width="20"/>
    <col collapsed="false" customWidth="true" hidden="false" outlineLevel="0" max="10" min="10" style="0" width="13"/>
    <col collapsed="false" customWidth="true" hidden="false" outlineLevel="0" max="11" min="11" style="0" width="11"/>
    <col collapsed="false" customWidth="true" hidden="true" outlineLevel="1" max="13" min="12" style="0" width="32"/>
  </cols>
  <sheetData>
    <row r="1" customFormat="false" ht="17.35" hidden="false" customHeight="false" outlineLevel="0" collapsed="false">
      <c r="A1" s="16" t="s">
        <v>254</v>
      </c>
    </row>
    <row r="2" customFormat="false" ht="17.35" hidden="false" customHeight="false" outlineLevel="0" collapsed="false">
      <c r="A2" s="37" t="s">
        <v>232</v>
      </c>
      <c r="B2" s="38" t="str">
        <f aca="false">ホーム!C4</f>
        <v>2026-10 月例</v>
      </c>
      <c r="D2" s="37" t="s">
        <v>255</v>
      </c>
      <c r="E2" s="37" t="str">
        <f aca="false">設定!B6</f>
        <v>入金確認済のみ</v>
      </c>
    </row>
    <row r="3" customFormat="false" ht="17.35" hidden="false" customHeight="false" outlineLevel="0" collapsed="false">
      <c r="A3" s="2" t="s">
        <v>256</v>
      </c>
    </row>
    <row r="4" customFormat="false" ht="17.35" hidden="false" customHeight="false" outlineLevel="0" collapsed="false">
      <c r="A4" s="44" t="s">
        <v>257</v>
      </c>
    </row>
    <row r="5" customFormat="false" ht="17.35" hidden="false" customHeight="false" outlineLevel="0" collapsed="false"/>
    <row r="6" customFormat="false" ht="15" hidden="false" customHeight="false" outlineLevel="0" collapsed="false">
      <c r="A6" s="3" t="s">
        <v>258</v>
      </c>
      <c r="B6" s="3" t="s">
        <v>259</v>
      </c>
      <c r="C6" s="3" t="s">
        <v>260</v>
      </c>
      <c r="D6" s="3" t="s">
        <v>261</v>
      </c>
      <c r="E6" s="3" t="s">
        <v>262</v>
      </c>
      <c r="F6" s="3" t="s">
        <v>263</v>
      </c>
      <c r="G6" s="3" t="s">
        <v>264</v>
      </c>
      <c r="H6" s="3" t="s">
        <v>265</v>
      </c>
      <c r="I6" s="3" t="s">
        <v>266</v>
      </c>
      <c r="J6" s="3" t="s">
        <v>267</v>
      </c>
      <c r="K6" s="3" t="s">
        <v>268</v>
      </c>
      <c r="L6" s="21" t="s">
        <v>269</v>
      </c>
      <c r="M6" s="21" t="s">
        <v>270</v>
      </c>
    </row>
    <row r="7" customFormat="false" ht="15" hidden="false" customHeight="false" outlineLevel="0" collapsed="false">
      <c r="A7" s="10" t="str">
        <f aca="false">IF($M7="","",INDEX(伝票元!$P$6:$P$511,$M7))</f>
        <v/>
      </c>
      <c r="B7" s="45" t="str">
        <f aca="false">IF($M7="","",INDEX(伝票元!$D$6:$D$511,$M7))</f>
        <v/>
      </c>
      <c r="C7" s="10" t="str">
        <f aca="false">IF($M7="","",INDEX(伝票元!$E$6:$E$511,$M7))</f>
        <v/>
      </c>
      <c r="D7" s="45" t="str">
        <f aca="false">IF($M7="","",INDEX(伝票元!$A$6:$A$511,$M7))</f>
        <v/>
      </c>
      <c r="E7" s="10" t="str">
        <f aca="false">IF(IF($M7="",0,INDEX(伝票元!$N$6:$N$511,$M7))=1,INDEX(伝票元!$I$6:$I$511,$M7),"")</f>
        <v/>
      </c>
      <c r="F7" s="45" t="str">
        <f aca="false">IF(IF($M7="",0,INDEX(伝票元!$N$6:$N$511,$M7))=1,INDEX(伝票元!$J$6:$J$511,$M7),"")</f>
        <v/>
      </c>
      <c r="G7" s="42" t="str">
        <f aca="false">IF(IF($M7="",0,INDEX(伝票元!$N$6:$N$511,$M7))=1,INDEX(伝票元!$Q$6:$Q$511,$M7),"")</f>
        <v/>
      </c>
      <c r="H7" s="45" t="str">
        <f aca="false">IF($M7="","",INDEX(伝票元!$F$6:$F$511,$M7))</f>
        <v/>
      </c>
      <c r="I7" s="45" t="str">
        <f aca="false">IF($M7="","",INDEX(伝票元!$G$6:$G$511,$M7))</f>
        <v/>
      </c>
      <c r="J7" s="42" t="str">
        <f aca="false">IF($M7="","",INDEX(伝票元!$H$6:$H$511,$M7))</f>
        <v/>
      </c>
      <c r="K7" s="46" t="str">
        <f aca="false">IF(IF($M7="",0,INDEX(伝票元!$N$6:$N$511,$M7))=1,INDEX(伝票元!$R$6:$R$511,$M7),"")</f>
        <v/>
      </c>
      <c r="L7" s="47" t="str">
        <f aca="false">IF($M7="","",INDEX(伝票元!$S$6:$S$511,$M7))</f>
        <v/>
      </c>
      <c r="M7" s="47" t="str">
        <f aca="false">IFERROR(MATCH(1,伝票元!$O$6:$O$511,0),"")</f>
        <v/>
      </c>
    </row>
    <row r="8" customFormat="false" ht="15" hidden="false" customHeight="false" outlineLevel="0" collapsed="false">
      <c r="A8" s="10" t="str">
        <f aca="false">IF($M8="","",INDEX(伝票元!$P$6:$P$511,$M8))</f>
        <v/>
      </c>
      <c r="B8" s="45" t="str">
        <f aca="false">IF($M8="","",INDEX(伝票元!$D$6:$D$511,$M8))</f>
        <v/>
      </c>
      <c r="C8" s="10" t="str">
        <f aca="false">IF($M8="","",INDEX(伝票元!$E$6:$E$511,$M8))</f>
        <v/>
      </c>
      <c r="D8" s="45" t="str">
        <f aca="false">IF($M8="","",INDEX(伝票元!$A$6:$A$511,$M8))</f>
        <v/>
      </c>
      <c r="E8" s="10" t="str">
        <f aca="false">IF(IF($M8="",0,INDEX(伝票元!$N$6:$N$511,$M8))=1,INDEX(伝票元!$I$6:$I$511,$M8),"")</f>
        <v/>
      </c>
      <c r="F8" s="45" t="str">
        <f aca="false">IF(IF($M8="",0,INDEX(伝票元!$N$6:$N$511,$M8))=1,INDEX(伝票元!$J$6:$J$511,$M8),"")</f>
        <v/>
      </c>
      <c r="G8" s="42" t="str">
        <f aca="false">IF(IF($M8="",0,INDEX(伝票元!$N$6:$N$511,$M8))=1,INDEX(伝票元!$Q$6:$Q$511,$M8),"")</f>
        <v/>
      </c>
      <c r="H8" s="45" t="str">
        <f aca="false">IF($M8="","",INDEX(伝票元!$F$6:$F$511,$M8))</f>
        <v/>
      </c>
      <c r="I8" s="45" t="str">
        <f aca="false">IF($M8="","",INDEX(伝票元!$G$6:$G$511,$M8))</f>
        <v/>
      </c>
      <c r="J8" s="42" t="str">
        <f aca="false">IF($M8="","",INDEX(伝票元!$H$6:$H$511,$M8))</f>
        <v/>
      </c>
      <c r="K8" s="46" t="str">
        <f aca="false">IF(IF($M8="",0,INDEX(伝票元!$N$6:$N$511,$M8))=1,INDEX(伝票元!$R$6:$R$511,$M8),"")</f>
        <v/>
      </c>
      <c r="L8" s="47" t="str">
        <f aca="false">IF($M8="","",INDEX(伝票元!$S$6:$S$511,$M8))</f>
        <v/>
      </c>
      <c r="M8" s="47" t="str">
        <f aca="false">IFERROR(MATCH(2,伝票元!$O$6:$O$511,0),"")</f>
        <v/>
      </c>
    </row>
    <row r="9" customFormat="false" ht="15" hidden="false" customHeight="false" outlineLevel="0" collapsed="false">
      <c r="A9" s="10" t="str">
        <f aca="false">IF($M9="","",INDEX(伝票元!$P$6:$P$511,$M9))</f>
        <v/>
      </c>
      <c r="B9" s="45" t="str">
        <f aca="false">IF($M9="","",INDEX(伝票元!$D$6:$D$511,$M9))</f>
        <v/>
      </c>
      <c r="C9" s="10" t="str">
        <f aca="false">IF($M9="","",INDEX(伝票元!$E$6:$E$511,$M9))</f>
        <v/>
      </c>
      <c r="D9" s="45" t="str">
        <f aca="false">IF($M9="","",INDEX(伝票元!$A$6:$A$511,$M9))</f>
        <v/>
      </c>
      <c r="E9" s="10" t="str">
        <f aca="false">IF(IF($M9="",0,INDEX(伝票元!$N$6:$N$511,$M9))=1,INDEX(伝票元!$I$6:$I$511,$M9),"")</f>
        <v/>
      </c>
      <c r="F9" s="45" t="str">
        <f aca="false">IF(IF($M9="",0,INDEX(伝票元!$N$6:$N$511,$M9))=1,INDEX(伝票元!$J$6:$J$511,$M9),"")</f>
        <v/>
      </c>
      <c r="G9" s="42" t="str">
        <f aca="false">IF(IF($M9="",0,INDEX(伝票元!$N$6:$N$511,$M9))=1,INDEX(伝票元!$Q$6:$Q$511,$M9),"")</f>
        <v/>
      </c>
      <c r="H9" s="45" t="str">
        <f aca="false">IF($M9="","",INDEX(伝票元!$F$6:$F$511,$M9))</f>
        <v/>
      </c>
      <c r="I9" s="45" t="str">
        <f aca="false">IF($M9="","",INDEX(伝票元!$G$6:$G$511,$M9))</f>
        <v/>
      </c>
      <c r="J9" s="42" t="str">
        <f aca="false">IF($M9="","",INDEX(伝票元!$H$6:$H$511,$M9))</f>
        <v/>
      </c>
      <c r="K9" s="46" t="str">
        <f aca="false">IF(IF($M9="",0,INDEX(伝票元!$N$6:$N$511,$M9))=1,INDEX(伝票元!$R$6:$R$511,$M9),"")</f>
        <v/>
      </c>
      <c r="L9" s="47" t="str">
        <f aca="false">IF($M9="","",INDEX(伝票元!$S$6:$S$511,$M9))</f>
        <v/>
      </c>
      <c r="M9" s="47" t="str">
        <f aca="false">IFERROR(MATCH(3,伝票元!$O$6:$O$511,0),"")</f>
        <v/>
      </c>
    </row>
    <row r="10" customFormat="false" ht="15" hidden="false" customHeight="false" outlineLevel="0" collapsed="false">
      <c r="A10" s="10" t="str">
        <f aca="false">IF($M10="","",INDEX(伝票元!$P$6:$P$511,$M10))</f>
        <v/>
      </c>
      <c r="B10" s="45" t="str">
        <f aca="false">IF($M10="","",INDEX(伝票元!$D$6:$D$511,$M10))</f>
        <v/>
      </c>
      <c r="C10" s="10" t="str">
        <f aca="false">IF($M10="","",INDEX(伝票元!$E$6:$E$511,$M10))</f>
        <v/>
      </c>
      <c r="D10" s="45" t="str">
        <f aca="false">IF($M10="","",INDEX(伝票元!$A$6:$A$511,$M10))</f>
        <v/>
      </c>
      <c r="E10" s="10" t="str">
        <f aca="false">IF(IF($M10="",0,INDEX(伝票元!$N$6:$N$511,$M10))=1,INDEX(伝票元!$I$6:$I$511,$M10),"")</f>
        <v/>
      </c>
      <c r="F10" s="45" t="str">
        <f aca="false">IF(IF($M10="",0,INDEX(伝票元!$N$6:$N$511,$M10))=1,INDEX(伝票元!$J$6:$J$511,$M10),"")</f>
        <v/>
      </c>
      <c r="G10" s="42" t="str">
        <f aca="false">IF(IF($M10="",0,INDEX(伝票元!$N$6:$N$511,$M10))=1,INDEX(伝票元!$Q$6:$Q$511,$M10),"")</f>
        <v/>
      </c>
      <c r="H10" s="45" t="str">
        <f aca="false">IF($M10="","",INDEX(伝票元!$F$6:$F$511,$M10))</f>
        <v/>
      </c>
      <c r="I10" s="45" t="str">
        <f aca="false">IF($M10="","",INDEX(伝票元!$G$6:$G$511,$M10))</f>
        <v/>
      </c>
      <c r="J10" s="42" t="str">
        <f aca="false">IF($M10="","",INDEX(伝票元!$H$6:$H$511,$M10))</f>
        <v/>
      </c>
      <c r="K10" s="46" t="str">
        <f aca="false">IF(IF($M10="",0,INDEX(伝票元!$N$6:$N$511,$M10))=1,INDEX(伝票元!$R$6:$R$511,$M10),"")</f>
        <v/>
      </c>
      <c r="L10" s="47" t="str">
        <f aca="false">IF($M10="","",INDEX(伝票元!$S$6:$S$511,$M10))</f>
        <v/>
      </c>
      <c r="M10" s="47" t="str">
        <f aca="false">IFERROR(MATCH(4,伝票元!$O$6:$O$511,0),"")</f>
        <v/>
      </c>
    </row>
    <row r="11" customFormat="false" ht="15" hidden="false" customHeight="false" outlineLevel="0" collapsed="false">
      <c r="A11" s="10" t="str">
        <f aca="false">IF($M11="","",INDEX(伝票元!$P$6:$P$511,$M11))</f>
        <v/>
      </c>
      <c r="B11" s="45" t="str">
        <f aca="false">IF($M11="","",INDEX(伝票元!$D$6:$D$511,$M11))</f>
        <v/>
      </c>
      <c r="C11" s="10" t="str">
        <f aca="false">IF($M11="","",INDEX(伝票元!$E$6:$E$511,$M11))</f>
        <v/>
      </c>
      <c r="D11" s="45" t="str">
        <f aca="false">IF($M11="","",INDEX(伝票元!$A$6:$A$511,$M11))</f>
        <v/>
      </c>
      <c r="E11" s="10" t="str">
        <f aca="false">IF(IF($M11="",0,INDEX(伝票元!$N$6:$N$511,$M11))=1,INDEX(伝票元!$I$6:$I$511,$M11),"")</f>
        <v/>
      </c>
      <c r="F11" s="45" t="str">
        <f aca="false">IF(IF($M11="",0,INDEX(伝票元!$N$6:$N$511,$M11))=1,INDEX(伝票元!$J$6:$J$511,$M11),"")</f>
        <v/>
      </c>
      <c r="G11" s="42" t="str">
        <f aca="false">IF(IF($M11="",0,INDEX(伝票元!$N$6:$N$511,$M11))=1,INDEX(伝票元!$Q$6:$Q$511,$M11),"")</f>
        <v/>
      </c>
      <c r="H11" s="45" t="str">
        <f aca="false">IF($M11="","",INDEX(伝票元!$F$6:$F$511,$M11))</f>
        <v/>
      </c>
      <c r="I11" s="45" t="str">
        <f aca="false">IF($M11="","",INDEX(伝票元!$G$6:$G$511,$M11))</f>
        <v/>
      </c>
      <c r="J11" s="42" t="str">
        <f aca="false">IF($M11="","",INDEX(伝票元!$H$6:$H$511,$M11))</f>
        <v/>
      </c>
      <c r="K11" s="46" t="str">
        <f aca="false">IF(IF($M11="",0,INDEX(伝票元!$N$6:$N$511,$M11))=1,INDEX(伝票元!$R$6:$R$511,$M11),"")</f>
        <v/>
      </c>
      <c r="L11" s="47" t="str">
        <f aca="false">IF($M11="","",INDEX(伝票元!$S$6:$S$511,$M11))</f>
        <v/>
      </c>
      <c r="M11" s="47" t="str">
        <f aca="false">IFERROR(MATCH(5,伝票元!$O$6:$O$511,0),"")</f>
        <v/>
      </c>
    </row>
    <row r="12" customFormat="false" ht="15" hidden="false" customHeight="false" outlineLevel="0" collapsed="false">
      <c r="A12" s="10" t="str">
        <f aca="false">IF($M12="","",INDEX(伝票元!$P$6:$P$511,$M12))</f>
        <v/>
      </c>
      <c r="B12" s="45" t="str">
        <f aca="false">IF($M12="","",INDEX(伝票元!$D$6:$D$511,$M12))</f>
        <v/>
      </c>
      <c r="C12" s="10" t="str">
        <f aca="false">IF($M12="","",INDEX(伝票元!$E$6:$E$511,$M12))</f>
        <v/>
      </c>
      <c r="D12" s="45" t="str">
        <f aca="false">IF($M12="","",INDEX(伝票元!$A$6:$A$511,$M12))</f>
        <v/>
      </c>
      <c r="E12" s="10" t="str">
        <f aca="false">IF(IF($M12="",0,INDEX(伝票元!$N$6:$N$511,$M12))=1,INDEX(伝票元!$I$6:$I$511,$M12),"")</f>
        <v/>
      </c>
      <c r="F12" s="45" t="str">
        <f aca="false">IF(IF($M12="",0,INDEX(伝票元!$N$6:$N$511,$M12))=1,INDEX(伝票元!$J$6:$J$511,$M12),"")</f>
        <v/>
      </c>
      <c r="G12" s="42" t="str">
        <f aca="false">IF(IF($M12="",0,INDEX(伝票元!$N$6:$N$511,$M12))=1,INDEX(伝票元!$Q$6:$Q$511,$M12),"")</f>
        <v/>
      </c>
      <c r="H12" s="45" t="str">
        <f aca="false">IF($M12="","",INDEX(伝票元!$F$6:$F$511,$M12))</f>
        <v/>
      </c>
      <c r="I12" s="45" t="str">
        <f aca="false">IF($M12="","",INDEX(伝票元!$G$6:$G$511,$M12))</f>
        <v/>
      </c>
      <c r="J12" s="42" t="str">
        <f aca="false">IF($M12="","",INDEX(伝票元!$H$6:$H$511,$M12))</f>
        <v/>
      </c>
      <c r="K12" s="46" t="str">
        <f aca="false">IF(IF($M12="",0,INDEX(伝票元!$N$6:$N$511,$M12))=1,INDEX(伝票元!$R$6:$R$511,$M12),"")</f>
        <v/>
      </c>
      <c r="L12" s="47" t="str">
        <f aca="false">IF($M12="","",INDEX(伝票元!$S$6:$S$511,$M12))</f>
        <v/>
      </c>
      <c r="M12" s="47" t="str">
        <f aca="false">IFERROR(MATCH(6,伝票元!$O$6:$O$511,0),"")</f>
        <v/>
      </c>
    </row>
    <row r="13" customFormat="false" ht="15" hidden="false" customHeight="false" outlineLevel="0" collapsed="false">
      <c r="A13" s="10" t="str">
        <f aca="false">IF($M13="","",INDEX(伝票元!$P$6:$P$511,$M13))</f>
        <v/>
      </c>
      <c r="B13" s="45" t="str">
        <f aca="false">IF($M13="","",INDEX(伝票元!$D$6:$D$511,$M13))</f>
        <v/>
      </c>
      <c r="C13" s="10" t="str">
        <f aca="false">IF($M13="","",INDEX(伝票元!$E$6:$E$511,$M13))</f>
        <v/>
      </c>
      <c r="D13" s="45" t="str">
        <f aca="false">IF($M13="","",INDEX(伝票元!$A$6:$A$511,$M13))</f>
        <v/>
      </c>
      <c r="E13" s="10" t="str">
        <f aca="false">IF(IF($M13="",0,INDEX(伝票元!$N$6:$N$511,$M13))=1,INDEX(伝票元!$I$6:$I$511,$M13),"")</f>
        <v/>
      </c>
      <c r="F13" s="45" t="str">
        <f aca="false">IF(IF($M13="",0,INDEX(伝票元!$N$6:$N$511,$M13))=1,INDEX(伝票元!$J$6:$J$511,$M13),"")</f>
        <v/>
      </c>
      <c r="G13" s="42" t="str">
        <f aca="false">IF(IF($M13="",0,INDEX(伝票元!$N$6:$N$511,$M13))=1,INDEX(伝票元!$Q$6:$Q$511,$M13),"")</f>
        <v/>
      </c>
      <c r="H13" s="45" t="str">
        <f aca="false">IF($M13="","",INDEX(伝票元!$F$6:$F$511,$M13))</f>
        <v/>
      </c>
      <c r="I13" s="45" t="str">
        <f aca="false">IF($M13="","",INDEX(伝票元!$G$6:$G$511,$M13))</f>
        <v/>
      </c>
      <c r="J13" s="42" t="str">
        <f aca="false">IF($M13="","",INDEX(伝票元!$H$6:$H$511,$M13))</f>
        <v/>
      </c>
      <c r="K13" s="46" t="str">
        <f aca="false">IF(IF($M13="",0,INDEX(伝票元!$N$6:$N$511,$M13))=1,INDEX(伝票元!$R$6:$R$511,$M13),"")</f>
        <v/>
      </c>
      <c r="L13" s="47" t="str">
        <f aca="false">IF($M13="","",INDEX(伝票元!$S$6:$S$511,$M13))</f>
        <v/>
      </c>
      <c r="M13" s="47" t="str">
        <f aca="false">IFERROR(MATCH(7,伝票元!$O$6:$O$511,0),"")</f>
        <v/>
      </c>
    </row>
    <row r="14" customFormat="false" ht="15" hidden="false" customHeight="false" outlineLevel="0" collapsed="false">
      <c r="A14" s="10" t="str">
        <f aca="false">IF($M14="","",INDEX(伝票元!$P$6:$P$511,$M14))</f>
        <v/>
      </c>
      <c r="B14" s="45" t="str">
        <f aca="false">IF($M14="","",INDEX(伝票元!$D$6:$D$511,$M14))</f>
        <v/>
      </c>
      <c r="C14" s="10" t="str">
        <f aca="false">IF($M14="","",INDEX(伝票元!$E$6:$E$511,$M14))</f>
        <v/>
      </c>
      <c r="D14" s="45" t="str">
        <f aca="false">IF($M14="","",INDEX(伝票元!$A$6:$A$511,$M14))</f>
        <v/>
      </c>
      <c r="E14" s="10" t="str">
        <f aca="false">IF(IF($M14="",0,INDEX(伝票元!$N$6:$N$511,$M14))=1,INDEX(伝票元!$I$6:$I$511,$M14),"")</f>
        <v/>
      </c>
      <c r="F14" s="45" t="str">
        <f aca="false">IF(IF($M14="",0,INDEX(伝票元!$N$6:$N$511,$M14))=1,INDEX(伝票元!$J$6:$J$511,$M14),"")</f>
        <v/>
      </c>
      <c r="G14" s="42" t="str">
        <f aca="false">IF(IF($M14="",0,INDEX(伝票元!$N$6:$N$511,$M14))=1,INDEX(伝票元!$Q$6:$Q$511,$M14),"")</f>
        <v/>
      </c>
      <c r="H14" s="45" t="str">
        <f aca="false">IF($M14="","",INDEX(伝票元!$F$6:$F$511,$M14))</f>
        <v/>
      </c>
      <c r="I14" s="45" t="str">
        <f aca="false">IF($M14="","",INDEX(伝票元!$G$6:$G$511,$M14))</f>
        <v/>
      </c>
      <c r="J14" s="42" t="str">
        <f aca="false">IF($M14="","",INDEX(伝票元!$H$6:$H$511,$M14))</f>
        <v/>
      </c>
      <c r="K14" s="46" t="str">
        <f aca="false">IF(IF($M14="",0,INDEX(伝票元!$N$6:$N$511,$M14))=1,INDEX(伝票元!$R$6:$R$511,$M14),"")</f>
        <v/>
      </c>
      <c r="L14" s="47" t="str">
        <f aca="false">IF($M14="","",INDEX(伝票元!$S$6:$S$511,$M14))</f>
        <v/>
      </c>
      <c r="M14" s="47" t="str">
        <f aca="false">IFERROR(MATCH(8,伝票元!$O$6:$O$511,0),"")</f>
        <v/>
      </c>
    </row>
    <row r="15" customFormat="false" ht="15" hidden="false" customHeight="false" outlineLevel="0" collapsed="false">
      <c r="A15" s="10" t="str">
        <f aca="false">IF($M15="","",INDEX(伝票元!$P$6:$P$511,$M15))</f>
        <v/>
      </c>
      <c r="B15" s="45" t="str">
        <f aca="false">IF($M15="","",INDEX(伝票元!$D$6:$D$511,$M15))</f>
        <v/>
      </c>
      <c r="C15" s="10" t="str">
        <f aca="false">IF($M15="","",INDEX(伝票元!$E$6:$E$511,$M15))</f>
        <v/>
      </c>
      <c r="D15" s="45" t="str">
        <f aca="false">IF($M15="","",INDEX(伝票元!$A$6:$A$511,$M15))</f>
        <v/>
      </c>
      <c r="E15" s="10" t="str">
        <f aca="false">IF(IF($M15="",0,INDEX(伝票元!$N$6:$N$511,$M15))=1,INDEX(伝票元!$I$6:$I$511,$M15),"")</f>
        <v/>
      </c>
      <c r="F15" s="45" t="str">
        <f aca="false">IF(IF($M15="",0,INDEX(伝票元!$N$6:$N$511,$M15))=1,INDEX(伝票元!$J$6:$J$511,$M15),"")</f>
        <v/>
      </c>
      <c r="G15" s="42" t="str">
        <f aca="false">IF(IF($M15="",0,INDEX(伝票元!$N$6:$N$511,$M15))=1,INDEX(伝票元!$Q$6:$Q$511,$M15),"")</f>
        <v/>
      </c>
      <c r="H15" s="45" t="str">
        <f aca="false">IF($M15="","",INDEX(伝票元!$F$6:$F$511,$M15))</f>
        <v/>
      </c>
      <c r="I15" s="45" t="str">
        <f aca="false">IF($M15="","",INDEX(伝票元!$G$6:$G$511,$M15))</f>
        <v/>
      </c>
      <c r="J15" s="42" t="str">
        <f aca="false">IF($M15="","",INDEX(伝票元!$H$6:$H$511,$M15))</f>
        <v/>
      </c>
      <c r="K15" s="46" t="str">
        <f aca="false">IF(IF($M15="",0,INDEX(伝票元!$N$6:$N$511,$M15))=1,INDEX(伝票元!$R$6:$R$511,$M15),"")</f>
        <v/>
      </c>
      <c r="L15" s="47" t="str">
        <f aca="false">IF($M15="","",INDEX(伝票元!$S$6:$S$511,$M15))</f>
        <v/>
      </c>
      <c r="M15" s="47" t="str">
        <f aca="false">IFERROR(MATCH(9,伝票元!$O$6:$O$511,0),"")</f>
        <v/>
      </c>
    </row>
    <row r="16" customFormat="false" ht="15" hidden="false" customHeight="false" outlineLevel="0" collapsed="false">
      <c r="A16" s="10" t="str">
        <f aca="false">IF($M16="","",INDEX(伝票元!$P$6:$P$511,$M16))</f>
        <v/>
      </c>
      <c r="B16" s="45" t="str">
        <f aca="false">IF($M16="","",INDEX(伝票元!$D$6:$D$511,$M16))</f>
        <v/>
      </c>
      <c r="C16" s="10" t="str">
        <f aca="false">IF($M16="","",INDEX(伝票元!$E$6:$E$511,$M16))</f>
        <v/>
      </c>
      <c r="D16" s="45" t="str">
        <f aca="false">IF($M16="","",INDEX(伝票元!$A$6:$A$511,$M16))</f>
        <v/>
      </c>
      <c r="E16" s="10" t="str">
        <f aca="false">IF(IF($M16="",0,INDEX(伝票元!$N$6:$N$511,$M16))=1,INDEX(伝票元!$I$6:$I$511,$M16),"")</f>
        <v/>
      </c>
      <c r="F16" s="45" t="str">
        <f aca="false">IF(IF($M16="",0,INDEX(伝票元!$N$6:$N$511,$M16))=1,INDEX(伝票元!$J$6:$J$511,$M16),"")</f>
        <v/>
      </c>
      <c r="G16" s="42" t="str">
        <f aca="false">IF(IF($M16="",0,INDEX(伝票元!$N$6:$N$511,$M16))=1,INDEX(伝票元!$Q$6:$Q$511,$M16),"")</f>
        <v/>
      </c>
      <c r="H16" s="45" t="str">
        <f aca="false">IF($M16="","",INDEX(伝票元!$F$6:$F$511,$M16))</f>
        <v/>
      </c>
      <c r="I16" s="45" t="str">
        <f aca="false">IF($M16="","",INDEX(伝票元!$G$6:$G$511,$M16))</f>
        <v/>
      </c>
      <c r="J16" s="42" t="str">
        <f aca="false">IF($M16="","",INDEX(伝票元!$H$6:$H$511,$M16))</f>
        <v/>
      </c>
      <c r="K16" s="46" t="str">
        <f aca="false">IF(IF($M16="",0,INDEX(伝票元!$N$6:$N$511,$M16))=1,INDEX(伝票元!$R$6:$R$511,$M16),"")</f>
        <v/>
      </c>
      <c r="L16" s="47" t="str">
        <f aca="false">IF($M16="","",INDEX(伝票元!$S$6:$S$511,$M16))</f>
        <v/>
      </c>
      <c r="M16" s="47" t="str">
        <f aca="false">IFERROR(MATCH(10,伝票元!$O$6:$O$511,0),"")</f>
        <v/>
      </c>
    </row>
    <row r="17" customFormat="false" ht="15" hidden="false" customHeight="false" outlineLevel="0" collapsed="false">
      <c r="A17" s="10" t="str">
        <f aca="false">IF($M17="","",INDEX(伝票元!$P$6:$P$511,$M17))</f>
        <v/>
      </c>
      <c r="B17" s="45" t="str">
        <f aca="false">IF($M17="","",INDEX(伝票元!$D$6:$D$511,$M17))</f>
        <v/>
      </c>
      <c r="C17" s="10" t="str">
        <f aca="false">IF($M17="","",INDEX(伝票元!$E$6:$E$511,$M17))</f>
        <v/>
      </c>
      <c r="D17" s="45" t="str">
        <f aca="false">IF($M17="","",INDEX(伝票元!$A$6:$A$511,$M17))</f>
        <v/>
      </c>
      <c r="E17" s="10" t="str">
        <f aca="false">IF(IF($M17="",0,INDEX(伝票元!$N$6:$N$511,$M17))=1,INDEX(伝票元!$I$6:$I$511,$M17),"")</f>
        <v/>
      </c>
      <c r="F17" s="45" t="str">
        <f aca="false">IF(IF($M17="",0,INDEX(伝票元!$N$6:$N$511,$M17))=1,INDEX(伝票元!$J$6:$J$511,$M17),"")</f>
        <v/>
      </c>
      <c r="G17" s="42" t="str">
        <f aca="false">IF(IF($M17="",0,INDEX(伝票元!$N$6:$N$511,$M17))=1,INDEX(伝票元!$Q$6:$Q$511,$M17),"")</f>
        <v/>
      </c>
      <c r="H17" s="45" t="str">
        <f aca="false">IF($M17="","",INDEX(伝票元!$F$6:$F$511,$M17))</f>
        <v/>
      </c>
      <c r="I17" s="45" t="str">
        <f aca="false">IF($M17="","",INDEX(伝票元!$G$6:$G$511,$M17))</f>
        <v/>
      </c>
      <c r="J17" s="42" t="str">
        <f aca="false">IF($M17="","",INDEX(伝票元!$H$6:$H$511,$M17))</f>
        <v/>
      </c>
      <c r="K17" s="46" t="str">
        <f aca="false">IF(IF($M17="",0,INDEX(伝票元!$N$6:$N$511,$M17))=1,INDEX(伝票元!$R$6:$R$511,$M17),"")</f>
        <v/>
      </c>
      <c r="L17" s="47" t="str">
        <f aca="false">IF($M17="","",INDEX(伝票元!$S$6:$S$511,$M17))</f>
        <v/>
      </c>
      <c r="M17" s="47" t="str">
        <f aca="false">IFERROR(MATCH(11,伝票元!$O$6:$O$511,0),"")</f>
        <v/>
      </c>
    </row>
    <row r="18" customFormat="false" ht="15" hidden="false" customHeight="false" outlineLevel="0" collapsed="false">
      <c r="A18" s="10" t="str">
        <f aca="false">IF($M18="","",INDEX(伝票元!$P$6:$P$511,$M18))</f>
        <v/>
      </c>
      <c r="B18" s="45" t="str">
        <f aca="false">IF($M18="","",INDEX(伝票元!$D$6:$D$511,$M18))</f>
        <v/>
      </c>
      <c r="C18" s="10" t="str">
        <f aca="false">IF($M18="","",INDEX(伝票元!$E$6:$E$511,$M18))</f>
        <v/>
      </c>
      <c r="D18" s="45" t="str">
        <f aca="false">IF($M18="","",INDEX(伝票元!$A$6:$A$511,$M18))</f>
        <v/>
      </c>
      <c r="E18" s="10" t="str">
        <f aca="false">IF(IF($M18="",0,INDEX(伝票元!$N$6:$N$511,$M18))=1,INDEX(伝票元!$I$6:$I$511,$M18),"")</f>
        <v/>
      </c>
      <c r="F18" s="45" t="str">
        <f aca="false">IF(IF($M18="",0,INDEX(伝票元!$N$6:$N$511,$M18))=1,INDEX(伝票元!$J$6:$J$511,$M18),"")</f>
        <v/>
      </c>
      <c r="G18" s="42" t="str">
        <f aca="false">IF(IF($M18="",0,INDEX(伝票元!$N$6:$N$511,$M18))=1,INDEX(伝票元!$Q$6:$Q$511,$M18),"")</f>
        <v/>
      </c>
      <c r="H18" s="45" t="str">
        <f aca="false">IF($M18="","",INDEX(伝票元!$F$6:$F$511,$M18))</f>
        <v/>
      </c>
      <c r="I18" s="45" t="str">
        <f aca="false">IF($M18="","",INDEX(伝票元!$G$6:$G$511,$M18))</f>
        <v/>
      </c>
      <c r="J18" s="42" t="str">
        <f aca="false">IF($M18="","",INDEX(伝票元!$H$6:$H$511,$M18))</f>
        <v/>
      </c>
      <c r="K18" s="46" t="str">
        <f aca="false">IF(IF($M18="",0,INDEX(伝票元!$N$6:$N$511,$M18))=1,INDEX(伝票元!$R$6:$R$511,$M18),"")</f>
        <v/>
      </c>
      <c r="L18" s="47" t="str">
        <f aca="false">IF($M18="","",INDEX(伝票元!$S$6:$S$511,$M18))</f>
        <v/>
      </c>
      <c r="M18" s="47" t="str">
        <f aca="false">IFERROR(MATCH(12,伝票元!$O$6:$O$511,0),"")</f>
        <v/>
      </c>
    </row>
    <row r="19" customFormat="false" ht="15" hidden="false" customHeight="false" outlineLevel="0" collapsed="false">
      <c r="A19" s="10" t="str">
        <f aca="false">IF($M19="","",INDEX(伝票元!$P$6:$P$511,$M19))</f>
        <v/>
      </c>
      <c r="B19" s="45" t="str">
        <f aca="false">IF($M19="","",INDEX(伝票元!$D$6:$D$511,$M19))</f>
        <v/>
      </c>
      <c r="C19" s="10" t="str">
        <f aca="false">IF($M19="","",INDEX(伝票元!$E$6:$E$511,$M19))</f>
        <v/>
      </c>
      <c r="D19" s="45" t="str">
        <f aca="false">IF($M19="","",INDEX(伝票元!$A$6:$A$511,$M19))</f>
        <v/>
      </c>
      <c r="E19" s="10" t="str">
        <f aca="false">IF(IF($M19="",0,INDEX(伝票元!$N$6:$N$511,$M19))=1,INDEX(伝票元!$I$6:$I$511,$M19),"")</f>
        <v/>
      </c>
      <c r="F19" s="45" t="str">
        <f aca="false">IF(IF($M19="",0,INDEX(伝票元!$N$6:$N$511,$M19))=1,INDEX(伝票元!$J$6:$J$511,$M19),"")</f>
        <v/>
      </c>
      <c r="G19" s="42" t="str">
        <f aca="false">IF(IF($M19="",0,INDEX(伝票元!$N$6:$N$511,$M19))=1,INDEX(伝票元!$Q$6:$Q$511,$M19),"")</f>
        <v/>
      </c>
      <c r="H19" s="45" t="str">
        <f aca="false">IF($M19="","",INDEX(伝票元!$F$6:$F$511,$M19))</f>
        <v/>
      </c>
      <c r="I19" s="45" t="str">
        <f aca="false">IF($M19="","",INDEX(伝票元!$G$6:$G$511,$M19))</f>
        <v/>
      </c>
      <c r="J19" s="42" t="str">
        <f aca="false">IF($M19="","",INDEX(伝票元!$H$6:$H$511,$M19))</f>
        <v/>
      </c>
      <c r="K19" s="46" t="str">
        <f aca="false">IF(IF($M19="",0,INDEX(伝票元!$N$6:$N$511,$M19))=1,INDEX(伝票元!$R$6:$R$511,$M19),"")</f>
        <v/>
      </c>
      <c r="L19" s="47" t="str">
        <f aca="false">IF($M19="","",INDEX(伝票元!$S$6:$S$511,$M19))</f>
        <v/>
      </c>
      <c r="M19" s="47" t="str">
        <f aca="false">IFERROR(MATCH(13,伝票元!$O$6:$O$511,0),"")</f>
        <v/>
      </c>
    </row>
    <row r="20" customFormat="false" ht="15" hidden="false" customHeight="false" outlineLevel="0" collapsed="false">
      <c r="A20" s="10" t="str">
        <f aca="false">IF($M20="","",INDEX(伝票元!$P$6:$P$511,$M20))</f>
        <v/>
      </c>
      <c r="B20" s="45" t="str">
        <f aca="false">IF($M20="","",INDEX(伝票元!$D$6:$D$511,$M20))</f>
        <v/>
      </c>
      <c r="C20" s="10" t="str">
        <f aca="false">IF($M20="","",INDEX(伝票元!$E$6:$E$511,$M20))</f>
        <v/>
      </c>
      <c r="D20" s="45" t="str">
        <f aca="false">IF($M20="","",INDEX(伝票元!$A$6:$A$511,$M20))</f>
        <v/>
      </c>
      <c r="E20" s="10" t="str">
        <f aca="false">IF(IF($M20="",0,INDEX(伝票元!$N$6:$N$511,$M20))=1,INDEX(伝票元!$I$6:$I$511,$M20),"")</f>
        <v/>
      </c>
      <c r="F20" s="45" t="str">
        <f aca="false">IF(IF($M20="",0,INDEX(伝票元!$N$6:$N$511,$M20))=1,INDEX(伝票元!$J$6:$J$511,$M20),"")</f>
        <v/>
      </c>
      <c r="G20" s="42" t="str">
        <f aca="false">IF(IF($M20="",0,INDEX(伝票元!$N$6:$N$511,$M20))=1,INDEX(伝票元!$Q$6:$Q$511,$M20),"")</f>
        <v/>
      </c>
      <c r="H20" s="45" t="str">
        <f aca="false">IF($M20="","",INDEX(伝票元!$F$6:$F$511,$M20))</f>
        <v/>
      </c>
      <c r="I20" s="45" t="str">
        <f aca="false">IF($M20="","",INDEX(伝票元!$G$6:$G$511,$M20))</f>
        <v/>
      </c>
      <c r="J20" s="42" t="str">
        <f aca="false">IF($M20="","",INDEX(伝票元!$H$6:$H$511,$M20))</f>
        <v/>
      </c>
      <c r="K20" s="46" t="str">
        <f aca="false">IF(IF($M20="",0,INDEX(伝票元!$N$6:$N$511,$M20))=1,INDEX(伝票元!$R$6:$R$511,$M20),"")</f>
        <v/>
      </c>
      <c r="L20" s="47" t="str">
        <f aca="false">IF($M20="","",INDEX(伝票元!$S$6:$S$511,$M20))</f>
        <v/>
      </c>
      <c r="M20" s="47" t="str">
        <f aca="false">IFERROR(MATCH(14,伝票元!$O$6:$O$511,0),"")</f>
        <v/>
      </c>
    </row>
    <row r="21" customFormat="false" ht="15" hidden="false" customHeight="false" outlineLevel="0" collapsed="false">
      <c r="A21" s="10" t="str">
        <f aca="false">IF($M21="","",INDEX(伝票元!$P$6:$P$511,$M21))</f>
        <v/>
      </c>
      <c r="B21" s="45" t="str">
        <f aca="false">IF($M21="","",INDEX(伝票元!$D$6:$D$511,$M21))</f>
        <v/>
      </c>
      <c r="C21" s="10" t="str">
        <f aca="false">IF($M21="","",INDEX(伝票元!$E$6:$E$511,$M21))</f>
        <v/>
      </c>
      <c r="D21" s="45" t="str">
        <f aca="false">IF($M21="","",INDEX(伝票元!$A$6:$A$511,$M21))</f>
        <v/>
      </c>
      <c r="E21" s="10" t="str">
        <f aca="false">IF(IF($M21="",0,INDEX(伝票元!$N$6:$N$511,$M21))=1,INDEX(伝票元!$I$6:$I$511,$M21),"")</f>
        <v/>
      </c>
      <c r="F21" s="45" t="str">
        <f aca="false">IF(IF($M21="",0,INDEX(伝票元!$N$6:$N$511,$M21))=1,INDEX(伝票元!$J$6:$J$511,$M21),"")</f>
        <v/>
      </c>
      <c r="G21" s="42" t="str">
        <f aca="false">IF(IF($M21="",0,INDEX(伝票元!$N$6:$N$511,$M21))=1,INDEX(伝票元!$Q$6:$Q$511,$M21),"")</f>
        <v/>
      </c>
      <c r="H21" s="45" t="str">
        <f aca="false">IF($M21="","",INDEX(伝票元!$F$6:$F$511,$M21))</f>
        <v/>
      </c>
      <c r="I21" s="45" t="str">
        <f aca="false">IF($M21="","",INDEX(伝票元!$G$6:$G$511,$M21))</f>
        <v/>
      </c>
      <c r="J21" s="42" t="str">
        <f aca="false">IF($M21="","",INDEX(伝票元!$H$6:$H$511,$M21))</f>
        <v/>
      </c>
      <c r="K21" s="46" t="str">
        <f aca="false">IF(IF($M21="",0,INDEX(伝票元!$N$6:$N$511,$M21))=1,INDEX(伝票元!$R$6:$R$511,$M21),"")</f>
        <v/>
      </c>
      <c r="L21" s="47" t="str">
        <f aca="false">IF($M21="","",INDEX(伝票元!$S$6:$S$511,$M21))</f>
        <v/>
      </c>
      <c r="M21" s="47" t="str">
        <f aca="false">IFERROR(MATCH(15,伝票元!$O$6:$O$511,0),"")</f>
        <v/>
      </c>
    </row>
    <row r="22" customFormat="false" ht="15" hidden="false" customHeight="false" outlineLevel="0" collapsed="false">
      <c r="A22" s="10" t="str">
        <f aca="false">IF($M22="","",INDEX(伝票元!$P$6:$P$511,$M22))</f>
        <v/>
      </c>
      <c r="B22" s="45" t="str">
        <f aca="false">IF($M22="","",INDEX(伝票元!$D$6:$D$511,$M22))</f>
        <v/>
      </c>
      <c r="C22" s="10" t="str">
        <f aca="false">IF($M22="","",INDEX(伝票元!$E$6:$E$511,$M22))</f>
        <v/>
      </c>
      <c r="D22" s="45" t="str">
        <f aca="false">IF($M22="","",INDEX(伝票元!$A$6:$A$511,$M22))</f>
        <v/>
      </c>
      <c r="E22" s="10" t="str">
        <f aca="false">IF(IF($M22="",0,INDEX(伝票元!$N$6:$N$511,$M22))=1,INDEX(伝票元!$I$6:$I$511,$M22),"")</f>
        <v/>
      </c>
      <c r="F22" s="45" t="str">
        <f aca="false">IF(IF($M22="",0,INDEX(伝票元!$N$6:$N$511,$M22))=1,INDEX(伝票元!$J$6:$J$511,$M22),"")</f>
        <v/>
      </c>
      <c r="G22" s="42" t="str">
        <f aca="false">IF(IF($M22="",0,INDEX(伝票元!$N$6:$N$511,$M22))=1,INDEX(伝票元!$Q$6:$Q$511,$M22),"")</f>
        <v/>
      </c>
      <c r="H22" s="45" t="str">
        <f aca="false">IF($M22="","",INDEX(伝票元!$F$6:$F$511,$M22))</f>
        <v/>
      </c>
      <c r="I22" s="45" t="str">
        <f aca="false">IF($M22="","",INDEX(伝票元!$G$6:$G$511,$M22))</f>
        <v/>
      </c>
      <c r="J22" s="42" t="str">
        <f aca="false">IF($M22="","",INDEX(伝票元!$H$6:$H$511,$M22))</f>
        <v/>
      </c>
      <c r="K22" s="46" t="str">
        <f aca="false">IF(IF($M22="",0,INDEX(伝票元!$N$6:$N$511,$M22))=1,INDEX(伝票元!$R$6:$R$511,$M22),"")</f>
        <v/>
      </c>
      <c r="L22" s="47" t="str">
        <f aca="false">IF($M22="","",INDEX(伝票元!$S$6:$S$511,$M22))</f>
        <v/>
      </c>
      <c r="M22" s="47" t="str">
        <f aca="false">IFERROR(MATCH(16,伝票元!$O$6:$O$511,0),"")</f>
        <v/>
      </c>
    </row>
    <row r="23" customFormat="false" ht="15" hidden="false" customHeight="false" outlineLevel="0" collapsed="false">
      <c r="A23" s="10" t="str">
        <f aca="false">IF($M23="","",INDEX(伝票元!$P$6:$P$511,$M23))</f>
        <v/>
      </c>
      <c r="B23" s="45" t="str">
        <f aca="false">IF($M23="","",INDEX(伝票元!$D$6:$D$511,$M23))</f>
        <v/>
      </c>
      <c r="C23" s="10" t="str">
        <f aca="false">IF($M23="","",INDEX(伝票元!$E$6:$E$511,$M23))</f>
        <v/>
      </c>
      <c r="D23" s="45" t="str">
        <f aca="false">IF($M23="","",INDEX(伝票元!$A$6:$A$511,$M23))</f>
        <v/>
      </c>
      <c r="E23" s="10" t="str">
        <f aca="false">IF(IF($M23="",0,INDEX(伝票元!$N$6:$N$511,$M23))=1,INDEX(伝票元!$I$6:$I$511,$M23),"")</f>
        <v/>
      </c>
      <c r="F23" s="45" t="str">
        <f aca="false">IF(IF($M23="",0,INDEX(伝票元!$N$6:$N$511,$M23))=1,INDEX(伝票元!$J$6:$J$511,$M23),"")</f>
        <v/>
      </c>
      <c r="G23" s="42" t="str">
        <f aca="false">IF(IF($M23="",0,INDEX(伝票元!$N$6:$N$511,$M23))=1,INDEX(伝票元!$Q$6:$Q$511,$M23),"")</f>
        <v/>
      </c>
      <c r="H23" s="45" t="str">
        <f aca="false">IF($M23="","",INDEX(伝票元!$F$6:$F$511,$M23))</f>
        <v/>
      </c>
      <c r="I23" s="45" t="str">
        <f aca="false">IF($M23="","",INDEX(伝票元!$G$6:$G$511,$M23))</f>
        <v/>
      </c>
      <c r="J23" s="42" t="str">
        <f aca="false">IF($M23="","",INDEX(伝票元!$H$6:$H$511,$M23))</f>
        <v/>
      </c>
      <c r="K23" s="46" t="str">
        <f aca="false">IF(IF($M23="",0,INDEX(伝票元!$N$6:$N$511,$M23))=1,INDEX(伝票元!$R$6:$R$511,$M23),"")</f>
        <v/>
      </c>
      <c r="L23" s="47" t="str">
        <f aca="false">IF($M23="","",INDEX(伝票元!$S$6:$S$511,$M23))</f>
        <v/>
      </c>
      <c r="M23" s="47" t="str">
        <f aca="false">IFERROR(MATCH(17,伝票元!$O$6:$O$511,0),"")</f>
        <v/>
      </c>
    </row>
    <row r="24" customFormat="false" ht="15" hidden="false" customHeight="false" outlineLevel="0" collapsed="false">
      <c r="A24" s="10" t="str">
        <f aca="false">IF($M24="","",INDEX(伝票元!$P$6:$P$511,$M24))</f>
        <v/>
      </c>
      <c r="B24" s="45" t="str">
        <f aca="false">IF($M24="","",INDEX(伝票元!$D$6:$D$511,$M24))</f>
        <v/>
      </c>
      <c r="C24" s="10" t="str">
        <f aca="false">IF($M24="","",INDEX(伝票元!$E$6:$E$511,$M24))</f>
        <v/>
      </c>
      <c r="D24" s="45" t="str">
        <f aca="false">IF($M24="","",INDEX(伝票元!$A$6:$A$511,$M24))</f>
        <v/>
      </c>
      <c r="E24" s="10" t="str">
        <f aca="false">IF(IF($M24="",0,INDEX(伝票元!$N$6:$N$511,$M24))=1,INDEX(伝票元!$I$6:$I$511,$M24),"")</f>
        <v/>
      </c>
      <c r="F24" s="45" t="str">
        <f aca="false">IF(IF($M24="",0,INDEX(伝票元!$N$6:$N$511,$M24))=1,INDEX(伝票元!$J$6:$J$511,$M24),"")</f>
        <v/>
      </c>
      <c r="G24" s="42" t="str">
        <f aca="false">IF(IF($M24="",0,INDEX(伝票元!$N$6:$N$511,$M24))=1,INDEX(伝票元!$Q$6:$Q$511,$M24),"")</f>
        <v/>
      </c>
      <c r="H24" s="45" t="str">
        <f aca="false">IF($M24="","",INDEX(伝票元!$F$6:$F$511,$M24))</f>
        <v/>
      </c>
      <c r="I24" s="45" t="str">
        <f aca="false">IF($M24="","",INDEX(伝票元!$G$6:$G$511,$M24))</f>
        <v/>
      </c>
      <c r="J24" s="42" t="str">
        <f aca="false">IF($M24="","",INDEX(伝票元!$H$6:$H$511,$M24))</f>
        <v/>
      </c>
      <c r="K24" s="46" t="str">
        <f aca="false">IF(IF($M24="",0,INDEX(伝票元!$N$6:$N$511,$M24))=1,INDEX(伝票元!$R$6:$R$511,$M24),"")</f>
        <v/>
      </c>
      <c r="L24" s="47" t="str">
        <f aca="false">IF($M24="","",INDEX(伝票元!$S$6:$S$511,$M24))</f>
        <v/>
      </c>
      <c r="M24" s="47" t="str">
        <f aca="false">IFERROR(MATCH(18,伝票元!$O$6:$O$511,0),"")</f>
        <v/>
      </c>
    </row>
    <row r="25" customFormat="false" ht="15" hidden="false" customHeight="false" outlineLevel="0" collapsed="false">
      <c r="A25" s="10" t="str">
        <f aca="false">IF($M25="","",INDEX(伝票元!$P$6:$P$511,$M25))</f>
        <v/>
      </c>
      <c r="B25" s="45" t="str">
        <f aca="false">IF($M25="","",INDEX(伝票元!$D$6:$D$511,$M25))</f>
        <v/>
      </c>
      <c r="C25" s="10" t="str">
        <f aca="false">IF($M25="","",INDEX(伝票元!$E$6:$E$511,$M25))</f>
        <v/>
      </c>
      <c r="D25" s="45" t="str">
        <f aca="false">IF($M25="","",INDEX(伝票元!$A$6:$A$511,$M25))</f>
        <v/>
      </c>
      <c r="E25" s="10" t="str">
        <f aca="false">IF(IF($M25="",0,INDEX(伝票元!$N$6:$N$511,$M25))=1,INDEX(伝票元!$I$6:$I$511,$M25),"")</f>
        <v/>
      </c>
      <c r="F25" s="45" t="str">
        <f aca="false">IF(IF($M25="",0,INDEX(伝票元!$N$6:$N$511,$M25))=1,INDEX(伝票元!$J$6:$J$511,$M25),"")</f>
        <v/>
      </c>
      <c r="G25" s="42" t="str">
        <f aca="false">IF(IF($M25="",0,INDEX(伝票元!$N$6:$N$511,$M25))=1,INDEX(伝票元!$Q$6:$Q$511,$M25),"")</f>
        <v/>
      </c>
      <c r="H25" s="45" t="str">
        <f aca="false">IF($M25="","",INDEX(伝票元!$F$6:$F$511,$M25))</f>
        <v/>
      </c>
      <c r="I25" s="45" t="str">
        <f aca="false">IF($M25="","",INDEX(伝票元!$G$6:$G$511,$M25))</f>
        <v/>
      </c>
      <c r="J25" s="42" t="str">
        <f aca="false">IF($M25="","",INDEX(伝票元!$H$6:$H$511,$M25))</f>
        <v/>
      </c>
      <c r="K25" s="46" t="str">
        <f aca="false">IF(IF($M25="",0,INDEX(伝票元!$N$6:$N$511,$M25))=1,INDEX(伝票元!$R$6:$R$511,$M25),"")</f>
        <v/>
      </c>
      <c r="L25" s="47" t="str">
        <f aca="false">IF($M25="","",INDEX(伝票元!$S$6:$S$511,$M25))</f>
        <v/>
      </c>
      <c r="M25" s="47" t="str">
        <f aca="false">IFERROR(MATCH(19,伝票元!$O$6:$O$511,0),"")</f>
        <v/>
      </c>
    </row>
    <row r="26" customFormat="false" ht="15" hidden="false" customHeight="false" outlineLevel="0" collapsed="false">
      <c r="A26" s="10" t="str">
        <f aca="false">IF($M26="","",INDEX(伝票元!$P$6:$P$511,$M26))</f>
        <v/>
      </c>
      <c r="B26" s="45" t="str">
        <f aca="false">IF($M26="","",INDEX(伝票元!$D$6:$D$511,$M26))</f>
        <v/>
      </c>
      <c r="C26" s="10" t="str">
        <f aca="false">IF($M26="","",INDEX(伝票元!$E$6:$E$511,$M26))</f>
        <v/>
      </c>
      <c r="D26" s="45" t="str">
        <f aca="false">IF($M26="","",INDEX(伝票元!$A$6:$A$511,$M26))</f>
        <v/>
      </c>
      <c r="E26" s="10" t="str">
        <f aca="false">IF(IF($M26="",0,INDEX(伝票元!$N$6:$N$511,$M26))=1,INDEX(伝票元!$I$6:$I$511,$M26),"")</f>
        <v/>
      </c>
      <c r="F26" s="45" t="str">
        <f aca="false">IF(IF($M26="",0,INDEX(伝票元!$N$6:$N$511,$M26))=1,INDEX(伝票元!$J$6:$J$511,$M26),"")</f>
        <v/>
      </c>
      <c r="G26" s="42" t="str">
        <f aca="false">IF(IF($M26="",0,INDEX(伝票元!$N$6:$N$511,$M26))=1,INDEX(伝票元!$Q$6:$Q$511,$M26),"")</f>
        <v/>
      </c>
      <c r="H26" s="45" t="str">
        <f aca="false">IF($M26="","",INDEX(伝票元!$F$6:$F$511,$M26))</f>
        <v/>
      </c>
      <c r="I26" s="45" t="str">
        <f aca="false">IF($M26="","",INDEX(伝票元!$G$6:$G$511,$M26))</f>
        <v/>
      </c>
      <c r="J26" s="42" t="str">
        <f aca="false">IF($M26="","",INDEX(伝票元!$H$6:$H$511,$M26))</f>
        <v/>
      </c>
      <c r="K26" s="46" t="str">
        <f aca="false">IF(IF($M26="",0,INDEX(伝票元!$N$6:$N$511,$M26))=1,INDEX(伝票元!$R$6:$R$511,$M26),"")</f>
        <v/>
      </c>
      <c r="L26" s="47" t="str">
        <f aca="false">IF($M26="","",INDEX(伝票元!$S$6:$S$511,$M26))</f>
        <v/>
      </c>
      <c r="M26" s="47" t="str">
        <f aca="false">IFERROR(MATCH(20,伝票元!$O$6:$O$511,0),"")</f>
        <v/>
      </c>
    </row>
    <row r="27" customFormat="false" ht="15" hidden="false" customHeight="false" outlineLevel="0" collapsed="false">
      <c r="A27" s="10" t="str">
        <f aca="false">IF($M27="","",INDEX(伝票元!$P$6:$P$511,$M27))</f>
        <v/>
      </c>
      <c r="B27" s="45" t="str">
        <f aca="false">IF($M27="","",INDEX(伝票元!$D$6:$D$511,$M27))</f>
        <v/>
      </c>
      <c r="C27" s="10" t="str">
        <f aca="false">IF($M27="","",INDEX(伝票元!$E$6:$E$511,$M27))</f>
        <v/>
      </c>
      <c r="D27" s="45" t="str">
        <f aca="false">IF($M27="","",INDEX(伝票元!$A$6:$A$511,$M27))</f>
        <v/>
      </c>
      <c r="E27" s="10" t="str">
        <f aca="false">IF(IF($M27="",0,INDEX(伝票元!$N$6:$N$511,$M27))=1,INDEX(伝票元!$I$6:$I$511,$M27),"")</f>
        <v/>
      </c>
      <c r="F27" s="45" t="str">
        <f aca="false">IF(IF($M27="",0,INDEX(伝票元!$N$6:$N$511,$M27))=1,INDEX(伝票元!$J$6:$J$511,$M27),"")</f>
        <v/>
      </c>
      <c r="G27" s="42" t="str">
        <f aca="false">IF(IF($M27="",0,INDEX(伝票元!$N$6:$N$511,$M27))=1,INDEX(伝票元!$Q$6:$Q$511,$M27),"")</f>
        <v/>
      </c>
      <c r="H27" s="45" t="str">
        <f aca="false">IF($M27="","",INDEX(伝票元!$F$6:$F$511,$M27))</f>
        <v/>
      </c>
      <c r="I27" s="45" t="str">
        <f aca="false">IF($M27="","",INDEX(伝票元!$G$6:$G$511,$M27))</f>
        <v/>
      </c>
      <c r="J27" s="42" t="str">
        <f aca="false">IF($M27="","",INDEX(伝票元!$H$6:$H$511,$M27))</f>
        <v/>
      </c>
      <c r="K27" s="46" t="str">
        <f aca="false">IF(IF($M27="",0,INDEX(伝票元!$N$6:$N$511,$M27))=1,INDEX(伝票元!$R$6:$R$511,$M27),"")</f>
        <v/>
      </c>
      <c r="L27" s="47" t="str">
        <f aca="false">IF($M27="","",INDEX(伝票元!$S$6:$S$511,$M27))</f>
        <v/>
      </c>
      <c r="M27" s="47" t="str">
        <f aca="false">IFERROR(MATCH(21,伝票元!$O$6:$O$511,0),"")</f>
        <v/>
      </c>
    </row>
    <row r="28" customFormat="false" ht="15" hidden="false" customHeight="false" outlineLevel="0" collapsed="false">
      <c r="A28" s="10" t="str">
        <f aca="false">IF($M28="","",INDEX(伝票元!$P$6:$P$511,$M28))</f>
        <v/>
      </c>
      <c r="B28" s="45" t="str">
        <f aca="false">IF($M28="","",INDEX(伝票元!$D$6:$D$511,$M28))</f>
        <v/>
      </c>
      <c r="C28" s="10" t="str">
        <f aca="false">IF($M28="","",INDEX(伝票元!$E$6:$E$511,$M28))</f>
        <v/>
      </c>
      <c r="D28" s="45" t="str">
        <f aca="false">IF($M28="","",INDEX(伝票元!$A$6:$A$511,$M28))</f>
        <v/>
      </c>
      <c r="E28" s="10" t="str">
        <f aca="false">IF(IF($M28="",0,INDEX(伝票元!$N$6:$N$511,$M28))=1,INDEX(伝票元!$I$6:$I$511,$M28),"")</f>
        <v/>
      </c>
      <c r="F28" s="45" t="str">
        <f aca="false">IF(IF($M28="",0,INDEX(伝票元!$N$6:$N$511,$M28))=1,INDEX(伝票元!$J$6:$J$511,$M28),"")</f>
        <v/>
      </c>
      <c r="G28" s="42" t="str">
        <f aca="false">IF(IF($M28="",0,INDEX(伝票元!$N$6:$N$511,$M28))=1,INDEX(伝票元!$Q$6:$Q$511,$M28),"")</f>
        <v/>
      </c>
      <c r="H28" s="45" t="str">
        <f aca="false">IF($M28="","",INDEX(伝票元!$F$6:$F$511,$M28))</f>
        <v/>
      </c>
      <c r="I28" s="45" t="str">
        <f aca="false">IF($M28="","",INDEX(伝票元!$G$6:$G$511,$M28))</f>
        <v/>
      </c>
      <c r="J28" s="42" t="str">
        <f aca="false">IF($M28="","",INDEX(伝票元!$H$6:$H$511,$M28))</f>
        <v/>
      </c>
      <c r="K28" s="46" t="str">
        <f aca="false">IF(IF($M28="",0,INDEX(伝票元!$N$6:$N$511,$M28))=1,INDEX(伝票元!$R$6:$R$511,$M28),"")</f>
        <v/>
      </c>
      <c r="L28" s="47" t="str">
        <f aca="false">IF($M28="","",INDEX(伝票元!$S$6:$S$511,$M28))</f>
        <v/>
      </c>
      <c r="M28" s="47" t="str">
        <f aca="false">IFERROR(MATCH(22,伝票元!$O$6:$O$511,0),"")</f>
        <v/>
      </c>
    </row>
    <row r="29" customFormat="false" ht="15" hidden="false" customHeight="false" outlineLevel="0" collapsed="false">
      <c r="A29" s="10" t="str">
        <f aca="false">IF($M29="","",INDEX(伝票元!$P$6:$P$511,$M29))</f>
        <v/>
      </c>
      <c r="B29" s="45" t="str">
        <f aca="false">IF($M29="","",INDEX(伝票元!$D$6:$D$511,$M29))</f>
        <v/>
      </c>
      <c r="C29" s="10" t="str">
        <f aca="false">IF($M29="","",INDEX(伝票元!$E$6:$E$511,$M29))</f>
        <v/>
      </c>
      <c r="D29" s="45" t="str">
        <f aca="false">IF($M29="","",INDEX(伝票元!$A$6:$A$511,$M29))</f>
        <v/>
      </c>
      <c r="E29" s="10" t="str">
        <f aca="false">IF(IF($M29="",0,INDEX(伝票元!$N$6:$N$511,$M29))=1,INDEX(伝票元!$I$6:$I$511,$M29),"")</f>
        <v/>
      </c>
      <c r="F29" s="45" t="str">
        <f aca="false">IF(IF($M29="",0,INDEX(伝票元!$N$6:$N$511,$M29))=1,INDEX(伝票元!$J$6:$J$511,$M29),"")</f>
        <v/>
      </c>
      <c r="G29" s="42" t="str">
        <f aca="false">IF(IF($M29="",0,INDEX(伝票元!$N$6:$N$511,$M29))=1,INDEX(伝票元!$Q$6:$Q$511,$M29),"")</f>
        <v/>
      </c>
      <c r="H29" s="45" t="str">
        <f aca="false">IF($M29="","",INDEX(伝票元!$F$6:$F$511,$M29))</f>
        <v/>
      </c>
      <c r="I29" s="45" t="str">
        <f aca="false">IF($M29="","",INDEX(伝票元!$G$6:$G$511,$M29))</f>
        <v/>
      </c>
      <c r="J29" s="42" t="str">
        <f aca="false">IF($M29="","",INDEX(伝票元!$H$6:$H$511,$M29))</f>
        <v/>
      </c>
      <c r="K29" s="46" t="str">
        <f aca="false">IF(IF($M29="",0,INDEX(伝票元!$N$6:$N$511,$M29))=1,INDEX(伝票元!$R$6:$R$511,$M29),"")</f>
        <v/>
      </c>
      <c r="L29" s="47" t="str">
        <f aca="false">IF($M29="","",INDEX(伝票元!$S$6:$S$511,$M29))</f>
        <v/>
      </c>
      <c r="M29" s="47" t="str">
        <f aca="false">IFERROR(MATCH(23,伝票元!$O$6:$O$511,0),"")</f>
        <v/>
      </c>
    </row>
    <row r="30" customFormat="false" ht="15" hidden="false" customHeight="false" outlineLevel="0" collapsed="false">
      <c r="A30" s="10" t="str">
        <f aca="false">IF($M30="","",INDEX(伝票元!$P$6:$P$511,$M30))</f>
        <v/>
      </c>
      <c r="B30" s="45" t="str">
        <f aca="false">IF($M30="","",INDEX(伝票元!$D$6:$D$511,$M30))</f>
        <v/>
      </c>
      <c r="C30" s="10" t="str">
        <f aca="false">IF($M30="","",INDEX(伝票元!$E$6:$E$511,$M30))</f>
        <v/>
      </c>
      <c r="D30" s="45" t="str">
        <f aca="false">IF($M30="","",INDEX(伝票元!$A$6:$A$511,$M30))</f>
        <v/>
      </c>
      <c r="E30" s="10" t="str">
        <f aca="false">IF(IF($M30="",0,INDEX(伝票元!$N$6:$N$511,$M30))=1,INDEX(伝票元!$I$6:$I$511,$M30),"")</f>
        <v/>
      </c>
      <c r="F30" s="45" t="str">
        <f aca="false">IF(IF($M30="",0,INDEX(伝票元!$N$6:$N$511,$M30))=1,INDEX(伝票元!$J$6:$J$511,$M30),"")</f>
        <v/>
      </c>
      <c r="G30" s="42" t="str">
        <f aca="false">IF(IF($M30="",0,INDEX(伝票元!$N$6:$N$511,$M30))=1,INDEX(伝票元!$Q$6:$Q$511,$M30),"")</f>
        <v/>
      </c>
      <c r="H30" s="45" t="str">
        <f aca="false">IF($M30="","",INDEX(伝票元!$F$6:$F$511,$M30))</f>
        <v/>
      </c>
      <c r="I30" s="45" t="str">
        <f aca="false">IF($M30="","",INDEX(伝票元!$G$6:$G$511,$M30))</f>
        <v/>
      </c>
      <c r="J30" s="42" t="str">
        <f aca="false">IF($M30="","",INDEX(伝票元!$H$6:$H$511,$M30))</f>
        <v/>
      </c>
      <c r="K30" s="46" t="str">
        <f aca="false">IF(IF($M30="",0,INDEX(伝票元!$N$6:$N$511,$M30))=1,INDEX(伝票元!$R$6:$R$511,$M30),"")</f>
        <v/>
      </c>
      <c r="L30" s="47" t="str">
        <f aca="false">IF($M30="","",INDEX(伝票元!$S$6:$S$511,$M30))</f>
        <v/>
      </c>
      <c r="M30" s="47" t="str">
        <f aca="false">IFERROR(MATCH(24,伝票元!$O$6:$O$511,0),"")</f>
        <v/>
      </c>
    </row>
    <row r="31" customFormat="false" ht="15" hidden="false" customHeight="false" outlineLevel="0" collapsed="false">
      <c r="A31" s="10" t="str">
        <f aca="false">IF($M31="","",INDEX(伝票元!$P$6:$P$511,$M31))</f>
        <v/>
      </c>
      <c r="B31" s="45" t="str">
        <f aca="false">IF($M31="","",INDEX(伝票元!$D$6:$D$511,$M31))</f>
        <v/>
      </c>
      <c r="C31" s="10" t="str">
        <f aca="false">IF($M31="","",INDEX(伝票元!$E$6:$E$511,$M31))</f>
        <v/>
      </c>
      <c r="D31" s="45" t="str">
        <f aca="false">IF($M31="","",INDEX(伝票元!$A$6:$A$511,$M31))</f>
        <v/>
      </c>
      <c r="E31" s="10" t="str">
        <f aca="false">IF(IF($M31="",0,INDEX(伝票元!$N$6:$N$511,$M31))=1,INDEX(伝票元!$I$6:$I$511,$M31),"")</f>
        <v/>
      </c>
      <c r="F31" s="45" t="str">
        <f aca="false">IF(IF($M31="",0,INDEX(伝票元!$N$6:$N$511,$M31))=1,INDEX(伝票元!$J$6:$J$511,$M31),"")</f>
        <v/>
      </c>
      <c r="G31" s="42" t="str">
        <f aca="false">IF(IF($M31="",0,INDEX(伝票元!$N$6:$N$511,$M31))=1,INDEX(伝票元!$Q$6:$Q$511,$M31),"")</f>
        <v/>
      </c>
      <c r="H31" s="45" t="str">
        <f aca="false">IF($M31="","",INDEX(伝票元!$F$6:$F$511,$M31))</f>
        <v/>
      </c>
      <c r="I31" s="45" t="str">
        <f aca="false">IF($M31="","",INDEX(伝票元!$G$6:$G$511,$M31))</f>
        <v/>
      </c>
      <c r="J31" s="42" t="str">
        <f aca="false">IF($M31="","",INDEX(伝票元!$H$6:$H$511,$M31))</f>
        <v/>
      </c>
      <c r="K31" s="46" t="str">
        <f aca="false">IF(IF($M31="",0,INDEX(伝票元!$N$6:$N$511,$M31))=1,INDEX(伝票元!$R$6:$R$511,$M31),"")</f>
        <v/>
      </c>
      <c r="L31" s="47" t="str">
        <f aca="false">IF($M31="","",INDEX(伝票元!$S$6:$S$511,$M31))</f>
        <v/>
      </c>
      <c r="M31" s="47" t="str">
        <f aca="false">IFERROR(MATCH(25,伝票元!$O$6:$O$511,0),"")</f>
        <v/>
      </c>
    </row>
    <row r="32" customFormat="false" ht="15" hidden="false" customHeight="false" outlineLevel="0" collapsed="false">
      <c r="A32" s="10" t="str">
        <f aca="false">IF($M32="","",INDEX(伝票元!$P$6:$P$511,$M32))</f>
        <v/>
      </c>
      <c r="B32" s="45" t="str">
        <f aca="false">IF($M32="","",INDEX(伝票元!$D$6:$D$511,$M32))</f>
        <v/>
      </c>
      <c r="C32" s="10" t="str">
        <f aca="false">IF($M32="","",INDEX(伝票元!$E$6:$E$511,$M32))</f>
        <v/>
      </c>
      <c r="D32" s="45" t="str">
        <f aca="false">IF($M32="","",INDEX(伝票元!$A$6:$A$511,$M32))</f>
        <v/>
      </c>
      <c r="E32" s="10" t="str">
        <f aca="false">IF(IF($M32="",0,INDEX(伝票元!$N$6:$N$511,$M32))=1,INDEX(伝票元!$I$6:$I$511,$M32),"")</f>
        <v/>
      </c>
      <c r="F32" s="45" t="str">
        <f aca="false">IF(IF($M32="",0,INDEX(伝票元!$N$6:$N$511,$M32))=1,INDEX(伝票元!$J$6:$J$511,$M32),"")</f>
        <v/>
      </c>
      <c r="G32" s="42" t="str">
        <f aca="false">IF(IF($M32="",0,INDEX(伝票元!$N$6:$N$511,$M32))=1,INDEX(伝票元!$Q$6:$Q$511,$M32),"")</f>
        <v/>
      </c>
      <c r="H32" s="45" t="str">
        <f aca="false">IF($M32="","",INDEX(伝票元!$F$6:$F$511,$M32))</f>
        <v/>
      </c>
      <c r="I32" s="45" t="str">
        <f aca="false">IF($M32="","",INDEX(伝票元!$G$6:$G$511,$M32))</f>
        <v/>
      </c>
      <c r="J32" s="42" t="str">
        <f aca="false">IF($M32="","",INDEX(伝票元!$H$6:$H$511,$M32))</f>
        <v/>
      </c>
      <c r="K32" s="46" t="str">
        <f aca="false">IF(IF($M32="",0,INDEX(伝票元!$N$6:$N$511,$M32))=1,INDEX(伝票元!$R$6:$R$511,$M32),"")</f>
        <v/>
      </c>
      <c r="L32" s="47" t="str">
        <f aca="false">IF($M32="","",INDEX(伝票元!$S$6:$S$511,$M32))</f>
        <v/>
      </c>
      <c r="M32" s="47" t="str">
        <f aca="false">IFERROR(MATCH(26,伝票元!$O$6:$O$511,0),"")</f>
        <v/>
      </c>
    </row>
    <row r="33" customFormat="false" ht="15" hidden="false" customHeight="false" outlineLevel="0" collapsed="false">
      <c r="A33" s="10" t="str">
        <f aca="false">IF($M33="","",INDEX(伝票元!$P$6:$P$511,$M33))</f>
        <v/>
      </c>
      <c r="B33" s="45" t="str">
        <f aca="false">IF($M33="","",INDEX(伝票元!$D$6:$D$511,$M33))</f>
        <v/>
      </c>
      <c r="C33" s="10" t="str">
        <f aca="false">IF($M33="","",INDEX(伝票元!$E$6:$E$511,$M33))</f>
        <v/>
      </c>
      <c r="D33" s="45" t="str">
        <f aca="false">IF($M33="","",INDEX(伝票元!$A$6:$A$511,$M33))</f>
        <v/>
      </c>
      <c r="E33" s="10" t="str">
        <f aca="false">IF(IF($M33="",0,INDEX(伝票元!$N$6:$N$511,$M33))=1,INDEX(伝票元!$I$6:$I$511,$M33),"")</f>
        <v/>
      </c>
      <c r="F33" s="45" t="str">
        <f aca="false">IF(IF($M33="",0,INDEX(伝票元!$N$6:$N$511,$M33))=1,INDEX(伝票元!$J$6:$J$511,$M33),"")</f>
        <v/>
      </c>
      <c r="G33" s="42" t="str">
        <f aca="false">IF(IF($M33="",0,INDEX(伝票元!$N$6:$N$511,$M33))=1,INDEX(伝票元!$Q$6:$Q$511,$M33),"")</f>
        <v/>
      </c>
      <c r="H33" s="45" t="str">
        <f aca="false">IF($M33="","",INDEX(伝票元!$F$6:$F$511,$M33))</f>
        <v/>
      </c>
      <c r="I33" s="45" t="str">
        <f aca="false">IF($M33="","",INDEX(伝票元!$G$6:$G$511,$M33))</f>
        <v/>
      </c>
      <c r="J33" s="42" t="str">
        <f aca="false">IF($M33="","",INDEX(伝票元!$H$6:$H$511,$M33))</f>
        <v/>
      </c>
      <c r="K33" s="46" t="str">
        <f aca="false">IF(IF($M33="",0,INDEX(伝票元!$N$6:$N$511,$M33))=1,INDEX(伝票元!$R$6:$R$511,$M33),"")</f>
        <v/>
      </c>
      <c r="L33" s="47" t="str">
        <f aca="false">IF($M33="","",INDEX(伝票元!$S$6:$S$511,$M33))</f>
        <v/>
      </c>
      <c r="M33" s="47" t="str">
        <f aca="false">IFERROR(MATCH(27,伝票元!$O$6:$O$511,0),"")</f>
        <v/>
      </c>
    </row>
    <row r="34" customFormat="false" ht="15" hidden="false" customHeight="false" outlineLevel="0" collapsed="false">
      <c r="A34" s="10" t="str">
        <f aca="false">IF($M34="","",INDEX(伝票元!$P$6:$P$511,$M34))</f>
        <v/>
      </c>
      <c r="B34" s="45" t="str">
        <f aca="false">IF($M34="","",INDEX(伝票元!$D$6:$D$511,$M34))</f>
        <v/>
      </c>
      <c r="C34" s="10" t="str">
        <f aca="false">IF($M34="","",INDEX(伝票元!$E$6:$E$511,$M34))</f>
        <v/>
      </c>
      <c r="D34" s="45" t="str">
        <f aca="false">IF($M34="","",INDEX(伝票元!$A$6:$A$511,$M34))</f>
        <v/>
      </c>
      <c r="E34" s="10" t="str">
        <f aca="false">IF(IF($M34="",0,INDEX(伝票元!$N$6:$N$511,$M34))=1,INDEX(伝票元!$I$6:$I$511,$M34),"")</f>
        <v/>
      </c>
      <c r="F34" s="45" t="str">
        <f aca="false">IF(IF($M34="",0,INDEX(伝票元!$N$6:$N$511,$M34))=1,INDEX(伝票元!$J$6:$J$511,$M34),"")</f>
        <v/>
      </c>
      <c r="G34" s="42" t="str">
        <f aca="false">IF(IF($M34="",0,INDEX(伝票元!$N$6:$N$511,$M34))=1,INDEX(伝票元!$Q$6:$Q$511,$M34),"")</f>
        <v/>
      </c>
      <c r="H34" s="45" t="str">
        <f aca="false">IF($M34="","",INDEX(伝票元!$F$6:$F$511,$M34))</f>
        <v/>
      </c>
      <c r="I34" s="45" t="str">
        <f aca="false">IF($M34="","",INDEX(伝票元!$G$6:$G$511,$M34))</f>
        <v/>
      </c>
      <c r="J34" s="42" t="str">
        <f aca="false">IF($M34="","",INDEX(伝票元!$H$6:$H$511,$M34))</f>
        <v/>
      </c>
      <c r="K34" s="46" t="str">
        <f aca="false">IF(IF($M34="",0,INDEX(伝票元!$N$6:$N$511,$M34))=1,INDEX(伝票元!$R$6:$R$511,$M34),"")</f>
        <v/>
      </c>
      <c r="L34" s="47" t="str">
        <f aca="false">IF($M34="","",INDEX(伝票元!$S$6:$S$511,$M34))</f>
        <v/>
      </c>
      <c r="M34" s="47" t="str">
        <f aca="false">IFERROR(MATCH(28,伝票元!$O$6:$O$511,0),"")</f>
        <v/>
      </c>
    </row>
    <row r="35" customFormat="false" ht="15" hidden="false" customHeight="false" outlineLevel="0" collapsed="false">
      <c r="A35" s="10" t="str">
        <f aca="false">IF($M35="","",INDEX(伝票元!$P$6:$P$511,$M35))</f>
        <v/>
      </c>
      <c r="B35" s="45" t="str">
        <f aca="false">IF($M35="","",INDEX(伝票元!$D$6:$D$511,$M35))</f>
        <v/>
      </c>
      <c r="C35" s="10" t="str">
        <f aca="false">IF($M35="","",INDEX(伝票元!$E$6:$E$511,$M35))</f>
        <v/>
      </c>
      <c r="D35" s="45" t="str">
        <f aca="false">IF($M35="","",INDEX(伝票元!$A$6:$A$511,$M35))</f>
        <v/>
      </c>
      <c r="E35" s="10" t="str">
        <f aca="false">IF(IF($M35="",0,INDEX(伝票元!$N$6:$N$511,$M35))=1,INDEX(伝票元!$I$6:$I$511,$M35),"")</f>
        <v/>
      </c>
      <c r="F35" s="45" t="str">
        <f aca="false">IF(IF($M35="",0,INDEX(伝票元!$N$6:$N$511,$M35))=1,INDEX(伝票元!$J$6:$J$511,$M35),"")</f>
        <v/>
      </c>
      <c r="G35" s="42" t="str">
        <f aca="false">IF(IF($M35="",0,INDEX(伝票元!$N$6:$N$511,$M35))=1,INDEX(伝票元!$Q$6:$Q$511,$M35),"")</f>
        <v/>
      </c>
      <c r="H35" s="45" t="str">
        <f aca="false">IF($M35="","",INDEX(伝票元!$F$6:$F$511,$M35))</f>
        <v/>
      </c>
      <c r="I35" s="45" t="str">
        <f aca="false">IF($M35="","",INDEX(伝票元!$G$6:$G$511,$M35))</f>
        <v/>
      </c>
      <c r="J35" s="42" t="str">
        <f aca="false">IF($M35="","",INDEX(伝票元!$H$6:$H$511,$M35))</f>
        <v/>
      </c>
      <c r="K35" s="46" t="str">
        <f aca="false">IF(IF($M35="",0,INDEX(伝票元!$N$6:$N$511,$M35))=1,INDEX(伝票元!$R$6:$R$511,$M35),"")</f>
        <v/>
      </c>
      <c r="L35" s="47" t="str">
        <f aca="false">IF($M35="","",INDEX(伝票元!$S$6:$S$511,$M35))</f>
        <v/>
      </c>
      <c r="M35" s="47" t="str">
        <f aca="false">IFERROR(MATCH(29,伝票元!$O$6:$O$511,0),"")</f>
        <v/>
      </c>
    </row>
    <row r="36" customFormat="false" ht="15" hidden="false" customHeight="false" outlineLevel="0" collapsed="false">
      <c r="A36" s="10" t="str">
        <f aca="false">IF($M36="","",INDEX(伝票元!$P$6:$P$511,$M36))</f>
        <v/>
      </c>
      <c r="B36" s="45" t="str">
        <f aca="false">IF($M36="","",INDEX(伝票元!$D$6:$D$511,$M36))</f>
        <v/>
      </c>
      <c r="C36" s="10" t="str">
        <f aca="false">IF($M36="","",INDEX(伝票元!$E$6:$E$511,$M36))</f>
        <v/>
      </c>
      <c r="D36" s="45" t="str">
        <f aca="false">IF($M36="","",INDEX(伝票元!$A$6:$A$511,$M36))</f>
        <v/>
      </c>
      <c r="E36" s="10" t="str">
        <f aca="false">IF(IF($M36="",0,INDEX(伝票元!$N$6:$N$511,$M36))=1,INDEX(伝票元!$I$6:$I$511,$M36),"")</f>
        <v/>
      </c>
      <c r="F36" s="45" t="str">
        <f aca="false">IF(IF($M36="",0,INDEX(伝票元!$N$6:$N$511,$M36))=1,INDEX(伝票元!$J$6:$J$511,$M36),"")</f>
        <v/>
      </c>
      <c r="G36" s="42" t="str">
        <f aca="false">IF(IF($M36="",0,INDEX(伝票元!$N$6:$N$511,$M36))=1,INDEX(伝票元!$Q$6:$Q$511,$M36),"")</f>
        <v/>
      </c>
      <c r="H36" s="45" t="str">
        <f aca="false">IF($M36="","",INDEX(伝票元!$F$6:$F$511,$M36))</f>
        <v/>
      </c>
      <c r="I36" s="45" t="str">
        <f aca="false">IF($M36="","",INDEX(伝票元!$G$6:$G$511,$M36))</f>
        <v/>
      </c>
      <c r="J36" s="42" t="str">
        <f aca="false">IF($M36="","",INDEX(伝票元!$H$6:$H$511,$M36))</f>
        <v/>
      </c>
      <c r="K36" s="46" t="str">
        <f aca="false">IF(IF($M36="",0,INDEX(伝票元!$N$6:$N$511,$M36))=1,INDEX(伝票元!$R$6:$R$511,$M36),"")</f>
        <v/>
      </c>
      <c r="L36" s="47" t="str">
        <f aca="false">IF($M36="","",INDEX(伝票元!$S$6:$S$511,$M36))</f>
        <v/>
      </c>
      <c r="M36" s="47" t="str">
        <f aca="false">IFERROR(MATCH(30,伝票元!$O$6:$O$511,0),"")</f>
        <v/>
      </c>
    </row>
    <row r="37" customFormat="false" ht="15" hidden="false" customHeight="false" outlineLevel="0" collapsed="false">
      <c r="A37" s="10" t="str">
        <f aca="false">IF($M37="","",INDEX(伝票元!$P$6:$P$511,$M37))</f>
        <v/>
      </c>
      <c r="B37" s="45" t="str">
        <f aca="false">IF($M37="","",INDEX(伝票元!$D$6:$D$511,$M37))</f>
        <v/>
      </c>
      <c r="C37" s="10" t="str">
        <f aca="false">IF($M37="","",INDEX(伝票元!$E$6:$E$511,$M37))</f>
        <v/>
      </c>
      <c r="D37" s="45" t="str">
        <f aca="false">IF($M37="","",INDEX(伝票元!$A$6:$A$511,$M37))</f>
        <v/>
      </c>
      <c r="E37" s="10" t="str">
        <f aca="false">IF(IF($M37="",0,INDEX(伝票元!$N$6:$N$511,$M37))=1,INDEX(伝票元!$I$6:$I$511,$M37),"")</f>
        <v/>
      </c>
      <c r="F37" s="45" t="str">
        <f aca="false">IF(IF($M37="",0,INDEX(伝票元!$N$6:$N$511,$M37))=1,INDEX(伝票元!$J$6:$J$511,$M37),"")</f>
        <v/>
      </c>
      <c r="G37" s="42" t="str">
        <f aca="false">IF(IF($M37="",0,INDEX(伝票元!$N$6:$N$511,$M37))=1,INDEX(伝票元!$Q$6:$Q$511,$M37),"")</f>
        <v/>
      </c>
      <c r="H37" s="45" t="str">
        <f aca="false">IF($M37="","",INDEX(伝票元!$F$6:$F$511,$M37))</f>
        <v/>
      </c>
      <c r="I37" s="45" t="str">
        <f aca="false">IF($M37="","",INDEX(伝票元!$G$6:$G$511,$M37))</f>
        <v/>
      </c>
      <c r="J37" s="42" t="str">
        <f aca="false">IF($M37="","",INDEX(伝票元!$H$6:$H$511,$M37))</f>
        <v/>
      </c>
      <c r="K37" s="46" t="str">
        <f aca="false">IF(IF($M37="",0,INDEX(伝票元!$N$6:$N$511,$M37))=1,INDEX(伝票元!$R$6:$R$511,$M37),"")</f>
        <v/>
      </c>
      <c r="L37" s="47" t="str">
        <f aca="false">IF($M37="","",INDEX(伝票元!$S$6:$S$511,$M37))</f>
        <v/>
      </c>
      <c r="M37" s="47" t="str">
        <f aca="false">IFERROR(MATCH(31,伝票元!$O$6:$O$511,0),"")</f>
        <v/>
      </c>
    </row>
    <row r="38" customFormat="false" ht="15" hidden="false" customHeight="false" outlineLevel="0" collapsed="false">
      <c r="A38" s="10" t="str">
        <f aca="false">IF($M38="","",INDEX(伝票元!$P$6:$P$511,$M38))</f>
        <v/>
      </c>
      <c r="B38" s="45" t="str">
        <f aca="false">IF($M38="","",INDEX(伝票元!$D$6:$D$511,$M38))</f>
        <v/>
      </c>
      <c r="C38" s="10" t="str">
        <f aca="false">IF($M38="","",INDEX(伝票元!$E$6:$E$511,$M38))</f>
        <v/>
      </c>
      <c r="D38" s="45" t="str">
        <f aca="false">IF($M38="","",INDEX(伝票元!$A$6:$A$511,$M38))</f>
        <v/>
      </c>
      <c r="E38" s="10" t="str">
        <f aca="false">IF(IF($M38="",0,INDEX(伝票元!$N$6:$N$511,$M38))=1,INDEX(伝票元!$I$6:$I$511,$M38),"")</f>
        <v/>
      </c>
      <c r="F38" s="45" t="str">
        <f aca="false">IF(IF($M38="",0,INDEX(伝票元!$N$6:$N$511,$M38))=1,INDEX(伝票元!$J$6:$J$511,$M38),"")</f>
        <v/>
      </c>
      <c r="G38" s="42" t="str">
        <f aca="false">IF(IF($M38="",0,INDEX(伝票元!$N$6:$N$511,$M38))=1,INDEX(伝票元!$Q$6:$Q$511,$M38),"")</f>
        <v/>
      </c>
      <c r="H38" s="45" t="str">
        <f aca="false">IF($M38="","",INDEX(伝票元!$F$6:$F$511,$M38))</f>
        <v/>
      </c>
      <c r="I38" s="45" t="str">
        <f aca="false">IF($M38="","",INDEX(伝票元!$G$6:$G$511,$M38))</f>
        <v/>
      </c>
      <c r="J38" s="42" t="str">
        <f aca="false">IF($M38="","",INDEX(伝票元!$H$6:$H$511,$M38))</f>
        <v/>
      </c>
      <c r="K38" s="46" t="str">
        <f aca="false">IF(IF($M38="",0,INDEX(伝票元!$N$6:$N$511,$M38))=1,INDEX(伝票元!$R$6:$R$511,$M38),"")</f>
        <v/>
      </c>
      <c r="L38" s="47" t="str">
        <f aca="false">IF($M38="","",INDEX(伝票元!$S$6:$S$511,$M38))</f>
        <v/>
      </c>
      <c r="M38" s="47" t="str">
        <f aca="false">IFERROR(MATCH(32,伝票元!$O$6:$O$511,0),"")</f>
        <v/>
      </c>
    </row>
    <row r="39" customFormat="false" ht="15" hidden="false" customHeight="false" outlineLevel="0" collapsed="false">
      <c r="A39" s="10" t="str">
        <f aca="false">IF($M39="","",INDEX(伝票元!$P$6:$P$511,$M39))</f>
        <v/>
      </c>
      <c r="B39" s="45" t="str">
        <f aca="false">IF($M39="","",INDEX(伝票元!$D$6:$D$511,$M39))</f>
        <v/>
      </c>
      <c r="C39" s="10" t="str">
        <f aca="false">IF($M39="","",INDEX(伝票元!$E$6:$E$511,$M39))</f>
        <v/>
      </c>
      <c r="D39" s="45" t="str">
        <f aca="false">IF($M39="","",INDEX(伝票元!$A$6:$A$511,$M39))</f>
        <v/>
      </c>
      <c r="E39" s="10" t="str">
        <f aca="false">IF(IF($M39="",0,INDEX(伝票元!$N$6:$N$511,$M39))=1,INDEX(伝票元!$I$6:$I$511,$M39),"")</f>
        <v/>
      </c>
      <c r="F39" s="45" t="str">
        <f aca="false">IF(IF($M39="",0,INDEX(伝票元!$N$6:$N$511,$M39))=1,INDEX(伝票元!$J$6:$J$511,$M39),"")</f>
        <v/>
      </c>
      <c r="G39" s="42" t="str">
        <f aca="false">IF(IF($M39="",0,INDEX(伝票元!$N$6:$N$511,$M39))=1,INDEX(伝票元!$Q$6:$Q$511,$M39),"")</f>
        <v/>
      </c>
      <c r="H39" s="45" t="str">
        <f aca="false">IF($M39="","",INDEX(伝票元!$F$6:$F$511,$M39))</f>
        <v/>
      </c>
      <c r="I39" s="45" t="str">
        <f aca="false">IF($M39="","",INDEX(伝票元!$G$6:$G$511,$M39))</f>
        <v/>
      </c>
      <c r="J39" s="42" t="str">
        <f aca="false">IF($M39="","",INDEX(伝票元!$H$6:$H$511,$M39))</f>
        <v/>
      </c>
      <c r="K39" s="46" t="str">
        <f aca="false">IF(IF($M39="",0,INDEX(伝票元!$N$6:$N$511,$M39))=1,INDEX(伝票元!$R$6:$R$511,$M39),"")</f>
        <v/>
      </c>
      <c r="L39" s="47" t="str">
        <f aca="false">IF($M39="","",INDEX(伝票元!$S$6:$S$511,$M39))</f>
        <v/>
      </c>
      <c r="M39" s="47" t="str">
        <f aca="false">IFERROR(MATCH(33,伝票元!$O$6:$O$511,0),"")</f>
        <v/>
      </c>
    </row>
    <row r="40" customFormat="false" ht="15" hidden="false" customHeight="false" outlineLevel="0" collapsed="false">
      <c r="A40" s="10" t="str">
        <f aca="false">IF($M40="","",INDEX(伝票元!$P$6:$P$511,$M40))</f>
        <v/>
      </c>
      <c r="B40" s="45" t="str">
        <f aca="false">IF($M40="","",INDEX(伝票元!$D$6:$D$511,$M40))</f>
        <v/>
      </c>
      <c r="C40" s="10" t="str">
        <f aca="false">IF($M40="","",INDEX(伝票元!$E$6:$E$511,$M40))</f>
        <v/>
      </c>
      <c r="D40" s="45" t="str">
        <f aca="false">IF($M40="","",INDEX(伝票元!$A$6:$A$511,$M40))</f>
        <v/>
      </c>
      <c r="E40" s="10" t="str">
        <f aca="false">IF(IF($M40="",0,INDEX(伝票元!$N$6:$N$511,$M40))=1,INDEX(伝票元!$I$6:$I$511,$M40),"")</f>
        <v/>
      </c>
      <c r="F40" s="45" t="str">
        <f aca="false">IF(IF($M40="",0,INDEX(伝票元!$N$6:$N$511,$M40))=1,INDEX(伝票元!$J$6:$J$511,$M40),"")</f>
        <v/>
      </c>
      <c r="G40" s="42" t="str">
        <f aca="false">IF(IF($M40="",0,INDEX(伝票元!$N$6:$N$511,$M40))=1,INDEX(伝票元!$Q$6:$Q$511,$M40),"")</f>
        <v/>
      </c>
      <c r="H40" s="45" t="str">
        <f aca="false">IF($M40="","",INDEX(伝票元!$F$6:$F$511,$M40))</f>
        <v/>
      </c>
      <c r="I40" s="45" t="str">
        <f aca="false">IF($M40="","",INDEX(伝票元!$G$6:$G$511,$M40))</f>
        <v/>
      </c>
      <c r="J40" s="42" t="str">
        <f aca="false">IF($M40="","",INDEX(伝票元!$H$6:$H$511,$M40))</f>
        <v/>
      </c>
      <c r="K40" s="46" t="str">
        <f aca="false">IF(IF($M40="",0,INDEX(伝票元!$N$6:$N$511,$M40))=1,INDEX(伝票元!$R$6:$R$511,$M40),"")</f>
        <v/>
      </c>
      <c r="L40" s="47" t="str">
        <f aca="false">IF($M40="","",INDEX(伝票元!$S$6:$S$511,$M40))</f>
        <v/>
      </c>
      <c r="M40" s="47" t="str">
        <f aca="false">IFERROR(MATCH(34,伝票元!$O$6:$O$511,0),"")</f>
        <v/>
      </c>
    </row>
    <row r="41" customFormat="false" ht="15" hidden="false" customHeight="false" outlineLevel="0" collapsed="false">
      <c r="A41" s="10" t="str">
        <f aca="false">IF($M41="","",INDEX(伝票元!$P$6:$P$511,$M41))</f>
        <v/>
      </c>
      <c r="B41" s="45" t="str">
        <f aca="false">IF($M41="","",INDEX(伝票元!$D$6:$D$511,$M41))</f>
        <v/>
      </c>
      <c r="C41" s="10" t="str">
        <f aca="false">IF($M41="","",INDEX(伝票元!$E$6:$E$511,$M41))</f>
        <v/>
      </c>
      <c r="D41" s="45" t="str">
        <f aca="false">IF($M41="","",INDEX(伝票元!$A$6:$A$511,$M41))</f>
        <v/>
      </c>
      <c r="E41" s="10" t="str">
        <f aca="false">IF(IF($M41="",0,INDEX(伝票元!$N$6:$N$511,$M41))=1,INDEX(伝票元!$I$6:$I$511,$M41),"")</f>
        <v/>
      </c>
      <c r="F41" s="45" t="str">
        <f aca="false">IF(IF($M41="",0,INDEX(伝票元!$N$6:$N$511,$M41))=1,INDEX(伝票元!$J$6:$J$511,$M41),"")</f>
        <v/>
      </c>
      <c r="G41" s="42" t="str">
        <f aca="false">IF(IF($M41="",0,INDEX(伝票元!$N$6:$N$511,$M41))=1,INDEX(伝票元!$Q$6:$Q$511,$M41),"")</f>
        <v/>
      </c>
      <c r="H41" s="45" t="str">
        <f aca="false">IF($M41="","",INDEX(伝票元!$F$6:$F$511,$M41))</f>
        <v/>
      </c>
      <c r="I41" s="45" t="str">
        <f aca="false">IF($M41="","",INDEX(伝票元!$G$6:$G$511,$M41))</f>
        <v/>
      </c>
      <c r="J41" s="42" t="str">
        <f aca="false">IF($M41="","",INDEX(伝票元!$H$6:$H$511,$M41))</f>
        <v/>
      </c>
      <c r="K41" s="46" t="str">
        <f aca="false">IF(IF($M41="",0,INDEX(伝票元!$N$6:$N$511,$M41))=1,INDEX(伝票元!$R$6:$R$511,$M41),"")</f>
        <v/>
      </c>
      <c r="L41" s="47" t="str">
        <f aca="false">IF($M41="","",INDEX(伝票元!$S$6:$S$511,$M41))</f>
        <v/>
      </c>
      <c r="M41" s="47" t="str">
        <f aca="false">IFERROR(MATCH(35,伝票元!$O$6:$O$511,0),"")</f>
        <v/>
      </c>
    </row>
    <row r="42" customFormat="false" ht="15" hidden="false" customHeight="false" outlineLevel="0" collapsed="false">
      <c r="A42" s="10" t="str">
        <f aca="false">IF($M42="","",INDEX(伝票元!$P$6:$P$511,$M42))</f>
        <v/>
      </c>
      <c r="B42" s="45" t="str">
        <f aca="false">IF($M42="","",INDEX(伝票元!$D$6:$D$511,$M42))</f>
        <v/>
      </c>
      <c r="C42" s="10" t="str">
        <f aca="false">IF($M42="","",INDEX(伝票元!$E$6:$E$511,$M42))</f>
        <v/>
      </c>
      <c r="D42" s="45" t="str">
        <f aca="false">IF($M42="","",INDEX(伝票元!$A$6:$A$511,$M42))</f>
        <v/>
      </c>
      <c r="E42" s="10" t="str">
        <f aca="false">IF(IF($M42="",0,INDEX(伝票元!$N$6:$N$511,$M42))=1,INDEX(伝票元!$I$6:$I$511,$M42),"")</f>
        <v/>
      </c>
      <c r="F42" s="45" t="str">
        <f aca="false">IF(IF($M42="",0,INDEX(伝票元!$N$6:$N$511,$M42))=1,INDEX(伝票元!$J$6:$J$511,$M42),"")</f>
        <v/>
      </c>
      <c r="G42" s="42" t="str">
        <f aca="false">IF(IF($M42="",0,INDEX(伝票元!$N$6:$N$511,$M42))=1,INDEX(伝票元!$Q$6:$Q$511,$M42),"")</f>
        <v/>
      </c>
      <c r="H42" s="45" t="str">
        <f aca="false">IF($M42="","",INDEX(伝票元!$F$6:$F$511,$M42))</f>
        <v/>
      </c>
      <c r="I42" s="45" t="str">
        <f aca="false">IF($M42="","",INDEX(伝票元!$G$6:$G$511,$M42))</f>
        <v/>
      </c>
      <c r="J42" s="42" t="str">
        <f aca="false">IF($M42="","",INDEX(伝票元!$H$6:$H$511,$M42))</f>
        <v/>
      </c>
      <c r="K42" s="46" t="str">
        <f aca="false">IF(IF($M42="",0,INDEX(伝票元!$N$6:$N$511,$M42))=1,INDEX(伝票元!$R$6:$R$511,$M42),"")</f>
        <v/>
      </c>
      <c r="L42" s="47" t="str">
        <f aca="false">IF($M42="","",INDEX(伝票元!$S$6:$S$511,$M42))</f>
        <v/>
      </c>
      <c r="M42" s="47" t="str">
        <f aca="false">IFERROR(MATCH(36,伝票元!$O$6:$O$511,0),"")</f>
        <v/>
      </c>
    </row>
    <row r="43" customFormat="false" ht="15" hidden="false" customHeight="false" outlineLevel="0" collapsed="false">
      <c r="A43" s="10" t="str">
        <f aca="false">IF($M43="","",INDEX(伝票元!$P$6:$P$511,$M43))</f>
        <v/>
      </c>
      <c r="B43" s="45" t="str">
        <f aca="false">IF($M43="","",INDEX(伝票元!$D$6:$D$511,$M43))</f>
        <v/>
      </c>
      <c r="C43" s="10" t="str">
        <f aca="false">IF($M43="","",INDEX(伝票元!$E$6:$E$511,$M43))</f>
        <v/>
      </c>
      <c r="D43" s="45" t="str">
        <f aca="false">IF($M43="","",INDEX(伝票元!$A$6:$A$511,$M43))</f>
        <v/>
      </c>
      <c r="E43" s="10" t="str">
        <f aca="false">IF(IF($M43="",0,INDEX(伝票元!$N$6:$N$511,$M43))=1,INDEX(伝票元!$I$6:$I$511,$M43),"")</f>
        <v/>
      </c>
      <c r="F43" s="45" t="str">
        <f aca="false">IF(IF($M43="",0,INDEX(伝票元!$N$6:$N$511,$M43))=1,INDEX(伝票元!$J$6:$J$511,$M43),"")</f>
        <v/>
      </c>
      <c r="G43" s="42" t="str">
        <f aca="false">IF(IF($M43="",0,INDEX(伝票元!$N$6:$N$511,$M43))=1,INDEX(伝票元!$Q$6:$Q$511,$M43),"")</f>
        <v/>
      </c>
      <c r="H43" s="45" t="str">
        <f aca="false">IF($M43="","",INDEX(伝票元!$F$6:$F$511,$M43))</f>
        <v/>
      </c>
      <c r="I43" s="45" t="str">
        <f aca="false">IF($M43="","",INDEX(伝票元!$G$6:$G$511,$M43))</f>
        <v/>
      </c>
      <c r="J43" s="42" t="str">
        <f aca="false">IF($M43="","",INDEX(伝票元!$H$6:$H$511,$M43))</f>
        <v/>
      </c>
      <c r="K43" s="46" t="str">
        <f aca="false">IF(IF($M43="",0,INDEX(伝票元!$N$6:$N$511,$M43))=1,INDEX(伝票元!$R$6:$R$511,$M43),"")</f>
        <v/>
      </c>
      <c r="L43" s="47" t="str">
        <f aca="false">IF($M43="","",INDEX(伝票元!$S$6:$S$511,$M43))</f>
        <v/>
      </c>
      <c r="M43" s="47" t="str">
        <f aca="false">IFERROR(MATCH(37,伝票元!$O$6:$O$511,0),"")</f>
        <v/>
      </c>
    </row>
    <row r="44" customFormat="false" ht="15" hidden="false" customHeight="false" outlineLevel="0" collapsed="false">
      <c r="A44" s="10" t="str">
        <f aca="false">IF($M44="","",INDEX(伝票元!$P$6:$P$511,$M44))</f>
        <v/>
      </c>
      <c r="B44" s="45" t="str">
        <f aca="false">IF($M44="","",INDEX(伝票元!$D$6:$D$511,$M44))</f>
        <v/>
      </c>
      <c r="C44" s="10" t="str">
        <f aca="false">IF($M44="","",INDEX(伝票元!$E$6:$E$511,$M44))</f>
        <v/>
      </c>
      <c r="D44" s="45" t="str">
        <f aca="false">IF($M44="","",INDEX(伝票元!$A$6:$A$511,$M44))</f>
        <v/>
      </c>
      <c r="E44" s="10" t="str">
        <f aca="false">IF(IF($M44="",0,INDEX(伝票元!$N$6:$N$511,$M44))=1,INDEX(伝票元!$I$6:$I$511,$M44),"")</f>
        <v/>
      </c>
      <c r="F44" s="45" t="str">
        <f aca="false">IF(IF($M44="",0,INDEX(伝票元!$N$6:$N$511,$M44))=1,INDEX(伝票元!$J$6:$J$511,$M44),"")</f>
        <v/>
      </c>
      <c r="G44" s="42" t="str">
        <f aca="false">IF(IF($M44="",0,INDEX(伝票元!$N$6:$N$511,$M44))=1,INDEX(伝票元!$Q$6:$Q$511,$M44),"")</f>
        <v/>
      </c>
      <c r="H44" s="45" t="str">
        <f aca="false">IF($M44="","",INDEX(伝票元!$F$6:$F$511,$M44))</f>
        <v/>
      </c>
      <c r="I44" s="45" t="str">
        <f aca="false">IF($M44="","",INDEX(伝票元!$G$6:$G$511,$M44))</f>
        <v/>
      </c>
      <c r="J44" s="42" t="str">
        <f aca="false">IF($M44="","",INDEX(伝票元!$H$6:$H$511,$M44))</f>
        <v/>
      </c>
      <c r="K44" s="46" t="str">
        <f aca="false">IF(IF($M44="",0,INDEX(伝票元!$N$6:$N$511,$M44))=1,INDEX(伝票元!$R$6:$R$511,$M44),"")</f>
        <v/>
      </c>
      <c r="L44" s="47" t="str">
        <f aca="false">IF($M44="","",INDEX(伝票元!$S$6:$S$511,$M44))</f>
        <v/>
      </c>
      <c r="M44" s="47" t="str">
        <f aca="false">IFERROR(MATCH(38,伝票元!$O$6:$O$511,0),"")</f>
        <v/>
      </c>
    </row>
    <row r="45" customFormat="false" ht="15" hidden="false" customHeight="false" outlineLevel="0" collapsed="false">
      <c r="A45" s="10" t="str">
        <f aca="false">IF($M45="","",INDEX(伝票元!$P$6:$P$511,$M45))</f>
        <v/>
      </c>
      <c r="B45" s="45" t="str">
        <f aca="false">IF($M45="","",INDEX(伝票元!$D$6:$D$511,$M45))</f>
        <v/>
      </c>
      <c r="C45" s="10" t="str">
        <f aca="false">IF($M45="","",INDEX(伝票元!$E$6:$E$511,$M45))</f>
        <v/>
      </c>
      <c r="D45" s="45" t="str">
        <f aca="false">IF($M45="","",INDEX(伝票元!$A$6:$A$511,$M45))</f>
        <v/>
      </c>
      <c r="E45" s="10" t="str">
        <f aca="false">IF(IF($M45="",0,INDEX(伝票元!$N$6:$N$511,$M45))=1,INDEX(伝票元!$I$6:$I$511,$M45),"")</f>
        <v/>
      </c>
      <c r="F45" s="45" t="str">
        <f aca="false">IF(IF($M45="",0,INDEX(伝票元!$N$6:$N$511,$M45))=1,INDEX(伝票元!$J$6:$J$511,$M45),"")</f>
        <v/>
      </c>
      <c r="G45" s="42" t="str">
        <f aca="false">IF(IF($M45="",0,INDEX(伝票元!$N$6:$N$511,$M45))=1,INDEX(伝票元!$Q$6:$Q$511,$M45),"")</f>
        <v/>
      </c>
      <c r="H45" s="45" t="str">
        <f aca="false">IF($M45="","",INDEX(伝票元!$F$6:$F$511,$M45))</f>
        <v/>
      </c>
      <c r="I45" s="45" t="str">
        <f aca="false">IF($M45="","",INDEX(伝票元!$G$6:$G$511,$M45))</f>
        <v/>
      </c>
      <c r="J45" s="42" t="str">
        <f aca="false">IF($M45="","",INDEX(伝票元!$H$6:$H$511,$M45))</f>
        <v/>
      </c>
      <c r="K45" s="46" t="str">
        <f aca="false">IF(IF($M45="",0,INDEX(伝票元!$N$6:$N$511,$M45))=1,INDEX(伝票元!$R$6:$R$511,$M45),"")</f>
        <v/>
      </c>
      <c r="L45" s="47" t="str">
        <f aca="false">IF($M45="","",INDEX(伝票元!$S$6:$S$511,$M45))</f>
        <v/>
      </c>
      <c r="M45" s="47" t="str">
        <f aca="false">IFERROR(MATCH(39,伝票元!$O$6:$O$511,0),"")</f>
        <v/>
      </c>
    </row>
    <row r="46" customFormat="false" ht="15" hidden="false" customHeight="false" outlineLevel="0" collapsed="false">
      <c r="A46" s="10" t="str">
        <f aca="false">IF($M46="","",INDEX(伝票元!$P$6:$P$511,$M46))</f>
        <v/>
      </c>
      <c r="B46" s="45" t="str">
        <f aca="false">IF($M46="","",INDEX(伝票元!$D$6:$D$511,$M46))</f>
        <v/>
      </c>
      <c r="C46" s="10" t="str">
        <f aca="false">IF($M46="","",INDEX(伝票元!$E$6:$E$511,$M46))</f>
        <v/>
      </c>
      <c r="D46" s="45" t="str">
        <f aca="false">IF($M46="","",INDEX(伝票元!$A$6:$A$511,$M46))</f>
        <v/>
      </c>
      <c r="E46" s="10" t="str">
        <f aca="false">IF(IF($M46="",0,INDEX(伝票元!$N$6:$N$511,$M46))=1,INDEX(伝票元!$I$6:$I$511,$M46),"")</f>
        <v/>
      </c>
      <c r="F46" s="45" t="str">
        <f aca="false">IF(IF($M46="",0,INDEX(伝票元!$N$6:$N$511,$M46))=1,INDEX(伝票元!$J$6:$J$511,$M46),"")</f>
        <v/>
      </c>
      <c r="G46" s="42" t="str">
        <f aca="false">IF(IF($M46="",0,INDEX(伝票元!$N$6:$N$511,$M46))=1,INDEX(伝票元!$Q$6:$Q$511,$M46),"")</f>
        <v/>
      </c>
      <c r="H46" s="45" t="str">
        <f aca="false">IF($M46="","",INDEX(伝票元!$F$6:$F$511,$M46))</f>
        <v/>
      </c>
      <c r="I46" s="45" t="str">
        <f aca="false">IF($M46="","",INDEX(伝票元!$G$6:$G$511,$M46))</f>
        <v/>
      </c>
      <c r="J46" s="42" t="str">
        <f aca="false">IF($M46="","",INDEX(伝票元!$H$6:$H$511,$M46))</f>
        <v/>
      </c>
      <c r="K46" s="46" t="str">
        <f aca="false">IF(IF($M46="",0,INDEX(伝票元!$N$6:$N$511,$M46))=1,INDEX(伝票元!$R$6:$R$511,$M46),"")</f>
        <v/>
      </c>
      <c r="L46" s="47" t="str">
        <f aca="false">IF($M46="","",INDEX(伝票元!$S$6:$S$511,$M46))</f>
        <v/>
      </c>
      <c r="M46" s="47" t="str">
        <f aca="false">IFERROR(MATCH(40,伝票元!$O$6:$O$511,0),"")</f>
        <v/>
      </c>
    </row>
    <row r="47" customFormat="false" ht="15" hidden="false" customHeight="false" outlineLevel="0" collapsed="false">
      <c r="A47" s="10" t="str">
        <f aca="false">IF($M47="","",INDEX(伝票元!$P$6:$P$511,$M47))</f>
        <v/>
      </c>
      <c r="B47" s="45" t="str">
        <f aca="false">IF($M47="","",INDEX(伝票元!$D$6:$D$511,$M47))</f>
        <v/>
      </c>
      <c r="C47" s="10" t="str">
        <f aca="false">IF($M47="","",INDEX(伝票元!$E$6:$E$511,$M47))</f>
        <v/>
      </c>
      <c r="D47" s="45" t="str">
        <f aca="false">IF($M47="","",INDEX(伝票元!$A$6:$A$511,$M47))</f>
        <v/>
      </c>
      <c r="E47" s="10" t="str">
        <f aca="false">IF(IF($M47="",0,INDEX(伝票元!$N$6:$N$511,$M47))=1,INDEX(伝票元!$I$6:$I$511,$M47),"")</f>
        <v/>
      </c>
      <c r="F47" s="45" t="str">
        <f aca="false">IF(IF($M47="",0,INDEX(伝票元!$N$6:$N$511,$M47))=1,INDEX(伝票元!$J$6:$J$511,$M47),"")</f>
        <v/>
      </c>
      <c r="G47" s="42" t="str">
        <f aca="false">IF(IF($M47="",0,INDEX(伝票元!$N$6:$N$511,$M47))=1,INDEX(伝票元!$Q$6:$Q$511,$M47),"")</f>
        <v/>
      </c>
      <c r="H47" s="45" t="str">
        <f aca="false">IF($M47="","",INDEX(伝票元!$F$6:$F$511,$M47))</f>
        <v/>
      </c>
      <c r="I47" s="45" t="str">
        <f aca="false">IF($M47="","",INDEX(伝票元!$G$6:$G$511,$M47))</f>
        <v/>
      </c>
      <c r="J47" s="42" t="str">
        <f aca="false">IF($M47="","",INDEX(伝票元!$H$6:$H$511,$M47))</f>
        <v/>
      </c>
      <c r="K47" s="46" t="str">
        <f aca="false">IF(IF($M47="",0,INDEX(伝票元!$N$6:$N$511,$M47))=1,INDEX(伝票元!$R$6:$R$511,$M47),"")</f>
        <v/>
      </c>
      <c r="L47" s="47" t="str">
        <f aca="false">IF($M47="","",INDEX(伝票元!$S$6:$S$511,$M47))</f>
        <v/>
      </c>
      <c r="M47" s="47" t="str">
        <f aca="false">IFERROR(MATCH(41,伝票元!$O$6:$O$511,0),"")</f>
        <v/>
      </c>
    </row>
    <row r="48" customFormat="false" ht="15" hidden="false" customHeight="false" outlineLevel="0" collapsed="false">
      <c r="A48" s="10" t="str">
        <f aca="false">IF($M48="","",INDEX(伝票元!$P$6:$P$511,$M48))</f>
        <v/>
      </c>
      <c r="B48" s="45" t="str">
        <f aca="false">IF($M48="","",INDEX(伝票元!$D$6:$D$511,$M48))</f>
        <v/>
      </c>
      <c r="C48" s="10" t="str">
        <f aca="false">IF($M48="","",INDEX(伝票元!$E$6:$E$511,$M48))</f>
        <v/>
      </c>
      <c r="D48" s="45" t="str">
        <f aca="false">IF($M48="","",INDEX(伝票元!$A$6:$A$511,$M48))</f>
        <v/>
      </c>
      <c r="E48" s="10" t="str">
        <f aca="false">IF(IF($M48="",0,INDEX(伝票元!$N$6:$N$511,$M48))=1,INDEX(伝票元!$I$6:$I$511,$M48),"")</f>
        <v/>
      </c>
      <c r="F48" s="45" t="str">
        <f aca="false">IF(IF($M48="",0,INDEX(伝票元!$N$6:$N$511,$M48))=1,INDEX(伝票元!$J$6:$J$511,$M48),"")</f>
        <v/>
      </c>
      <c r="G48" s="42" t="str">
        <f aca="false">IF(IF($M48="",0,INDEX(伝票元!$N$6:$N$511,$M48))=1,INDEX(伝票元!$Q$6:$Q$511,$M48),"")</f>
        <v/>
      </c>
      <c r="H48" s="45" t="str">
        <f aca="false">IF($M48="","",INDEX(伝票元!$F$6:$F$511,$M48))</f>
        <v/>
      </c>
      <c r="I48" s="45" t="str">
        <f aca="false">IF($M48="","",INDEX(伝票元!$G$6:$G$511,$M48))</f>
        <v/>
      </c>
      <c r="J48" s="42" t="str">
        <f aca="false">IF($M48="","",INDEX(伝票元!$H$6:$H$511,$M48))</f>
        <v/>
      </c>
      <c r="K48" s="46" t="str">
        <f aca="false">IF(IF($M48="",0,INDEX(伝票元!$N$6:$N$511,$M48))=1,INDEX(伝票元!$R$6:$R$511,$M48),"")</f>
        <v/>
      </c>
      <c r="L48" s="47" t="str">
        <f aca="false">IF($M48="","",INDEX(伝票元!$S$6:$S$511,$M48))</f>
        <v/>
      </c>
      <c r="M48" s="47" t="str">
        <f aca="false">IFERROR(MATCH(42,伝票元!$O$6:$O$511,0),"")</f>
        <v/>
      </c>
    </row>
    <row r="49" customFormat="false" ht="15" hidden="false" customHeight="false" outlineLevel="0" collapsed="false">
      <c r="A49" s="10" t="str">
        <f aca="false">IF($M49="","",INDEX(伝票元!$P$6:$P$511,$M49))</f>
        <v/>
      </c>
      <c r="B49" s="45" t="str">
        <f aca="false">IF($M49="","",INDEX(伝票元!$D$6:$D$511,$M49))</f>
        <v/>
      </c>
      <c r="C49" s="10" t="str">
        <f aca="false">IF($M49="","",INDEX(伝票元!$E$6:$E$511,$M49))</f>
        <v/>
      </c>
      <c r="D49" s="45" t="str">
        <f aca="false">IF($M49="","",INDEX(伝票元!$A$6:$A$511,$M49))</f>
        <v/>
      </c>
      <c r="E49" s="10" t="str">
        <f aca="false">IF(IF($M49="",0,INDEX(伝票元!$N$6:$N$511,$M49))=1,INDEX(伝票元!$I$6:$I$511,$M49),"")</f>
        <v/>
      </c>
      <c r="F49" s="45" t="str">
        <f aca="false">IF(IF($M49="",0,INDEX(伝票元!$N$6:$N$511,$M49))=1,INDEX(伝票元!$J$6:$J$511,$M49),"")</f>
        <v/>
      </c>
      <c r="G49" s="42" t="str">
        <f aca="false">IF(IF($M49="",0,INDEX(伝票元!$N$6:$N$511,$M49))=1,INDEX(伝票元!$Q$6:$Q$511,$M49),"")</f>
        <v/>
      </c>
      <c r="H49" s="45" t="str">
        <f aca="false">IF($M49="","",INDEX(伝票元!$F$6:$F$511,$M49))</f>
        <v/>
      </c>
      <c r="I49" s="45" t="str">
        <f aca="false">IF($M49="","",INDEX(伝票元!$G$6:$G$511,$M49))</f>
        <v/>
      </c>
      <c r="J49" s="42" t="str">
        <f aca="false">IF($M49="","",INDEX(伝票元!$H$6:$H$511,$M49))</f>
        <v/>
      </c>
      <c r="K49" s="46" t="str">
        <f aca="false">IF(IF($M49="",0,INDEX(伝票元!$N$6:$N$511,$M49))=1,INDEX(伝票元!$R$6:$R$511,$M49),"")</f>
        <v/>
      </c>
      <c r="L49" s="47" t="str">
        <f aca="false">IF($M49="","",INDEX(伝票元!$S$6:$S$511,$M49))</f>
        <v/>
      </c>
      <c r="M49" s="47" t="str">
        <f aca="false">IFERROR(MATCH(43,伝票元!$O$6:$O$511,0),"")</f>
        <v/>
      </c>
    </row>
    <row r="50" customFormat="false" ht="15" hidden="false" customHeight="false" outlineLevel="0" collapsed="false">
      <c r="A50" s="10" t="str">
        <f aca="false">IF($M50="","",INDEX(伝票元!$P$6:$P$511,$M50))</f>
        <v/>
      </c>
      <c r="B50" s="45" t="str">
        <f aca="false">IF($M50="","",INDEX(伝票元!$D$6:$D$511,$M50))</f>
        <v/>
      </c>
      <c r="C50" s="10" t="str">
        <f aca="false">IF($M50="","",INDEX(伝票元!$E$6:$E$511,$M50))</f>
        <v/>
      </c>
      <c r="D50" s="45" t="str">
        <f aca="false">IF($M50="","",INDEX(伝票元!$A$6:$A$511,$M50))</f>
        <v/>
      </c>
      <c r="E50" s="10" t="str">
        <f aca="false">IF(IF($M50="",0,INDEX(伝票元!$N$6:$N$511,$M50))=1,INDEX(伝票元!$I$6:$I$511,$M50),"")</f>
        <v/>
      </c>
      <c r="F50" s="45" t="str">
        <f aca="false">IF(IF($M50="",0,INDEX(伝票元!$N$6:$N$511,$M50))=1,INDEX(伝票元!$J$6:$J$511,$M50),"")</f>
        <v/>
      </c>
      <c r="G50" s="42" t="str">
        <f aca="false">IF(IF($M50="",0,INDEX(伝票元!$N$6:$N$511,$M50))=1,INDEX(伝票元!$Q$6:$Q$511,$M50),"")</f>
        <v/>
      </c>
      <c r="H50" s="45" t="str">
        <f aca="false">IF($M50="","",INDEX(伝票元!$F$6:$F$511,$M50))</f>
        <v/>
      </c>
      <c r="I50" s="45" t="str">
        <f aca="false">IF($M50="","",INDEX(伝票元!$G$6:$G$511,$M50))</f>
        <v/>
      </c>
      <c r="J50" s="42" t="str">
        <f aca="false">IF($M50="","",INDEX(伝票元!$H$6:$H$511,$M50))</f>
        <v/>
      </c>
      <c r="K50" s="46" t="str">
        <f aca="false">IF(IF($M50="",0,INDEX(伝票元!$N$6:$N$511,$M50))=1,INDEX(伝票元!$R$6:$R$511,$M50),"")</f>
        <v/>
      </c>
      <c r="L50" s="47" t="str">
        <f aca="false">IF($M50="","",INDEX(伝票元!$S$6:$S$511,$M50))</f>
        <v/>
      </c>
      <c r="M50" s="47" t="str">
        <f aca="false">IFERROR(MATCH(44,伝票元!$O$6:$O$511,0),"")</f>
        <v/>
      </c>
    </row>
    <row r="51" customFormat="false" ht="15" hidden="false" customHeight="false" outlineLevel="0" collapsed="false">
      <c r="A51" s="10" t="str">
        <f aca="false">IF($M51="","",INDEX(伝票元!$P$6:$P$511,$M51))</f>
        <v/>
      </c>
      <c r="B51" s="45" t="str">
        <f aca="false">IF($M51="","",INDEX(伝票元!$D$6:$D$511,$M51))</f>
        <v/>
      </c>
      <c r="C51" s="10" t="str">
        <f aca="false">IF($M51="","",INDEX(伝票元!$E$6:$E$511,$M51))</f>
        <v/>
      </c>
      <c r="D51" s="45" t="str">
        <f aca="false">IF($M51="","",INDEX(伝票元!$A$6:$A$511,$M51))</f>
        <v/>
      </c>
      <c r="E51" s="10" t="str">
        <f aca="false">IF(IF($M51="",0,INDEX(伝票元!$N$6:$N$511,$M51))=1,INDEX(伝票元!$I$6:$I$511,$M51),"")</f>
        <v/>
      </c>
      <c r="F51" s="45" t="str">
        <f aca="false">IF(IF($M51="",0,INDEX(伝票元!$N$6:$N$511,$M51))=1,INDEX(伝票元!$J$6:$J$511,$M51),"")</f>
        <v/>
      </c>
      <c r="G51" s="42" t="str">
        <f aca="false">IF(IF($M51="",0,INDEX(伝票元!$N$6:$N$511,$M51))=1,INDEX(伝票元!$Q$6:$Q$511,$M51),"")</f>
        <v/>
      </c>
      <c r="H51" s="45" t="str">
        <f aca="false">IF($M51="","",INDEX(伝票元!$F$6:$F$511,$M51))</f>
        <v/>
      </c>
      <c r="I51" s="45" t="str">
        <f aca="false">IF($M51="","",INDEX(伝票元!$G$6:$G$511,$M51))</f>
        <v/>
      </c>
      <c r="J51" s="42" t="str">
        <f aca="false">IF($M51="","",INDEX(伝票元!$H$6:$H$511,$M51))</f>
        <v/>
      </c>
      <c r="K51" s="46" t="str">
        <f aca="false">IF(IF($M51="",0,INDEX(伝票元!$N$6:$N$511,$M51))=1,INDEX(伝票元!$R$6:$R$511,$M51),"")</f>
        <v/>
      </c>
      <c r="L51" s="47" t="str">
        <f aca="false">IF($M51="","",INDEX(伝票元!$S$6:$S$511,$M51))</f>
        <v/>
      </c>
      <c r="M51" s="47" t="str">
        <f aca="false">IFERROR(MATCH(45,伝票元!$O$6:$O$511,0),"")</f>
        <v/>
      </c>
    </row>
    <row r="52" customFormat="false" ht="15" hidden="false" customHeight="false" outlineLevel="0" collapsed="false">
      <c r="A52" s="10" t="str">
        <f aca="false">IF($M52="","",INDEX(伝票元!$P$6:$P$511,$M52))</f>
        <v/>
      </c>
      <c r="B52" s="45" t="str">
        <f aca="false">IF($M52="","",INDEX(伝票元!$D$6:$D$511,$M52))</f>
        <v/>
      </c>
      <c r="C52" s="10" t="str">
        <f aca="false">IF($M52="","",INDEX(伝票元!$E$6:$E$511,$M52))</f>
        <v/>
      </c>
      <c r="D52" s="45" t="str">
        <f aca="false">IF($M52="","",INDEX(伝票元!$A$6:$A$511,$M52))</f>
        <v/>
      </c>
      <c r="E52" s="10" t="str">
        <f aca="false">IF(IF($M52="",0,INDEX(伝票元!$N$6:$N$511,$M52))=1,INDEX(伝票元!$I$6:$I$511,$M52),"")</f>
        <v/>
      </c>
      <c r="F52" s="45" t="str">
        <f aca="false">IF(IF($M52="",0,INDEX(伝票元!$N$6:$N$511,$M52))=1,INDEX(伝票元!$J$6:$J$511,$M52),"")</f>
        <v/>
      </c>
      <c r="G52" s="42" t="str">
        <f aca="false">IF(IF($M52="",0,INDEX(伝票元!$N$6:$N$511,$M52))=1,INDEX(伝票元!$Q$6:$Q$511,$M52),"")</f>
        <v/>
      </c>
      <c r="H52" s="45" t="str">
        <f aca="false">IF($M52="","",INDEX(伝票元!$F$6:$F$511,$M52))</f>
        <v/>
      </c>
      <c r="I52" s="45" t="str">
        <f aca="false">IF($M52="","",INDEX(伝票元!$G$6:$G$511,$M52))</f>
        <v/>
      </c>
      <c r="J52" s="42" t="str">
        <f aca="false">IF($M52="","",INDEX(伝票元!$H$6:$H$511,$M52))</f>
        <v/>
      </c>
      <c r="K52" s="46" t="str">
        <f aca="false">IF(IF($M52="",0,INDEX(伝票元!$N$6:$N$511,$M52))=1,INDEX(伝票元!$R$6:$R$511,$M52),"")</f>
        <v/>
      </c>
      <c r="L52" s="47" t="str">
        <f aca="false">IF($M52="","",INDEX(伝票元!$S$6:$S$511,$M52))</f>
        <v/>
      </c>
      <c r="M52" s="47" t="str">
        <f aca="false">IFERROR(MATCH(46,伝票元!$O$6:$O$511,0),"")</f>
        <v/>
      </c>
    </row>
    <row r="53" customFormat="false" ht="15" hidden="false" customHeight="false" outlineLevel="0" collapsed="false">
      <c r="A53" s="10" t="str">
        <f aca="false">IF($M53="","",INDEX(伝票元!$P$6:$P$511,$M53))</f>
        <v/>
      </c>
      <c r="B53" s="45" t="str">
        <f aca="false">IF($M53="","",INDEX(伝票元!$D$6:$D$511,$M53))</f>
        <v/>
      </c>
      <c r="C53" s="10" t="str">
        <f aca="false">IF($M53="","",INDEX(伝票元!$E$6:$E$511,$M53))</f>
        <v/>
      </c>
      <c r="D53" s="45" t="str">
        <f aca="false">IF($M53="","",INDEX(伝票元!$A$6:$A$511,$M53))</f>
        <v/>
      </c>
      <c r="E53" s="10" t="str">
        <f aca="false">IF(IF($M53="",0,INDEX(伝票元!$N$6:$N$511,$M53))=1,INDEX(伝票元!$I$6:$I$511,$M53),"")</f>
        <v/>
      </c>
      <c r="F53" s="45" t="str">
        <f aca="false">IF(IF($M53="",0,INDEX(伝票元!$N$6:$N$511,$M53))=1,INDEX(伝票元!$J$6:$J$511,$M53),"")</f>
        <v/>
      </c>
      <c r="G53" s="42" t="str">
        <f aca="false">IF(IF($M53="",0,INDEX(伝票元!$N$6:$N$511,$M53))=1,INDEX(伝票元!$Q$6:$Q$511,$M53),"")</f>
        <v/>
      </c>
      <c r="H53" s="45" t="str">
        <f aca="false">IF($M53="","",INDEX(伝票元!$F$6:$F$511,$M53))</f>
        <v/>
      </c>
      <c r="I53" s="45" t="str">
        <f aca="false">IF($M53="","",INDEX(伝票元!$G$6:$G$511,$M53))</f>
        <v/>
      </c>
      <c r="J53" s="42" t="str">
        <f aca="false">IF($M53="","",INDEX(伝票元!$H$6:$H$511,$M53))</f>
        <v/>
      </c>
      <c r="K53" s="46" t="str">
        <f aca="false">IF(IF($M53="",0,INDEX(伝票元!$N$6:$N$511,$M53))=1,INDEX(伝票元!$R$6:$R$511,$M53),"")</f>
        <v/>
      </c>
      <c r="L53" s="47" t="str">
        <f aca="false">IF($M53="","",INDEX(伝票元!$S$6:$S$511,$M53))</f>
        <v/>
      </c>
      <c r="M53" s="47" t="str">
        <f aca="false">IFERROR(MATCH(47,伝票元!$O$6:$O$511,0),"")</f>
        <v/>
      </c>
    </row>
    <row r="54" customFormat="false" ht="15" hidden="false" customHeight="false" outlineLevel="0" collapsed="false">
      <c r="A54" s="10" t="str">
        <f aca="false">IF($M54="","",INDEX(伝票元!$P$6:$P$511,$M54))</f>
        <v/>
      </c>
      <c r="B54" s="45" t="str">
        <f aca="false">IF($M54="","",INDEX(伝票元!$D$6:$D$511,$M54))</f>
        <v/>
      </c>
      <c r="C54" s="10" t="str">
        <f aca="false">IF($M54="","",INDEX(伝票元!$E$6:$E$511,$M54))</f>
        <v/>
      </c>
      <c r="D54" s="45" t="str">
        <f aca="false">IF($M54="","",INDEX(伝票元!$A$6:$A$511,$M54))</f>
        <v/>
      </c>
      <c r="E54" s="10" t="str">
        <f aca="false">IF(IF($M54="",0,INDEX(伝票元!$N$6:$N$511,$M54))=1,INDEX(伝票元!$I$6:$I$511,$M54),"")</f>
        <v/>
      </c>
      <c r="F54" s="45" t="str">
        <f aca="false">IF(IF($M54="",0,INDEX(伝票元!$N$6:$N$511,$M54))=1,INDEX(伝票元!$J$6:$J$511,$M54),"")</f>
        <v/>
      </c>
      <c r="G54" s="42" t="str">
        <f aca="false">IF(IF($M54="",0,INDEX(伝票元!$N$6:$N$511,$M54))=1,INDEX(伝票元!$Q$6:$Q$511,$M54),"")</f>
        <v/>
      </c>
      <c r="H54" s="45" t="str">
        <f aca="false">IF($M54="","",INDEX(伝票元!$F$6:$F$511,$M54))</f>
        <v/>
      </c>
      <c r="I54" s="45" t="str">
        <f aca="false">IF($M54="","",INDEX(伝票元!$G$6:$G$511,$M54))</f>
        <v/>
      </c>
      <c r="J54" s="42" t="str">
        <f aca="false">IF($M54="","",INDEX(伝票元!$H$6:$H$511,$M54))</f>
        <v/>
      </c>
      <c r="K54" s="46" t="str">
        <f aca="false">IF(IF($M54="",0,INDEX(伝票元!$N$6:$N$511,$M54))=1,INDEX(伝票元!$R$6:$R$511,$M54),"")</f>
        <v/>
      </c>
      <c r="L54" s="47" t="str">
        <f aca="false">IF($M54="","",INDEX(伝票元!$S$6:$S$511,$M54))</f>
        <v/>
      </c>
      <c r="M54" s="47" t="str">
        <f aca="false">IFERROR(MATCH(48,伝票元!$O$6:$O$511,0),"")</f>
        <v/>
      </c>
    </row>
    <row r="55" customFormat="false" ht="15" hidden="false" customHeight="false" outlineLevel="0" collapsed="false">
      <c r="A55" s="10" t="str">
        <f aca="false">IF($M55="","",INDEX(伝票元!$P$6:$P$511,$M55))</f>
        <v/>
      </c>
      <c r="B55" s="45" t="str">
        <f aca="false">IF($M55="","",INDEX(伝票元!$D$6:$D$511,$M55))</f>
        <v/>
      </c>
      <c r="C55" s="10" t="str">
        <f aca="false">IF($M55="","",INDEX(伝票元!$E$6:$E$511,$M55))</f>
        <v/>
      </c>
      <c r="D55" s="45" t="str">
        <f aca="false">IF($M55="","",INDEX(伝票元!$A$6:$A$511,$M55))</f>
        <v/>
      </c>
      <c r="E55" s="10" t="str">
        <f aca="false">IF(IF($M55="",0,INDEX(伝票元!$N$6:$N$511,$M55))=1,INDEX(伝票元!$I$6:$I$511,$M55),"")</f>
        <v/>
      </c>
      <c r="F55" s="45" t="str">
        <f aca="false">IF(IF($M55="",0,INDEX(伝票元!$N$6:$N$511,$M55))=1,INDEX(伝票元!$J$6:$J$511,$M55),"")</f>
        <v/>
      </c>
      <c r="G55" s="42" t="str">
        <f aca="false">IF(IF($M55="",0,INDEX(伝票元!$N$6:$N$511,$M55))=1,INDEX(伝票元!$Q$6:$Q$511,$M55),"")</f>
        <v/>
      </c>
      <c r="H55" s="45" t="str">
        <f aca="false">IF($M55="","",INDEX(伝票元!$F$6:$F$511,$M55))</f>
        <v/>
      </c>
      <c r="I55" s="45" t="str">
        <f aca="false">IF($M55="","",INDEX(伝票元!$G$6:$G$511,$M55))</f>
        <v/>
      </c>
      <c r="J55" s="42" t="str">
        <f aca="false">IF($M55="","",INDEX(伝票元!$H$6:$H$511,$M55))</f>
        <v/>
      </c>
      <c r="K55" s="46" t="str">
        <f aca="false">IF(IF($M55="",0,INDEX(伝票元!$N$6:$N$511,$M55))=1,INDEX(伝票元!$R$6:$R$511,$M55),"")</f>
        <v/>
      </c>
      <c r="L55" s="47" t="str">
        <f aca="false">IF($M55="","",INDEX(伝票元!$S$6:$S$511,$M55))</f>
        <v/>
      </c>
      <c r="M55" s="47" t="str">
        <f aca="false">IFERROR(MATCH(49,伝票元!$O$6:$O$511,0),"")</f>
        <v/>
      </c>
    </row>
    <row r="56" customFormat="false" ht="15" hidden="false" customHeight="false" outlineLevel="0" collapsed="false">
      <c r="A56" s="10" t="str">
        <f aca="false">IF($M56="","",INDEX(伝票元!$P$6:$P$511,$M56))</f>
        <v/>
      </c>
      <c r="B56" s="45" t="str">
        <f aca="false">IF($M56="","",INDEX(伝票元!$D$6:$D$511,$M56))</f>
        <v/>
      </c>
      <c r="C56" s="10" t="str">
        <f aca="false">IF($M56="","",INDEX(伝票元!$E$6:$E$511,$M56))</f>
        <v/>
      </c>
      <c r="D56" s="45" t="str">
        <f aca="false">IF($M56="","",INDEX(伝票元!$A$6:$A$511,$M56))</f>
        <v/>
      </c>
      <c r="E56" s="10" t="str">
        <f aca="false">IF(IF($M56="",0,INDEX(伝票元!$N$6:$N$511,$M56))=1,INDEX(伝票元!$I$6:$I$511,$M56),"")</f>
        <v/>
      </c>
      <c r="F56" s="45" t="str">
        <f aca="false">IF(IF($M56="",0,INDEX(伝票元!$N$6:$N$511,$M56))=1,INDEX(伝票元!$J$6:$J$511,$M56),"")</f>
        <v/>
      </c>
      <c r="G56" s="42" t="str">
        <f aca="false">IF(IF($M56="",0,INDEX(伝票元!$N$6:$N$511,$M56))=1,INDEX(伝票元!$Q$6:$Q$511,$M56),"")</f>
        <v/>
      </c>
      <c r="H56" s="45" t="str">
        <f aca="false">IF($M56="","",INDEX(伝票元!$F$6:$F$511,$M56))</f>
        <v/>
      </c>
      <c r="I56" s="45" t="str">
        <f aca="false">IF($M56="","",INDEX(伝票元!$G$6:$G$511,$M56))</f>
        <v/>
      </c>
      <c r="J56" s="42" t="str">
        <f aca="false">IF($M56="","",INDEX(伝票元!$H$6:$H$511,$M56))</f>
        <v/>
      </c>
      <c r="K56" s="46" t="str">
        <f aca="false">IF(IF($M56="",0,INDEX(伝票元!$N$6:$N$511,$M56))=1,INDEX(伝票元!$R$6:$R$511,$M56),"")</f>
        <v/>
      </c>
      <c r="L56" s="47" t="str">
        <f aca="false">IF($M56="","",INDEX(伝票元!$S$6:$S$511,$M56))</f>
        <v/>
      </c>
      <c r="M56" s="47" t="str">
        <f aca="false">IFERROR(MATCH(50,伝票元!$O$6:$O$511,0),"")</f>
        <v/>
      </c>
    </row>
    <row r="57" customFormat="false" ht="15" hidden="false" customHeight="false" outlineLevel="0" collapsed="false">
      <c r="A57" s="10" t="str">
        <f aca="false">IF($M57="","",INDEX(伝票元!$P$6:$P$511,$M57))</f>
        <v/>
      </c>
      <c r="B57" s="45" t="str">
        <f aca="false">IF($M57="","",INDEX(伝票元!$D$6:$D$511,$M57))</f>
        <v/>
      </c>
      <c r="C57" s="10" t="str">
        <f aca="false">IF($M57="","",INDEX(伝票元!$E$6:$E$511,$M57))</f>
        <v/>
      </c>
      <c r="D57" s="45" t="str">
        <f aca="false">IF($M57="","",INDEX(伝票元!$A$6:$A$511,$M57))</f>
        <v/>
      </c>
      <c r="E57" s="10" t="str">
        <f aca="false">IF(IF($M57="",0,INDEX(伝票元!$N$6:$N$511,$M57))=1,INDEX(伝票元!$I$6:$I$511,$M57),"")</f>
        <v/>
      </c>
      <c r="F57" s="45" t="str">
        <f aca="false">IF(IF($M57="",0,INDEX(伝票元!$N$6:$N$511,$M57))=1,INDEX(伝票元!$J$6:$J$511,$M57),"")</f>
        <v/>
      </c>
      <c r="G57" s="42" t="str">
        <f aca="false">IF(IF($M57="",0,INDEX(伝票元!$N$6:$N$511,$M57))=1,INDEX(伝票元!$Q$6:$Q$511,$M57),"")</f>
        <v/>
      </c>
      <c r="H57" s="45" t="str">
        <f aca="false">IF($M57="","",INDEX(伝票元!$F$6:$F$511,$M57))</f>
        <v/>
      </c>
      <c r="I57" s="45" t="str">
        <f aca="false">IF($M57="","",INDEX(伝票元!$G$6:$G$511,$M57))</f>
        <v/>
      </c>
      <c r="J57" s="42" t="str">
        <f aca="false">IF($M57="","",INDEX(伝票元!$H$6:$H$511,$M57))</f>
        <v/>
      </c>
      <c r="K57" s="46" t="str">
        <f aca="false">IF(IF($M57="",0,INDEX(伝票元!$N$6:$N$511,$M57))=1,INDEX(伝票元!$R$6:$R$511,$M57),"")</f>
        <v/>
      </c>
      <c r="L57" s="47" t="str">
        <f aca="false">IF($M57="","",INDEX(伝票元!$S$6:$S$511,$M57))</f>
        <v/>
      </c>
      <c r="M57" s="47" t="str">
        <f aca="false">IFERROR(MATCH(51,伝票元!$O$6:$O$511,0),"")</f>
        <v/>
      </c>
    </row>
    <row r="58" customFormat="false" ht="15" hidden="false" customHeight="false" outlineLevel="0" collapsed="false">
      <c r="A58" s="10" t="str">
        <f aca="false">IF($M58="","",INDEX(伝票元!$P$6:$P$511,$M58))</f>
        <v/>
      </c>
      <c r="B58" s="45" t="str">
        <f aca="false">IF($M58="","",INDEX(伝票元!$D$6:$D$511,$M58))</f>
        <v/>
      </c>
      <c r="C58" s="10" t="str">
        <f aca="false">IF($M58="","",INDEX(伝票元!$E$6:$E$511,$M58))</f>
        <v/>
      </c>
      <c r="D58" s="45" t="str">
        <f aca="false">IF($M58="","",INDEX(伝票元!$A$6:$A$511,$M58))</f>
        <v/>
      </c>
      <c r="E58" s="10" t="str">
        <f aca="false">IF(IF($M58="",0,INDEX(伝票元!$N$6:$N$511,$M58))=1,INDEX(伝票元!$I$6:$I$511,$M58),"")</f>
        <v/>
      </c>
      <c r="F58" s="45" t="str">
        <f aca="false">IF(IF($M58="",0,INDEX(伝票元!$N$6:$N$511,$M58))=1,INDEX(伝票元!$J$6:$J$511,$M58),"")</f>
        <v/>
      </c>
      <c r="G58" s="42" t="str">
        <f aca="false">IF(IF($M58="",0,INDEX(伝票元!$N$6:$N$511,$M58))=1,INDEX(伝票元!$Q$6:$Q$511,$M58),"")</f>
        <v/>
      </c>
      <c r="H58" s="45" t="str">
        <f aca="false">IF($M58="","",INDEX(伝票元!$F$6:$F$511,$M58))</f>
        <v/>
      </c>
      <c r="I58" s="45" t="str">
        <f aca="false">IF($M58="","",INDEX(伝票元!$G$6:$G$511,$M58))</f>
        <v/>
      </c>
      <c r="J58" s="42" t="str">
        <f aca="false">IF($M58="","",INDEX(伝票元!$H$6:$H$511,$M58))</f>
        <v/>
      </c>
      <c r="K58" s="46" t="str">
        <f aca="false">IF(IF($M58="",0,INDEX(伝票元!$N$6:$N$511,$M58))=1,INDEX(伝票元!$R$6:$R$511,$M58),"")</f>
        <v/>
      </c>
      <c r="L58" s="47" t="str">
        <f aca="false">IF($M58="","",INDEX(伝票元!$S$6:$S$511,$M58))</f>
        <v/>
      </c>
      <c r="M58" s="47" t="str">
        <f aca="false">IFERROR(MATCH(52,伝票元!$O$6:$O$511,0),"")</f>
        <v/>
      </c>
    </row>
    <row r="59" customFormat="false" ht="15" hidden="false" customHeight="false" outlineLevel="0" collapsed="false">
      <c r="A59" s="10" t="str">
        <f aca="false">IF($M59="","",INDEX(伝票元!$P$6:$P$511,$M59))</f>
        <v/>
      </c>
      <c r="B59" s="45" t="str">
        <f aca="false">IF($M59="","",INDEX(伝票元!$D$6:$D$511,$M59))</f>
        <v/>
      </c>
      <c r="C59" s="10" t="str">
        <f aca="false">IF($M59="","",INDEX(伝票元!$E$6:$E$511,$M59))</f>
        <v/>
      </c>
      <c r="D59" s="45" t="str">
        <f aca="false">IF($M59="","",INDEX(伝票元!$A$6:$A$511,$M59))</f>
        <v/>
      </c>
      <c r="E59" s="10" t="str">
        <f aca="false">IF(IF($M59="",0,INDEX(伝票元!$N$6:$N$511,$M59))=1,INDEX(伝票元!$I$6:$I$511,$M59),"")</f>
        <v/>
      </c>
      <c r="F59" s="45" t="str">
        <f aca="false">IF(IF($M59="",0,INDEX(伝票元!$N$6:$N$511,$M59))=1,INDEX(伝票元!$J$6:$J$511,$M59),"")</f>
        <v/>
      </c>
      <c r="G59" s="42" t="str">
        <f aca="false">IF(IF($M59="",0,INDEX(伝票元!$N$6:$N$511,$M59))=1,INDEX(伝票元!$Q$6:$Q$511,$M59),"")</f>
        <v/>
      </c>
      <c r="H59" s="45" t="str">
        <f aca="false">IF($M59="","",INDEX(伝票元!$F$6:$F$511,$M59))</f>
        <v/>
      </c>
      <c r="I59" s="45" t="str">
        <f aca="false">IF($M59="","",INDEX(伝票元!$G$6:$G$511,$M59))</f>
        <v/>
      </c>
      <c r="J59" s="42" t="str">
        <f aca="false">IF($M59="","",INDEX(伝票元!$H$6:$H$511,$M59))</f>
        <v/>
      </c>
      <c r="K59" s="46" t="str">
        <f aca="false">IF(IF($M59="",0,INDEX(伝票元!$N$6:$N$511,$M59))=1,INDEX(伝票元!$R$6:$R$511,$M59),"")</f>
        <v/>
      </c>
      <c r="L59" s="47" t="str">
        <f aca="false">IF($M59="","",INDEX(伝票元!$S$6:$S$511,$M59))</f>
        <v/>
      </c>
      <c r="M59" s="47" t="str">
        <f aca="false">IFERROR(MATCH(53,伝票元!$O$6:$O$511,0),"")</f>
        <v/>
      </c>
    </row>
    <row r="60" customFormat="false" ht="15" hidden="false" customHeight="false" outlineLevel="0" collapsed="false">
      <c r="A60" s="10" t="str">
        <f aca="false">IF($M60="","",INDEX(伝票元!$P$6:$P$511,$M60))</f>
        <v/>
      </c>
      <c r="B60" s="45" t="str">
        <f aca="false">IF($M60="","",INDEX(伝票元!$D$6:$D$511,$M60))</f>
        <v/>
      </c>
      <c r="C60" s="10" t="str">
        <f aca="false">IF($M60="","",INDEX(伝票元!$E$6:$E$511,$M60))</f>
        <v/>
      </c>
      <c r="D60" s="45" t="str">
        <f aca="false">IF($M60="","",INDEX(伝票元!$A$6:$A$511,$M60))</f>
        <v/>
      </c>
      <c r="E60" s="10" t="str">
        <f aca="false">IF(IF($M60="",0,INDEX(伝票元!$N$6:$N$511,$M60))=1,INDEX(伝票元!$I$6:$I$511,$M60),"")</f>
        <v/>
      </c>
      <c r="F60" s="45" t="str">
        <f aca="false">IF(IF($M60="",0,INDEX(伝票元!$N$6:$N$511,$M60))=1,INDEX(伝票元!$J$6:$J$511,$M60),"")</f>
        <v/>
      </c>
      <c r="G60" s="42" t="str">
        <f aca="false">IF(IF($M60="",0,INDEX(伝票元!$N$6:$N$511,$M60))=1,INDEX(伝票元!$Q$6:$Q$511,$M60),"")</f>
        <v/>
      </c>
      <c r="H60" s="45" t="str">
        <f aca="false">IF($M60="","",INDEX(伝票元!$F$6:$F$511,$M60))</f>
        <v/>
      </c>
      <c r="I60" s="45" t="str">
        <f aca="false">IF($M60="","",INDEX(伝票元!$G$6:$G$511,$M60))</f>
        <v/>
      </c>
      <c r="J60" s="42" t="str">
        <f aca="false">IF($M60="","",INDEX(伝票元!$H$6:$H$511,$M60))</f>
        <v/>
      </c>
      <c r="K60" s="46" t="str">
        <f aca="false">IF(IF($M60="",0,INDEX(伝票元!$N$6:$N$511,$M60))=1,INDEX(伝票元!$R$6:$R$511,$M60),"")</f>
        <v/>
      </c>
      <c r="L60" s="47" t="str">
        <f aca="false">IF($M60="","",INDEX(伝票元!$S$6:$S$511,$M60))</f>
        <v/>
      </c>
      <c r="M60" s="47" t="str">
        <f aca="false">IFERROR(MATCH(54,伝票元!$O$6:$O$511,0),"")</f>
        <v/>
      </c>
    </row>
    <row r="61" customFormat="false" ht="15" hidden="false" customHeight="false" outlineLevel="0" collapsed="false">
      <c r="A61" s="10" t="str">
        <f aca="false">IF($M61="","",INDEX(伝票元!$P$6:$P$511,$M61))</f>
        <v/>
      </c>
      <c r="B61" s="45" t="str">
        <f aca="false">IF($M61="","",INDEX(伝票元!$D$6:$D$511,$M61))</f>
        <v/>
      </c>
      <c r="C61" s="10" t="str">
        <f aca="false">IF($M61="","",INDEX(伝票元!$E$6:$E$511,$M61))</f>
        <v/>
      </c>
      <c r="D61" s="45" t="str">
        <f aca="false">IF($M61="","",INDEX(伝票元!$A$6:$A$511,$M61))</f>
        <v/>
      </c>
      <c r="E61" s="10" t="str">
        <f aca="false">IF(IF($M61="",0,INDEX(伝票元!$N$6:$N$511,$M61))=1,INDEX(伝票元!$I$6:$I$511,$M61),"")</f>
        <v/>
      </c>
      <c r="F61" s="45" t="str">
        <f aca="false">IF(IF($M61="",0,INDEX(伝票元!$N$6:$N$511,$M61))=1,INDEX(伝票元!$J$6:$J$511,$M61),"")</f>
        <v/>
      </c>
      <c r="G61" s="42" t="str">
        <f aca="false">IF(IF($M61="",0,INDEX(伝票元!$N$6:$N$511,$M61))=1,INDEX(伝票元!$Q$6:$Q$511,$M61),"")</f>
        <v/>
      </c>
      <c r="H61" s="45" t="str">
        <f aca="false">IF($M61="","",INDEX(伝票元!$F$6:$F$511,$M61))</f>
        <v/>
      </c>
      <c r="I61" s="45" t="str">
        <f aca="false">IF($M61="","",INDEX(伝票元!$G$6:$G$511,$M61))</f>
        <v/>
      </c>
      <c r="J61" s="42" t="str">
        <f aca="false">IF($M61="","",INDEX(伝票元!$H$6:$H$511,$M61))</f>
        <v/>
      </c>
      <c r="K61" s="46" t="str">
        <f aca="false">IF(IF($M61="",0,INDEX(伝票元!$N$6:$N$511,$M61))=1,INDEX(伝票元!$R$6:$R$511,$M61),"")</f>
        <v/>
      </c>
      <c r="L61" s="47" t="str">
        <f aca="false">IF($M61="","",INDEX(伝票元!$S$6:$S$511,$M61))</f>
        <v/>
      </c>
      <c r="M61" s="47" t="str">
        <f aca="false">IFERROR(MATCH(55,伝票元!$O$6:$O$511,0),"")</f>
        <v/>
      </c>
    </row>
    <row r="62" customFormat="false" ht="15" hidden="false" customHeight="false" outlineLevel="0" collapsed="false">
      <c r="A62" s="10" t="str">
        <f aca="false">IF($M62="","",INDEX(伝票元!$P$6:$P$511,$M62))</f>
        <v/>
      </c>
      <c r="B62" s="45" t="str">
        <f aca="false">IF($M62="","",INDEX(伝票元!$D$6:$D$511,$M62))</f>
        <v/>
      </c>
      <c r="C62" s="10" t="str">
        <f aca="false">IF($M62="","",INDEX(伝票元!$E$6:$E$511,$M62))</f>
        <v/>
      </c>
      <c r="D62" s="45" t="str">
        <f aca="false">IF($M62="","",INDEX(伝票元!$A$6:$A$511,$M62))</f>
        <v/>
      </c>
      <c r="E62" s="10" t="str">
        <f aca="false">IF(IF($M62="",0,INDEX(伝票元!$N$6:$N$511,$M62))=1,INDEX(伝票元!$I$6:$I$511,$M62),"")</f>
        <v/>
      </c>
      <c r="F62" s="45" t="str">
        <f aca="false">IF(IF($M62="",0,INDEX(伝票元!$N$6:$N$511,$M62))=1,INDEX(伝票元!$J$6:$J$511,$M62),"")</f>
        <v/>
      </c>
      <c r="G62" s="42" t="str">
        <f aca="false">IF(IF($M62="",0,INDEX(伝票元!$N$6:$N$511,$M62))=1,INDEX(伝票元!$Q$6:$Q$511,$M62),"")</f>
        <v/>
      </c>
      <c r="H62" s="45" t="str">
        <f aca="false">IF($M62="","",INDEX(伝票元!$F$6:$F$511,$M62))</f>
        <v/>
      </c>
      <c r="I62" s="45" t="str">
        <f aca="false">IF($M62="","",INDEX(伝票元!$G$6:$G$511,$M62))</f>
        <v/>
      </c>
      <c r="J62" s="42" t="str">
        <f aca="false">IF($M62="","",INDEX(伝票元!$H$6:$H$511,$M62))</f>
        <v/>
      </c>
      <c r="K62" s="46" t="str">
        <f aca="false">IF(IF($M62="",0,INDEX(伝票元!$N$6:$N$511,$M62))=1,INDEX(伝票元!$R$6:$R$511,$M62),"")</f>
        <v/>
      </c>
      <c r="L62" s="47" t="str">
        <f aca="false">IF($M62="","",INDEX(伝票元!$S$6:$S$511,$M62))</f>
        <v/>
      </c>
      <c r="M62" s="47" t="str">
        <f aca="false">IFERROR(MATCH(56,伝票元!$O$6:$O$511,0),"")</f>
        <v/>
      </c>
    </row>
    <row r="63" customFormat="false" ht="15" hidden="false" customHeight="false" outlineLevel="0" collapsed="false">
      <c r="A63" s="10" t="str">
        <f aca="false">IF($M63="","",INDEX(伝票元!$P$6:$P$511,$M63))</f>
        <v/>
      </c>
      <c r="B63" s="45" t="str">
        <f aca="false">IF($M63="","",INDEX(伝票元!$D$6:$D$511,$M63))</f>
        <v/>
      </c>
      <c r="C63" s="10" t="str">
        <f aca="false">IF($M63="","",INDEX(伝票元!$E$6:$E$511,$M63))</f>
        <v/>
      </c>
      <c r="D63" s="45" t="str">
        <f aca="false">IF($M63="","",INDEX(伝票元!$A$6:$A$511,$M63))</f>
        <v/>
      </c>
      <c r="E63" s="10" t="str">
        <f aca="false">IF(IF($M63="",0,INDEX(伝票元!$N$6:$N$511,$M63))=1,INDEX(伝票元!$I$6:$I$511,$M63),"")</f>
        <v/>
      </c>
      <c r="F63" s="45" t="str">
        <f aca="false">IF(IF($M63="",0,INDEX(伝票元!$N$6:$N$511,$M63))=1,INDEX(伝票元!$J$6:$J$511,$M63),"")</f>
        <v/>
      </c>
      <c r="G63" s="42" t="str">
        <f aca="false">IF(IF($M63="",0,INDEX(伝票元!$N$6:$N$511,$M63))=1,INDEX(伝票元!$Q$6:$Q$511,$M63),"")</f>
        <v/>
      </c>
      <c r="H63" s="45" t="str">
        <f aca="false">IF($M63="","",INDEX(伝票元!$F$6:$F$511,$M63))</f>
        <v/>
      </c>
      <c r="I63" s="45" t="str">
        <f aca="false">IF($M63="","",INDEX(伝票元!$G$6:$G$511,$M63))</f>
        <v/>
      </c>
      <c r="J63" s="42" t="str">
        <f aca="false">IF($M63="","",INDEX(伝票元!$H$6:$H$511,$M63))</f>
        <v/>
      </c>
      <c r="K63" s="46" t="str">
        <f aca="false">IF(IF($M63="",0,INDEX(伝票元!$N$6:$N$511,$M63))=1,INDEX(伝票元!$R$6:$R$511,$M63),"")</f>
        <v/>
      </c>
      <c r="L63" s="47" t="str">
        <f aca="false">IF($M63="","",INDEX(伝票元!$S$6:$S$511,$M63))</f>
        <v/>
      </c>
      <c r="M63" s="47" t="str">
        <f aca="false">IFERROR(MATCH(57,伝票元!$O$6:$O$511,0),"")</f>
        <v/>
      </c>
    </row>
    <row r="64" customFormat="false" ht="15" hidden="false" customHeight="false" outlineLevel="0" collapsed="false">
      <c r="A64" s="10" t="str">
        <f aca="false">IF($M64="","",INDEX(伝票元!$P$6:$P$511,$M64))</f>
        <v/>
      </c>
      <c r="B64" s="45" t="str">
        <f aca="false">IF($M64="","",INDEX(伝票元!$D$6:$D$511,$M64))</f>
        <v/>
      </c>
      <c r="C64" s="10" t="str">
        <f aca="false">IF($M64="","",INDEX(伝票元!$E$6:$E$511,$M64))</f>
        <v/>
      </c>
      <c r="D64" s="45" t="str">
        <f aca="false">IF($M64="","",INDEX(伝票元!$A$6:$A$511,$M64))</f>
        <v/>
      </c>
      <c r="E64" s="10" t="str">
        <f aca="false">IF(IF($M64="",0,INDEX(伝票元!$N$6:$N$511,$M64))=1,INDEX(伝票元!$I$6:$I$511,$M64),"")</f>
        <v/>
      </c>
      <c r="F64" s="45" t="str">
        <f aca="false">IF(IF($M64="",0,INDEX(伝票元!$N$6:$N$511,$M64))=1,INDEX(伝票元!$J$6:$J$511,$M64),"")</f>
        <v/>
      </c>
      <c r="G64" s="42" t="str">
        <f aca="false">IF(IF($M64="",0,INDEX(伝票元!$N$6:$N$511,$M64))=1,INDEX(伝票元!$Q$6:$Q$511,$M64),"")</f>
        <v/>
      </c>
      <c r="H64" s="45" t="str">
        <f aca="false">IF($M64="","",INDEX(伝票元!$F$6:$F$511,$M64))</f>
        <v/>
      </c>
      <c r="I64" s="45" t="str">
        <f aca="false">IF($M64="","",INDEX(伝票元!$G$6:$G$511,$M64))</f>
        <v/>
      </c>
      <c r="J64" s="42" t="str">
        <f aca="false">IF($M64="","",INDEX(伝票元!$H$6:$H$511,$M64))</f>
        <v/>
      </c>
      <c r="K64" s="46" t="str">
        <f aca="false">IF(IF($M64="",0,INDEX(伝票元!$N$6:$N$511,$M64))=1,INDEX(伝票元!$R$6:$R$511,$M64),"")</f>
        <v/>
      </c>
      <c r="L64" s="47" t="str">
        <f aca="false">IF($M64="","",INDEX(伝票元!$S$6:$S$511,$M64))</f>
        <v/>
      </c>
      <c r="M64" s="47" t="str">
        <f aca="false">IFERROR(MATCH(58,伝票元!$O$6:$O$511,0),"")</f>
        <v/>
      </c>
    </row>
    <row r="65" customFormat="false" ht="15" hidden="false" customHeight="false" outlineLevel="0" collapsed="false">
      <c r="A65" s="10" t="str">
        <f aca="false">IF($M65="","",INDEX(伝票元!$P$6:$P$511,$M65))</f>
        <v/>
      </c>
      <c r="B65" s="45" t="str">
        <f aca="false">IF($M65="","",INDEX(伝票元!$D$6:$D$511,$M65))</f>
        <v/>
      </c>
      <c r="C65" s="10" t="str">
        <f aca="false">IF($M65="","",INDEX(伝票元!$E$6:$E$511,$M65))</f>
        <v/>
      </c>
      <c r="D65" s="45" t="str">
        <f aca="false">IF($M65="","",INDEX(伝票元!$A$6:$A$511,$M65))</f>
        <v/>
      </c>
      <c r="E65" s="10" t="str">
        <f aca="false">IF(IF($M65="",0,INDEX(伝票元!$N$6:$N$511,$M65))=1,INDEX(伝票元!$I$6:$I$511,$M65),"")</f>
        <v/>
      </c>
      <c r="F65" s="45" t="str">
        <f aca="false">IF(IF($M65="",0,INDEX(伝票元!$N$6:$N$511,$M65))=1,INDEX(伝票元!$J$6:$J$511,$M65),"")</f>
        <v/>
      </c>
      <c r="G65" s="42" t="str">
        <f aca="false">IF(IF($M65="",0,INDEX(伝票元!$N$6:$N$511,$M65))=1,INDEX(伝票元!$Q$6:$Q$511,$M65),"")</f>
        <v/>
      </c>
      <c r="H65" s="45" t="str">
        <f aca="false">IF($M65="","",INDEX(伝票元!$F$6:$F$511,$M65))</f>
        <v/>
      </c>
      <c r="I65" s="45" t="str">
        <f aca="false">IF($M65="","",INDEX(伝票元!$G$6:$G$511,$M65))</f>
        <v/>
      </c>
      <c r="J65" s="42" t="str">
        <f aca="false">IF($M65="","",INDEX(伝票元!$H$6:$H$511,$M65))</f>
        <v/>
      </c>
      <c r="K65" s="46" t="str">
        <f aca="false">IF(IF($M65="",0,INDEX(伝票元!$N$6:$N$511,$M65))=1,INDEX(伝票元!$R$6:$R$511,$M65),"")</f>
        <v/>
      </c>
      <c r="L65" s="47" t="str">
        <f aca="false">IF($M65="","",INDEX(伝票元!$S$6:$S$511,$M65))</f>
        <v/>
      </c>
      <c r="M65" s="47" t="str">
        <f aca="false">IFERROR(MATCH(59,伝票元!$O$6:$O$511,0),"")</f>
        <v/>
      </c>
    </row>
    <row r="66" customFormat="false" ht="15" hidden="false" customHeight="false" outlineLevel="0" collapsed="false">
      <c r="A66" s="10" t="str">
        <f aca="false">IF($M66="","",INDEX(伝票元!$P$6:$P$511,$M66))</f>
        <v/>
      </c>
      <c r="B66" s="45" t="str">
        <f aca="false">IF($M66="","",INDEX(伝票元!$D$6:$D$511,$M66))</f>
        <v/>
      </c>
      <c r="C66" s="10" t="str">
        <f aca="false">IF($M66="","",INDEX(伝票元!$E$6:$E$511,$M66))</f>
        <v/>
      </c>
      <c r="D66" s="45" t="str">
        <f aca="false">IF($M66="","",INDEX(伝票元!$A$6:$A$511,$M66))</f>
        <v/>
      </c>
      <c r="E66" s="10" t="str">
        <f aca="false">IF(IF($M66="",0,INDEX(伝票元!$N$6:$N$511,$M66))=1,INDEX(伝票元!$I$6:$I$511,$M66),"")</f>
        <v/>
      </c>
      <c r="F66" s="45" t="str">
        <f aca="false">IF(IF($M66="",0,INDEX(伝票元!$N$6:$N$511,$M66))=1,INDEX(伝票元!$J$6:$J$511,$M66),"")</f>
        <v/>
      </c>
      <c r="G66" s="42" t="str">
        <f aca="false">IF(IF($M66="",0,INDEX(伝票元!$N$6:$N$511,$M66))=1,INDEX(伝票元!$Q$6:$Q$511,$M66),"")</f>
        <v/>
      </c>
      <c r="H66" s="45" t="str">
        <f aca="false">IF($M66="","",INDEX(伝票元!$F$6:$F$511,$M66))</f>
        <v/>
      </c>
      <c r="I66" s="45" t="str">
        <f aca="false">IF($M66="","",INDEX(伝票元!$G$6:$G$511,$M66))</f>
        <v/>
      </c>
      <c r="J66" s="42" t="str">
        <f aca="false">IF($M66="","",INDEX(伝票元!$H$6:$H$511,$M66))</f>
        <v/>
      </c>
      <c r="K66" s="46" t="str">
        <f aca="false">IF(IF($M66="",0,INDEX(伝票元!$N$6:$N$511,$M66))=1,INDEX(伝票元!$R$6:$R$511,$M66),"")</f>
        <v/>
      </c>
      <c r="L66" s="47" t="str">
        <f aca="false">IF($M66="","",INDEX(伝票元!$S$6:$S$511,$M66))</f>
        <v/>
      </c>
      <c r="M66" s="47" t="str">
        <f aca="false">IFERROR(MATCH(60,伝票元!$O$6:$O$511,0),"")</f>
        <v/>
      </c>
    </row>
    <row r="67" customFormat="false" ht="15" hidden="false" customHeight="false" outlineLevel="0" collapsed="false">
      <c r="A67" s="10" t="str">
        <f aca="false">IF($M67="","",INDEX(伝票元!$P$6:$P$511,$M67))</f>
        <v/>
      </c>
      <c r="B67" s="45" t="str">
        <f aca="false">IF($M67="","",INDEX(伝票元!$D$6:$D$511,$M67))</f>
        <v/>
      </c>
      <c r="C67" s="10" t="str">
        <f aca="false">IF($M67="","",INDEX(伝票元!$E$6:$E$511,$M67))</f>
        <v/>
      </c>
      <c r="D67" s="45" t="str">
        <f aca="false">IF($M67="","",INDEX(伝票元!$A$6:$A$511,$M67))</f>
        <v/>
      </c>
      <c r="E67" s="10" t="str">
        <f aca="false">IF(IF($M67="",0,INDEX(伝票元!$N$6:$N$511,$M67))=1,INDEX(伝票元!$I$6:$I$511,$M67),"")</f>
        <v/>
      </c>
      <c r="F67" s="45" t="str">
        <f aca="false">IF(IF($M67="",0,INDEX(伝票元!$N$6:$N$511,$M67))=1,INDEX(伝票元!$J$6:$J$511,$M67),"")</f>
        <v/>
      </c>
      <c r="G67" s="42" t="str">
        <f aca="false">IF(IF($M67="",0,INDEX(伝票元!$N$6:$N$511,$M67))=1,INDEX(伝票元!$Q$6:$Q$511,$M67),"")</f>
        <v/>
      </c>
      <c r="H67" s="45" t="str">
        <f aca="false">IF($M67="","",INDEX(伝票元!$F$6:$F$511,$M67))</f>
        <v/>
      </c>
      <c r="I67" s="45" t="str">
        <f aca="false">IF($M67="","",INDEX(伝票元!$G$6:$G$511,$M67))</f>
        <v/>
      </c>
      <c r="J67" s="42" t="str">
        <f aca="false">IF($M67="","",INDEX(伝票元!$H$6:$H$511,$M67))</f>
        <v/>
      </c>
      <c r="K67" s="46" t="str">
        <f aca="false">IF(IF($M67="",0,INDEX(伝票元!$N$6:$N$511,$M67))=1,INDEX(伝票元!$R$6:$R$511,$M67),"")</f>
        <v/>
      </c>
      <c r="L67" s="47" t="str">
        <f aca="false">IF($M67="","",INDEX(伝票元!$S$6:$S$511,$M67))</f>
        <v/>
      </c>
      <c r="M67" s="47" t="str">
        <f aca="false">IFERROR(MATCH(61,伝票元!$O$6:$O$511,0),"")</f>
        <v/>
      </c>
    </row>
    <row r="68" customFormat="false" ht="15" hidden="false" customHeight="false" outlineLevel="0" collapsed="false">
      <c r="A68" s="10" t="str">
        <f aca="false">IF($M68="","",INDEX(伝票元!$P$6:$P$511,$M68))</f>
        <v/>
      </c>
      <c r="B68" s="45" t="str">
        <f aca="false">IF($M68="","",INDEX(伝票元!$D$6:$D$511,$M68))</f>
        <v/>
      </c>
      <c r="C68" s="10" t="str">
        <f aca="false">IF($M68="","",INDEX(伝票元!$E$6:$E$511,$M68))</f>
        <v/>
      </c>
      <c r="D68" s="45" t="str">
        <f aca="false">IF($M68="","",INDEX(伝票元!$A$6:$A$511,$M68))</f>
        <v/>
      </c>
      <c r="E68" s="10" t="str">
        <f aca="false">IF(IF($M68="",0,INDEX(伝票元!$N$6:$N$511,$M68))=1,INDEX(伝票元!$I$6:$I$511,$M68),"")</f>
        <v/>
      </c>
      <c r="F68" s="45" t="str">
        <f aca="false">IF(IF($M68="",0,INDEX(伝票元!$N$6:$N$511,$M68))=1,INDEX(伝票元!$J$6:$J$511,$M68),"")</f>
        <v/>
      </c>
      <c r="G68" s="42" t="str">
        <f aca="false">IF(IF($M68="",0,INDEX(伝票元!$N$6:$N$511,$M68))=1,INDEX(伝票元!$Q$6:$Q$511,$M68),"")</f>
        <v/>
      </c>
      <c r="H68" s="45" t="str">
        <f aca="false">IF($M68="","",INDEX(伝票元!$F$6:$F$511,$M68))</f>
        <v/>
      </c>
      <c r="I68" s="45" t="str">
        <f aca="false">IF($M68="","",INDEX(伝票元!$G$6:$G$511,$M68))</f>
        <v/>
      </c>
      <c r="J68" s="42" t="str">
        <f aca="false">IF($M68="","",INDEX(伝票元!$H$6:$H$511,$M68))</f>
        <v/>
      </c>
      <c r="K68" s="46" t="str">
        <f aca="false">IF(IF($M68="",0,INDEX(伝票元!$N$6:$N$511,$M68))=1,INDEX(伝票元!$R$6:$R$511,$M68),"")</f>
        <v/>
      </c>
      <c r="L68" s="47" t="str">
        <f aca="false">IF($M68="","",INDEX(伝票元!$S$6:$S$511,$M68))</f>
        <v/>
      </c>
      <c r="M68" s="47" t="str">
        <f aca="false">IFERROR(MATCH(62,伝票元!$O$6:$O$511,0),"")</f>
        <v/>
      </c>
    </row>
    <row r="69" customFormat="false" ht="15" hidden="false" customHeight="false" outlineLevel="0" collapsed="false">
      <c r="A69" s="10" t="str">
        <f aca="false">IF($M69="","",INDEX(伝票元!$P$6:$P$511,$M69))</f>
        <v/>
      </c>
      <c r="B69" s="45" t="str">
        <f aca="false">IF($M69="","",INDEX(伝票元!$D$6:$D$511,$M69))</f>
        <v/>
      </c>
      <c r="C69" s="10" t="str">
        <f aca="false">IF($M69="","",INDEX(伝票元!$E$6:$E$511,$M69))</f>
        <v/>
      </c>
      <c r="D69" s="45" t="str">
        <f aca="false">IF($M69="","",INDEX(伝票元!$A$6:$A$511,$M69))</f>
        <v/>
      </c>
      <c r="E69" s="10" t="str">
        <f aca="false">IF(IF($M69="",0,INDEX(伝票元!$N$6:$N$511,$M69))=1,INDEX(伝票元!$I$6:$I$511,$M69),"")</f>
        <v/>
      </c>
      <c r="F69" s="45" t="str">
        <f aca="false">IF(IF($M69="",0,INDEX(伝票元!$N$6:$N$511,$M69))=1,INDEX(伝票元!$J$6:$J$511,$M69),"")</f>
        <v/>
      </c>
      <c r="G69" s="42" t="str">
        <f aca="false">IF(IF($M69="",0,INDEX(伝票元!$N$6:$N$511,$M69))=1,INDEX(伝票元!$Q$6:$Q$511,$M69),"")</f>
        <v/>
      </c>
      <c r="H69" s="45" t="str">
        <f aca="false">IF($M69="","",INDEX(伝票元!$F$6:$F$511,$M69))</f>
        <v/>
      </c>
      <c r="I69" s="45" t="str">
        <f aca="false">IF($M69="","",INDEX(伝票元!$G$6:$G$511,$M69))</f>
        <v/>
      </c>
      <c r="J69" s="42" t="str">
        <f aca="false">IF($M69="","",INDEX(伝票元!$H$6:$H$511,$M69))</f>
        <v/>
      </c>
      <c r="K69" s="46" t="str">
        <f aca="false">IF(IF($M69="",0,INDEX(伝票元!$N$6:$N$511,$M69))=1,INDEX(伝票元!$R$6:$R$511,$M69),"")</f>
        <v/>
      </c>
      <c r="L69" s="47" t="str">
        <f aca="false">IF($M69="","",INDEX(伝票元!$S$6:$S$511,$M69))</f>
        <v/>
      </c>
      <c r="M69" s="47" t="str">
        <f aca="false">IFERROR(MATCH(63,伝票元!$O$6:$O$511,0),"")</f>
        <v/>
      </c>
    </row>
    <row r="70" customFormat="false" ht="15" hidden="false" customHeight="false" outlineLevel="0" collapsed="false">
      <c r="A70" s="10" t="str">
        <f aca="false">IF($M70="","",INDEX(伝票元!$P$6:$P$511,$M70))</f>
        <v/>
      </c>
      <c r="B70" s="45" t="str">
        <f aca="false">IF($M70="","",INDEX(伝票元!$D$6:$D$511,$M70))</f>
        <v/>
      </c>
      <c r="C70" s="10" t="str">
        <f aca="false">IF($M70="","",INDEX(伝票元!$E$6:$E$511,$M70))</f>
        <v/>
      </c>
      <c r="D70" s="45" t="str">
        <f aca="false">IF($M70="","",INDEX(伝票元!$A$6:$A$511,$M70))</f>
        <v/>
      </c>
      <c r="E70" s="10" t="str">
        <f aca="false">IF(IF($M70="",0,INDEX(伝票元!$N$6:$N$511,$M70))=1,INDEX(伝票元!$I$6:$I$511,$M70),"")</f>
        <v/>
      </c>
      <c r="F70" s="45" t="str">
        <f aca="false">IF(IF($M70="",0,INDEX(伝票元!$N$6:$N$511,$M70))=1,INDEX(伝票元!$J$6:$J$511,$M70),"")</f>
        <v/>
      </c>
      <c r="G70" s="42" t="str">
        <f aca="false">IF(IF($M70="",0,INDEX(伝票元!$N$6:$N$511,$M70))=1,INDEX(伝票元!$Q$6:$Q$511,$M70),"")</f>
        <v/>
      </c>
      <c r="H70" s="45" t="str">
        <f aca="false">IF($M70="","",INDEX(伝票元!$F$6:$F$511,$M70))</f>
        <v/>
      </c>
      <c r="I70" s="45" t="str">
        <f aca="false">IF($M70="","",INDEX(伝票元!$G$6:$G$511,$M70))</f>
        <v/>
      </c>
      <c r="J70" s="42" t="str">
        <f aca="false">IF($M70="","",INDEX(伝票元!$H$6:$H$511,$M70))</f>
        <v/>
      </c>
      <c r="K70" s="46" t="str">
        <f aca="false">IF(IF($M70="",0,INDEX(伝票元!$N$6:$N$511,$M70))=1,INDEX(伝票元!$R$6:$R$511,$M70),"")</f>
        <v/>
      </c>
      <c r="L70" s="47" t="str">
        <f aca="false">IF($M70="","",INDEX(伝票元!$S$6:$S$511,$M70))</f>
        <v/>
      </c>
      <c r="M70" s="47" t="str">
        <f aca="false">IFERROR(MATCH(64,伝票元!$O$6:$O$511,0),"")</f>
        <v/>
      </c>
    </row>
    <row r="71" customFormat="false" ht="15" hidden="false" customHeight="false" outlineLevel="0" collapsed="false">
      <c r="A71" s="10" t="str">
        <f aca="false">IF($M71="","",INDEX(伝票元!$P$6:$P$511,$M71))</f>
        <v/>
      </c>
      <c r="B71" s="45" t="str">
        <f aca="false">IF($M71="","",INDEX(伝票元!$D$6:$D$511,$M71))</f>
        <v/>
      </c>
      <c r="C71" s="10" t="str">
        <f aca="false">IF($M71="","",INDEX(伝票元!$E$6:$E$511,$M71))</f>
        <v/>
      </c>
      <c r="D71" s="45" t="str">
        <f aca="false">IF($M71="","",INDEX(伝票元!$A$6:$A$511,$M71))</f>
        <v/>
      </c>
      <c r="E71" s="10" t="str">
        <f aca="false">IF(IF($M71="",0,INDEX(伝票元!$N$6:$N$511,$M71))=1,INDEX(伝票元!$I$6:$I$511,$M71),"")</f>
        <v/>
      </c>
      <c r="F71" s="45" t="str">
        <f aca="false">IF(IF($M71="",0,INDEX(伝票元!$N$6:$N$511,$M71))=1,INDEX(伝票元!$J$6:$J$511,$M71),"")</f>
        <v/>
      </c>
      <c r="G71" s="42" t="str">
        <f aca="false">IF(IF($M71="",0,INDEX(伝票元!$N$6:$N$511,$M71))=1,INDEX(伝票元!$Q$6:$Q$511,$M71),"")</f>
        <v/>
      </c>
      <c r="H71" s="45" t="str">
        <f aca="false">IF($M71="","",INDEX(伝票元!$F$6:$F$511,$M71))</f>
        <v/>
      </c>
      <c r="I71" s="45" t="str">
        <f aca="false">IF($M71="","",INDEX(伝票元!$G$6:$G$511,$M71))</f>
        <v/>
      </c>
      <c r="J71" s="42" t="str">
        <f aca="false">IF($M71="","",INDEX(伝票元!$H$6:$H$511,$M71))</f>
        <v/>
      </c>
      <c r="K71" s="46" t="str">
        <f aca="false">IF(IF($M71="",0,INDEX(伝票元!$N$6:$N$511,$M71))=1,INDEX(伝票元!$R$6:$R$511,$M71),"")</f>
        <v/>
      </c>
      <c r="L71" s="47" t="str">
        <f aca="false">IF($M71="","",INDEX(伝票元!$S$6:$S$511,$M71))</f>
        <v/>
      </c>
      <c r="M71" s="47" t="str">
        <f aca="false">IFERROR(MATCH(65,伝票元!$O$6:$O$511,0),"")</f>
        <v/>
      </c>
    </row>
    <row r="72" customFormat="false" ht="15" hidden="false" customHeight="false" outlineLevel="0" collapsed="false">
      <c r="A72" s="10" t="str">
        <f aca="false">IF($M72="","",INDEX(伝票元!$P$6:$P$511,$M72))</f>
        <v/>
      </c>
      <c r="B72" s="45" t="str">
        <f aca="false">IF($M72="","",INDEX(伝票元!$D$6:$D$511,$M72))</f>
        <v/>
      </c>
      <c r="C72" s="10" t="str">
        <f aca="false">IF($M72="","",INDEX(伝票元!$E$6:$E$511,$M72))</f>
        <v/>
      </c>
      <c r="D72" s="45" t="str">
        <f aca="false">IF($M72="","",INDEX(伝票元!$A$6:$A$511,$M72))</f>
        <v/>
      </c>
      <c r="E72" s="10" t="str">
        <f aca="false">IF(IF($M72="",0,INDEX(伝票元!$N$6:$N$511,$M72))=1,INDEX(伝票元!$I$6:$I$511,$M72),"")</f>
        <v/>
      </c>
      <c r="F72" s="45" t="str">
        <f aca="false">IF(IF($M72="",0,INDEX(伝票元!$N$6:$N$511,$M72))=1,INDEX(伝票元!$J$6:$J$511,$M72),"")</f>
        <v/>
      </c>
      <c r="G72" s="42" t="str">
        <f aca="false">IF(IF($M72="",0,INDEX(伝票元!$N$6:$N$511,$M72))=1,INDEX(伝票元!$Q$6:$Q$511,$M72),"")</f>
        <v/>
      </c>
      <c r="H72" s="45" t="str">
        <f aca="false">IF($M72="","",INDEX(伝票元!$F$6:$F$511,$M72))</f>
        <v/>
      </c>
      <c r="I72" s="45" t="str">
        <f aca="false">IF($M72="","",INDEX(伝票元!$G$6:$G$511,$M72))</f>
        <v/>
      </c>
      <c r="J72" s="42" t="str">
        <f aca="false">IF($M72="","",INDEX(伝票元!$H$6:$H$511,$M72))</f>
        <v/>
      </c>
      <c r="K72" s="46" t="str">
        <f aca="false">IF(IF($M72="",0,INDEX(伝票元!$N$6:$N$511,$M72))=1,INDEX(伝票元!$R$6:$R$511,$M72),"")</f>
        <v/>
      </c>
      <c r="L72" s="47" t="str">
        <f aca="false">IF($M72="","",INDEX(伝票元!$S$6:$S$511,$M72))</f>
        <v/>
      </c>
      <c r="M72" s="47" t="str">
        <f aca="false">IFERROR(MATCH(66,伝票元!$O$6:$O$511,0),"")</f>
        <v/>
      </c>
    </row>
    <row r="73" customFormat="false" ht="15" hidden="false" customHeight="false" outlineLevel="0" collapsed="false">
      <c r="A73" s="10" t="str">
        <f aca="false">IF($M73="","",INDEX(伝票元!$P$6:$P$511,$M73))</f>
        <v/>
      </c>
      <c r="B73" s="45" t="str">
        <f aca="false">IF($M73="","",INDEX(伝票元!$D$6:$D$511,$M73))</f>
        <v/>
      </c>
      <c r="C73" s="10" t="str">
        <f aca="false">IF($M73="","",INDEX(伝票元!$E$6:$E$511,$M73))</f>
        <v/>
      </c>
      <c r="D73" s="45" t="str">
        <f aca="false">IF($M73="","",INDEX(伝票元!$A$6:$A$511,$M73))</f>
        <v/>
      </c>
      <c r="E73" s="10" t="str">
        <f aca="false">IF(IF($M73="",0,INDEX(伝票元!$N$6:$N$511,$M73))=1,INDEX(伝票元!$I$6:$I$511,$M73),"")</f>
        <v/>
      </c>
      <c r="F73" s="45" t="str">
        <f aca="false">IF(IF($M73="",0,INDEX(伝票元!$N$6:$N$511,$M73))=1,INDEX(伝票元!$J$6:$J$511,$M73),"")</f>
        <v/>
      </c>
      <c r="G73" s="42" t="str">
        <f aca="false">IF(IF($M73="",0,INDEX(伝票元!$N$6:$N$511,$M73))=1,INDEX(伝票元!$Q$6:$Q$511,$M73),"")</f>
        <v/>
      </c>
      <c r="H73" s="45" t="str">
        <f aca="false">IF($M73="","",INDEX(伝票元!$F$6:$F$511,$M73))</f>
        <v/>
      </c>
      <c r="I73" s="45" t="str">
        <f aca="false">IF($M73="","",INDEX(伝票元!$G$6:$G$511,$M73))</f>
        <v/>
      </c>
      <c r="J73" s="42" t="str">
        <f aca="false">IF($M73="","",INDEX(伝票元!$H$6:$H$511,$M73))</f>
        <v/>
      </c>
      <c r="K73" s="46" t="str">
        <f aca="false">IF(IF($M73="",0,INDEX(伝票元!$N$6:$N$511,$M73))=1,INDEX(伝票元!$R$6:$R$511,$M73),"")</f>
        <v/>
      </c>
      <c r="L73" s="47" t="str">
        <f aca="false">IF($M73="","",INDEX(伝票元!$S$6:$S$511,$M73))</f>
        <v/>
      </c>
      <c r="M73" s="47" t="str">
        <f aca="false">IFERROR(MATCH(67,伝票元!$O$6:$O$511,0),"")</f>
        <v/>
      </c>
    </row>
    <row r="74" customFormat="false" ht="15" hidden="false" customHeight="false" outlineLevel="0" collapsed="false">
      <c r="A74" s="10" t="str">
        <f aca="false">IF($M74="","",INDEX(伝票元!$P$6:$P$511,$M74))</f>
        <v/>
      </c>
      <c r="B74" s="45" t="str">
        <f aca="false">IF($M74="","",INDEX(伝票元!$D$6:$D$511,$M74))</f>
        <v/>
      </c>
      <c r="C74" s="10" t="str">
        <f aca="false">IF($M74="","",INDEX(伝票元!$E$6:$E$511,$M74))</f>
        <v/>
      </c>
      <c r="D74" s="45" t="str">
        <f aca="false">IF($M74="","",INDEX(伝票元!$A$6:$A$511,$M74))</f>
        <v/>
      </c>
      <c r="E74" s="10" t="str">
        <f aca="false">IF(IF($M74="",0,INDEX(伝票元!$N$6:$N$511,$M74))=1,INDEX(伝票元!$I$6:$I$511,$M74),"")</f>
        <v/>
      </c>
      <c r="F74" s="45" t="str">
        <f aca="false">IF(IF($M74="",0,INDEX(伝票元!$N$6:$N$511,$M74))=1,INDEX(伝票元!$J$6:$J$511,$M74),"")</f>
        <v/>
      </c>
      <c r="G74" s="42" t="str">
        <f aca="false">IF(IF($M74="",0,INDEX(伝票元!$N$6:$N$511,$M74))=1,INDEX(伝票元!$Q$6:$Q$511,$M74),"")</f>
        <v/>
      </c>
      <c r="H74" s="45" t="str">
        <f aca="false">IF($M74="","",INDEX(伝票元!$F$6:$F$511,$M74))</f>
        <v/>
      </c>
      <c r="I74" s="45" t="str">
        <f aca="false">IF($M74="","",INDEX(伝票元!$G$6:$G$511,$M74))</f>
        <v/>
      </c>
      <c r="J74" s="42" t="str">
        <f aca="false">IF($M74="","",INDEX(伝票元!$H$6:$H$511,$M74))</f>
        <v/>
      </c>
      <c r="K74" s="46" t="str">
        <f aca="false">IF(IF($M74="",0,INDEX(伝票元!$N$6:$N$511,$M74))=1,INDEX(伝票元!$R$6:$R$511,$M74),"")</f>
        <v/>
      </c>
      <c r="L74" s="47" t="str">
        <f aca="false">IF($M74="","",INDEX(伝票元!$S$6:$S$511,$M74))</f>
        <v/>
      </c>
      <c r="M74" s="47" t="str">
        <f aca="false">IFERROR(MATCH(68,伝票元!$O$6:$O$511,0),"")</f>
        <v/>
      </c>
    </row>
    <row r="75" customFormat="false" ht="15" hidden="false" customHeight="false" outlineLevel="0" collapsed="false">
      <c r="A75" s="10" t="str">
        <f aca="false">IF($M75="","",INDEX(伝票元!$P$6:$P$511,$M75))</f>
        <v/>
      </c>
      <c r="B75" s="45" t="str">
        <f aca="false">IF($M75="","",INDEX(伝票元!$D$6:$D$511,$M75))</f>
        <v/>
      </c>
      <c r="C75" s="10" t="str">
        <f aca="false">IF($M75="","",INDEX(伝票元!$E$6:$E$511,$M75))</f>
        <v/>
      </c>
      <c r="D75" s="45" t="str">
        <f aca="false">IF($M75="","",INDEX(伝票元!$A$6:$A$511,$M75))</f>
        <v/>
      </c>
      <c r="E75" s="10" t="str">
        <f aca="false">IF(IF($M75="",0,INDEX(伝票元!$N$6:$N$511,$M75))=1,INDEX(伝票元!$I$6:$I$511,$M75),"")</f>
        <v/>
      </c>
      <c r="F75" s="45" t="str">
        <f aca="false">IF(IF($M75="",0,INDEX(伝票元!$N$6:$N$511,$M75))=1,INDEX(伝票元!$J$6:$J$511,$M75),"")</f>
        <v/>
      </c>
      <c r="G75" s="42" t="str">
        <f aca="false">IF(IF($M75="",0,INDEX(伝票元!$N$6:$N$511,$M75))=1,INDEX(伝票元!$Q$6:$Q$511,$M75),"")</f>
        <v/>
      </c>
      <c r="H75" s="45" t="str">
        <f aca="false">IF($M75="","",INDEX(伝票元!$F$6:$F$511,$M75))</f>
        <v/>
      </c>
      <c r="I75" s="45" t="str">
        <f aca="false">IF($M75="","",INDEX(伝票元!$G$6:$G$511,$M75))</f>
        <v/>
      </c>
      <c r="J75" s="42" t="str">
        <f aca="false">IF($M75="","",INDEX(伝票元!$H$6:$H$511,$M75))</f>
        <v/>
      </c>
      <c r="K75" s="46" t="str">
        <f aca="false">IF(IF($M75="",0,INDEX(伝票元!$N$6:$N$511,$M75))=1,INDEX(伝票元!$R$6:$R$511,$M75),"")</f>
        <v/>
      </c>
      <c r="L75" s="47" t="str">
        <f aca="false">IF($M75="","",INDEX(伝票元!$S$6:$S$511,$M75))</f>
        <v/>
      </c>
      <c r="M75" s="47" t="str">
        <f aca="false">IFERROR(MATCH(69,伝票元!$O$6:$O$511,0),"")</f>
        <v/>
      </c>
    </row>
    <row r="76" customFormat="false" ht="15" hidden="false" customHeight="false" outlineLevel="0" collapsed="false">
      <c r="A76" s="10" t="str">
        <f aca="false">IF($M76="","",INDEX(伝票元!$P$6:$P$511,$M76))</f>
        <v/>
      </c>
      <c r="B76" s="45" t="str">
        <f aca="false">IF($M76="","",INDEX(伝票元!$D$6:$D$511,$M76))</f>
        <v/>
      </c>
      <c r="C76" s="10" t="str">
        <f aca="false">IF($M76="","",INDEX(伝票元!$E$6:$E$511,$M76))</f>
        <v/>
      </c>
      <c r="D76" s="45" t="str">
        <f aca="false">IF($M76="","",INDEX(伝票元!$A$6:$A$511,$M76))</f>
        <v/>
      </c>
      <c r="E76" s="10" t="str">
        <f aca="false">IF(IF($M76="",0,INDEX(伝票元!$N$6:$N$511,$M76))=1,INDEX(伝票元!$I$6:$I$511,$M76),"")</f>
        <v/>
      </c>
      <c r="F76" s="45" t="str">
        <f aca="false">IF(IF($M76="",0,INDEX(伝票元!$N$6:$N$511,$M76))=1,INDEX(伝票元!$J$6:$J$511,$M76),"")</f>
        <v/>
      </c>
      <c r="G76" s="42" t="str">
        <f aca="false">IF(IF($M76="",0,INDEX(伝票元!$N$6:$N$511,$M76))=1,INDEX(伝票元!$Q$6:$Q$511,$M76),"")</f>
        <v/>
      </c>
      <c r="H76" s="45" t="str">
        <f aca="false">IF($M76="","",INDEX(伝票元!$F$6:$F$511,$M76))</f>
        <v/>
      </c>
      <c r="I76" s="45" t="str">
        <f aca="false">IF($M76="","",INDEX(伝票元!$G$6:$G$511,$M76))</f>
        <v/>
      </c>
      <c r="J76" s="42" t="str">
        <f aca="false">IF($M76="","",INDEX(伝票元!$H$6:$H$511,$M76))</f>
        <v/>
      </c>
      <c r="K76" s="46" t="str">
        <f aca="false">IF(IF($M76="",0,INDEX(伝票元!$N$6:$N$511,$M76))=1,INDEX(伝票元!$R$6:$R$511,$M76),"")</f>
        <v/>
      </c>
      <c r="L76" s="47" t="str">
        <f aca="false">IF($M76="","",INDEX(伝票元!$S$6:$S$511,$M76))</f>
        <v/>
      </c>
      <c r="M76" s="47" t="str">
        <f aca="false">IFERROR(MATCH(70,伝票元!$O$6:$O$511,0),"")</f>
        <v/>
      </c>
    </row>
    <row r="77" customFormat="false" ht="15" hidden="false" customHeight="false" outlineLevel="0" collapsed="false">
      <c r="A77" s="10" t="str">
        <f aca="false">IF($M77="","",INDEX(伝票元!$P$6:$P$511,$M77))</f>
        <v/>
      </c>
      <c r="B77" s="45" t="str">
        <f aca="false">IF($M77="","",INDEX(伝票元!$D$6:$D$511,$M77))</f>
        <v/>
      </c>
      <c r="C77" s="10" t="str">
        <f aca="false">IF($M77="","",INDEX(伝票元!$E$6:$E$511,$M77))</f>
        <v/>
      </c>
      <c r="D77" s="45" t="str">
        <f aca="false">IF($M77="","",INDEX(伝票元!$A$6:$A$511,$M77))</f>
        <v/>
      </c>
      <c r="E77" s="10" t="str">
        <f aca="false">IF(IF($M77="",0,INDEX(伝票元!$N$6:$N$511,$M77))=1,INDEX(伝票元!$I$6:$I$511,$M77),"")</f>
        <v/>
      </c>
      <c r="F77" s="45" t="str">
        <f aca="false">IF(IF($M77="",0,INDEX(伝票元!$N$6:$N$511,$M77))=1,INDEX(伝票元!$J$6:$J$511,$M77),"")</f>
        <v/>
      </c>
      <c r="G77" s="42" t="str">
        <f aca="false">IF(IF($M77="",0,INDEX(伝票元!$N$6:$N$511,$M77))=1,INDEX(伝票元!$Q$6:$Q$511,$M77),"")</f>
        <v/>
      </c>
      <c r="H77" s="45" t="str">
        <f aca="false">IF($M77="","",INDEX(伝票元!$F$6:$F$511,$M77))</f>
        <v/>
      </c>
      <c r="I77" s="45" t="str">
        <f aca="false">IF($M77="","",INDEX(伝票元!$G$6:$G$511,$M77))</f>
        <v/>
      </c>
      <c r="J77" s="42" t="str">
        <f aca="false">IF($M77="","",INDEX(伝票元!$H$6:$H$511,$M77))</f>
        <v/>
      </c>
      <c r="K77" s="46" t="str">
        <f aca="false">IF(IF($M77="",0,INDEX(伝票元!$N$6:$N$511,$M77))=1,INDEX(伝票元!$R$6:$R$511,$M77),"")</f>
        <v/>
      </c>
      <c r="L77" s="47" t="str">
        <f aca="false">IF($M77="","",INDEX(伝票元!$S$6:$S$511,$M77))</f>
        <v/>
      </c>
      <c r="M77" s="47" t="str">
        <f aca="false">IFERROR(MATCH(71,伝票元!$O$6:$O$511,0),"")</f>
        <v/>
      </c>
    </row>
    <row r="78" customFormat="false" ht="15" hidden="false" customHeight="false" outlineLevel="0" collapsed="false">
      <c r="A78" s="10" t="str">
        <f aca="false">IF($M78="","",INDEX(伝票元!$P$6:$P$511,$M78))</f>
        <v/>
      </c>
      <c r="B78" s="45" t="str">
        <f aca="false">IF($M78="","",INDEX(伝票元!$D$6:$D$511,$M78))</f>
        <v/>
      </c>
      <c r="C78" s="10" t="str">
        <f aca="false">IF($M78="","",INDEX(伝票元!$E$6:$E$511,$M78))</f>
        <v/>
      </c>
      <c r="D78" s="45" t="str">
        <f aca="false">IF($M78="","",INDEX(伝票元!$A$6:$A$511,$M78))</f>
        <v/>
      </c>
      <c r="E78" s="10" t="str">
        <f aca="false">IF(IF($M78="",0,INDEX(伝票元!$N$6:$N$511,$M78))=1,INDEX(伝票元!$I$6:$I$511,$M78),"")</f>
        <v/>
      </c>
      <c r="F78" s="45" t="str">
        <f aca="false">IF(IF($M78="",0,INDEX(伝票元!$N$6:$N$511,$M78))=1,INDEX(伝票元!$J$6:$J$511,$M78),"")</f>
        <v/>
      </c>
      <c r="G78" s="42" t="str">
        <f aca="false">IF(IF($M78="",0,INDEX(伝票元!$N$6:$N$511,$M78))=1,INDEX(伝票元!$Q$6:$Q$511,$M78),"")</f>
        <v/>
      </c>
      <c r="H78" s="45" t="str">
        <f aca="false">IF($M78="","",INDEX(伝票元!$F$6:$F$511,$M78))</f>
        <v/>
      </c>
      <c r="I78" s="45" t="str">
        <f aca="false">IF($M78="","",INDEX(伝票元!$G$6:$G$511,$M78))</f>
        <v/>
      </c>
      <c r="J78" s="42" t="str">
        <f aca="false">IF($M78="","",INDEX(伝票元!$H$6:$H$511,$M78))</f>
        <v/>
      </c>
      <c r="K78" s="46" t="str">
        <f aca="false">IF(IF($M78="",0,INDEX(伝票元!$N$6:$N$511,$M78))=1,INDEX(伝票元!$R$6:$R$511,$M78),"")</f>
        <v/>
      </c>
      <c r="L78" s="47" t="str">
        <f aca="false">IF($M78="","",INDEX(伝票元!$S$6:$S$511,$M78))</f>
        <v/>
      </c>
      <c r="M78" s="47" t="str">
        <f aca="false">IFERROR(MATCH(72,伝票元!$O$6:$O$511,0),"")</f>
        <v/>
      </c>
    </row>
    <row r="79" customFormat="false" ht="15" hidden="false" customHeight="false" outlineLevel="0" collapsed="false">
      <c r="A79" s="10" t="str">
        <f aca="false">IF($M79="","",INDEX(伝票元!$P$6:$P$511,$M79))</f>
        <v/>
      </c>
      <c r="B79" s="45" t="str">
        <f aca="false">IF($M79="","",INDEX(伝票元!$D$6:$D$511,$M79))</f>
        <v/>
      </c>
      <c r="C79" s="10" t="str">
        <f aca="false">IF($M79="","",INDEX(伝票元!$E$6:$E$511,$M79))</f>
        <v/>
      </c>
      <c r="D79" s="45" t="str">
        <f aca="false">IF($M79="","",INDEX(伝票元!$A$6:$A$511,$M79))</f>
        <v/>
      </c>
      <c r="E79" s="10" t="str">
        <f aca="false">IF(IF($M79="",0,INDEX(伝票元!$N$6:$N$511,$M79))=1,INDEX(伝票元!$I$6:$I$511,$M79),"")</f>
        <v/>
      </c>
      <c r="F79" s="45" t="str">
        <f aca="false">IF(IF($M79="",0,INDEX(伝票元!$N$6:$N$511,$M79))=1,INDEX(伝票元!$J$6:$J$511,$M79),"")</f>
        <v/>
      </c>
      <c r="G79" s="42" t="str">
        <f aca="false">IF(IF($M79="",0,INDEX(伝票元!$N$6:$N$511,$M79))=1,INDEX(伝票元!$Q$6:$Q$511,$M79),"")</f>
        <v/>
      </c>
      <c r="H79" s="45" t="str">
        <f aca="false">IF($M79="","",INDEX(伝票元!$F$6:$F$511,$M79))</f>
        <v/>
      </c>
      <c r="I79" s="45" t="str">
        <f aca="false">IF($M79="","",INDEX(伝票元!$G$6:$G$511,$M79))</f>
        <v/>
      </c>
      <c r="J79" s="42" t="str">
        <f aca="false">IF($M79="","",INDEX(伝票元!$H$6:$H$511,$M79))</f>
        <v/>
      </c>
      <c r="K79" s="46" t="str">
        <f aca="false">IF(IF($M79="",0,INDEX(伝票元!$N$6:$N$511,$M79))=1,INDEX(伝票元!$R$6:$R$511,$M79),"")</f>
        <v/>
      </c>
      <c r="L79" s="47" t="str">
        <f aca="false">IF($M79="","",INDEX(伝票元!$S$6:$S$511,$M79))</f>
        <v/>
      </c>
      <c r="M79" s="47" t="str">
        <f aca="false">IFERROR(MATCH(73,伝票元!$O$6:$O$511,0),"")</f>
        <v/>
      </c>
    </row>
    <row r="80" customFormat="false" ht="15" hidden="false" customHeight="false" outlineLevel="0" collapsed="false">
      <c r="A80" s="10" t="str">
        <f aca="false">IF($M80="","",INDEX(伝票元!$P$6:$P$511,$M80))</f>
        <v/>
      </c>
      <c r="B80" s="45" t="str">
        <f aca="false">IF($M80="","",INDEX(伝票元!$D$6:$D$511,$M80))</f>
        <v/>
      </c>
      <c r="C80" s="10" t="str">
        <f aca="false">IF($M80="","",INDEX(伝票元!$E$6:$E$511,$M80))</f>
        <v/>
      </c>
      <c r="D80" s="45" t="str">
        <f aca="false">IF($M80="","",INDEX(伝票元!$A$6:$A$511,$M80))</f>
        <v/>
      </c>
      <c r="E80" s="10" t="str">
        <f aca="false">IF(IF($M80="",0,INDEX(伝票元!$N$6:$N$511,$M80))=1,INDEX(伝票元!$I$6:$I$511,$M80),"")</f>
        <v/>
      </c>
      <c r="F80" s="45" t="str">
        <f aca="false">IF(IF($M80="",0,INDEX(伝票元!$N$6:$N$511,$M80))=1,INDEX(伝票元!$J$6:$J$511,$M80),"")</f>
        <v/>
      </c>
      <c r="G80" s="42" t="str">
        <f aca="false">IF(IF($M80="",0,INDEX(伝票元!$N$6:$N$511,$M80))=1,INDEX(伝票元!$Q$6:$Q$511,$M80),"")</f>
        <v/>
      </c>
      <c r="H80" s="45" t="str">
        <f aca="false">IF($M80="","",INDEX(伝票元!$F$6:$F$511,$M80))</f>
        <v/>
      </c>
      <c r="I80" s="45" t="str">
        <f aca="false">IF($M80="","",INDEX(伝票元!$G$6:$G$511,$M80))</f>
        <v/>
      </c>
      <c r="J80" s="42" t="str">
        <f aca="false">IF($M80="","",INDEX(伝票元!$H$6:$H$511,$M80))</f>
        <v/>
      </c>
      <c r="K80" s="46" t="str">
        <f aca="false">IF(IF($M80="",0,INDEX(伝票元!$N$6:$N$511,$M80))=1,INDEX(伝票元!$R$6:$R$511,$M80),"")</f>
        <v/>
      </c>
      <c r="L80" s="47" t="str">
        <f aca="false">IF($M80="","",INDEX(伝票元!$S$6:$S$511,$M80))</f>
        <v/>
      </c>
      <c r="M80" s="47" t="str">
        <f aca="false">IFERROR(MATCH(74,伝票元!$O$6:$O$511,0),"")</f>
        <v/>
      </c>
    </row>
    <row r="81" customFormat="false" ht="15" hidden="false" customHeight="false" outlineLevel="0" collapsed="false">
      <c r="A81" s="10" t="str">
        <f aca="false">IF($M81="","",INDEX(伝票元!$P$6:$P$511,$M81))</f>
        <v/>
      </c>
      <c r="B81" s="45" t="str">
        <f aca="false">IF($M81="","",INDEX(伝票元!$D$6:$D$511,$M81))</f>
        <v/>
      </c>
      <c r="C81" s="10" t="str">
        <f aca="false">IF($M81="","",INDEX(伝票元!$E$6:$E$511,$M81))</f>
        <v/>
      </c>
      <c r="D81" s="45" t="str">
        <f aca="false">IF($M81="","",INDEX(伝票元!$A$6:$A$511,$M81))</f>
        <v/>
      </c>
      <c r="E81" s="10" t="str">
        <f aca="false">IF(IF($M81="",0,INDEX(伝票元!$N$6:$N$511,$M81))=1,INDEX(伝票元!$I$6:$I$511,$M81),"")</f>
        <v/>
      </c>
      <c r="F81" s="45" t="str">
        <f aca="false">IF(IF($M81="",0,INDEX(伝票元!$N$6:$N$511,$M81))=1,INDEX(伝票元!$J$6:$J$511,$M81),"")</f>
        <v/>
      </c>
      <c r="G81" s="42" t="str">
        <f aca="false">IF(IF($M81="",0,INDEX(伝票元!$N$6:$N$511,$M81))=1,INDEX(伝票元!$Q$6:$Q$511,$M81),"")</f>
        <v/>
      </c>
      <c r="H81" s="45" t="str">
        <f aca="false">IF($M81="","",INDEX(伝票元!$F$6:$F$511,$M81))</f>
        <v/>
      </c>
      <c r="I81" s="45" t="str">
        <f aca="false">IF($M81="","",INDEX(伝票元!$G$6:$G$511,$M81))</f>
        <v/>
      </c>
      <c r="J81" s="42" t="str">
        <f aca="false">IF($M81="","",INDEX(伝票元!$H$6:$H$511,$M81))</f>
        <v/>
      </c>
      <c r="K81" s="46" t="str">
        <f aca="false">IF(IF($M81="",0,INDEX(伝票元!$N$6:$N$511,$M81))=1,INDEX(伝票元!$R$6:$R$511,$M81),"")</f>
        <v/>
      </c>
      <c r="L81" s="47" t="str">
        <f aca="false">IF($M81="","",INDEX(伝票元!$S$6:$S$511,$M81))</f>
        <v/>
      </c>
      <c r="M81" s="47" t="str">
        <f aca="false">IFERROR(MATCH(75,伝票元!$O$6:$O$511,0),"")</f>
        <v/>
      </c>
    </row>
    <row r="82" customFormat="false" ht="15" hidden="false" customHeight="false" outlineLevel="0" collapsed="false">
      <c r="A82" s="10" t="str">
        <f aca="false">IF($M82="","",INDEX(伝票元!$P$6:$P$511,$M82))</f>
        <v/>
      </c>
      <c r="B82" s="45" t="str">
        <f aca="false">IF($M82="","",INDEX(伝票元!$D$6:$D$511,$M82))</f>
        <v/>
      </c>
      <c r="C82" s="10" t="str">
        <f aca="false">IF($M82="","",INDEX(伝票元!$E$6:$E$511,$M82))</f>
        <v/>
      </c>
      <c r="D82" s="45" t="str">
        <f aca="false">IF($M82="","",INDEX(伝票元!$A$6:$A$511,$M82))</f>
        <v/>
      </c>
      <c r="E82" s="10" t="str">
        <f aca="false">IF(IF($M82="",0,INDEX(伝票元!$N$6:$N$511,$M82))=1,INDEX(伝票元!$I$6:$I$511,$M82),"")</f>
        <v/>
      </c>
      <c r="F82" s="45" t="str">
        <f aca="false">IF(IF($M82="",0,INDEX(伝票元!$N$6:$N$511,$M82))=1,INDEX(伝票元!$J$6:$J$511,$M82),"")</f>
        <v/>
      </c>
      <c r="G82" s="42" t="str">
        <f aca="false">IF(IF($M82="",0,INDEX(伝票元!$N$6:$N$511,$M82))=1,INDEX(伝票元!$Q$6:$Q$511,$M82),"")</f>
        <v/>
      </c>
      <c r="H82" s="45" t="str">
        <f aca="false">IF($M82="","",INDEX(伝票元!$F$6:$F$511,$M82))</f>
        <v/>
      </c>
      <c r="I82" s="45" t="str">
        <f aca="false">IF($M82="","",INDEX(伝票元!$G$6:$G$511,$M82))</f>
        <v/>
      </c>
      <c r="J82" s="42" t="str">
        <f aca="false">IF($M82="","",INDEX(伝票元!$H$6:$H$511,$M82))</f>
        <v/>
      </c>
      <c r="K82" s="46" t="str">
        <f aca="false">IF(IF($M82="",0,INDEX(伝票元!$N$6:$N$511,$M82))=1,INDEX(伝票元!$R$6:$R$511,$M82),"")</f>
        <v/>
      </c>
      <c r="L82" s="47" t="str">
        <f aca="false">IF($M82="","",INDEX(伝票元!$S$6:$S$511,$M82))</f>
        <v/>
      </c>
      <c r="M82" s="47" t="str">
        <f aca="false">IFERROR(MATCH(76,伝票元!$O$6:$O$511,0),"")</f>
        <v/>
      </c>
    </row>
    <row r="83" customFormat="false" ht="15" hidden="false" customHeight="false" outlineLevel="0" collapsed="false">
      <c r="A83" s="10" t="str">
        <f aca="false">IF($M83="","",INDEX(伝票元!$P$6:$P$511,$M83))</f>
        <v/>
      </c>
      <c r="B83" s="45" t="str">
        <f aca="false">IF($M83="","",INDEX(伝票元!$D$6:$D$511,$M83))</f>
        <v/>
      </c>
      <c r="C83" s="10" t="str">
        <f aca="false">IF($M83="","",INDEX(伝票元!$E$6:$E$511,$M83))</f>
        <v/>
      </c>
      <c r="D83" s="45" t="str">
        <f aca="false">IF($M83="","",INDEX(伝票元!$A$6:$A$511,$M83))</f>
        <v/>
      </c>
      <c r="E83" s="10" t="str">
        <f aca="false">IF(IF($M83="",0,INDEX(伝票元!$N$6:$N$511,$M83))=1,INDEX(伝票元!$I$6:$I$511,$M83),"")</f>
        <v/>
      </c>
      <c r="F83" s="45" t="str">
        <f aca="false">IF(IF($M83="",0,INDEX(伝票元!$N$6:$N$511,$M83))=1,INDEX(伝票元!$J$6:$J$511,$M83),"")</f>
        <v/>
      </c>
      <c r="G83" s="42" t="str">
        <f aca="false">IF(IF($M83="",0,INDEX(伝票元!$N$6:$N$511,$M83))=1,INDEX(伝票元!$Q$6:$Q$511,$M83),"")</f>
        <v/>
      </c>
      <c r="H83" s="45" t="str">
        <f aca="false">IF($M83="","",INDEX(伝票元!$F$6:$F$511,$M83))</f>
        <v/>
      </c>
      <c r="I83" s="45" t="str">
        <f aca="false">IF($M83="","",INDEX(伝票元!$G$6:$G$511,$M83))</f>
        <v/>
      </c>
      <c r="J83" s="42" t="str">
        <f aca="false">IF($M83="","",INDEX(伝票元!$H$6:$H$511,$M83))</f>
        <v/>
      </c>
      <c r="K83" s="46" t="str">
        <f aca="false">IF(IF($M83="",0,INDEX(伝票元!$N$6:$N$511,$M83))=1,INDEX(伝票元!$R$6:$R$511,$M83),"")</f>
        <v/>
      </c>
      <c r="L83" s="47" t="str">
        <f aca="false">IF($M83="","",INDEX(伝票元!$S$6:$S$511,$M83))</f>
        <v/>
      </c>
      <c r="M83" s="47" t="str">
        <f aca="false">IFERROR(MATCH(77,伝票元!$O$6:$O$511,0),"")</f>
        <v/>
      </c>
    </row>
    <row r="84" customFormat="false" ht="15" hidden="false" customHeight="false" outlineLevel="0" collapsed="false">
      <c r="A84" s="10" t="str">
        <f aca="false">IF($M84="","",INDEX(伝票元!$P$6:$P$511,$M84))</f>
        <v/>
      </c>
      <c r="B84" s="45" t="str">
        <f aca="false">IF($M84="","",INDEX(伝票元!$D$6:$D$511,$M84))</f>
        <v/>
      </c>
      <c r="C84" s="10" t="str">
        <f aca="false">IF($M84="","",INDEX(伝票元!$E$6:$E$511,$M84))</f>
        <v/>
      </c>
      <c r="D84" s="45" t="str">
        <f aca="false">IF($M84="","",INDEX(伝票元!$A$6:$A$511,$M84))</f>
        <v/>
      </c>
      <c r="E84" s="10" t="str">
        <f aca="false">IF(IF($M84="",0,INDEX(伝票元!$N$6:$N$511,$M84))=1,INDEX(伝票元!$I$6:$I$511,$M84),"")</f>
        <v/>
      </c>
      <c r="F84" s="45" t="str">
        <f aca="false">IF(IF($M84="",0,INDEX(伝票元!$N$6:$N$511,$M84))=1,INDEX(伝票元!$J$6:$J$511,$M84),"")</f>
        <v/>
      </c>
      <c r="G84" s="42" t="str">
        <f aca="false">IF(IF($M84="",0,INDEX(伝票元!$N$6:$N$511,$M84))=1,INDEX(伝票元!$Q$6:$Q$511,$M84),"")</f>
        <v/>
      </c>
      <c r="H84" s="45" t="str">
        <f aca="false">IF($M84="","",INDEX(伝票元!$F$6:$F$511,$M84))</f>
        <v/>
      </c>
      <c r="I84" s="45" t="str">
        <f aca="false">IF($M84="","",INDEX(伝票元!$G$6:$G$511,$M84))</f>
        <v/>
      </c>
      <c r="J84" s="42" t="str">
        <f aca="false">IF($M84="","",INDEX(伝票元!$H$6:$H$511,$M84))</f>
        <v/>
      </c>
      <c r="K84" s="46" t="str">
        <f aca="false">IF(IF($M84="",0,INDEX(伝票元!$N$6:$N$511,$M84))=1,INDEX(伝票元!$R$6:$R$511,$M84),"")</f>
        <v/>
      </c>
      <c r="L84" s="47" t="str">
        <f aca="false">IF($M84="","",INDEX(伝票元!$S$6:$S$511,$M84))</f>
        <v/>
      </c>
      <c r="M84" s="47" t="str">
        <f aca="false">IFERROR(MATCH(78,伝票元!$O$6:$O$511,0),"")</f>
        <v/>
      </c>
    </row>
    <row r="85" customFormat="false" ht="15" hidden="false" customHeight="false" outlineLevel="0" collapsed="false">
      <c r="A85" s="10" t="str">
        <f aca="false">IF($M85="","",INDEX(伝票元!$P$6:$P$511,$M85))</f>
        <v/>
      </c>
      <c r="B85" s="45" t="str">
        <f aca="false">IF($M85="","",INDEX(伝票元!$D$6:$D$511,$M85))</f>
        <v/>
      </c>
      <c r="C85" s="10" t="str">
        <f aca="false">IF($M85="","",INDEX(伝票元!$E$6:$E$511,$M85))</f>
        <v/>
      </c>
      <c r="D85" s="45" t="str">
        <f aca="false">IF($M85="","",INDEX(伝票元!$A$6:$A$511,$M85))</f>
        <v/>
      </c>
      <c r="E85" s="10" t="str">
        <f aca="false">IF(IF($M85="",0,INDEX(伝票元!$N$6:$N$511,$M85))=1,INDEX(伝票元!$I$6:$I$511,$M85),"")</f>
        <v/>
      </c>
      <c r="F85" s="45" t="str">
        <f aca="false">IF(IF($M85="",0,INDEX(伝票元!$N$6:$N$511,$M85))=1,INDEX(伝票元!$J$6:$J$511,$M85),"")</f>
        <v/>
      </c>
      <c r="G85" s="42" t="str">
        <f aca="false">IF(IF($M85="",0,INDEX(伝票元!$N$6:$N$511,$M85))=1,INDEX(伝票元!$Q$6:$Q$511,$M85),"")</f>
        <v/>
      </c>
      <c r="H85" s="45" t="str">
        <f aca="false">IF($M85="","",INDEX(伝票元!$F$6:$F$511,$M85))</f>
        <v/>
      </c>
      <c r="I85" s="45" t="str">
        <f aca="false">IF($M85="","",INDEX(伝票元!$G$6:$G$511,$M85))</f>
        <v/>
      </c>
      <c r="J85" s="42" t="str">
        <f aca="false">IF($M85="","",INDEX(伝票元!$H$6:$H$511,$M85))</f>
        <v/>
      </c>
      <c r="K85" s="46" t="str">
        <f aca="false">IF(IF($M85="",0,INDEX(伝票元!$N$6:$N$511,$M85))=1,INDEX(伝票元!$R$6:$R$511,$M85),"")</f>
        <v/>
      </c>
      <c r="L85" s="47" t="str">
        <f aca="false">IF($M85="","",INDEX(伝票元!$S$6:$S$511,$M85))</f>
        <v/>
      </c>
      <c r="M85" s="47" t="str">
        <f aca="false">IFERROR(MATCH(79,伝票元!$O$6:$O$511,0),"")</f>
        <v/>
      </c>
    </row>
    <row r="86" customFormat="false" ht="15" hidden="false" customHeight="false" outlineLevel="0" collapsed="false">
      <c r="A86" s="10" t="str">
        <f aca="false">IF($M86="","",INDEX(伝票元!$P$6:$P$511,$M86))</f>
        <v/>
      </c>
      <c r="B86" s="45" t="str">
        <f aca="false">IF($M86="","",INDEX(伝票元!$D$6:$D$511,$M86))</f>
        <v/>
      </c>
      <c r="C86" s="10" t="str">
        <f aca="false">IF($M86="","",INDEX(伝票元!$E$6:$E$511,$M86))</f>
        <v/>
      </c>
      <c r="D86" s="45" t="str">
        <f aca="false">IF($M86="","",INDEX(伝票元!$A$6:$A$511,$M86))</f>
        <v/>
      </c>
      <c r="E86" s="10" t="str">
        <f aca="false">IF(IF($M86="",0,INDEX(伝票元!$N$6:$N$511,$M86))=1,INDEX(伝票元!$I$6:$I$511,$M86),"")</f>
        <v/>
      </c>
      <c r="F86" s="45" t="str">
        <f aca="false">IF(IF($M86="",0,INDEX(伝票元!$N$6:$N$511,$M86))=1,INDEX(伝票元!$J$6:$J$511,$M86),"")</f>
        <v/>
      </c>
      <c r="G86" s="42" t="str">
        <f aca="false">IF(IF($M86="",0,INDEX(伝票元!$N$6:$N$511,$M86))=1,INDEX(伝票元!$Q$6:$Q$511,$M86),"")</f>
        <v/>
      </c>
      <c r="H86" s="45" t="str">
        <f aca="false">IF($M86="","",INDEX(伝票元!$F$6:$F$511,$M86))</f>
        <v/>
      </c>
      <c r="I86" s="45" t="str">
        <f aca="false">IF($M86="","",INDEX(伝票元!$G$6:$G$511,$M86))</f>
        <v/>
      </c>
      <c r="J86" s="42" t="str">
        <f aca="false">IF($M86="","",INDEX(伝票元!$H$6:$H$511,$M86))</f>
        <v/>
      </c>
      <c r="K86" s="46" t="str">
        <f aca="false">IF(IF($M86="",0,INDEX(伝票元!$N$6:$N$511,$M86))=1,INDEX(伝票元!$R$6:$R$511,$M86),"")</f>
        <v/>
      </c>
      <c r="L86" s="47" t="str">
        <f aca="false">IF($M86="","",INDEX(伝票元!$S$6:$S$511,$M86))</f>
        <v/>
      </c>
      <c r="M86" s="47" t="str">
        <f aca="false">IFERROR(MATCH(80,伝票元!$O$6:$O$511,0),"")</f>
        <v/>
      </c>
    </row>
    <row r="87" customFormat="false" ht="15" hidden="false" customHeight="false" outlineLevel="0" collapsed="false">
      <c r="A87" s="10" t="str">
        <f aca="false">IF($M87="","",INDEX(伝票元!$P$6:$P$511,$M87))</f>
        <v/>
      </c>
      <c r="B87" s="45" t="str">
        <f aca="false">IF($M87="","",INDEX(伝票元!$D$6:$D$511,$M87))</f>
        <v/>
      </c>
      <c r="C87" s="10" t="str">
        <f aca="false">IF($M87="","",INDEX(伝票元!$E$6:$E$511,$M87))</f>
        <v/>
      </c>
      <c r="D87" s="45" t="str">
        <f aca="false">IF($M87="","",INDEX(伝票元!$A$6:$A$511,$M87))</f>
        <v/>
      </c>
      <c r="E87" s="10" t="str">
        <f aca="false">IF(IF($M87="",0,INDEX(伝票元!$N$6:$N$511,$M87))=1,INDEX(伝票元!$I$6:$I$511,$M87),"")</f>
        <v/>
      </c>
      <c r="F87" s="45" t="str">
        <f aca="false">IF(IF($M87="",0,INDEX(伝票元!$N$6:$N$511,$M87))=1,INDEX(伝票元!$J$6:$J$511,$M87),"")</f>
        <v/>
      </c>
      <c r="G87" s="42" t="str">
        <f aca="false">IF(IF($M87="",0,INDEX(伝票元!$N$6:$N$511,$M87))=1,INDEX(伝票元!$Q$6:$Q$511,$M87),"")</f>
        <v/>
      </c>
      <c r="H87" s="45" t="str">
        <f aca="false">IF($M87="","",INDEX(伝票元!$F$6:$F$511,$M87))</f>
        <v/>
      </c>
      <c r="I87" s="45" t="str">
        <f aca="false">IF($M87="","",INDEX(伝票元!$G$6:$G$511,$M87))</f>
        <v/>
      </c>
      <c r="J87" s="42" t="str">
        <f aca="false">IF($M87="","",INDEX(伝票元!$H$6:$H$511,$M87))</f>
        <v/>
      </c>
      <c r="K87" s="46" t="str">
        <f aca="false">IF(IF($M87="",0,INDEX(伝票元!$N$6:$N$511,$M87))=1,INDEX(伝票元!$R$6:$R$511,$M87),"")</f>
        <v/>
      </c>
      <c r="L87" s="47" t="str">
        <f aca="false">IF($M87="","",INDEX(伝票元!$S$6:$S$511,$M87))</f>
        <v/>
      </c>
      <c r="M87" s="47" t="str">
        <f aca="false">IFERROR(MATCH(81,伝票元!$O$6:$O$511,0),"")</f>
        <v/>
      </c>
    </row>
    <row r="88" customFormat="false" ht="15" hidden="false" customHeight="false" outlineLevel="0" collapsed="false">
      <c r="A88" s="10" t="str">
        <f aca="false">IF($M88="","",INDEX(伝票元!$P$6:$P$511,$M88))</f>
        <v/>
      </c>
      <c r="B88" s="45" t="str">
        <f aca="false">IF($M88="","",INDEX(伝票元!$D$6:$D$511,$M88))</f>
        <v/>
      </c>
      <c r="C88" s="10" t="str">
        <f aca="false">IF($M88="","",INDEX(伝票元!$E$6:$E$511,$M88))</f>
        <v/>
      </c>
      <c r="D88" s="45" t="str">
        <f aca="false">IF($M88="","",INDEX(伝票元!$A$6:$A$511,$M88))</f>
        <v/>
      </c>
      <c r="E88" s="10" t="str">
        <f aca="false">IF(IF($M88="",0,INDEX(伝票元!$N$6:$N$511,$M88))=1,INDEX(伝票元!$I$6:$I$511,$M88),"")</f>
        <v/>
      </c>
      <c r="F88" s="45" t="str">
        <f aca="false">IF(IF($M88="",0,INDEX(伝票元!$N$6:$N$511,$M88))=1,INDEX(伝票元!$J$6:$J$511,$M88),"")</f>
        <v/>
      </c>
      <c r="G88" s="42" t="str">
        <f aca="false">IF(IF($M88="",0,INDEX(伝票元!$N$6:$N$511,$M88))=1,INDEX(伝票元!$Q$6:$Q$511,$M88),"")</f>
        <v/>
      </c>
      <c r="H88" s="45" t="str">
        <f aca="false">IF($M88="","",INDEX(伝票元!$F$6:$F$511,$M88))</f>
        <v/>
      </c>
      <c r="I88" s="45" t="str">
        <f aca="false">IF($M88="","",INDEX(伝票元!$G$6:$G$511,$M88))</f>
        <v/>
      </c>
      <c r="J88" s="42" t="str">
        <f aca="false">IF($M88="","",INDEX(伝票元!$H$6:$H$511,$M88))</f>
        <v/>
      </c>
      <c r="K88" s="46" t="str">
        <f aca="false">IF(IF($M88="",0,INDEX(伝票元!$N$6:$N$511,$M88))=1,INDEX(伝票元!$R$6:$R$511,$M88),"")</f>
        <v/>
      </c>
      <c r="L88" s="47" t="str">
        <f aca="false">IF($M88="","",INDEX(伝票元!$S$6:$S$511,$M88))</f>
        <v/>
      </c>
      <c r="M88" s="47" t="str">
        <f aca="false">IFERROR(MATCH(82,伝票元!$O$6:$O$511,0),"")</f>
        <v/>
      </c>
    </row>
    <row r="89" customFormat="false" ht="15" hidden="false" customHeight="false" outlineLevel="0" collapsed="false">
      <c r="A89" s="10" t="str">
        <f aca="false">IF($M89="","",INDEX(伝票元!$P$6:$P$511,$M89))</f>
        <v/>
      </c>
      <c r="B89" s="45" t="str">
        <f aca="false">IF($M89="","",INDEX(伝票元!$D$6:$D$511,$M89))</f>
        <v/>
      </c>
      <c r="C89" s="10" t="str">
        <f aca="false">IF($M89="","",INDEX(伝票元!$E$6:$E$511,$M89))</f>
        <v/>
      </c>
      <c r="D89" s="45" t="str">
        <f aca="false">IF($M89="","",INDEX(伝票元!$A$6:$A$511,$M89))</f>
        <v/>
      </c>
      <c r="E89" s="10" t="str">
        <f aca="false">IF(IF($M89="",0,INDEX(伝票元!$N$6:$N$511,$M89))=1,INDEX(伝票元!$I$6:$I$511,$M89),"")</f>
        <v/>
      </c>
      <c r="F89" s="45" t="str">
        <f aca="false">IF(IF($M89="",0,INDEX(伝票元!$N$6:$N$511,$M89))=1,INDEX(伝票元!$J$6:$J$511,$M89),"")</f>
        <v/>
      </c>
      <c r="G89" s="42" t="str">
        <f aca="false">IF(IF($M89="",0,INDEX(伝票元!$N$6:$N$511,$M89))=1,INDEX(伝票元!$Q$6:$Q$511,$M89),"")</f>
        <v/>
      </c>
      <c r="H89" s="45" t="str">
        <f aca="false">IF($M89="","",INDEX(伝票元!$F$6:$F$511,$M89))</f>
        <v/>
      </c>
      <c r="I89" s="45" t="str">
        <f aca="false">IF($M89="","",INDEX(伝票元!$G$6:$G$511,$M89))</f>
        <v/>
      </c>
      <c r="J89" s="42" t="str">
        <f aca="false">IF($M89="","",INDEX(伝票元!$H$6:$H$511,$M89))</f>
        <v/>
      </c>
      <c r="K89" s="46" t="str">
        <f aca="false">IF(IF($M89="",0,INDEX(伝票元!$N$6:$N$511,$M89))=1,INDEX(伝票元!$R$6:$R$511,$M89),"")</f>
        <v/>
      </c>
      <c r="L89" s="47" t="str">
        <f aca="false">IF($M89="","",INDEX(伝票元!$S$6:$S$511,$M89))</f>
        <v/>
      </c>
      <c r="M89" s="47" t="str">
        <f aca="false">IFERROR(MATCH(83,伝票元!$O$6:$O$511,0),"")</f>
        <v/>
      </c>
    </row>
    <row r="90" customFormat="false" ht="15" hidden="false" customHeight="false" outlineLevel="0" collapsed="false">
      <c r="A90" s="10" t="str">
        <f aca="false">IF($M90="","",INDEX(伝票元!$P$6:$P$511,$M90))</f>
        <v/>
      </c>
      <c r="B90" s="45" t="str">
        <f aca="false">IF($M90="","",INDEX(伝票元!$D$6:$D$511,$M90))</f>
        <v/>
      </c>
      <c r="C90" s="10" t="str">
        <f aca="false">IF($M90="","",INDEX(伝票元!$E$6:$E$511,$M90))</f>
        <v/>
      </c>
      <c r="D90" s="45" t="str">
        <f aca="false">IF($M90="","",INDEX(伝票元!$A$6:$A$511,$M90))</f>
        <v/>
      </c>
      <c r="E90" s="10" t="str">
        <f aca="false">IF(IF($M90="",0,INDEX(伝票元!$N$6:$N$511,$M90))=1,INDEX(伝票元!$I$6:$I$511,$M90),"")</f>
        <v/>
      </c>
      <c r="F90" s="45" t="str">
        <f aca="false">IF(IF($M90="",0,INDEX(伝票元!$N$6:$N$511,$M90))=1,INDEX(伝票元!$J$6:$J$511,$M90),"")</f>
        <v/>
      </c>
      <c r="G90" s="42" t="str">
        <f aca="false">IF(IF($M90="",0,INDEX(伝票元!$N$6:$N$511,$M90))=1,INDEX(伝票元!$Q$6:$Q$511,$M90),"")</f>
        <v/>
      </c>
      <c r="H90" s="45" t="str">
        <f aca="false">IF($M90="","",INDEX(伝票元!$F$6:$F$511,$M90))</f>
        <v/>
      </c>
      <c r="I90" s="45" t="str">
        <f aca="false">IF($M90="","",INDEX(伝票元!$G$6:$G$511,$M90))</f>
        <v/>
      </c>
      <c r="J90" s="42" t="str">
        <f aca="false">IF($M90="","",INDEX(伝票元!$H$6:$H$511,$M90))</f>
        <v/>
      </c>
      <c r="K90" s="46" t="str">
        <f aca="false">IF(IF($M90="",0,INDEX(伝票元!$N$6:$N$511,$M90))=1,INDEX(伝票元!$R$6:$R$511,$M90),"")</f>
        <v/>
      </c>
      <c r="L90" s="47" t="str">
        <f aca="false">IF($M90="","",INDEX(伝票元!$S$6:$S$511,$M90))</f>
        <v/>
      </c>
      <c r="M90" s="47" t="str">
        <f aca="false">IFERROR(MATCH(84,伝票元!$O$6:$O$511,0),"")</f>
        <v/>
      </c>
    </row>
    <row r="91" customFormat="false" ht="15" hidden="false" customHeight="false" outlineLevel="0" collapsed="false">
      <c r="A91" s="10" t="str">
        <f aca="false">IF($M91="","",INDEX(伝票元!$P$6:$P$511,$M91))</f>
        <v/>
      </c>
      <c r="B91" s="45" t="str">
        <f aca="false">IF($M91="","",INDEX(伝票元!$D$6:$D$511,$M91))</f>
        <v/>
      </c>
      <c r="C91" s="10" t="str">
        <f aca="false">IF($M91="","",INDEX(伝票元!$E$6:$E$511,$M91))</f>
        <v/>
      </c>
      <c r="D91" s="45" t="str">
        <f aca="false">IF($M91="","",INDEX(伝票元!$A$6:$A$511,$M91))</f>
        <v/>
      </c>
      <c r="E91" s="10" t="str">
        <f aca="false">IF(IF($M91="",0,INDEX(伝票元!$N$6:$N$511,$M91))=1,INDEX(伝票元!$I$6:$I$511,$M91),"")</f>
        <v/>
      </c>
      <c r="F91" s="45" t="str">
        <f aca="false">IF(IF($M91="",0,INDEX(伝票元!$N$6:$N$511,$M91))=1,INDEX(伝票元!$J$6:$J$511,$M91),"")</f>
        <v/>
      </c>
      <c r="G91" s="42" t="str">
        <f aca="false">IF(IF($M91="",0,INDEX(伝票元!$N$6:$N$511,$M91))=1,INDEX(伝票元!$Q$6:$Q$511,$M91),"")</f>
        <v/>
      </c>
      <c r="H91" s="45" t="str">
        <f aca="false">IF($M91="","",INDEX(伝票元!$F$6:$F$511,$M91))</f>
        <v/>
      </c>
      <c r="I91" s="45" t="str">
        <f aca="false">IF($M91="","",INDEX(伝票元!$G$6:$G$511,$M91))</f>
        <v/>
      </c>
      <c r="J91" s="42" t="str">
        <f aca="false">IF($M91="","",INDEX(伝票元!$H$6:$H$511,$M91))</f>
        <v/>
      </c>
      <c r="K91" s="46" t="str">
        <f aca="false">IF(IF($M91="",0,INDEX(伝票元!$N$6:$N$511,$M91))=1,INDEX(伝票元!$R$6:$R$511,$M91),"")</f>
        <v/>
      </c>
      <c r="L91" s="47" t="str">
        <f aca="false">IF($M91="","",INDEX(伝票元!$S$6:$S$511,$M91))</f>
        <v/>
      </c>
      <c r="M91" s="47" t="str">
        <f aca="false">IFERROR(MATCH(85,伝票元!$O$6:$O$511,0),"")</f>
        <v/>
      </c>
    </row>
    <row r="92" customFormat="false" ht="15" hidden="false" customHeight="false" outlineLevel="0" collapsed="false">
      <c r="A92" s="10" t="str">
        <f aca="false">IF($M92="","",INDEX(伝票元!$P$6:$P$511,$M92))</f>
        <v/>
      </c>
      <c r="B92" s="45" t="str">
        <f aca="false">IF($M92="","",INDEX(伝票元!$D$6:$D$511,$M92))</f>
        <v/>
      </c>
      <c r="C92" s="10" t="str">
        <f aca="false">IF($M92="","",INDEX(伝票元!$E$6:$E$511,$M92))</f>
        <v/>
      </c>
      <c r="D92" s="45" t="str">
        <f aca="false">IF($M92="","",INDEX(伝票元!$A$6:$A$511,$M92))</f>
        <v/>
      </c>
      <c r="E92" s="10" t="str">
        <f aca="false">IF(IF($M92="",0,INDEX(伝票元!$N$6:$N$511,$M92))=1,INDEX(伝票元!$I$6:$I$511,$M92),"")</f>
        <v/>
      </c>
      <c r="F92" s="45" t="str">
        <f aca="false">IF(IF($M92="",0,INDEX(伝票元!$N$6:$N$511,$M92))=1,INDEX(伝票元!$J$6:$J$511,$M92),"")</f>
        <v/>
      </c>
      <c r="G92" s="42" t="str">
        <f aca="false">IF(IF($M92="",0,INDEX(伝票元!$N$6:$N$511,$M92))=1,INDEX(伝票元!$Q$6:$Q$511,$M92),"")</f>
        <v/>
      </c>
      <c r="H92" s="45" t="str">
        <f aca="false">IF($M92="","",INDEX(伝票元!$F$6:$F$511,$M92))</f>
        <v/>
      </c>
      <c r="I92" s="45" t="str">
        <f aca="false">IF($M92="","",INDEX(伝票元!$G$6:$G$511,$M92))</f>
        <v/>
      </c>
      <c r="J92" s="42" t="str">
        <f aca="false">IF($M92="","",INDEX(伝票元!$H$6:$H$511,$M92))</f>
        <v/>
      </c>
      <c r="K92" s="46" t="str">
        <f aca="false">IF(IF($M92="",0,INDEX(伝票元!$N$6:$N$511,$M92))=1,INDEX(伝票元!$R$6:$R$511,$M92),"")</f>
        <v/>
      </c>
      <c r="L92" s="47" t="str">
        <f aca="false">IF($M92="","",INDEX(伝票元!$S$6:$S$511,$M92))</f>
        <v/>
      </c>
      <c r="M92" s="47" t="str">
        <f aca="false">IFERROR(MATCH(86,伝票元!$O$6:$O$511,0),"")</f>
        <v/>
      </c>
    </row>
    <row r="93" customFormat="false" ht="15" hidden="false" customHeight="false" outlineLevel="0" collapsed="false">
      <c r="A93" s="10" t="str">
        <f aca="false">IF($M93="","",INDEX(伝票元!$P$6:$P$511,$M93))</f>
        <v/>
      </c>
      <c r="B93" s="45" t="str">
        <f aca="false">IF($M93="","",INDEX(伝票元!$D$6:$D$511,$M93))</f>
        <v/>
      </c>
      <c r="C93" s="10" t="str">
        <f aca="false">IF($M93="","",INDEX(伝票元!$E$6:$E$511,$M93))</f>
        <v/>
      </c>
      <c r="D93" s="45" t="str">
        <f aca="false">IF($M93="","",INDEX(伝票元!$A$6:$A$511,$M93))</f>
        <v/>
      </c>
      <c r="E93" s="10" t="str">
        <f aca="false">IF(IF($M93="",0,INDEX(伝票元!$N$6:$N$511,$M93))=1,INDEX(伝票元!$I$6:$I$511,$M93),"")</f>
        <v/>
      </c>
      <c r="F93" s="45" t="str">
        <f aca="false">IF(IF($M93="",0,INDEX(伝票元!$N$6:$N$511,$M93))=1,INDEX(伝票元!$J$6:$J$511,$M93),"")</f>
        <v/>
      </c>
      <c r="G93" s="42" t="str">
        <f aca="false">IF(IF($M93="",0,INDEX(伝票元!$N$6:$N$511,$M93))=1,INDEX(伝票元!$Q$6:$Q$511,$M93),"")</f>
        <v/>
      </c>
      <c r="H93" s="45" t="str">
        <f aca="false">IF($M93="","",INDEX(伝票元!$F$6:$F$511,$M93))</f>
        <v/>
      </c>
      <c r="I93" s="45" t="str">
        <f aca="false">IF($M93="","",INDEX(伝票元!$G$6:$G$511,$M93))</f>
        <v/>
      </c>
      <c r="J93" s="42" t="str">
        <f aca="false">IF($M93="","",INDEX(伝票元!$H$6:$H$511,$M93))</f>
        <v/>
      </c>
      <c r="K93" s="46" t="str">
        <f aca="false">IF(IF($M93="",0,INDEX(伝票元!$N$6:$N$511,$M93))=1,INDEX(伝票元!$R$6:$R$511,$M93),"")</f>
        <v/>
      </c>
      <c r="L93" s="47" t="str">
        <f aca="false">IF($M93="","",INDEX(伝票元!$S$6:$S$511,$M93))</f>
        <v/>
      </c>
      <c r="M93" s="47" t="str">
        <f aca="false">IFERROR(MATCH(87,伝票元!$O$6:$O$511,0),"")</f>
        <v/>
      </c>
    </row>
    <row r="94" customFormat="false" ht="15" hidden="false" customHeight="false" outlineLevel="0" collapsed="false">
      <c r="A94" s="10" t="str">
        <f aca="false">IF($M94="","",INDEX(伝票元!$P$6:$P$511,$M94))</f>
        <v/>
      </c>
      <c r="B94" s="45" t="str">
        <f aca="false">IF($M94="","",INDEX(伝票元!$D$6:$D$511,$M94))</f>
        <v/>
      </c>
      <c r="C94" s="10" t="str">
        <f aca="false">IF($M94="","",INDEX(伝票元!$E$6:$E$511,$M94))</f>
        <v/>
      </c>
      <c r="D94" s="45" t="str">
        <f aca="false">IF($M94="","",INDEX(伝票元!$A$6:$A$511,$M94))</f>
        <v/>
      </c>
      <c r="E94" s="10" t="str">
        <f aca="false">IF(IF($M94="",0,INDEX(伝票元!$N$6:$N$511,$M94))=1,INDEX(伝票元!$I$6:$I$511,$M94),"")</f>
        <v/>
      </c>
      <c r="F94" s="45" t="str">
        <f aca="false">IF(IF($M94="",0,INDEX(伝票元!$N$6:$N$511,$M94))=1,INDEX(伝票元!$J$6:$J$511,$M94),"")</f>
        <v/>
      </c>
      <c r="G94" s="42" t="str">
        <f aca="false">IF(IF($M94="",0,INDEX(伝票元!$N$6:$N$511,$M94))=1,INDEX(伝票元!$Q$6:$Q$511,$M94),"")</f>
        <v/>
      </c>
      <c r="H94" s="45" t="str">
        <f aca="false">IF($M94="","",INDEX(伝票元!$F$6:$F$511,$M94))</f>
        <v/>
      </c>
      <c r="I94" s="45" t="str">
        <f aca="false">IF($M94="","",INDEX(伝票元!$G$6:$G$511,$M94))</f>
        <v/>
      </c>
      <c r="J94" s="42" t="str">
        <f aca="false">IF($M94="","",INDEX(伝票元!$H$6:$H$511,$M94))</f>
        <v/>
      </c>
      <c r="K94" s="46" t="str">
        <f aca="false">IF(IF($M94="",0,INDEX(伝票元!$N$6:$N$511,$M94))=1,INDEX(伝票元!$R$6:$R$511,$M94),"")</f>
        <v/>
      </c>
      <c r="L94" s="47" t="str">
        <f aca="false">IF($M94="","",INDEX(伝票元!$S$6:$S$511,$M94))</f>
        <v/>
      </c>
      <c r="M94" s="47" t="str">
        <f aca="false">IFERROR(MATCH(88,伝票元!$O$6:$O$511,0),"")</f>
        <v/>
      </c>
    </row>
    <row r="95" customFormat="false" ht="15" hidden="false" customHeight="false" outlineLevel="0" collapsed="false">
      <c r="A95" s="10" t="str">
        <f aca="false">IF($M95="","",INDEX(伝票元!$P$6:$P$511,$M95))</f>
        <v/>
      </c>
      <c r="B95" s="45" t="str">
        <f aca="false">IF($M95="","",INDEX(伝票元!$D$6:$D$511,$M95))</f>
        <v/>
      </c>
      <c r="C95" s="10" t="str">
        <f aca="false">IF($M95="","",INDEX(伝票元!$E$6:$E$511,$M95))</f>
        <v/>
      </c>
      <c r="D95" s="45" t="str">
        <f aca="false">IF($M95="","",INDEX(伝票元!$A$6:$A$511,$M95))</f>
        <v/>
      </c>
      <c r="E95" s="10" t="str">
        <f aca="false">IF(IF($M95="",0,INDEX(伝票元!$N$6:$N$511,$M95))=1,INDEX(伝票元!$I$6:$I$511,$M95),"")</f>
        <v/>
      </c>
      <c r="F95" s="45" t="str">
        <f aca="false">IF(IF($M95="",0,INDEX(伝票元!$N$6:$N$511,$M95))=1,INDEX(伝票元!$J$6:$J$511,$M95),"")</f>
        <v/>
      </c>
      <c r="G95" s="42" t="str">
        <f aca="false">IF(IF($M95="",0,INDEX(伝票元!$N$6:$N$511,$M95))=1,INDEX(伝票元!$Q$6:$Q$511,$M95),"")</f>
        <v/>
      </c>
      <c r="H95" s="45" t="str">
        <f aca="false">IF($M95="","",INDEX(伝票元!$F$6:$F$511,$M95))</f>
        <v/>
      </c>
      <c r="I95" s="45" t="str">
        <f aca="false">IF($M95="","",INDEX(伝票元!$G$6:$G$511,$M95))</f>
        <v/>
      </c>
      <c r="J95" s="42" t="str">
        <f aca="false">IF($M95="","",INDEX(伝票元!$H$6:$H$511,$M95))</f>
        <v/>
      </c>
      <c r="K95" s="46" t="str">
        <f aca="false">IF(IF($M95="",0,INDEX(伝票元!$N$6:$N$511,$M95))=1,INDEX(伝票元!$R$6:$R$511,$M95),"")</f>
        <v/>
      </c>
      <c r="L95" s="47" t="str">
        <f aca="false">IF($M95="","",INDEX(伝票元!$S$6:$S$511,$M95))</f>
        <v/>
      </c>
      <c r="M95" s="47" t="str">
        <f aca="false">IFERROR(MATCH(89,伝票元!$O$6:$O$511,0),"")</f>
        <v/>
      </c>
    </row>
    <row r="96" customFormat="false" ht="15" hidden="false" customHeight="false" outlineLevel="0" collapsed="false">
      <c r="A96" s="10" t="str">
        <f aca="false">IF($M96="","",INDEX(伝票元!$P$6:$P$511,$M96))</f>
        <v/>
      </c>
      <c r="B96" s="45" t="str">
        <f aca="false">IF($M96="","",INDEX(伝票元!$D$6:$D$511,$M96))</f>
        <v/>
      </c>
      <c r="C96" s="10" t="str">
        <f aca="false">IF($M96="","",INDEX(伝票元!$E$6:$E$511,$M96))</f>
        <v/>
      </c>
      <c r="D96" s="45" t="str">
        <f aca="false">IF($M96="","",INDEX(伝票元!$A$6:$A$511,$M96))</f>
        <v/>
      </c>
      <c r="E96" s="10" t="str">
        <f aca="false">IF(IF($M96="",0,INDEX(伝票元!$N$6:$N$511,$M96))=1,INDEX(伝票元!$I$6:$I$511,$M96),"")</f>
        <v/>
      </c>
      <c r="F96" s="45" t="str">
        <f aca="false">IF(IF($M96="",0,INDEX(伝票元!$N$6:$N$511,$M96))=1,INDEX(伝票元!$J$6:$J$511,$M96),"")</f>
        <v/>
      </c>
      <c r="G96" s="42" t="str">
        <f aca="false">IF(IF($M96="",0,INDEX(伝票元!$N$6:$N$511,$M96))=1,INDEX(伝票元!$Q$6:$Q$511,$M96),"")</f>
        <v/>
      </c>
      <c r="H96" s="45" t="str">
        <f aca="false">IF($M96="","",INDEX(伝票元!$F$6:$F$511,$M96))</f>
        <v/>
      </c>
      <c r="I96" s="45" t="str">
        <f aca="false">IF($M96="","",INDEX(伝票元!$G$6:$G$511,$M96))</f>
        <v/>
      </c>
      <c r="J96" s="42" t="str">
        <f aca="false">IF($M96="","",INDEX(伝票元!$H$6:$H$511,$M96))</f>
        <v/>
      </c>
      <c r="K96" s="46" t="str">
        <f aca="false">IF(IF($M96="",0,INDEX(伝票元!$N$6:$N$511,$M96))=1,INDEX(伝票元!$R$6:$R$511,$M96),"")</f>
        <v/>
      </c>
      <c r="L96" s="47" t="str">
        <f aca="false">IF($M96="","",INDEX(伝票元!$S$6:$S$511,$M96))</f>
        <v/>
      </c>
      <c r="M96" s="47" t="str">
        <f aca="false">IFERROR(MATCH(90,伝票元!$O$6:$O$511,0),"")</f>
        <v/>
      </c>
    </row>
    <row r="97" customFormat="false" ht="15" hidden="false" customHeight="false" outlineLevel="0" collapsed="false">
      <c r="A97" s="10" t="str">
        <f aca="false">IF($M97="","",INDEX(伝票元!$P$6:$P$511,$M97))</f>
        <v/>
      </c>
      <c r="B97" s="45" t="str">
        <f aca="false">IF($M97="","",INDEX(伝票元!$D$6:$D$511,$M97))</f>
        <v/>
      </c>
      <c r="C97" s="10" t="str">
        <f aca="false">IF($M97="","",INDEX(伝票元!$E$6:$E$511,$M97))</f>
        <v/>
      </c>
      <c r="D97" s="45" t="str">
        <f aca="false">IF($M97="","",INDEX(伝票元!$A$6:$A$511,$M97))</f>
        <v/>
      </c>
      <c r="E97" s="10" t="str">
        <f aca="false">IF(IF($M97="",0,INDEX(伝票元!$N$6:$N$511,$M97))=1,INDEX(伝票元!$I$6:$I$511,$M97),"")</f>
        <v/>
      </c>
      <c r="F97" s="45" t="str">
        <f aca="false">IF(IF($M97="",0,INDEX(伝票元!$N$6:$N$511,$M97))=1,INDEX(伝票元!$J$6:$J$511,$M97),"")</f>
        <v/>
      </c>
      <c r="G97" s="42" t="str">
        <f aca="false">IF(IF($M97="",0,INDEX(伝票元!$N$6:$N$511,$M97))=1,INDEX(伝票元!$Q$6:$Q$511,$M97),"")</f>
        <v/>
      </c>
      <c r="H97" s="45" t="str">
        <f aca="false">IF($M97="","",INDEX(伝票元!$F$6:$F$511,$M97))</f>
        <v/>
      </c>
      <c r="I97" s="45" t="str">
        <f aca="false">IF($M97="","",INDEX(伝票元!$G$6:$G$511,$M97))</f>
        <v/>
      </c>
      <c r="J97" s="42" t="str">
        <f aca="false">IF($M97="","",INDEX(伝票元!$H$6:$H$511,$M97))</f>
        <v/>
      </c>
      <c r="K97" s="46" t="str">
        <f aca="false">IF(IF($M97="",0,INDEX(伝票元!$N$6:$N$511,$M97))=1,INDEX(伝票元!$R$6:$R$511,$M97),"")</f>
        <v/>
      </c>
      <c r="L97" s="47" t="str">
        <f aca="false">IF($M97="","",INDEX(伝票元!$S$6:$S$511,$M97))</f>
        <v/>
      </c>
      <c r="M97" s="47" t="str">
        <f aca="false">IFERROR(MATCH(91,伝票元!$O$6:$O$511,0),"")</f>
        <v/>
      </c>
    </row>
    <row r="98" customFormat="false" ht="15" hidden="false" customHeight="false" outlineLevel="0" collapsed="false">
      <c r="A98" s="10" t="str">
        <f aca="false">IF($M98="","",INDEX(伝票元!$P$6:$P$511,$M98))</f>
        <v/>
      </c>
      <c r="B98" s="45" t="str">
        <f aca="false">IF($M98="","",INDEX(伝票元!$D$6:$D$511,$M98))</f>
        <v/>
      </c>
      <c r="C98" s="10" t="str">
        <f aca="false">IF($M98="","",INDEX(伝票元!$E$6:$E$511,$M98))</f>
        <v/>
      </c>
      <c r="D98" s="45" t="str">
        <f aca="false">IF($M98="","",INDEX(伝票元!$A$6:$A$511,$M98))</f>
        <v/>
      </c>
      <c r="E98" s="10" t="str">
        <f aca="false">IF(IF($M98="",0,INDEX(伝票元!$N$6:$N$511,$M98))=1,INDEX(伝票元!$I$6:$I$511,$M98),"")</f>
        <v/>
      </c>
      <c r="F98" s="45" t="str">
        <f aca="false">IF(IF($M98="",0,INDEX(伝票元!$N$6:$N$511,$M98))=1,INDEX(伝票元!$J$6:$J$511,$M98),"")</f>
        <v/>
      </c>
      <c r="G98" s="42" t="str">
        <f aca="false">IF(IF($M98="",0,INDEX(伝票元!$N$6:$N$511,$M98))=1,INDEX(伝票元!$Q$6:$Q$511,$M98),"")</f>
        <v/>
      </c>
      <c r="H98" s="45" t="str">
        <f aca="false">IF($M98="","",INDEX(伝票元!$F$6:$F$511,$M98))</f>
        <v/>
      </c>
      <c r="I98" s="45" t="str">
        <f aca="false">IF($M98="","",INDEX(伝票元!$G$6:$G$511,$M98))</f>
        <v/>
      </c>
      <c r="J98" s="42" t="str">
        <f aca="false">IF($M98="","",INDEX(伝票元!$H$6:$H$511,$M98))</f>
        <v/>
      </c>
      <c r="K98" s="46" t="str">
        <f aca="false">IF(IF($M98="",0,INDEX(伝票元!$N$6:$N$511,$M98))=1,INDEX(伝票元!$R$6:$R$511,$M98),"")</f>
        <v/>
      </c>
      <c r="L98" s="47" t="str">
        <f aca="false">IF($M98="","",INDEX(伝票元!$S$6:$S$511,$M98))</f>
        <v/>
      </c>
      <c r="M98" s="47" t="str">
        <f aca="false">IFERROR(MATCH(92,伝票元!$O$6:$O$511,0),"")</f>
        <v/>
      </c>
    </row>
    <row r="99" customFormat="false" ht="15" hidden="false" customHeight="false" outlineLevel="0" collapsed="false">
      <c r="A99" s="10" t="str">
        <f aca="false">IF($M99="","",INDEX(伝票元!$P$6:$P$511,$M99))</f>
        <v/>
      </c>
      <c r="B99" s="45" t="str">
        <f aca="false">IF($M99="","",INDEX(伝票元!$D$6:$D$511,$M99))</f>
        <v/>
      </c>
      <c r="C99" s="10" t="str">
        <f aca="false">IF($M99="","",INDEX(伝票元!$E$6:$E$511,$M99))</f>
        <v/>
      </c>
      <c r="D99" s="45" t="str">
        <f aca="false">IF($M99="","",INDEX(伝票元!$A$6:$A$511,$M99))</f>
        <v/>
      </c>
      <c r="E99" s="10" t="str">
        <f aca="false">IF(IF($M99="",0,INDEX(伝票元!$N$6:$N$511,$M99))=1,INDEX(伝票元!$I$6:$I$511,$M99),"")</f>
        <v/>
      </c>
      <c r="F99" s="45" t="str">
        <f aca="false">IF(IF($M99="",0,INDEX(伝票元!$N$6:$N$511,$M99))=1,INDEX(伝票元!$J$6:$J$511,$M99),"")</f>
        <v/>
      </c>
      <c r="G99" s="42" t="str">
        <f aca="false">IF(IF($M99="",0,INDEX(伝票元!$N$6:$N$511,$M99))=1,INDEX(伝票元!$Q$6:$Q$511,$M99),"")</f>
        <v/>
      </c>
      <c r="H99" s="45" t="str">
        <f aca="false">IF($M99="","",INDEX(伝票元!$F$6:$F$511,$M99))</f>
        <v/>
      </c>
      <c r="I99" s="45" t="str">
        <f aca="false">IF($M99="","",INDEX(伝票元!$G$6:$G$511,$M99))</f>
        <v/>
      </c>
      <c r="J99" s="42" t="str">
        <f aca="false">IF($M99="","",INDEX(伝票元!$H$6:$H$511,$M99))</f>
        <v/>
      </c>
      <c r="K99" s="46" t="str">
        <f aca="false">IF(IF($M99="",0,INDEX(伝票元!$N$6:$N$511,$M99))=1,INDEX(伝票元!$R$6:$R$511,$M99),"")</f>
        <v/>
      </c>
      <c r="L99" s="47" t="str">
        <f aca="false">IF($M99="","",INDEX(伝票元!$S$6:$S$511,$M99))</f>
        <v/>
      </c>
      <c r="M99" s="47" t="str">
        <f aca="false">IFERROR(MATCH(93,伝票元!$O$6:$O$511,0),"")</f>
        <v/>
      </c>
    </row>
    <row r="100" customFormat="false" ht="15" hidden="false" customHeight="false" outlineLevel="0" collapsed="false">
      <c r="A100" s="10" t="str">
        <f aca="false">IF($M100="","",INDEX(伝票元!$P$6:$P$511,$M100))</f>
        <v/>
      </c>
      <c r="B100" s="45" t="str">
        <f aca="false">IF($M100="","",INDEX(伝票元!$D$6:$D$511,$M100))</f>
        <v/>
      </c>
      <c r="C100" s="10" t="str">
        <f aca="false">IF($M100="","",INDEX(伝票元!$E$6:$E$511,$M100))</f>
        <v/>
      </c>
      <c r="D100" s="45" t="str">
        <f aca="false">IF($M100="","",INDEX(伝票元!$A$6:$A$511,$M100))</f>
        <v/>
      </c>
      <c r="E100" s="10" t="str">
        <f aca="false">IF(IF($M100="",0,INDEX(伝票元!$N$6:$N$511,$M100))=1,INDEX(伝票元!$I$6:$I$511,$M100),"")</f>
        <v/>
      </c>
      <c r="F100" s="45" t="str">
        <f aca="false">IF(IF($M100="",0,INDEX(伝票元!$N$6:$N$511,$M100))=1,INDEX(伝票元!$J$6:$J$511,$M100),"")</f>
        <v/>
      </c>
      <c r="G100" s="42" t="str">
        <f aca="false">IF(IF($M100="",0,INDEX(伝票元!$N$6:$N$511,$M100))=1,INDEX(伝票元!$Q$6:$Q$511,$M100),"")</f>
        <v/>
      </c>
      <c r="H100" s="45" t="str">
        <f aca="false">IF($M100="","",INDEX(伝票元!$F$6:$F$511,$M100))</f>
        <v/>
      </c>
      <c r="I100" s="45" t="str">
        <f aca="false">IF($M100="","",INDEX(伝票元!$G$6:$G$511,$M100))</f>
        <v/>
      </c>
      <c r="J100" s="42" t="str">
        <f aca="false">IF($M100="","",INDEX(伝票元!$H$6:$H$511,$M100))</f>
        <v/>
      </c>
      <c r="K100" s="46" t="str">
        <f aca="false">IF(IF($M100="",0,INDEX(伝票元!$N$6:$N$511,$M100))=1,INDEX(伝票元!$R$6:$R$511,$M100),"")</f>
        <v/>
      </c>
      <c r="L100" s="47" t="str">
        <f aca="false">IF($M100="","",INDEX(伝票元!$S$6:$S$511,$M100))</f>
        <v/>
      </c>
      <c r="M100" s="47" t="str">
        <f aca="false">IFERROR(MATCH(94,伝票元!$O$6:$O$511,0),"")</f>
        <v/>
      </c>
    </row>
    <row r="101" customFormat="false" ht="15" hidden="false" customHeight="false" outlineLevel="0" collapsed="false">
      <c r="A101" s="10" t="str">
        <f aca="false">IF($M101="","",INDEX(伝票元!$P$6:$P$511,$M101))</f>
        <v/>
      </c>
      <c r="B101" s="45" t="str">
        <f aca="false">IF($M101="","",INDEX(伝票元!$D$6:$D$511,$M101))</f>
        <v/>
      </c>
      <c r="C101" s="10" t="str">
        <f aca="false">IF($M101="","",INDEX(伝票元!$E$6:$E$511,$M101))</f>
        <v/>
      </c>
      <c r="D101" s="45" t="str">
        <f aca="false">IF($M101="","",INDEX(伝票元!$A$6:$A$511,$M101))</f>
        <v/>
      </c>
      <c r="E101" s="10" t="str">
        <f aca="false">IF(IF($M101="",0,INDEX(伝票元!$N$6:$N$511,$M101))=1,INDEX(伝票元!$I$6:$I$511,$M101),"")</f>
        <v/>
      </c>
      <c r="F101" s="45" t="str">
        <f aca="false">IF(IF($M101="",0,INDEX(伝票元!$N$6:$N$511,$M101))=1,INDEX(伝票元!$J$6:$J$511,$M101),"")</f>
        <v/>
      </c>
      <c r="G101" s="42" t="str">
        <f aca="false">IF(IF($M101="",0,INDEX(伝票元!$N$6:$N$511,$M101))=1,INDEX(伝票元!$Q$6:$Q$511,$M101),"")</f>
        <v/>
      </c>
      <c r="H101" s="45" t="str">
        <f aca="false">IF($M101="","",INDEX(伝票元!$F$6:$F$511,$M101))</f>
        <v/>
      </c>
      <c r="I101" s="45" t="str">
        <f aca="false">IF($M101="","",INDEX(伝票元!$G$6:$G$511,$M101))</f>
        <v/>
      </c>
      <c r="J101" s="42" t="str">
        <f aca="false">IF($M101="","",INDEX(伝票元!$H$6:$H$511,$M101))</f>
        <v/>
      </c>
      <c r="K101" s="46" t="str">
        <f aca="false">IF(IF($M101="",0,INDEX(伝票元!$N$6:$N$511,$M101))=1,INDEX(伝票元!$R$6:$R$511,$M101),"")</f>
        <v/>
      </c>
      <c r="L101" s="47" t="str">
        <f aca="false">IF($M101="","",INDEX(伝票元!$S$6:$S$511,$M101))</f>
        <v/>
      </c>
      <c r="M101" s="47" t="str">
        <f aca="false">IFERROR(MATCH(95,伝票元!$O$6:$O$511,0),"")</f>
        <v/>
      </c>
    </row>
    <row r="102" customFormat="false" ht="15" hidden="false" customHeight="false" outlineLevel="0" collapsed="false">
      <c r="A102" s="10" t="str">
        <f aca="false">IF($M102="","",INDEX(伝票元!$P$6:$P$511,$M102))</f>
        <v/>
      </c>
      <c r="B102" s="45" t="str">
        <f aca="false">IF($M102="","",INDEX(伝票元!$D$6:$D$511,$M102))</f>
        <v/>
      </c>
      <c r="C102" s="10" t="str">
        <f aca="false">IF($M102="","",INDEX(伝票元!$E$6:$E$511,$M102))</f>
        <v/>
      </c>
      <c r="D102" s="45" t="str">
        <f aca="false">IF($M102="","",INDEX(伝票元!$A$6:$A$511,$M102))</f>
        <v/>
      </c>
      <c r="E102" s="10" t="str">
        <f aca="false">IF(IF($M102="",0,INDEX(伝票元!$N$6:$N$511,$M102))=1,INDEX(伝票元!$I$6:$I$511,$M102),"")</f>
        <v/>
      </c>
      <c r="F102" s="45" t="str">
        <f aca="false">IF(IF($M102="",0,INDEX(伝票元!$N$6:$N$511,$M102))=1,INDEX(伝票元!$J$6:$J$511,$M102),"")</f>
        <v/>
      </c>
      <c r="G102" s="42" t="str">
        <f aca="false">IF(IF($M102="",0,INDEX(伝票元!$N$6:$N$511,$M102))=1,INDEX(伝票元!$Q$6:$Q$511,$M102),"")</f>
        <v/>
      </c>
      <c r="H102" s="45" t="str">
        <f aca="false">IF($M102="","",INDEX(伝票元!$F$6:$F$511,$M102))</f>
        <v/>
      </c>
      <c r="I102" s="45" t="str">
        <f aca="false">IF($M102="","",INDEX(伝票元!$G$6:$G$511,$M102))</f>
        <v/>
      </c>
      <c r="J102" s="42" t="str">
        <f aca="false">IF($M102="","",INDEX(伝票元!$H$6:$H$511,$M102))</f>
        <v/>
      </c>
      <c r="K102" s="46" t="str">
        <f aca="false">IF(IF($M102="",0,INDEX(伝票元!$N$6:$N$511,$M102))=1,INDEX(伝票元!$R$6:$R$511,$M102),"")</f>
        <v/>
      </c>
      <c r="L102" s="47" t="str">
        <f aca="false">IF($M102="","",INDEX(伝票元!$S$6:$S$511,$M102))</f>
        <v/>
      </c>
      <c r="M102" s="47" t="str">
        <f aca="false">IFERROR(MATCH(96,伝票元!$O$6:$O$511,0),"")</f>
        <v/>
      </c>
    </row>
    <row r="103" customFormat="false" ht="15" hidden="false" customHeight="false" outlineLevel="0" collapsed="false">
      <c r="A103" s="10" t="str">
        <f aca="false">IF($M103="","",INDEX(伝票元!$P$6:$P$511,$M103))</f>
        <v/>
      </c>
      <c r="B103" s="45" t="str">
        <f aca="false">IF($M103="","",INDEX(伝票元!$D$6:$D$511,$M103))</f>
        <v/>
      </c>
      <c r="C103" s="10" t="str">
        <f aca="false">IF($M103="","",INDEX(伝票元!$E$6:$E$511,$M103))</f>
        <v/>
      </c>
      <c r="D103" s="45" t="str">
        <f aca="false">IF($M103="","",INDEX(伝票元!$A$6:$A$511,$M103))</f>
        <v/>
      </c>
      <c r="E103" s="10" t="str">
        <f aca="false">IF(IF($M103="",0,INDEX(伝票元!$N$6:$N$511,$M103))=1,INDEX(伝票元!$I$6:$I$511,$M103),"")</f>
        <v/>
      </c>
      <c r="F103" s="45" t="str">
        <f aca="false">IF(IF($M103="",0,INDEX(伝票元!$N$6:$N$511,$M103))=1,INDEX(伝票元!$J$6:$J$511,$M103),"")</f>
        <v/>
      </c>
      <c r="G103" s="42" t="str">
        <f aca="false">IF(IF($M103="",0,INDEX(伝票元!$N$6:$N$511,$M103))=1,INDEX(伝票元!$Q$6:$Q$511,$M103),"")</f>
        <v/>
      </c>
      <c r="H103" s="45" t="str">
        <f aca="false">IF($M103="","",INDEX(伝票元!$F$6:$F$511,$M103))</f>
        <v/>
      </c>
      <c r="I103" s="45" t="str">
        <f aca="false">IF($M103="","",INDEX(伝票元!$G$6:$G$511,$M103))</f>
        <v/>
      </c>
      <c r="J103" s="42" t="str">
        <f aca="false">IF($M103="","",INDEX(伝票元!$H$6:$H$511,$M103))</f>
        <v/>
      </c>
      <c r="K103" s="46" t="str">
        <f aca="false">IF(IF($M103="",0,INDEX(伝票元!$N$6:$N$511,$M103))=1,INDEX(伝票元!$R$6:$R$511,$M103),"")</f>
        <v/>
      </c>
      <c r="L103" s="47" t="str">
        <f aca="false">IF($M103="","",INDEX(伝票元!$S$6:$S$511,$M103))</f>
        <v/>
      </c>
      <c r="M103" s="47" t="str">
        <f aca="false">IFERROR(MATCH(97,伝票元!$O$6:$O$511,0),"")</f>
        <v/>
      </c>
    </row>
    <row r="104" customFormat="false" ht="15" hidden="false" customHeight="false" outlineLevel="0" collapsed="false">
      <c r="A104" s="10" t="str">
        <f aca="false">IF($M104="","",INDEX(伝票元!$P$6:$P$511,$M104))</f>
        <v/>
      </c>
      <c r="B104" s="45" t="str">
        <f aca="false">IF($M104="","",INDEX(伝票元!$D$6:$D$511,$M104))</f>
        <v/>
      </c>
      <c r="C104" s="10" t="str">
        <f aca="false">IF($M104="","",INDEX(伝票元!$E$6:$E$511,$M104))</f>
        <v/>
      </c>
      <c r="D104" s="45" t="str">
        <f aca="false">IF($M104="","",INDEX(伝票元!$A$6:$A$511,$M104))</f>
        <v/>
      </c>
      <c r="E104" s="10" t="str">
        <f aca="false">IF(IF($M104="",0,INDEX(伝票元!$N$6:$N$511,$M104))=1,INDEX(伝票元!$I$6:$I$511,$M104),"")</f>
        <v/>
      </c>
      <c r="F104" s="45" t="str">
        <f aca="false">IF(IF($M104="",0,INDEX(伝票元!$N$6:$N$511,$M104))=1,INDEX(伝票元!$J$6:$J$511,$M104),"")</f>
        <v/>
      </c>
      <c r="G104" s="42" t="str">
        <f aca="false">IF(IF($M104="",0,INDEX(伝票元!$N$6:$N$511,$M104))=1,INDEX(伝票元!$Q$6:$Q$511,$M104),"")</f>
        <v/>
      </c>
      <c r="H104" s="45" t="str">
        <f aca="false">IF($M104="","",INDEX(伝票元!$F$6:$F$511,$M104))</f>
        <v/>
      </c>
      <c r="I104" s="45" t="str">
        <f aca="false">IF($M104="","",INDEX(伝票元!$G$6:$G$511,$M104))</f>
        <v/>
      </c>
      <c r="J104" s="42" t="str">
        <f aca="false">IF($M104="","",INDEX(伝票元!$H$6:$H$511,$M104))</f>
        <v/>
      </c>
      <c r="K104" s="46" t="str">
        <f aca="false">IF(IF($M104="",0,INDEX(伝票元!$N$6:$N$511,$M104))=1,INDEX(伝票元!$R$6:$R$511,$M104),"")</f>
        <v/>
      </c>
      <c r="L104" s="47" t="str">
        <f aca="false">IF($M104="","",INDEX(伝票元!$S$6:$S$511,$M104))</f>
        <v/>
      </c>
      <c r="M104" s="47" t="str">
        <f aca="false">IFERROR(MATCH(98,伝票元!$O$6:$O$511,0),"")</f>
        <v/>
      </c>
    </row>
    <row r="105" customFormat="false" ht="15" hidden="false" customHeight="false" outlineLevel="0" collapsed="false">
      <c r="A105" s="10" t="str">
        <f aca="false">IF($M105="","",INDEX(伝票元!$P$6:$P$511,$M105))</f>
        <v/>
      </c>
      <c r="B105" s="45" t="str">
        <f aca="false">IF($M105="","",INDEX(伝票元!$D$6:$D$511,$M105))</f>
        <v/>
      </c>
      <c r="C105" s="10" t="str">
        <f aca="false">IF($M105="","",INDEX(伝票元!$E$6:$E$511,$M105))</f>
        <v/>
      </c>
      <c r="D105" s="45" t="str">
        <f aca="false">IF($M105="","",INDEX(伝票元!$A$6:$A$511,$M105))</f>
        <v/>
      </c>
      <c r="E105" s="10" t="str">
        <f aca="false">IF(IF($M105="",0,INDEX(伝票元!$N$6:$N$511,$M105))=1,INDEX(伝票元!$I$6:$I$511,$M105),"")</f>
        <v/>
      </c>
      <c r="F105" s="45" t="str">
        <f aca="false">IF(IF($M105="",0,INDEX(伝票元!$N$6:$N$511,$M105))=1,INDEX(伝票元!$J$6:$J$511,$M105),"")</f>
        <v/>
      </c>
      <c r="G105" s="42" t="str">
        <f aca="false">IF(IF($M105="",0,INDEX(伝票元!$N$6:$N$511,$M105))=1,INDEX(伝票元!$Q$6:$Q$511,$M105),"")</f>
        <v/>
      </c>
      <c r="H105" s="45" t="str">
        <f aca="false">IF($M105="","",INDEX(伝票元!$F$6:$F$511,$M105))</f>
        <v/>
      </c>
      <c r="I105" s="45" t="str">
        <f aca="false">IF($M105="","",INDEX(伝票元!$G$6:$G$511,$M105))</f>
        <v/>
      </c>
      <c r="J105" s="42" t="str">
        <f aca="false">IF($M105="","",INDEX(伝票元!$H$6:$H$511,$M105))</f>
        <v/>
      </c>
      <c r="K105" s="46" t="str">
        <f aca="false">IF(IF($M105="",0,INDEX(伝票元!$N$6:$N$511,$M105))=1,INDEX(伝票元!$R$6:$R$511,$M105),"")</f>
        <v/>
      </c>
      <c r="L105" s="47" t="str">
        <f aca="false">IF($M105="","",INDEX(伝票元!$S$6:$S$511,$M105))</f>
        <v/>
      </c>
      <c r="M105" s="47" t="str">
        <f aca="false">IFERROR(MATCH(99,伝票元!$O$6:$O$511,0),"")</f>
        <v/>
      </c>
    </row>
    <row r="106" customFormat="false" ht="15" hidden="false" customHeight="false" outlineLevel="0" collapsed="false">
      <c r="A106" s="10" t="str">
        <f aca="false">IF($M106="","",INDEX(伝票元!$P$6:$P$511,$M106))</f>
        <v/>
      </c>
      <c r="B106" s="45" t="str">
        <f aca="false">IF($M106="","",INDEX(伝票元!$D$6:$D$511,$M106))</f>
        <v/>
      </c>
      <c r="C106" s="10" t="str">
        <f aca="false">IF($M106="","",INDEX(伝票元!$E$6:$E$511,$M106))</f>
        <v/>
      </c>
      <c r="D106" s="45" t="str">
        <f aca="false">IF($M106="","",INDEX(伝票元!$A$6:$A$511,$M106))</f>
        <v/>
      </c>
      <c r="E106" s="10" t="str">
        <f aca="false">IF(IF($M106="",0,INDEX(伝票元!$N$6:$N$511,$M106))=1,INDEX(伝票元!$I$6:$I$511,$M106),"")</f>
        <v/>
      </c>
      <c r="F106" s="45" t="str">
        <f aca="false">IF(IF($M106="",0,INDEX(伝票元!$N$6:$N$511,$M106))=1,INDEX(伝票元!$J$6:$J$511,$M106),"")</f>
        <v/>
      </c>
      <c r="G106" s="42" t="str">
        <f aca="false">IF(IF($M106="",0,INDEX(伝票元!$N$6:$N$511,$M106))=1,INDEX(伝票元!$Q$6:$Q$511,$M106),"")</f>
        <v/>
      </c>
      <c r="H106" s="45" t="str">
        <f aca="false">IF($M106="","",INDEX(伝票元!$F$6:$F$511,$M106))</f>
        <v/>
      </c>
      <c r="I106" s="45" t="str">
        <f aca="false">IF($M106="","",INDEX(伝票元!$G$6:$G$511,$M106))</f>
        <v/>
      </c>
      <c r="J106" s="42" t="str">
        <f aca="false">IF($M106="","",INDEX(伝票元!$H$6:$H$511,$M106))</f>
        <v/>
      </c>
      <c r="K106" s="46" t="str">
        <f aca="false">IF(IF($M106="",0,INDEX(伝票元!$N$6:$N$511,$M106))=1,INDEX(伝票元!$R$6:$R$511,$M106),"")</f>
        <v/>
      </c>
      <c r="L106" s="47" t="str">
        <f aca="false">IF($M106="","",INDEX(伝票元!$S$6:$S$511,$M106))</f>
        <v/>
      </c>
      <c r="M106" s="47" t="str">
        <f aca="false">IFERROR(MATCH(100,伝票元!$O$6:$O$511,0),"")</f>
        <v/>
      </c>
    </row>
    <row r="107" customFormat="false" ht="15" hidden="false" customHeight="false" outlineLevel="0" collapsed="false">
      <c r="A107" s="10" t="str">
        <f aca="false">IF($M107="","",INDEX(伝票元!$P$6:$P$511,$M107))</f>
        <v/>
      </c>
      <c r="B107" s="45" t="str">
        <f aca="false">IF($M107="","",INDEX(伝票元!$D$6:$D$511,$M107))</f>
        <v/>
      </c>
      <c r="C107" s="10" t="str">
        <f aca="false">IF($M107="","",INDEX(伝票元!$E$6:$E$511,$M107))</f>
        <v/>
      </c>
      <c r="D107" s="45" t="str">
        <f aca="false">IF($M107="","",INDEX(伝票元!$A$6:$A$511,$M107))</f>
        <v/>
      </c>
      <c r="E107" s="10" t="str">
        <f aca="false">IF(IF($M107="",0,INDEX(伝票元!$N$6:$N$511,$M107))=1,INDEX(伝票元!$I$6:$I$511,$M107),"")</f>
        <v/>
      </c>
      <c r="F107" s="45" t="str">
        <f aca="false">IF(IF($M107="",0,INDEX(伝票元!$N$6:$N$511,$M107))=1,INDEX(伝票元!$J$6:$J$511,$M107),"")</f>
        <v/>
      </c>
      <c r="G107" s="42" t="str">
        <f aca="false">IF(IF($M107="",0,INDEX(伝票元!$N$6:$N$511,$M107))=1,INDEX(伝票元!$Q$6:$Q$511,$M107),"")</f>
        <v/>
      </c>
      <c r="H107" s="45" t="str">
        <f aca="false">IF($M107="","",INDEX(伝票元!$F$6:$F$511,$M107))</f>
        <v/>
      </c>
      <c r="I107" s="45" t="str">
        <f aca="false">IF($M107="","",INDEX(伝票元!$G$6:$G$511,$M107))</f>
        <v/>
      </c>
      <c r="J107" s="42" t="str">
        <f aca="false">IF($M107="","",INDEX(伝票元!$H$6:$H$511,$M107))</f>
        <v/>
      </c>
      <c r="K107" s="46" t="str">
        <f aca="false">IF(IF($M107="",0,INDEX(伝票元!$N$6:$N$511,$M107))=1,INDEX(伝票元!$R$6:$R$511,$M107),"")</f>
        <v/>
      </c>
      <c r="L107" s="47" t="str">
        <f aca="false">IF($M107="","",INDEX(伝票元!$S$6:$S$511,$M107))</f>
        <v/>
      </c>
      <c r="M107" s="47" t="str">
        <f aca="false">IFERROR(MATCH(101,伝票元!$O$6:$O$511,0),"")</f>
        <v/>
      </c>
    </row>
    <row r="108" customFormat="false" ht="15" hidden="false" customHeight="false" outlineLevel="0" collapsed="false">
      <c r="A108" s="10" t="str">
        <f aca="false">IF($M108="","",INDEX(伝票元!$P$6:$P$511,$M108))</f>
        <v/>
      </c>
      <c r="B108" s="45" t="str">
        <f aca="false">IF($M108="","",INDEX(伝票元!$D$6:$D$511,$M108))</f>
        <v/>
      </c>
      <c r="C108" s="10" t="str">
        <f aca="false">IF($M108="","",INDEX(伝票元!$E$6:$E$511,$M108))</f>
        <v/>
      </c>
      <c r="D108" s="45" t="str">
        <f aca="false">IF($M108="","",INDEX(伝票元!$A$6:$A$511,$M108))</f>
        <v/>
      </c>
      <c r="E108" s="10" t="str">
        <f aca="false">IF(IF($M108="",0,INDEX(伝票元!$N$6:$N$511,$M108))=1,INDEX(伝票元!$I$6:$I$511,$M108),"")</f>
        <v/>
      </c>
      <c r="F108" s="45" t="str">
        <f aca="false">IF(IF($M108="",0,INDEX(伝票元!$N$6:$N$511,$M108))=1,INDEX(伝票元!$J$6:$J$511,$M108),"")</f>
        <v/>
      </c>
      <c r="G108" s="42" t="str">
        <f aca="false">IF(IF($M108="",0,INDEX(伝票元!$N$6:$N$511,$M108))=1,INDEX(伝票元!$Q$6:$Q$511,$M108),"")</f>
        <v/>
      </c>
      <c r="H108" s="45" t="str">
        <f aca="false">IF($M108="","",INDEX(伝票元!$F$6:$F$511,$M108))</f>
        <v/>
      </c>
      <c r="I108" s="45" t="str">
        <f aca="false">IF($M108="","",INDEX(伝票元!$G$6:$G$511,$M108))</f>
        <v/>
      </c>
      <c r="J108" s="42" t="str">
        <f aca="false">IF($M108="","",INDEX(伝票元!$H$6:$H$511,$M108))</f>
        <v/>
      </c>
      <c r="K108" s="46" t="str">
        <f aca="false">IF(IF($M108="",0,INDEX(伝票元!$N$6:$N$511,$M108))=1,INDEX(伝票元!$R$6:$R$511,$M108),"")</f>
        <v/>
      </c>
      <c r="L108" s="47" t="str">
        <f aca="false">IF($M108="","",INDEX(伝票元!$S$6:$S$511,$M108))</f>
        <v/>
      </c>
      <c r="M108" s="47" t="str">
        <f aca="false">IFERROR(MATCH(102,伝票元!$O$6:$O$511,0),"")</f>
        <v/>
      </c>
    </row>
    <row r="109" customFormat="false" ht="15" hidden="false" customHeight="false" outlineLevel="0" collapsed="false">
      <c r="A109" s="10" t="str">
        <f aca="false">IF($M109="","",INDEX(伝票元!$P$6:$P$511,$M109))</f>
        <v/>
      </c>
      <c r="B109" s="45" t="str">
        <f aca="false">IF($M109="","",INDEX(伝票元!$D$6:$D$511,$M109))</f>
        <v/>
      </c>
      <c r="C109" s="10" t="str">
        <f aca="false">IF($M109="","",INDEX(伝票元!$E$6:$E$511,$M109))</f>
        <v/>
      </c>
      <c r="D109" s="45" t="str">
        <f aca="false">IF($M109="","",INDEX(伝票元!$A$6:$A$511,$M109))</f>
        <v/>
      </c>
      <c r="E109" s="10" t="str">
        <f aca="false">IF(IF($M109="",0,INDEX(伝票元!$N$6:$N$511,$M109))=1,INDEX(伝票元!$I$6:$I$511,$M109),"")</f>
        <v/>
      </c>
      <c r="F109" s="45" t="str">
        <f aca="false">IF(IF($M109="",0,INDEX(伝票元!$N$6:$N$511,$M109))=1,INDEX(伝票元!$J$6:$J$511,$M109),"")</f>
        <v/>
      </c>
      <c r="G109" s="42" t="str">
        <f aca="false">IF(IF($M109="",0,INDEX(伝票元!$N$6:$N$511,$M109))=1,INDEX(伝票元!$Q$6:$Q$511,$M109),"")</f>
        <v/>
      </c>
      <c r="H109" s="45" t="str">
        <f aca="false">IF($M109="","",INDEX(伝票元!$F$6:$F$511,$M109))</f>
        <v/>
      </c>
      <c r="I109" s="45" t="str">
        <f aca="false">IF($M109="","",INDEX(伝票元!$G$6:$G$511,$M109))</f>
        <v/>
      </c>
      <c r="J109" s="42" t="str">
        <f aca="false">IF($M109="","",INDEX(伝票元!$H$6:$H$511,$M109))</f>
        <v/>
      </c>
      <c r="K109" s="46" t="str">
        <f aca="false">IF(IF($M109="",0,INDEX(伝票元!$N$6:$N$511,$M109))=1,INDEX(伝票元!$R$6:$R$511,$M109),"")</f>
        <v/>
      </c>
      <c r="L109" s="47" t="str">
        <f aca="false">IF($M109="","",INDEX(伝票元!$S$6:$S$511,$M109))</f>
        <v/>
      </c>
      <c r="M109" s="47" t="str">
        <f aca="false">IFERROR(MATCH(103,伝票元!$O$6:$O$511,0),"")</f>
        <v/>
      </c>
    </row>
    <row r="110" customFormat="false" ht="15" hidden="false" customHeight="false" outlineLevel="0" collapsed="false">
      <c r="A110" s="10" t="str">
        <f aca="false">IF($M110="","",INDEX(伝票元!$P$6:$P$511,$M110))</f>
        <v/>
      </c>
      <c r="B110" s="45" t="str">
        <f aca="false">IF($M110="","",INDEX(伝票元!$D$6:$D$511,$M110))</f>
        <v/>
      </c>
      <c r="C110" s="10" t="str">
        <f aca="false">IF($M110="","",INDEX(伝票元!$E$6:$E$511,$M110))</f>
        <v/>
      </c>
      <c r="D110" s="45" t="str">
        <f aca="false">IF($M110="","",INDEX(伝票元!$A$6:$A$511,$M110))</f>
        <v/>
      </c>
      <c r="E110" s="10" t="str">
        <f aca="false">IF(IF($M110="",0,INDEX(伝票元!$N$6:$N$511,$M110))=1,INDEX(伝票元!$I$6:$I$511,$M110),"")</f>
        <v/>
      </c>
      <c r="F110" s="45" t="str">
        <f aca="false">IF(IF($M110="",0,INDEX(伝票元!$N$6:$N$511,$M110))=1,INDEX(伝票元!$J$6:$J$511,$M110),"")</f>
        <v/>
      </c>
      <c r="G110" s="42" t="str">
        <f aca="false">IF(IF($M110="",0,INDEX(伝票元!$N$6:$N$511,$M110))=1,INDEX(伝票元!$Q$6:$Q$511,$M110),"")</f>
        <v/>
      </c>
      <c r="H110" s="45" t="str">
        <f aca="false">IF($M110="","",INDEX(伝票元!$F$6:$F$511,$M110))</f>
        <v/>
      </c>
      <c r="I110" s="45" t="str">
        <f aca="false">IF($M110="","",INDEX(伝票元!$G$6:$G$511,$M110))</f>
        <v/>
      </c>
      <c r="J110" s="42" t="str">
        <f aca="false">IF($M110="","",INDEX(伝票元!$H$6:$H$511,$M110))</f>
        <v/>
      </c>
      <c r="K110" s="46" t="str">
        <f aca="false">IF(IF($M110="",0,INDEX(伝票元!$N$6:$N$511,$M110))=1,INDEX(伝票元!$R$6:$R$511,$M110),"")</f>
        <v/>
      </c>
      <c r="L110" s="47" t="str">
        <f aca="false">IF($M110="","",INDEX(伝票元!$S$6:$S$511,$M110))</f>
        <v/>
      </c>
      <c r="M110" s="47" t="str">
        <f aca="false">IFERROR(MATCH(104,伝票元!$O$6:$O$511,0),"")</f>
        <v/>
      </c>
    </row>
    <row r="111" customFormat="false" ht="15" hidden="false" customHeight="false" outlineLevel="0" collapsed="false">
      <c r="A111" s="10" t="str">
        <f aca="false">IF($M111="","",INDEX(伝票元!$P$6:$P$511,$M111))</f>
        <v/>
      </c>
      <c r="B111" s="45" t="str">
        <f aca="false">IF($M111="","",INDEX(伝票元!$D$6:$D$511,$M111))</f>
        <v/>
      </c>
      <c r="C111" s="10" t="str">
        <f aca="false">IF($M111="","",INDEX(伝票元!$E$6:$E$511,$M111))</f>
        <v/>
      </c>
      <c r="D111" s="45" t="str">
        <f aca="false">IF($M111="","",INDEX(伝票元!$A$6:$A$511,$M111))</f>
        <v/>
      </c>
      <c r="E111" s="10" t="str">
        <f aca="false">IF(IF($M111="",0,INDEX(伝票元!$N$6:$N$511,$M111))=1,INDEX(伝票元!$I$6:$I$511,$M111),"")</f>
        <v/>
      </c>
      <c r="F111" s="45" t="str">
        <f aca="false">IF(IF($M111="",0,INDEX(伝票元!$N$6:$N$511,$M111))=1,INDEX(伝票元!$J$6:$J$511,$M111),"")</f>
        <v/>
      </c>
      <c r="G111" s="42" t="str">
        <f aca="false">IF(IF($M111="",0,INDEX(伝票元!$N$6:$N$511,$M111))=1,INDEX(伝票元!$Q$6:$Q$511,$M111),"")</f>
        <v/>
      </c>
      <c r="H111" s="45" t="str">
        <f aca="false">IF($M111="","",INDEX(伝票元!$F$6:$F$511,$M111))</f>
        <v/>
      </c>
      <c r="I111" s="45" t="str">
        <f aca="false">IF($M111="","",INDEX(伝票元!$G$6:$G$511,$M111))</f>
        <v/>
      </c>
      <c r="J111" s="42" t="str">
        <f aca="false">IF($M111="","",INDEX(伝票元!$H$6:$H$511,$M111))</f>
        <v/>
      </c>
      <c r="K111" s="46" t="str">
        <f aca="false">IF(IF($M111="",0,INDEX(伝票元!$N$6:$N$511,$M111))=1,INDEX(伝票元!$R$6:$R$511,$M111),"")</f>
        <v/>
      </c>
      <c r="L111" s="47" t="str">
        <f aca="false">IF($M111="","",INDEX(伝票元!$S$6:$S$511,$M111))</f>
        <v/>
      </c>
      <c r="M111" s="47" t="str">
        <f aca="false">IFERROR(MATCH(105,伝票元!$O$6:$O$511,0),"")</f>
        <v/>
      </c>
    </row>
    <row r="112" customFormat="false" ht="15" hidden="false" customHeight="false" outlineLevel="0" collapsed="false">
      <c r="A112" s="10" t="str">
        <f aca="false">IF($M112="","",INDEX(伝票元!$P$6:$P$511,$M112))</f>
        <v/>
      </c>
      <c r="B112" s="45" t="str">
        <f aca="false">IF($M112="","",INDEX(伝票元!$D$6:$D$511,$M112))</f>
        <v/>
      </c>
      <c r="C112" s="10" t="str">
        <f aca="false">IF($M112="","",INDEX(伝票元!$E$6:$E$511,$M112))</f>
        <v/>
      </c>
      <c r="D112" s="45" t="str">
        <f aca="false">IF($M112="","",INDEX(伝票元!$A$6:$A$511,$M112))</f>
        <v/>
      </c>
      <c r="E112" s="10" t="str">
        <f aca="false">IF(IF($M112="",0,INDEX(伝票元!$N$6:$N$511,$M112))=1,INDEX(伝票元!$I$6:$I$511,$M112),"")</f>
        <v/>
      </c>
      <c r="F112" s="45" t="str">
        <f aca="false">IF(IF($M112="",0,INDEX(伝票元!$N$6:$N$511,$M112))=1,INDEX(伝票元!$J$6:$J$511,$M112),"")</f>
        <v/>
      </c>
      <c r="G112" s="42" t="str">
        <f aca="false">IF(IF($M112="",0,INDEX(伝票元!$N$6:$N$511,$M112))=1,INDEX(伝票元!$Q$6:$Q$511,$M112),"")</f>
        <v/>
      </c>
      <c r="H112" s="45" t="str">
        <f aca="false">IF($M112="","",INDEX(伝票元!$F$6:$F$511,$M112))</f>
        <v/>
      </c>
      <c r="I112" s="45" t="str">
        <f aca="false">IF($M112="","",INDEX(伝票元!$G$6:$G$511,$M112))</f>
        <v/>
      </c>
      <c r="J112" s="42" t="str">
        <f aca="false">IF($M112="","",INDEX(伝票元!$H$6:$H$511,$M112))</f>
        <v/>
      </c>
      <c r="K112" s="46" t="str">
        <f aca="false">IF(IF($M112="",0,INDEX(伝票元!$N$6:$N$511,$M112))=1,INDEX(伝票元!$R$6:$R$511,$M112),"")</f>
        <v/>
      </c>
      <c r="L112" s="47" t="str">
        <f aca="false">IF($M112="","",INDEX(伝票元!$S$6:$S$511,$M112))</f>
        <v/>
      </c>
      <c r="M112" s="47" t="str">
        <f aca="false">IFERROR(MATCH(106,伝票元!$O$6:$O$511,0),"")</f>
        <v/>
      </c>
    </row>
    <row r="113" customFormat="false" ht="15" hidden="false" customHeight="false" outlineLevel="0" collapsed="false">
      <c r="A113" s="10" t="str">
        <f aca="false">IF($M113="","",INDEX(伝票元!$P$6:$P$511,$M113))</f>
        <v/>
      </c>
      <c r="B113" s="45" t="str">
        <f aca="false">IF($M113="","",INDEX(伝票元!$D$6:$D$511,$M113))</f>
        <v/>
      </c>
      <c r="C113" s="10" t="str">
        <f aca="false">IF($M113="","",INDEX(伝票元!$E$6:$E$511,$M113))</f>
        <v/>
      </c>
      <c r="D113" s="45" t="str">
        <f aca="false">IF($M113="","",INDEX(伝票元!$A$6:$A$511,$M113))</f>
        <v/>
      </c>
      <c r="E113" s="10" t="str">
        <f aca="false">IF(IF($M113="",0,INDEX(伝票元!$N$6:$N$511,$M113))=1,INDEX(伝票元!$I$6:$I$511,$M113),"")</f>
        <v/>
      </c>
      <c r="F113" s="45" t="str">
        <f aca="false">IF(IF($M113="",0,INDEX(伝票元!$N$6:$N$511,$M113))=1,INDEX(伝票元!$J$6:$J$511,$M113),"")</f>
        <v/>
      </c>
      <c r="G113" s="42" t="str">
        <f aca="false">IF(IF($M113="",0,INDEX(伝票元!$N$6:$N$511,$M113))=1,INDEX(伝票元!$Q$6:$Q$511,$M113),"")</f>
        <v/>
      </c>
      <c r="H113" s="45" t="str">
        <f aca="false">IF($M113="","",INDEX(伝票元!$F$6:$F$511,$M113))</f>
        <v/>
      </c>
      <c r="I113" s="45" t="str">
        <f aca="false">IF($M113="","",INDEX(伝票元!$G$6:$G$511,$M113))</f>
        <v/>
      </c>
      <c r="J113" s="42" t="str">
        <f aca="false">IF($M113="","",INDEX(伝票元!$H$6:$H$511,$M113))</f>
        <v/>
      </c>
      <c r="K113" s="46" t="str">
        <f aca="false">IF(IF($M113="",0,INDEX(伝票元!$N$6:$N$511,$M113))=1,INDEX(伝票元!$R$6:$R$511,$M113),"")</f>
        <v/>
      </c>
      <c r="L113" s="47" t="str">
        <f aca="false">IF($M113="","",INDEX(伝票元!$S$6:$S$511,$M113))</f>
        <v/>
      </c>
      <c r="M113" s="47" t="str">
        <f aca="false">IFERROR(MATCH(107,伝票元!$O$6:$O$511,0),"")</f>
        <v/>
      </c>
    </row>
    <row r="114" customFormat="false" ht="15" hidden="false" customHeight="false" outlineLevel="0" collapsed="false">
      <c r="A114" s="10" t="str">
        <f aca="false">IF($M114="","",INDEX(伝票元!$P$6:$P$511,$M114))</f>
        <v/>
      </c>
      <c r="B114" s="45" t="str">
        <f aca="false">IF($M114="","",INDEX(伝票元!$D$6:$D$511,$M114))</f>
        <v/>
      </c>
      <c r="C114" s="10" t="str">
        <f aca="false">IF($M114="","",INDEX(伝票元!$E$6:$E$511,$M114))</f>
        <v/>
      </c>
      <c r="D114" s="45" t="str">
        <f aca="false">IF($M114="","",INDEX(伝票元!$A$6:$A$511,$M114))</f>
        <v/>
      </c>
      <c r="E114" s="10" t="str">
        <f aca="false">IF(IF($M114="",0,INDEX(伝票元!$N$6:$N$511,$M114))=1,INDEX(伝票元!$I$6:$I$511,$M114),"")</f>
        <v/>
      </c>
      <c r="F114" s="45" t="str">
        <f aca="false">IF(IF($M114="",0,INDEX(伝票元!$N$6:$N$511,$M114))=1,INDEX(伝票元!$J$6:$J$511,$M114),"")</f>
        <v/>
      </c>
      <c r="G114" s="42" t="str">
        <f aca="false">IF(IF($M114="",0,INDEX(伝票元!$N$6:$N$511,$M114))=1,INDEX(伝票元!$Q$6:$Q$511,$M114),"")</f>
        <v/>
      </c>
      <c r="H114" s="45" t="str">
        <f aca="false">IF($M114="","",INDEX(伝票元!$F$6:$F$511,$M114))</f>
        <v/>
      </c>
      <c r="I114" s="45" t="str">
        <f aca="false">IF($M114="","",INDEX(伝票元!$G$6:$G$511,$M114))</f>
        <v/>
      </c>
      <c r="J114" s="42" t="str">
        <f aca="false">IF($M114="","",INDEX(伝票元!$H$6:$H$511,$M114))</f>
        <v/>
      </c>
      <c r="K114" s="46" t="str">
        <f aca="false">IF(IF($M114="",0,INDEX(伝票元!$N$6:$N$511,$M114))=1,INDEX(伝票元!$R$6:$R$511,$M114),"")</f>
        <v/>
      </c>
      <c r="L114" s="47" t="str">
        <f aca="false">IF($M114="","",INDEX(伝票元!$S$6:$S$511,$M114))</f>
        <v/>
      </c>
      <c r="M114" s="47" t="str">
        <f aca="false">IFERROR(MATCH(108,伝票元!$O$6:$O$511,0),"")</f>
        <v/>
      </c>
    </row>
    <row r="115" customFormat="false" ht="15" hidden="false" customHeight="false" outlineLevel="0" collapsed="false">
      <c r="A115" s="10" t="str">
        <f aca="false">IF($M115="","",INDEX(伝票元!$P$6:$P$511,$M115))</f>
        <v/>
      </c>
      <c r="B115" s="45" t="str">
        <f aca="false">IF($M115="","",INDEX(伝票元!$D$6:$D$511,$M115))</f>
        <v/>
      </c>
      <c r="C115" s="10" t="str">
        <f aca="false">IF($M115="","",INDEX(伝票元!$E$6:$E$511,$M115))</f>
        <v/>
      </c>
      <c r="D115" s="45" t="str">
        <f aca="false">IF($M115="","",INDEX(伝票元!$A$6:$A$511,$M115))</f>
        <v/>
      </c>
      <c r="E115" s="10" t="str">
        <f aca="false">IF(IF($M115="",0,INDEX(伝票元!$N$6:$N$511,$M115))=1,INDEX(伝票元!$I$6:$I$511,$M115),"")</f>
        <v/>
      </c>
      <c r="F115" s="45" t="str">
        <f aca="false">IF(IF($M115="",0,INDEX(伝票元!$N$6:$N$511,$M115))=1,INDEX(伝票元!$J$6:$J$511,$M115),"")</f>
        <v/>
      </c>
      <c r="G115" s="42" t="str">
        <f aca="false">IF(IF($M115="",0,INDEX(伝票元!$N$6:$N$511,$M115))=1,INDEX(伝票元!$Q$6:$Q$511,$M115),"")</f>
        <v/>
      </c>
      <c r="H115" s="45" t="str">
        <f aca="false">IF($M115="","",INDEX(伝票元!$F$6:$F$511,$M115))</f>
        <v/>
      </c>
      <c r="I115" s="45" t="str">
        <f aca="false">IF($M115="","",INDEX(伝票元!$G$6:$G$511,$M115))</f>
        <v/>
      </c>
      <c r="J115" s="42" t="str">
        <f aca="false">IF($M115="","",INDEX(伝票元!$H$6:$H$511,$M115))</f>
        <v/>
      </c>
      <c r="K115" s="46" t="str">
        <f aca="false">IF(IF($M115="",0,INDEX(伝票元!$N$6:$N$511,$M115))=1,INDEX(伝票元!$R$6:$R$511,$M115),"")</f>
        <v/>
      </c>
      <c r="L115" s="47" t="str">
        <f aca="false">IF($M115="","",INDEX(伝票元!$S$6:$S$511,$M115))</f>
        <v/>
      </c>
      <c r="M115" s="47" t="str">
        <f aca="false">IFERROR(MATCH(109,伝票元!$O$6:$O$511,0),"")</f>
        <v/>
      </c>
    </row>
    <row r="116" customFormat="false" ht="15" hidden="false" customHeight="false" outlineLevel="0" collapsed="false">
      <c r="A116" s="10" t="str">
        <f aca="false">IF($M116="","",INDEX(伝票元!$P$6:$P$511,$M116))</f>
        <v/>
      </c>
      <c r="B116" s="45" t="str">
        <f aca="false">IF($M116="","",INDEX(伝票元!$D$6:$D$511,$M116))</f>
        <v/>
      </c>
      <c r="C116" s="10" t="str">
        <f aca="false">IF($M116="","",INDEX(伝票元!$E$6:$E$511,$M116))</f>
        <v/>
      </c>
      <c r="D116" s="45" t="str">
        <f aca="false">IF($M116="","",INDEX(伝票元!$A$6:$A$511,$M116))</f>
        <v/>
      </c>
      <c r="E116" s="10" t="str">
        <f aca="false">IF(IF($M116="",0,INDEX(伝票元!$N$6:$N$511,$M116))=1,INDEX(伝票元!$I$6:$I$511,$M116),"")</f>
        <v/>
      </c>
      <c r="F116" s="45" t="str">
        <f aca="false">IF(IF($M116="",0,INDEX(伝票元!$N$6:$N$511,$M116))=1,INDEX(伝票元!$J$6:$J$511,$M116),"")</f>
        <v/>
      </c>
      <c r="G116" s="42" t="str">
        <f aca="false">IF(IF($M116="",0,INDEX(伝票元!$N$6:$N$511,$M116))=1,INDEX(伝票元!$Q$6:$Q$511,$M116),"")</f>
        <v/>
      </c>
      <c r="H116" s="45" t="str">
        <f aca="false">IF($M116="","",INDEX(伝票元!$F$6:$F$511,$M116))</f>
        <v/>
      </c>
      <c r="I116" s="45" t="str">
        <f aca="false">IF($M116="","",INDEX(伝票元!$G$6:$G$511,$M116))</f>
        <v/>
      </c>
      <c r="J116" s="42" t="str">
        <f aca="false">IF($M116="","",INDEX(伝票元!$H$6:$H$511,$M116))</f>
        <v/>
      </c>
      <c r="K116" s="46" t="str">
        <f aca="false">IF(IF($M116="",0,INDEX(伝票元!$N$6:$N$511,$M116))=1,INDEX(伝票元!$R$6:$R$511,$M116),"")</f>
        <v/>
      </c>
      <c r="L116" s="47" t="str">
        <f aca="false">IF($M116="","",INDEX(伝票元!$S$6:$S$511,$M116))</f>
        <v/>
      </c>
      <c r="M116" s="47" t="str">
        <f aca="false">IFERROR(MATCH(110,伝票元!$O$6:$O$511,0),"")</f>
        <v/>
      </c>
    </row>
    <row r="117" customFormat="false" ht="15" hidden="false" customHeight="false" outlineLevel="0" collapsed="false">
      <c r="A117" s="10" t="str">
        <f aca="false">IF($M117="","",INDEX(伝票元!$P$6:$P$511,$M117))</f>
        <v/>
      </c>
      <c r="B117" s="45" t="str">
        <f aca="false">IF($M117="","",INDEX(伝票元!$D$6:$D$511,$M117))</f>
        <v/>
      </c>
      <c r="C117" s="10" t="str">
        <f aca="false">IF($M117="","",INDEX(伝票元!$E$6:$E$511,$M117))</f>
        <v/>
      </c>
      <c r="D117" s="45" t="str">
        <f aca="false">IF($M117="","",INDEX(伝票元!$A$6:$A$511,$M117))</f>
        <v/>
      </c>
      <c r="E117" s="10" t="str">
        <f aca="false">IF(IF($M117="",0,INDEX(伝票元!$N$6:$N$511,$M117))=1,INDEX(伝票元!$I$6:$I$511,$M117),"")</f>
        <v/>
      </c>
      <c r="F117" s="45" t="str">
        <f aca="false">IF(IF($M117="",0,INDEX(伝票元!$N$6:$N$511,$M117))=1,INDEX(伝票元!$J$6:$J$511,$M117),"")</f>
        <v/>
      </c>
      <c r="G117" s="42" t="str">
        <f aca="false">IF(IF($M117="",0,INDEX(伝票元!$N$6:$N$511,$M117))=1,INDEX(伝票元!$Q$6:$Q$511,$M117),"")</f>
        <v/>
      </c>
      <c r="H117" s="45" t="str">
        <f aca="false">IF($M117="","",INDEX(伝票元!$F$6:$F$511,$M117))</f>
        <v/>
      </c>
      <c r="I117" s="45" t="str">
        <f aca="false">IF($M117="","",INDEX(伝票元!$G$6:$G$511,$M117))</f>
        <v/>
      </c>
      <c r="J117" s="42" t="str">
        <f aca="false">IF($M117="","",INDEX(伝票元!$H$6:$H$511,$M117))</f>
        <v/>
      </c>
      <c r="K117" s="46" t="str">
        <f aca="false">IF(IF($M117="",0,INDEX(伝票元!$N$6:$N$511,$M117))=1,INDEX(伝票元!$R$6:$R$511,$M117),"")</f>
        <v/>
      </c>
      <c r="L117" s="47" t="str">
        <f aca="false">IF($M117="","",INDEX(伝票元!$S$6:$S$511,$M117))</f>
        <v/>
      </c>
      <c r="M117" s="47" t="str">
        <f aca="false">IFERROR(MATCH(111,伝票元!$O$6:$O$511,0),"")</f>
        <v/>
      </c>
    </row>
    <row r="118" customFormat="false" ht="15" hidden="false" customHeight="false" outlineLevel="0" collapsed="false">
      <c r="A118" s="10" t="str">
        <f aca="false">IF($M118="","",INDEX(伝票元!$P$6:$P$511,$M118))</f>
        <v/>
      </c>
      <c r="B118" s="45" t="str">
        <f aca="false">IF($M118="","",INDEX(伝票元!$D$6:$D$511,$M118))</f>
        <v/>
      </c>
      <c r="C118" s="10" t="str">
        <f aca="false">IF($M118="","",INDEX(伝票元!$E$6:$E$511,$M118))</f>
        <v/>
      </c>
      <c r="D118" s="45" t="str">
        <f aca="false">IF($M118="","",INDEX(伝票元!$A$6:$A$511,$M118))</f>
        <v/>
      </c>
      <c r="E118" s="10" t="str">
        <f aca="false">IF(IF($M118="",0,INDEX(伝票元!$N$6:$N$511,$M118))=1,INDEX(伝票元!$I$6:$I$511,$M118),"")</f>
        <v/>
      </c>
      <c r="F118" s="45" t="str">
        <f aca="false">IF(IF($M118="",0,INDEX(伝票元!$N$6:$N$511,$M118))=1,INDEX(伝票元!$J$6:$J$511,$M118),"")</f>
        <v/>
      </c>
      <c r="G118" s="42" t="str">
        <f aca="false">IF(IF($M118="",0,INDEX(伝票元!$N$6:$N$511,$M118))=1,INDEX(伝票元!$Q$6:$Q$511,$M118),"")</f>
        <v/>
      </c>
      <c r="H118" s="45" t="str">
        <f aca="false">IF($M118="","",INDEX(伝票元!$F$6:$F$511,$M118))</f>
        <v/>
      </c>
      <c r="I118" s="45" t="str">
        <f aca="false">IF($M118="","",INDEX(伝票元!$G$6:$G$511,$M118))</f>
        <v/>
      </c>
      <c r="J118" s="42" t="str">
        <f aca="false">IF($M118="","",INDEX(伝票元!$H$6:$H$511,$M118))</f>
        <v/>
      </c>
      <c r="K118" s="46" t="str">
        <f aca="false">IF(IF($M118="",0,INDEX(伝票元!$N$6:$N$511,$M118))=1,INDEX(伝票元!$R$6:$R$511,$M118),"")</f>
        <v/>
      </c>
      <c r="L118" s="47" t="str">
        <f aca="false">IF($M118="","",INDEX(伝票元!$S$6:$S$511,$M118))</f>
        <v/>
      </c>
      <c r="M118" s="47" t="str">
        <f aca="false">IFERROR(MATCH(112,伝票元!$O$6:$O$511,0),"")</f>
        <v/>
      </c>
    </row>
    <row r="119" customFormat="false" ht="15" hidden="false" customHeight="false" outlineLevel="0" collapsed="false">
      <c r="A119" s="10" t="str">
        <f aca="false">IF($M119="","",INDEX(伝票元!$P$6:$P$511,$M119))</f>
        <v/>
      </c>
      <c r="B119" s="45" t="str">
        <f aca="false">IF($M119="","",INDEX(伝票元!$D$6:$D$511,$M119))</f>
        <v/>
      </c>
      <c r="C119" s="10" t="str">
        <f aca="false">IF($M119="","",INDEX(伝票元!$E$6:$E$511,$M119))</f>
        <v/>
      </c>
      <c r="D119" s="45" t="str">
        <f aca="false">IF($M119="","",INDEX(伝票元!$A$6:$A$511,$M119))</f>
        <v/>
      </c>
      <c r="E119" s="10" t="str">
        <f aca="false">IF(IF($M119="",0,INDEX(伝票元!$N$6:$N$511,$M119))=1,INDEX(伝票元!$I$6:$I$511,$M119),"")</f>
        <v/>
      </c>
      <c r="F119" s="45" t="str">
        <f aca="false">IF(IF($M119="",0,INDEX(伝票元!$N$6:$N$511,$M119))=1,INDEX(伝票元!$J$6:$J$511,$M119),"")</f>
        <v/>
      </c>
      <c r="G119" s="42" t="str">
        <f aca="false">IF(IF($M119="",0,INDEX(伝票元!$N$6:$N$511,$M119))=1,INDEX(伝票元!$Q$6:$Q$511,$M119),"")</f>
        <v/>
      </c>
      <c r="H119" s="45" t="str">
        <f aca="false">IF($M119="","",INDEX(伝票元!$F$6:$F$511,$M119))</f>
        <v/>
      </c>
      <c r="I119" s="45" t="str">
        <f aca="false">IF($M119="","",INDEX(伝票元!$G$6:$G$511,$M119))</f>
        <v/>
      </c>
      <c r="J119" s="42" t="str">
        <f aca="false">IF($M119="","",INDEX(伝票元!$H$6:$H$511,$M119))</f>
        <v/>
      </c>
      <c r="K119" s="46" t="str">
        <f aca="false">IF(IF($M119="",0,INDEX(伝票元!$N$6:$N$511,$M119))=1,INDEX(伝票元!$R$6:$R$511,$M119),"")</f>
        <v/>
      </c>
      <c r="L119" s="47" t="str">
        <f aca="false">IF($M119="","",INDEX(伝票元!$S$6:$S$511,$M119))</f>
        <v/>
      </c>
      <c r="M119" s="47" t="str">
        <f aca="false">IFERROR(MATCH(113,伝票元!$O$6:$O$511,0),"")</f>
        <v/>
      </c>
    </row>
    <row r="120" customFormat="false" ht="15" hidden="false" customHeight="false" outlineLevel="0" collapsed="false">
      <c r="A120" s="10" t="str">
        <f aca="false">IF($M120="","",INDEX(伝票元!$P$6:$P$511,$M120))</f>
        <v/>
      </c>
      <c r="B120" s="45" t="str">
        <f aca="false">IF($M120="","",INDEX(伝票元!$D$6:$D$511,$M120))</f>
        <v/>
      </c>
      <c r="C120" s="10" t="str">
        <f aca="false">IF($M120="","",INDEX(伝票元!$E$6:$E$511,$M120))</f>
        <v/>
      </c>
      <c r="D120" s="45" t="str">
        <f aca="false">IF($M120="","",INDEX(伝票元!$A$6:$A$511,$M120))</f>
        <v/>
      </c>
      <c r="E120" s="10" t="str">
        <f aca="false">IF(IF($M120="",0,INDEX(伝票元!$N$6:$N$511,$M120))=1,INDEX(伝票元!$I$6:$I$511,$M120),"")</f>
        <v/>
      </c>
      <c r="F120" s="45" t="str">
        <f aca="false">IF(IF($M120="",0,INDEX(伝票元!$N$6:$N$511,$M120))=1,INDEX(伝票元!$J$6:$J$511,$M120),"")</f>
        <v/>
      </c>
      <c r="G120" s="42" t="str">
        <f aca="false">IF(IF($M120="",0,INDEX(伝票元!$N$6:$N$511,$M120))=1,INDEX(伝票元!$Q$6:$Q$511,$M120),"")</f>
        <v/>
      </c>
      <c r="H120" s="45" t="str">
        <f aca="false">IF($M120="","",INDEX(伝票元!$F$6:$F$511,$M120))</f>
        <v/>
      </c>
      <c r="I120" s="45" t="str">
        <f aca="false">IF($M120="","",INDEX(伝票元!$G$6:$G$511,$M120))</f>
        <v/>
      </c>
      <c r="J120" s="42" t="str">
        <f aca="false">IF($M120="","",INDEX(伝票元!$H$6:$H$511,$M120))</f>
        <v/>
      </c>
      <c r="K120" s="46" t="str">
        <f aca="false">IF(IF($M120="",0,INDEX(伝票元!$N$6:$N$511,$M120))=1,INDEX(伝票元!$R$6:$R$511,$M120),"")</f>
        <v/>
      </c>
      <c r="L120" s="47" t="str">
        <f aca="false">IF($M120="","",INDEX(伝票元!$S$6:$S$511,$M120))</f>
        <v/>
      </c>
      <c r="M120" s="47" t="str">
        <f aca="false">IFERROR(MATCH(114,伝票元!$O$6:$O$511,0),"")</f>
        <v/>
      </c>
    </row>
    <row r="121" customFormat="false" ht="15" hidden="false" customHeight="false" outlineLevel="0" collapsed="false">
      <c r="A121" s="10" t="str">
        <f aca="false">IF($M121="","",INDEX(伝票元!$P$6:$P$511,$M121))</f>
        <v/>
      </c>
      <c r="B121" s="45" t="str">
        <f aca="false">IF($M121="","",INDEX(伝票元!$D$6:$D$511,$M121))</f>
        <v/>
      </c>
      <c r="C121" s="10" t="str">
        <f aca="false">IF($M121="","",INDEX(伝票元!$E$6:$E$511,$M121))</f>
        <v/>
      </c>
      <c r="D121" s="45" t="str">
        <f aca="false">IF($M121="","",INDEX(伝票元!$A$6:$A$511,$M121))</f>
        <v/>
      </c>
      <c r="E121" s="10" t="str">
        <f aca="false">IF(IF($M121="",0,INDEX(伝票元!$N$6:$N$511,$M121))=1,INDEX(伝票元!$I$6:$I$511,$M121),"")</f>
        <v/>
      </c>
      <c r="F121" s="45" t="str">
        <f aca="false">IF(IF($M121="",0,INDEX(伝票元!$N$6:$N$511,$M121))=1,INDEX(伝票元!$J$6:$J$511,$M121),"")</f>
        <v/>
      </c>
      <c r="G121" s="42" t="str">
        <f aca="false">IF(IF($M121="",0,INDEX(伝票元!$N$6:$N$511,$M121))=1,INDEX(伝票元!$Q$6:$Q$511,$M121),"")</f>
        <v/>
      </c>
      <c r="H121" s="45" t="str">
        <f aca="false">IF($M121="","",INDEX(伝票元!$F$6:$F$511,$M121))</f>
        <v/>
      </c>
      <c r="I121" s="45" t="str">
        <f aca="false">IF($M121="","",INDEX(伝票元!$G$6:$G$511,$M121))</f>
        <v/>
      </c>
      <c r="J121" s="42" t="str">
        <f aca="false">IF($M121="","",INDEX(伝票元!$H$6:$H$511,$M121))</f>
        <v/>
      </c>
      <c r="K121" s="46" t="str">
        <f aca="false">IF(IF($M121="",0,INDEX(伝票元!$N$6:$N$511,$M121))=1,INDEX(伝票元!$R$6:$R$511,$M121),"")</f>
        <v/>
      </c>
      <c r="L121" s="47" t="str">
        <f aca="false">IF($M121="","",INDEX(伝票元!$S$6:$S$511,$M121))</f>
        <v/>
      </c>
      <c r="M121" s="47" t="str">
        <f aca="false">IFERROR(MATCH(115,伝票元!$O$6:$O$511,0),"")</f>
        <v/>
      </c>
    </row>
    <row r="122" customFormat="false" ht="15" hidden="false" customHeight="false" outlineLevel="0" collapsed="false">
      <c r="A122" s="10" t="str">
        <f aca="false">IF($M122="","",INDEX(伝票元!$P$6:$P$511,$M122))</f>
        <v/>
      </c>
      <c r="B122" s="45" t="str">
        <f aca="false">IF($M122="","",INDEX(伝票元!$D$6:$D$511,$M122))</f>
        <v/>
      </c>
      <c r="C122" s="10" t="str">
        <f aca="false">IF($M122="","",INDEX(伝票元!$E$6:$E$511,$M122))</f>
        <v/>
      </c>
      <c r="D122" s="45" t="str">
        <f aca="false">IF($M122="","",INDEX(伝票元!$A$6:$A$511,$M122))</f>
        <v/>
      </c>
      <c r="E122" s="10" t="str">
        <f aca="false">IF(IF($M122="",0,INDEX(伝票元!$N$6:$N$511,$M122))=1,INDEX(伝票元!$I$6:$I$511,$M122),"")</f>
        <v/>
      </c>
      <c r="F122" s="45" t="str">
        <f aca="false">IF(IF($M122="",0,INDEX(伝票元!$N$6:$N$511,$M122))=1,INDEX(伝票元!$J$6:$J$511,$M122),"")</f>
        <v/>
      </c>
      <c r="G122" s="42" t="str">
        <f aca="false">IF(IF($M122="",0,INDEX(伝票元!$N$6:$N$511,$M122))=1,INDEX(伝票元!$Q$6:$Q$511,$M122),"")</f>
        <v/>
      </c>
      <c r="H122" s="45" t="str">
        <f aca="false">IF($M122="","",INDEX(伝票元!$F$6:$F$511,$M122))</f>
        <v/>
      </c>
      <c r="I122" s="45" t="str">
        <f aca="false">IF($M122="","",INDEX(伝票元!$G$6:$G$511,$M122))</f>
        <v/>
      </c>
      <c r="J122" s="42" t="str">
        <f aca="false">IF($M122="","",INDEX(伝票元!$H$6:$H$511,$M122))</f>
        <v/>
      </c>
      <c r="K122" s="46" t="str">
        <f aca="false">IF(IF($M122="",0,INDEX(伝票元!$N$6:$N$511,$M122))=1,INDEX(伝票元!$R$6:$R$511,$M122),"")</f>
        <v/>
      </c>
      <c r="L122" s="47" t="str">
        <f aca="false">IF($M122="","",INDEX(伝票元!$S$6:$S$511,$M122))</f>
        <v/>
      </c>
      <c r="M122" s="47" t="str">
        <f aca="false">IFERROR(MATCH(116,伝票元!$O$6:$O$511,0),"")</f>
        <v/>
      </c>
    </row>
    <row r="123" customFormat="false" ht="15" hidden="false" customHeight="false" outlineLevel="0" collapsed="false">
      <c r="A123" s="10" t="str">
        <f aca="false">IF($M123="","",INDEX(伝票元!$P$6:$P$511,$M123))</f>
        <v/>
      </c>
      <c r="B123" s="45" t="str">
        <f aca="false">IF($M123="","",INDEX(伝票元!$D$6:$D$511,$M123))</f>
        <v/>
      </c>
      <c r="C123" s="10" t="str">
        <f aca="false">IF($M123="","",INDEX(伝票元!$E$6:$E$511,$M123))</f>
        <v/>
      </c>
      <c r="D123" s="45" t="str">
        <f aca="false">IF($M123="","",INDEX(伝票元!$A$6:$A$511,$M123))</f>
        <v/>
      </c>
      <c r="E123" s="10" t="str">
        <f aca="false">IF(IF($M123="",0,INDEX(伝票元!$N$6:$N$511,$M123))=1,INDEX(伝票元!$I$6:$I$511,$M123),"")</f>
        <v/>
      </c>
      <c r="F123" s="45" t="str">
        <f aca="false">IF(IF($M123="",0,INDEX(伝票元!$N$6:$N$511,$M123))=1,INDEX(伝票元!$J$6:$J$511,$M123),"")</f>
        <v/>
      </c>
      <c r="G123" s="42" t="str">
        <f aca="false">IF(IF($M123="",0,INDEX(伝票元!$N$6:$N$511,$M123))=1,INDEX(伝票元!$Q$6:$Q$511,$M123),"")</f>
        <v/>
      </c>
      <c r="H123" s="45" t="str">
        <f aca="false">IF($M123="","",INDEX(伝票元!$F$6:$F$511,$M123))</f>
        <v/>
      </c>
      <c r="I123" s="45" t="str">
        <f aca="false">IF($M123="","",INDEX(伝票元!$G$6:$G$511,$M123))</f>
        <v/>
      </c>
      <c r="J123" s="42" t="str">
        <f aca="false">IF($M123="","",INDEX(伝票元!$H$6:$H$511,$M123))</f>
        <v/>
      </c>
      <c r="K123" s="46" t="str">
        <f aca="false">IF(IF($M123="",0,INDEX(伝票元!$N$6:$N$511,$M123))=1,INDEX(伝票元!$R$6:$R$511,$M123),"")</f>
        <v/>
      </c>
      <c r="L123" s="47" t="str">
        <f aca="false">IF($M123="","",INDEX(伝票元!$S$6:$S$511,$M123))</f>
        <v/>
      </c>
      <c r="M123" s="47" t="str">
        <f aca="false">IFERROR(MATCH(117,伝票元!$O$6:$O$511,0),"")</f>
        <v/>
      </c>
    </row>
    <row r="124" customFormat="false" ht="15" hidden="false" customHeight="false" outlineLevel="0" collapsed="false">
      <c r="A124" s="10" t="str">
        <f aca="false">IF($M124="","",INDEX(伝票元!$P$6:$P$511,$M124))</f>
        <v/>
      </c>
      <c r="B124" s="45" t="str">
        <f aca="false">IF($M124="","",INDEX(伝票元!$D$6:$D$511,$M124))</f>
        <v/>
      </c>
      <c r="C124" s="10" t="str">
        <f aca="false">IF($M124="","",INDEX(伝票元!$E$6:$E$511,$M124))</f>
        <v/>
      </c>
      <c r="D124" s="45" t="str">
        <f aca="false">IF($M124="","",INDEX(伝票元!$A$6:$A$511,$M124))</f>
        <v/>
      </c>
      <c r="E124" s="10" t="str">
        <f aca="false">IF(IF($M124="",0,INDEX(伝票元!$N$6:$N$511,$M124))=1,INDEX(伝票元!$I$6:$I$511,$M124),"")</f>
        <v/>
      </c>
      <c r="F124" s="45" t="str">
        <f aca="false">IF(IF($M124="",0,INDEX(伝票元!$N$6:$N$511,$M124))=1,INDEX(伝票元!$J$6:$J$511,$M124),"")</f>
        <v/>
      </c>
      <c r="G124" s="42" t="str">
        <f aca="false">IF(IF($M124="",0,INDEX(伝票元!$N$6:$N$511,$M124))=1,INDEX(伝票元!$Q$6:$Q$511,$M124),"")</f>
        <v/>
      </c>
      <c r="H124" s="45" t="str">
        <f aca="false">IF($M124="","",INDEX(伝票元!$F$6:$F$511,$M124))</f>
        <v/>
      </c>
      <c r="I124" s="45" t="str">
        <f aca="false">IF($M124="","",INDEX(伝票元!$G$6:$G$511,$M124))</f>
        <v/>
      </c>
      <c r="J124" s="42" t="str">
        <f aca="false">IF($M124="","",INDEX(伝票元!$H$6:$H$511,$M124))</f>
        <v/>
      </c>
      <c r="K124" s="46" t="str">
        <f aca="false">IF(IF($M124="",0,INDEX(伝票元!$N$6:$N$511,$M124))=1,INDEX(伝票元!$R$6:$R$511,$M124),"")</f>
        <v/>
      </c>
      <c r="L124" s="47" t="str">
        <f aca="false">IF($M124="","",INDEX(伝票元!$S$6:$S$511,$M124))</f>
        <v/>
      </c>
      <c r="M124" s="47" t="str">
        <f aca="false">IFERROR(MATCH(118,伝票元!$O$6:$O$511,0),"")</f>
        <v/>
      </c>
    </row>
    <row r="125" customFormat="false" ht="15" hidden="false" customHeight="false" outlineLevel="0" collapsed="false">
      <c r="A125" s="10" t="str">
        <f aca="false">IF($M125="","",INDEX(伝票元!$P$6:$P$511,$M125))</f>
        <v/>
      </c>
      <c r="B125" s="45" t="str">
        <f aca="false">IF($M125="","",INDEX(伝票元!$D$6:$D$511,$M125))</f>
        <v/>
      </c>
      <c r="C125" s="10" t="str">
        <f aca="false">IF($M125="","",INDEX(伝票元!$E$6:$E$511,$M125))</f>
        <v/>
      </c>
      <c r="D125" s="45" t="str">
        <f aca="false">IF($M125="","",INDEX(伝票元!$A$6:$A$511,$M125))</f>
        <v/>
      </c>
      <c r="E125" s="10" t="str">
        <f aca="false">IF(IF($M125="",0,INDEX(伝票元!$N$6:$N$511,$M125))=1,INDEX(伝票元!$I$6:$I$511,$M125),"")</f>
        <v/>
      </c>
      <c r="F125" s="45" t="str">
        <f aca="false">IF(IF($M125="",0,INDEX(伝票元!$N$6:$N$511,$M125))=1,INDEX(伝票元!$J$6:$J$511,$M125),"")</f>
        <v/>
      </c>
      <c r="G125" s="42" t="str">
        <f aca="false">IF(IF($M125="",0,INDEX(伝票元!$N$6:$N$511,$M125))=1,INDEX(伝票元!$Q$6:$Q$511,$M125),"")</f>
        <v/>
      </c>
      <c r="H125" s="45" t="str">
        <f aca="false">IF($M125="","",INDEX(伝票元!$F$6:$F$511,$M125))</f>
        <v/>
      </c>
      <c r="I125" s="45" t="str">
        <f aca="false">IF($M125="","",INDEX(伝票元!$G$6:$G$511,$M125))</f>
        <v/>
      </c>
      <c r="J125" s="42" t="str">
        <f aca="false">IF($M125="","",INDEX(伝票元!$H$6:$H$511,$M125))</f>
        <v/>
      </c>
      <c r="K125" s="46" t="str">
        <f aca="false">IF(IF($M125="",0,INDEX(伝票元!$N$6:$N$511,$M125))=1,INDEX(伝票元!$R$6:$R$511,$M125),"")</f>
        <v/>
      </c>
      <c r="L125" s="47" t="str">
        <f aca="false">IF($M125="","",INDEX(伝票元!$S$6:$S$511,$M125))</f>
        <v/>
      </c>
      <c r="M125" s="47" t="str">
        <f aca="false">IFERROR(MATCH(119,伝票元!$O$6:$O$511,0),"")</f>
        <v/>
      </c>
    </row>
    <row r="126" customFormat="false" ht="15" hidden="false" customHeight="false" outlineLevel="0" collapsed="false">
      <c r="A126" s="10" t="str">
        <f aca="false">IF($M126="","",INDEX(伝票元!$P$6:$P$511,$M126))</f>
        <v/>
      </c>
      <c r="B126" s="45" t="str">
        <f aca="false">IF($M126="","",INDEX(伝票元!$D$6:$D$511,$M126))</f>
        <v/>
      </c>
      <c r="C126" s="10" t="str">
        <f aca="false">IF($M126="","",INDEX(伝票元!$E$6:$E$511,$M126))</f>
        <v/>
      </c>
      <c r="D126" s="45" t="str">
        <f aca="false">IF($M126="","",INDEX(伝票元!$A$6:$A$511,$M126))</f>
        <v/>
      </c>
      <c r="E126" s="10" t="str">
        <f aca="false">IF(IF($M126="",0,INDEX(伝票元!$N$6:$N$511,$M126))=1,INDEX(伝票元!$I$6:$I$511,$M126),"")</f>
        <v/>
      </c>
      <c r="F126" s="45" t="str">
        <f aca="false">IF(IF($M126="",0,INDEX(伝票元!$N$6:$N$511,$M126))=1,INDEX(伝票元!$J$6:$J$511,$M126),"")</f>
        <v/>
      </c>
      <c r="G126" s="42" t="str">
        <f aca="false">IF(IF($M126="",0,INDEX(伝票元!$N$6:$N$511,$M126))=1,INDEX(伝票元!$Q$6:$Q$511,$M126),"")</f>
        <v/>
      </c>
      <c r="H126" s="45" t="str">
        <f aca="false">IF($M126="","",INDEX(伝票元!$F$6:$F$511,$M126))</f>
        <v/>
      </c>
      <c r="I126" s="45" t="str">
        <f aca="false">IF($M126="","",INDEX(伝票元!$G$6:$G$511,$M126))</f>
        <v/>
      </c>
      <c r="J126" s="42" t="str">
        <f aca="false">IF($M126="","",INDEX(伝票元!$H$6:$H$511,$M126))</f>
        <v/>
      </c>
      <c r="K126" s="46" t="str">
        <f aca="false">IF(IF($M126="",0,INDEX(伝票元!$N$6:$N$511,$M126))=1,INDEX(伝票元!$R$6:$R$511,$M126),"")</f>
        <v/>
      </c>
      <c r="L126" s="47" t="str">
        <f aca="false">IF($M126="","",INDEX(伝票元!$S$6:$S$511,$M126))</f>
        <v/>
      </c>
      <c r="M126" s="47" t="str">
        <f aca="false">IFERROR(MATCH(120,伝票元!$O$6:$O$511,0),"")</f>
        <v/>
      </c>
    </row>
    <row r="127" customFormat="false" ht="15" hidden="false" customHeight="false" outlineLevel="0" collapsed="false">
      <c r="A127" s="10" t="str">
        <f aca="false">IF($M127="","",INDEX(伝票元!$P$6:$P$511,$M127))</f>
        <v/>
      </c>
      <c r="B127" s="45" t="str">
        <f aca="false">IF($M127="","",INDEX(伝票元!$D$6:$D$511,$M127))</f>
        <v/>
      </c>
      <c r="C127" s="10" t="str">
        <f aca="false">IF($M127="","",INDEX(伝票元!$E$6:$E$511,$M127))</f>
        <v/>
      </c>
      <c r="D127" s="45" t="str">
        <f aca="false">IF($M127="","",INDEX(伝票元!$A$6:$A$511,$M127))</f>
        <v/>
      </c>
      <c r="E127" s="10" t="str">
        <f aca="false">IF(IF($M127="",0,INDEX(伝票元!$N$6:$N$511,$M127))=1,INDEX(伝票元!$I$6:$I$511,$M127),"")</f>
        <v/>
      </c>
      <c r="F127" s="45" t="str">
        <f aca="false">IF(IF($M127="",0,INDEX(伝票元!$N$6:$N$511,$M127))=1,INDEX(伝票元!$J$6:$J$511,$M127),"")</f>
        <v/>
      </c>
      <c r="G127" s="42" t="str">
        <f aca="false">IF(IF($M127="",0,INDEX(伝票元!$N$6:$N$511,$M127))=1,INDEX(伝票元!$Q$6:$Q$511,$M127),"")</f>
        <v/>
      </c>
      <c r="H127" s="45" t="str">
        <f aca="false">IF($M127="","",INDEX(伝票元!$F$6:$F$511,$M127))</f>
        <v/>
      </c>
      <c r="I127" s="45" t="str">
        <f aca="false">IF($M127="","",INDEX(伝票元!$G$6:$G$511,$M127))</f>
        <v/>
      </c>
      <c r="J127" s="42" t="str">
        <f aca="false">IF($M127="","",INDEX(伝票元!$H$6:$H$511,$M127))</f>
        <v/>
      </c>
      <c r="K127" s="46" t="str">
        <f aca="false">IF(IF($M127="",0,INDEX(伝票元!$N$6:$N$511,$M127))=1,INDEX(伝票元!$R$6:$R$511,$M127),"")</f>
        <v/>
      </c>
      <c r="L127" s="47" t="str">
        <f aca="false">IF($M127="","",INDEX(伝票元!$S$6:$S$511,$M127))</f>
        <v/>
      </c>
      <c r="M127" s="47" t="str">
        <f aca="false">IFERROR(MATCH(121,伝票元!$O$6:$O$511,0),"")</f>
        <v/>
      </c>
    </row>
    <row r="128" customFormat="false" ht="15" hidden="false" customHeight="false" outlineLevel="0" collapsed="false">
      <c r="A128" s="10" t="str">
        <f aca="false">IF($M128="","",INDEX(伝票元!$P$6:$P$511,$M128))</f>
        <v/>
      </c>
      <c r="B128" s="45" t="str">
        <f aca="false">IF($M128="","",INDEX(伝票元!$D$6:$D$511,$M128))</f>
        <v/>
      </c>
      <c r="C128" s="10" t="str">
        <f aca="false">IF($M128="","",INDEX(伝票元!$E$6:$E$511,$M128))</f>
        <v/>
      </c>
      <c r="D128" s="45" t="str">
        <f aca="false">IF($M128="","",INDEX(伝票元!$A$6:$A$511,$M128))</f>
        <v/>
      </c>
      <c r="E128" s="10" t="str">
        <f aca="false">IF(IF($M128="",0,INDEX(伝票元!$N$6:$N$511,$M128))=1,INDEX(伝票元!$I$6:$I$511,$M128),"")</f>
        <v/>
      </c>
      <c r="F128" s="45" t="str">
        <f aca="false">IF(IF($M128="",0,INDEX(伝票元!$N$6:$N$511,$M128))=1,INDEX(伝票元!$J$6:$J$511,$M128),"")</f>
        <v/>
      </c>
      <c r="G128" s="42" t="str">
        <f aca="false">IF(IF($M128="",0,INDEX(伝票元!$N$6:$N$511,$M128))=1,INDEX(伝票元!$Q$6:$Q$511,$M128),"")</f>
        <v/>
      </c>
      <c r="H128" s="45" t="str">
        <f aca="false">IF($M128="","",INDEX(伝票元!$F$6:$F$511,$M128))</f>
        <v/>
      </c>
      <c r="I128" s="45" t="str">
        <f aca="false">IF($M128="","",INDEX(伝票元!$G$6:$G$511,$M128))</f>
        <v/>
      </c>
      <c r="J128" s="42" t="str">
        <f aca="false">IF($M128="","",INDEX(伝票元!$H$6:$H$511,$M128))</f>
        <v/>
      </c>
      <c r="K128" s="46" t="str">
        <f aca="false">IF(IF($M128="",0,INDEX(伝票元!$N$6:$N$511,$M128))=1,INDEX(伝票元!$R$6:$R$511,$M128),"")</f>
        <v/>
      </c>
      <c r="L128" s="47" t="str">
        <f aca="false">IF($M128="","",INDEX(伝票元!$S$6:$S$511,$M128))</f>
        <v/>
      </c>
      <c r="M128" s="47" t="str">
        <f aca="false">IFERROR(MATCH(122,伝票元!$O$6:$O$511,0),"")</f>
        <v/>
      </c>
    </row>
    <row r="129" customFormat="false" ht="15" hidden="false" customHeight="false" outlineLevel="0" collapsed="false">
      <c r="A129" s="10" t="str">
        <f aca="false">IF($M129="","",INDEX(伝票元!$P$6:$P$511,$M129))</f>
        <v/>
      </c>
      <c r="B129" s="45" t="str">
        <f aca="false">IF($M129="","",INDEX(伝票元!$D$6:$D$511,$M129))</f>
        <v/>
      </c>
      <c r="C129" s="10" t="str">
        <f aca="false">IF($M129="","",INDEX(伝票元!$E$6:$E$511,$M129))</f>
        <v/>
      </c>
      <c r="D129" s="45" t="str">
        <f aca="false">IF($M129="","",INDEX(伝票元!$A$6:$A$511,$M129))</f>
        <v/>
      </c>
      <c r="E129" s="10" t="str">
        <f aca="false">IF(IF($M129="",0,INDEX(伝票元!$N$6:$N$511,$M129))=1,INDEX(伝票元!$I$6:$I$511,$M129),"")</f>
        <v/>
      </c>
      <c r="F129" s="45" t="str">
        <f aca="false">IF(IF($M129="",0,INDEX(伝票元!$N$6:$N$511,$M129))=1,INDEX(伝票元!$J$6:$J$511,$M129),"")</f>
        <v/>
      </c>
      <c r="G129" s="42" t="str">
        <f aca="false">IF(IF($M129="",0,INDEX(伝票元!$N$6:$N$511,$M129))=1,INDEX(伝票元!$Q$6:$Q$511,$M129),"")</f>
        <v/>
      </c>
      <c r="H129" s="45" t="str">
        <f aca="false">IF($M129="","",INDEX(伝票元!$F$6:$F$511,$M129))</f>
        <v/>
      </c>
      <c r="I129" s="45" t="str">
        <f aca="false">IF($M129="","",INDEX(伝票元!$G$6:$G$511,$M129))</f>
        <v/>
      </c>
      <c r="J129" s="42" t="str">
        <f aca="false">IF($M129="","",INDEX(伝票元!$H$6:$H$511,$M129))</f>
        <v/>
      </c>
      <c r="K129" s="46" t="str">
        <f aca="false">IF(IF($M129="",0,INDEX(伝票元!$N$6:$N$511,$M129))=1,INDEX(伝票元!$R$6:$R$511,$M129),"")</f>
        <v/>
      </c>
      <c r="L129" s="47" t="str">
        <f aca="false">IF($M129="","",INDEX(伝票元!$S$6:$S$511,$M129))</f>
        <v/>
      </c>
      <c r="M129" s="47" t="str">
        <f aca="false">IFERROR(MATCH(123,伝票元!$O$6:$O$511,0),"")</f>
        <v/>
      </c>
    </row>
    <row r="130" customFormat="false" ht="15" hidden="false" customHeight="false" outlineLevel="0" collapsed="false">
      <c r="A130" s="10" t="str">
        <f aca="false">IF($M130="","",INDEX(伝票元!$P$6:$P$511,$M130))</f>
        <v/>
      </c>
      <c r="B130" s="45" t="str">
        <f aca="false">IF($M130="","",INDEX(伝票元!$D$6:$D$511,$M130))</f>
        <v/>
      </c>
      <c r="C130" s="10" t="str">
        <f aca="false">IF($M130="","",INDEX(伝票元!$E$6:$E$511,$M130))</f>
        <v/>
      </c>
      <c r="D130" s="45" t="str">
        <f aca="false">IF($M130="","",INDEX(伝票元!$A$6:$A$511,$M130))</f>
        <v/>
      </c>
      <c r="E130" s="10" t="str">
        <f aca="false">IF(IF($M130="",0,INDEX(伝票元!$N$6:$N$511,$M130))=1,INDEX(伝票元!$I$6:$I$511,$M130),"")</f>
        <v/>
      </c>
      <c r="F130" s="45" t="str">
        <f aca="false">IF(IF($M130="",0,INDEX(伝票元!$N$6:$N$511,$M130))=1,INDEX(伝票元!$J$6:$J$511,$M130),"")</f>
        <v/>
      </c>
      <c r="G130" s="42" t="str">
        <f aca="false">IF(IF($M130="",0,INDEX(伝票元!$N$6:$N$511,$M130))=1,INDEX(伝票元!$Q$6:$Q$511,$M130),"")</f>
        <v/>
      </c>
      <c r="H130" s="45" t="str">
        <f aca="false">IF($M130="","",INDEX(伝票元!$F$6:$F$511,$M130))</f>
        <v/>
      </c>
      <c r="I130" s="45" t="str">
        <f aca="false">IF($M130="","",INDEX(伝票元!$G$6:$G$511,$M130))</f>
        <v/>
      </c>
      <c r="J130" s="42" t="str">
        <f aca="false">IF($M130="","",INDEX(伝票元!$H$6:$H$511,$M130))</f>
        <v/>
      </c>
      <c r="K130" s="46" t="str">
        <f aca="false">IF(IF($M130="",0,INDEX(伝票元!$N$6:$N$511,$M130))=1,INDEX(伝票元!$R$6:$R$511,$M130),"")</f>
        <v/>
      </c>
      <c r="L130" s="47" t="str">
        <f aca="false">IF($M130="","",INDEX(伝票元!$S$6:$S$511,$M130))</f>
        <v/>
      </c>
      <c r="M130" s="47" t="str">
        <f aca="false">IFERROR(MATCH(124,伝票元!$O$6:$O$511,0),"")</f>
        <v/>
      </c>
    </row>
    <row r="131" customFormat="false" ht="15" hidden="false" customHeight="false" outlineLevel="0" collapsed="false">
      <c r="A131" s="10" t="str">
        <f aca="false">IF($M131="","",INDEX(伝票元!$P$6:$P$511,$M131))</f>
        <v/>
      </c>
      <c r="B131" s="45" t="str">
        <f aca="false">IF($M131="","",INDEX(伝票元!$D$6:$D$511,$M131))</f>
        <v/>
      </c>
      <c r="C131" s="10" t="str">
        <f aca="false">IF($M131="","",INDEX(伝票元!$E$6:$E$511,$M131))</f>
        <v/>
      </c>
      <c r="D131" s="45" t="str">
        <f aca="false">IF($M131="","",INDEX(伝票元!$A$6:$A$511,$M131))</f>
        <v/>
      </c>
      <c r="E131" s="10" t="str">
        <f aca="false">IF(IF($M131="",0,INDEX(伝票元!$N$6:$N$511,$M131))=1,INDEX(伝票元!$I$6:$I$511,$M131),"")</f>
        <v/>
      </c>
      <c r="F131" s="45" t="str">
        <f aca="false">IF(IF($M131="",0,INDEX(伝票元!$N$6:$N$511,$M131))=1,INDEX(伝票元!$J$6:$J$511,$M131),"")</f>
        <v/>
      </c>
      <c r="G131" s="42" t="str">
        <f aca="false">IF(IF($M131="",0,INDEX(伝票元!$N$6:$N$511,$M131))=1,INDEX(伝票元!$Q$6:$Q$511,$M131),"")</f>
        <v/>
      </c>
      <c r="H131" s="45" t="str">
        <f aca="false">IF($M131="","",INDEX(伝票元!$F$6:$F$511,$M131))</f>
        <v/>
      </c>
      <c r="I131" s="45" t="str">
        <f aca="false">IF($M131="","",INDEX(伝票元!$G$6:$G$511,$M131))</f>
        <v/>
      </c>
      <c r="J131" s="42" t="str">
        <f aca="false">IF($M131="","",INDEX(伝票元!$H$6:$H$511,$M131))</f>
        <v/>
      </c>
      <c r="K131" s="46" t="str">
        <f aca="false">IF(IF($M131="",0,INDEX(伝票元!$N$6:$N$511,$M131))=1,INDEX(伝票元!$R$6:$R$511,$M131),"")</f>
        <v/>
      </c>
      <c r="L131" s="47" t="str">
        <f aca="false">IF($M131="","",INDEX(伝票元!$S$6:$S$511,$M131))</f>
        <v/>
      </c>
      <c r="M131" s="47" t="str">
        <f aca="false">IFERROR(MATCH(125,伝票元!$O$6:$O$511,0),"")</f>
        <v/>
      </c>
    </row>
    <row r="132" customFormat="false" ht="15" hidden="false" customHeight="false" outlineLevel="0" collapsed="false">
      <c r="A132" s="10" t="str">
        <f aca="false">IF($M132="","",INDEX(伝票元!$P$6:$P$511,$M132))</f>
        <v/>
      </c>
      <c r="B132" s="45" t="str">
        <f aca="false">IF($M132="","",INDEX(伝票元!$D$6:$D$511,$M132))</f>
        <v/>
      </c>
      <c r="C132" s="10" t="str">
        <f aca="false">IF($M132="","",INDEX(伝票元!$E$6:$E$511,$M132))</f>
        <v/>
      </c>
      <c r="D132" s="45" t="str">
        <f aca="false">IF($M132="","",INDEX(伝票元!$A$6:$A$511,$M132))</f>
        <v/>
      </c>
      <c r="E132" s="10" t="str">
        <f aca="false">IF(IF($M132="",0,INDEX(伝票元!$N$6:$N$511,$M132))=1,INDEX(伝票元!$I$6:$I$511,$M132),"")</f>
        <v/>
      </c>
      <c r="F132" s="45" t="str">
        <f aca="false">IF(IF($M132="",0,INDEX(伝票元!$N$6:$N$511,$M132))=1,INDEX(伝票元!$J$6:$J$511,$M132),"")</f>
        <v/>
      </c>
      <c r="G132" s="42" t="str">
        <f aca="false">IF(IF($M132="",0,INDEX(伝票元!$N$6:$N$511,$M132))=1,INDEX(伝票元!$Q$6:$Q$511,$M132),"")</f>
        <v/>
      </c>
      <c r="H132" s="45" t="str">
        <f aca="false">IF($M132="","",INDEX(伝票元!$F$6:$F$511,$M132))</f>
        <v/>
      </c>
      <c r="I132" s="45" t="str">
        <f aca="false">IF($M132="","",INDEX(伝票元!$G$6:$G$511,$M132))</f>
        <v/>
      </c>
      <c r="J132" s="42" t="str">
        <f aca="false">IF($M132="","",INDEX(伝票元!$H$6:$H$511,$M132))</f>
        <v/>
      </c>
      <c r="K132" s="46" t="str">
        <f aca="false">IF(IF($M132="",0,INDEX(伝票元!$N$6:$N$511,$M132))=1,INDEX(伝票元!$R$6:$R$511,$M132),"")</f>
        <v/>
      </c>
      <c r="L132" s="47" t="str">
        <f aca="false">IF($M132="","",INDEX(伝票元!$S$6:$S$511,$M132))</f>
        <v/>
      </c>
      <c r="M132" s="47" t="str">
        <f aca="false">IFERROR(MATCH(126,伝票元!$O$6:$O$511,0),"")</f>
        <v/>
      </c>
    </row>
    <row r="133" customFormat="false" ht="15" hidden="false" customHeight="false" outlineLevel="0" collapsed="false">
      <c r="A133" s="10" t="str">
        <f aca="false">IF($M133="","",INDEX(伝票元!$P$6:$P$511,$M133))</f>
        <v/>
      </c>
      <c r="B133" s="45" t="str">
        <f aca="false">IF($M133="","",INDEX(伝票元!$D$6:$D$511,$M133))</f>
        <v/>
      </c>
      <c r="C133" s="10" t="str">
        <f aca="false">IF($M133="","",INDEX(伝票元!$E$6:$E$511,$M133))</f>
        <v/>
      </c>
      <c r="D133" s="45" t="str">
        <f aca="false">IF($M133="","",INDEX(伝票元!$A$6:$A$511,$M133))</f>
        <v/>
      </c>
      <c r="E133" s="10" t="str">
        <f aca="false">IF(IF($M133="",0,INDEX(伝票元!$N$6:$N$511,$M133))=1,INDEX(伝票元!$I$6:$I$511,$M133),"")</f>
        <v/>
      </c>
      <c r="F133" s="45" t="str">
        <f aca="false">IF(IF($M133="",0,INDEX(伝票元!$N$6:$N$511,$M133))=1,INDEX(伝票元!$J$6:$J$511,$M133),"")</f>
        <v/>
      </c>
      <c r="G133" s="42" t="str">
        <f aca="false">IF(IF($M133="",0,INDEX(伝票元!$N$6:$N$511,$M133))=1,INDEX(伝票元!$Q$6:$Q$511,$M133),"")</f>
        <v/>
      </c>
      <c r="H133" s="45" t="str">
        <f aca="false">IF($M133="","",INDEX(伝票元!$F$6:$F$511,$M133))</f>
        <v/>
      </c>
      <c r="I133" s="45" t="str">
        <f aca="false">IF($M133="","",INDEX(伝票元!$G$6:$G$511,$M133))</f>
        <v/>
      </c>
      <c r="J133" s="42" t="str">
        <f aca="false">IF($M133="","",INDEX(伝票元!$H$6:$H$511,$M133))</f>
        <v/>
      </c>
      <c r="K133" s="46" t="str">
        <f aca="false">IF(IF($M133="",0,INDEX(伝票元!$N$6:$N$511,$M133))=1,INDEX(伝票元!$R$6:$R$511,$M133),"")</f>
        <v/>
      </c>
      <c r="L133" s="47" t="str">
        <f aca="false">IF($M133="","",INDEX(伝票元!$S$6:$S$511,$M133))</f>
        <v/>
      </c>
      <c r="M133" s="47" t="str">
        <f aca="false">IFERROR(MATCH(127,伝票元!$O$6:$O$511,0),"")</f>
        <v/>
      </c>
    </row>
    <row r="134" customFormat="false" ht="15" hidden="false" customHeight="false" outlineLevel="0" collapsed="false">
      <c r="A134" s="10" t="str">
        <f aca="false">IF($M134="","",INDEX(伝票元!$P$6:$P$511,$M134))</f>
        <v/>
      </c>
      <c r="B134" s="45" t="str">
        <f aca="false">IF($M134="","",INDEX(伝票元!$D$6:$D$511,$M134))</f>
        <v/>
      </c>
      <c r="C134" s="10" t="str">
        <f aca="false">IF($M134="","",INDEX(伝票元!$E$6:$E$511,$M134))</f>
        <v/>
      </c>
      <c r="D134" s="45" t="str">
        <f aca="false">IF($M134="","",INDEX(伝票元!$A$6:$A$511,$M134))</f>
        <v/>
      </c>
      <c r="E134" s="10" t="str">
        <f aca="false">IF(IF($M134="",0,INDEX(伝票元!$N$6:$N$511,$M134))=1,INDEX(伝票元!$I$6:$I$511,$M134),"")</f>
        <v/>
      </c>
      <c r="F134" s="45" t="str">
        <f aca="false">IF(IF($M134="",0,INDEX(伝票元!$N$6:$N$511,$M134))=1,INDEX(伝票元!$J$6:$J$511,$M134),"")</f>
        <v/>
      </c>
      <c r="G134" s="42" t="str">
        <f aca="false">IF(IF($M134="",0,INDEX(伝票元!$N$6:$N$511,$M134))=1,INDEX(伝票元!$Q$6:$Q$511,$M134),"")</f>
        <v/>
      </c>
      <c r="H134" s="45" t="str">
        <f aca="false">IF($M134="","",INDEX(伝票元!$F$6:$F$511,$M134))</f>
        <v/>
      </c>
      <c r="I134" s="45" t="str">
        <f aca="false">IF($M134="","",INDEX(伝票元!$G$6:$G$511,$M134))</f>
        <v/>
      </c>
      <c r="J134" s="42" t="str">
        <f aca="false">IF($M134="","",INDEX(伝票元!$H$6:$H$511,$M134))</f>
        <v/>
      </c>
      <c r="K134" s="46" t="str">
        <f aca="false">IF(IF($M134="",0,INDEX(伝票元!$N$6:$N$511,$M134))=1,INDEX(伝票元!$R$6:$R$511,$M134),"")</f>
        <v/>
      </c>
      <c r="L134" s="47" t="str">
        <f aca="false">IF($M134="","",INDEX(伝票元!$S$6:$S$511,$M134))</f>
        <v/>
      </c>
      <c r="M134" s="47" t="str">
        <f aca="false">IFERROR(MATCH(128,伝票元!$O$6:$O$511,0),"")</f>
        <v/>
      </c>
    </row>
    <row r="135" customFormat="false" ht="15" hidden="false" customHeight="false" outlineLevel="0" collapsed="false">
      <c r="A135" s="10" t="str">
        <f aca="false">IF($M135="","",INDEX(伝票元!$P$6:$P$511,$M135))</f>
        <v/>
      </c>
      <c r="B135" s="45" t="str">
        <f aca="false">IF($M135="","",INDEX(伝票元!$D$6:$D$511,$M135))</f>
        <v/>
      </c>
      <c r="C135" s="10" t="str">
        <f aca="false">IF($M135="","",INDEX(伝票元!$E$6:$E$511,$M135))</f>
        <v/>
      </c>
      <c r="D135" s="45" t="str">
        <f aca="false">IF($M135="","",INDEX(伝票元!$A$6:$A$511,$M135))</f>
        <v/>
      </c>
      <c r="E135" s="10" t="str">
        <f aca="false">IF(IF($M135="",0,INDEX(伝票元!$N$6:$N$511,$M135))=1,INDEX(伝票元!$I$6:$I$511,$M135),"")</f>
        <v/>
      </c>
      <c r="F135" s="45" t="str">
        <f aca="false">IF(IF($M135="",0,INDEX(伝票元!$N$6:$N$511,$M135))=1,INDEX(伝票元!$J$6:$J$511,$M135),"")</f>
        <v/>
      </c>
      <c r="G135" s="42" t="str">
        <f aca="false">IF(IF($M135="",0,INDEX(伝票元!$N$6:$N$511,$M135))=1,INDEX(伝票元!$Q$6:$Q$511,$M135),"")</f>
        <v/>
      </c>
      <c r="H135" s="45" t="str">
        <f aca="false">IF($M135="","",INDEX(伝票元!$F$6:$F$511,$M135))</f>
        <v/>
      </c>
      <c r="I135" s="45" t="str">
        <f aca="false">IF($M135="","",INDEX(伝票元!$G$6:$G$511,$M135))</f>
        <v/>
      </c>
      <c r="J135" s="42" t="str">
        <f aca="false">IF($M135="","",INDEX(伝票元!$H$6:$H$511,$M135))</f>
        <v/>
      </c>
      <c r="K135" s="46" t="str">
        <f aca="false">IF(IF($M135="",0,INDEX(伝票元!$N$6:$N$511,$M135))=1,INDEX(伝票元!$R$6:$R$511,$M135),"")</f>
        <v/>
      </c>
      <c r="L135" s="47" t="str">
        <f aca="false">IF($M135="","",INDEX(伝票元!$S$6:$S$511,$M135))</f>
        <v/>
      </c>
      <c r="M135" s="47" t="str">
        <f aca="false">IFERROR(MATCH(129,伝票元!$O$6:$O$511,0),"")</f>
        <v/>
      </c>
    </row>
    <row r="136" customFormat="false" ht="15" hidden="false" customHeight="false" outlineLevel="0" collapsed="false">
      <c r="A136" s="10" t="str">
        <f aca="false">IF($M136="","",INDEX(伝票元!$P$6:$P$511,$M136))</f>
        <v/>
      </c>
      <c r="B136" s="45" t="str">
        <f aca="false">IF($M136="","",INDEX(伝票元!$D$6:$D$511,$M136))</f>
        <v/>
      </c>
      <c r="C136" s="10" t="str">
        <f aca="false">IF($M136="","",INDEX(伝票元!$E$6:$E$511,$M136))</f>
        <v/>
      </c>
      <c r="D136" s="45" t="str">
        <f aca="false">IF($M136="","",INDEX(伝票元!$A$6:$A$511,$M136))</f>
        <v/>
      </c>
      <c r="E136" s="10" t="str">
        <f aca="false">IF(IF($M136="",0,INDEX(伝票元!$N$6:$N$511,$M136))=1,INDEX(伝票元!$I$6:$I$511,$M136),"")</f>
        <v/>
      </c>
      <c r="F136" s="45" t="str">
        <f aca="false">IF(IF($M136="",0,INDEX(伝票元!$N$6:$N$511,$M136))=1,INDEX(伝票元!$J$6:$J$511,$M136),"")</f>
        <v/>
      </c>
      <c r="G136" s="42" t="str">
        <f aca="false">IF(IF($M136="",0,INDEX(伝票元!$N$6:$N$511,$M136))=1,INDEX(伝票元!$Q$6:$Q$511,$M136),"")</f>
        <v/>
      </c>
      <c r="H136" s="45" t="str">
        <f aca="false">IF($M136="","",INDEX(伝票元!$F$6:$F$511,$M136))</f>
        <v/>
      </c>
      <c r="I136" s="45" t="str">
        <f aca="false">IF($M136="","",INDEX(伝票元!$G$6:$G$511,$M136))</f>
        <v/>
      </c>
      <c r="J136" s="42" t="str">
        <f aca="false">IF($M136="","",INDEX(伝票元!$H$6:$H$511,$M136))</f>
        <v/>
      </c>
      <c r="K136" s="46" t="str">
        <f aca="false">IF(IF($M136="",0,INDEX(伝票元!$N$6:$N$511,$M136))=1,INDEX(伝票元!$R$6:$R$511,$M136),"")</f>
        <v/>
      </c>
      <c r="L136" s="47" t="str">
        <f aca="false">IF($M136="","",INDEX(伝票元!$S$6:$S$511,$M136))</f>
        <v/>
      </c>
      <c r="M136" s="47" t="str">
        <f aca="false">IFERROR(MATCH(130,伝票元!$O$6:$O$511,0),"")</f>
        <v/>
      </c>
    </row>
    <row r="137" customFormat="false" ht="15" hidden="false" customHeight="false" outlineLevel="0" collapsed="false">
      <c r="A137" s="10" t="str">
        <f aca="false">IF($M137="","",INDEX(伝票元!$P$6:$P$511,$M137))</f>
        <v/>
      </c>
      <c r="B137" s="45" t="str">
        <f aca="false">IF($M137="","",INDEX(伝票元!$D$6:$D$511,$M137))</f>
        <v/>
      </c>
      <c r="C137" s="10" t="str">
        <f aca="false">IF($M137="","",INDEX(伝票元!$E$6:$E$511,$M137))</f>
        <v/>
      </c>
      <c r="D137" s="45" t="str">
        <f aca="false">IF($M137="","",INDEX(伝票元!$A$6:$A$511,$M137))</f>
        <v/>
      </c>
      <c r="E137" s="10" t="str">
        <f aca="false">IF(IF($M137="",0,INDEX(伝票元!$N$6:$N$511,$M137))=1,INDEX(伝票元!$I$6:$I$511,$M137),"")</f>
        <v/>
      </c>
      <c r="F137" s="45" t="str">
        <f aca="false">IF(IF($M137="",0,INDEX(伝票元!$N$6:$N$511,$M137))=1,INDEX(伝票元!$J$6:$J$511,$M137),"")</f>
        <v/>
      </c>
      <c r="G137" s="42" t="str">
        <f aca="false">IF(IF($M137="",0,INDEX(伝票元!$N$6:$N$511,$M137))=1,INDEX(伝票元!$Q$6:$Q$511,$M137),"")</f>
        <v/>
      </c>
      <c r="H137" s="45" t="str">
        <f aca="false">IF($M137="","",INDEX(伝票元!$F$6:$F$511,$M137))</f>
        <v/>
      </c>
      <c r="I137" s="45" t="str">
        <f aca="false">IF($M137="","",INDEX(伝票元!$G$6:$G$511,$M137))</f>
        <v/>
      </c>
      <c r="J137" s="42" t="str">
        <f aca="false">IF($M137="","",INDEX(伝票元!$H$6:$H$511,$M137))</f>
        <v/>
      </c>
      <c r="K137" s="46" t="str">
        <f aca="false">IF(IF($M137="",0,INDEX(伝票元!$N$6:$N$511,$M137))=1,INDEX(伝票元!$R$6:$R$511,$M137),"")</f>
        <v/>
      </c>
      <c r="L137" s="47" t="str">
        <f aca="false">IF($M137="","",INDEX(伝票元!$S$6:$S$511,$M137))</f>
        <v/>
      </c>
      <c r="M137" s="47" t="str">
        <f aca="false">IFERROR(MATCH(131,伝票元!$O$6:$O$511,0),"")</f>
        <v/>
      </c>
    </row>
    <row r="138" customFormat="false" ht="15" hidden="false" customHeight="false" outlineLevel="0" collapsed="false">
      <c r="A138" s="10" t="str">
        <f aca="false">IF($M138="","",INDEX(伝票元!$P$6:$P$511,$M138))</f>
        <v/>
      </c>
      <c r="B138" s="45" t="str">
        <f aca="false">IF($M138="","",INDEX(伝票元!$D$6:$D$511,$M138))</f>
        <v/>
      </c>
      <c r="C138" s="10" t="str">
        <f aca="false">IF($M138="","",INDEX(伝票元!$E$6:$E$511,$M138))</f>
        <v/>
      </c>
      <c r="D138" s="45" t="str">
        <f aca="false">IF($M138="","",INDEX(伝票元!$A$6:$A$511,$M138))</f>
        <v/>
      </c>
      <c r="E138" s="10" t="str">
        <f aca="false">IF(IF($M138="",0,INDEX(伝票元!$N$6:$N$511,$M138))=1,INDEX(伝票元!$I$6:$I$511,$M138),"")</f>
        <v/>
      </c>
      <c r="F138" s="45" t="str">
        <f aca="false">IF(IF($M138="",0,INDEX(伝票元!$N$6:$N$511,$M138))=1,INDEX(伝票元!$J$6:$J$511,$M138),"")</f>
        <v/>
      </c>
      <c r="G138" s="42" t="str">
        <f aca="false">IF(IF($M138="",0,INDEX(伝票元!$N$6:$N$511,$M138))=1,INDEX(伝票元!$Q$6:$Q$511,$M138),"")</f>
        <v/>
      </c>
      <c r="H138" s="45" t="str">
        <f aca="false">IF($M138="","",INDEX(伝票元!$F$6:$F$511,$M138))</f>
        <v/>
      </c>
      <c r="I138" s="45" t="str">
        <f aca="false">IF($M138="","",INDEX(伝票元!$G$6:$G$511,$M138))</f>
        <v/>
      </c>
      <c r="J138" s="42" t="str">
        <f aca="false">IF($M138="","",INDEX(伝票元!$H$6:$H$511,$M138))</f>
        <v/>
      </c>
      <c r="K138" s="46" t="str">
        <f aca="false">IF(IF($M138="",0,INDEX(伝票元!$N$6:$N$511,$M138))=1,INDEX(伝票元!$R$6:$R$511,$M138),"")</f>
        <v/>
      </c>
      <c r="L138" s="47" t="str">
        <f aca="false">IF($M138="","",INDEX(伝票元!$S$6:$S$511,$M138))</f>
        <v/>
      </c>
      <c r="M138" s="47" t="str">
        <f aca="false">IFERROR(MATCH(132,伝票元!$O$6:$O$511,0),"")</f>
        <v/>
      </c>
    </row>
    <row r="139" customFormat="false" ht="15" hidden="false" customHeight="false" outlineLevel="0" collapsed="false">
      <c r="A139" s="10" t="str">
        <f aca="false">IF($M139="","",INDEX(伝票元!$P$6:$P$511,$M139))</f>
        <v/>
      </c>
      <c r="B139" s="45" t="str">
        <f aca="false">IF($M139="","",INDEX(伝票元!$D$6:$D$511,$M139))</f>
        <v/>
      </c>
      <c r="C139" s="10" t="str">
        <f aca="false">IF($M139="","",INDEX(伝票元!$E$6:$E$511,$M139))</f>
        <v/>
      </c>
      <c r="D139" s="45" t="str">
        <f aca="false">IF($M139="","",INDEX(伝票元!$A$6:$A$511,$M139))</f>
        <v/>
      </c>
      <c r="E139" s="10" t="str">
        <f aca="false">IF(IF($M139="",0,INDEX(伝票元!$N$6:$N$511,$M139))=1,INDEX(伝票元!$I$6:$I$511,$M139),"")</f>
        <v/>
      </c>
      <c r="F139" s="45" t="str">
        <f aca="false">IF(IF($M139="",0,INDEX(伝票元!$N$6:$N$511,$M139))=1,INDEX(伝票元!$J$6:$J$511,$M139),"")</f>
        <v/>
      </c>
      <c r="G139" s="42" t="str">
        <f aca="false">IF(IF($M139="",0,INDEX(伝票元!$N$6:$N$511,$M139))=1,INDEX(伝票元!$Q$6:$Q$511,$M139),"")</f>
        <v/>
      </c>
      <c r="H139" s="45" t="str">
        <f aca="false">IF($M139="","",INDEX(伝票元!$F$6:$F$511,$M139))</f>
        <v/>
      </c>
      <c r="I139" s="45" t="str">
        <f aca="false">IF($M139="","",INDEX(伝票元!$G$6:$G$511,$M139))</f>
        <v/>
      </c>
      <c r="J139" s="42" t="str">
        <f aca="false">IF($M139="","",INDEX(伝票元!$H$6:$H$511,$M139))</f>
        <v/>
      </c>
      <c r="K139" s="46" t="str">
        <f aca="false">IF(IF($M139="",0,INDEX(伝票元!$N$6:$N$511,$M139))=1,INDEX(伝票元!$R$6:$R$511,$M139),"")</f>
        <v/>
      </c>
      <c r="L139" s="47" t="str">
        <f aca="false">IF($M139="","",INDEX(伝票元!$S$6:$S$511,$M139))</f>
        <v/>
      </c>
      <c r="M139" s="47" t="str">
        <f aca="false">IFERROR(MATCH(133,伝票元!$O$6:$O$511,0),"")</f>
        <v/>
      </c>
    </row>
    <row r="140" customFormat="false" ht="15" hidden="false" customHeight="false" outlineLevel="0" collapsed="false">
      <c r="A140" s="10" t="str">
        <f aca="false">IF($M140="","",INDEX(伝票元!$P$6:$P$511,$M140))</f>
        <v/>
      </c>
      <c r="B140" s="45" t="str">
        <f aca="false">IF($M140="","",INDEX(伝票元!$D$6:$D$511,$M140))</f>
        <v/>
      </c>
      <c r="C140" s="10" t="str">
        <f aca="false">IF($M140="","",INDEX(伝票元!$E$6:$E$511,$M140))</f>
        <v/>
      </c>
      <c r="D140" s="45" t="str">
        <f aca="false">IF($M140="","",INDEX(伝票元!$A$6:$A$511,$M140))</f>
        <v/>
      </c>
      <c r="E140" s="10" t="str">
        <f aca="false">IF(IF($M140="",0,INDEX(伝票元!$N$6:$N$511,$M140))=1,INDEX(伝票元!$I$6:$I$511,$M140),"")</f>
        <v/>
      </c>
      <c r="F140" s="45" t="str">
        <f aca="false">IF(IF($M140="",0,INDEX(伝票元!$N$6:$N$511,$M140))=1,INDEX(伝票元!$J$6:$J$511,$M140),"")</f>
        <v/>
      </c>
      <c r="G140" s="42" t="str">
        <f aca="false">IF(IF($M140="",0,INDEX(伝票元!$N$6:$N$511,$M140))=1,INDEX(伝票元!$Q$6:$Q$511,$M140),"")</f>
        <v/>
      </c>
      <c r="H140" s="45" t="str">
        <f aca="false">IF($M140="","",INDEX(伝票元!$F$6:$F$511,$M140))</f>
        <v/>
      </c>
      <c r="I140" s="45" t="str">
        <f aca="false">IF($M140="","",INDEX(伝票元!$G$6:$G$511,$M140))</f>
        <v/>
      </c>
      <c r="J140" s="42" t="str">
        <f aca="false">IF($M140="","",INDEX(伝票元!$H$6:$H$511,$M140))</f>
        <v/>
      </c>
      <c r="K140" s="46" t="str">
        <f aca="false">IF(IF($M140="",0,INDEX(伝票元!$N$6:$N$511,$M140))=1,INDEX(伝票元!$R$6:$R$511,$M140),"")</f>
        <v/>
      </c>
      <c r="L140" s="47" t="str">
        <f aca="false">IF($M140="","",INDEX(伝票元!$S$6:$S$511,$M140))</f>
        <v/>
      </c>
      <c r="M140" s="47" t="str">
        <f aca="false">IFERROR(MATCH(134,伝票元!$O$6:$O$511,0),"")</f>
        <v/>
      </c>
    </row>
    <row r="141" customFormat="false" ht="15" hidden="false" customHeight="false" outlineLevel="0" collapsed="false">
      <c r="A141" s="10" t="str">
        <f aca="false">IF($M141="","",INDEX(伝票元!$P$6:$P$511,$M141))</f>
        <v/>
      </c>
      <c r="B141" s="45" t="str">
        <f aca="false">IF($M141="","",INDEX(伝票元!$D$6:$D$511,$M141))</f>
        <v/>
      </c>
      <c r="C141" s="10" t="str">
        <f aca="false">IF($M141="","",INDEX(伝票元!$E$6:$E$511,$M141))</f>
        <v/>
      </c>
      <c r="D141" s="45" t="str">
        <f aca="false">IF($M141="","",INDEX(伝票元!$A$6:$A$511,$M141))</f>
        <v/>
      </c>
      <c r="E141" s="10" t="str">
        <f aca="false">IF(IF($M141="",0,INDEX(伝票元!$N$6:$N$511,$M141))=1,INDEX(伝票元!$I$6:$I$511,$M141),"")</f>
        <v/>
      </c>
      <c r="F141" s="45" t="str">
        <f aca="false">IF(IF($M141="",0,INDEX(伝票元!$N$6:$N$511,$M141))=1,INDEX(伝票元!$J$6:$J$511,$M141),"")</f>
        <v/>
      </c>
      <c r="G141" s="42" t="str">
        <f aca="false">IF(IF($M141="",0,INDEX(伝票元!$N$6:$N$511,$M141))=1,INDEX(伝票元!$Q$6:$Q$511,$M141),"")</f>
        <v/>
      </c>
      <c r="H141" s="45" t="str">
        <f aca="false">IF($M141="","",INDEX(伝票元!$F$6:$F$511,$M141))</f>
        <v/>
      </c>
      <c r="I141" s="45" t="str">
        <f aca="false">IF($M141="","",INDEX(伝票元!$G$6:$G$511,$M141))</f>
        <v/>
      </c>
      <c r="J141" s="42" t="str">
        <f aca="false">IF($M141="","",INDEX(伝票元!$H$6:$H$511,$M141))</f>
        <v/>
      </c>
      <c r="K141" s="46" t="str">
        <f aca="false">IF(IF($M141="",0,INDEX(伝票元!$N$6:$N$511,$M141))=1,INDEX(伝票元!$R$6:$R$511,$M141),"")</f>
        <v/>
      </c>
      <c r="L141" s="47" t="str">
        <f aca="false">IF($M141="","",INDEX(伝票元!$S$6:$S$511,$M141))</f>
        <v/>
      </c>
      <c r="M141" s="47" t="str">
        <f aca="false">IFERROR(MATCH(135,伝票元!$O$6:$O$511,0),"")</f>
        <v/>
      </c>
    </row>
    <row r="142" customFormat="false" ht="15" hidden="false" customHeight="false" outlineLevel="0" collapsed="false">
      <c r="A142" s="10" t="str">
        <f aca="false">IF($M142="","",INDEX(伝票元!$P$6:$P$511,$M142))</f>
        <v/>
      </c>
      <c r="B142" s="45" t="str">
        <f aca="false">IF($M142="","",INDEX(伝票元!$D$6:$D$511,$M142))</f>
        <v/>
      </c>
      <c r="C142" s="10" t="str">
        <f aca="false">IF($M142="","",INDEX(伝票元!$E$6:$E$511,$M142))</f>
        <v/>
      </c>
      <c r="D142" s="45" t="str">
        <f aca="false">IF($M142="","",INDEX(伝票元!$A$6:$A$511,$M142))</f>
        <v/>
      </c>
      <c r="E142" s="10" t="str">
        <f aca="false">IF(IF($M142="",0,INDEX(伝票元!$N$6:$N$511,$M142))=1,INDEX(伝票元!$I$6:$I$511,$M142),"")</f>
        <v/>
      </c>
      <c r="F142" s="45" t="str">
        <f aca="false">IF(IF($M142="",0,INDEX(伝票元!$N$6:$N$511,$M142))=1,INDEX(伝票元!$J$6:$J$511,$M142),"")</f>
        <v/>
      </c>
      <c r="G142" s="42" t="str">
        <f aca="false">IF(IF($M142="",0,INDEX(伝票元!$N$6:$N$511,$M142))=1,INDEX(伝票元!$Q$6:$Q$511,$M142),"")</f>
        <v/>
      </c>
      <c r="H142" s="45" t="str">
        <f aca="false">IF($M142="","",INDEX(伝票元!$F$6:$F$511,$M142))</f>
        <v/>
      </c>
      <c r="I142" s="45" t="str">
        <f aca="false">IF($M142="","",INDEX(伝票元!$G$6:$G$511,$M142))</f>
        <v/>
      </c>
      <c r="J142" s="42" t="str">
        <f aca="false">IF($M142="","",INDEX(伝票元!$H$6:$H$511,$M142))</f>
        <v/>
      </c>
      <c r="K142" s="46" t="str">
        <f aca="false">IF(IF($M142="",0,INDEX(伝票元!$N$6:$N$511,$M142))=1,INDEX(伝票元!$R$6:$R$511,$M142),"")</f>
        <v/>
      </c>
      <c r="L142" s="47" t="str">
        <f aca="false">IF($M142="","",INDEX(伝票元!$S$6:$S$511,$M142))</f>
        <v/>
      </c>
      <c r="M142" s="47" t="str">
        <f aca="false">IFERROR(MATCH(136,伝票元!$O$6:$O$511,0),"")</f>
        <v/>
      </c>
    </row>
    <row r="143" customFormat="false" ht="15" hidden="false" customHeight="false" outlineLevel="0" collapsed="false">
      <c r="A143" s="10" t="str">
        <f aca="false">IF($M143="","",INDEX(伝票元!$P$6:$P$511,$M143))</f>
        <v/>
      </c>
      <c r="B143" s="45" t="str">
        <f aca="false">IF($M143="","",INDEX(伝票元!$D$6:$D$511,$M143))</f>
        <v/>
      </c>
      <c r="C143" s="10" t="str">
        <f aca="false">IF($M143="","",INDEX(伝票元!$E$6:$E$511,$M143))</f>
        <v/>
      </c>
      <c r="D143" s="45" t="str">
        <f aca="false">IF($M143="","",INDEX(伝票元!$A$6:$A$511,$M143))</f>
        <v/>
      </c>
      <c r="E143" s="10" t="str">
        <f aca="false">IF(IF($M143="",0,INDEX(伝票元!$N$6:$N$511,$M143))=1,INDEX(伝票元!$I$6:$I$511,$M143),"")</f>
        <v/>
      </c>
      <c r="F143" s="45" t="str">
        <f aca="false">IF(IF($M143="",0,INDEX(伝票元!$N$6:$N$511,$M143))=1,INDEX(伝票元!$J$6:$J$511,$M143),"")</f>
        <v/>
      </c>
      <c r="G143" s="42" t="str">
        <f aca="false">IF(IF($M143="",0,INDEX(伝票元!$N$6:$N$511,$M143))=1,INDEX(伝票元!$Q$6:$Q$511,$M143),"")</f>
        <v/>
      </c>
      <c r="H143" s="45" t="str">
        <f aca="false">IF($M143="","",INDEX(伝票元!$F$6:$F$511,$M143))</f>
        <v/>
      </c>
      <c r="I143" s="45" t="str">
        <f aca="false">IF($M143="","",INDEX(伝票元!$G$6:$G$511,$M143))</f>
        <v/>
      </c>
      <c r="J143" s="42" t="str">
        <f aca="false">IF($M143="","",INDEX(伝票元!$H$6:$H$511,$M143))</f>
        <v/>
      </c>
      <c r="K143" s="46" t="str">
        <f aca="false">IF(IF($M143="",0,INDEX(伝票元!$N$6:$N$511,$M143))=1,INDEX(伝票元!$R$6:$R$511,$M143),"")</f>
        <v/>
      </c>
      <c r="L143" s="47" t="str">
        <f aca="false">IF($M143="","",INDEX(伝票元!$S$6:$S$511,$M143))</f>
        <v/>
      </c>
      <c r="M143" s="47" t="str">
        <f aca="false">IFERROR(MATCH(137,伝票元!$O$6:$O$511,0),"")</f>
        <v/>
      </c>
    </row>
    <row r="144" customFormat="false" ht="15" hidden="false" customHeight="false" outlineLevel="0" collapsed="false">
      <c r="A144" s="10" t="str">
        <f aca="false">IF($M144="","",INDEX(伝票元!$P$6:$P$511,$M144))</f>
        <v/>
      </c>
      <c r="B144" s="45" t="str">
        <f aca="false">IF($M144="","",INDEX(伝票元!$D$6:$D$511,$M144))</f>
        <v/>
      </c>
      <c r="C144" s="10" t="str">
        <f aca="false">IF($M144="","",INDEX(伝票元!$E$6:$E$511,$M144))</f>
        <v/>
      </c>
      <c r="D144" s="45" t="str">
        <f aca="false">IF($M144="","",INDEX(伝票元!$A$6:$A$511,$M144))</f>
        <v/>
      </c>
      <c r="E144" s="10" t="str">
        <f aca="false">IF(IF($M144="",0,INDEX(伝票元!$N$6:$N$511,$M144))=1,INDEX(伝票元!$I$6:$I$511,$M144),"")</f>
        <v/>
      </c>
      <c r="F144" s="45" t="str">
        <f aca="false">IF(IF($M144="",0,INDEX(伝票元!$N$6:$N$511,$M144))=1,INDEX(伝票元!$J$6:$J$511,$M144),"")</f>
        <v/>
      </c>
      <c r="G144" s="42" t="str">
        <f aca="false">IF(IF($M144="",0,INDEX(伝票元!$N$6:$N$511,$M144))=1,INDEX(伝票元!$Q$6:$Q$511,$M144),"")</f>
        <v/>
      </c>
      <c r="H144" s="45" t="str">
        <f aca="false">IF($M144="","",INDEX(伝票元!$F$6:$F$511,$M144))</f>
        <v/>
      </c>
      <c r="I144" s="45" t="str">
        <f aca="false">IF($M144="","",INDEX(伝票元!$G$6:$G$511,$M144))</f>
        <v/>
      </c>
      <c r="J144" s="42" t="str">
        <f aca="false">IF($M144="","",INDEX(伝票元!$H$6:$H$511,$M144))</f>
        <v/>
      </c>
      <c r="K144" s="46" t="str">
        <f aca="false">IF(IF($M144="",0,INDEX(伝票元!$N$6:$N$511,$M144))=1,INDEX(伝票元!$R$6:$R$511,$M144),"")</f>
        <v/>
      </c>
      <c r="L144" s="47" t="str">
        <f aca="false">IF($M144="","",INDEX(伝票元!$S$6:$S$511,$M144))</f>
        <v/>
      </c>
      <c r="M144" s="47" t="str">
        <f aca="false">IFERROR(MATCH(138,伝票元!$O$6:$O$511,0),"")</f>
        <v/>
      </c>
    </row>
    <row r="145" customFormat="false" ht="15" hidden="false" customHeight="false" outlineLevel="0" collapsed="false">
      <c r="A145" s="10" t="str">
        <f aca="false">IF($M145="","",INDEX(伝票元!$P$6:$P$511,$M145))</f>
        <v/>
      </c>
      <c r="B145" s="45" t="str">
        <f aca="false">IF($M145="","",INDEX(伝票元!$D$6:$D$511,$M145))</f>
        <v/>
      </c>
      <c r="C145" s="10" t="str">
        <f aca="false">IF($M145="","",INDEX(伝票元!$E$6:$E$511,$M145))</f>
        <v/>
      </c>
      <c r="D145" s="45" t="str">
        <f aca="false">IF($M145="","",INDEX(伝票元!$A$6:$A$511,$M145))</f>
        <v/>
      </c>
      <c r="E145" s="10" t="str">
        <f aca="false">IF(IF($M145="",0,INDEX(伝票元!$N$6:$N$511,$M145))=1,INDEX(伝票元!$I$6:$I$511,$M145),"")</f>
        <v/>
      </c>
      <c r="F145" s="45" t="str">
        <f aca="false">IF(IF($M145="",0,INDEX(伝票元!$N$6:$N$511,$M145))=1,INDEX(伝票元!$J$6:$J$511,$M145),"")</f>
        <v/>
      </c>
      <c r="G145" s="42" t="str">
        <f aca="false">IF(IF($M145="",0,INDEX(伝票元!$N$6:$N$511,$M145))=1,INDEX(伝票元!$Q$6:$Q$511,$M145),"")</f>
        <v/>
      </c>
      <c r="H145" s="45" t="str">
        <f aca="false">IF($M145="","",INDEX(伝票元!$F$6:$F$511,$M145))</f>
        <v/>
      </c>
      <c r="I145" s="45" t="str">
        <f aca="false">IF($M145="","",INDEX(伝票元!$G$6:$G$511,$M145))</f>
        <v/>
      </c>
      <c r="J145" s="42" t="str">
        <f aca="false">IF($M145="","",INDEX(伝票元!$H$6:$H$511,$M145))</f>
        <v/>
      </c>
      <c r="K145" s="46" t="str">
        <f aca="false">IF(IF($M145="",0,INDEX(伝票元!$N$6:$N$511,$M145))=1,INDEX(伝票元!$R$6:$R$511,$M145),"")</f>
        <v/>
      </c>
      <c r="L145" s="47" t="str">
        <f aca="false">IF($M145="","",INDEX(伝票元!$S$6:$S$511,$M145))</f>
        <v/>
      </c>
      <c r="M145" s="47" t="str">
        <f aca="false">IFERROR(MATCH(139,伝票元!$O$6:$O$511,0),"")</f>
        <v/>
      </c>
    </row>
    <row r="146" customFormat="false" ht="15" hidden="false" customHeight="false" outlineLevel="0" collapsed="false">
      <c r="A146" s="10" t="str">
        <f aca="false">IF($M146="","",INDEX(伝票元!$P$6:$P$511,$M146))</f>
        <v/>
      </c>
      <c r="B146" s="45" t="str">
        <f aca="false">IF($M146="","",INDEX(伝票元!$D$6:$D$511,$M146))</f>
        <v/>
      </c>
      <c r="C146" s="10" t="str">
        <f aca="false">IF($M146="","",INDEX(伝票元!$E$6:$E$511,$M146))</f>
        <v/>
      </c>
      <c r="D146" s="45" t="str">
        <f aca="false">IF($M146="","",INDEX(伝票元!$A$6:$A$511,$M146))</f>
        <v/>
      </c>
      <c r="E146" s="10" t="str">
        <f aca="false">IF(IF($M146="",0,INDEX(伝票元!$N$6:$N$511,$M146))=1,INDEX(伝票元!$I$6:$I$511,$M146),"")</f>
        <v/>
      </c>
      <c r="F146" s="45" t="str">
        <f aca="false">IF(IF($M146="",0,INDEX(伝票元!$N$6:$N$511,$M146))=1,INDEX(伝票元!$J$6:$J$511,$M146),"")</f>
        <v/>
      </c>
      <c r="G146" s="42" t="str">
        <f aca="false">IF(IF($M146="",0,INDEX(伝票元!$N$6:$N$511,$M146))=1,INDEX(伝票元!$Q$6:$Q$511,$M146),"")</f>
        <v/>
      </c>
      <c r="H146" s="45" t="str">
        <f aca="false">IF($M146="","",INDEX(伝票元!$F$6:$F$511,$M146))</f>
        <v/>
      </c>
      <c r="I146" s="45" t="str">
        <f aca="false">IF($M146="","",INDEX(伝票元!$G$6:$G$511,$M146))</f>
        <v/>
      </c>
      <c r="J146" s="42" t="str">
        <f aca="false">IF($M146="","",INDEX(伝票元!$H$6:$H$511,$M146))</f>
        <v/>
      </c>
      <c r="K146" s="46" t="str">
        <f aca="false">IF(IF($M146="",0,INDEX(伝票元!$N$6:$N$511,$M146))=1,INDEX(伝票元!$R$6:$R$511,$M146),"")</f>
        <v/>
      </c>
      <c r="L146" s="47" t="str">
        <f aca="false">IF($M146="","",INDEX(伝票元!$S$6:$S$511,$M146))</f>
        <v/>
      </c>
      <c r="M146" s="47" t="str">
        <f aca="false">IFERROR(MATCH(140,伝票元!$O$6:$O$511,0),"")</f>
        <v/>
      </c>
    </row>
    <row r="147" customFormat="false" ht="15" hidden="false" customHeight="false" outlineLevel="0" collapsed="false">
      <c r="A147" s="10" t="str">
        <f aca="false">IF($M147="","",INDEX(伝票元!$P$6:$P$511,$M147))</f>
        <v/>
      </c>
      <c r="B147" s="45" t="str">
        <f aca="false">IF($M147="","",INDEX(伝票元!$D$6:$D$511,$M147))</f>
        <v/>
      </c>
      <c r="C147" s="10" t="str">
        <f aca="false">IF($M147="","",INDEX(伝票元!$E$6:$E$511,$M147))</f>
        <v/>
      </c>
      <c r="D147" s="45" t="str">
        <f aca="false">IF($M147="","",INDEX(伝票元!$A$6:$A$511,$M147))</f>
        <v/>
      </c>
      <c r="E147" s="10" t="str">
        <f aca="false">IF(IF($M147="",0,INDEX(伝票元!$N$6:$N$511,$M147))=1,INDEX(伝票元!$I$6:$I$511,$M147),"")</f>
        <v/>
      </c>
      <c r="F147" s="45" t="str">
        <f aca="false">IF(IF($M147="",0,INDEX(伝票元!$N$6:$N$511,$M147))=1,INDEX(伝票元!$J$6:$J$511,$M147),"")</f>
        <v/>
      </c>
      <c r="G147" s="42" t="str">
        <f aca="false">IF(IF($M147="",0,INDEX(伝票元!$N$6:$N$511,$M147))=1,INDEX(伝票元!$Q$6:$Q$511,$M147),"")</f>
        <v/>
      </c>
      <c r="H147" s="45" t="str">
        <f aca="false">IF($M147="","",INDEX(伝票元!$F$6:$F$511,$M147))</f>
        <v/>
      </c>
      <c r="I147" s="45" t="str">
        <f aca="false">IF($M147="","",INDEX(伝票元!$G$6:$G$511,$M147))</f>
        <v/>
      </c>
      <c r="J147" s="42" t="str">
        <f aca="false">IF($M147="","",INDEX(伝票元!$H$6:$H$511,$M147))</f>
        <v/>
      </c>
      <c r="K147" s="46" t="str">
        <f aca="false">IF(IF($M147="",0,INDEX(伝票元!$N$6:$N$511,$M147))=1,INDEX(伝票元!$R$6:$R$511,$M147),"")</f>
        <v/>
      </c>
      <c r="L147" s="47" t="str">
        <f aca="false">IF($M147="","",INDEX(伝票元!$S$6:$S$511,$M147))</f>
        <v/>
      </c>
      <c r="M147" s="47" t="str">
        <f aca="false">IFERROR(MATCH(141,伝票元!$O$6:$O$511,0),"")</f>
        <v/>
      </c>
    </row>
    <row r="148" customFormat="false" ht="15" hidden="false" customHeight="false" outlineLevel="0" collapsed="false">
      <c r="A148" s="10" t="str">
        <f aca="false">IF($M148="","",INDEX(伝票元!$P$6:$P$511,$M148))</f>
        <v/>
      </c>
      <c r="B148" s="45" t="str">
        <f aca="false">IF($M148="","",INDEX(伝票元!$D$6:$D$511,$M148))</f>
        <v/>
      </c>
      <c r="C148" s="10" t="str">
        <f aca="false">IF($M148="","",INDEX(伝票元!$E$6:$E$511,$M148))</f>
        <v/>
      </c>
      <c r="D148" s="45" t="str">
        <f aca="false">IF($M148="","",INDEX(伝票元!$A$6:$A$511,$M148))</f>
        <v/>
      </c>
      <c r="E148" s="10" t="str">
        <f aca="false">IF(IF($M148="",0,INDEX(伝票元!$N$6:$N$511,$M148))=1,INDEX(伝票元!$I$6:$I$511,$M148),"")</f>
        <v/>
      </c>
      <c r="F148" s="45" t="str">
        <f aca="false">IF(IF($M148="",0,INDEX(伝票元!$N$6:$N$511,$M148))=1,INDEX(伝票元!$J$6:$J$511,$M148),"")</f>
        <v/>
      </c>
      <c r="G148" s="42" t="str">
        <f aca="false">IF(IF($M148="",0,INDEX(伝票元!$N$6:$N$511,$M148))=1,INDEX(伝票元!$Q$6:$Q$511,$M148),"")</f>
        <v/>
      </c>
      <c r="H148" s="45" t="str">
        <f aca="false">IF($M148="","",INDEX(伝票元!$F$6:$F$511,$M148))</f>
        <v/>
      </c>
      <c r="I148" s="45" t="str">
        <f aca="false">IF($M148="","",INDEX(伝票元!$G$6:$G$511,$M148))</f>
        <v/>
      </c>
      <c r="J148" s="42" t="str">
        <f aca="false">IF($M148="","",INDEX(伝票元!$H$6:$H$511,$M148))</f>
        <v/>
      </c>
      <c r="K148" s="46" t="str">
        <f aca="false">IF(IF($M148="",0,INDEX(伝票元!$N$6:$N$511,$M148))=1,INDEX(伝票元!$R$6:$R$511,$M148),"")</f>
        <v/>
      </c>
      <c r="L148" s="47" t="str">
        <f aca="false">IF($M148="","",INDEX(伝票元!$S$6:$S$511,$M148))</f>
        <v/>
      </c>
      <c r="M148" s="47" t="str">
        <f aca="false">IFERROR(MATCH(142,伝票元!$O$6:$O$511,0),"")</f>
        <v/>
      </c>
    </row>
    <row r="149" customFormat="false" ht="15" hidden="false" customHeight="false" outlineLevel="0" collapsed="false">
      <c r="A149" s="10" t="str">
        <f aca="false">IF($M149="","",INDEX(伝票元!$P$6:$P$511,$M149))</f>
        <v/>
      </c>
      <c r="B149" s="45" t="str">
        <f aca="false">IF($M149="","",INDEX(伝票元!$D$6:$D$511,$M149))</f>
        <v/>
      </c>
      <c r="C149" s="10" t="str">
        <f aca="false">IF($M149="","",INDEX(伝票元!$E$6:$E$511,$M149))</f>
        <v/>
      </c>
      <c r="D149" s="45" t="str">
        <f aca="false">IF($M149="","",INDEX(伝票元!$A$6:$A$511,$M149))</f>
        <v/>
      </c>
      <c r="E149" s="10" t="str">
        <f aca="false">IF(IF($M149="",0,INDEX(伝票元!$N$6:$N$511,$M149))=1,INDEX(伝票元!$I$6:$I$511,$M149),"")</f>
        <v/>
      </c>
      <c r="F149" s="45" t="str">
        <f aca="false">IF(IF($M149="",0,INDEX(伝票元!$N$6:$N$511,$M149))=1,INDEX(伝票元!$J$6:$J$511,$M149),"")</f>
        <v/>
      </c>
      <c r="G149" s="42" t="str">
        <f aca="false">IF(IF($M149="",0,INDEX(伝票元!$N$6:$N$511,$M149))=1,INDEX(伝票元!$Q$6:$Q$511,$M149),"")</f>
        <v/>
      </c>
      <c r="H149" s="45" t="str">
        <f aca="false">IF($M149="","",INDEX(伝票元!$F$6:$F$511,$M149))</f>
        <v/>
      </c>
      <c r="I149" s="45" t="str">
        <f aca="false">IF($M149="","",INDEX(伝票元!$G$6:$G$511,$M149))</f>
        <v/>
      </c>
      <c r="J149" s="42" t="str">
        <f aca="false">IF($M149="","",INDEX(伝票元!$H$6:$H$511,$M149))</f>
        <v/>
      </c>
      <c r="K149" s="46" t="str">
        <f aca="false">IF(IF($M149="",0,INDEX(伝票元!$N$6:$N$511,$M149))=1,INDEX(伝票元!$R$6:$R$511,$M149),"")</f>
        <v/>
      </c>
      <c r="L149" s="47" t="str">
        <f aca="false">IF($M149="","",INDEX(伝票元!$S$6:$S$511,$M149))</f>
        <v/>
      </c>
      <c r="M149" s="47" t="str">
        <f aca="false">IFERROR(MATCH(143,伝票元!$O$6:$O$511,0),"")</f>
        <v/>
      </c>
    </row>
    <row r="150" customFormat="false" ht="15" hidden="false" customHeight="false" outlineLevel="0" collapsed="false">
      <c r="A150" s="10" t="str">
        <f aca="false">IF($M150="","",INDEX(伝票元!$P$6:$P$511,$M150))</f>
        <v/>
      </c>
      <c r="B150" s="45" t="str">
        <f aca="false">IF($M150="","",INDEX(伝票元!$D$6:$D$511,$M150))</f>
        <v/>
      </c>
      <c r="C150" s="10" t="str">
        <f aca="false">IF($M150="","",INDEX(伝票元!$E$6:$E$511,$M150))</f>
        <v/>
      </c>
      <c r="D150" s="45" t="str">
        <f aca="false">IF($M150="","",INDEX(伝票元!$A$6:$A$511,$M150))</f>
        <v/>
      </c>
      <c r="E150" s="10" t="str">
        <f aca="false">IF(IF($M150="",0,INDEX(伝票元!$N$6:$N$511,$M150))=1,INDEX(伝票元!$I$6:$I$511,$M150),"")</f>
        <v/>
      </c>
      <c r="F150" s="45" t="str">
        <f aca="false">IF(IF($M150="",0,INDEX(伝票元!$N$6:$N$511,$M150))=1,INDEX(伝票元!$J$6:$J$511,$M150),"")</f>
        <v/>
      </c>
      <c r="G150" s="42" t="str">
        <f aca="false">IF(IF($M150="",0,INDEX(伝票元!$N$6:$N$511,$M150))=1,INDEX(伝票元!$Q$6:$Q$511,$M150),"")</f>
        <v/>
      </c>
      <c r="H150" s="45" t="str">
        <f aca="false">IF($M150="","",INDEX(伝票元!$F$6:$F$511,$M150))</f>
        <v/>
      </c>
      <c r="I150" s="45" t="str">
        <f aca="false">IF($M150="","",INDEX(伝票元!$G$6:$G$511,$M150))</f>
        <v/>
      </c>
      <c r="J150" s="42" t="str">
        <f aca="false">IF($M150="","",INDEX(伝票元!$H$6:$H$511,$M150))</f>
        <v/>
      </c>
      <c r="K150" s="46" t="str">
        <f aca="false">IF(IF($M150="",0,INDEX(伝票元!$N$6:$N$511,$M150))=1,INDEX(伝票元!$R$6:$R$511,$M150),"")</f>
        <v/>
      </c>
      <c r="L150" s="47" t="str">
        <f aca="false">IF($M150="","",INDEX(伝票元!$S$6:$S$511,$M150))</f>
        <v/>
      </c>
      <c r="M150" s="47" t="str">
        <f aca="false">IFERROR(MATCH(144,伝票元!$O$6:$O$511,0),"")</f>
        <v/>
      </c>
    </row>
    <row r="151" customFormat="false" ht="15" hidden="false" customHeight="false" outlineLevel="0" collapsed="false">
      <c r="A151" s="10" t="str">
        <f aca="false">IF($M151="","",INDEX(伝票元!$P$6:$P$511,$M151))</f>
        <v/>
      </c>
      <c r="B151" s="45" t="str">
        <f aca="false">IF($M151="","",INDEX(伝票元!$D$6:$D$511,$M151))</f>
        <v/>
      </c>
      <c r="C151" s="10" t="str">
        <f aca="false">IF($M151="","",INDEX(伝票元!$E$6:$E$511,$M151))</f>
        <v/>
      </c>
      <c r="D151" s="45" t="str">
        <f aca="false">IF($M151="","",INDEX(伝票元!$A$6:$A$511,$M151))</f>
        <v/>
      </c>
      <c r="E151" s="10" t="str">
        <f aca="false">IF(IF($M151="",0,INDEX(伝票元!$N$6:$N$511,$M151))=1,INDEX(伝票元!$I$6:$I$511,$M151),"")</f>
        <v/>
      </c>
      <c r="F151" s="45" t="str">
        <f aca="false">IF(IF($M151="",0,INDEX(伝票元!$N$6:$N$511,$M151))=1,INDEX(伝票元!$J$6:$J$511,$M151),"")</f>
        <v/>
      </c>
      <c r="G151" s="42" t="str">
        <f aca="false">IF(IF($M151="",0,INDEX(伝票元!$N$6:$N$511,$M151))=1,INDEX(伝票元!$Q$6:$Q$511,$M151),"")</f>
        <v/>
      </c>
      <c r="H151" s="45" t="str">
        <f aca="false">IF($M151="","",INDEX(伝票元!$F$6:$F$511,$M151))</f>
        <v/>
      </c>
      <c r="I151" s="45" t="str">
        <f aca="false">IF($M151="","",INDEX(伝票元!$G$6:$G$511,$M151))</f>
        <v/>
      </c>
      <c r="J151" s="42" t="str">
        <f aca="false">IF($M151="","",INDEX(伝票元!$H$6:$H$511,$M151))</f>
        <v/>
      </c>
      <c r="K151" s="46" t="str">
        <f aca="false">IF(IF($M151="",0,INDEX(伝票元!$N$6:$N$511,$M151))=1,INDEX(伝票元!$R$6:$R$511,$M151),"")</f>
        <v/>
      </c>
      <c r="L151" s="47" t="str">
        <f aca="false">IF($M151="","",INDEX(伝票元!$S$6:$S$511,$M151))</f>
        <v/>
      </c>
      <c r="M151" s="47" t="str">
        <f aca="false">IFERROR(MATCH(145,伝票元!$O$6:$O$511,0),"")</f>
        <v/>
      </c>
    </row>
    <row r="152" customFormat="false" ht="15" hidden="false" customHeight="false" outlineLevel="0" collapsed="false">
      <c r="A152" s="10" t="str">
        <f aca="false">IF($M152="","",INDEX(伝票元!$P$6:$P$511,$M152))</f>
        <v/>
      </c>
      <c r="B152" s="45" t="str">
        <f aca="false">IF($M152="","",INDEX(伝票元!$D$6:$D$511,$M152))</f>
        <v/>
      </c>
      <c r="C152" s="10" t="str">
        <f aca="false">IF($M152="","",INDEX(伝票元!$E$6:$E$511,$M152))</f>
        <v/>
      </c>
      <c r="D152" s="45" t="str">
        <f aca="false">IF($M152="","",INDEX(伝票元!$A$6:$A$511,$M152))</f>
        <v/>
      </c>
      <c r="E152" s="10" t="str">
        <f aca="false">IF(IF($M152="",0,INDEX(伝票元!$N$6:$N$511,$M152))=1,INDEX(伝票元!$I$6:$I$511,$M152),"")</f>
        <v/>
      </c>
      <c r="F152" s="45" t="str">
        <f aca="false">IF(IF($M152="",0,INDEX(伝票元!$N$6:$N$511,$M152))=1,INDEX(伝票元!$J$6:$J$511,$M152),"")</f>
        <v/>
      </c>
      <c r="G152" s="42" t="str">
        <f aca="false">IF(IF($M152="",0,INDEX(伝票元!$N$6:$N$511,$M152))=1,INDEX(伝票元!$Q$6:$Q$511,$M152),"")</f>
        <v/>
      </c>
      <c r="H152" s="45" t="str">
        <f aca="false">IF($M152="","",INDEX(伝票元!$F$6:$F$511,$M152))</f>
        <v/>
      </c>
      <c r="I152" s="45" t="str">
        <f aca="false">IF($M152="","",INDEX(伝票元!$G$6:$G$511,$M152))</f>
        <v/>
      </c>
      <c r="J152" s="42" t="str">
        <f aca="false">IF($M152="","",INDEX(伝票元!$H$6:$H$511,$M152))</f>
        <v/>
      </c>
      <c r="K152" s="46" t="str">
        <f aca="false">IF(IF($M152="",0,INDEX(伝票元!$N$6:$N$511,$M152))=1,INDEX(伝票元!$R$6:$R$511,$M152),"")</f>
        <v/>
      </c>
      <c r="L152" s="47" t="str">
        <f aca="false">IF($M152="","",INDEX(伝票元!$S$6:$S$511,$M152))</f>
        <v/>
      </c>
      <c r="M152" s="47" t="str">
        <f aca="false">IFERROR(MATCH(146,伝票元!$O$6:$O$511,0),"")</f>
        <v/>
      </c>
    </row>
    <row r="153" customFormat="false" ht="15" hidden="false" customHeight="false" outlineLevel="0" collapsed="false">
      <c r="A153" s="10" t="str">
        <f aca="false">IF($M153="","",INDEX(伝票元!$P$6:$P$511,$M153))</f>
        <v/>
      </c>
      <c r="B153" s="45" t="str">
        <f aca="false">IF($M153="","",INDEX(伝票元!$D$6:$D$511,$M153))</f>
        <v/>
      </c>
      <c r="C153" s="10" t="str">
        <f aca="false">IF($M153="","",INDEX(伝票元!$E$6:$E$511,$M153))</f>
        <v/>
      </c>
      <c r="D153" s="45" t="str">
        <f aca="false">IF($M153="","",INDEX(伝票元!$A$6:$A$511,$M153))</f>
        <v/>
      </c>
      <c r="E153" s="10" t="str">
        <f aca="false">IF(IF($M153="",0,INDEX(伝票元!$N$6:$N$511,$M153))=1,INDEX(伝票元!$I$6:$I$511,$M153),"")</f>
        <v/>
      </c>
      <c r="F153" s="45" t="str">
        <f aca="false">IF(IF($M153="",0,INDEX(伝票元!$N$6:$N$511,$M153))=1,INDEX(伝票元!$J$6:$J$511,$M153),"")</f>
        <v/>
      </c>
      <c r="G153" s="42" t="str">
        <f aca="false">IF(IF($M153="",0,INDEX(伝票元!$N$6:$N$511,$M153))=1,INDEX(伝票元!$Q$6:$Q$511,$M153),"")</f>
        <v/>
      </c>
      <c r="H153" s="45" t="str">
        <f aca="false">IF($M153="","",INDEX(伝票元!$F$6:$F$511,$M153))</f>
        <v/>
      </c>
      <c r="I153" s="45" t="str">
        <f aca="false">IF($M153="","",INDEX(伝票元!$G$6:$G$511,$M153))</f>
        <v/>
      </c>
      <c r="J153" s="42" t="str">
        <f aca="false">IF($M153="","",INDEX(伝票元!$H$6:$H$511,$M153))</f>
        <v/>
      </c>
      <c r="K153" s="46" t="str">
        <f aca="false">IF(IF($M153="",0,INDEX(伝票元!$N$6:$N$511,$M153))=1,INDEX(伝票元!$R$6:$R$511,$M153),"")</f>
        <v/>
      </c>
      <c r="L153" s="47" t="str">
        <f aca="false">IF($M153="","",INDEX(伝票元!$S$6:$S$511,$M153))</f>
        <v/>
      </c>
      <c r="M153" s="47" t="str">
        <f aca="false">IFERROR(MATCH(147,伝票元!$O$6:$O$511,0),"")</f>
        <v/>
      </c>
    </row>
    <row r="154" customFormat="false" ht="15" hidden="false" customHeight="false" outlineLevel="0" collapsed="false">
      <c r="A154" s="10" t="str">
        <f aca="false">IF($M154="","",INDEX(伝票元!$P$6:$P$511,$M154))</f>
        <v/>
      </c>
      <c r="B154" s="45" t="str">
        <f aca="false">IF($M154="","",INDEX(伝票元!$D$6:$D$511,$M154))</f>
        <v/>
      </c>
      <c r="C154" s="10" t="str">
        <f aca="false">IF($M154="","",INDEX(伝票元!$E$6:$E$511,$M154))</f>
        <v/>
      </c>
      <c r="D154" s="45" t="str">
        <f aca="false">IF($M154="","",INDEX(伝票元!$A$6:$A$511,$M154))</f>
        <v/>
      </c>
      <c r="E154" s="10" t="str">
        <f aca="false">IF(IF($M154="",0,INDEX(伝票元!$N$6:$N$511,$M154))=1,INDEX(伝票元!$I$6:$I$511,$M154),"")</f>
        <v/>
      </c>
      <c r="F154" s="45" t="str">
        <f aca="false">IF(IF($M154="",0,INDEX(伝票元!$N$6:$N$511,$M154))=1,INDEX(伝票元!$J$6:$J$511,$M154),"")</f>
        <v/>
      </c>
      <c r="G154" s="42" t="str">
        <f aca="false">IF(IF($M154="",0,INDEX(伝票元!$N$6:$N$511,$M154))=1,INDEX(伝票元!$Q$6:$Q$511,$M154),"")</f>
        <v/>
      </c>
      <c r="H154" s="45" t="str">
        <f aca="false">IF($M154="","",INDEX(伝票元!$F$6:$F$511,$M154))</f>
        <v/>
      </c>
      <c r="I154" s="45" t="str">
        <f aca="false">IF($M154="","",INDEX(伝票元!$G$6:$G$511,$M154))</f>
        <v/>
      </c>
      <c r="J154" s="42" t="str">
        <f aca="false">IF($M154="","",INDEX(伝票元!$H$6:$H$511,$M154))</f>
        <v/>
      </c>
      <c r="K154" s="46" t="str">
        <f aca="false">IF(IF($M154="",0,INDEX(伝票元!$N$6:$N$511,$M154))=1,INDEX(伝票元!$R$6:$R$511,$M154),"")</f>
        <v/>
      </c>
      <c r="L154" s="47" t="str">
        <f aca="false">IF($M154="","",INDEX(伝票元!$S$6:$S$511,$M154))</f>
        <v/>
      </c>
      <c r="M154" s="47" t="str">
        <f aca="false">IFERROR(MATCH(148,伝票元!$O$6:$O$511,0),"")</f>
        <v/>
      </c>
    </row>
    <row r="155" customFormat="false" ht="15" hidden="false" customHeight="false" outlineLevel="0" collapsed="false">
      <c r="A155" s="10" t="str">
        <f aca="false">IF($M155="","",INDEX(伝票元!$P$6:$P$511,$M155))</f>
        <v/>
      </c>
      <c r="B155" s="45" t="str">
        <f aca="false">IF($M155="","",INDEX(伝票元!$D$6:$D$511,$M155))</f>
        <v/>
      </c>
      <c r="C155" s="10" t="str">
        <f aca="false">IF($M155="","",INDEX(伝票元!$E$6:$E$511,$M155))</f>
        <v/>
      </c>
      <c r="D155" s="45" t="str">
        <f aca="false">IF($M155="","",INDEX(伝票元!$A$6:$A$511,$M155))</f>
        <v/>
      </c>
      <c r="E155" s="10" t="str">
        <f aca="false">IF(IF($M155="",0,INDEX(伝票元!$N$6:$N$511,$M155))=1,INDEX(伝票元!$I$6:$I$511,$M155),"")</f>
        <v/>
      </c>
      <c r="F155" s="45" t="str">
        <f aca="false">IF(IF($M155="",0,INDEX(伝票元!$N$6:$N$511,$M155))=1,INDEX(伝票元!$J$6:$J$511,$M155),"")</f>
        <v/>
      </c>
      <c r="G155" s="42" t="str">
        <f aca="false">IF(IF($M155="",0,INDEX(伝票元!$N$6:$N$511,$M155))=1,INDEX(伝票元!$Q$6:$Q$511,$M155),"")</f>
        <v/>
      </c>
      <c r="H155" s="45" t="str">
        <f aca="false">IF($M155="","",INDEX(伝票元!$F$6:$F$511,$M155))</f>
        <v/>
      </c>
      <c r="I155" s="45" t="str">
        <f aca="false">IF($M155="","",INDEX(伝票元!$G$6:$G$511,$M155))</f>
        <v/>
      </c>
      <c r="J155" s="42" t="str">
        <f aca="false">IF($M155="","",INDEX(伝票元!$H$6:$H$511,$M155))</f>
        <v/>
      </c>
      <c r="K155" s="46" t="str">
        <f aca="false">IF(IF($M155="",0,INDEX(伝票元!$N$6:$N$511,$M155))=1,INDEX(伝票元!$R$6:$R$511,$M155),"")</f>
        <v/>
      </c>
      <c r="L155" s="47" t="str">
        <f aca="false">IF($M155="","",INDEX(伝票元!$S$6:$S$511,$M155))</f>
        <v/>
      </c>
      <c r="M155" s="47" t="str">
        <f aca="false">IFERROR(MATCH(149,伝票元!$O$6:$O$511,0),"")</f>
        <v/>
      </c>
    </row>
    <row r="156" customFormat="false" ht="15" hidden="false" customHeight="false" outlineLevel="0" collapsed="false">
      <c r="A156" s="10" t="str">
        <f aca="false">IF($M156="","",INDEX(伝票元!$P$6:$P$511,$M156))</f>
        <v/>
      </c>
      <c r="B156" s="45" t="str">
        <f aca="false">IF($M156="","",INDEX(伝票元!$D$6:$D$511,$M156))</f>
        <v/>
      </c>
      <c r="C156" s="10" t="str">
        <f aca="false">IF($M156="","",INDEX(伝票元!$E$6:$E$511,$M156))</f>
        <v/>
      </c>
      <c r="D156" s="45" t="str">
        <f aca="false">IF($M156="","",INDEX(伝票元!$A$6:$A$511,$M156))</f>
        <v/>
      </c>
      <c r="E156" s="10" t="str">
        <f aca="false">IF(IF($M156="",0,INDEX(伝票元!$N$6:$N$511,$M156))=1,INDEX(伝票元!$I$6:$I$511,$M156),"")</f>
        <v/>
      </c>
      <c r="F156" s="45" t="str">
        <f aca="false">IF(IF($M156="",0,INDEX(伝票元!$N$6:$N$511,$M156))=1,INDEX(伝票元!$J$6:$J$511,$M156),"")</f>
        <v/>
      </c>
      <c r="G156" s="42" t="str">
        <f aca="false">IF(IF($M156="",0,INDEX(伝票元!$N$6:$N$511,$M156))=1,INDEX(伝票元!$Q$6:$Q$511,$M156),"")</f>
        <v/>
      </c>
      <c r="H156" s="45" t="str">
        <f aca="false">IF($M156="","",INDEX(伝票元!$F$6:$F$511,$M156))</f>
        <v/>
      </c>
      <c r="I156" s="45" t="str">
        <f aca="false">IF($M156="","",INDEX(伝票元!$G$6:$G$511,$M156))</f>
        <v/>
      </c>
      <c r="J156" s="42" t="str">
        <f aca="false">IF($M156="","",INDEX(伝票元!$H$6:$H$511,$M156))</f>
        <v/>
      </c>
      <c r="K156" s="46" t="str">
        <f aca="false">IF(IF($M156="",0,INDEX(伝票元!$N$6:$N$511,$M156))=1,INDEX(伝票元!$R$6:$R$511,$M156),"")</f>
        <v/>
      </c>
      <c r="L156" s="47" t="str">
        <f aca="false">IF($M156="","",INDEX(伝票元!$S$6:$S$511,$M156))</f>
        <v/>
      </c>
      <c r="M156" s="47" t="str">
        <f aca="false">IFERROR(MATCH(150,伝票元!$O$6:$O$511,0),"")</f>
        <v/>
      </c>
    </row>
    <row r="157" customFormat="false" ht="15" hidden="false" customHeight="false" outlineLevel="0" collapsed="false">
      <c r="A157" s="10" t="str">
        <f aca="false">IF($M157="","",INDEX(伝票元!$P$6:$P$511,$M157))</f>
        <v/>
      </c>
      <c r="B157" s="45" t="str">
        <f aca="false">IF($M157="","",INDEX(伝票元!$D$6:$D$511,$M157))</f>
        <v/>
      </c>
      <c r="C157" s="10" t="str">
        <f aca="false">IF($M157="","",INDEX(伝票元!$E$6:$E$511,$M157))</f>
        <v/>
      </c>
      <c r="D157" s="45" t="str">
        <f aca="false">IF($M157="","",INDEX(伝票元!$A$6:$A$511,$M157))</f>
        <v/>
      </c>
      <c r="E157" s="10" t="str">
        <f aca="false">IF(IF($M157="",0,INDEX(伝票元!$N$6:$N$511,$M157))=1,INDEX(伝票元!$I$6:$I$511,$M157),"")</f>
        <v/>
      </c>
      <c r="F157" s="45" t="str">
        <f aca="false">IF(IF($M157="",0,INDEX(伝票元!$N$6:$N$511,$M157))=1,INDEX(伝票元!$J$6:$J$511,$M157),"")</f>
        <v/>
      </c>
      <c r="G157" s="42" t="str">
        <f aca="false">IF(IF($M157="",0,INDEX(伝票元!$N$6:$N$511,$M157))=1,INDEX(伝票元!$Q$6:$Q$511,$M157),"")</f>
        <v/>
      </c>
      <c r="H157" s="45" t="str">
        <f aca="false">IF($M157="","",INDEX(伝票元!$F$6:$F$511,$M157))</f>
        <v/>
      </c>
      <c r="I157" s="45" t="str">
        <f aca="false">IF($M157="","",INDEX(伝票元!$G$6:$G$511,$M157))</f>
        <v/>
      </c>
      <c r="J157" s="42" t="str">
        <f aca="false">IF($M157="","",INDEX(伝票元!$H$6:$H$511,$M157))</f>
        <v/>
      </c>
      <c r="K157" s="46" t="str">
        <f aca="false">IF(IF($M157="",0,INDEX(伝票元!$N$6:$N$511,$M157))=1,INDEX(伝票元!$R$6:$R$511,$M157),"")</f>
        <v/>
      </c>
      <c r="L157" s="47" t="str">
        <f aca="false">IF($M157="","",INDEX(伝票元!$S$6:$S$511,$M157))</f>
        <v/>
      </c>
      <c r="M157" s="47" t="str">
        <f aca="false">IFERROR(MATCH(151,伝票元!$O$6:$O$511,0),"")</f>
        <v/>
      </c>
    </row>
    <row r="158" customFormat="false" ht="15" hidden="false" customHeight="false" outlineLevel="0" collapsed="false">
      <c r="A158" s="10" t="str">
        <f aca="false">IF($M158="","",INDEX(伝票元!$P$6:$P$511,$M158))</f>
        <v/>
      </c>
      <c r="B158" s="45" t="str">
        <f aca="false">IF($M158="","",INDEX(伝票元!$D$6:$D$511,$M158))</f>
        <v/>
      </c>
      <c r="C158" s="10" t="str">
        <f aca="false">IF($M158="","",INDEX(伝票元!$E$6:$E$511,$M158))</f>
        <v/>
      </c>
      <c r="D158" s="45" t="str">
        <f aca="false">IF($M158="","",INDEX(伝票元!$A$6:$A$511,$M158))</f>
        <v/>
      </c>
      <c r="E158" s="10" t="str">
        <f aca="false">IF(IF($M158="",0,INDEX(伝票元!$N$6:$N$511,$M158))=1,INDEX(伝票元!$I$6:$I$511,$M158),"")</f>
        <v/>
      </c>
      <c r="F158" s="45" t="str">
        <f aca="false">IF(IF($M158="",0,INDEX(伝票元!$N$6:$N$511,$M158))=1,INDEX(伝票元!$J$6:$J$511,$M158),"")</f>
        <v/>
      </c>
      <c r="G158" s="42" t="str">
        <f aca="false">IF(IF($M158="",0,INDEX(伝票元!$N$6:$N$511,$M158))=1,INDEX(伝票元!$Q$6:$Q$511,$M158),"")</f>
        <v/>
      </c>
      <c r="H158" s="45" t="str">
        <f aca="false">IF($M158="","",INDEX(伝票元!$F$6:$F$511,$M158))</f>
        <v/>
      </c>
      <c r="I158" s="45" t="str">
        <f aca="false">IF($M158="","",INDEX(伝票元!$G$6:$G$511,$M158))</f>
        <v/>
      </c>
      <c r="J158" s="42" t="str">
        <f aca="false">IF($M158="","",INDEX(伝票元!$H$6:$H$511,$M158))</f>
        <v/>
      </c>
      <c r="K158" s="46" t="str">
        <f aca="false">IF(IF($M158="",0,INDEX(伝票元!$N$6:$N$511,$M158))=1,INDEX(伝票元!$R$6:$R$511,$M158),"")</f>
        <v/>
      </c>
      <c r="L158" s="47" t="str">
        <f aca="false">IF($M158="","",INDEX(伝票元!$S$6:$S$511,$M158))</f>
        <v/>
      </c>
      <c r="M158" s="47" t="str">
        <f aca="false">IFERROR(MATCH(152,伝票元!$O$6:$O$511,0),"")</f>
        <v/>
      </c>
    </row>
    <row r="159" customFormat="false" ht="15" hidden="false" customHeight="false" outlineLevel="0" collapsed="false">
      <c r="A159" s="10" t="str">
        <f aca="false">IF($M159="","",INDEX(伝票元!$P$6:$P$511,$M159))</f>
        <v/>
      </c>
      <c r="B159" s="45" t="str">
        <f aca="false">IF($M159="","",INDEX(伝票元!$D$6:$D$511,$M159))</f>
        <v/>
      </c>
      <c r="C159" s="10" t="str">
        <f aca="false">IF($M159="","",INDEX(伝票元!$E$6:$E$511,$M159))</f>
        <v/>
      </c>
      <c r="D159" s="45" t="str">
        <f aca="false">IF($M159="","",INDEX(伝票元!$A$6:$A$511,$M159))</f>
        <v/>
      </c>
      <c r="E159" s="10" t="str">
        <f aca="false">IF(IF($M159="",0,INDEX(伝票元!$N$6:$N$511,$M159))=1,INDEX(伝票元!$I$6:$I$511,$M159),"")</f>
        <v/>
      </c>
      <c r="F159" s="45" t="str">
        <f aca="false">IF(IF($M159="",0,INDEX(伝票元!$N$6:$N$511,$M159))=1,INDEX(伝票元!$J$6:$J$511,$M159),"")</f>
        <v/>
      </c>
      <c r="G159" s="42" t="str">
        <f aca="false">IF(IF($M159="",0,INDEX(伝票元!$N$6:$N$511,$M159))=1,INDEX(伝票元!$Q$6:$Q$511,$M159),"")</f>
        <v/>
      </c>
      <c r="H159" s="45" t="str">
        <f aca="false">IF($M159="","",INDEX(伝票元!$F$6:$F$511,$M159))</f>
        <v/>
      </c>
      <c r="I159" s="45" t="str">
        <f aca="false">IF($M159="","",INDEX(伝票元!$G$6:$G$511,$M159))</f>
        <v/>
      </c>
      <c r="J159" s="42" t="str">
        <f aca="false">IF($M159="","",INDEX(伝票元!$H$6:$H$511,$M159))</f>
        <v/>
      </c>
      <c r="K159" s="46" t="str">
        <f aca="false">IF(IF($M159="",0,INDEX(伝票元!$N$6:$N$511,$M159))=1,INDEX(伝票元!$R$6:$R$511,$M159),"")</f>
        <v/>
      </c>
      <c r="L159" s="47" t="str">
        <f aca="false">IF($M159="","",INDEX(伝票元!$S$6:$S$511,$M159))</f>
        <v/>
      </c>
      <c r="M159" s="47" t="str">
        <f aca="false">IFERROR(MATCH(153,伝票元!$O$6:$O$511,0),"")</f>
        <v/>
      </c>
    </row>
    <row r="160" customFormat="false" ht="15" hidden="false" customHeight="false" outlineLevel="0" collapsed="false">
      <c r="A160" s="10" t="str">
        <f aca="false">IF($M160="","",INDEX(伝票元!$P$6:$P$511,$M160))</f>
        <v/>
      </c>
      <c r="B160" s="45" t="str">
        <f aca="false">IF($M160="","",INDEX(伝票元!$D$6:$D$511,$M160))</f>
        <v/>
      </c>
      <c r="C160" s="10" t="str">
        <f aca="false">IF($M160="","",INDEX(伝票元!$E$6:$E$511,$M160))</f>
        <v/>
      </c>
      <c r="D160" s="45" t="str">
        <f aca="false">IF($M160="","",INDEX(伝票元!$A$6:$A$511,$M160))</f>
        <v/>
      </c>
      <c r="E160" s="10" t="str">
        <f aca="false">IF(IF($M160="",0,INDEX(伝票元!$N$6:$N$511,$M160))=1,INDEX(伝票元!$I$6:$I$511,$M160),"")</f>
        <v/>
      </c>
      <c r="F160" s="45" t="str">
        <f aca="false">IF(IF($M160="",0,INDEX(伝票元!$N$6:$N$511,$M160))=1,INDEX(伝票元!$J$6:$J$511,$M160),"")</f>
        <v/>
      </c>
      <c r="G160" s="42" t="str">
        <f aca="false">IF(IF($M160="",0,INDEX(伝票元!$N$6:$N$511,$M160))=1,INDEX(伝票元!$Q$6:$Q$511,$M160),"")</f>
        <v/>
      </c>
      <c r="H160" s="45" t="str">
        <f aca="false">IF($M160="","",INDEX(伝票元!$F$6:$F$511,$M160))</f>
        <v/>
      </c>
      <c r="I160" s="45" t="str">
        <f aca="false">IF($M160="","",INDEX(伝票元!$G$6:$G$511,$M160))</f>
        <v/>
      </c>
      <c r="J160" s="42" t="str">
        <f aca="false">IF($M160="","",INDEX(伝票元!$H$6:$H$511,$M160))</f>
        <v/>
      </c>
      <c r="K160" s="46" t="str">
        <f aca="false">IF(IF($M160="",0,INDEX(伝票元!$N$6:$N$511,$M160))=1,INDEX(伝票元!$R$6:$R$511,$M160),"")</f>
        <v/>
      </c>
      <c r="L160" s="47" t="str">
        <f aca="false">IF($M160="","",INDEX(伝票元!$S$6:$S$511,$M160))</f>
        <v/>
      </c>
      <c r="M160" s="47" t="str">
        <f aca="false">IFERROR(MATCH(154,伝票元!$O$6:$O$511,0),"")</f>
        <v/>
      </c>
    </row>
    <row r="161" customFormat="false" ht="15" hidden="false" customHeight="false" outlineLevel="0" collapsed="false">
      <c r="A161" s="10" t="str">
        <f aca="false">IF($M161="","",INDEX(伝票元!$P$6:$P$511,$M161))</f>
        <v/>
      </c>
      <c r="B161" s="45" t="str">
        <f aca="false">IF($M161="","",INDEX(伝票元!$D$6:$D$511,$M161))</f>
        <v/>
      </c>
      <c r="C161" s="10" t="str">
        <f aca="false">IF($M161="","",INDEX(伝票元!$E$6:$E$511,$M161))</f>
        <v/>
      </c>
      <c r="D161" s="45" t="str">
        <f aca="false">IF($M161="","",INDEX(伝票元!$A$6:$A$511,$M161))</f>
        <v/>
      </c>
      <c r="E161" s="10" t="str">
        <f aca="false">IF(IF($M161="",0,INDEX(伝票元!$N$6:$N$511,$M161))=1,INDEX(伝票元!$I$6:$I$511,$M161),"")</f>
        <v/>
      </c>
      <c r="F161" s="45" t="str">
        <f aca="false">IF(IF($M161="",0,INDEX(伝票元!$N$6:$N$511,$M161))=1,INDEX(伝票元!$J$6:$J$511,$M161),"")</f>
        <v/>
      </c>
      <c r="G161" s="42" t="str">
        <f aca="false">IF(IF($M161="",0,INDEX(伝票元!$N$6:$N$511,$M161))=1,INDEX(伝票元!$Q$6:$Q$511,$M161),"")</f>
        <v/>
      </c>
      <c r="H161" s="45" t="str">
        <f aca="false">IF($M161="","",INDEX(伝票元!$F$6:$F$511,$M161))</f>
        <v/>
      </c>
      <c r="I161" s="45" t="str">
        <f aca="false">IF($M161="","",INDEX(伝票元!$G$6:$G$511,$M161))</f>
        <v/>
      </c>
      <c r="J161" s="42" t="str">
        <f aca="false">IF($M161="","",INDEX(伝票元!$H$6:$H$511,$M161))</f>
        <v/>
      </c>
      <c r="K161" s="46" t="str">
        <f aca="false">IF(IF($M161="",0,INDEX(伝票元!$N$6:$N$511,$M161))=1,INDEX(伝票元!$R$6:$R$511,$M161),"")</f>
        <v/>
      </c>
      <c r="L161" s="47" t="str">
        <f aca="false">IF($M161="","",INDEX(伝票元!$S$6:$S$511,$M161))</f>
        <v/>
      </c>
      <c r="M161" s="47" t="str">
        <f aca="false">IFERROR(MATCH(155,伝票元!$O$6:$O$511,0),"")</f>
        <v/>
      </c>
    </row>
    <row r="162" customFormat="false" ht="15" hidden="false" customHeight="false" outlineLevel="0" collapsed="false">
      <c r="A162" s="10" t="str">
        <f aca="false">IF($M162="","",INDEX(伝票元!$P$6:$P$511,$M162))</f>
        <v/>
      </c>
      <c r="B162" s="45" t="str">
        <f aca="false">IF($M162="","",INDEX(伝票元!$D$6:$D$511,$M162))</f>
        <v/>
      </c>
      <c r="C162" s="10" t="str">
        <f aca="false">IF($M162="","",INDEX(伝票元!$E$6:$E$511,$M162))</f>
        <v/>
      </c>
      <c r="D162" s="45" t="str">
        <f aca="false">IF($M162="","",INDEX(伝票元!$A$6:$A$511,$M162))</f>
        <v/>
      </c>
      <c r="E162" s="10" t="str">
        <f aca="false">IF(IF($M162="",0,INDEX(伝票元!$N$6:$N$511,$M162))=1,INDEX(伝票元!$I$6:$I$511,$M162),"")</f>
        <v/>
      </c>
      <c r="F162" s="45" t="str">
        <f aca="false">IF(IF($M162="",0,INDEX(伝票元!$N$6:$N$511,$M162))=1,INDEX(伝票元!$J$6:$J$511,$M162),"")</f>
        <v/>
      </c>
      <c r="G162" s="42" t="str">
        <f aca="false">IF(IF($M162="",0,INDEX(伝票元!$N$6:$N$511,$M162))=1,INDEX(伝票元!$Q$6:$Q$511,$M162),"")</f>
        <v/>
      </c>
      <c r="H162" s="45" t="str">
        <f aca="false">IF($M162="","",INDEX(伝票元!$F$6:$F$511,$M162))</f>
        <v/>
      </c>
      <c r="I162" s="45" t="str">
        <f aca="false">IF($M162="","",INDEX(伝票元!$G$6:$G$511,$M162))</f>
        <v/>
      </c>
      <c r="J162" s="42" t="str">
        <f aca="false">IF($M162="","",INDEX(伝票元!$H$6:$H$511,$M162))</f>
        <v/>
      </c>
      <c r="K162" s="46" t="str">
        <f aca="false">IF(IF($M162="",0,INDEX(伝票元!$N$6:$N$511,$M162))=1,INDEX(伝票元!$R$6:$R$511,$M162),"")</f>
        <v/>
      </c>
      <c r="L162" s="47" t="str">
        <f aca="false">IF($M162="","",INDEX(伝票元!$S$6:$S$511,$M162))</f>
        <v/>
      </c>
      <c r="M162" s="47" t="str">
        <f aca="false">IFERROR(MATCH(156,伝票元!$O$6:$O$511,0),"")</f>
        <v/>
      </c>
    </row>
    <row r="163" customFormat="false" ht="15" hidden="false" customHeight="false" outlineLevel="0" collapsed="false">
      <c r="A163" s="10" t="str">
        <f aca="false">IF($M163="","",INDEX(伝票元!$P$6:$P$511,$M163))</f>
        <v/>
      </c>
      <c r="B163" s="45" t="str">
        <f aca="false">IF($M163="","",INDEX(伝票元!$D$6:$D$511,$M163))</f>
        <v/>
      </c>
      <c r="C163" s="10" t="str">
        <f aca="false">IF($M163="","",INDEX(伝票元!$E$6:$E$511,$M163))</f>
        <v/>
      </c>
      <c r="D163" s="45" t="str">
        <f aca="false">IF($M163="","",INDEX(伝票元!$A$6:$A$511,$M163))</f>
        <v/>
      </c>
      <c r="E163" s="10" t="str">
        <f aca="false">IF(IF($M163="",0,INDEX(伝票元!$N$6:$N$511,$M163))=1,INDEX(伝票元!$I$6:$I$511,$M163),"")</f>
        <v/>
      </c>
      <c r="F163" s="45" t="str">
        <f aca="false">IF(IF($M163="",0,INDEX(伝票元!$N$6:$N$511,$M163))=1,INDEX(伝票元!$J$6:$J$511,$M163),"")</f>
        <v/>
      </c>
      <c r="G163" s="42" t="str">
        <f aca="false">IF(IF($M163="",0,INDEX(伝票元!$N$6:$N$511,$M163))=1,INDEX(伝票元!$Q$6:$Q$511,$M163),"")</f>
        <v/>
      </c>
      <c r="H163" s="45" t="str">
        <f aca="false">IF($M163="","",INDEX(伝票元!$F$6:$F$511,$M163))</f>
        <v/>
      </c>
      <c r="I163" s="45" t="str">
        <f aca="false">IF($M163="","",INDEX(伝票元!$G$6:$G$511,$M163))</f>
        <v/>
      </c>
      <c r="J163" s="42" t="str">
        <f aca="false">IF($M163="","",INDEX(伝票元!$H$6:$H$511,$M163))</f>
        <v/>
      </c>
      <c r="K163" s="46" t="str">
        <f aca="false">IF(IF($M163="",0,INDEX(伝票元!$N$6:$N$511,$M163))=1,INDEX(伝票元!$R$6:$R$511,$M163),"")</f>
        <v/>
      </c>
      <c r="L163" s="47" t="str">
        <f aca="false">IF($M163="","",INDEX(伝票元!$S$6:$S$511,$M163))</f>
        <v/>
      </c>
      <c r="M163" s="47" t="str">
        <f aca="false">IFERROR(MATCH(157,伝票元!$O$6:$O$511,0),"")</f>
        <v/>
      </c>
    </row>
    <row r="164" customFormat="false" ht="15" hidden="false" customHeight="false" outlineLevel="0" collapsed="false">
      <c r="A164" s="10" t="str">
        <f aca="false">IF($M164="","",INDEX(伝票元!$P$6:$P$511,$M164))</f>
        <v/>
      </c>
      <c r="B164" s="45" t="str">
        <f aca="false">IF($M164="","",INDEX(伝票元!$D$6:$D$511,$M164))</f>
        <v/>
      </c>
      <c r="C164" s="10" t="str">
        <f aca="false">IF($M164="","",INDEX(伝票元!$E$6:$E$511,$M164))</f>
        <v/>
      </c>
      <c r="D164" s="45" t="str">
        <f aca="false">IF($M164="","",INDEX(伝票元!$A$6:$A$511,$M164))</f>
        <v/>
      </c>
      <c r="E164" s="10" t="str">
        <f aca="false">IF(IF($M164="",0,INDEX(伝票元!$N$6:$N$511,$M164))=1,INDEX(伝票元!$I$6:$I$511,$M164),"")</f>
        <v/>
      </c>
      <c r="F164" s="45" t="str">
        <f aca="false">IF(IF($M164="",0,INDEX(伝票元!$N$6:$N$511,$M164))=1,INDEX(伝票元!$J$6:$J$511,$M164),"")</f>
        <v/>
      </c>
      <c r="G164" s="42" t="str">
        <f aca="false">IF(IF($M164="",0,INDEX(伝票元!$N$6:$N$511,$M164))=1,INDEX(伝票元!$Q$6:$Q$511,$M164),"")</f>
        <v/>
      </c>
      <c r="H164" s="45" t="str">
        <f aca="false">IF($M164="","",INDEX(伝票元!$F$6:$F$511,$M164))</f>
        <v/>
      </c>
      <c r="I164" s="45" t="str">
        <f aca="false">IF($M164="","",INDEX(伝票元!$G$6:$G$511,$M164))</f>
        <v/>
      </c>
      <c r="J164" s="42" t="str">
        <f aca="false">IF($M164="","",INDEX(伝票元!$H$6:$H$511,$M164))</f>
        <v/>
      </c>
      <c r="K164" s="46" t="str">
        <f aca="false">IF(IF($M164="",0,INDEX(伝票元!$N$6:$N$511,$M164))=1,INDEX(伝票元!$R$6:$R$511,$M164),"")</f>
        <v/>
      </c>
      <c r="L164" s="47" t="str">
        <f aca="false">IF($M164="","",INDEX(伝票元!$S$6:$S$511,$M164))</f>
        <v/>
      </c>
      <c r="M164" s="47" t="str">
        <f aca="false">IFERROR(MATCH(158,伝票元!$O$6:$O$511,0),"")</f>
        <v/>
      </c>
    </row>
    <row r="165" customFormat="false" ht="15" hidden="false" customHeight="false" outlineLevel="0" collapsed="false">
      <c r="A165" s="10" t="str">
        <f aca="false">IF($M165="","",INDEX(伝票元!$P$6:$P$511,$M165))</f>
        <v/>
      </c>
      <c r="B165" s="45" t="str">
        <f aca="false">IF($M165="","",INDEX(伝票元!$D$6:$D$511,$M165))</f>
        <v/>
      </c>
      <c r="C165" s="10" t="str">
        <f aca="false">IF($M165="","",INDEX(伝票元!$E$6:$E$511,$M165))</f>
        <v/>
      </c>
      <c r="D165" s="45" t="str">
        <f aca="false">IF($M165="","",INDEX(伝票元!$A$6:$A$511,$M165))</f>
        <v/>
      </c>
      <c r="E165" s="10" t="str">
        <f aca="false">IF(IF($M165="",0,INDEX(伝票元!$N$6:$N$511,$M165))=1,INDEX(伝票元!$I$6:$I$511,$M165),"")</f>
        <v/>
      </c>
      <c r="F165" s="45" t="str">
        <f aca="false">IF(IF($M165="",0,INDEX(伝票元!$N$6:$N$511,$M165))=1,INDEX(伝票元!$J$6:$J$511,$M165),"")</f>
        <v/>
      </c>
      <c r="G165" s="42" t="str">
        <f aca="false">IF(IF($M165="",0,INDEX(伝票元!$N$6:$N$511,$M165))=1,INDEX(伝票元!$Q$6:$Q$511,$M165),"")</f>
        <v/>
      </c>
      <c r="H165" s="45" t="str">
        <f aca="false">IF($M165="","",INDEX(伝票元!$F$6:$F$511,$M165))</f>
        <v/>
      </c>
      <c r="I165" s="45" t="str">
        <f aca="false">IF($M165="","",INDEX(伝票元!$G$6:$G$511,$M165))</f>
        <v/>
      </c>
      <c r="J165" s="42" t="str">
        <f aca="false">IF($M165="","",INDEX(伝票元!$H$6:$H$511,$M165))</f>
        <v/>
      </c>
      <c r="K165" s="46" t="str">
        <f aca="false">IF(IF($M165="",0,INDEX(伝票元!$N$6:$N$511,$M165))=1,INDEX(伝票元!$R$6:$R$511,$M165),"")</f>
        <v/>
      </c>
      <c r="L165" s="47" t="str">
        <f aca="false">IF($M165="","",INDEX(伝票元!$S$6:$S$511,$M165))</f>
        <v/>
      </c>
      <c r="M165" s="47" t="str">
        <f aca="false">IFERROR(MATCH(159,伝票元!$O$6:$O$511,0),"")</f>
        <v/>
      </c>
    </row>
    <row r="166" customFormat="false" ht="15" hidden="false" customHeight="false" outlineLevel="0" collapsed="false">
      <c r="A166" s="10" t="str">
        <f aca="false">IF($M166="","",INDEX(伝票元!$P$6:$P$511,$M166))</f>
        <v/>
      </c>
      <c r="B166" s="45" t="str">
        <f aca="false">IF($M166="","",INDEX(伝票元!$D$6:$D$511,$M166))</f>
        <v/>
      </c>
      <c r="C166" s="10" t="str">
        <f aca="false">IF($M166="","",INDEX(伝票元!$E$6:$E$511,$M166))</f>
        <v/>
      </c>
      <c r="D166" s="45" t="str">
        <f aca="false">IF($M166="","",INDEX(伝票元!$A$6:$A$511,$M166))</f>
        <v/>
      </c>
      <c r="E166" s="10" t="str">
        <f aca="false">IF(IF($M166="",0,INDEX(伝票元!$N$6:$N$511,$M166))=1,INDEX(伝票元!$I$6:$I$511,$M166),"")</f>
        <v/>
      </c>
      <c r="F166" s="45" t="str">
        <f aca="false">IF(IF($M166="",0,INDEX(伝票元!$N$6:$N$511,$M166))=1,INDEX(伝票元!$J$6:$J$511,$M166),"")</f>
        <v/>
      </c>
      <c r="G166" s="42" t="str">
        <f aca="false">IF(IF($M166="",0,INDEX(伝票元!$N$6:$N$511,$M166))=1,INDEX(伝票元!$Q$6:$Q$511,$M166),"")</f>
        <v/>
      </c>
      <c r="H166" s="45" t="str">
        <f aca="false">IF($M166="","",INDEX(伝票元!$F$6:$F$511,$M166))</f>
        <v/>
      </c>
      <c r="I166" s="45" t="str">
        <f aca="false">IF($M166="","",INDEX(伝票元!$G$6:$G$511,$M166))</f>
        <v/>
      </c>
      <c r="J166" s="42" t="str">
        <f aca="false">IF($M166="","",INDEX(伝票元!$H$6:$H$511,$M166))</f>
        <v/>
      </c>
      <c r="K166" s="46" t="str">
        <f aca="false">IF(IF($M166="",0,INDEX(伝票元!$N$6:$N$511,$M166))=1,INDEX(伝票元!$R$6:$R$511,$M166),"")</f>
        <v/>
      </c>
      <c r="L166" s="47" t="str">
        <f aca="false">IF($M166="","",INDEX(伝票元!$S$6:$S$511,$M166))</f>
        <v/>
      </c>
      <c r="M166" s="47" t="str">
        <f aca="false">IFERROR(MATCH(160,伝票元!$O$6:$O$511,0),"")</f>
        <v/>
      </c>
    </row>
    <row r="167" customFormat="false" ht="15" hidden="false" customHeight="false" outlineLevel="0" collapsed="false">
      <c r="A167" s="10" t="str">
        <f aca="false">IF($M167="","",INDEX(伝票元!$P$6:$P$511,$M167))</f>
        <v/>
      </c>
      <c r="B167" s="45" t="str">
        <f aca="false">IF($M167="","",INDEX(伝票元!$D$6:$D$511,$M167))</f>
        <v/>
      </c>
      <c r="C167" s="10" t="str">
        <f aca="false">IF($M167="","",INDEX(伝票元!$E$6:$E$511,$M167))</f>
        <v/>
      </c>
      <c r="D167" s="45" t="str">
        <f aca="false">IF($M167="","",INDEX(伝票元!$A$6:$A$511,$M167))</f>
        <v/>
      </c>
      <c r="E167" s="10" t="str">
        <f aca="false">IF(IF($M167="",0,INDEX(伝票元!$N$6:$N$511,$M167))=1,INDEX(伝票元!$I$6:$I$511,$M167),"")</f>
        <v/>
      </c>
      <c r="F167" s="45" t="str">
        <f aca="false">IF(IF($M167="",0,INDEX(伝票元!$N$6:$N$511,$M167))=1,INDEX(伝票元!$J$6:$J$511,$M167),"")</f>
        <v/>
      </c>
      <c r="G167" s="42" t="str">
        <f aca="false">IF(IF($M167="",0,INDEX(伝票元!$N$6:$N$511,$M167))=1,INDEX(伝票元!$Q$6:$Q$511,$M167),"")</f>
        <v/>
      </c>
      <c r="H167" s="45" t="str">
        <f aca="false">IF($M167="","",INDEX(伝票元!$F$6:$F$511,$M167))</f>
        <v/>
      </c>
      <c r="I167" s="45" t="str">
        <f aca="false">IF($M167="","",INDEX(伝票元!$G$6:$G$511,$M167))</f>
        <v/>
      </c>
      <c r="J167" s="42" t="str">
        <f aca="false">IF($M167="","",INDEX(伝票元!$H$6:$H$511,$M167))</f>
        <v/>
      </c>
      <c r="K167" s="46" t="str">
        <f aca="false">IF(IF($M167="",0,INDEX(伝票元!$N$6:$N$511,$M167))=1,INDEX(伝票元!$R$6:$R$511,$M167),"")</f>
        <v/>
      </c>
      <c r="L167" s="47" t="str">
        <f aca="false">IF($M167="","",INDEX(伝票元!$S$6:$S$511,$M167))</f>
        <v/>
      </c>
      <c r="M167" s="47" t="str">
        <f aca="false">IFERROR(MATCH(161,伝票元!$O$6:$O$511,0),"")</f>
        <v/>
      </c>
    </row>
    <row r="168" customFormat="false" ht="15" hidden="false" customHeight="false" outlineLevel="0" collapsed="false">
      <c r="A168" s="10" t="str">
        <f aca="false">IF($M168="","",INDEX(伝票元!$P$6:$P$511,$M168))</f>
        <v/>
      </c>
      <c r="B168" s="45" t="str">
        <f aca="false">IF($M168="","",INDEX(伝票元!$D$6:$D$511,$M168))</f>
        <v/>
      </c>
      <c r="C168" s="10" t="str">
        <f aca="false">IF($M168="","",INDEX(伝票元!$E$6:$E$511,$M168))</f>
        <v/>
      </c>
      <c r="D168" s="45" t="str">
        <f aca="false">IF($M168="","",INDEX(伝票元!$A$6:$A$511,$M168))</f>
        <v/>
      </c>
      <c r="E168" s="10" t="str">
        <f aca="false">IF(IF($M168="",0,INDEX(伝票元!$N$6:$N$511,$M168))=1,INDEX(伝票元!$I$6:$I$511,$M168),"")</f>
        <v/>
      </c>
      <c r="F168" s="45" t="str">
        <f aca="false">IF(IF($M168="",0,INDEX(伝票元!$N$6:$N$511,$M168))=1,INDEX(伝票元!$J$6:$J$511,$M168),"")</f>
        <v/>
      </c>
      <c r="G168" s="42" t="str">
        <f aca="false">IF(IF($M168="",0,INDEX(伝票元!$N$6:$N$511,$M168))=1,INDEX(伝票元!$Q$6:$Q$511,$M168),"")</f>
        <v/>
      </c>
      <c r="H168" s="45" t="str">
        <f aca="false">IF($M168="","",INDEX(伝票元!$F$6:$F$511,$M168))</f>
        <v/>
      </c>
      <c r="I168" s="45" t="str">
        <f aca="false">IF($M168="","",INDEX(伝票元!$G$6:$G$511,$M168))</f>
        <v/>
      </c>
      <c r="J168" s="42" t="str">
        <f aca="false">IF($M168="","",INDEX(伝票元!$H$6:$H$511,$M168))</f>
        <v/>
      </c>
      <c r="K168" s="46" t="str">
        <f aca="false">IF(IF($M168="",0,INDEX(伝票元!$N$6:$N$511,$M168))=1,INDEX(伝票元!$R$6:$R$511,$M168),"")</f>
        <v/>
      </c>
      <c r="L168" s="47" t="str">
        <f aca="false">IF($M168="","",INDEX(伝票元!$S$6:$S$511,$M168))</f>
        <v/>
      </c>
      <c r="M168" s="47" t="str">
        <f aca="false">IFERROR(MATCH(162,伝票元!$O$6:$O$511,0),"")</f>
        <v/>
      </c>
    </row>
    <row r="169" customFormat="false" ht="15" hidden="false" customHeight="false" outlineLevel="0" collapsed="false">
      <c r="A169" s="10" t="str">
        <f aca="false">IF($M169="","",INDEX(伝票元!$P$6:$P$511,$M169))</f>
        <v/>
      </c>
      <c r="B169" s="45" t="str">
        <f aca="false">IF($M169="","",INDEX(伝票元!$D$6:$D$511,$M169))</f>
        <v/>
      </c>
      <c r="C169" s="10" t="str">
        <f aca="false">IF($M169="","",INDEX(伝票元!$E$6:$E$511,$M169))</f>
        <v/>
      </c>
      <c r="D169" s="45" t="str">
        <f aca="false">IF($M169="","",INDEX(伝票元!$A$6:$A$511,$M169))</f>
        <v/>
      </c>
      <c r="E169" s="10" t="str">
        <f aca="false">IF(IF($M169="",0,INDEX(伝票元!$N$6:$N$511,$M169))=1,INDEX(伝票元!$I$6:$I$511,$M169),"")</f>
        <v/>
      </c>
      <c r="F169" s="45" t="str">
        <f aca="false">IF(IF($M169="",0,INDEX(伝票元!$N$6:$N$511,$M169))=1,INDEX(伝票元!$J$6:$J$511,$M169),"")</f>
        <v/>
      </c>
      <c r="G169" s="42" t="str">
        <f aca="false">IF(IF($M169="",0,INDEX(伝票元!$N$6:$N$511,$M169))=1,INDEX(伝票元!$Q$6:$Q$511,$M169),"")</f>
        <v/>
      </c>
      <c r="H169" s="45" t="str">
        <f aca="false">IF($M169="","",INDEX(伝票元!$F$6:$F$511,$M169))</f>
        <v/>
      </c>
      <c r="I169" s="45" t="str">
        <f aca="false">IF($M169="","",INDEX(伝票元!$G$6:$G$511,$M169))</f>
        <v/>
      </c>
      <c r="J169" s="42" t="str">
        <f aca="false">IF($M169="","",INDEX(伝票元!$H$6:$H$511,$M169))</f>
        <v/>
      </c>
      <c r="K169" s="46" t="str">
        <f aca="false">IF(IF($M169="",0,INDEX(伝票元!$N$6:$N$511,$M169))=1,INDEX(伝票元!$R$6:$R$511,$M169),"")</f>
        <v/>
      </c>
      <c r="L169" s="47" t="str">
        <f aca="false">IF($M169="","",INDEX(伝票元!$S$6:$S$511,$M169))</f>
        <v/>
      </c>
      <c r="M169" s="47" t="str">
        <f aca="false">IFERROR(MATCH(163,伝票元!$O$6:$O$511,0),"")</f>
        <v/>
      </c>
    </row>
    <row r="170" customFormat="false" ht="15" hidden="false" customHeight="false" outlineLevel="0" collapsed="false">
      <c r="A170" s="10" t="str">
        <f aca="false">IF($M170="","",INDEX(伝票元!$P$6:$P$511,$M170))</f>
        <v/>
      </c>
      <c r="B170" s="45" t="str">
        <f aca="false">IF($M170="","",INDEX(伝票元!$D$6:$D$511,$M170))</f>
        <v/>
      </c>
      <c r="C170" s="10" t="str">
        <f aca="false">IF($M170="","",INDEX(伝票元!$E$6:$E$511,$M170))</f>
        <v/>
      </c>
      <c r="D170" s="45" t="str">
        <f aca="false">IF($M170="","",INDEX(伝票元!$A$6:$A$511,$M170))</f>
        <v/>
      </c>
      <c r="E170" s="10" t="str">
        <f aca="false">IF(IF($M170="",0,INDEX(伝票元!$N$6:$N$511,$M170))=1,INDEX(伝票元!$I$6:$I$511,$M170),"")</f>
        <v/>
      </c>
      <c r="F170" s="45" t="str">
        <f aca="false">IF(IF($M170="",0,INDEX(伝票元!$N$6:$N$511,$M170))=1,INDEX(伝票元!$J$6:$J$511,$M170),"")</f>
        <v/>
      </c>
      <c r="G170" s="42" t="str">
        <f aca="false">IF(IF($M170="",0,INDEX(伝票元!$N$6:$N$511,$M170))=1,INDEX(伝票元!$Q$6:$Q$511,$M170),"")</f>
        <v/>
      </c>
      <c r="H170" s="45" t="str">
        <f aca="false">IF($M170="","",INDEX(伝票元!$F$6:$F$511,$M170))</f>
        <v/>
      </c>
      <c r="I170" s="45" t="str">
        <f aca="false">IF($M170="","",INDEX(伝票元!$G$6:$G$511,$M170))</f>
        <v/>
      </c>
      <c r="J170" s="42" t="str">
        <f aca="false">IF($M170="","",INDEX(伝票元!$H$6:$H$511,$M170))</f>
        <v/>
      </c>
      <c r="K170" s="46" t="str">
        <f aca="false">IF(IF($M170="",0,INDEX(伝票元!$N$6:$N$511,$M170))=1,INDEX(伝票元!$R$6:$R$511,$M170),"")</f>
        <v/>
      </c>
      <c r="L170" s="47" t="str">
        <f aca="false">IF($M170="","",INDEX(伝票元!$S$6:$S$511,$M170))</f>
        <v/>
      </c>
      <c r="M170" s="47" t="str">
        <f aca="false">IFERROR(MATCH(164,伝票元!$O$6:$O$511,0),"")</f>
        <v/>
      </c>
    </row>
    <row r="171" customFormat="false" ht="15" hidden="false" customHeight="false" outlineLevel="0" collapsed="false">
      <c r="A171" s="10" t="str">
        <f aca="false">IF($M171="","",INDEX(伝票元!$P$6:$P$511,$M171))</f>
        <v/>
      </c>
      <c r="B171" s="45" t="str">
        <f aca="false">IF($M171="","",INDEX(伝票元!$D$6:$D$511,$M171))</f>
        <v/>
      </c>
      <c r="C171" s="10" t="str">
        <f aca="false">IF($M171="","",INDEX(伝票元!$E$6:$E$511,$M171))</f>
        <v/>
      </c>
      <c r="D171" s="45" t="str">
        <f aca="false">IF($M171="","",INDEX(伝票元!$A$6:$A$511,$M171))</f>
        <v/>
      </c>
      <c r="E171" s="10" t="str">
        <f aca="false">IF(IF($M171="",0,INDEX(伝票元!$N$6:$N$511,$M171))=1,INDEX(伝票元!$I$6:$I$511,$M171),"")</f>
        <v/>
      </c>
      <c r="F171" s="45" t="str">
        <f aca="false">IF(IF($M171="",0,INDEX(伝票元!$N$6:$N$511,$M171))=1,INDEX(伝票元!$J$6:$J$511,$M171),"")</f>
        <v/>
      </c>
      <c r="G171" s="42" t="str">
        <f aca="false">IF(IF($M171="",0,INDEX(伝票元!$N$6:$N$511,$M171))=1,INDEX(伝票元!$Q$6:$Q$511,$M171),"")</f>
        <v/>
      </c>
      <c r="H171" s="45" t="str">
        <f aca="false">IF($M171="","",INDEX(伝票元!$F$6:$F$511,$M171))</f>
        <v/>
      </c>
      <c r="I171" s="45" t="str">
        <f aca="false">IF($M171="","",INDEX(伝票元!$G$6:$G$511,$M171))</f>
        <v/>
      </c>
      <c r="J171" s="42" t="str">
        <f aca="false">IF($M171="","",INDEX(伝票元!$H$6:$H$511,$M171))</f>
        <v/>
      </c>
      <c r="K171" s="46" t="str">
        <f aca="false">IF(IF($M171="",0,INDEX(伝票元!$N$6:$N$511,$M171))=1,INDEX(伝票元!$R$6:$R$511,$M171),"")</f>
        <v/>
      </c>
      <c r="L171" s="47" t="str">
        <f aca="false">IF($M171="","",INDEX(伝票元!$S$6:$S$511,$M171))</f>
        <v/>
      </c>
      <c r="M171" s="47" t="str">
        <f aca="false">IFERROR(MATCH(165,伝票元!$O$6:$O$511,0),"")</f>
        <v/>
      </c>
    </row>
    <row r="172" customFormat="false" ht="15" hidden="false" customHeight="false" outlineLevel="0" collapsed="false">
      <c r="A172" s="10" t="str">
        <f aca="false">IF($M172="","",INDEX(伝票元!$P$6:$P$511,$M172))</f>
        <v/>
      </c>
      <c r="B172" s="45" t="str">
        <f aca="false">IF($M172="","",INDEX(伝票元!$D$6:$D$511,$M172))</f>
        <v/>
      </c>
      <c r="C172" s="10" t="str">
        <f aca="false">IF($M172="","",INDEX(伝票元!$E$6:$E$511,$M172))</f>
        <v/>
      </c>
      <c r="D172" s="45" t="str">
        <f aca="false">IF($M172="","",INDEX(伝票元!$A$6:$A$511,$M172))</f>
        <v/>
      </c>
      <c r="E172" s="10" t="str">
        <f aca="false">IF(IF($M172="",0,INDEX(伝票元!$N$6:$N$511,$M172))=1,INDEX(伝票元!$I$6:$I$511,$M172),"")</f>
        <v/>
      </c>
      <c r="F172" s="45" t="str">
        <f aca="false">IF(IF($M172="",0,INDEX(伝票元!$N$6:$N$511,$M172))=1,INDEX(伝票元!$J$6:$J$511,$M172),"")</f>
        <v/>
      </c>
      <c r="G172" s="42" t="str">
        <f aca="false">IF(IF($M172="",0,INDEX(伝票元!$N$6:$N$511,$M172))=1,INDEX(伝票元!$Q$6:$Q$511,$M172),"")</f>
        <v/>
      </c>
      <c r="H172" s="45" t="str">
        <f aca="false">IF($M172="","",INDEX(伝票元!$F$6:$F$511,$M172))</f>
        <v/>
      </c>
      <c r="I172" s="45" t="str">
        <f aca="false">IF($M172="","",INDEX(伝票元!$G$6:$G$511,$M172))</f>
        <v/>
      </c>
      <c r="J172" s="42" t="str">
        <f aca="false">IF($M172="","",INDEX(伝票元!$H$6:$H$511,$M172))</f>
        <v/>
      </c>
      <c r="K172" s="46" t="str">
        <f aca="false">IF(IF($M172="",0,INDEX(伝票元!$N$6:$N$511,$M172))=1,INDEX(伝票元!$R$6:$R$511,$M172),"")</f>
        <v/>
      </c>
      <c r="L172" s="47" t="str">
        <f aca="false">IF($M172="","",INDEX(伝票元!$S$6:$S$511,$M172))</f>
        <v/>
      </c>
      <c r="M172" s="47" t="str">
        <f aca="false">IFERROR(MATCH(166,伝票元!$O$6:$O$511,0),"")</f>
        <v/>
      </c>
    </row>
    <row r="173" customFormat="false" ht="15" hidden="false" customHeight="false" outlineLevel="0" collapsed="false">
      <c r="A173" s="10" t="str">
        <f aca="false">IF($M173="","",INDEX(伝票元!$P$6:$P$511,$M173))</f>
        <v/>
      </c>
      <c r="B173" s="45" t="str">
        <f aca="false">IF($M173="","",INDEX(伝票元!$D$6:$D$511,$M173))</f>
        <v/>
      </c>
      <c r="C173" s="10" t="str">
        <f aca="false">IF($M173="","",INDEX(伝票元!$E$6:$E$511,$M173))</f>
        <v/>
      </c>
      <c r="D173" s="45" t="str">
        <f aca="false">IF($M173="","",INDEX(伝票元!$A$6:$A$511,$M173))</f>
        <v/>
      </c>
      <c r="E173" s="10" t="str">
        <f aca="false">IF(IF($M173="",0,INDEX(伝票元!$N$6:$N$511,$M173))=1,INDEX(伝票元!$I$6:$I$511,$M173),"")</f>
        <v/>
      </c>
      <c r="F173" s="45" t="str">
        <f aca="false">IF(IF($M173="",0,INDEX(伝票元!$N$6:$N$511,$M173))=1,INDEX(伝票元!$J$6:$J$511,$M173),"")</f>
        <v/>
      </c>
      <c r="G173" s="42" t="str">
        <f aca="false">IF(IF($M173="",0,INDEX(伝票元!$N$6:$N$511,$M173))=1,INDEX(伝票元!$Q$6:$Q$511,$M173),"")</f>
        <v/>
      </c>
      <c r="H173" s="45" t="str">
        <f aca="false">IF($M173="","",INDEX(伝票元!$F$6:$F$511,$M173))</f>
        <v/>
      </c>
      <c r="I173" s="45" t="str">
        <f aca="false">IF($M173="","",INDEX(伝票元!$G$6:$G$511,$M173))</f>
        <v/>
      </c>
      <c r="J173" s="42" t="str">
        <f aca="false">IF($M173="","",INDEX(伝票元!$H$6:$H$511,$M173))</f>
        <v/>
      </c>
      <c r="K173" s="46" t="str">
        <f aca="false">IF(IF($M173="",0,INDEX(伝票元!$N$6:$N$511,$M173))=1,INDEX(伝票元!$R$6:$R$511,$M173),"")</f>
        <v/>
      </c>
      <c r="L173" s="47" t="str">
        <f aca="false">IF($M173="","",INDEX(伝票元!$S$6:$S$511,$M173))</f>
        <v/>
      </c>
      <c r="M173" s="47" t="str">
        <f aca="false">IFERROR(MATCH(167,伝票元!$O$6:$O$511,0),"")</f>
        <v/>
      </c>
    </row>
    <row r="174" customFormat="false" ht="15" hidden="false" customHeight="false" outlineLevel="0" collapsed="false">
      <c r="A174" s="10" t="str">
        <f aca="false">IF($M174="","",INDEX(伝票元!$P$6:$P$511,$M174))</f>
        <v/>
      </c>
      <c r="B174" s="45" t="str">
        <f aca="false">IF($M174="","",INDEX(伝票元!$D$6:$D$511,$M174))</f>
        <v/>
      </c>
      <c r="C174" s="10" t="str">
        <f aca="false">IF($M174="","",INDEX(伝票元!$E$6:$E$511,$M174))</f>
        <v/>
      </c>
      <c r="D174" s="45" t="str">
        <f aca="false">IF($M174="","",INDEX(伝票元!$A$6:$A$511,$M174))</f>
        <v/>
      </c>
      <c r="E174" s="10" t="str">
        <f aca="false">IF(IF($M174="",0,INDEX(伝票元!$N$6:$N$511,$M174))=1,INDEX(伝票元!$I$6:$I$511,$M174),"")</f>
        <v/>
      </c>
      <c r="F174" s="45" t="str">
        <f aca="false">IF(IF($M174="",0,INDEX(伝票元!$N$6:$N$511,$M174))=1,INDEX(伝票元!$J$6:$J$511,$M174),"")</f>
        <v/>
      </c>
      <c r="G174" s="42" t="str">
        <f aca="false">IF(IF($M174="",0,INDEX(伝票元!$N$6:$N$511,$M174))=1,INDEX(伝票元!$Q$6:$Q$511,$M174),"")</f>
        <v/>
      </c>
      <c r="H174" s="45" t="str">
        <f aca="false">IF($M174="","",INDEX(伝票元!$F$6:$F$511,$M174))</f>
        <v/>
      </c>
      <c r="I174" s="45" t="str">
        <f aca="false">IF($M174="","",INDEX(伝票元!$G$6:$G$511,$M174))</f>
        <v/>
      </c>
      <c r="J174" s="42" t="str">
        <f aca="false">IF($M174="","",INDEX(伝票元!$H$6:$H$511,$M174))</f>
        <v/>
      </c>
      <c r="K174" s="46" t="str">
        <f aca="false">IF(IF($M174="",0,INDEX(伝票元!$N$6:$N$511,$M174))=1,INDEX(伝票元!$R$6:$R$511,$M174),"")</f>
        <v/>
      </c>
      <c r="L174" s="47" t="str">
        <f aca="false">IF($M174="","",INDEX(伝票元!$S$6:$S$511,$M174))</f>
        <v/>
      </c>
      <c r="M174" s="47" t="str">
        <f aca="false">IFERROR(MATCH(168,伝票元!$O$6:$O$511,0),"")</f>
        <v/>
      </c>
    </row>
    <row r="175" customFormat="false" ht="15" hidden="false" customHeight="false" outlineLevel="0" collapsed="false">
      <c r="A175" s="10" t="str">
        <f aca="false">IF($M175="","",INDEX(伝票元!$P$6:$P$511,$M175))</f>
        <v/>
      </c>
      <c r="B175" s="45" t="str">
        <f aca="false">IF($M175="","",INDEX(伝票元!$D$6:$D$511,$M175))</f>
        <v/>
      </c>
      <c r="C175" s="10" t="str">
        <f aca="false">IF($M175="","",INDEX(伝票元!$E$6:$E$511,$M175))</f>
        <v/>
      </c>
      <c r="D175" s="45" t="str">
        <f aca="false">IF($M175="","",INDEX(伝票元!$A$6:$A$511,$M175))</f>
        <v/>
      </c>
      <c r="E175" s="10" t="str">
        <f aca="false">IF(IF($M175="",0,INDEX(伝票元!$N$6:$N$511,$M175))=1,INDEX(伝票元!$I$6:$I$511,$M175),"")</f>
        <v/>
      </c>
      <c r="F175" s="45" t="str">
        <f aca="false">IF(IF($M175="",0,INDEX(伝票元!$N$6:$N$511,$M175))=1,INDEX(伝票元!$J$6:$J$511,$M175),"")</f>
        <v/>
      </c>
      <c r="G175" s="42" t="str">
        <f aca="false">IF(IF($M175="",0,INDEX(伝票元!$N$6:$N$511,$M175))=1,INDEX(伝票元!$Q$6:$Q$511,$M175),"")</f>
        <v/>
      </c>
      <c r="H175" s="45" t="str">
        <f aca="false">IF($M175="","",INDEX(伝票元!$F$6:$F$511,$M175))</f>
        <v/>
      </c>
      <c r="I175" s="45" t="str">
        <f aca="false">IF($M175="","",INDEX(伝票元!$G$6:$G$511,$M175))</f>
        <v/>
      </c>
      <c r="J175" s="42" t="str">
        <f aca="false">IF($M175="","",INDEX(伝票元!$H$6:$H$511,$M175))</f>
        <v/>
      </c>
      <c r="K175" s="46" t="str">
        <f aca="false">IF(IF($M175="",0,INDEX(伝票元!$N$6:$N$511,$M175))=1,INDEX(伝票元!$R$6:$R$511,$M175),"")</f>
        <v/>
      </c>
      <c r="L175" s="47" t="str">
        <f aca="false">IF($M175="","",INDEX(伝票元!$S$6:$S$511,$M175))</f>
        <v/>
      </c>
      <c r="M175" s="47" t="str">
        <f aca="false">IFERROR(MATCH(169,伝票元!$O$6:$O$511,0),"")</f>
        <v/>
      </c>
    </row>
    <row r="176" customFormat="false" ht="15" hidden="false" customHeight="false" outlineLevel="0" collapsed="false">
      <c r="A176" s="10" t="str">
        <f aca="false">IF($M176="","",INDEX(伝票元!$P$6:$P$511,$M176))</f>
        <v/>
      </c>
      <c r="B176" s="45" t="str">
        <f aca="false">IF($M176="","",INDEX(伝票元!$D$6:$D$511,$M176))</f>
        <v/>
      </c>
      <c r="C176" s="10" t="str">
        <f aca="false">IF($M176="","",INDEX(伝票元!$E$6:$E$511,$M176))</f>
        <v/>
      </c>
      <c r="D176" s="45" t="str">
        <f aca="false">IF($M176="","",INDEX(伝票元!$A$6:$A$511,$M176))</f>
        <v/>
      </c>
      <c r="E176" s="10" t="str">
        <f aca="false">IF(IF($M176="",0,INDEX(伝票元!$N$6:$N$511,$M176))=1,INDEX(伝票元!$I$6:$I$511,$M176),"")</f>
        <v/>
      </c>
      <c r="F176" s="45" t="str">
        <f aca="false">IF(IF($M176="",0,INDEX(伝票元!$N$6:$N$511,$M176))=1,INDEX(伝票元!$J$6:$J$511,$M176),"")</f>
        <v/>
      </c>
      <c r="G176" s="42" t="str">
        <f aca="false">IF(IF($M176="",0,INDEX(伝票元!$N$6:$N$511,$M176))=1,INDEX(伝票元!$Q$6:$Q$511,$M176),"")</f>
        <v/>
      </c>
      <c r="H176" s="45" t="str">
        <f aca="false">IF($M176="","",INDEX(伝票元!$F$6:$F$511,$M176))</f>
        <v/>
      </c>
      <c r="I176" s="45" t="str">
        <f aca="false">IF($M176="","",INDEX(伝票元!$G$6:$G$511,$M176))</f>
        <v/>
      </c>
      <c r="J176" s="42" t="str">
        <f aca="false">IF($M176="","",INDEX(伝票元!$H$6:$H$511,$M176))</f>
        <v/>
      </c>
      <c r="K176" s="46" t="str">
        <f aca="false">IF(IF($M176="",0,INDEX(伝票元!$N$6:$N$511,$M176))=1,INDEX(伝票元!$R$6:$R$511,$M176),"")</f>
        <v/>
      </c>
      <c r="L176" s="47" t="str">
        <f aca="false">IF($M176="","",INDEX(伝票元!$S$6:$S$511,$M176))</f>
        <v/>
      </c>
      <c r="M176" s="47" t="str">
        <f aca="false">IFERROR(MATCH(170,伝票元!$O$6:$O$511,0),"")</f>
        <v/>
      </c>
    </row>
    <row r="177" customFormat="false" ht="15" hidden="false" customHeight="false" outlineLevel="0" collapsed="false">
      <c r="A177" s="10" t="str">
        <f aca="false">IF($M177="","",INDEX(伝票元!$P$6:$P$511,$M177))</f>
        <v/>
      </c>
      <c r="B177" s="45" t="str">
        <f aca="false">IF($M177="","",INDEX(伝票元!$D$6:$D$511,$M177))</f>
        <v/>
      </c>
      <c r="C177" s="10" t="str">
        <f aca="false">IF($M177="","",INDEX(伝票元!$E$6:$E$511,$M177))</f>
        <v/>
      </c>
      <c r="D177" s="45" t="str">
        <f aca="false">IF($M177="","",INDEX(伝票元!$A$6:$A$511,$M177))</f>
        <v/>
      </c>
      <c r="E177" s="10" t="str">
        <f aca="false">IF(IF($M177="",0,INDEX(伝票元!$N$6:$N$511,$M177))=1,INDEX(伝票元!$I$6:$I$511,$M177),"")</f>
        <v/>
      </c>
      <c r="F177" s="45" t="str">
        <f aca="false">IF(IF($M177="",0,INDEX(伝票元!$N$6:$N$511,$M177))=1,INDEX(伝票元!$J$6:$J$511,$M177),"")</f>
        <v/>
      </c>
      <c r="G177" s="42" t="str">
        <f aca="false">IF(IF($M177="",0,INDEX(伝票元!$N$6:$N$511,$M177))=1,INDEX(伝票元!$Q$6:$Q$511,$M177),"")</f>
        <v/>
      </c>
      <c r="H177" s="45" t="str">
        <f aca="false">IF($M177="","",INDEX(伝票元!$F$6:$F$511,$M177))</f>
        <v/>
      </c>
      <c r="I177" s="45" t="str">
        <f aca="false">IF($M177="","",INDEX(伝票元!$G$6:$G$511,$M177))</f>
        <v/>
      </c>
      <c r="J177" s="42" t="str">
        <f aca="false">IF($M177="","",INDEX(伝票元!$H$6:$H$511,$M177))</f>
        <v/>
      </c>
      <c r="K177" s="46" t="str">
        <f aca="false">IF(IF($M177="",0,INDEX(伝票元!$N$6:$N$511,$M177))=1,INDEX(伝票元!$R$6:$R$511,$M177),"")</f>
        <v/>
      </c>
      <c r="L177" s="47" t="str">
        <f aca="false">IF($M177="","",INDEX(伝票元!$S$6:$S$511,$M177))</f>
        <v/>
      </c>
      <c r="M177" s="47" t="str">
        <f aca="false">IFERROR(MATCH(171,伝票元!$O$6:$O$511,0),"")</f>
        <v/>
      </c>
    </row>
    <row r="178" customFormat="false" ht="15" hidden="false" customHeight="false" outlineLevel="0" collapsed="false">
      <c r="A178" s="10" t="str">
        <f aca="false">IF($M178="","",INDEX(伝票元!$P$6:$P$511,$M178))</f>
        <v/>
      </c>
      <c r="B178" s="45" t="str">
        <f aca="false">IF($M178="","",INDEX(伝票元!$D$6:$D$511,$M178))</f>
        <v/>
      </c>
      <c r="C178" s="10" t="str">
        <f aca="false">IF($M178="","",INDEX(伝票元!$E$6:$E$511,$M178))</f>
        <v/>
      </c>
      <c r="D178" s="45" t="str">
        <f aca="false">IF($M178="","",INDEX(伝票元!$A$6:$A$511,$M178))</f>
        <v/>
      </c>
      <c r="E178" s="10" t="str">
        <f aca="false">IF(IF($M178="",0,INDEX(伝票元!$N$6:$N$511,$M178))=1,INDEX(伝票元!$I$6:$I$511,$M178),"")</f>
        <v/>
      </c>
      <c r="F178" s="45" t="str">
        <f aca="false">IF(IF($M178="",0,INDEX(伝票元!$N$6:$N$511,$M178))=1,INDEX(伝票元!$J$6:$J$511,$M178),"")</f>
        <v/>
      </c>
      <c r="G178" s="42" t="str">
        <f aca="false">IF(IF($M178="",0,INDEX(伝票元!$N$6:$N$511,$M178))=1,INDEX(伝票元!$Q$6:$Q$511,$M178),"")</f>
        <v/>
      </c>
      <c r="H178" s="45" t="str">
        <f aca="false">IF($M178="","",INDEX(伝票元!$F$6:$F$511,$M178))</f>
        <v/>
      </c>
      <c r="I178" s="45" t="str">
        <f aca="false">IF($M178="","",INDEX(伝票元!$G$6:$G$511,$M178))</f>
        <v/>
      </c>
      <c r="J178" s="42" t="str">
        <f aca="false">IF($M178="","",INDEX(伝票元!$H$6:$H$511,$M178))</f>
        <v/>
      </c>
      <c r="K178" s="46" t="str">
        <f aca="false">IF(IF($M178="",0,INDEX(伝票元!$N$6:$N$511,$M178))=1,INDEX(伝票元!$R$6:$R$511,$M178),"")</f>
        <v/>
      </c>
      <c r="L178" s="47" t="str">
        <f aca="false">IF($M178="","",INDEX(伝票元!$S$6:$S$511,$M178))</f>
        <v/>
      </c>
      <c r="M178" s="47" t="str">
        <f aca="false">IFERROR(MATCH(172,伝票元!$O$6:$O$511,0),"")</f>
        <v/>
      </c>
    </row>
    <row r="179" customFormat="false" ht="15" hidden="false" customHeight="false" outlineLevel="0" collapsed="false">
      <c r="A179" s="10" t="str">
        <f aca="false">IF($M179="","",INDEX(伝票元!$P$6:$P$511,$M179))</f>
        <v/>
      </c>
      <c r="B179" s="45" t="str">
        <f aca="false">IF($M179="","",INDEX(伝票元!$D$6:$D$511,$M179))</f>
        <v/>
      </c>
      <c r="C179" s="10" t="str">
        <f aca="false">IF($M179="","",INDEX(伝票元!$E$6:$E$511,$M179))</f>
        <v/>
      </c>
      <c r="D179" s="45" t="str">
        <f aca="false">IF($M179="","",INDEX(伝票元!$A$6:$A$511,$M179))</f>
        <v/>
      </c>
      <c r="E179" s="10" t="str">
        <f aca="false">IF(IF($M179="",0,INDEX(伝票元!$N$6:$N$511,$M179))=1,INDEX(伝票元!$I$6:$I$511,$M179),"")</f>
        <v/>
      </c>
      <c r="F179" s="45" t="str">
        <f aca="false">IF(IF($M179="",0,INDEX(伝票元!$N$6:$N$511,$M179))=1,INDEX(伝票元!$J$6:$J$511,$M179),"")</f>
        <v/>
      </c>
      <c r="G179" s="42" t="str">
        <f aca="false">IF(IF($M179="",0,INDEX(伝票元!$N$6:$N$511,$M179))=1,INDEX(伝票元!$Q$6:$Q$511,$M179),"")</f>
        <v/>
      </c>
      <c r="H179" s="45" t="str">
        <f aca="false">IF($M179="","",INDEX(伝票元!$F$6:$F$511,$M179))</f>
        <v/>
      </c>
      <c r="I179" s="45" t="str">
        <f aca="false">IF($M179="","",INDEX(伝票元!$G$6:$G$511,$M179))</f>
        <v/>
      </c>
      <c r="J179" s="42" t="str">
        <f aca="false">IF($M179="","",INDEX(伝票元!$H$6:$H$511,$M179))</f>
        <v/>
      </c>
      <c r="K179" s="46" t="str">
        <f aca="false">IF(IF($M179="",0,INDEX(伝票元!$N$6:$N$511,$M179))=1,INDEX(伝票元!$R$6:$R$511,$M179),"")</f>
        <v/>
      </c>
      <c r="L179" s="47" t="str">
        <f aca="false">IF($M179="","",INDEX(伝票元!$S$6:$S$511,$M179))</f>
        <v/>
      </c>
      <c r="M179" s="47" t="str">
        <f aca="false">IFERROR(MATCH(173,伝票元!$O$6:$O$511,0),"")</f>
        <v/>
      </c>
    </row>
    <row r="180" customFormat="false" ht="15" hidden="false" customHeight="false" outlineLevel="0" collapsed="false">
      <c r="A180" s="10" t="str">
        <f aca="false">IF($M180="","",INDEX(伝票元!$P$6:$P$511,$M180))</f>
        <v/>
      </c>
      <c r="B180" s="45" t="str">
        <f aca="false">IF($M180="","",INDEX(伝票元!$D$6:$D$511,$M180))</f>
        <v/>
      </c>
      <c r="C180" s="10" t="str">
        <f aca="false">IF($M180="","",INDEX(伝票元!$E$6:$E$511,$M180))</f>
        <v/>
      </c>
      <c r="D180" s="45" t="str">
        <f aca="false">IF($M180="","",INDEX(伝票元!$A$6:$A$511,$M180))</f>
        <v/>
      </c>
      <c r="E180" s="10" t="str">
        <f aca="false">IF(IF($M180="",0,INDEX(伝票元!$N$6:$N$511,$M180))=1,INDEX(伝票元!$I$6:$I$511,$M180),"")</f>
        <v/>
      </c>
      <c r="F180" s="45" t="str">
        <f aca="false">IF(IF($M180="",0,INDEX(伝票元!$N$6:$N$511,$M180))=1,INDEX(伝票元!$J$6:$J$511,$M180),"")</f>
        <v/>
      </c>
      <c r="G180" s="42" t="str">
        <f aca="false">IF(IF($M180="",0,INDEX(伝票元!$N$6:$N$511,$M180))=1,INDEX(伝票元!$Q$6:$Q$511,$M180),"")</f>
        <v/>
      </c>
      <c r="H180" s="45" t="str">
        <f aca="false">IF($M180="","",INDEX(伝票元!$F$6:$F$511,$M180))</f>
        <v/>
      </c>
      <c r="I180" s="45" t="str">
        <f aca="false">IF($M180="","",INDEX(伝票元!$G$6:$G$511,$M180))</f>
        <v/>
      </c>
      <c r="J180" s="42" t="str">
        <f aca="false">IF($M180="","",INDEX(伝票元!$H$6:$H$511,$M180))</f>
        <v/>
      </c>
      <c r="K180" s="46" t="str">
        <f aca="false">IF(IF($M180="",0,INDEX(伝票元!$N$6:$N$511,$M180))=1,INDEX(伝票元!$R$6:$R$511,$M180),"")</f>
        <v/>
      </c>
      <c r="L180" s="47" t="str">
        <f aca="false">IF($M180="","",INDEX(伝票元!$S$6:$S$511,$M180))</f>
        <v/>
      </c>
      <c r="M180" s="47" t="str">
        <f aca="false">IFERROR(MATCH(174,伝票元!$O$6:$O$511,0),"")</f>
        <v/>
      </c>
    </row>
    <row r="181" customFormat="false" ht="15" hidden="false" customHeight="false" outlineLevel="0" collapsed="false">
      <c r="A181" s="10" t="str">
        <f aca="false">IF($M181="","",INDEX(伝票元!$P$6:$P$511,$M181))</f>
        <v/>
      </c>
      <c r="B181" s="45" t="str">
        <f aca="false">IF($M181="","",INDEX(伝票元!$D$6:$D$511,$M181))</f>
        <v/>
      </c>
      <c r="C181" s="10" t="str">
        <f aca="false">IF($M181="","",INDEX(伝票元!$E$6:$E$511,$M181))</f>
        <v/>
      </c>
      <c r="D181" s="45" t="str">
        <f aca="false">IF($M181="","",INDEX(伝票元!$A$6:$A$511,$M181))</f>
        <v/>
      </c>
      <c r="E181" s="10" t="str">
        <f aca="false">IF(IF($M181="",0,INDEX(伝票元!$N$6:$N$511,$M181))=1,INDEX(伝票元!$I$6:$I$511,$M181),"")</f>
        <v/>
      </c>
      <c r="F181" s="45" t="str">
        <f aca="false">IF(IF($M181="",0,INDEX(伝票元!$N$6:$N$511,$M181))=1,INDEX(伝票元!$J$6:$J$511,$M181),"")</f>
        <v/>
      </c>
      <c r="G181" s="42" t="str">
        <f aca="false">IF(IF($M181="",0,INDEX(伝票元!$N$6:$N$511,$M181))=1,INDEX(伝票元!$Q$6:$Q$511,$M181),"")</f>
        <v/>
      </c>
      <c r="H181" s="45" t="str">
        <f aca="false">IF($M181="","",INDEX(伝票元!$F$6:$F$511,$M181))</f>
        <v/>
      </c>
      <c r="I181" s="45" t="str">
        <f aca="false">IF($M181="","",INDEX(伝票元!$G$6:$G$511,$M181))</f>
        <v/>
      </c>
      <c r="J181" s="42" t="str">
        <f aca="false">IF($M181="","",INDEX(伝票元!$H$6:$H$511,$M181))</f>
        <v/>
      </c>
      <c r="K181" s="46" t="str">
        <f aca="false">IF(IF($M181="",0,INDEX(伝票元!$N$6:$N$511,$M181))=1,INDEX(伝票元!$R$6:$R$511,$M181),"")</f>
        <v/>
      </c>
      <c r="L181" s="47" t="str">
        <f aca="false">IF($M181="","",INDEX(伝票元!$S$6:$S$511,$M181))</f>
        <v/>
      </c>
      <c r="M181" s="47" t="str">
        <f aca="false">IFERROR(MATCH(175,伝票元!$O$6:$O$511,0),"")</f>
        <v/>
      </c>
    </row>
    <row r="182" customFormat="false" ht="15" hidden="false" customHeight="false" outlineLevel="0" collapsed="false">
      <c r="A182" s="10" t="str">
        <f aca="false">IF($M182="","",INDEX(伝票元!$P$6:$P$511,$M182))</f>
        <v/>
      </c>
      <c r="B182" s="45" t="str">
        <f aca="false">IF($M182="","",INDEX(伝票元!$D$6:$D$511,$M182))</f>
        <v/>
      </c>
      <c r="C182" s="10" t="str">
        <f aca="false">IF($M182="","",INDEX(伝票元!$E$6:$E$511,$M182))</f>
        <v/>
      </c>
      <c r="D182" s="45" t="str">
        <f aca="false">IF($M182="","",INDEX(伝票元!$A$6:$A$511,$M182))</f>
        <v/>
      </c>
      <c r="E182" s="10" t="str">
        <f aca="false">IF(IF($M182="",0,INDEX(伝票元!$N$6:$N$511,$M182))=1,INDEX(伝票元!$I$6:$I$511,$M182),"")</f>
        <v/>
      </c>
      <c r="F182" s="45" t="str">
        <f aca="false">IF(IF($M182="",0,INDEX(伝票元!$N$6:$N$511,$M182))=1,INDEX(伝票元!$J$6:$J$511,$M182),"")</f>
        <v/>
      </c>
      <c r="G182" s="42" t="str">
        <f aca="false">IF(IF($M182="",0,INDEX(伝票元!$N$6:$N$511,$M182))=1,INDEX(伝票元!$Q$6:$Q$511,$M182),"")</f>
        <v/>
      </c>
      <c r="H182" s="45" t="str">
        <f aca="false">IF($M182="","",INDEX(伝票元!$F$6:$F$511,$M182))</f>
        <v/>
      </c>
      <c r="I182" s="45" t="str">
        <f aca="false">IF($M182="","",INDEX(伝票元!$G$6:$G$511,$M182))</f>
        <v/>
      </c>
      <c r="J182" s="42" t="str">
        <f aca="false">IF($M182="","",INDEX(伝票元!$H$6:$H$511,$M182))</f>
        <v/>
      </c>
      <c r="K182" s="46" t="str">
        <f aca="false">IF(IF($M182="",0,INDEX(伝票元!$N$6:$N$511,$M182))=1,INDEX(伝票元!$R$6:$R$511,$M182),"")</f>
        <v/>
      </c>
      <c r="L182" s="47" t="str">
        <f aca="false">IF($M182="","",INDEX(伝票元!$S$6:$S$511,$M182))</f>
        <v/>
      </c>
      <c r="M182" s="47" t="str">
        <f aca="false">IFERROR(MATCH(176,伝票元!$O$6:$O$511,0),"")</f>
        <v/>
      </c>
    </row>
    <row r="183" customFormat="false" ht="15" hidden="false" customHeight="false" outlineLevel="0" collapsed="false">
      <c r="A183" s="10" t="str">
        <f aca="false">IF($M183="","",INDEX(伝票元!$P$6:$P$511,$M183))</f>
        <v/>
      </c>
      <c r="B183" s="45" t="str">
        <f aca="false">IF($M183="","",INDEX(伝票元!$D$6:$D$511,$M183))</f>
        <v/>
      </c>
      <c r="C183" s="10" t="str">
        <f aca="false">IF($M183="","",INDEX(伝票元!$E$6:$E$511,$M183))</f>
        <v/>
      </c>
      <c r="D183" s="45" t="str">
        <f aca="false">IF($M183="","",INDEX(伝票元!$A$6:$A$511,$M183))</f>
        <v/>
      </c>
      <c r="E183" s="10" t="str">
        <f aca="false">IF(IF($M183="",0,INDEX(伝票元!$N$6:$N$511,$M183))=1,INDEX(伝票元!$I$6:$I$511,$M183),"")</f>
        <v/>
      </c>
      <c r="F183" s="45" t="str">
        <f aca="false">IF(IF($M183="",0,INDEX(伝票元!$N$6:$N$511,$M183))=1,INDEX(伝票元!$J$6:$J$511,$M183),"")</f>
        <v/>
      </c>
      <c r="G183" s="42" t="str">
        <f aca="false">IF(IF($M183="",0,INDEX(伝票元!$N$6:$N$511,$M183))=1,INDEX(伝票元!$Q$6:$Q$511,$M183),"")</f>
        <v/>
      </c>
      <c r="H183" s="45" t="str">
        <f aca="false">IF($M183="","",INDEX(伝票元!$F$6:$F$511,$M183))</f>
        <v/>
      </c>
      <c r="I183" s="45" t="str">
        <f aca="false">IF($M183="","",INDEX(伝票元!$G$6:$G$511,$M183))</f>
        <v/>
      </c>
      <c r="J183" s="42" t="str">
        <f aca="false">IF($M183="","",INDEX(伝票元!$H$6:$H$511,$M183))</f>
        <v/>
      </c>
      <c r="K183" s="46" t="str">
        <f aca="false">IF(IF($M183="",0,INDEX(伝票元!$N$6:$N$511,$M183))=1,INDEX(伝票元!$R$6:$R$511,$M183),"")</f>
        <v/>
      </c>
      <c r="L183" s="47" t="str">
        <f aca="false">IF($M183="","",INDEX(伝票元!$S$6:$S$511,$M183))</f>
        <v/>
      </c>
      <c r="M183" s="47" t="str">
        <f aca="false">IFERROR(MATCH(177,伝票元!$O$6:$O$511,0),"")</f>
        <v/>
      </c>
    </row>
    <row r="184" customFormat="false" ht="15" hidden="false" customHeight="false" outlineLevel="0" collapsed="false">
      <c r="A184" s="10" t="str">
        <f aca="false">IF($M184="","",INDEX(伝票元!$P$6:$P$511,$M184))</f>
        <v/>
      </c>
      <c r="B184" s="45" t="str">
        <f aca="false">IF($M184="","",INDEX(伝票元!$D$6:$D$511,$M184))</f>
        <v/>
      </c>
      <c r="C184" s="10" t="str">
        <f aca="false">IF($M184="","",INDEX(伝票元!$E$6:$E$511,$M184))</f>
        <v/>
      </c>
      <c r="D184" s="45" t="str">
        <f aca="false">IF($M184="","",INDEX(伝票元!$A$6:$A$511,$M184))</f>
        <v/>
      </c>
      <c r="E184" s="10" t="str">
        <f aca="false">IF(IF($M184="",0,INDEX(伝票元!$N$6:$N$511,$M184))=1,INDEX(伝票元!$I$6:$I$511,$M184),"")</f>
        <v/>
      </c>
      <c r="F184" s="45" t="str">
        <f aca="false">IF(IF($M184="",0,INDEX(伝票元!$N$6:$N$511,$M184))=1,INDEX(伝票元!$J$6:$J$511,$M184),"")</f>
        <v/>
      </c>
      <c r="G184" s="42" t="str">
        <f aca="false">IF(IF($M184="",0,INDEX(伝票元!$N$6:$N$511,$M184))=1,INDEX(伝票元!$Q$6:$Q$511,$M184),"")</f>
        <v/>
      </c>
      <c r="H184" s="45" t="str">
        <f aca="false">IF($M184="","",INDEX(伝票元!$F$6:$F$511,$M184))</f>
        <v/>
      </c>
      <c r="I184" s="45" t="str">
        <f aca="false">IF($M184="","",INDEX(伝票元!$G$6:$G$511,$M184))</f>
        <v/>
      </c>
      <c r="J184" s="42" t="str">
        <f aca="false">IF($M184="","",INDEX(伝票元!$H$6:$H$511,$M184))</f>
        <v/>
      </c>
      <c r="K184" s="46" t="str">
        <f aca="false">IF(IF($M184="",0,INDEX(伝票元!$N$6:$N$511,$M184))=1,INDEX(伝票元!$R$6:$R$511,$M184),"")</f>
        <v/>
      </c>
      <c r="L184" s="47" t="str">
        <f aca="false">IF($M184="","",INDEX(伝票元!$S$6:$S$511,$M184))</f>
        <v/>
      </c>
      <c r="M184" s="47" t="str">
        <f aca="false">IFERROR(MATCH(178,伝票元!$O$6:$O$511,0),"")</f>
        <v/>
      </c>
    </row>
    <row r="185" customFormat="false" ht="15" hidden="false" customHeight="false" outlineLevel="0" collapsed="false">
      <c r="A185" s="10" t="str">
        <f aca="false">IF($M185="","",INDEX(伝票元!$P$6:$P$511,$M185))</f>
        <v/>
      </c>
      <c r="B185" s="45" t="str">
        <f aca="false">IF($M185="","",INDEX(伝票元!$D$6:$D$511,$M185))</f>
        <v/>
      </c>
      <c r="C185" s="10" t="str">
        <f aca="false">IF($M185="","",INDEX(伝票元!$E$6:$E$511,$M185))</f>
        <v/>
      </c>
      <c r="D185" s="45" t="str">
        <f aca="false">IF($M185="","",INDEX(伝票元!$A$6:$A$511,$M185))</f>
        <v/>
      </c>
      <c r="E185" s="10" t="str">
        <f aca="false">IF(IF($M185="",0,INDEX(伝票元!$N$6:$N$511,$M185))=1,INDEX(伝票元!$I$6:$I$511,$M185),"")</f>
        <v/>
      </c>
      <c r="F185" s="45" t="str">
        <f aca="false">IF(IF($M185="",0,INDEX(伝票元!$N$6:$N$511,$M185))=1,INDEX(伝票元!$J$6:$J$511,$M185),"")</f>
        <v/>
      </c>
      <c r="G185" s="42" t="str">
        <f aca="false">IF(IF($M185="",0,INDEX(伝票元!$N$6:$N$511,$M185))=1,INDEX(伝票元!$Q$6:$Q$511,$M185),"")</f>
        <v/>
      </c>
      <c r="H185" s="45" t="str">
        <f aca="false">IF($M185="","",INDEX(伝票元!$F$6:$F$511,$M185))</f>
        <v/>
      </c>
      <c r="I185" s="45" t="str">
        <f aca="false">IF($M185="","",INDEX(伝票元!$G$6:$G$511,$M185))</f>
        <v/>
      </c>
      <c r="J185" s="42" t="str">
        <f aca="false">IF($M185="","",INDEX(伝票元!$H$6:$H$511,$M185))</f>
        <v/>
      </c>
      <c r="K185" s="46" t="str">
        <f aca="false">IF(IF($M185="",0,INDEX(伝票元!$N$6:$N$511,$M185))=1,INDEX(伝票元!$R$6:$R$511,$M185),"")</f>
        <v/>
      </c>
      <c r="L185" s="47" t="str">
        <f aca="false">IF($M185="","",INDEX(伝票元!$S$6:$S$511,$M185))</f>
        <v/>
      </c>
      <c r="M185" s="47" t="str">
        <f aca="false">IFERROR(MATCH(179,伝票元!$O$6:$O$511,0),"")</f>
        <v/>
      </c>
    </row>
    <row r="186" customFormat="false" ht="15" hidden="false" customHeight="false" outlineLevel="0" collapsed="false">
      <c r="A186" s="10" t="str">
        <f aca="false">IF($M186="","",INDEX(伝票元!$P$6:$P$511,$M186))</f>
        <v/>
      </c>
      <c r="B186" s="45" t="str">
        <f aca="false">IF($M186="","",INDEX(伝票元!$D$6:$D$511,$M186))</f>
        <v/>
      </c>
      <c r="C186" s="10" t="str">
        <f aca="false">IF($M186="","",INDEX(伝票元!$E$6:$E$511,$M186))</f>
        <v/>
      </c>
      <c r="D186" s="45" t="str">
        <f aca="false">IF($M186="","",INDEX(伝票元!$A$6:$A$511,$M186))</f>
        <v/>
      </c>
      <c r="E186" s="10" t="str">
        <f aca="false">IF(IF($M186="",0,INDEX(伝票元!$N$6:$N$511,$M186))=1,INDEX(伝票元!$I$6:$I$511,$M186),"")</f>
        <v/>
      </c>
      <c r="F186" s="45" t="str">
        <f aca="false">IF(IF($M186="",0,INDEX(伝票元!$N$6:$N$511,$M186))=1,INDEX(伝票元!$J$6:$J$511,$M186),"")</f>
        <v/>
      </c>
      <c r="G186" s="42" t="str">
        <f aca="false">IF(IF($M186="",0,INDEX(伝票元!$N$6:$N$511,$M186))=1,INDEX(伝票元!$Q$6:$Q$511,$M186),"")</f>
        <v/>
      </c>
      <c r="H186" s="45" t="str">
        <f aca="false">IF($M186="","",INDEX(伝票元!$F$6:$F$511,$M186))</f>
        <v/>
      </c>
      <c r="I186" s="45" t="str">
        <f aca="false">IF($M186="","",INDEX(伝票元!$G$6:$G$511,$M186))</f>
        <v/>
      </c>
      <c r="J186" s="42" t="str">
        <f aca="false">IF($M186="","",INDEX(伝票元!$H$6:$H$511,$M186))</f>
        <v/>
      </c>
      <c r="K186" s="46" t="str">
        <f aca="false">IF(IF($M186="",0,INDEX(伝票元!$N$6:$N$511,$M186))=1,INDEX(伝票元!$R$6:$R$511,$M186),"")</f>
        <v/>
      </c>
      <c r="L186" s="47" t="str">
        <f aca="false">IF($M186="","",INDEX(伝票元!$S$6:$S$511,$M186))</f>
        <v/>
      </c>
      <c r="M186" s="47" t="str">
        <f aca="false">IFERROR(MATCH(180,伝票元!$O$6:$O$511,0),"")</f>
        <v/>
      </c>
    </row>
    <row r="187" customFormat="false" ht="15" hidden="false" customHeight="false" outlineLevel="0" collapsed="false">
      <c r="A187" s="10" t="str">
        <f aca="false">IF($M187="","",INDEX(伝票元!$P$6:$P$511,$M187))</f>
        <v/>
      </c>
      <c r="B187" s="45" t="str">
        <f aca="false">IF($M187="","",INDEX(伝票元!$D$6:$D$511,$M187))</f>
        <v/>
      </c>
      <c r="C187" s="10" t="str">
        <f aca="false">IF($M187="","",INDEX(伝票元!$E$6:$E$511,$M187))</f>
        <v/>
      </c>
      <c r="D187" s="45" t="str">
        <f aca="false">IF($M187="","",INDEX(伝票元!$A$6:$A$511,$M187))</f>
        <v/>
      </c>
      <c r="E187" s="10" t="str">
        <f aca="false">IF(IF($M187="",0,INDEX(伝票元!$N$6:$N$511,$M187))=1,INDEX(伝票元!$I$6:$I$511,$M187),"")</f>
        <v/>
      </c>
      <c r="F187" s="45" t="str">
        <f aca="false">IF(IF($M187="",0,INDEX(伝票元!$N$6:$N$511,$M187))=1,INDEX(伝票元!$J$6:$J$511,$M187),"")</f>
        <v/>
      </c>
      <c r="G187" s="42" t="str">
        <f aca="false">IF(IF($M187="",0,INDEX(伝票元!$N$6:$N$511,$M187))=1,INDEX(伝票元!$Q$6:$Q$511,$M187),"")</f>
        <v/>
      </c>
      <c r="H187" s="45" t="str">
        <f aca="false">IF($M187="","",INDEX(伝票元!$F$6:$F$511,$M187))</f>
        <v/>
      </c>
      <c r="I187" s="45" t="str">
        <f aca="false">IF($M187="","",INDEX(伝票元!$G$6:$G$511,$M187))</f>
        <v/>
      </c>
      <c r="J187" s="42" t="str">
        <f aca="false">IF($M187="","",INDEX(伝票元!$H$6:$H$511,$M187))</f>
        <v/>
      </c>
      <c r="K187" s="46" t="str">
        <f aca="false">IF(IF($M187="",0,INDEX(伝票元!$N$6:$N$511,$M187))=1,INDEX(伝票元!$R$6:$R$511,$M187),"")</f>
        <v/>
      </c>
      <c r="L187" s="47" t="str">
        <f aca="false">IF($M187="","",INDEX(伝票元!$S$6:$S$511,$M187))</f>
        <v/>
      </c>
      <c r="M187" s="47" t="str">
        <f aca="false">IFERROR(MATCH(181,伝票元!$O$6:$O$511,0),"")</f>
        <v/>
      </c>
    </row>
    <row r="188" customFormat="false" ht="15" hidden="false" customHeight="false" outlineLevel="0" collapsed="false">
      <c r="A188" s="10" t="str">
        <f aca="false">IF($M188="","",INDEX(伝票元!$P$6:$P$511,$M188))</f>
        <v/>
      </c>
      <c r="B188" s="45" t="str">
        <f aca="false">IF($M188="","",INDEX(伝票元!$D$6:$D$511,$M188))</f>
        <v/>
      </c>
      <c r="C188" s="10" t="str">
        <f aca="false">IF($M188="","",INDEX(伝票元!$E$6:$E$511,$M188))</f>
        <v/>
      </c>
      <c r="D188" s="45" t="str">
        <f aca="false">IF($M188="","",INDEX(伝票元!$A$6:$A$511,$M188))</f>
        <v/>
      </c>
      <c r="E188" s="10" t="str">
        <f aca="false">IF(IF($M188="",0,INDEX(伝票元!$N$6:$N$511,$M188))=1,INDEX(伝票元!$I$6:$I$511,$M188),"")</f>
        <v/>
      </c>
      <c r="F188" s="45" t="str">
        <f aca="false">IF(IF($M188="",0,INDEX(伝票元!$N$6:$N$511,$M188))=1,INDEX(伝票元!$J$6:$J$511,$M188),"")</f>
        <v/>
      </c>
      <c r="G188" s="42" t="str">
        <f aca="false">IF(IF($M188="",0,INDEX(伝票元!$N$6:$N$511,$M188))=1,INDEX(伝票元!$Q$6:$Q$511,$M188),"")</f>
        <v/>
      </c>
      <c r="H188" s="45" t="str">
        <f aca="false">IF($M188="","",INDEX(伝票元!$F$6:$F$511,$M188))</f>
        <v/>
      </c>
      <c r="I188" s="45" t="str">
        <f aca="false">IF($M188="","",INDEX(伝票元!$G$6:$G$511,$M188))</f>
        <v/>
      </c>
      <c r="J188" s="42" t="str">
        <f aca="false">IF($M188="","",INDEX(伝票元!$H$6:$H$511,$M188))</f>
        <v/>
      </c>
      <c r="K188" s="46" t="str">
        <f aca="false">IF(IF($M188="",0,INDEX(伝票元!$N$6:$N$511,$M188))=1,INDEX(伝票元!$R$6:$R$511,$M188),"")</f>
        <v/>
      </c>
      <c r="L188" s="47" t="str">
        <f aca="false">IF($M188="","",INDEX(伝票元!$S$6:$S$511,$M188))</f>
        <v/>
      </c>
      <c r="M188" s="47" t="str">
        <f aca="false">IFERROR(MATCH(182,伝票元!$O$6:$O$511,0),"")</f>
        <v/>
      </c>
    </row>
    <row r="189" customFormat="false" ht="15" hidden="false" customHeight="false" outlineLevel="0" collapsed="false">
      <c r="A189" s="10" t="str">
        <f aca="false">IF($M189="","",INDEX(伝票元!$P$6:$P$511,$M189))</f>
        <v/>
      </c>
      <c r="B189" s="45" t="str">
        <f aca="false">IF($M189="","",INDEX(伝票元!$D$6:$D$511,$M189))</f>
        <v/>
      </c>
      <c r="C189" s="10" t="str">
        <f aca="false">IF($M189="","",INDEX(伝票元!$E$6:$E$511,$M189))</f>
        <v/>
      </c>
      <c r="D189" s="45" t="str">
        <f aca="false">IF($M189="","",INDEX(伝票元!$A$6:$A$511,$M189))</f>
        <v/>
      </c>
      <c r="E189" s="10" t="str">
        <f aca="false">IF(IF($M189="",0,INDEX(伝票元!$N$6:$N$511,$M189))=1,INDEX(伝票元!$I$6:$I$511,$M189),"")</f>
        <v/>
      </c>
      <c r="F189" s="45" t="str">
        <f aca="false">IF(IF($M189="",0,INDEX(伝票元!$N$6:$N$511,$M189))=1,INDEX(伝票元!$J$6:$J$511,$M189),"")</f>
        <v/>
      </c>
      <c r="G189" s="42" t="str">
        <f aca="false">IF(IF($M189="",0,INDEX(伝票元!$N$6:$N$511,$M189))=1,INDEX(伝票元!$Q$6:$Q$511,$M189),"")</f>
        <v/>
      </c>
      <c r="H189" s="45" t="str">
        <f aca="false">IF($M189="","",INDEX(伝票元!$F$6:$F$511,$M189))</f>
        <v/>
      </c>
      <c r="I189" s="45" t="str">
        <f aca="false">IF($M189="","",INDEX(伝票元!$G$6:$G$511,$M189))</f>
        <v/>
      </c>
      <c r="J189" s="42" t="str">
        <f aca="false">IF($M189="","",INDEX(伝票元!$H$6:$H$511,$M189))</f>
        <v/>
      </c>
      <c r="K189" s="46" t="str">
        <f aca="false">IF(IF($M189="",0,INDEX(伝票元!$N$6:$N$511,$M189))=1,INDEX(伝票元!$R$6:$R$511,$M189),"")</f>
        <v/>
      </c>
      <c r="L189" s="47" t="str">
        <f aca="false">IF($M189="","",INDEX(伝票元!$S$6:$S$511,$M189))</f>
        <v/>
      </c>
      <c r="M189" s="47" t="str">
        <f aca="false">IFERROR(MATCH(183,伝票元!$O$6:$O$511,0),"")</f>
        <v/>
      </c>
    </row>
    <row r="190" customFormat="false" ht="15" hidden="false" customHeight="false" outlineLevel="0" collapsed="false">
      <c r="A190" s="10" t="str">
        <f aca="false">IF($M190="","",INDEX(伝票元!$P$6:$P$511,$M190))</f>
        <v/>
      </c>
      <c r="B190" s="45" t="str">
        <f aca="false">IF($M190="","",INDEX(伝票元!$D$6:$D$511,$M190))</f>
        <v/>
      </c>
      <c r="C190" s="10" t="str">
        <f aca="false">IF($M190="","",INDEX(伝票元!$E$6:$E$511,$M190))</f>
        <v/>
      </c>
      <c r="D190" s="45" t="str">
        <f aca="false">IF($M190="","",INDEX(伝票元!$A$6:$A$511,$M190))</f>
        <v/>
      </c>
      <c r="E190" s="10" t="str">
        <f aca="false">IF(IF($M190="",0,INDEX(伝票元!$N$6:$N$511,$M190))=1,INDEX(伝票元!$I$6:$I$511,$M190),"")</f>
        <v/>
      </c>
      <c r="F190" s="45" t="str">
        <f aca="false">IF(IF($M190="",0,INDEX(伝票元!$N$6:$N$511,$M190))=1,INDEX(伝票元!$J$6:$J$511,$M190),"")</f>
        <v/>
      </c>
      <c r="G190" s="42" t="str">
        <f aca="false">IF(IF($M190="",0,INDEX(伝票元!$N$6:$N$511,$M190))=1,INDEX(伝票元!$Q$6:$Q$511,$M190),"")</f>
        <v/>
      </c>
      <c r="H190" s="45" t="str">
        <f aca="false">IF($M190="","",INDEX(伝票元!$F$6:$F$511,$M190))</f>
        <v/>
      </c>
      <c r="I190" s="45" t="str">
        <f aca="false">IF($M190="","",INDEX(伝票元!$G$6:$G$511,$M190))</f>
        <v/>
      </c>
      <c r="J190" s="42" t="str">
        <f aca="false">IF($M190="","",INDEX(伝票元!$H$6:$H$511,$M190))</f>
        <v/>
      </c>
      <c r="K190" s="46" t="str">
        <f aca="false">IF(IF($M190="",0,INDEX(伝票元!$N$6:$N$511,$M190))=1,INDEX(伝票元!$R$6:$R$511,$M190),"")</f>
        <v/>
      </c>
      <c r="L190" s="47" t="str">
        <f aca="false">IF($M190="","",INDEX(伝票元!$S$6:$S$511,$M190))</f>
        <v/>
      </c>
      <c r="M190" s="47" t="str">
        <f aca="false">IFERROR(MATCH(184,伝票元!$O$6:$O$511,0),"")</f>
        <v/>
      </c>
    </row>
    <row r="191" customFormat="false" ht="15" hidden="false" customHeight="false" outlineLevel="0" collapsed="false">
      <c r="A191" s="10" t="str">
        <f aca="false">IF($M191="","",INDEX(伝票元!$P$6:$P$511,$M191))</f>
        <v/>
      </c>
      <c r="B191" s="45" t="str">
        <f aca="false">IF($M191="","",INDEX(伝票元!$D$6:$D$511,$M191))</f>
        <v/>
      </c>
      <c r="C191" s="10" t="str">
        <f aca="false">IF($M191="","",INDEX(伝票元!$E$6:$E$511,$M191))</f>
        <v/>
      </c>
      <c r="D191" s="45" t="str">
        <f aca="false">IF($M191="","",INDEX(伝票元!$A$6:$A$511,$M191))</f>
        <v/>
      </c>
      <c r="E191" s="10" t="str">
        <f aca="false">IF(IF($M191="",0,INDEX(伝票元!$N$6:$N$511,$M191))=1,INDEX(伝票元!$I$6:$I$511,$M191),"")</f>
        <v/>
      </c>
      <c r="F191" s="45" t="str">
        <f aca="false">IF(IF($M191="",0,INDEX(伝票元!$N$6:$N$511,$M191))=1,INDEX(伝票元!$J$6:$J$511,$M191),"")</f>
        <v/>
      </c>
      <c r="G191" s="42" t="str">
        <f aca="false">IF(IF($M191="",0,INDEX(伝票元!$N$6:$N$511,$M191))=1,INDEX(伝票元!$Q$6:$Q$511,$M191),"")</f>
        <v/>
      </c>
      <c r="H191" s="45" t="str">
        <f aca="false">IF($M191="","",INDEX(伝票元!$F$6:$F$511,$M191))</f>
        <v/>
      </c>
      <c r="I191" s="45" t="str">
        <f aca="false">IF($M191="","",INDEX(伝票元!$G$6:$G$511,$M191))</f>
        <v/>
      </c>
      <c r="J191" s="42" t="str">
        <f aca="false">IF($M191="","",INDEX(伝票元!$H$6:$H$511,$M191))</f>
        <v/>
      </c>
      <c r="K191" s="46" t="str">
        <f aca="false">IF(IF($M191="",0,INDEX(伝票元!$N$6:$N$511,$M191))=1,INDEX(伝票元!$R$6:$R$511,$M191),"")</f>
        <v/>
      </c>
      <c r="L191" s="47" t="str">
        <f aca="false">IF($M191="","",INDEX(伝票元!$S$6:$S$511,$M191))</f>
        <v/>
      </c>
      <c r="M191" s="47" t="str">
        <f aca="false">IFERROR(MATCH(185,伝票元!$O$6:$O$511,0),"")</f>
        <v/>
      </c>
    </row>
    <row r="192" customFormat="false" ht="15" hidden="false" customHeight="false" outlineLevel="0" collapsed="false">
      <c r="A192" s="10" t="str">
        <f aca="false">IF($M192="","",INDEX(伝票元!$P$6:$P$511,$M192))</f>
        <v/>
      </c>
      <c r="B192" s="45" t="str">
        <f aca="false">IF($M192="","",INDEX(伝票元!$D$6:$D$511,$M192))</f>
        <v/>
      </c>
      <c r="C192" s="10" t="str">
        <f aca="false">IF($M192="","",INDEX(伝票元!$E$6:$E$511,$M192))</f>
        <v/>
      </c>
      <c r="D192" s="45" t="str">
        <f aca="false">IF($M192="","",INDEX(伝票元!$A$6:$A$511,$M192))</f>
        <v/>
      </c>
      <c r="E192" s="10" t="str">
        <f aca="false">IF(IF($M192="",0,INDEX(伝票元!$N$6:$N$511,$M192))=1,INDEX(伝票元!$I$6:$I$511,$M192),"")</f>
        <v/>
      </c>
      <c r="F192" s="45" t="str">
        <f aca="false">IF(IF($M192="",0,INDEX(伝票元!$N$6:$N$511,$M192))=1,INDEX(伝票元!$J$6:$J$511,$M192),"")</f>
        <v/>
      </c>
      <c r="G192" s="42" t="str">
        <f aca="false">IF(IF($M192="",0,INDEX(伝票元!$N$6:$N$511,$M192))=1,INDEX(伝票元!$Q$6:$Q$511,$M192),"")</f>
        <v/>
      </c>
      <c r="H192" s="45" t="str">
        <f aca="false">IF($M192="","",INDEX(伝票元!$F$6:$F$511,$M192))</f>
        <v/>
      </c>
      <c r="I192" s="45" t="str">
        <f aca="false">IF($M192="","",INDEX(伝票元!$G$6:$G$511,$M192))</f>
        <v/>
      </c>
      <c r="J192" s="42" t="str">
        <f aca="false">IF($M192="","",INDEX(伝票元!$H$6:$H$511,$M192))</f>
        <v/>
      </c>
      <c r="K192" s="46" t="str">
        <f aca="false">IF(IF($M192="",0,INDEX(伝票元!$N$6:$N$511,$M192))=1,INDEX(伝票元!$R$6:$R$511,$M192),"")</f>
        <v/>
      </c>
      <c r="L192" s="47" t="str">
        <f aca="false">IF($M192="","",INDEX(伝票元!$S$6:$S$511,$M192))</f>
        <v/>
      </c>
      <c r="M192" s="47" t="str">
        <f aca="false">IFERROR(MATCH(186,伝票元!$O$6:$O$511,0),"")</f>
        <v/>
      </c>
    </row>
    <row r="193" customFormat="false" ht="15" hidden="false" customHeight="false" outlineLevel="0" collapsed="false">
      <c r="A193" s="10" t="str">
        <f aca="false">IF($M193="","",INDEX(伝票元!$P$6:$P$511,$M193))</f>
        <v/>
      </c>
      <c r="B193" s="45" t="str">
        <f aca="false">IF($M193="","",INDEX(伝票元!$D$6:$D$511,$M193))</f>
        <v/>
      </c>
      <c r="C193" s="10" t="str">
        <f aca="false">IF($M193="","",INDEX(伝票元!$E$6:$E$511,$M193))</f>
        <v/>
      </c>
      <c r="D193" s="45" t="str">
        <f aca="false">IF($M193="","",INDEX(伝票元!$A$6:$A$511,$M193))</f>
        <v/>
      </c>
      <c r="E193" s="10" t="str">
        <f aca="false">IF(IF($M193="",0,INDEX(伝票元!$N$6:$N$511,$M193))=1,INDEX(伝票元!$I$6:$I$511,$M193),"")</f>
        <v/>
      </c>
      <c r="F193" s="45" t="str">
        <f aca="false">IF(IF($M193="",0,INDEX(伝票元!$N$6:$N$511,$M193))=1,INDEX(伝票元!$J$6:$J$511,$M193),"")</f>
        <v/>
      </c>
      <c r="G193" s="42" t="str">
        <f aca="false">IF(IF($M193="",0,INDEX(伝票元!$N$6:$N$511,$M193))=1,INDEX(伝票元!$Q$6:$Q$511,$M193),"")</f>
        <v/>
      </c>
      <c r="H193" s="45" t="str">
        <f aca="false">IF($M193="","",INDEX(伝票元!$F$6:$F$511,$M193))</f>
        <v/>
      </c>
      <c r="I193" s="45" t="str">
        <f aca="false">IF($M193="","",INDEX(伝票元!$G$6:$G$511,$M193))</f>
        <v/>
      </c>
      <c r="J193" s="42" t="str">
        <f aca="false">IF($M193="","",INDEX(伝票元!$H$6:$H$511,$M193))</f>
        <v/>
      </c>
      <c r="K193" s="46" t="str">
        <f aca="false">IF(IF($M193="",0,INDEX(伝票元!$N$6:$N$511,$M193))=1,INDEX(伝票元!$R$6:$R$511,$M193),"")</f>
        <v/>
      </c>
      <c r="L193" s="47" t="str">
        <f aca="false">IF($M193="","",INDEX(伝票元!$S$6:$S$511,$M193))</f>
        <v/>
      </c>
      <c r="M193" s="47" t="str">
        <f aca="false">IFERROR(MATCH(187,伝票元!$O$6:$O$511,0),"")</f>
        <v/>
      </c>
    </row>
    <row r="194" customFormat="false" ht="15" hidden="false" customHeight="false" outlineLevel="0" collapsed="false">
      <c r="A194" s="10" t="str">
        <f aca="false">IF($M194="","",INDEX(伝票元!$P$6:$P$511,$M194))</f>
        <v/>
      </c>
      <c r="B194" s="45" t="str">
        <f aca="false">IF($M194="","",INDEX(伝票元!$D$6:$D$511,$M194))</f>
        <v/>
      </c>
      <c r="C194" s="10" t="str">
        <f aca="false">IF($M194="","",INDEX(伝票元!$E$6:$E$511,$M194))</f>
        <v/>
      </c>
      <c r="D194" s="45" t="str">
        <f aca="false">IF($M194="","",INDEX(伝票元!$A$6:$A$511,$M194))</f>
        <v/>
      </c>
      <c r="E194" s="10" t="str">
        <f aca="false">IF(IF($M194="",0,INDEX(伝票元!$N$6:$N$511,$M194))=1,INDEX(伝票元!$I$6:$I$511,$M194),"")</f>
        <v/>
      </c>
      <c r="F194" s="45" t="str">
        <f aca="false">IF(IF($M194="",0,INDEX(伝票元!$N$6:$N$511,$M194))=1,INDEX(伝票元!$J$6:$J$511,$M194),"")</f>
        <v/>
      </c>
      <c r="G194" s="42" t="str">
        <f aca="false">IF(IF($M194="",0,INDEX(伝票元!$N$6:$N$511,$M194))=1,INDEX(伝票元!$Q$6:$Q$511,$M194),"")</f>
        <v/>
      </c>
      <c r="H194" s="45" t="str">
        <f aca="false">IF($M194="","",INDEX(伝票元!$F$6:$F$511,$M194))</f>
        <v/>
      </c>
      <c r="I194" s="45" t="str">
        <f aca="false">IF($M194="","",INDEX(伝票元!$G$6:$G$511,$M194))</f>
        <v/>
      </c>
      <c r="J194" s="42" t="str">
        <f aca="false">IF($M194="","",INDEX(伝票元!$H$6:$H$511,$M194))</f>
        <v/>
      </c>
      <c r="K194" s="46" t="str">
        <f aca="false">IF(IF($M194="",0,INDEX(伝票元!$N$6:$N$511,$M194))=1,INDEX(伝票元!$R$6:$R$511,$M194),"")</f>
        <v/>
      </c>
      <c r="L194" s="47" t="str">
        <f aca="false">IF($M194="","",INDEX(伝票元!$S$6:$S$511,$M194))</f>
        <v/>
      </c>
      <c r="M194" s="47" t="str">
        <f aca="false">IFERROR(MATCH(188,伝票元!$O$6:$O$511,0),"")</f>
        <v/>
      </c>
    </row>
    <row r="195" customFormat="false" ht="15" hidden="false" customHeight="false" outlineLevel="0" collapsed="false">
      <c r="A195" s="10" t="str">
        <f aca="false">IF($M195="","",INDEX(伝票元!$P$6:$P$511,$M195))</f>
        <v/>
      </c>
      <c r="B195" s="45" t="str">
        <f aca="false">IF($M195="","",INDEX(伝票元!$D$6:$D$511,$M195))</f>
        <v/>
      </c>
      <c r="C195" s="10" t="str">
        <f aca="false">IF($M195="","",INDEX(伝票元!$E$6:$E$511,$M195))</f>
        <v/>
      </c>
      <c r="D195" s="45" t="str">
        <f aca="false">IF($M195="","",INDEX(伝票元!$A$6:$A$511,$M195))</f>
        <v/>
      </c>
      <c r="E195" s="10" t="str">
        <f aca="false">IF(IF($M195="",0,INDEX(伝票元!$N$6:$N$511,$M195))=1,INDEX(伝票元!$I$6:$I$511,$M195),"")</f>
        <v/>
      </c>
      <c r="F195" s="45" t="str">
        <f aca="false">IF(IF($M195="",0,INDEX(伝票元!$N$6:$N$511,$M195))=1,INDEX(伝票元!$J$6:$J$511,$M195),"")</f>
        <v/>
      </c>
      <c r="G195" s="42" t="str">
        <f aca="false">IF(IF($M195="",0,INDEX(伝票元!$N$6:$N$511,$M195))=1,INDEX(伝票元!$Q$6:$Q$511,$M195),"")</f>
        <v/>
      </c>
      <c r="H195" s="45" t="str">
        <f aca="false">IF($M195="","",INDEX(伝票元!$F$6:$F$511,$M195))</f>
        <v/>
      </c>
      <c r="I195" s="45" t="str">
        <f aca="false">IF($M195="","",INDEX(伝票元!$G$6:$G$511,$M195))</f>
        <v/>
      </c>
      <c r="J195" s="42" t="str">
        <f aca="false">IF($M195="","",INDEX(伝票元!$H$6:$H$511,$M195))</f>
        <v/>
      </c>
      <c r="K195" s="46" t="str">
        <f aca="false">IF(IF($M195="",0,INDEX(伝票元!$N$6:$N$511,$M195))=1,INDEX(伝票元!$R$6:$R$511,$M195),"")</f>
        <v/>
      </c>
      <c r="L195" s="47" t="str">
        <f aca="false">IF($M195="","",INDEX(伝票元!$S$6:$S$511,$M195))</f>
        <v/>
      </c>
      <c r="M195" s="47" t="str">
        <f aca="false">IFERROR(MATCH(189,伝票元!$O$6:$O$511,0),"")</f>
        <v/>
      </c>
    </row>
    <row r="196" customFormat="false" ht="15" hidden="false" customHeight="false" outlineLevel="0" collapsed="false">
      <c r="A196" s="10" t="str">
        <f aca="false">IF($M196="","",INDEX(伝票元!$P$6:$P$511,$M196))</f>
        <v/>
      </c>
      <c r="B196" s="45" t="str">
        <f aca="false">IF($M196="","",INDEX(伝票元!$D$6:$D$511,$M196))</f>
        <v/>
      </c>
      <c r="C196" s="10" t="str">
        <f aca="false">IF($M196="","",INDEX(伝票元!$E$6:$E$511,$M196))</f>
        <v/>
      </c>
      <c r="D196" s="45" t="str">
        <f aca="false">IF($M196="","",INDEX(伝票元!$A$6:$A$511,$M196))</f>
        <v/>
      </c>
      <c r="E196" s="10" t="str">
        <f aca="false">IF(IF($M196="",0,INDEX(伝票元!$N$6:$N$511,$M196))=1,INDEX(伝票元!$I$6:$I$511,$M196),"")</f>
        <v/>
      </c>
      <c r="F196" s="45" t="str">
        <f aca="false">IF(IF($M196="",0,INDEX(伝票元!$N$6:$N$511,$M196))=1,INDEX(伝票元!$J$6:$J$511,$M196),"")</f>
        <v/>
      </c>
      <c r="G196" s="42" t="str">
        <f aca="false">IF(IF($M196="",0,INDEX(伝票元!$N$6:$N$511,$M196))=1,INDEX(伝票元!$Q$6:$Q$511,$M196),"")</f>
        <v/>
      </c>
      <c r="H196" s="45" t="str">
        <f aca="false">IF($M196="","",INDEX(伝票元!$F$6:$F$511,$M196))</f>
        <v/>
      </c>
      <c r="I196" s="45" t="str">
        <f aca="false">IF($M196="","",INDEX(伝票元!$G$6:$G$511,$M196))</f>
        <v/>
      </c>
      <c r="J196" s="42" t="str">
        <f aca="false">IF($M196="","",INDEX(伝票元!$H$6:$H$511,$M196))</f>
        <v/>
      </c>
      <c r="K196" s="46" t="str">
        <f aca="false">IF(IF($M196="",0,INDEX(伝票元!$N$6:$N$511,$M196))=1,INDEX(伝票元!$R$6:$R$511,$M196),"")</f>
        <v/>
      </c>
      <c r="L196" s="47" t="str">
        <f aca="false">IF($M196="","",INDEX(伝票元!$S$6:$S$511,$M196))</f>
        <v/>
      </c>
      <c r="M196" s="47" t="str">
        <f aca="false">IFERROR(MATCH(190,伝票元!$O$6:$O$511,0),"")</f>
        <v/>
      </c>
    </row>
    <row r="197" customFormat="false" ht="15" hidden="false" customHeight="false" outlineLevel="0" collapsed="false">
      <c r="A197" s="10" t="str">
        <f aca="false">IF($M197="","",INDEX(伝票元!$P$6:$P$511,$M197))</f>
        <v/>
      </c>
      <c r="B197" s="45" t="str">
        <f aca="false">IF($M197="","",INDEX(伝票元!$D$6:$D$511,$M197))</f>
        <v/>
      </c>
      <c r="C197" s="10" t="str">
        <f aca="false">IF($M197="","",INDEX(伝票元!$E$6:$E$511,$M197))</f>
        <v/>
      </c>
      <c r="D197" s="45" t="str">
        <f aca="false">IF($M197="","",INDEX(伝票元!$A$6:$A$511,$M197))</f>
        <v/>
      </c>
      <c r="E197" s="10" t="str">
        <f aca="false">IF(IF($M197="",0,INDEX(伝票元!$N$6:$N$511,$M197))=1,INDEX(伝票元!$I$6:$I$511,$M197),"")</f>
        <v/>
      </c>
      <c r="F197" s="45" t="str">
        <f aca="false">IF(IF($M197="",0,INDEX(伝票元!$N$6:$N$511,$M197))=1,INDEX(伝票元!$J$6:$J$511,$M197),"")</f>
        <v/>
      </c>
      <c r="G197" s="42" t="str">
        <f aca="false">IF(IF($M197="",0,INDEX(伝票元!$N$6:$N$511,$M197))=1,INDEX(伝票元!$Q$6:$Q$511,$M197),"")</f>
        <v/>
      </c>
      <c r="H197" s="45" t="str">
        <f aca="false">IF($M197="","",INDEX(伝票元!$F$6:$F$511,$M197))</f>
        <v/>
      </c>
      <c r="I197" s="45" t="str">
        <f aca="false">IF($M197="","",INDEX(伝票元!$G$6:$G$511,$M197))</f>
        <v/>
      </c>
      <c r="J197" s="42" t="str">
        <f aca="false">IF($M197="","",INDEX(伝票元!$H$6:$H$511,$M197))</f>
        <v/>
      </c>
      <c r="K197" s="46" t="str">
        <f aca="false">IF(IF($M197="",0,INDEX(伝票元!$N$6:$N$511,$M197))=1,INDEX(伝票元!$R$6:$R$511,$M197),"")</f>
        <v/>
      </c>
      <c r="L197" s="47" t="str">
        <f aca="false">IF($M197="","",INDEX(伝票元!$S$6:$S$511,$M197))</f>
        <v/>
      </c>
      <c r="M197" s="47" t="str">
        <f aca="false">IFERROR(MATCH(191,伝票元!$O$6:$O$511,0),"")</f>
        <v/>
      </c>
    </row>
    <row r="198" customFormat="false" ht="15" hidden="false" customHeight="false" outlineLevel="0" collapsed="false">
      <c r="A198" s="10" t="str">
        <f aca="false">IF($M198="","",INDEX(伝票元!$P$6:$P$511,$M198))</f>
        <v/>
      </c>
      <c r="B198" s="45" t="str">
        <f aca="false">IF($M198="","",INDEX(伝票元!$D$6:$D$511,$M198))</f>
        <v/>
      </c>
      <c r="C198" s="10" t="str">
        <f aca="false">IF($M198="","",INDEX(伝票元!$E$6:$E$511,$M198))</f>
        <v/>
      </c>
      <c r="D198" s="45" t="str">
        <f aca="false">IF($M198="","",INDEX(伝票元!$A$6:$A$511,$M198))</f>
        <v/>
      </c>
      <c r="E198" s="10" t="str">
        <f aca="false">IF(IF($M198="",0,INDEX(伝票元!$N$6:$N$511,$M198))=1,INDEX(伝票元!$I$6:$I$511,$M198),"")</f>
        <v/>
      </c>
      <c r="F198" s="45" t="str">
        <f aca="false">IF(IF($M198="",0,INDEX(伝票元!$N$6:$N$511,$M198))=1,INDEX(伝票元!$J$6:$J$511,$M198),"")</f>
        <v/>
      </c>
      <c r="G198" s="42" t="str">
        <f aca="false">IF(IF($M198="",0,INDEX(伝票元!$N$6:$N$511,$M198))=1,INDEX(伝票元!$Q$6:$Q$511,$M198),"")</f>
        <v/>
      </c>
      <c r="H198" s="45" t="str">
        <f aca="false">IF($M198="","",INDEX(伝票元!$F$6:$F$511,$M198))</f>
        <v/>
      </c>
      <c r="I198" s="45" t="str">
        <f aca="false">IF($M198="","",INDEX(伝票元!$G$6:$G$511,$M198))</f>
        <v/>
      </c>
      <c r="J198" s="42" t="str">
        <f aca="false">IF($M198="","",INDEX(伝票元!$H$6:$H$511,$M198))</f>
        <v/>
      </c>
      <c r="K198" s="46" t="str">
        <f aca="false">IF(IF($M198="",0,INDEX(伝票元!$N$6:$N$511,$M198))=1,INDEX(伝票元!$R$6:$R$511,$M198),"")</f>
        <v/>
      </c>
      <c r="L198" s="47" t="str">
        <f aca="false">IF($M198="","",INDEX(伝票元!$S$6:$S$511,$M198))</f>
        <v/>
      </c>
      <c r="M198" s="47" t="str">
        <f aca="false">IFERROR(MATCH(192,伝票元!$O$6:$O$511,0),"")</f>
        <v/>
      </c>
    </row>
    <row r="199" customFormat="false" ht="15" hidden="false" customHeight="false" outlineLevel="0" collapsed="false">
      <c r="A199" s="10" t="str">
        <f aca="false">IF($M199="","",INDEX(伝票元!$P$6:$P$511,$M199))</f>
        <v/>
      </c>
      <c r="B199" s="45" t="str">
        <f aca="false">IF($M199="","",INDEX(伝票元!$D$6:$D$511,$M199))</f>
        <v/>
      </c>
      <c r="C199" s="10" t="str">
        <f aca="false">IF($M199="","",INDEX(伝票元!$E$6:$E$511,$M199))</f>
        <v/>
      </c>
      <c r="D199" s="45" t="str">
        <f aca="false">IF($M199="","",INDEX(伝票元!$A$6:$A$511,$M199))</f>
        <v/>
      </c>
      <c r="E199" s="10" t="str">
        <f aca="false">IF(IF($M199="",0,INDEX(伝票元!$N$6:$N$511,$M199))=1,INDEX(伝票元!$I$6:$I$511,$M199),"")</f>
        <v/>
      </c>
      <c r="F199" s="45" t="str">
        <f aca="false">IF(IF($M199="",0,INDEX(伝票元!$N$6:$N$511,$M199))=1,INDEX(伝票元!$J$6:$J$511,$M199),"")</f>
        <v/>
      </c>
      <c r="G199" s="42" t="str">
        <f aca="false">IF(IF($M199="",0,INDEX(伝票元!$N$6:$N$511,$M199))=1,INDEX(伝票元!$Q$6:$Q$511,$M199),"")</f>
        <v/>
      </c>
      <c r="H199" s="45" t="str">
        <f aca="false">IF($M199="","",INDEX(伝票元!$F$6:$F$511,$M199))</f>
        <v/>
      </c>
      <c r="I199" s="45" t="str">
        <f aca="false">IF($M199="","",INDEX(伝票元!$G$6:$G$511,$M199))</f>
        <v/>
      </c>
      <c r="J199" s="42" t="str">
        <f aca="false">IF($M199="","",INDEX(伝票元!$H$6:$H$511,$M199))</f>
        <v/>
      </c>
      <c r="K199" s="46" t="str">
        <f aca="false">IF(IF($M199="",0,INDEX(伝票元!$N$6:$N$511,$M199))=1,INDEX(伝票元!$R$6:$R$511,$M199),"")</f>
        <v/>
      </c>
      <c r="L199" s="47" t="str">
        <f aca="false">IF($M199="","",INDEX(伝票元!$S$6:$S$511,$M199))</f>
        <v/>
      </c>
      <c r="M199" s="47" t="str">
        <f aca="false">IFERROR(MATCH(193,伝票元!$O$6:$O$511,0),"")</f>
        <v/>
      </c>
    </row>
    <row r="200" customFormat="false" ht="15" hidden="false" customHeight="false" outlineLevel="0" collapsed="false">
      <c r="A200" s="10" t="str">
        <f aca="false">IF($M200="","",INDEX(伝票元!$P$6:$P$511,$M200))</f>
        <v/>
      </c>
      <c r="B200" s="45" t="str">
        <f aca="false">IF($M200="","",INDEX(伝票元!$D$6:$D$511,$M200))</f>
        <v/>
      </c>
      <c r="C200" s="10" t="str">
        <f aca="false">IF($M200="","",INDEX(伝票元!$E$6:$E$511,$M200))</f>
        <v/>
      </c>
      <c r="D200" s="45" t="str">
        <f aca="false">IF($M200="","",INDEX(伝票元!$A$6:$A$511,$M200))</f>
        <v/>
      </c>
      <c r="E200" s="10" t="str">
        <f aca="false">IF(IF($M200="",0,INDEX(伝票元!$N$6:$N$511,$M200))=1,INDEX(伝票元!$I$6:$I$511,$M200),"")</f>
        <v/>
      </c>
      <c r="F200" s="45" t="str">
        <f aca="false">IF(IF($M200="",0,INDEX(伝票元!$N$6:$N$511,$M200))=1,INDEX(伝票元!$J$6:$J$511,$M200),"")</f>
        <v/>
      </c>
      <c r="G200" s="42" t="str">
        <f aca="false">IF(IF($M200="",0,INDEX(伝票元!$N$6:$N$511,$M200))=1,INDEX(伝票元!$Q$6:$Q$511,$M200),"")</f>
        <v/>
      </c>
      <c r="H200" s="45" t="str">
        <f aca="false">IF($M200="","",INDEX(伝票元!$F$6:$F$511,$M200))</f>
        <v/>
      </c>
      <c r="I200" s="45" t="str">
        <f aca="false">IF($M200="","",INDEX(伝票元!$G$6:$G$511,$M200))</f>
        <v/>
      </c>
      <c r="J200" s="42" t="str">
        <f aca="false">IF($M200="","",INDEX(伝票元!$H$6:$H$511,$M200))</f>
        <v/>
      </c>
      <c r="K200" s="46" t="str">
        <f aca="false">IF(IF($M200="",0,INDEX(伝票元!$N$6:$N$511,$M200))=1,INDEX(伝票元!$R$6:$R$511,$M200),"")</f>
        <v/>
      </c>
      <c r="L200" s="47" t="str">
        <f aca="false">IF($M200="","",INDEX(伝票元!$S$6:$S$511,$M200))</f>
        <v/>
      </c>
      <c r="M200" s="47" t="str">
        <f aca="false">IFERROR(MATCH(194,伝票元!$O$6:$O$511,0),"")</f>
        <v/>
      </c>
    </row>
    <row r="201" customFormat="false" ht="15" hidden="false" customHeight="false" outlineLevel="0" collapsed="false">
      <c r="A201" s="10" t="str">
        <f aca="false">IF($M201="","",INDEX(伝票元!$P$6:$P$511,$M201))</f>
        <v/>
      </c>
      <c r="B201" s="45" t="str">
        <f aca="false">IF($M201="","",INDEX(伝票元!$D$6:$D$511,$M201))</f>
        <v/>
      </c>
      <c r="C201" s="10" t="str">
        <f aca="false">IF($M201="","",INDEX(伝票元!$E$6:$E$511,$M201))</f>
        <v/>
      </c>
      <c r="D201" s="45" t="str">
        <f aca="false">IF($M201="","",INDEX(伝票元!$A$6:$A$511,$M201))</f>
        <v/>
      </c>
      <c r="E201" s="10" t="str">
        <f aca="false">IF(IF($M201="",0,INDEX(伝票元!$N$6:$N$511,$M201))=1,INDEX(伝票元!$I$6:$I$511,$M201),"")</f>
        <v/>
      </c>
      <c r="F201" s="45" t="str">
        <f aca="false">IF(IF($M201="",0,INDEX(伝票元!$N$6:$N$511,$M201))=1,INDEX(伝票元!$J$6:$J$511,$M201),"")</f>
        <v/>
      </c>
      <c r="G201" s="42" t="str">
        <f aca="false">IF(IF($M201="",0,INDEX(伝票元!$N$6:$N$511,$M201))=1,INDEX(伝票元!$Q$6:$Q$511,$M201),"")</f>
        <v/>
      </c>
      <c r="H201" s="45" t="str">
        <f aca="false">IF($M201="","",INDEX(伝票元!$F$6:$F$511,$M201))</f>
        <v/>
      </c>
      <c r="I201" s="45" t="str">
        <f aca="false">IF($M201="","",INDEX(伝票元!$G$6:$G$511,$M201))</f>
        <v/>
      </c>
      <c r="J201" s="42" t="str">
        <f aca="false">IF($M201="","",INDEX(伝票元!$H$6:$H$511,$M201))</f>
        <v/>
      </c>
      <c r="K201" s="46" t="str">
        <f aca="false">IF(IF($M201="",0,INDEX(伝票元!$N$6:$N$511,$M201))=1,INDEX(伝票元!$R$6:$R$511,$M201),"")</f>
        <v/>
      </c>
      <c r="L201" s="47" t="str">
        <f aca="false">IF($M201="","",INDEX(伝票元!$S$6:$S$511,$M201))</f>
        <v/>
      </c>
      <c r="M201" s="47" t="str">
        <f aca="false">IFERROR(MATCH(195,伝票元!$O$6:$O$511,0),"")</f>
        <v/>
      </c>
    </row>
    <row r="202" customFormat="false" ht="15" hidden="false" customHeight="false" outlineLevel="0" collapsed="false">
      <c r="A202" s="10" t="str">
        <f aca="false">IF($M202="","",INDEX(伝票元!$P$6:$P$511,$M202))</f>
        <v/>
      </c>
      <c r="B202" s="45" t="str">
        <f aca="false">IF($M202="","",INDEX(伝票元!$D$6:$D$511,$M202))</f>
        <v/>
      </c>
      <c r="C202" s="10" t="str">
        <f aca="false">IF($M202="","",INDEX(伝票元!$E$6:$E$511,$M202))</f>
        <v/>
      </c>
      <c r="D202" s="45" t="str">
        <f aca="false">IF($M202="","",INDEX(伝票元!$A$6:$A$511,$M202))</f>
        <v/>
      </c>
      <c r="E202" s="10" t="str">
        <f aca="false">IF(IF($M202="",0,INDEX(伝票元!$N$6:$N$511,$M202))=1,INDEX(伝票元!$I$6:$I$511,$M202),"")</f>
        <v/>
      </c>
      <c r="F202" s="45" t="str">
        <f aca="false">IF(IF($M202="",0,INDEX(伝票元!$N$6:$N$511,$M202))=1,INDEX(伝票元!$J$6:$J$511,$M202),"")</f>
        <v/>
      </c>
      <c r="G202" s="42" t="str">
        <f aca="false">IF(IF($M202="",0,INDEX(伝票元!$N$6:$N$511,$M202))=1,INDEX(伝票元!$Q$6:$Q$511,$M202),"")</f>
        <v/>
      </c>
      <c r="H202" s="45" t="str">
        <f aca="false">IF($M202="","",INDEX(伝票元!$F$6:$F$511,$M202))</f>
        <v/>
      </c>
      <c r="I202" s="45" t="str">
        <f aca="false">IF($M202="","",INDEX(伝票元!$G$6:$G$511,$M202))</f>
        <v/>
      </c>
      <c r="J202" s="42" t="str">
        <f aca="false">IF($M202="","",INDEX(伝票元!$H$6:$H$511,$M202))</f>
        <v/>
      </c>
      <c r="K202" s="46" t="str">
        <f aca="false">IF(IF($M202="",0,INDEX(伝票元!$N$6:$N$511,$M202))=1,INDEX(伝票元!$R$6:$R$511,$M202),"")</f>
        <v/>
      </c>
      <c r="L202" s="47" t="str">
        <f aca="false">IF($M202="","",INDEX(伝票元!$S$6:$S$511,$M202))</f>
        <v/>
      </c>
      <c r="M202" s="47" t="str">
        <f aca="false">IFERROR(MATCH(196,伝票元!$O$6:$O$511,0),"")</f>
        <v/>
      </c>
    </row>
    <row r="203" customFormat="false" ht="15" hidden="false" customHeight="false" outlineLevel="0" collapsed="false">
      <c r="A203" s="10" t="str">
        <f aca="false">IF($M203="","",INDEX(伝票元!$P$6:$P$511,$M203))</f>
        <v/>
      </c>
      <c r="B203" s="45" t="str">
        <f aca="false">IF($M203="","",INDEX(伝票元!$D$6:$D$511,$M203))</f>
        <v/>
      </c>
      <c r="C203" s="10" t="str">
        <f aca="false">IF($M203="","",INDEX(伝票元!$E$6:$E$511,$M203))</f>
        <v/>
      </c>
      <c r="D203" s="45" t="str">
        <f aca="false">IF($M203="","",INDEX(伝票元!$A$6:$A$511,$M203))</f>
        <v/>
      </c>
      <c r="E203" s="10" t="str">
        <f aca="false">IF(IF($M203="",0,INDEX(伝票元!$N$6:$N$511,$M203))=1,INDEX(伝票元!$I$6:$I$511,$M203),"")</f>
        <v/>
      </c>
      <c r="F203" s="45" t="str">
        <f aca="false">IF(IF($M203="",0,INDEX(伝票元!$N$6:$N$511,$M203))=1,INDEX(伝票元!$J$6:$J$511,$M203),"")</f>
        <v/>
      </c>
      <c r="G203" s="42" t="str">
        <f aca="false">IF(IF($M203="",0,INDEX(伝票元!$N$6:$N$511,$M203))=1,INDEX(伝票元!$Q$6:$Q$511,$M203),"")</f>
        <v/>
      </c>
      <c r="H203" s="45" t="str">
        <f aca="false">IF($M203="","",INDEX(伝票元!$F$6:$F$511,$M203))</f>
        <v/>
      </c>
      <c r="I203" s="45" t="str">
        <f aca="false">IF($M203="","",INDEX(伝票元!$G$6:$G$511,$M203))</f>
        <v/>
      </c>
      <c r="J203" s="42" t="str">
        <f aca="false">IF($M203="","",INDEX(伝票元!$H$6:$H$511,$M203))</f>
        <v/>
      </c>
      <c r="K203" s="46" t="str">
        <f aca="false">IF(IF($M203="",0,INDEX(伝票元!$N$6:$N$511,$M203))=1,INDEX(伝票元!$R$6:$R$511,$M203),"")</f>
        <v/>
      </c>
      <c r="L203" s="47" t="str">
        <f aca="false">IF($M203="","",INDEX(伝票元!$S$6:$S$511,$M203))</f>
        <v/>
      </c>
      <c r="M203" s="47" t="str">
        <f aca="false">IFERROR(MATCH(197,伝票元!$O$6:$O$511,0),"")</f>
        <v/>
      </c>
    </row>
    <row r="204" customFormat="false" ht="15" hidden="false" customHeight="false" outlineLevel="0" collapsed="false">
      <c r="A204" s="10" t="str">
        <f aca="false">IF($M204="","",INDEX(伝票元!$P$6:$P$511,$M204))</f>
        <v/>
      </c>
      <c r="B204" s="45" t="str">
        <f aca="false">IF($M204="","",INDEX(伝票元!$D$6:$D$511,$M204))</f>
        <v/>
      </c>
      <c r="C204" s="10" t="str">
        <f aca="false">IF($M204="","",INDEX(伝票元!$E$6:$E$511,$M204))</f>
        <v/>
      </c>
      <c r="D204" s="45" t="str">
        <f aca="false">IF($M204="","",INDEX(伝票元!$A$6:$A$511,$M204))</f>
        <v/>
      </c>
      <c r="E204" s="10" t="str">
        <f aca="false">IF(IF($M204="",0,INDEX(伝票元!$N$6:$N$511,$M204))=1,INDEX(伝票元!$I$6:$I$511,$M204),"")</f>
        <v/>
      </c>
      <c r="F204" s="45" t="str">
        <f aca="false">IF(IF($M204="",0,INDEX(伝票元!$N$6:$N$511,$M204))=1,INDEX(伝票元!$J$6:$J$511,$M204),"")</f>
        <v/>
      </c>
      <c r="G204" s="42" t="str">
        <f aca="false">IF(IF($M204="",0,INDEX(伝票元!$N$6:$N$511,$M204))=1,INDEX(伝票元!$Q$6:$Q$511,$M204),"")</f>
        <v/>
      </c>
      <c r="H204" s="45" t="str">
        <f aca="false">IF($M204="","",INDEX(伝票元!$F$6:$F$511,$M204))</f>
        <v/>
      </c>
      <c r="I204" s="45" t="str">
        <f aca="false">IF($M204="","",INDEX(伝票元!$G$6:$G$511,$M204))</f>
        <v/>
      </c>
      <c r="J204" s="42" t="str">
        <f aca="false">IF($M204="","",INDEX(伝票元!$H$6:$H$511,$M204))</f>
        <v/>
      </c>
      <c r="K204" s="46" t="str">
        <f aca="false">IF(IF($M204="",0,INDEX(伝票元!$N$6:$N$511,$M204))=1,INDEX(伝票元!$R$6:$R$511,$M204),"")</f>
        <v/>
      </c>
      <c r="L204" s="47" t="str">
        <f aca="false">IF($M204="","",INDEX(伝票元!$S$6:$S$511,$M204))</f>
        <v/>
      </c>
      <c r="M204" s="47" t="str">
        <f aca="false">IFERROR(MATCH(198,伝票元!$O$6:$O$511,0),"")</f>
        <v/>
      </c>
    </row>
    <row r="205" customFormat="false" ht="15" hidden="false" customHeight="false" outlineLevel="0" collapsed="false">
      <c r="A205" s="10" t="str">
        <f aca="false">IF($M205="","",INDEX(伝票元!$P$6:$P$511,$M205))</f>
        <v/>
      </c>
      <c r="B205" s="45" t="str">
        <f aca="false">IF($M205="","",INDEX(伝票元!$D$6:$D$511,$M205))</f>
        <v/>
      </c>
      <c r="C205" s="10" t="str">
        <f aca="false">IF($M205="","",INDEX(伝票元!$E$6:$E$511,$M205))</f>
        <v/>
      </c>
      <c r="D205" s="45" t="str">
        <f aca="false">IF($M205="","",INDEX(伝票元!$A$6:$A$511,$M205))</f>
        <v/>
      </c>
      <c r="E205" s="10" t="str">
        <f aca="false">IF(IF($M205="",0,INDEX(伝票元!$N$6:$N$511,$M205))=1,INDEX(伝票元!$I$6:$I$511,$M205),"")</f>
        <v/>
      </c>
      <c r="F205" s="45" t="str">
        <f aca="false">IF(IF($M205="",0,INDEX(伝票元!$N$6:$N$511,$M205))=1,INDEX(伝票元!$J$6:$J$511,$M205),"")</f>
        <v/>
      </c>
      <c r="G205" s="42" t="str">
        <f aca="false">IF(IF($M205="",0,INDEX(伝票元!$N$6:$N$511,$M205))=1,INDEX(伝票元!$Q$6:$Q$511,$M205),"")</f>
        <v/>
      </c>
      <c r="H205" s="45" t="str">
        <f aca="false">IF($M205="","",INDEX(伝票元!$F$6:$F$511,$M205))</f>
        <v/>
      </c>
      <c r="I205" s="45" t="str">
        <f aca="false">IF($M205="","",INDEX(伝票元!$G$6:$G$511,$M205))</f>
        <v/>
      </c>
      <c r="J205" s="42" t="str">
        <f aca="false">IF($M205="","",INDEX(伝票元!$H$6:$H$511,$M205))</f>
        <v/>
      </c>
      <c r="K205" s="46" t="str">
        <f aca="false">IF(IF($M205="",0,INDEX(伝票元!$N$6:$N$511,$M205))=1,INDEX(伝票元!$R$6:$R$511,$M205),"")</f>
        <v/>
      </c>
      <c r="L205" s="47" t="str">
        <f aca="false">IF($M205="","",INDEX(伝票元!$S$6:$S$511,$M205))</f>
        <v/>
      </c>
      <c r="M205" s="47" t="str">
        <f aca="false">IFERROR(MATCH(199,伝票元!$O$6:$O$511,0),"")</f>
        <v/>
      </c>
    </row>
    <row r="206" customFormat="false" ht="15" hidden="false" customHeight="false" outlineLevel="0" collapsed="false">
      <c r="A206" s="10" t="str">
        <f aca="false">IF($M206="","",INDEX(伝票元!$P$6:$P$511,$M206))</f>
        <v/>
      </c>
      <c r="B206" s="45" t="str">
        <f aca="false">IF($M206="","",INDEX(伝票元!$D$6:$D$511,$M206))</f>
        <v/>
      </c>
      <c r="C206" s="10" t="str">
        <f aca="false">IF($M206="","",INDEX(伝票元!$E$6:$E$511,$M206))</f>
        <v/>
      </c>
      <c r="D206" s="45" t="str">
        <f aca="false">IF($M206="","",INDEX(伝票元!$A$6:$A$511,$M206))</f>
        <v/>
      </c>
      <c r="E206" s="10" t="str">
        <f aca="false">IF(IF($M206="",0,INDEX(伝票元!$N$6:$N$511,$M206))=1,INDEX(伝票元!$I$6:$I$511,$M206),"")</f>
        <v/>
      </c>
      <c r="F206" s="45" t="str">
        <f aca="false">IF(IF($M206="",0,INDEX(伝票元!$N$6:$N$511,$M206))=1,INDEX(伝票元!$J$6:$J$511,$M206),"")</f>
        <v/>
      </c>
      <c r="G206" s="42" t="str">
        <f aca="false">IF(IF($M206="",0,INDEX(伝票元!$N$6:$N$511,$M206))=1,INDEX(伝票元!$Q$6:$Q$511,$M206),"")</f>
        <v/>
      </c>
      <c r="H206" s="45" t="str">
        <f aca="false">IF($M206="","",INDEX(伝票元!$F$6:$F$511,$M206))</f>
        <v/>
      </c>
      <c r="I206" s="45" t="str">
        <f aca="false">IF($M206="","",INDEX(伝票元!$G$6:$G$511,$M206))</f>
        <v/>
      </c>
      <c r="J206" s="42" t="str">
        <f aca="false">IF($M206="","",INDEX(伝票元!$H$6:$H$511,$M206))</f>
        <v/>
      </c>
      <c r="K206" s="46" t="str">
        <f aca="false">IF(IF($M206="",0,INDEX(伝票元!$N$6:$N$511,$M206))=1,INDEX(伝票元!$R$6:$R$511,$M206),"")</f>
        <v/>
      </c>
      <c r="L206" s="47" t="str">
        <f aca="false">IF($M206="","",INDEX(伝票元!$S$6:$S$511,$M206))</f>
        <v/>
      </c>
      <c r="M206" s="47" t="str">
        <f aca="false">IFERROR(MATCH(200,伝票元!$O$6:$O$511,0),"")</f>
        <v/>
      </c>
    </row>
    <row r="207" customFormat="false" ht="15" hidden="false" customHeight="false" outlineLevel="0" collapsed="false">
      <c r="A207" s="10" t="str">
        <f aca="false">IF($M207="","",INDEX(伝票元!$P$6:$P$511,$M207))</f>
        <v/>
      </c>
      <c r="B207" s="45" t="str">
        <f aca="false">IF($M207="","",INDEX(伝票元!$D$6:$D$511,$M207))</f>
        <v/>
      </c>
      <c r="C207" s="10" t="str">
        <f aca="false">IF($M207="","",INDEX(伝票元!$E$6:$E$511,$M207))</f>
        <v/>
      </c>
      <c r="D207" s="45" t="str">
        <f aca="false">IF($M207="","",INDEX(伝票元!$A$6:$A$511,$M207))</f>
        <v/>
      </c>
      <c r="E207" s="10" t="str">
        <f aca="false">IF(IF($M207="",0,INDEX(伝票元!$N$6:$N$511,$M207))=1,INDEX(伝票元!$I$6:$I$511,$M207),"")</f>
        <v/>
      </c>
      <c r="F207" s="45" t="str">
        <f aca="false">IF(IF($M207="",0,INDEX(伝票元!$N$6:$N$511,$M207))=1,INDEX(伝票元!$J$6:$J$511,$M207),"")</f>
        <v/>
      </c>
      <c r="G207" s="42" t="str">
        <f aca="false">IF(IF($M207="",0,INDEX(伝票元!$N$6:$N$511,$M207))=1,INDEX(伝票元!$Q$6:$Q$511,$M207),"")</f>
        <v/>
      </c>
      <c r="H207" s="45" t="str">
        <f aca="false">IF($M207="","",INDEX(伝票元!$F$6:$F$511,$M207))</f>
        <v/>
      </c>
      <c r="I207" s="45" t="str">
        <f aca="false">IF($M207="","",INDEX(伝票元!$G$6:$G$511,$M207))</f>
        <v/>
      </c>
      <c r="J207" s="42" t="str">
        <f aca="false">IF($M207="","",INDEX(伝票元!$H$6:$H$511,$M207))</f>
        <v/>
      </c>
      <c r="K207" s="46" t="str">
        <f aca="false">IF(IF($M207="",0,INDEX(伝票元!$N$6:$N$511,$M207))=1,INDEX(伝票元!$R$6:$R$511,$M207),"")</f>
        <v/>
      </c>
      <c r="L207" s="47" t="str">
        <f aca="false">IF($M207="","",INDEX(伝票元!$S$6:$S$511,$M207))</f>
        <v/>
      </c>
      <c r="M207" s="47" t="str">
        <f aca="false">IFERROR(MATCH(201,伝票元!$O$6:$O$511,0),"")</f>
        <v/>
      </c>
    </row>
    <row r="208" customFormat="false" ht="15" hidden="false" customHeight="false" outlineLevel="0" collapsed="false">
      <c r="A208" s="10" t="str">
        <f aca="false">IF($M208="","",INDEX(伝票元!$P$6:$P$511,$M208))</f>
        <v/>
      </c>
      <c r="B208" s="45" t="str">
        <f aca="false">IF($M208="","",INDEX(伝票元!$D$6:$D$511,$M208))</f>
        <v/>
      </c>
      <c r="C208" s="10" t="str">
        <f aca="false">IF($M208="","",INDEX(伝票元!$E$6:$E$511,$M208))</f>
        <v/>
      </c>
      <c r="D208" s="45" t="str">
        <f aca="false">IF($M208="","",INDEX(伝票元!$A$6:$A$511,$M208))</f>
        <v/>
      </c>
      <c r="E208" s="10" t="str">
        <f aca="false">IF(IF($M208="",0,INDEX(伝票元!$N$6:$N$511,$M208))=1,INDEX(伝票元!$I$6:$I$511,$M208),"")</f>
        <v/>
      </c>
      <c r="F208" s="45" t="str">
        <f aca="false">IF(IF($M208="",0,INDEX(伝票元!$N$6:$N$511,$M208))=1,INDEX(伝票元!$J$6:$J$511,$M208),"")</f>
        <v/>
      </c>
      <c r="G208" s="42" t="str">
        <f aca="false">IF(IF($M208="",0,INDEX(伝票元!$N$6:$N$511,$M208))=1,INDEX(伝票元!$Q$6:$Q$511,$M208),"")</f>
        <v/>
      </c>
      <c r="H208" s="45" t="str">
        <f aca="false">IF($M208="","",INDEX(伝票元!$F$6:$F$511,$M208))</f>
        <v/>
      </c>
      <c r="I208" s="45" t="str">
        <f aca="false">IF($M208="","",INDEX(伝票元!$G$6:$G$511,$M208))</f>
        <v/>
      </c>
      <c r="J208" s="42" t="str">
        <f aca="false">IF($M208="","",INDEX(伝票元!$H$6:$H$511,$M208))</f>
        <v/>
      </c>
      <c r="K208" s="46" t="str">
        <f aca="false">IF(IF($M208="",0,INDEX(伝票元!$N$6:$N$511,$M208))=1,INDEX(伝票元!$R$6:$R$511,$M208),"")</f>
        <v/>
      </c>
      <c r="L208" s="47" t="str">
        <f aca="false">IF($M208="","",INDEX(伝票元!$S$6:$S$511,$M208))</f>
        <v/>
      </c>
      <c r="M208" s="47" t="str">
        <f aca="false">IFERROR(MATCH(202,伝票元!$O$6:$O$511,0),"")</f>
        <v/>
      </c>
    </row>
    <row r="209" customFormat="false" ht="15" hidden="false" customHeight="false" outlineLevel="0" collapsed="false">
      <c r="A209" s="10" t="str">
        <f aca="false">IF($M209="","",INDEX(伝票元!$P$6:$P$511,$M209))</f>
        <v/>
      </c>
      <c r="B209" s="45" t="str">
        <f aca="false">IF($M209="","",INDEX(伝票元!$D$6:$D$511,$M209))</f>
        <v/>
      </c>
      <c r="C209" s="10" t="str">
        <f aca="false">IF($M209="","",INDEX(伝票元!$E$6:$E$511,$M209))</f>
        <v/>
      </c>
      <c r="D209" s="45" t="str">
        <f aca="false">IF($M209="","",INDEX(伝票元!$A$6:$A$511,$M209))</f>
        <v/>
      </c>
      <c r="E209" s="10" t="str">
        <f aca="false">IF(IF($M209="",0,INDEX(伝票元!$N$6:$N$511,$M209))=1,INDEX(伝票元!$I$6:$I$511,$M209),"")</f>
        <v/>
      </c>
      <c r="F209" s="45" t="str">
        <f aca="false">IF(IF($M209="",0,INDEX(伝票元!$N$6:$N$511,$M209))=1,INDEX(伝票元!$J$6:$J$511,$M209),"")</f>
        <v/>
      </c>
      <c r="G209" s="42" t="str">
        <f aca="false">IF(IF($M209="",0,INDEX(伝票元!$N$6:$N$511,$M209))=1,INDEX(伝票元!$Q$6:$Q$511,$M209),"")</f>
        <v/>
      </c>
      <c r="H209" s="45" t="str">
        <f aca="false">IF($M209="","",INDEX(伝票元!$F$6:$F$511,$M209))</f>
        <v/>
      </c>
      <c r="I209" s="45" t="str">
        <f aca="false">IF($M209="","",INDEX(伝票元!$G$6:$G$511,$M209))</f>
        <v/>
      </c>
      <c r="J209" s="42" t="str">
        <f aca="false">IF($M209="","",INDEX(伝票元!$H$6:$H$511,$M209))</f>
        <v/>
      </c>
      <c r="K209" s="46" t="str">
        <f aca="false">IF(IF($M209="",0,INDEX(伝票元!$N$6:$N$511,$M209))=1,INDEX(伝票元!$R$6:$R$511,$M209),"")</f>
        <v/>
      </c>
      <c r="L209" s="47" t="str">
        <f aca="false">IF($M209="","",INDEX(伝票元!$S$6:$S$511,$M209))</f>
        <v/>
      </c>
      <c r="M209" s="47" t="str">
        <f aca="false">IFERROR(MATCH(203,伝票元!$O$6:$O$511,0),"")</f>
        <v/>
      </c>
    </row>
    <row r="210" customFormat="false" ht="15" hidden="false" customHeight="false" outlineLevel="0" collapsed="false">
      <c r="A210" s="10" t="str">
        <f aca="false">IF($M210="","",INDEX(伝票元!$P$6:$P$511,$M210))</f>
        <v/>
      </c>
      <c r="B210" s="45" t="str">
        <f aca="false">IF($M210="","",INDEX(伝票元!$D$6:$D$511,$M210))</f>
        <v/>
      </c>
      <c r="C210" s="10" t="str">
        <f aca="false">IF($M210="","",INDEX(伝票元!$E$6:$E$511,$M210))</f>
        <v/>
      </c>
      <c r="D210" s="45" t="str">
        <f aca="false">IF($M210="","",INDEX(伝票元!$A$6:$A$511,$M210))</f>
        <v/>
      </c>
      <c r="E210" s="10" t="str">
        <f aca="false">IF(IF($M210="",0,INDEX(伝票元!$N$6:$N$511,$M210))=1,INDEX(伝票元!$I$6:$I$511,$M210),"")</f>
        <v/>
      </c>
      <c r="F210" s="45" t="str">
        <f aca="false">IF(IF($M210="",0,INDEX(伝票元!$N$6:$N$511,$M210))=1,INDEX(伝票元!$J$6:$J$511,$M210),"")</f>
        <v/>
      </c>
      <c r="G210" s="42" t="str">
        <f aca="false">IF(IF($M210="",0,INDEX(伝票元!$N$6:$N$511,$M210))=1,INDEX(伝票元!$Q$6:$Q$511,$M210),"")</f>
        <v/>
      </c>
      <c r="H210" s="45" t="str">
        <f aca="false">IF($M210="","",INDEX(伝票元!$F$6:$F$511,$M210))</f>
        <v/>
      </c>
      <c r="I210" s="45" t="str">
        <f aca="false">IF($M210="","",INDEX(伝票元!$G$6:$G$511,$M210))</f>
        <v/>
      </c>
      <c r="J210" s="42" t="str">
        <f aca="false">IF($M210="","",INDEX(伝票元!$H$6:$H$511,$M210))</f>
        <v/>
      </c>
      <c r="K210" s="46" t="str">
        <f aca="false">IF(IF($M210="",0,INDEX(伝票元!$N$6:$N$511,$M210))=1,INDEX(伝票元!$R$6:$R$511,$M210),"")</f>
        <v/>
      </c>
      <c r="L210" s="47" t="str">
        <f aca="false">IF($M210="","",INDEX(伝票元!$S$6:$S$511,$M210))</f>
        <v/>
      </c>
      <c r="M210" s="47" t="str">
        <f aca="false">IFERROR(MATCH(204,伝票元!$O$6:$O$511,0),"")</f>
        <v/>
      </c>
    </row>
    <row r="211" customFormat="false" ht="15" hidden="false" customHeight="false" outlineLevel="0" collapsed="false">
      <c r="A211" s="10" t="str">
        <f aca="false">IF($M211="","",INDEX(伝票元!$P$6:$P$511,$M211))</f>
        <v/>
      </c>
      <c r="B211" s="45" t="str">
        <f aca="false">IF($M211="","",INDEX(伝票元!$D$6:$D$511,$M211))</f>
        <v/>
      </c>
      <c r="C211" s="10" t="str">
        <f aca="false">IF($M211="","",INDEX(伝票元!$E$6:$E$511,$M211))</f>
        <v/>
      </c>
      <c r="D211" s="45" t="str">
        <f aca="false">IF($M211="","",INDEX(伝票元!$A$6:$A$511,$M211))</f>
        <v/>
      </c>
      <c r="E211" s="10" t="str">
        <f aca="false">IF(IF($M211="",0,INDEX(伝票元!$N$6:$N$511,$M211))=1,INDEX(伝票元!$I$6:$I$511,$M211),"")</f>
        <v/>
      </c>
      <c r="F211" s="45" t="str">
        <f aca="false">IF(IF($M211="",0,INDEX(伝票元!$N$6:$N$511,$M211))=1,INDEX(伝票元!$J$6:$J$511,$M211),"")</f>
        <v/>
      </c>
      <c r="G211" s="42" t="str">
        <f aca="false">IF(IF($M211="",0,INDEX(伝票元!$N$6:$N$511,$M211))=1,INDEX(伝票元!$Q$6:$Q$511,$M211),"")</f>
        <v/>
      </c>
      <c r="H211" s="45" t="str">
        <f aca="false">IF($M211="","",INDEX(伝票元!$F$6:$F$511,$M211))</f>
        <v/>
      </c>
      <c r="I211" s="45" t="str">
        <f aca="false">IF($M211="","",INDEX(伝票元!$G$6:$G$511,$M211))</f>
        <v/>
      </c>
      <c r="J211" s="42" t="str">
        <f aca="false">IF($M211="","",INDEX(伝票元!$H$6:$H$511,$M211))</f>
        <v/>
      </c>
      <c r="K211" s="46" t="str">
        <f aca="false">IF(IF($M211="",0,INDEX(伝票元!$N$6:$N$511,$M211))=1,INDEX(伝票元!$R$6:$R$511,$M211),"")</f>
        <v/>
      </c>
      <c r="L211" s="47" t="str">
        <f aca="false">IF($M211="","",INDEX(伝票元!$S$6:$S$511,$M211))</f>
        <v/>
      </c>
      <c r="M211" s="47" t="str">
        <f aca="false">IFERROR(MATCH(205,伝票元!$O$6:$O$511,0),"")</f>
        <v/>
      </c>
    </row>
    <row r="212" customFormat="false" ht="15" hidden="false" customHeight="false" outlineLevel="0" collapsed="false">
      <c r="A212" s="10" t="str">
        <f aca="false">IF($M212="","",INDEX(伝票元!$P$6:$P$511,$M212))</f>
        <v/>
      </c>
      <c r="B212" s="45" t="str">
        <f aca="false">IF($M212="","",INDEX(伝票元!$D$6:$D$511,$M212))</f>
        <v/>
      </c>
      <c r="C212" s="10" t="str">
        <f aca="false">IF($M212="","",INDEX(伝票元!$E$6:$E$511,$M212))</f>
        <v/>
      </c>
      <c r="D212" s="45" t="str">
        <f aca="false">IF($M212="","",INDEX(伝票元!$A$6:$A$511,$M212))</f>
        <v/>
      </c>
      <c r="E212" s="10" t="str">
        <f aca="false">IF(IF($M212="",0,INDEX(伝票元!$N$6:$N$511,$M212))=1,INDEX(伝票元!$I$6:$I$511,$M212),"")</f>
        <v/>
      </c>
      <c r="F212" s="45" t="str">
        <f aca="false">IF(IF($M212="",0,INDEX(伝票元!$N$6:$N$511,$M212))=1,INDEX(伝票元!$J$6:$J$511,$M212),"")</f>
        <v/>
      </c>
      <c r="G212" s="42" t="str">
        <f aca="false">IF(IF($M212="",0,INDEX(伝票元!$N$6:$N$511,$M212))=1,INDEX(伝票元!$Q$6:$Q$511,$M212),"")</f>
        <v/>
      </c>
      <c r="H212" s="45" t="str">
        <f aca="false">IF($M212="","",INDEX(伝票元!$F$6:$F$511,$M212))</f>
        <v/>
      </c>
      <c r="I212" s="45" t="str">
        <f aca="false">IF($M212="","",INDEX(伝票元!$G$6:$G$511,$M212))</f>
        <v/>
      </c>
      <c r="J212" s="42" t="str">
        <f aca="false">IF($M212="","",INDEX(伝票元!$H$6:$H$511,$M212))</f>
        <v/>
      </c>
      <c r="K212" s="46" t="str">
        <f aca="false">IF(IF($M212="",0,INDEX(伝票元!$N$6:$N$511,$M212))=1,INDEX(伝票元!$R$6:$R$511,$M212),"")</f>
        <v/>
      </c>
      <c r="L212" s="47" t="str">
        <f aca="false">IF($M212="","",INDEX(伝票元!$S$6:$S$511,$M212))</f>
        <v/>
      </c>
      <c r="M212" s="47" t="str">
        <f aca="false">IFERROR(MATCH(206,伝票元!$O$6:$O$511,0),"")</f>
        <v/>
      </c>
    </row>
    <row r="213" customFormat="false" ht="15" hidden="false" customHeight="false" outlineLevel="0" collapsed="false">
      <c r="A213" s="10" t="str">
        <f aca="false">IF($M213="","",INDEX(伝票元!$P$6:$P$511,$M213))</f>
        <v/>
      </c>
      <c r="B213" s="45" t="str">
        <f aca="false">IF($M213="","",INDEX(伝票元!$D$6:$D$511,$M213))</f>
        <v/>
      </c>
      <c r="C213" s="10" t="str">
        <f aca="false">IF($M213="","",INDEX(伝票元!$E$6:$E$511,$M213))</f>
        <v/>
      </c>
      <c r="D213" s="45" t="str">
        <f aca="false">IF($M213="","",INDEX(伝票元!$A$6:$A$511,$M213))</f>
        <v/>
      </c>
      <c r="E213" s="10" t="str">
        <f aca="false">IF(IF($M213="",0,INDEX(伝票元!$N$6:$N$511,$M213))=1,INDEX(伝票元!$I$6:$I$511,$M213),"")</f>
        <v/>
      </c>
      <c r="F213" s="45" t="str">
        <f aca="false">IF(IF($M213="",0,INDEX(伝票元!$N$6:$N$511,$M213))=1,INDEX(伝票元!$J$6:$J$511,$M213),"")</f>
        <v/>
      </c>
      <c r="G213" s="42" t="str">
        <f aca="false">IF(IF($M213="",0,INDEX(伝票元!$N$6:$N$511,$M213))=1,INDEX(伝票元!$Q$6:$Q$511,$M213),"")</f>
        <v/>
      </c>
      <c r="H213" s="45" t="str">
        <f aca="false">IF($M213="","",INDEX(伝票元!$F$6:$F$511,$M213))</f>
        <v/>
      </c>
      <c r="I213" s="45" t="str">
        <f aca="false">IF($M213="","",INDEX(伝票元!$G$6:$G$511,$M213))</f>
        <v/>
      </c>
      <c r="J213" s="42" t="str">
        <f aca="false">IF($M213="","",INDEX(伝票元!$H$6:$H$511,$M213))</f>
        <v/>
      </c>
      <c r="K213" s="46" t="str">
        <f aca="false">IF(IF($M213="",0,INDEX(伝票元!$N$6:$N$511,$M213))=1,INDEX(伝票元!$R$6:$R$511,$M213),"")</f>
        <v/>
      </c>
      <c r="L213" s="47" t="str">
        <f aca="false">IF($M213="","",INDEX(伝票元!$S$6:$S$511,$M213))</f>
        <v/>
      </c>
      <c r="M213" s="47" t="str">
        <f aca="false">IFERROR(MATCH(207,伝票元!$O$6:$O$511,0),"")</f>
        <v/>
      </c>
    </row>
    <row r="214" customFormat="false" ht="15" hidden="false" customHeight="false" outlineLevel="0" collapsed="false">
      <c r="A214" s="10" t="str">
        <f aca="false">IF($M214="","",INDEX(伝票元!$P$6:$P$511,$M214))</f>
        <v/>
      </c>
      <c r="B214" s="45" t="str">
        <f aca="false">IF($M214="","",INDEX(伝票元!$D$6:$D$511,$M214))</f>
        <v/>
      </c>
      <c r="C214" s="10" t="str">
        <f aca="false">IF($M214="","",INDEX(伝票元!$E$6:$E$511,$M214))</f>
        <v/>
      </c>
      <c r="D214" s="45" t="str">
        <f aca="false">IF($M214="","",INDEX(伝票元!$A$6:$A$511,$M214))</f>
        <v/>
      </c>
      <c r="E214" s="10" t="str">
        <f aca="false">IF(IF($M214="",0,INDEX(伝票元!$N$6:$N$511,$M214))=1,INDEX(伝票元!$I$6:$I$511,$M214),"")</f>
        <v/>
      </c>
      <c r="F214" s="45" t="str">
        <f aca="false">IF(IF($M214="",0,INDEX(伝票元!$N$6:$N$511,$M214))=1,INDEX(伝票元!$J$6:$J$511,$M214),"")</f>
        <v/>
      </c>
      <c r="G214" s="42" t="str">
        <f aca="false">IF(IF($M214="",0,INDEX(伝票元!$N$6:$N$511,$M214))=1,INDEX(伝票元!$Q$6:$Q$511,$M214),"")</f>
        <v/>
      </c>
      <c r="H214" s="45" t="str">
        <f aca="false">IF($M214="","",INDEX(伝票元!$F$6:$F$511,$M214))</f>
        <v/>
      </c>
      <c r="I214" s="45" t="str">
        <f aca="false">IF($M214="","",INDEX(伝票元!$G$6:$G$511,$M214))</f>
        <v/>
      </c>
      <c r="J214" s="42" t="str">
        <f aca="false">IF($M214="","",INDEX(伝票元!$H$6:$H$511,$M214))</f>
        <v/>
      </c>
      <c r="K214" s="46" t="str">
        <f aca="false">IF(IF($M214="",0,INDEX(伝票元!$N$6:$N$511,$M214))=1,INDEX(伝票元!$R$6:$R$511,$M214),"")</f>
        <v/>
      </c>
      <c r="L214" s="47" t="str">
        <f aca="false">IF($M214="","",INDEX(伝票元!$S$6:$S$511,$M214))</f>
        <v/>
      </c>
      <c r="M214" s="47" t="str">
        <f aca="false">IFERROR(MATCH(208,伝票元!$O$6:$O$511,0),"")</f>
        <v/>
      </c>
    </row>
    <row r="215" customFormat="false" ht="15" hidden="false" customHeight="false" outlineLevel="0" collapsed="false">
      <c r="A215" s="10" t="str">
        <f aca="false">IF($M215="","",INDEX(伝票元!$P$6:$P$511,$M215))</f>
        <v/>
      </c>
      <c r="B215" s="45" t="str">
        <f aca="false">IF($M215="","",INDEX(伝票元!$D$6:$D$511,$M215))</f>
        <v/>
      </c>
      <c r="C215" s="10" t="str">
        <f aca="false">IF($M215="","",INDEX(伝票元!$E$6:$E$511,$M215))</f>
        <v/>
      </c>
      <c r="D215" s="45" t="str">
        <f aca="false">IF($M215="","",INDEX(伝票元!$A$6:$A$511,$M215))</f>
        <v/>
      </c>
      <c r="E215" s="10" t="str">
        <f aca="false">IF(IF($M215="",0,INDEX(伝票元!$N$6:$N$511,$M215))=1,INDEX(伝票元!$I$6:$I$511,$M215),"")</f>
        <v/>
      </c>
      <c r="F215" s="45" t="str">
        <f aca="false">IF(IF($M215="",0,INDEX(伝票元!$N$6:$N$511,$M215))=1,INDEX(伝票元!$J$6:$J$511,$M215),"")</f>
        <v/>
      </c>
      <c r="G215" s="42" t="str">
        <f aca="false">IF(IF($M215="",0,INDEX(伝票元!$N$6:$N$511,$M215))=1,INDEX(伝票元!$Q$6:$Q$511,$M215),"")</f>
        <v/>
      </c>
      <c r="H215" s="45" t="str">
        <f aca="false">IF($M215="","",INDEX(伝票元!$F$6:$F$511,$M215))</f>
        <v/>
      </c>
      <c r="I215" s="45" t="str">
        <f aca="false">IF($M215="","",INDEX(伝票元!$G$6:$G$511,$M215))</f>
        <v/>
      </c>
      <c r="J215" s="42" t="str">
        <f aca="false">IF($M215="","",INDEX(伝票元!$H$6:$H$511,$M215))</f>
        <v/>
      </c>
      <c r="K215" s="46" t="str">
        <f aca="false">IF(IF($M215="",0,INDEX(伝票元!$N$6:$N$511,$M215))=1,INDEX(伝票元!$R$6:$R$511,$M215),"")</f>
        <v/>
      </c>
      <c r="L215" s="47" t="str">
        <f aca="false">IF($M215="","",INDEX(伝票元!$S$6:$S$511,$M215))</f>
        <v/>
      </c>
      <c r="M215" s="47" t="str">
        <f aca="false">IFERROR(MATCH(209,伝票元!$O$6:$O$511,0),"")</f>
        <v/>
      </c>
    </row>
    <row r="216" customFormat="false" ht="15" hidden="false" customHeight="false" outlineLevel="0" collapsed="false">
      <c r="A216" s="10" t="str">
        <f aca="false">IF($M216="","",INDEX(伝票元!$P$6:$P$511,$M216))</f>
        <v/>
      </c>
      <c r="B216" s="45" t="str">
        <f aca="false">IF($M216="","",INDEX(伝票元!$D$6:$D$511,$M216))</f>
        <v/>
      </c>
      <c r="C216" s="10" t="str">
        <f aca="false">IF($M216="","",INDEX(伝票元!$E$6:$E$511,$M216))</f>
        <v/>
      </c>
      <c r="D216" s="45" t="str">
        <f aca="false">IF($M216="","",INDEX(伝票元!$A$6:$A$511,$M216))</f>
        <v/>
      </c>
      <c r="E216" s="10" t="str">
        <f aca="false">IF(IF($M216="",0,INDEX(伝票元!$N$6:$N$511,$M216))=1,INDEX(伝票元!$I$6:$I$511,$M216),"")</f>
        <v/>
      </c>
      <c r="F216" s="45" t="str">
        <f aca="false">IF(IF($M216="",0,INDEX(伝票元!$N$6:$N$511,$M216))=1,INDEX(伝票元!$J$6:$J$511,$M216),"")</f>
        <v/>
      </c>
      <c r="G216" s="42" t="str">
        <f aca="false">IF(IF($M216="",0,INDEX(伝票元!$N$6:$N$511,$M216))=1,INDEX(伝票元!$Q$6:$Q$511,$M216),"")</f>
        <v/>
      </c>
      <c r="H216" s="45" t="str">
        <f aca="false">IF($M216="","",INDEX(伝票元!$F$6:$F$511,$M216))</f>
        <v/>
      </c>
      <c r="I216" s="45" t="str">
        <f aca="false">IF($M216="","",INDEX(伝票元!$G$6:$G$511,$M216))</f>
        <v/>
      </c>
      <c r="J216" s="42" t="str">
        <f aca="false">IF($M216="","",INDEX(伝票元!$H$6:$H$511,$M216))</f>
        <v/>
      </c>
      <c r="K216" s="46" t="str">
        <f aca="false">IF(IF($M216="",0,INDEX(伝票元!$N$6:$N$511,$M216))=1,INDEX(伝票元!$R$6:$R$511,$M216),"")</f>
        <v/>
      </c>
      <c r="L216" s="47" t="str">
        <f aca="false">IF($M216="","",INDEX(伝票元!$S$6:$S$511,$M216))</f>
        <v/>
      </c>
      <c r="M216" s="47" t="str">
        <f aca="false">IFERROR(MATCH(210,伝票元!$O$6:$O$511,0),"")</f>
        <v/>
      </c>
    </row>
    <row r="217" customFormat="false" ht="15" hidden="false" customHeight="false" outlineLevel="0" collapsed="false">
      <c r="A217" s="10" t="str">
        <f aca="false">IF($M217="","",INDEX(伝票元!$P$6:$P$511,$M217))</f>
        <v/>
      </c>
      <c r="B217" s="45" t="str">
        <f aca="false">IF($M217="","",INDEX(伝票元!$D$6:$D$511,$M217))</f>
        <v/>
      </c>
      <c r="C217" s="10" t="str">
        <f aca="false">IF($M217="","",INDEX(伝票元!$E$6:$E$511,$M217))</f>
        <v/>
      </c>
      <c r="D217" s="45" t="str">
        <f aca="false">IF($M217="","",INDEX(伝票元!$A$6:$A$511,$M217))</f>
        <v/>
      </c>
      <c r="E217" s="10" t="str">
        <f aca="false">IF(IF($M217="",0,INDEX(伝票元!$N$6:$N$511,$M217))=1,INDEX(伝票元!$I$6:$I$511,$M217),"")</f>
        <v/>
      </c>
      <c r="F217" s="45" t="str">
        <f aca="false">IF(IF($M217="",0,INDEX(伝票元!$N$6:$N$511,$M217))=1,INDEX(伝票元!$J$6:$J$511,$M217),"")</f>
        <v/>
      </c>
      <c r="G217" s="42" t="str">
        <f aca="false">IF(IF($M217="",0,INDEX(伝票元!$N$6:$N$511,$M217))=1,INDEX(伝票元!$Q$6:$Q$511,$M217),"")</f>
        <v/>
      </c>
      <c r="H217" s="45" t="str">
        <f aca="false">IF($M217="","",INDEX(伝票元!$F$6:$F$511,$M217))</f>
        <v/>
      </c>
      <c r="I217" s="45" t="str">
        <f aca="false">IF($M217="","",INDEX(伝票元!$G$6:$G$511,$M217))</f>
        <v/>
      </c>
      <c r="J217" s="42" t="str">
        <f aca="false">IF($M217="","",INDEX(伝票元!$H$6:$H$511,$M217))</f>
        <v/>
      </c>
      <c r="K217" s="46" t="str">
        <f aca="false">IF(IF($M217="",0,INDEX(伝票元!$N$6:$N$511,$M217))=1,INDEX(伝票元!$R$6:$R$511,$M217),"")</f>
        <v/>
      </c>
      <c r="L217" s="47" t="str">
        <f aca="false">IF($M217="","",INDEX(伝票元!$S$6:$S$511,$M217))</f>
        <v/>
      </c>
      <c r="M217" s="47" t="str">
        <f aca="false">IFERROR(MATCH(211,伝票元!$O$6:$O$511,0),"")</f>
        <v/>
      </c>
    </row>
    <row r="218" customFormat="false" ht="15" hidden="false" customHeight="false" outlineLevel="0" collapsed="false">
      <c r="A218" s="10" t="str">
        <f aca="false">IF($M218="","",INDEX(伝票元!$P$6:$P$511,$M218))</f>
        <v/>
      </c>
      <c r="B218" s="45" t="str">
        <f aca="false">IF($M218="","",INDEX(伝票元!$D$6:$D$511,$M218))</f>
        <v/>
      </c>
      <c r="C218" s="10" t="str">
        <f aca="false">IF($M218="","",INDEX(伝票元!$E$6:$E$511,$M218))</f>
        <v/>
      </c>
      <c r="D218" s="45" t="str">
        <f aca="false">IF($M218="","",INDEX(伝票元!$A$6:$A$511,$M218))</f>
        <v/>
      </c>
      <c r="E218" s="10" t="str">
        <f aca="false">IF(IF($M218="",0,INDEX(伝票元!$N$6:$N$511,$M218))=1,INDEX(伝票元!$I$6:$I$511,$M218),"")</f>
        <v/>
      </c>
      <c r="F218" s="45" t="str">
        <f aca="false">IF(IF($M218="",0,INDEX(伝票元!$N$6:$N$511,$M218))=1,INDEX(伝票元!$J$6:$J$511,$M218),"")</f>
        <v/>
      </c>
      <c r="G218" s="42" t="str">
        <f aca="false">IF(IF($M218="",0,INDEX(伝票元!$N$6:$N$511,$M218))=1,INDEX(伝票元!$Q$6:$Q$511,$M218),"")</f>
        <v/>
      </c>
      <c r="H218" s="45" t="str">
        <f aca="false">IF($M218="","",INDEX(伝票元!$F$6:$F$511,$M218))</f>
        <v/>
      </c>
      <c r="I218" s="45" t="str">
        <f aca="false">IF($M218="","",INDEX(伝票元!$G$6:$G$511,$M218))</f>
        <v/>
      </c>
      <c r="J218" s="42" t="str">
        <f aca="false">IF($M218="","",INDEX(伝票元!$H$6:$H$511,$M218))</f>
        <v/>
      </c>
      <c r="K218" s="46" t="str">
        <f aca="false">IF(IF($M218="",0,INDEX(伝票元!$N$6:$N$511,$M218))=1,INDEX(伝票元!$R$6:$R$511,$M218),"")</f>
        <v/>
      </c>
      <c r="L218" s="47" t="str">
        <f aca="false">IF($M218="","",INDEX(伝票元!$S$6:$S$511,$M218))</f>
        <v/>
      </c>
      <c r="M218" s="47" t="str">
        <f aca="false">IFERROR(MATCH(212,伝票元!$O$6:$O$511,0),"")</f>
        <v/>
      </c>
    </row>
    <row r="219" customFormat="false" ht="15" hidden="false" customHeight="false" outlineLevel="0" collapsed="false">
      <c r="A219" s="10" t="str">
        <f aca="false">IF($M219="","",INDEX(伝票元!$P$6:$P$511,$M219))</f>
        <v/>
      </c>
      <c r="B219" s="45" t="str">
        <f aca="false">IF($M219="","",INDEX(伝票元!$D$6:$D$511,$M219))</f>
        <v/>
      </c>
      <c r="C219" s="10" t="str">
        <f aca="false">IF($M219="","",INDEX(伝票元!$E$6:$E$511,$M219))</f>
        <v/>
      </c>
      <c r="D219" s="45" t="str">
        <f aca="false">IF($M219="","",INDEX(伝票元!$A$6:$A$511,$M219))</f>
        <v/>
      </c>
      <c r="E219" s="10" t="str">
        <f aca="false">IF(IF($M219="",0,INDEX(伝票元!$N$6:$N$511,$M219))=1,INDEX(伝票元!$I$6:$I$511,$M219),"")</f>
        <v/>
      </c>
      <c r="F219" s="45" t="str">
        <f aca="false">IF(IF($M219="",0,INDEX(伝票元!$N$6:$N$511,$M219))=1,INDEX(伝票元!$J$6:$J$511,$M219),"")</f>
        <v/>
      </c>
      <c r="G219" s="42" t="str">
        <f aca="false">IF(IF($M219="",0,INDEX(伝票元!$N$6:$N$511,$M219))=1,INDEX(伝票元!$Q$6:$Q$511,$M219),"")</f>
        <v/>
      </c>
      <c r="H219" s="45" t="str">
        <f aca="false">IF($M219="","",INDEX(伝票元!$F$6:$F$511,$M219))</f>
        <v/>
      </c>
      <c r="I219" s="45" t="str">
        <f aca="false">IF($M219="","",INDEX(伝票元!$G$6:$G$511,$M219))</f>
        <v/>
      </c>
      <c r="J219" s="42" t="str">
        <f aca="false">IF($M219="","",INDEX(伝票元!$H$6:$H$511,$M219))</f>
        <v/>
      </c>
      <c r="K219" s="46" t="str">
        <f aca="false">IF(IF($M219="",0,INDEX(伝票元!$N$6:$N$511,$M219))=1,INDEX(伝票元!$R$6:$R$511,$M219),"")</f>
        <v/>
      </c>
      <c r="L219" s="47" t="str">
        <f aca="false">IF($M219="","",INDEX(伝票元!$S$6:$S$511,$M219))</f>
        <v/>
      </c>
      <c r="M219" s="47" t="str">
        <f aca="false">IFERROR(MATCH(213,伝票元!$O$6:$O$511,0),"")</f>
        <v/>
      </c>
    </row>
    <row r="220" customFormat="false" ht="15" hidden="false" customHeight="false" outlineLevel="0" collapsed="false">
      <c r="A220" s="10" t="str">
        <f aca="false">IF($M220="","",INDEX(伝票元!$P$6:$P$511,$M220))</f>
        <v/>
      </c>
      <c r="B220" s="45" t="str">
        <f aca="false">IF($M220="","",INDEX(伝票元!$D$6:$D$511,$M220))</f>
        <v/>
      </c>
      <c r="C220" s="10" t="str">
        <f aca="false">IF($M220="","",INDEX(伝票元!$E$6:$E$511,$M220))</f>
        <v/>
      </c>
      <c r="D220" s="45" t="str">
        <f aca="false">IF($M220="","",INDEX(伝票元!$A$6:$A$511,$M220))</f>
        <v/>
      </c>
      <c r="E220" s="10" t="str">
        <f aca="false">IF(IF($M220="",0,INDEX(伝票元!$N$6:$N$511,$M220))=1,INDEX(伝票元!$I$6:$I$511,$M220),"")</f>
        <v/>
      </c>
      <c r="F220" s="45" t="str">
        <f aca="false">IF(IF($M220="",0,INDEX(伝票元!$N$6:$N$511,$M220))=1,INDEX(伝票元!$J$6:$J$511,$M220),"")</f>
        <v/>
      </c>
      <c r="G220" s="42" t="str">
        <f aca="false">IF(IF($M220="",0,INDEX(伝票元!$N$6:$N$511,$M220))=1,INDEX(伝票元!$Q$6:$Q$511,$M220),"")</f>
        <v/>
      </c>
      <c r="H220" s="45" t="str">
        <f aca="false">IF($M220="","",INDEX(伝票元!$F$6:$F$511,$M220))</f>
        <v/>
      </c>
      <c r="I220" s="45" t="str">
        <f aca="false">IF($M220="","",INDEX(伝票元!$G$6:$G$511,$M220))</f>
        <v/>
      </c>
      <c r="J220" s="42" t="str">
        <f aca="false">IF($M220="","",INDEX(伝票元!$H$6:$H$511,$M220))</f>
        <v/>
      </c>
      <c r="K220" s="46" t="str">
        <f aca="false">IF(IF($M220="",0,INDEX(伝票元!$N$6:$N$511,$M220))=1,INDEX(伝票元!$R$6:$R$511,$M220),"")</f>
        <v/>
      </c>
      <c r="L220" s="47" t="str">
        <f aca="false">IF($M220="","",INDEX(伝票元!$S$6:$S$511,$M220))</f>
        <v/>
      </c>
      <c r="M220" s="47" t="str">
        <f aca="false">IFERROR(MATCH(214,伝票元!$O$6:$O$511,0),"")</f>
        <v/>
      </c>
    </row>
    <row r="221" customFormat="false" ht="15" hidden="false" customHeight="false" outlineLevel="0" collapsed="false">
      <c r="A221" s="10" t="str">
        <f aca="false">IF($M221="","",INDEX(伝票元!$P$6:$P$511,$M221))</f>
        <v/>
      </c>
      <c r="B221" s="45" t="str">
        <f aca="false">IF($M221="","",INDEX(伝票元!$D$6:$D$511,$M221))</f>
        <v/>
      </c>
      <c r="C221" s="10" t="str">
        <f aca="false">IF($M221="","",INDEX(伝票元!$E$6:$E$511,$M221))</f>
        <v/>
      </c>
      <c r="D221" s="45" t="str">
        <f aca="false">IF($M221="","",INDEX(伝票元!$A$6:$A$511,$M221))</f>
        <v/>
      </c>
      <c r="E221" s="10" t="str">
        <f aca="false">IF(IF($M221="",0,INDEX(伝票元!$N$6:$N$511,$M221))=1,INDEX(伝票元!$I$6:$I$511,$M221),"")</f>
        <v/>
      </c>
      <c r="F221" s="45" t="str">
        <f aca="false">IF(IF($M221="",0,INDEX(伝票元!$N$6:$N$511,$M221))=1,INDEX(伝票元!$J$6:$J$511,$M221),"")</f>
        <v/>
      </c>
      <c r="G221" s="42" t="str">
        <f aca="false">IF(IF($M221="",0,INDEX(伝票元!$N$6:$N$511,$M221))=1,INDEX(伝票元!$Q$6:$Q$511,$M221),"")</f>
        <v/>
      </c>
      <c r="H221" s="45" t="str">
        <f aca="false">IF($M221="","",INDEX(伝票元!$F$6:$F$511,$M221))</f>
        <v/>
      </c>
      <c r="I221" s="45" t="str">
        <f aca="false">IF($M221="","",INDEX(伝票元!$G$6:$G$511,$M221))</f>
        <v/>
      </c>
      <c r="J221" s="42" t="str">
        <f aca="false">IF($M221="","",INDEX(伝票元!$H$6:$H$511,$M221))</f>
        <v/>
      </c>
      <c r="K221" s="46" t="str">
        <f aca="false">IF(IF($M221="",0,INDEX(伝票元!$N$6:$N$511,$M221))=1,INDEX(伝票元!$R$6:$R$511,$M221),"")</f>
        <v/>
      </c>
      <c r="L221" s="47" t="str">
        <f aca="false">IF($M221="","",INDEX(伝票元!$S$6:$S$511,$M221))</f>
        <v/>
      </c>
      <c r="M221" s="47" t="str">
        <f aca="false">IFERROR(MATCH(215,伝票元!$O$6:$O$511,0),"")</f>
        <v/>
      </c>
    </row>
    <row r="222" customFormat="false" ht="15" hidden="false" customHeight="false" outlineLevel="0" collapsed="false">
      <c r="A222" s="10" t="str">
        <f aca="false">IF($M222="","",INDEX(伝票元!$P$6:$P$511,$M222))</f>
        <v/>
      </c>
      <c r="B222" s="45" t="str">
        <f aca="false">IF($M222="","",INDEX(伝票元!$D$6:$D$511,$M222))</f>
        <v/>
      </c>
      <c r="C222" s="10" t="str">
        <f aca="false">IF($M222="","",INDEX(伝票元!$E$6:$E$511,$M222))</f>
        <v/>
      </c>
      <c r="D222" s="45" t="str">
        <f aca="false">IF($M222="","",INDEX(伝票元!$A$6:$A$511,$M222))</f>
        <v/>
      </c>
      <c r="E222" s="10" t="str">
        <f aca="false">IF(IF($M222="",0,INDEX(伝票元!$N$6:$N$511,$M222))=1,INDEX(伝票元!$I$6:$I$511,$M222),"")</f>
        <v/>
      </c>
      <c r="F222" s="45" t="str">
        <f aca="false">IF(IF($M222="",0,INDEX(伝票元!$N$6:$N$511,$M222))=1,INDEX(伝票元!$J$6:$J$511,$M222),"")</f>
        <v/>
      </c>
      <c r="G222" s="42" t="str">
        <f aca="false">IF(IF($M222="",0,INDEX(伝票元!$N$6:$N$511,$M222))=1,INDEX(伝票元!$Q$6:$Q$511,$M222),"")</f>
        <v/>
      </c>
      <c r="H222" s="45" t="str">
        <f aca="false">IF($M222="","",INDEX(伝票元!$F$6:$F$511,$M222))</f>
        <v/>
      </c>
      <c r="I222" s="45" t="str">
        <f aca="false">IF($M222="","",INDEX(伝票元!$G$6:$G$511,$M222))</f>
        <v/>
      </c>
      <c r="J222" s="42" t="str">
        <f aca="false">IF($M222="","",INDEX(伝票元!$H$6:$H$511,$M222))</f>
        <v/>
      </c>
      <c r="K222" s="46" t="str">
        <f aca="false">IF(IF($M222="",0,INDEX(伝票元!$N$6:$N$511,$M222))=1,INDEX(伝票元!$R$6:$R$511,$M222),"")</f>
        <v/>
      </c>
      <c r="L222" s="47" t="str">
        <f aca="false">IF($M222="","",INDEX(伝票元!$S$6:$S$511,$M222))</f>
        <v/>
      </c>
      <c r="M222" s="47" t="str">
        <f aca="false">IFERROR(MATCH(216,伝票元!$O$6:$O$511,0),"")</f>
        <v/>
      </c>
    </row>
    <row r="223" customFormat="false" ht="15" hidden="false" customHeight="false" outlineLevel="0" collapsed="false">
      <c r="A223" s="10" t="str">
        <f aca="false">IF($M223="","",INDEX(伝票元!$P$6:$P$511,$M223))</f>
        <v/>
      </c>
      <c r="B223" s="45" t="str">
        <f aca="false">IF($M223="","",INDEX(伝票元!$D$6:$D$511,$M223))</f>
        <v/>
      </c>
      <c r="C223" s="10" t="str">
        <f aca="false">IF($M223="","",INDEX(伝票元!$E$6:$E$511,$M223))</f>
        <v/>
      </c>
      <c r="D223" s="45" t="str">
        <f aca="false">IF($M223="","",INDEX(伝票元!$A$6:$A$511,$M223))</f>
        <v/>
      </c>
      <c r="E223" s="10" t="str">
        <f aca="false">IF(IF($M223="",0,INDEX(伝票元!$N$6:$N$511,$M223))=1,INDEX(伝票元!$I$6:$I$511,$M223),"")</f>
        <v/>
      </c>
      <c r="F223" s="45" t="str">
        <f aca="false">IF(IF($M223="",0,INDEX(伝票元!$N$6:$N$511,$M223))=1,INDEX(伝票元!$J$6:$J$511,$M223),"")</f>
        <v/>
      </c>
      <c r="G223" s="42" t="str">
        <f aca="false">IF(IF($M223="",0,INDEX(伝票元!$N$6:$N$511,$M223))=1,INDEX(伝票元!$Q$6:$Q$511,$M223),"")</f>
        <v/>
      </c>
      <c r="H223" s="45" t="str">
        <f aca="false">IF($M223="","",INDEX(伝票元!$F$6:$F$511,$M223))</f>
        <v/>
      </c>
      <c r="I223" s="45" t="str">
        <f aca="false">IF($M223="","",INDEX(伝票元!$G$6:$G$511,$M223))</f>
        <v/>
      </c>
      <c r="J223" s="42" t="str">
        <f aca="false">IF($M223="","",INDEX(伝票元!$H$6:$H$511,$M223))</f>
        <v/>
      </c>
      <c r="K223" s="46" t="str">
        <f aca="false">IF(IF($M223="",0,INDEX(伝票元!$N$6:$N$511,$M223))=1,INDEX(伝票元!$R$6:$R$511,$M223),"")</f>
        <v/>
      </c>
      <c r="L223" s="47" t="str">
        <f aca="false">IF($M223="","",INDEX(伝票元!$S$6:$S$511,$M223))</f>
        <v/>
      </c>
      <c r="M223" s="47" t="str">
        <f aca="false">IFERROR(MATCH(217,伝票元!$O$6:$O$511,0),"")</f>
        <v/>
      </c>
    </row>
    <row r="224" customFormat="false" ht="15" hidden="false" customHeight="false" outlineLevel="0" collapsed="false">
      <c r="A224" s="10" t="str">
        <f aca="false">IF($M224="","",INDEX(伝票元!$P$6:$P$511,$M224))</f>
        <v/>
      </c>
      <c r="B224" s="45" t="str">
        <f aca="false">IF($M224="","",INDEX(伝票元!$D$6:$D$511,$M224))</f>
        <v/>
      </c>
      <c r="C224" s="10" t="str">
        <f aca="false">IF($M224="","",INDEX(伝票元!$E$6:$E$511,$M224))</f>
        <v/>
      </c>
      <c r="D224" s="45" t="str">
        <f aca="false">IF($M224="","",INDEX(伝票元!$A$6:$A$511,$M224))</f>
        <v/>
      </c>
      <c r="E224" s="10" t="str">
        <f aca="false">IF(IF($M224="",0,INDEX(伝票元!$N$6:$N$511,$M224))=1,INDEX(伝票元!$I$6:$I$511,$M224),"")</f>
        <v/>
      </c>
      <c r="F224" s="45" t="str">
        <f aca="false">IF(IF($M224="",0,INDEX(伝票元!$N$6:$N$511,$M224))=1,INDEX(伝票元!$J$6:$J$511,$M224),"")</f>
        <v/>
      </c>
      <c r="G224" s="42" t="str">
        <f aca="false">IF(IF($M224="",0,INDEX(伝票元!$N$6:$N$511,$M224))=1,INDEX(伝票元!$Q$6:$Q$511,$M224),"")</f>
        <v/>
      </c>
      <c r="H224" s="45" t="str">
        <f aca="false">IF($M224="","",INDEX(伝票元!$F$6:$F$511,$M224))</f>
        <v/>
      </c>
      <c r="I224" s="45" t="str">
        <f aca="false">IF($M224="","",INDEX(伝票元!$G$6:$G$511,$M224))</f>
        <v/>
      </c>
      <c r="J224" s="42" t="str">
        <f aca="false">IF($M224="","",INDEX(伝票元!$H$6:$H$511,$M224))</f>
        <v/>
      </c>
      <c r="K224" s="46" t="str">
        <f aca="false">IF(IF($M224="",0,INDEX(伝票元!$N$6:$N$511,$M224))=1,INDEX(伝票元!$R$6:$R$511,$M224),"")</f>
        <v/>
      </c>
      <c r="L224" s="47" t="str">
        <f aca="false">IF($M224="","",INDEX(伝票元!$S$6:$S$511,$M224))</f>
        <v/>
      </c>
      <c r="M224" s="47" t="str">
        <f aca="false">IFERROR(MATCH(218,伝票元!$O$6:$O$511,0),"")</f>
        <v/>
      </c>
    </row>
    <row r="225" customFormat="false" ht="15" hidden="false" customHeight="false" outlineLevel="0" collapsed="false">
      <c r="A225" s="10" t="str">
        <f aca="false">IF($M225="","",INDEX(伝票元!$P$6:$P$511,$M225))</f>
        <v/>
      </c>
      <c r="B225" s="45" t="str">
        <f aca="false">IF($M225="","",INDEX(伝票元!$D$6:$D$511,$M225))</f>
        <v/>
      </c>
      <c r="C225" s="10" t="str">
        <f aca="false">IF($M225="","",INDEX(伝票元!$E$6:$E$511,$M225))</f>
        <v/>
      </c>
      <c r="D225" s="45" t="str">
        <f aca="false">IF($M225="","",INDEX(伝票元!$A$6:$A$511,$M225))</f>
        <v/>
      </c>
      <c r="E225" s="10" t="str">
        <f aca="false">IF(IF($M225="",0,INDEX(伝票元!$N$6:$N$511,$M225))=1,INDEX(伝票元!$I$6:$I$511,$M225),"")</f>
        <v/>
      </c>
      <c r="F225" s="45" t="str">
        <f aca="false">IF(IF($M225="",0,INDEX(伝票元!$N$6:$N$511,$M225))=1,INDEX(伝票元!$J$6:$J$511,$M225),"")</f>
        <v/>
      </c>
      <c r="G225" s="42" t="str">
        <f aca="false">IF(IF($M225="",0,INDEX(伝票元!$N$6:$N$511,$M225))=1,INDEX(伝票元!$Q$6:$Q$511,$M225),"")</f>
        <v/>
      </c>
      <c r="H225" s="45" t="str">
        <f aca="false">IF($M225="","",INDEX(伝票元!$F$6:$F$511,$M225))</f>
        <v/>
      </c>
      <c r="I225" s="45" t="str">
        <f aca="false">IF($M225="","",INDEX(伝票元!$G$6:$G$511,$M225))</f>
        <v/>
      </c>
      <c r="J225" s="42" t="str">
        <f aca="false">IF($M225="","",INDEX(伝票元!$H$6:$H$511,$M225))</f>
        <v/>
      </c>
      <c r="K225" s="46" t="str">
        <f aca="false">IF(IF($M225="",0,INDEX(伝票元!$N$6:$N$511,$M225))=1,INDEX(伝票元!$R$6:$R$511,$M225),"")</f>
        <v/>
      </c>
      <c r="L225" s="47" t="str">
        <f aca="false">IF($M225="","",INDEX(伝票元!$S$6:$S$511,$M225))</f>
        <v/>
      </c>
      <c r="M225" s="47" t="str">
        <f aca="false">IFERROR(MATCH(219,伝票元!$O$6:$O$511,0),"")</f>
        <v/>
      </c>
    </row>
    <row r="226" customFormat="false" ht="15" hidden="false" customHeight="false" outlineLevel="0" collapsed="false">
      <c r="A226" s="10" t="str">
        <f aca="false">IF($M226="","",INDEX(伝票元!$P$6:$P$511,$M226))</f>
        <v/>
      </c>
      <c r="B226" s="45" t="str">
        <f aca="false">IF($M226="","",INDEX(伝票元!$D$6:$D$511,$M226))</f>
        <v/>
      </c>
      <c r="C226" s="10" t="str">
        <f aca="false">IF($M226="","",INDEX(伝票元!$E$6:$E$511,$M226))</f>
        <v/>
      </c>
      <c r="D226" s="45" t="str">
        <f aca="false">IF($M226="","",INDEX(伝票元!$A$6:$A$511,$M226))</f>
        <v/>
      </c>
      <c r="E226" s="10" t="str">
        <f aca="false">IF(IF($M226="",0,INDEX(伝票元!$N$6:$N$511,$M226))=1,INDEX(伝票元!$I$6:$I$511,$M226),"")</f>
        <v/>
      </c>
      <c r="F226" s="45" t="str">
        <f aca="false">IF(IF($M226="",0,INDEX(伝票元!$N$6:$N$511,$M226))=1,INDEX(伝票元!$J$6:$J$511,$M226),"")</f>
        <v/>
      </c>
      <c r="G226" s="42" t="str">
        <f aca="false">IF(IF($M226="",0,INDEX(伝票元!$N$6:$N$511,$M226))=1,INDEX(伝票元!$Q$6:$Q$511,$M226),"")</f>
        <v/>
      </c>
      <c r="H226" s="45" t="str">
        <f aca="false">IF($M226="","",INDEX(伝票元!$F$6:$F$511,$M226))</f>
        <v/>
      </c>
      <c r="I226" s="45" t="str">
        <f aca="false">IF($M226="","",INDEX(伝票元!$G$6:$G$511,$M226))</f>
        <v/>
      </c>
      <c r="J226" s="42" t="str">
        <f aca="false">IF($M226="","",INDEX(伝票元!$H$6:$H$511,$M226))</f>
        <v/>
      </c>
      <c r="K226" s="46" t="str">
        <f aca="false">IF(IF($M226="",0,INDEX(伝票元!$N$6:$N$511,$M226))=1,INDEX(伝票元!$R$6:$R$511,$M226),"")</f>
        <v/>
      </c>
      <c r="L226" s="47" t="str">
        <f aca="false">IF($M226="","",INDEX(伝票元!$S$6:$S$511,$M226))</f>
        <v/>
      </c>
      <c r="M226" s="47" t="str">
        <f aca="false">IFERROR(MATCH(220,伝票元!$O$6:$O$511,0),"")</f>
        <v/>
      </c>
    </row>
    <row r="227" customFormat="false" ht="15" hidden="false" customHeight="false" outlineLevel="0" collapsed="false">
      <c r="A227" s="10" t="str">
        <f aca="false">IF($M227="","",INDEX(伝票元!$P$6:$P$511,$M227))</f>
        <v/>
      </c>
      <c r="B227" s="45" t="str">
        <f aca="false">IF($M227="","",INDEX(伝票元!$D$6:$D$511,$M227))</f>
        <v/>
      </c>
      <c r="C227" s="10" t="str">
        <f aca="false">IF($M227="","",INDEX(伝票元!$E$6:$E$511,$M227))</f>
        <v/>
      </c>
      <c r="D227" s="45" t="str">
        <f aca="false">IF($M227="","",INDEX(伝票元!$A$6:$A$511,$M227))</f>
        <v/>
      </c>
      <c r="E227" s="10" t="str">
        <f aca="false">IF(IF($M227="",0,INDEX(伝票元!$N$6:$N$511,$M227))=1,INDEX(伝票元!$I$6:$I$511,$M227),"")</f>
        <v/>
      </c>
      <c r="F227" s="45" t="str">
        <f aca="false">IF(IF($M227="",0,INDEX(伝票元!$N$6:$N$511,$M227))=1,INDEX(伝票元!$J$6:$J$511,$M227),"")</f>
        <v/>
      </c>
      <c r="G227" s="42" t="str">
        <f aca="false">IF(IF($M227="",0,INDEX(伝票元!$N$6:$N$511,$M227))=1,INDEX(伝票元!$Q$6:$Q$511,$M227),"")</f>
        <v/>
      </c>
      <c r="H227" s="45" t="str">
        <f aca="false">IF($M227="","",INDEX(伝票元!$F$6:$F$511,$M227))</f>
        <v/>
      </c>
      <c r="I227" s="45" t="str">
        <f aca="false">IF($M227="","",INDEX(伝票元!$G$6:$G$511,$M227))</f>
        <v/>
      </c>
      <c r="J227" s="42" t="str">
        <f aca="false">IF($M227="","",INDEX(伝票元!$H$6:$H$511,$M227))</f>
        <v/>
      </c>
      <c r="K227" s="46" t="str">
        <f aca="false">IF(IF($M227="",0,INDEX(伝票元!$N$6:$N$511,$M227))=1,INDEX(伝票元!$R$6:$R$511,$M227),"")</f>
        <v/>
      </c>
      <c r="L227" s="47" t="str">
        <f aca="false">IF($M227="","",INDEX(伝票元!$S$6:$S$511,$M227))</f>
        <v/>
      </c>
      <c r="M227" s="47" t="str">
        <f aca="false">IFERROR(MATCH(221,伝票元!$O$6:$O$511,0),"")</f>
        <v/>
      </c>
    </row>
    <row r="228" customFormat="false" ht="15" hidden="false" customHeight="false" outlineLevel="0" collapsed="false">
      <c r="A228" s="10" t="str">
        <f aca="false">IF($M228="","",INDEX(伝票元!$P$6:$P$511,$M228))</f>
        <v/>
      </c>
      <c r="B228" s="45" t="str">
        <f aca="false">IF($M228="","",INDEX(伝票元!$D$6:$D$511,$M228))</f>
        <v/>
      </c>
      <c r="C228" s="10" t="str">
        <f aca="false">IF($M228="","",INDEX(伝票元!$E$6:$E$511,$M228))</f>
        <v/>
      </c>
      <c r="D228" s="45" t="str">
        <f aca="false">IF($M228="","",INDEX(伝票元!$A$6:$A$511,$M228))</f>
        <v/>
      </c>
      <c r="E228" s="10" t="str">
        <f aca="false">IF(IF($M228="",0,INDEX(伝票元!$N$6:$N$511,$M228))=1,INDEX(伝票元!$I$6:$I$511,$M228),"")</f>
        <v/>
      </c>
      <c r="F228" s="45" t="str">
        <f aca="false">IF(IF($M228="",0,INDEX(伝票元!$N$6:$N$511,$M228))=1,INDEX(伝票元!$J$6:$J$511,$M228),"")</f>
        <v/>
      </c>
      <c r="G228" s="42" t="str">
        <f aca="false">IF(IF($M228="",0,INDEX(伝票元!$N$6:$N$511,$M228))=1,INDEX(伝票元!$Q$6:$Q$511,$M228),"")</f>
        <v/>
      </c>
      <c r="H228" s="45" t="str">
        <f aca="false">IF($M228="","",INDEX(伝票元!$F$6:$F$511,$M228))</f>
        <v/>
      </c>
      <c r="I228" s="45" t="str">
        <f aca="false">IF($M228="","",INDEX(伝票元!$G$6:$G$511,$M228))</f>
        <v/>
      </c>
      <c r="J228" s="42" t="str">
        <f aca="false">IF($M228="","",INDEX(伝票元!$H$6:$H$511,$M228))</f>
        <v/>
      </c>
      <c r="K228" s="46" t="str">
        <f aca="false">IF(IF($M228="",0,INDEX(伝票元!$N$6:$N$511,$M228))=1,INDEX(伝票元!$R$6:$R$511,$M228),"")</f>
        <v/>
      </c>
      <c r="L228" s="47" t="str">
        <f aca="false">IF($M228="","",INDEX(伝票元!$S$6:$S$511,$M228))</f>
        <v/>
      </c>
      <c r="M228" s="47" t="str">
        <f aca="false">IFERROR(MATCH(222,伝票元!$O$6:$O$511,0),"")</f>
        <v/>
      </c>
    </row>
    <row r="229" customFormat="false" ht="15" hidden="false" customHeight="false" outlineLevel="0" collapsed="false">
      <c r="A229" s="10" t="str">
        <f aca="false">IF($M229="","",INDEX(伝票元!$P$6:$P$511,$M229))</f>
        <v/>
      </c>
      <c r="B229" s="45" t="str">
        <f aca="false">IF($M229="","",INDEX(伝票元!$D$6:$D$511,$M229))</f>
        <v/>
      </c>
      <c r="C229" s="10" t="str">
        <f aca="false">IF($M229="","",INDEX(伝票元!$E$6:$E$511,$M229))</f>
        <v/>
      </c>
      <c r="D229" s="45" t="str">
        <f aca="false">IF($M229="","",INDEX(伝票元!$A$6:$A$511,$M229))</f>
        <v/>
      </c>
      <c r="E229" s="10" t="str">
        <f aca="false">IF(IF($M229="",0,INDEX(伝票元!$N$6:$N$511,$M229))=1,INDEX(伝票元!$I$6:$I$511,$M229),"")</f>
        <v/>
      </c>
      <c r="F229" s="45" t="str">
        <f aca="false">IF(IF($M229="",0,INDEX(伝票元!$N$6:$N$511,$M229))=1,INDEX(伝票元!$J$6:$J$511,$M229),"")</f>
        <v/>
      </c>
      <c r="G229" s="42" t="str">
        <f aca="false">IF(IF($M229="",0,INDEX(伝票元!$N$6:$N$511,$M229))=1,INDEX(伝票元!$Q$6:$Q$511,$M229),"")</f>
        <v/>
      </c>
      <c r="H229" s="45" t="str">
        <f aca="false">IF($M229="","",INDEX(伝票元!$F$6:$F$511,$M229))</f>
        <v/>
      </c>
      <c r="I229" s="45" t="str">
        <f aca="false">IF($M229="","",INDEX(伝票元!$G$6:$G$511,$M229))</f>
        <v/>
      </c>
      <c r="J229" s="42" t="str">
        <f aca="false">IF($M229="","",INDEX(伝票元!$H$6:$H$511,$M229))</f>
        <v/>
      </c>
      <c r="K229" s="46" t="str">
        <f aca="false">IF(IF($M229="",0,INDEX(伝票元!$N$6:$N$511,$M229))=1,INDEX(伝票元!$R$6:$R$511,$M229),"")</f>
        <v/>
      </c>
      <c r="L229" s="47" t="str">
        <f aca="false">IF($M229="","",INDEX(伝票元!$S$6:$S$511,$M229))</f>
        <v/>
      </c>
      <c r="M229" s="47" t="str">
        <f aca="false">IFERROR(MATCH(223,伝票元!$O$6:$O$511,0),"")</f>
        <v/>
      </c>
    </row>
    <row r="230" customFormat="false" ht="15" hidden="false" customHeight="false" outlineLevel="0" collapsed="false">
      <c r="A230" s="10" t="str">
        <f aca="false">IF($M230="","",INDEX(伝票元!$P$6:$P$511,$M230))</f>
        <v/>
      </c>
      <c r="B230" s="45" t="str">
        <f aca="false">IF($M230="","",INDEX(伝票元!$D$6:$D$511,$M230))</f>
        <v/>
      </c>
      <c r="C230" s="10" t="str">
        <f aca="false">IF($M230="","",INDEX(伝票元!$E$6:$E$511,$M230))</f>
        <v/>
      </c>
      <c r="D230" s="45" t="str">
        <f aca="false">IF($M230="","",INDEX(伝票元!$A$6:$A$511,$M230))</f>
        <v/>
      </c>
      <c r="E230" s="10" t="str">
        <f aca="false">IF(IF($M230="",0,INDEX(伝票元!$N$6:$N$511,$M230))=1,INDEX(伝票元!$I$6:$I$511,$M230),"")</f>
        <v/>
      </c>
      <c r="F230" s="45" t="str">
        <f aca="false">IF(IF($M230="",0,INDEX(伝票元!$N$6:$N$511,$M230))=1,INDEX(伝票元!$J$6:$J$511,$M230),"")</f>
        <v/>
      </c>
      <c r="G230" s="42" t="str">
        <f aca="false">IF(IF($M230="",0,INDEX(伝票元!$N$6:$N$511,$M230))=1,INDEX(伝票元!$Q$6:$Q$511,$M230),"")</f>
        <v/>
      </c>
      <c r="H230" s="45" t="str">
        <f aca="false">IF($M230="","",INDEX(伝票元!$F$6:$F$511,$M230))</f>
        <v/>
      </c>
      <c r="I230" s="45" t="str">
        <f aca="false">IF($M230="","",INDEX(伝票元!$G$6:$G$511,$M230))</f>
        <v/>
      </c>
      <c r="J230" s="42" t="str">
        <f aca="false">IF($M230="","",INDEX(伝票元!$H$6:$H$511,$M230))</f>
        <v/>
      </c>
      <c r="K230" s="46" t="str">
        <f aca="false">IF(IF($M230="",0,INDEX(伝票元!$N$6:$N$511,$M230))=1,INDEX(伝票元!$R$6:$R$511,$M230),"")</f>
        <v/>
      </c>
      <c r="L230" s="47" t="str">
        <f aca="false">IF($M230="","",INDEX(伝票元!$S$6:$S$511,$M230))</f>
        <v/>
      </c>
      <c r="M230" s="47" t="str">
        <f aca="false">IFERROR(MATCH(224,伝票元!$O$6:$O$511,0),"")</f>
        <v/>
      </c>
    </row>
    <row r="231" customFormat="false" ht="15" hidden="false" customHeight="false" outlineLevel="0" collapsed="false">
      <c r="A231" s="10" t="str">
        <f aca="false">IF($M231="","",INDEX(伝票元!$P$6:$P$511,$M231))</f>
        <v/>
      </c>
      <c r="B231" s="45" t="str">
        <f aca="false">IF($M231="","",INDEX(伝票元!$D$6:$D$511,$M231))</f>
        <v/>
      </c>
      <c r="C231" s="10" t="str">
        <f aca="false">IF($M231="","",INDEX(伝票元!$E$6:$E$511,$M231))</f>
        <v/>
      </c>
      <c r="D231" s="45" t="str">
        <f aca="false">IF($M231="","",INDEX(伝票元!$A$6:$A$511,$M231))</f>
        <v/>
      </c>
      <c r="E231" s="10" t="str">
        <f aca="false">IF(IF($M231="",0,INDEX(伝票元!$N$6:$N$511,$M231))=1,INDEX(伝票元!$I$6:$I$511,$M231),"")</f>
        <v/>
      </c>
      <c r="F231" s="45" t="str">
        <f aca="false">IF(IF($M231="",0,INDEX(伝票元!$N$6:$N$511,$M231))=1,INDEX(伝票元!$J$6:$J$511,$M231),"")</f>
        <v/>
      </c>
      <c r="G231" s="42" t="str">
        <f aca="false">IF(IF($M231="",0,INDEX(伝票元!$N$6:$N$511,$M231))=1,INDEX(伝票元!$Q$6:$Q$511,$M231),"")</f>
        <v/>
      </c>
      <c r="H231" s="45" t="str">
        <f aca="false">IF($M231="","",INDEX(伝票元!$F$6:$F$511,$M231))</f>
        <v/>
      </c>
      <c r="I231" s="45" t="str">
        <f aca="false">IF($M231="","",INDEX(伝票元!$G$6:$G$511,$M231))</f>
        <v/>
      </c>
      <c r="J231" s="42" t="str">
        <f aca="false">IF($M231="","",INDEX(伝票元!$H$6:$H$511,$M231))</f>
        <v/>
      </c>
      <c r="K231" s="46" t="str">
        <f aca="false">IF(IF($M231="",0,INDEX(伝票元!$N$6:$N$511,$M231))=1,INDEX(伝票元!$R$6:$R$511,$M231),"")</f>
        <v/>
      </c>
      <c r="L231" s="47" t="str">
        <f aca="false">IF($M231="","",INDEX(伝票元!$S$6:$S$511,$M231))</f>
        <v/>
      </c>
      <c r="M231" s="47" t="str">
        <f aca="false">IFERROR(MATCH(225,伝票元!$O$6:$O$511,0),"")</f>
        <v/>
      </c>
    </row>
    <row r="232" customFormat="false" ht="15" hidden="false" customHeight="false" outlineLevel="0" collapsed="false">
      <c r="A232" s="10" t="str">
        <f aca="false">IF($M232="","",INDEX(伝票元!$P$6:$P$511,$M232))</f>
        <v/>
      </c>
      <c r="B232" s="45" t="str">
        <f aca="false">IF($M232="","",INDEX(伝票元!$D$6:$D$511,$M232))</f>
        <v/>
      </c>
      <c r="C232" s="10" t="str">
        <f aca="false">IF($M232="","",INDEX(伝票元!$E$6:$E$511,$M232))</f>
        <v/>
      </c>
      <c r="D232" s="45" t="str">
        <f aca="false">IF($M232="","",INDEX(伝票元!$A$6:$A$511,$M232))</f>
        <v/>
      </c>
      <c r="E232" s="10" t="str">
        <f aca="false">IF(IF($M232="",0,INDEX(伝票元!$N$6:$N$511,$M232))=1,INDEX(伝票元!$I$6:$I$511,$M232),"")</f>
        <v/>
      </c>
      <c r="F232" s="45" t="str">
        <f aca="false">IF(IF($M232="",0,INDEX(伝票元!$N$6:$N$511,$M232))=1,INDEX(伝票元!$J$6:$J$511,$M232),"")</f>
        <v/>
      </c>
      <c r="G232" s="42" t="str">
        <f aca="false">IF(IF($M232="",0,INDEX(伝票元!$N$6:$N$511,$M232))=1,INDEX(伝票元!$Q$6:$Q$511,$M232),"")</f>
        <v/>
      </c>
      <c r="H232" s="45" t="str">
        <f aca="false">IF($M232="","",INDEX(伝票元!$F$6:$F$511,$M232))</f>
        <v/>
      </c>
      <c r="I232" s="45" t="str">
        <f aca="false">IF($M232="","",INDEX(伝票元!$G$6:$G$511,$M232))</f>
        <v/>
      </c>
      <c r="J232" s="42" t="str">
        <f aca="false">IF($M232="","",INDEX(伝票元!$H$6:$H$511,$M232))</f>
        <v/>
      </c>
      <c r="K232" s="46" t="str">
        <f aca="false">IF(IF($M232="",0,INDEX(伝票元!$N$6:$N$511,$M232))=1,INDEX(伝票元!$R$6:$R$511,$M232),"")</f>
        <v/>
      </c>
      <c r="L232" s="47" t="str">
        <f aca="false">IF($M232="","",INDEX(伝票元!$S$6:$S$511,$M232))</f>
        <v/>
      </c>
      <c r="M232" s="47" t="str">
        <f aca="false">IFERROR(MATCH(226,伝票元!$O$6:$O$511,0),"")</f>
        <v/>
      </c>
    </row>
    <row r="233" customFormat="false" ht="15" hidden="false" customHeight="false" outlineLevel="0" collapsed="false">
      <c r="A233" s="10" t="str">
        <f aca="false">IF($M233="","",INDEX(伝票元!$P$6:$P$511,$M233))</f>
        <v/>
      </c>
      <c r="B233" s="45" t="str">
        <f aca="false">IF($M233="","",INDEX(伝票元!$D$6:$D$511,$M233))</f>
        <v/>
      </c>
      <c r="C233" s="10" t="str">
        <f aca="false">IF($M233="","",INDEX(伝票元!$E$6:$E$511,$M233))</f>
        <v/>
      </c>
      <c r="D233" s="45" t="str">
        <f aca="false">IF($M233="","",INDEX(伝票元!$A$6:$A$511,$M233))</f>
        <v/>
      </c>
      <c r="E233" s="10" t="str">
        <f aca="false">IF(IF($M233="",0,INDEX(伝票元!$N$6:$N$511,$M233))=1,INDEX(伝票元!$I$6:$I$511,$M233),"")</f>
        <v/>
      </c>
      <c r="F233" s="45" t="str">
        <f aca="false">IF(IF($M233="",0,INDEX(伝票元!$N$6:$N$511,$M233))=1,INDEX(伝票元!$J$6:$J$511,$M233),"")</f>
        <v/>
      </c>
      <c r="G233" s="42" t="str">
        <f aca="false">IF(IF($M233="",0,INDEX(伝票元!$N$6:$N$511,$M233))=1,INDEX(伝票元!$Q$6:$Q$511,$M233),"")</f>
        <v/>
      </c>
      <c r="H233" s="45" t="str">
        <f aca="false">IF($M233="","",INDEX(伝票元!$F$6:$F$511,$M233))</f>
        <v/>
      </c>
      <c r="I233" s="45" t="str">
        <f aca="false">IF($M233="","",INDEX(伝票元!$G$6:$G$511,$M233))</f>
        <v/>
      </c>
      <c r="J233" s="42" t="str">
        <f aca="false">IF($M233="","",INDEX(伝票元!$H$6:$H$511,$M233))</f>
        <v/>
      </c>
      <c r="K233" s="46" t="str">
        <f aca="false">IF(IF($M233="",0,INDEX(伝票元!$N$6:$N$511,$M233))=1,INDEX(伝票元!$R$6:$R$511,$M233),"")</f>
        <v/>
      </c>
      <c r="L233" s="47" t="str">
        <f aca="false">IF($M233="","",INDEX(伝票元!$S$6:$S$511,$M233))</f>
        <v/>
      </c>
      <c r="M233" s="47" t="str">
        <f aca="false">IFERROR(MATCH(227,伝票元!$O$6:$O$511,0),"")</f>
        <v/>
      </c>
    </row>
    <row r="234" customFormat="false" ht="15" hidden="false" customHeight="false" outlineLevel="0" collapsed="false">
      <c r="A234" s="10" t="str">
        <f aca="false">IF($M234="","",INDEX(伝票元!$P$6:$P$511,$M234))</f>
        <v/>
      </c>
      <c r="B234" s="45" t="str">
        <f aca="false">IF($M234="","",INDEX(伝票元!$D$6:$D$511,$M234))</f>
        <v/>
      </c>
      <c r="C234" s="10" t="str">
        <f aca="false">IF($M234="","",INDEX(伝票元!$E$6:$E$511,$M234))</f>
        <v/>
      </c>
      <c r="D234" s="45" t="str">
        <f aca="false">IF($M234="","",INDEX(伝票元!$A$6:$A$511,$M234))</f>
        <v/>
      </c>
      <c r="E234" s="10" t="str">
        <f aca="false">IF(IF($M234="",0,INDEX(伝票元!$N$6:$N$511,$M234))=1,INDEX(伝票元!$I$6:$I$511,$M234),"")</f>
        <v/>
      </c>
      <c r="F234" s="45" t="str">
        <f aca="false">IF(IF($M234="",0,INDEX(伝票元!$N$6:$N$511,$M234))=1,INDEX(伝票元!$J$6:$J$511,$M234),"")</f>
        <v/>
      </c>
      <c r="G234" s="42" t="str">
        <f aca="false">IF(IF($M234="",0,INDEX(伝票元!$N$6:$N$511,$M234))=1,INDEX(伝票元!$Q$6:$Q$511,$M234),"")</f>
        <v/>
      </c>
      <c r="H234" s="45" t="str">
        <f aca="false">IF($M234="","",INDEX(伝票元!$F$6:$F$511,$M234))</f>
        <v/>
      </c>
      <c r="I234" s="45" t="str">
        <f aca="false">IF($M234="","",INDEX(伝票元!$G$6:$G$511,$M234))</f>
        <v/>
      </c>
      <c r="J234" s="42" t="str">
        <f aca="false">IF($M234="","",INDEX(伝票元!$H$6:$H$511,$M234))</f>
        <v/>
      </c>
      <c r="K234" s="46" t="str">
        <f aca="false">IF(IF($M234="",0,INDEX(伝票元!$N$6:$N$511,$M234))=1,INDEX(伝票元!$R$6:$R$511,$M234),"")</f>
        <v/>
      </c>
      <c r="L234" s="47" t="str">
        <f aca="false">IF($M234="","",INDEX(伝票元!$S$6:$S$511,$M234))</f>
        <v/>
      </c>
      <c r="M234" s="47" t="str">
        <f aca="false">IFERROR(MATCH(228,伝票元!$O$6:$O$511,0),"")</f>
        <v/>
      </c>
    </row>
    <row r="235" customFormat="false" ht="15" hidden="false" customHeight="false" outlineLevel="0" collapsed="false">
      <c r="A235" s="10" t="str">
        <f aca="false">IF($M235="","",INDEX(伝票元!$P$6:$P$511,$M235))</f>
        <v/>
      </c>
      <c r="B235" s="45" t="str">
        <f aca="false">IF($M235="","",INDEX(伝票元!$D$6:$D$511,$M235))</f>
        <v/>
      </c>
      <c r="C235" s="10" t="str">
        <f aca="false">IF($M235="","",INDEX(伝票元!$E$6:$E$511,$M235))</f>
        <v/>
      </c>
      <c r="D235" s="45" t="str">
        <f aca="false">IF($M235="","",INDEX(伝票元!$A$6:$A$511,$M235))</f>
        <v/>
      </c>
      <c r="E235" s="10" t="str">
        <f aca="false">IF(IF($M235="",0,INDEX(伝票元!$N$6:$N$511,$M235))=1,INDEX(伝票元!$I$6:$I$511,$M235),"")</f>
        <v/>
      </c>
      <c r="F235" s="45" t="str">
        <f aca="false">IF(IF($M235="",0,INDEX(伝票元!$N$6:$N$511,$M235))=1,INDEX(伝票元!$J$6:$J$511,$M235),"")</f>
        <v/>
      </c>
      <c r="G235" s="42" t="str">
        <f aca="false">IF(IF($M235="",0,INDEX(伝票元!$N$6:$N$511,$M235))=1,INDEX(伝票元!$Q$6:$Q$511,$M235),"")</f>
        <v/>
      </c>
      <c r="H235" s="45" t="str">
        <f aca="false">IF($M235="","",INDEX(伝票元!$F$6:$F$511,$M235))</f>
        <v/>
      </c>
      <c r="I235" s="45" t="str">
        <f aca="false">IF($M235="","",INDEX(伝票元!$G$6:$G$511,$M235))</f>
        <v/>
      </c>
      <c r="J235" s="42" t="str">
        <f aca="false">IF($M235="","",INDEX(伝票元!$H$6:$H$511,$M235))</f>
        <v/>
      </c>
      <c r="K235" s="46" t="str">
        <f aca="false">IF(IF($M235="",0,INDEX(伝票元!$N$6:$N$511,$M235))=1,INDEX(伝票元!$R$6:$R$511,$M235),"")</f>
        <v/>
      </c>
      <c r="L235" s="47" t="str">
        <f aca="false">IF($M235="","",INDEX(伝票元!$S$6:$S$511,$M235))</f>
        <v/>
      </c>
      <c r="M235" s="47" t="str">
        <f aca="false">IFERROR(MATCH(229,伝票元!$O$6:$O$511,0),"")</f>
        <v/>
      </c>
    </row>
    <row r="236" customFormat="false" ht="15" hidden="false" customHeight="false" outlineLevel="0" collapsed="false">
      <c r="A236" s="10" t="str">
        <f aca="false">IF($M236="","",INDEX(伝票元!$P$6:$P$511,$M236))</f>
        <v/>
      </c>
      <c r="B236" s="45" t="str">
        <f aca="false">IF($M236="","",INDEX(伝票元!$D$6:$D$511,$M236))</f>
        <v/>
      </c>
      <c r="C236" s="10" t="str">
        <f aca="false">IF($M236="","",INDEX(伝票元!$E$6:$E$511,$M236))</f>
        <v/>
      </c>
      <c r="D236" s="45" t="str">
        <f aca="false">IF($M236="","",INDEX(伝票元!$A$6:$A$511,$M236))</f>
        <v/>
      </c>
      <c r="E236" s="10" t="str">
        <f aca="false">IF(IF($M236="",0,INDEX(伝票元!$N$6:$N$511,$M236))=1,INDEX(伝票元!$I$6:$I$511,$M236),"")</f>
        <v/>
      </c>
      <c r="F236" s="45" t="str">
        <f aca="false">IF(IF($M236="",0,INDEX(伝票元!$N$6:$N$511,$M236))=1,INDEX(伝票元!$J$6:$J$511,$M236),"")</f>
        <v/>
      </c>
      <c r="G236" s="42" t="str">
        <f aca="false">IF(IF($M236="",0,INDEX(伝票元!$N$6:$N$511,$M236))=1,INDEX(伝票元!$Q$6:$Q$511,$M236),"")</f>
        <v/>
      </c>
      <c r="H236" s="45" t="str">
        <f aca="false">IF($M236="","",INDEX(伝票元!$F$6:$F$511,$M236))</f>
        <v/>
      </c>
      <c r="I236" s="45" t="str">
        <f aca="false">IF($M236="","",INDEX(伝票元!$G$6:$G$511,$M236))</f>
        <v/>
      </c>
      <c r="J236" s="42" t="str">
        <f aca="false">IF($M236="","",INDEX(伝票元!$H$6:$H$511,$M236))</f>
        <v/>
      </c>
      <c r="K236" s="46" t="str">
        <f aca="false">IF(IF($M236="",0,INDEX(伝票元!$N$6:$N$511,$M236))=1,INDEX(伝票元!$R$6:$R$511,$M236),"")</f>
        <v/>
      </c>
      <c r="L236" s="47" t="str">
        <f aca="false">IF($M236="","",INDEX(伝票元!$S$6:$S$511,$M236))</f>
        <v/>
      </c>
      <c r="M236" s="47" t="str">
        <f aca="false">IFERROR(MATCH(230,伝票元!$O$6:$O$511,0),"")</f>
        <v/>
      </c>
    </row>
    <row r="237" customFormat="false" ht="15" hidden="false" customHeight="false" outlineLevel="0" collapsed="false">
      <c r="A237" s="10" t="str">
        <f aca="false">IF($M237="","",INDEX(伝票元!$P$6:$P$511,$M237))</f>
        <v/>
      </c>
      <c r="B237" s="45" t="str">
        <f aca="false">IF($M237="","",INDEX(伝票元!$D$6:$D$511,$M237))</f>
        <v/>
      </c>
      <c r="C237" s="10" t="str">
        <f aca="false">IF($M237="","",INDEX(伝票元!$E$6:$E$511,$M237))</f>
        <v/>
      </c>
      <c r="D237" s="45" t="str">
        <f aca="false">IF($M237="","",INDEX(伝票元!$A$6:$A$511,$M237))</f>
        <v/>
      </c>
      <c r="E237" s="10" t="str">
        <f aca="false">IF(IF($M237="",0,INDEX(伝票元!$N$6:$N$511,$M237))=1,INDEX(伝票元!$I$6:$I$511,$M237),"")</f>
        <v/>
      </c>
      <c r="F237" s="45" t="str">
        <f aca="false">IF(IF($M237="",0,INDEX(伝票元!$N$6:$N$511,$M237))=1,INDEX(伝票元!$J$6:$J$511,$M237),"")</f>
        <v/>
      </c>
      <c r="G237" s="42" t="str">
        <f aca="false">IF(IF($M237="",0,INDEX(伝票元!$N$6:$N$511,$M237))=1,INDEX(伝票元!$Q$6:$Q$511,$M237),"")</f>
        <v/>
      </c>
      <c r="H237" s="45" t="str">
        <f aca="false">IF($M237="","",INDEX(伝票元!$F$6:$F$511,$M237))</f>
        <v/>
      </c>
      <c r="I237" s="45" t="str">
        <f aca="false">IF($M237="","",INDEX(伝票元!$G$6:$G$511,$M237))</f>
        <v/>
      </c>
      <c r="J237" s="42" t="str">
        <f aca="false">IF($M237="","",INDEX(伝票元!$H$6:$H$511,$M237))</f>
        <v/>
      </c>
      <c r="K237" s="46" t="str">
        <f aca="false">IF(IF($M237="",0,INDEX(伝票元!$N$6:$N$511,$M237))=1,INDEX(伝票元!$R$6:$R$511,$M237),"")</f>
        <v/>
      </c>
      <c r="L237" s="47" t="str">
        <f aca="false">IF($M237="","",INDEX(伝票元!$S$6:$S$511,$M237))</f>
        <v/>
      </c>
      <c r="M237" s="47" t="str">
        <f aca="false">IFERROR(MATCH(231,伝票元!$O$6:$O$511,0),"")</f>
        <v/>
      </c>
    </row>
    <row r="238" customFormat="false" ht="15" hidden="false" customHeight="false" outlineLevel="0" collapsed="false">
      <c r="A238" s="10" t="str">
        <f aca="false">IF($M238="","",INDEX(伝票元!$P$6:$P$511,$M238))</f>
        <v/>
      </c>
      <c r="B238" s="45" t="str">
        <f aca="false">IF($M238="","",INDEX(伝票元!$D$6:$D$511,$M238))</f>
        <v/>
      </c>
      <c r="C238" s="10" t="str">
        <f aca="false">IF($M238="","",INDEX(伝票元!$E$6:$E$511,$M238))</f>
        <v/>
      </c>
      <c r="D238" s="45" t="str">
        <f aca="false">IF($M238="","",INDEX(伝票元!$A$6:$A$511,$M238))</f>
        <v/>
      </c>
      <c r="E238" s="10" t="str">
        <f aca="false">IF(IF($M238="",0,INDEX(伝票元!$N$6:$N$511,$M238))=1,INDEX(伝票元!$I$6:$I$511,$M238),"")</f>
        <v/>
      </c>
      <c r="F238" s="45" t="str">
        <f aca="false">IF(IF($M238="",0,INDEX(伝票元!$N$6:$N$511,$M238))=1,INDEX(伝票元!$J$6:$J$511,$M238),"")</f>
        <v/>
      </c>
      <c r="G238" s="42" t="str">
        <f aca="false">IF(IF($M238="",0,INDEX(伝票元!$N$6:$N$511,$M238))=1,INDEX(伝票元!$Q$6:$Q$511,$M238),"")</f>
        <v/>
      </c>
      <c r="H238" s="45" t="str">
        <f aca="false">IF($M238="","",INDEX(伝票元!$F$6:$F$511,$M238))</f>
        <v/>
      </c>
      <c r="I238" s="45" t="str">
        <f aca="false">IF($M238="","",INDEX(伝票元!$G$6:$G$511,$M238))</f>
        <v/>
      </c>
      <c r="J238" s="42" t="str">
        <f aca="false">IF($M238="","",INDEX(伝票元!$H$6:$H$511,$M238))</f>
        <v/>
      </c>
      <c r="K238" s="46" t="str">
        <f aca="false">IF(IF($M238="",0,INDEX(伝票元!$N$6:$N$511,$M238))=1,INDEX(伝票元!$R$6:$R$511,$M238),"")</f>
        <v/>
      </c>
      <c r="L238" s="47" t="str">
        <f aca="false">IF($M238="","",INDEX(伝票元!$S$6:$S$511,$M238))</f>
        <v/>
      </c>
      <c r="M238" s="47" t="str">
        <f aca="false">IFERROR(MATCH(232,伝票元!$O$6:$O$511,0),"")</f>
        <v/>
      </c>
    </row>
    <row r="239" customFormat="false" ht="15" hidden="false" customHeight="false" outlineLevel="0" collapsed="false">
      <c r="A239" s="10" t="str">
        <f aca="false">IF($M239="","",INDEX(伝票元!$P$6:$P$511,$M239))</f>
        <v/>
      </c>
      <c r="B239" s="45" t="str">
        <f aca="false">IF($M239="","",INDEX(伝票元!$D$6:$D$511,$M239))</f>
        <v/>
      </c>
      <c r="C239" s="10" t="str">
        <f aca="false">IF($M239="","",INDEX(伝票元!$E$6:$E$511,$M239))</f>
        <v/>
      </c>
      <c r="D239" s="45" t="str">
        <f aca="false">IF($M239="","",INDEX(伝票元!$A$6:$A$511,$M239))</f>
        <v/>
      </c>
      <c r="E239" s="10" t="str">
        <f aca="false">IF(IF($M239="",0,INDEX(伝票元!$N$6:$N$511,$M239))=1,INDEX(伝票元!$I$6:$I$511,$M239),"")</f>
        <v/>
      </c>
      <c r="F239" s="45" t="str">
        <f aca="false">IF(IF($M239="",0,INDEX(伝票元!$N$6:$N$511,$M239))=1,INDEX(伝票元!$J$6:$J$511,$M239),"")</f>
        <v/>
      </c>
      <c r="G239" s="42" t="str">
        <f aca="false">IF(IF($M239="",0,INDEX(伝票元!$N$6:$N$511,$M239))=1,INDEX(伝票元!$Q$6:$Q$511,$M239),"")</f>
        <v/>
      </c>
      <c r="H239" s="45" t="str">
        <f aca="false">IF($M239="","",INDEX(伝票元!$F$6:$F$511,$M239))</f>
        <v/>
      </c>
      <c r="I239" s="45" t="str">
        <f aca="false">IF($M239="","",INDEX(伝票元!$G$6:$G$511,$M239))</f>
        <v/>
      </c>
      <c r="J239" s="42" t="str">
        <f aca="false">IF($M239="","",INDEX(伝票元!$H$6:$H$511,$M239))</f>
        <v/>
      </c>
      <c r="K239" s="46" t="str">
        <f aca="false">IF(IF($M239="",0,INDEX(伝票元!$N$6:$N$511,$M239))=1,INDEX(伝票元!$R$6:$R$511,$M239),"")</f>
        <v/>
      </c>
      <c r="L239" s="47" t="str">
        <f aca="false">IF($M239="","",INDEX(伝票元!$S$6:$S$511,$M239))</f>
        <v/>
      </c>
      <c r="M239" s="47" t="str">
        <f aca="false">IFERROR(MATCH(233,伝票元!$O$6:$O$511,0),"")</f>
        <v/>
      </c>
    </row>
    <row r="240" customFormat="false" ht="15" hidden="false" customHeight="false" outlineLevel="0" collapsed="false">
      <c r="A240" s="10" t="str">
        <f aca="false">IF($M240="","",INDEX(伝票元!$P$6:$P$511,$M240))</f>
        <v/>
      </c>
      <c r="B240" s="45" t="str">
        <f aca="false">IF($M240="","",INDEX(伝票元!$D$6:$D$511,$M240))</f>
        <v/>
      </c>
      <c r="C240" s="10" t="str">
        <f aca="false">IF($M240="","",INDEX(伝票元!$E$6:$E$511,$M240))</f>
        <v/>
      </c>
      <c r="D240" s="45" t="str">
        <f aca="false">IF($M240="","",INDEX(伝票元!$A$6:$A$511,$M240))</f>
        <v/>
      </c>
      <c r="E240" s="10" t="str">
        <f aca="false">IF(IF($M240="",0,INDEX(伝票元!$N$6:$N$511,$M240))=1,INDEX(伝票元!$I$6:$I$511,$M240),"")</f>
        <v/>
      </c>
      <c r="F240" s="45" t="str">
        <f aca="false">IF(IF($M240="",0,INDEX(伝票元!$N$6:$N$511,$M240))=1,INDEX(伝票元!$J$6:$J$511,$M240),"")</f>
        <v/>
      </c>
      <c r="G240" s="42" t="str">
        <f aca="false">IF(IF($M240="",0,INDEX(伝票元!$N$6:$N$511,$M240))=1,INDEX(伝票元!$Q$6:$Q$511,$M240),"")</f>
        <v/>
      </c>
      <c r="H240" s="45" t="str">
        <f aca="false">IF($M240="","",INDEX(伝票元!$F$6:$F$511,$M240))</f>
        <v/>
      </c>
      <c r="I240" s="45" t="str">
        <f aca="false">IF($M240="","",INDEX(伝票元!$G$6:$G$511,$M240))</f>
        <v/>
      </c>
      <c r="J240" s="42" t="str">
        <f aca="false">IF($M240="","",INDEX(伝票元!$H$6:$H$511,$M240))</f>
        <v/>
      </c>
      <c r="K240" s="46" t="str">
        <f aca="false">IF(IF($M240="",0,INDEX(伝票元!$N$6:$N$511,$M240))=1,INDEX(伝票元!$R$6:$R$511,$M240),"")</f>
        <v/>
      </c>
      <c r="L240" s="47" t="str">
        <f aca="false">IF($M240="","",INDEX(伝票元!$S$6:$S$511,$M240))</f>
        <v/>
      </c>
      <c r="M240" s="47" t="str">
        <f aca="false">IFERROR(MATCH(234,伝票元!$O$6:$O$511,0),"")</f>
        <v/>
      </c>
    </row>
    <row r="241" customFormat="false" ht="15" hidden="false" customHeight="false" outlineLevel="0" collapsed="false">
      <c r="A241" s="10" t="str">
        <f aca="false">IF($M241="","",INDEX(伝票元!$P$6:$P$511,$M241))</f>
        <v/>
      </c>
      <c r="B241" s="45" t="str">
        <f aca="false">IF($M241="","",INDEX(伝票元!$D$6:$D$511,$M241))</f>
        <v/>
      </c>
      <c r="C241" s="10" t="str">
        <f aca="false">IF($M241="","",INDEX(伝票元!$E$6:$E$511,$M241))</f>
        <v/>
      </c>
      <c r="D241" s="45" t="str">
        <f aca="false">IF($M241="","",INDEX(伝票元!$A$6:$A$511,$M241))</f>
        <v/>
      </c>
      <c r="E241" s="10" t="str">
        <f aca="false">IF(IF($M241="",0,INDEX(伝票元!$N$6:$N$511,$M241))=1,INDEX(伝票元!$I$6:$I$511,$M241),"")</f>
        <v/>
      </c>
      <c r="F241" s="45" t="str">
        <f aca="false">IF(IF($M241="",0,INDEX(伝票元!$N$6:$N$511,$M241))=1,INDEX(伝票元!$J$6:$J$511,$M241),"")</f>
        <v/>
      </c>
      <c r="G241" s="42" t="str">
        <f aca="false">IF(IF($M241="",0,INDEX(伝票元!$N$6:$N$511,$M241))=1,INDEX(伝票元!$Q$6:$Q$511,$M241),"")</f>
        <v/>
      </c>
      <c r="H241" s="45" t="str">
        <f aca="false">IF($M241="","",INDEX(伝票元!$F$6:$F$511,$M241))</f>
        <v/>
      </c>
      <c r="I241" s="45" t="str">
        <f aca="false">IF($M241="","",INDEX(伝票元!$G$6:$G$511,$M241))</f>
        <v/>
      </c>
      <c r="J241" s="42" t="str">
        <f aca="false">IF($M241="","",INDEX(伝票元!$H$6:$H$511,$M241))</f>
        <v/>
      </c>
      <c r="K241" s="46" t="str">
        <f aca="false">IF(IF($M241="",0,INDEX(伝票元!$N$6:$N$511,$M241))=1,INDEX(伝票元!$R$6:$R$511,$M241),"")</f>
        <v/>
      </c>
      <c r="L241" s="47" t="str">
        <f aca="false">IF($M241="","",INDEX(伝票元!$S$6:$S$511,$M241))</f>
        <v/>
      </c>
      <c r="M241" s="47" t="str">
        <f aca="false">IFERROR(MATCH(235,伝票元!$O$6:$O$511,0),"")</f>
        <v/>
      </c>
    </row>
    <row r="242" customFormat="false" ht="15" hidden="false" customHeight="false" outlineLevel="0" collapsed="false">
      <c r="A242" s="10" t="str">
        <f aca="false">IF($M242="","",INDEX(伝票元!$P$6:$P$511,$M242))</f>
        <v/>
      </c>
      <c r="B242" s="45" t="str">
        <f aca="false">IF($M242="","",INDEX(伝票元!$D$6:$D$511,$M242))</f>
        <v/>
      </c>
      <c r="C242" s="10" t="str">
        <f aca="false">IF($M242="","",INDEX(伝票元!$E$6:$E$511,$M242))</f>
        <v/>
      </c>
      <c r="D242" s="45" t="str">
        <f aca="false">IF($M242="","",INDEX(伝票元!$A$6:$A$511,$M242))</f>
        <v/>
      </c>
      <c r="E242" s="10" t="str">
        <f aca="false">IF(IF($M242="",0,INDEX(伝票元!$N$6:$N$511,$M242))=1,INDEX(伝票元!$I$6:$I$511,$M242),"")</f>
        <v/>
      </c>
      <c r="F242" s="45" t="str">
        <f aca="false">IF(IF($M242="",0,INDEX(伝票元!$N$6:$N$511,$M242))=1,INDEX(伝票元!$J$6:$J$511,$M242),"")</f>
        <v/>
      </c>
      <c r="G242" s="42" t="str">
        <f aca="false">IF(IF($M242="",0,INDEX(伝票元!$N$6:$N$511,$M242))=1,INDEX(伝票元!$Q$6:$Q$511,$M242),"")</f>
        <v/>
      </c>
      <c r="H242" s="45" t="str">
        <f aca="false">IF($M242="","",INDEX(伝票元!$F$6:$F$511,$M242))</f>
        <v/>
      </c>
      <c r="I242" s="45" t="str">
        <f aca="false">IF($M242="","",INDEX(伝票元!$G$6:$G$511,$M242))</f>
        <v/>
      </c>
      <c r="J242" s="42" t="str">
        <f aca="false">IF($M242="","",INDEX(伝票元!$H$6:$H$511,$M242))</f>
        <v/>
      </c>
      <c r="K242" s="46" t="str">
        <f aca="false">IF(IF($M242="",0,INDEX(伝票元!$N$6:$N$511,$M242))=1,INDEX(伝票元!$R$6:$R$511,$M242),"")</f>
        <v/>
      </c>
      <c r="L242" s="47" t="str">
        <f aca="false">IF($M242="","",INDEX(伝票元!$S$6:$S$511,$M242))</f>
        <v/>
      </c>
      <c r="M242" s="47" t="str">
        <f aca="false">IFERROR(MATCH(236,伝票元!$O$6:$O$511,0),"")</f>
        <v/>
      </c>
    </row>
    <row r="243" customFormat="false" ht="15" hidden="false" customHeight="false" outlineLevel="0" collapsed="false">
      <c r="A243" s="10" t="str">
        <f aca="false">IF($M243="","",INDEX(伝票元!$P$6:$P$511,$M243))</f>
        <v/>
      </c>
      <c r="B243" s="45" t="str">
        <f aca="false">IF($M243="","",INDEX(伝票元!$D$6:$D$511,$M243))</f>
        <v/>
      </c>
      <c r="C243" s="10" t="str">
        <f aca="false">IF($M243="","",INDEX(伝票元!$E$6:$E$511,$M243))</f>
        <v/>
      </c>
      <c r="D243" s="45" t="str">
        <f aca="false">IF($M243="","",INDEX(伝票元!$A$6:$A$511,$M243))</f>
        <v/>
      </c>
      <c r="E243" s="10" t="str">
        <f aca="false">IF(IF($M243="",0,INDEX(伝票元!$N$6:$N$511,$M243))=1,INDEX(伝票元!$I$6:$I$511,$M243),"")</f>
        <v/>
      </c>
      <c r="F243" s="45" t="str">
        <f aca="false">IF(IF($M243="",0,INDEX(伝票元!$N$6:$N$511,$M243))=1,INDEX(伝票元!$J$6:$J$511,$M243),"")</f>
        <v/>
      </c>
      <c r="G243" s="42" t="str">
        <f aca="false">IF(IF($M243="",0,INDEX(伝票元!$N$6:$N$511,$M243))=1,INDEX(伝票元!$Q$6:$Q$511,$M243),"")</f>
        <v/>
      </c>
      <c r="H243" s="45" t="str">
        <f aca="false">IF($M243="","",INDEX(伝票元!$F$6:$F$511,$M243))</f>
        <v/>
      </c>
      <c r="I243" s="45" t="str">
        <f aca="false">IF($M243="","",INDEX(伝票元!$G$6:$G$511,$M243))</f>
        <v/>
      </c>
      <c r="J243" s="42" t="str">
        <f aca="false">IF($M243="","",INDEX(伝票元!$H$6:$H$511,$M243))</f>
        <v/>
      </c>
      <c r="K243" s="46" t="str">
        <f aca="false">IF(IF($M243="",0,INDEX(伝票元!$N$6:$N$511,$M243))=1,INDEX(伝票元!$R$6:$R$511,$M243),"")</f>
        <v/>
      </c>
      <c r="L243" s="47" t="str">
        <f aca="false">IF($M243="","",INDEX(伝票元!$S$6:$S$511,$M243))</f>
        <v/>
      </c>
      <c r="M243" s="47" t="str">
        <f aca="false">IFERROR(MATCH(237,伝票元!$O$6:$O$511,0),"")</f>
        <v/>
      </c>
    </row>
    <row r="244" customFormat="false" ht="15" hidden="false" customHeight="false" outlineLevel="0" collapsed="false">
      <c r="A244" s="10" t="str">
        <f aca="false">IF($M244="","",INDEX(伝票元!$P$6:$P$511,$M244))</f>
        <v/>
      </c>
      <c r="B244" s="45" t="str">
        <f aca="false">IF($M244="","",INDEX(伝票元!$D$6:$D$511,$M244))</f>
        <v/>
      </c>
      <c r="C244" s="10" t="str">
        <f aca="false">IF($M244="","",INDEX(伝票元!$E$6:$E$511,$M244))</f>
        <v/>
      </c>
      <c r="D244" s="45" t="str">
        <f aca="false">IF($M244="","",INDEX(伝票元!$A$6:$A$511,$M244))</f>
        <v/>
      </c>
      <c r="E244" s="10" t="str">
        <f aca="false">IF(IF($M244="",0,INDEX(伝票元!$N$6:$N$511,$M244))=1,INDEX(伝票元!$I$6:$I$511,$M244),"")</f>
        <v/>
      </c>
      <c r="F244" s="45" t="str">
        <f aca="false">IF(IF($M244="",0,INDEX(伝票元!$N$6:$N$511,$M244))=1,INDEX(伝票元!$J$6:$J$511,$M244),"")</f>
        <v/>
      </c>
      <c r="G244" s="42" t="str">
        <f aca="false">IF(IF($M244="",0,INDEX(伝票元!$N$6:$N$511,$M244))=1,INDEX(伝票元!$Q$6:$Q$511,$M244),"")</f>
        <v/>
      </c>
      <c r="H244" s="45" t="str">
        <f aca="false">IF($M244="","",INDEX(伝票元!$F$6:$F$511,$M244))</f>
        <v/>
      </c>
      <c r="I244" s="45" t="str">
        <f aca="false">IF($M244="","",INDEX(伝票元!$G$6:$G$511,$M244))</f>
        <v/>
      </c>
      <c r="J244" s="42" t="str">
        <f aca="false">IF($M244="","",INDEX(伝票元!$H$6:$H$511,$M244))</f>
        <v/>
      </c>
      <c r="K244" s="46" t="str">
        <f aca="false">IF(IF($M244="",0,INDEX(伝票元!$N$6:$N$511,$M244))=1,INDEX(伝票元!$R$6:$R$511,$M244),"")</f>
        <v/>
      </c>
      <c r="L244" s="47" t="str">
        <f aca="false">IF($M244="","",INDEX(伝票元!$S$6:$S$511,$M244))</f>
        <v/>
      </c>
      <c r="M244" s="47" t="str">
        <f aca="false">IFERROR(MATCH(238,伝票元!$O$6:$O$511,0),"")</f>
        <v/>
      </c>
    </row>
    <row r="245" customFormat="false" ht="15" hidden="false" customHeight="false" outlineLevel="0" collapsed="false">
      <c r="A245" s="10" t="str">
        <f aca="false">IF($M245="","",INDEX(伝票元!$P$6:$P$511,$M245))</f>
        <v/>
      </c>
      <c r="B245" s="45" t="str">
        <f aca="false">IF($M245="","",INDEX(伝票元!$D$6:$D$511,$M245))</f>
        <v/>
      </c>
      <c r="C245" s="10" t="str">
        <f aca="false">IF($M245="","",INDEX(伝票元!$E$6:$E$511,$M245))</f>
        <v/>
      </c>
      <c r="D245" s="45" t="str">
        <f aca="false">IF($M245="","",INDEX(伝票元!$A$6:$A$511,$M245))</f>
        <v/>
      </c>
      <c r="E245" s="10" t="str">
        <f aca="false">IF(IF($M245="",0,INDEX(伝票元!$N$6:$N$511,$M245))=1,INDEX(伝票元!$I$6:$I$511,$M245),"")</f>
        <v/>
      </c>
      <c r="F245" s="45" t="str">
        <f aca="false">IF(IF($M245="",0,INDEX(伝票元!$N$6:$N$511,$M245))=1,INDEX(伝票元!$J$6:$J$511,$M245),"")</f>
        <v/>
      </c>
      <c r="G245" s="42" t="str">
        <f aca="false">IF(IF($M245="",0,INDEX(伝票元!$N$6:$N$511,$M245))=1,INDEX(伝票元!$Q$6:$Q$511,$M245),"")</f>
        <v/>
      </c>
      <c r="H245" s="45" t="str">
        <f aca="false">IF($M245="","",INDEX(伝票元!$F$6:$F$511,$M245))</f>
        <v/>
      </c>
      <c r="I245" s="45" t="str">
        <f aca="false">IF($M245="","",INDEX(伝票元!$G$6:$G$511,$M245))</f>
        <v/>
      </c>
      <c r="J245" s="42" t="str">
        <f aca="false">IF($M245="","",INDEX(伝票元!$H$6:$H$511,$M245))</f>
        <v/>
      </c>
      <c r="K245" s="46" t="str">
        <f aca="false">IF(IF($M245="",0,INDEX(伝票元!$N$6:$N$511,$M245))=1,INDEX(伝票元!$R$6:$R$511,$M245),"")</f>
        <v/>
      </c>
      <c r="L245" s="47" t="str">
        <f aca="false">IF($M245="","",INDEX(伝票元!$S$6:$S$511,$M245))</f>
        <v/>
      </c>
      <c r="M245" s="47" t="str">
        <f aca="false">IFERROR(MATCH(239,伝票元!$O$6:$O$511,0),"")</f>
        <v/>
      </c>
    </row>
    <row r="246" customFormat="false" ht="15" hidden="false" customHeight="false" outlineLevel="0" collapsed="false">
      <c r="A246" s="10" t="str">
        <f aca="false">IF($M246="","",INDEX(伝票元!$P$6:$P$511,$M246))</f>
        <v/>
      </c>
      <c r="B246" s="45" t="str">
        <f aca="false">IF($M246="","",INDEX(伝票元!$D$6:$D$511,$M246))</f>
        <v/>
      </c>
      <c r="C246" s="10" t="str">
        <f aca="false">IF($M246="","",INDEX(伝票元!$E$6:$E$511,$M246))</f>
        <v/>
      </c>
      <c r="D246" s="45" t="str">
        <f aca="false">IF($M246="","",INDEX(伝票元!$A$6:$A$511,$M246))</f>
        <v/>
      </c>
      <c r="E246" s="10" t="str">
        <f aca="false">IF(IF($M246="",0,INDEX(伝票元!$N$6:$N$511,$M246))=1,INDEX(伝票元!$I$6:$I$511,$M246),"")</f>
        <v/>
      </c>
      <c r="F246" s="45" t="str">
        <f aca="false">IF(IF($M246="",0,INDEX(伝票元!$N$6:$N$511,$M246))=1,INDEX(伝票元!$J$6:$J$511,$M246),"")</f>
        <v/>
      </c>
      <c r="G246" s="42" t="str">
        <f aca="false">IF(IF($M246="",0,INDEX(伝票元!$N$6:$N$511,$M246))=1,INDEX(伝票元!$Q$6:$Q$511,$M246),"")</f>
        <v/>
      </c>
      <c r="H246" s="45" t="str">
        <f aca="false">IF($M246="","",INDEX(伝票元!$F$6:$F$511,$M246))</f>
        <v/>
      </c>
      <c r="I246" s="45" t="str">
        <f aca="false">IF($M246="","",INDEX(伝票元!$G$6:$G$511,$M246))</f>
        <v/>
      </c>
      <c r="J246" s="42" t="str">
        <f aca="false">IF($M246="","",INDEX(伝票元!$H$6:$H$511,$M246))</f>
        <v/>
      </c>
      <c r="K246" s="46" t="str">
        <f aca="false">IF(IF($M246="",0,INDEX(伝票元!$N$6:$N$511,$M246))=1,INDEX(伝票元!$R$6:$R$511,$M246),"")</f>
        <v/>
      </c>
      <c r="L246" s="47" t="str">
        <f aca="false">IF($M246="","",INDEX(伝票元!$S$6:$S$511,$M246))</f>
        <v/>
      </c>
      <c r="M246" s="47" t="str">
        <f aca="false">IFERROR(MATCH(240,伝票元!$O$6:$O$511,0),"")</f>
        <v/>
      </c>
    </row>
    <row r="247" customFormat="false" ht="15" hidden="false" customHeight="false" outlineLevel="0" collapsed="false">
      <c r="A247" s="10" t="str">
        <f aca="false">IF($M247="","",INDEX(伝票元!$P$6:$P$511,$M247))</f>
        <v/>
      </c>
      <c r="B247" s="45" t="str">
        <f aca="false">IF($M247="","",INDEX(伝票元!$D$6:$D$511,$M247))</f>
        <v/>
      </c>
      <c r="C247" s="10" t="str">
        <f aca="false">IF($M247="","",INDEX(伝票元!$E$6:$E$511,$M247))</f>
        <v/>
      </c>
      <c r="D247" s="45" t="str">
        <f aca="false">IF($M247="","",INDEX(伝票元!$A$6:$A$511,$M247))</f>
        <v/>
      </c>
      <c r="E247" s="10" t="str">
        <f aca="false">IF(IF($M247="",0,INDEX(伝票元!$N$6:$N$511,$M247))=1,INDEX(伝票元!$I$6:$I$511,$M247),"")</f>
        <v/>
      </c>
      <c r="F247" s="45" t="str">
        <f aca="false">IF(IF($M247="",0,INDEX(伝票元!$N$6:$N$511,$M247))=1,INDEX(伝票元!$J$6:$J$511,$M247),"")</f>
        <v/>
      </c>
      <c r="G247" s="42" t="str">
        <f aca="false">IF(IF($M247="",0,INDEX(伝票元!$N$6:$N$511,$M247))=1,INDEX(伝票元!$Q$6:$Q$511,$M247),"")</f>
        <v/>
      </c>
      <c r="H247" s="45" t="str">
        <f aca="false">IF($M247="","",INDEX(伝票元!$F$6:$F$511,$M247))</f>
        <v/>
      </c>
      <c r="I247" s="45" t="str">
        <f aca="false">IF($M247="","",INDEX(伝票元!$G$6:$G$511,$M247))</f>
        <v/>
      </c>
      <c r="J247" s="42" t="str">
        <f aca="false">IF($M247="","",INDEX(伝票元!$H$6:$H$511,$M247))</f>
        <v/>
      </c>
      <c r="K247" s="46" t="str">
        <f aca="false">IF(IF($M247="",0,INDEX(伝票元!$N$6:$N$511,$M247))=1,INDEX(伝票元!$R$6:$R$511,$M247),"")</f>
        <v/>
      </c>
      <c r="L247" s="47" t="str">
        <f aca="false">IF($M247="","",INDEX(伝票元!$S$6:$S$511,$M247))</f>
        <v/>
      </c>
      <c r="M247" s="47" t="str">
        <f aca="false">IFERROR(MATCH(241,伝票元!$O$6:$O$511,0),"")</f>
        <v/>
      </c>
    </row>
    <row r="248" customFormat="false" ht="15" hidden="false" customHeight="false" outlineLevel="0" collapsed="false">
      <c r="A248" s="10" t="str">
        <f aca="false">IF($M248="","",INDEX(伝票元!$P$6:$P$511,$M248))</f>
        <v/>
      </c>
      <c r="B248" s="45" t="str">
        <f aca="false">IF($M248="","",INDEX(伝票元!$D$6:$D$511,$M248))</f>
        <v/>
      </c>
      <c r="C248" s="10" t="str">
        <f aca="false">IF($M248="","",INDEX(伝票元!$E$6:$E$511,$M248))</f>
        <v/>
      </c>
      <c r="D248" s="45" t="str">
        <f aca="false">IF($M248="","",INDEX(伝票元!$A$6:$A$511,$M248))</f>
        <v/>
      </c>
      <c r="E248" s="10" t="str">
        <f aca="false">IF(IF($M248="",0,INDEX(伝票元!$N$6:$N$511,$M248))=1,INDEX(伝票元!$I$6:$I$511,$M248),"")</f>
        <v/>
      </c>
      <c r="F248" s="45" t="str">
        <f aca="false">IF(IF($M248="",0,INDEX(伝票元!$N$6:$N$511,$M248))=1,INDEX(伝票元!$J$6:$J$511,$M248),"")</f>
        <v/>
      </c>
      <c r="G248" s="42" t="str">
        <f aca="false">IF(IF($M248="",0,INDEX(伝票元!$N$6:$N$511,$M248))=1,INDEX(伝票元!$Q$6:$Q$511,$M248),"")</f>
        <v/>
      </c>
      <c r="H248" s="45" t="str">
        <f aca="false">IF($M248="","",INDEX(伝票元!$F$6:$F$511,$M248))</f>
        <v/>
      </c>
      <c r="I248" s="45" t="str">
        <f aca="false">IF($M248="","",INDEX(伝票元!$G$6:$G$511,$M248))</f>
        <v/>
      </c>
      <c r="J248" s="42" t="str">
        <f aca="false">IF($M248="","",INDEX(伝票元!$H$6:$H$511,$M248))</f>
        <v/>
      </c>
      <c r="K248" s="46" t="str">
        <f aca="false">IF(IF($M248="",0,INDEX(伝票元!$N$6:$N$511,$M248))=1,INDEX(伝票元!$R$6:$R$511,$M248),"")</f>
        <v/>
      </c>
      <c r="L248" s="47" t="str">
        <f aca="false">IF($M248="","",INDEX(伝票元!$S$6:$S$511,$M248))</f>
        <v/>
      </c>
      <c r="M248" s="47" t="str">
        <f aca="false">IFERROR(MATCH(242,伝票元!$O$6:$O$511,0),"")</f>
        <v/>
      </c>
    </row>
    <row r="249" customFormat="false" ht="15" hidden="false" customHeight="false" outlineLevel="0" collapsed="false">
      <c r="A249" s="10" t="str">
        <f aca="false">IF($M249="","",INDEX(伝票元!$P$6:$P$511,$M249))</f>
        <v/>
      </c>
      <c r="B249" s="45" t="str">
        <f aca="false">IF($M249="","",INDEX(伝票元!$D$6:$D$511,$M249))</f>
        <v/>
      </c>
      <c r="C249" s="10" t="str">
        <f aca="false">IF($M249="","",INDEX(伝票元!$E$6:$E$511,$M249))</f>
        <v/>
      </c>
      <c r="D249" s="45" t="str">
        <f aca="false">IF($M249="","",INDEX(伝票元!$A$6:$A$511,$M249))</f>
        <v/>
      </c>
      <c r="E249" s="10" t="str">
        <f aca="false">IF(IF($M249="",0,INDEX(伝票元!$N$6:$N$511,$M249))=1,INDEX(伝票元!$I$6:$I$511,$M249),"")</f>
        <v/>
      </c>
      <c r="F249" s="45" t="str">
        <f aca="false">IF(IF($M249="",0,INDEX(伝票元!$N$6:$N$511,$M249))=1,INDEX(伝票元!$J$6:$J$511,$M249),"")</f>
        <v/>
      </c>
      <c r="G249" s="42" t="str">
        <f aca="false">IF(IF($M249="",0,INDEX(伝票元!$N$6:$N$511,$M249))=1,INDEX(伝票元!$Q$6:$Q$511,$M249),"")</f>
        <v/>
      </c>
      <c r="H249" s="45" t="str">
        <f aca="false">IF($M249="","",INDEX(伝票元!$F$6:$F$511,$M249))</f>
        <v/>
      </c>
      <c r="I249" s="45" t="str">
        <f aca="false">IF($M249="","",INDEX(伝票元!$G$6:$G$511,$M249))</f>
        <v/>
      </c>
      <c r="J249" s="42" t="str">
        <f aca="false">IF($M249="","",INDEX(伝票元!$H$6:$H$511,$M249))</f>
        <v/>
      </c>
      <c r="K249" s="46" t="str">
        <f aca="false">IF(IF($M249="",0,INDEX(伝票元!$N$6:$N$511,$M249))=1,INDEX(伝票元!$R$6:$R$511,$M249),"")</f>
        <v/>
      </c>
      <c r="L249" s="47" t="str">
        <f aca="false">IF($M249="","",INDEX(伝票元!$S$6:$S$511,$M249))</f>
        <v/>
      </c>
      <c r="M249" s="47" t="str">
        <f aca="false">IFERROR(MATCH(243,伝票元!$O$6:$O$511,0),"")</f>
        <v/>
      </c>
    </row>
    <row r="250" customFormat="false" ht="15" hidden="false" customHeight="false" outlineLevel="0" collapsed="false">
      <c r="A250" s="10" t="str">
        <f aca="false">IF($M250="","",INDEX(伝票元!$P$6:$P$511,$M250))</f>
        <v/>
      </c>
      <c r="B250" s="45" t="str">
        <f aca="false">IF($M250="","",INDEX(伝票元!$D$6:$D$511,$M250))</f>
        <v/>
      </c>
      <c r="C250" s="10" t="str">
        <f aca="false">IF($M250="","",INDEX(伝票元!$E$6:$E$511,$M250))</f>
        <v/>
      </c>
      <c r="D250" s="45" t="str">
        <f aca="false">IF($M250="","",INDEX(伝票元!$A$6:$A$511,$M250))</f>
        <v/>
      </c>
      <c r="E250" s="10" t="str">
        <f aca="false">IF(IF($M250="",0,INDEX(伝票元!$N$6:$N$511,$M250))=1,INDEX(伝票元!$I$6:$I$511,$M250),"")</f>
        <v/>
      </c>
      <c r="F250" s="45" t="str">
        <f aca="false">IF(IF($M250="",0,INDEX(伝票元!$N$6:$N$511,$M250))=1,INDEX(伝票元!$J$6:$J$511,$M250),"")</f>
        <v/>
      </c>
      <c r="G250" s="42" t="str">
        <f aca="false">IF(IF($M250="",0,INDEX(伝票元!$N$6:$N$511,$M250))=1,INDEX(伝票元!$Q$6:$Q$511,$M250),"")</f>
        <v/>
      </c>
      <c r="H250" s="45" t="str">
        <f aca="false">IF($M250="","",INDEX(伝票元!$F$6:$F$511,$M250))</f>
        <v/>
      </c>
      <c r="I250" s="45" t="str">
        <f aca="false">IF($M250="","",INDEX(伝票元!$G$6:$G$511,$M250))</f>
        <v/>
      </c>
      <c r="J250" s="42" t="str">
        <f aca="false">IF($M250="","",INDEX(伝票元!$H$6:$H$511,$M250))</f>
        <v/>
      </c>
      <c r="K250" s="46" t="str">
        <f aca="false">IF(IF($M250="",0,INDEX(伝票元!$N$6:$N$511,$M250))=1,INDEX(伝票元!$R$6:$R$511,$M250),"")</f>
        <v/>
      </c>
      <c r="L250" s="47" t="str">
        <f aca="false">IF($M250="","",INDEX(伝票元!$S$6:$S$511,$M250))</f>
        <v/>
      </c>
      <c r="M250" s="47" t="str">
        <f aca="false">IFERROR(MATCH(244,伝票元!$O$6:$O$511,0),"")</f>
        <v/>
      </c>
    </row>
    <row r="251" customFormat="false" ht="15" hidden="false" customHeight="false" outlineLevel="0" collapsed="false">
      <c r="A251" s="10" t="str">
        <f aca="false">IF($M251="","",INDEX(伝票元!$P$6:$P$511,$M251))</f>
        <v/>
      </c>
      <c r="B251" s="45" t="str">
        <f aca="false">IF($M251="","",INDEX(伝票元!$D$6:$D$511,$M251))</f>
        <v/>
      </c>
      <c r="C251" s="10" t="str">
        <f aca="false">IF($M251="","",INDEX(伝票元!$E$6:$E$511,$M251))</f>
        <v/>
      </c>
      <c r="D251" s="45" t="str">
        <f aca="false">IF($M251="","",INDEX(伝票元!$A$6:$A$511,$M251))</f>
        <v/>
      </c>
      <c r="E251" s="10" t="str">
        <f aca="false">IF(IF($M251="",0,INDEX(伝票元!$N$6:$N$511,$M251))=1,INDEX(伝票元!$I$6:$I$511,$M251),"")</f>
        <v/>
      </c>
      <c r="F251" s="45" t="str">
        <f aca="false">IF(IF($M251="",0,INDEX(伝票元!$N$6:$N$511,$M251))=1,INDEX(伝票元!$J$6:$J$511,$M251),"")</f>
        <v/>
      </c>
      <c r="G251" s="42" t="str">
        <f aca="false">IF(IF($M251="",0,INDEX(伝票元!$N$6:$N$511,$M251))=1,INDEX(伝票元!$Q$6:$Q$511,$M251),"")</f>
        <v/>
      </c>
      <c r="H251" s="45" t="str">
        <f aca="false">IF($M251="","",INDEX(伝票元!$F$6:$F$511,$M251))</f>
        <v/>
      </c>
      <c r="I251" s="45" t="str">
        <f aca="false">IF($M251="","",INDEX(伝票元!$G$6:$G$511,$M251))</f>
        <v/>
      </c>
      <c r="J251" s="42" t="str">
        <f aca="false">IF($M251="","",INDEX(伝票元!$H$6:$H$511,$M251))</f>
        <v/>
      </c>
      <c r="K251" s="46" t="str">
        <f aca="false">IF(IF($M251="",0,INDEX(伝票元!$N$6:$N$511,$M251))=1,INDEX(伝票元!$R$6:$R$511,$M251),"")</f>
        <v/>
      </c>
      <c r="L251" s="47" t="str">
        <f aca="false">IF($M251="","",INDEX(伝票元!$S$6:$S$511,$M251))</f>
        <v/>
      </c>
      <c r="M251" s="47" t="str">
        <f aca="false">IFERROR(MATCH(245,伝票元!$O$6:$O$511,0),"")</f>
        <v/>
      </c>
    </row>
    <row r="252" customFormat="false" ht="15" hidden="false" customHeight="false" outlineLevel="0" collapsed="false">
      <c r="A252" s="10" t="str">
        <f aca="false">IF($M252="","",INDEX(伝票元!$P$6:$P$511,$M252))</f>
        <v/>
      </c>
      <c r="B252" s="45" t="str">
        <f aca="false">IF($M252="","",INDEX(伝票元!$D$6:$D$511,$M252))</f>
        <v/>
      </c>
      <c r="C252" s="10" t="str">
        <f aca="false">IF($M252="","",INDEX(伝票元!$E$6:$E$511,$M252))</f>
        <v/>
      </c>
      <c r="D252" s="45" t="str">
        <f aca="false">IF($M252="","",INDEX(伝票元!$A$6:$A$511,$M252))</f>
        <v/>
      </c>
      <c r="E252" s="10" t="str">
        <f aca="false">IF(IF($M252="",0,INDEX(伝票元!$N$6:$N$511,$M252))=1,INDEX(伝票元!$I$6:$I$511,$M252),"")</f>
        <v/>
      </c>
      <c r="F252" s="45" t="str">
        <f aca="false">IF(IF($M252="",0,INDEX(伝票元!$N$6:$N$511,$M252))=1,INDEX(伝票元!$J$6:$J$511,$M252),"")</f>
        <v/>
      </c>
      <c r="G252" s="42" t="str">
        <f aca="false">IF(IF($M252="",0,INDEX(伝票元!$N$6:$N$511,$M252))=1,INDEX(伝票元!$Q$6:$Q$511,$M252),"")</f>
        <v/>
      </c>
      <c r="H252" s="45" t="str">
        <f aca="false">IF($M252="","",INDEX(伝票元!$F$6:$F$511,$M252))</f>
        <v/>
      </c>
      <c r="I252" s="45" t="str">
        <f aca="false">IF($M252="","",INDEX(伝票元!$G$6:$G$511,$M252))</f>
        <v/>
      </c>
      <c r="J252" s="42" t="str">
        <f aca="false">IF($M252="","",INDEX(伝票元!$H$6:$H$511,$M252))</f>
        <v/>
      </c>
      <c r="K252" s="46" t="str">
        <f aca="false">IF(IF($M252="",0,INDEX(伝票元!$N$6:$N$511,$M252))=1,INDEX(伝票元!$R$6:$R$511,$M252),"")</f>
        <v/>
      </c>
      <c r="L252" s="47" t="str">
        <f aca="false">IF($M252="","",INDEX(伝票元!$S$6:$S$511,$M252))</f>
        <v/>
      </c>
      <c r="M252" s="47" t="str">
        <f aca="false">IFERROR(MATCH(246,伝票元!$O$6:$O$511,0),"")</f>
        <v/>
      </c>
    </row>
    <row r="253" customFormat="false" ht="15" hidden="false" customHeight="false" outlineLevel="0" collapsed="false">
      <c r="A253" s="10" t="str">
        <f aca="false">IF($M253="","",INDEX(伝票元!$P$6:$P$511,$M253))</f>
        <v/>
      </c>
      <c r="B253" s="45" t="str">
        <f aca="false">IF($M253="","",INDEX(伝票元!$D$6:$D$511,$M253))</f>
        <v/>
      </c>
      <c r="C253" s="10" t="str">
        <f aca="false">IF($M253="","",INDEX(伝票元!$E$6:$E$511,$M253))</f>
        <v/>
      </c>
      <c r="D253" s="45" t="str">
        <f aca="false">IF($M253="","",INDEX(伝票元!$A$6:$A$511,$M253))</f>
        <v/>
      </c>
      <c r="E253" s="10" t="str">
        <f aca="false">IF(IF($M253="",0,INDEX(伝票元!$N$6:$N$511,$M253))=1,INDEX(伝票元!$I$6:$I$511,$M253),"")</f>
        <v/>
      </c>
      <c r="F253" s="45" t="str">
        <f aca="false">IF(IF($M253="",0,INDEX(伝票元!$N$6:$N$511,$M253))=1,INDEX(伝票元!$J$6:$J$511,$M253),"")</f>
        <v/>
      </c>
      <c r="G253" s="42" t="str">
        <f aca="false">IF(IF($M253="",0,INDEX(伝票元!$N$6:$N$511,$M253))=1,INDEX(伝票元!$Q$6:$Q$511,$M253),"")</f>
        <v/>
      </c>
      <c r="H253" s="45" t="str">
        <f aca="false">IF($M253="","",INDEX(伝票元!$F$6:$F$511,$M253))</f>
        <v/>
      </c>
      <c r="I253" s="45" t="str">
        <f aca="false">IF($M253="","",INDEX(伝票元!$G$6:$G$511,$M253))</f>
        <v/>
      </c>
      <c r="J253" s="42" t="str">
        <f aca="false">IF($M253="","",INDEX(伝票元!$H$6:$H$511,$M253))</f>
        <v/>
      </c>
      <c r="K253" s="46" t="str">
        <f aca="false">IF(IF($M253="",0,INDEX(伝票元!$N$6:$N$511,$M253))=1,INDEX(伝票元!$R$6:$R$511,$M253),"")</f>
        <v/>
      </c>
      <c r="L253" s="47" t="str">
        <f aca="false">IF($M253="","",INDEX(伝票元!$S$6:$S$511,$M253))</f>
        <v/>
      </c>
      <c r="M253" s="47" t="str">
        <f aca="false">IFERROR(MATCH(247,伝票元!$O$6:$O$511,0),"")</f>
        <v/>
      </c>
    </row>
    <row r="254" customFormat="false" ht="15" hidden="false" customHeight="false" outlineLevel="0" collapsed="false">
      <c r="A254" s="10" t="str">
        <f aca="false">IF($M254="","",INDEX(伝票元!$P$6:$P$511,$M254))</f>
        <v/>
      </c>
      <c r="B254" s="45" t="str">
        <f aca="false">IF($M254="","",INDEX(伝票元!$D$6:$D$511,$M254))</f>
        <v/>
      </c>
      <c r="C254" s="10" t="str">
        <f aca="false">IF($M254="","",INDEX(伝票元!$E$6:$E$511,$M254))</f>
        <v/>
      </c>
      <c r="D254" s="45" t="str">
        <f aca="false">IF($M254="","",INDEX(伝票元!$A$6:$A$511,$M254))</f>
        <v/>
      </c>
      <c r="E254" s="10" t="str">
        <f aca="false">IF(IF($M254="",0,INDEX(伝票元!$N$6:$N$511,$M254))=1,INDEX(伝票元!$I$6:$I$511,$M254),"")</f>
        <v/>
      </c>
      <c r="F254" s="45" t="str">
        <f aca="false">IF(IF($M254="",0,INDEX(伝票元!$N$6:$N$511,$M254))=1,INDEX(伝票元!$J$6:$J$511,$M254),"")</f>
        <v/>
      </c>
      <c r="G254" s="42" t="str">
        <f aca="false">IF(IF($M254="",0,INDEX(伝票元!$N$6:$N$511,$M254))=1,INDEX(伝票元!$Q$6:$Q$511,$M254),"")</f>
        <v/>
      </c>
      <c r="H254" s="45" t="str">
        <f aca="false">IF($M254="","",INDEX(伝票元!$F$6:$F$511,$M254))</f>
        <v/>
      </c>
      <c r="I254" s="45" t="str">
        <f aca="false">IF($M254="","",INDEX(伝票元!$G$6:$G$511,$M254))</f>
        <v/>
      </c>
      <c r="J254" s="42" t="str">
        <f aca="false">IF($M254="","",INDEX(伝票元!$H$6:$H$511,$M254))</f>
        <v/>
      </c>
      <c r="K254" s="46" t="str">
        <f aca="false">IF(IF($M254="",0,INDEX(伝票元!$N$6:$N$511,$M254))=1,INDEX(伝票元!$R$6:$R$511,$M254),"")</f>
        <v/>
      </c>
      <c r="L254" s="47" t="str">
        <f aca="false">IF($M254="","",INDEX(伝票元!$S$6:$S$511,$M254))</f>
        <v/>
      </c>
      <c r="M254" s="47" t="str">
        <f aca="false">IFERROR(MATCH(248,伝票元!$O$6:$O$511,0),"")</f>
        <v/>
      </c>
    </row>
    <row r="255" customFormat="false" ht="15" hidden="false" customHeight="false" outlineLevel="0" collapsed="false">
      <c r="A255" s="10" t="str">
        <f aca="false">IF($M255="","",INDEX(伝票元!$P$6:$P$511,$M255))</f>
        <v/>
      </c>
      <c r="B255" s="45" t="str">
        <f aca="false">IF($M255="","",INDEX(伝票元!$D$6:$D$511,$M255))</f>
        <v/>
      </c>
      <c r="C255" s="10" t="str">
        <f aca="false">IF($M255="","",INDEX(伝票元!$E$6:$E$511,$M255))</f>
        <v/>
      </c>
      <c r="D255" s="45" t="str">
        <f aca="false">IF($M255="","",INDEX(伝票元!$A$6:$A$511,$M255))</f>
        <v/>
      </c>
      <c r="E255" s="10" t="str">
        <f aca="false">IF(IF($M255="",0,INDEX(伝票元!$N$6:$N$511,$M255))=1,INDEX(伝票元!$I$6:$I$511,$M255),"")</f>
        <v/>
      </c>
      <c r="F255" s="45" t="str">
        <f aca="false">IF(IF($M255="",0,INDEX(伝票元!$N$6:$N$511,$M255))=1,INDEX(伝票元!$J$6:$J$511,$M255),"")</f>
        <v/>
      </c>
      <c r="G255" s="42" t="str">
        <f aca="false">IF(IF($M255="",0,INDEX(伝票元!$N$6:$N$511,$M255))=1,INDEX(伝票元!$Q$6:$Q$511,$M255),"")</f>
        <v/>
      </c>
      <c r="H255" s="45" t="str">
        <f aca="false">IF($M255="","",INDEX(伝票元!$F$6:$F$511,$M255))</f>
        <v/>
      </c>
      <c r="I255" s="45" t="str">
        <f aca="false">IF($M255="","",INDEX(伝票元!$G$6:$G$511,$M255))</f>
        <v/>
      </c>
      <c r="J255" s="42" t="str">
        <f aca="false">IF($M255="","",INDEX(伝票元!$H$6:$H$511,$M255))</f>
        <v/>
      </c>
      <c r="K255" s="46" t="str">
        <f aca="false">IF(IF($M255="",0,INDEX(伝票元!$N$6:$N$511,$M255))=1,INDEX(伝票元!$R$6:$R$511,$M255),"")</f>
        <v/>
      </c>
      <c r="L255" s="47" t="str">
        <f aca="false">IF($M255="","",INDEX(伝票元!$S$6:$S$511,$M255))</f>
        <v/>
      </c>
      <c r="M255" s="47" t="str">
        <f aca="false">IFERROR(MATCH(249,伝票元!$O$6:$O$511,0),"")</f>
        <v/>
      </c>
    </row>
    <row r="256" customFormat="false" ht="15" hidden="false" customHeight="false" outlineLevel="0" collapsed="false">
      <c r="A256" s="10" t="str">
        <f aca="false">IF($M256="","",INDEX(伝票元!$P$6:$P$511,$M256))</f>
        <v/>
      </c>
      <c r="B256" s="45" t="str">
        <f aca="false">IF($M256="","",INDEX(伝票元!$D$6:$D$511,$M256))</f>
        <v/>
      </c>
      <c r="C256" s="10" t="str">
        <f aca="false">IF($M256="","",INDEX(伝票元!$E$6:$E$511,$M256))</f>
        <v/>
      </c>
      <c r="D256" s="45" t="str">
        <f aca="false">IF($M256="","",INDEX(伝票元!$A$6:$A$511,$M256))</f>
        <v/>
      </c>
      <c r="E256" s="10" t="str">
        <f aca="false">IF(IF($M256="",0,INDEX(伝票元!$N$6:$N$511,$M256))=1,INDEX(伝票元!$I$6:$I$511,$M256),"")</f>
        <v/>
      </c>
      <c r="F256" s="45" t="str">
        <f aca="false">IF(IF($M256="",0,INDEX(伝票元!$N$6:$N$511,$M256))=1,INDEX(伝票元!$J$6:$J$511,$M256),"")</f>
        <v/>
      </c>
      <c r="G256" s="42" t="str">
        <f aca="false">IF(IF($M256="",0,INDEX(伝票元!$N$6:$N$511,$M256))=1,INDEX(伝票元!$Q$6:$Q$511,$M256),"")</f>
        <v/>
      </c>
      <c r="H256" s="45" t="str">
        <f aca="false">IF($M256="","",INDEX(伝票元!$F$6:$F$511,$M256))</f>
        <v/>
      </c>
      <c r="I256" s="45" t="str">
        <f aca="false">IF($M256="","",INDEX(伝票元!$G$6:$G$511,$M256))</f>
        <v/>
      </c>
      <c r="J256" s="42" t="str">
        <f aca="false">IF($M256="","",INDEX(伝票元!$H$6:$H$511,$M256))</f>
        <v/>
      </c>
      <c r="K256" s="46" t="str">
        <f aca="false">IF(IF($M256="",0,INDEX(伝票元!$N$6:$N$511,$M256))=1,INDEX(伝票元!$R$6:$R$511,$M256),"")</f>
        <v/>
      </c>
      <c r="L256" s="47" t="str">
        <f aca="false">IF($M256="","",INDEX(伝票元!$S$6:$S$511,$M256))</f>
        <v/>
      </c>
      <c r="M256" s="47" t="str">
        <f aca="false">IFERROR(MATCH(250,伝票元!$O$6:$O$511,0),"")</f>
        <v/>
      </c>
    </row>
    <row r="257" customFormat="false" ht="15" hidden="false" customHeight="false" outlineLevel="0" collapsed="false">
      <c r="A257" s="10" t="str">
        <f aca="false">IF($M257="","",INDEX(伝票元!$P$6:$P$511,$M257))</f>
        <v/>
      </c>
      <c r="B257" s="45" t="str">
        <f aca="false">IF($M257="","",INDEX(伝票元!$D$6:$D$511,$M257))</f>
        <v/>
      </c>
      <c r="C257" s="10" t="str">
        <f aca="false">IF($M257="","",INDEX(伝票元!$E$6:$E$511,$M257))</f>
        <v/>
      </c>
      <c r="D257" s="45" t="str">
        <f aca="false">IF($M257="","",INDEX(伝票元!$A$6:$A$511,$M257))</f>
        <v/>
      </c>
      <c r="E257" s="10" t="str">
        <f aca="false">IF(IF($M257="",0,INDEX(伝票元!$N$6:$N$511,$M257))=1,INDEX(伝票元!$I$6:$I$511,$M257),"")</f>
        <v/>
      </c>
      <c r="F257" s="45" t="str">
        <f aca="false">IF(IF($M257="",0,INDEX(伝票元!$N$6:$N$511,$M257))=1,INDEX(伝票元!$J$6:$J$511,$M257),"")</f>
        <v/>
      </c>
      <c r="G257" s="42" t="str">
        <f aca="false">IF(IF($M257="",0,INDEX(伝票元!$N$6:$N$511,$M257))=1,INDEX(伝票元!$Q$6:$Q$511,$M257),"")</f>
        <v/>
      </c>
      <c r="H257" s="45" t="str">
        <f aca="false">IF($M257="","",INDEX(伝票元!$F$6:$F$511,$M257))</f>
        <v/>
      </c>
      <c r="I257" s="45" t="str">
        <f aca="false">IF($M257="","",INDEX(伝票元!$G$6:$G$511,$M257))</f>
        <v/>
      </c>
      <c r="J257" s="42" t="str">
        <f aca="false">IF($M257="","",INDEX(伝票元!$H$6:$H$511,$M257))</f>
        <v/>
      </c>
      <c r="K257" s="46" t="str">
        <f aca="false">IF(IF($M257="",0,INDEX(伝票元!$N$6:$N$511,$M257))=1,INDEX(伝票元!$R$6:$R$511,$M257),"")</f>
        <v/>
      </c>
      <c r="L257" s="47" t="str">
        <f aca="false">IF($M257="","",INDEX(伝票元!$S$6:$S$511,$M257))</f>
        <v/>
      </c>
      <c r="M257" s="47" t="str">
        <f aca="false">IFERROR(MATCH(251,伝票元!$O$6:$O$511,0),"")</f>
        <v/>
      </c>
    </row>
    <row r="258" customFormat="false" ht="15" hidden="false" customHeight="false" outlineLevel="0" collapsed="false">
      <c r="A258" s="10" t="str">
        <f aca="false">IF($M258="","",INDEX(伝票元!$P$6:$P$511,$M258))</f>
        <v/>
      </c>
      <c r="B258" s="45" t="str">
        <f aca="false">IF($M258="","",INDEX(伝票元!$D$6:$D$511,$M258))</f>
        <v/>
      </c>
      <c r="C258" s="10" t="str">
        <f aca="false">IF($M258="","",INDEX(伝票元!$E$6:$E$511,$M258))</f>
        <v/>
      </c>
      <c r="D258" s="45" t="str">
        <f aca="false">IF($M258="","",INDEX(伝票元!$A$6:$A$511,$M258))</f>
        <v/>
      </c>
      <c r="E258" s="10" t="str">
        <f aca="false">IF(IF($M258="",0,INDEX(伝票元!$N$6:$N$511,$M258))=1,INDEX(伝票元!$I$6:$I$511,$M258),"")</f>
        <v/>
      </c>
      <c r="F258" s="45" t="str">
        <f aca="false">IF(IF($M258="",0,INDEX(伝票元!$N$6:$N$511,$M258))=1,INDEX(伝票元!$J$6:$J$511,$M258),"")</f>
        <v/>
      </c>
      <c r="G258" s="42" t="str">
        <f aca="false">IF(IF($M258="",0,INDEX(伝票元!$N$6:$N$511,$M258))=1,INDEX(伝票元!$Q$6:$Q$511,$M258),"")</f>
        <v/>
      </c>
      <c r="H258" s="45" t="str">
        <f aca="false">IF($M258="","",INDEX(伝票元!$F$6:$F$511,$M258))</f>
        <v/>
      </c>
      <c r="I258" s="45" t="str">
        <f aca="false">IF($M258="","",INDEX(伝票元!$G$6:$G$511,$M258))</f>
        <v/>
      </c>
      <c r="J258" s="42" t="str">
        <f aca="false">IF($M258="","",INDEX(伝票元!$H$6:$H$511,$M258))</f>
        <v/>
      </c>
      <c r="K258" s="46" t="str">
        <f aca="false">IF(IF($M258="",0,INDEX(伝票元!$N$6:$N$511,$M258))=1,INDEX(伝票元!$R$6:$R$511,$M258),"")</f>
        <v/>
      </c>
      <c r="L258" s="47" t="str">
        <f aca="false">IF($M258="","",INDEX(伝票元!$S$6:$S$511,$M258))</f>
        <v/>
      </c>
      <c r="M258" s="47" t="str">
        <f aca="false">IFERROR(MATCH(252,伝票元!$O$6:$O$511,0),"")</f>
        <v/>
      </c>
    </row>
    <row r="259" customFormat="false" ht="15" hidden="false" customHeight="false" outlineLevel="0" collapsed="false">
      <c r="A259" s="10" t="str">
        <f aca="false">IF($M259="","",INDEX(伝票元!$P$6:$P$511,$M259))</f>
        <v/>
      </c>
      <c r="B259" s="45" t="str">
        <f aca="false">IF($M259="","",INDEX(伝票元!$D$6:$D$511,$M259))</f>
        <v/>
      </c>
      <c r="C259" s="10" t="str">
        <f aca="false">IF($M259="","",INDEX(伝票元!$E$6:$E$511,$M259))</f>
        <v/>
      </c>
      <c r="D259" s="45" t="str">
        <f aca="false">IF($M259="","",INDEX(伝票元!$A$6:$A$511,$M259))</f>
        <v/>
      </c>
      <c r="E259" s="10" t="str">
        <f aca="false">IF(IF($M259="",0,INDEX(伝票元!$N$6:$N$511,$M259))=1,INDEX(伝票元!$I$6:$I$511,$M259),"")</f>
        <v/>
      </c>
      <c r="F259" s="45" t="str">
        <f aca="false">IF(IF($M259="",0,INDEX(伝票元!$N$6:$N$511,$M259))=1,INDEX(伝票元!$J$6:$J$511,$M259),"")</f>
        <v/>
      </c>
      <c r="G259" s="42" t="str">
        <f aca="false">IF(IF($M259="",0,INDEX(伝票元!$N$6:$N$511,$M259))=1,INDEX(伝票元!$Q$6:$Q$511,$M259),"")</f>
        <v/>
      </c>
      <c r="H259" s="45" t="str">
        <f aca="false">IF($M259="","",INDEX(伝票元!$F$6:$F$511,$M259))</f>
        <v/>
      </c>
      <c r="I259" s="45" t="str">
        <f aca="false">IF($M259="","",INDEX(伝票元!$G$6:$G$511,$M259))</f>
        <v/>
      </c>
      <c r="J259" s="42" t="str">
        <f aca="false">IF($M259="","",INDEX(伝票元!$H$6:$H$511,$M259))</f>
        <v/>
      </c>
      <c r="K259" s="46" t="str">
        <f aca="false">IF(IF($M259="",0,INDEX(伝票元!$N$6:$N$511,$M259))=1,INDEX(伝票元!$R$6:$R$511,$M259),"")</f>
        <v/>
      </c>
      <c r="L259" s="47" t="str">
        <f aca="false">IF($M259="","",INDEX(伝票元!$S$6:$S$511,$M259))</f>
        <v/>
      </c>
      <c r="M259" s="47" t="str">
        <f aca="false">IFERROR(MATCH(253,伝票元!$O$6:$O$511,0),"")</f>
        <v/>
      </c>
    </row>
    <row r="260" customFormat="false" ht="15" hidden="false" customHeight="false" outlineLevel="0" collapsed="false">
      <c r="A260" s="10" t="str">
        <f aca="false">IF($M260="","",INDEX(伝票元!$P$6:$P$511,$M260))</f>
        <v/>
      </c>
      <c r="B260" s="45" t="str">
        <f aca="false">IF($M260="","",INDEX(伝票元!$D$6:$D$511,$M260))</f>
        <v/>
      </c>
      <c r="C260" s="10" t="str">
        <f aca="false">IF($M260="","",INDEX(伝票元!$E$6:$E$511,$M260))</f>
        <v/>
      </c>
      <c r="D260" s="45" t="str">
        <f aca="false">IF($M260="","",INDEX(伝票元!$A$6:$A$511,$M260))</f>
        <v/>
      </c>
      <c r="E260" s="10" t="str">
        <f aca="false">IF(IF($M260="",0,INDEX(伝票元!$N$6:$N$511,$M260))=1,INDEX(伝票元!$I$6:$I$511,$M260),"")</f>
        <v/>
      </c>
      <c r="F260" s="45" t="str">
        <f aca="false">IF(IF($M260="",0,INDEX(伝票元!$N$6:$N$511,$M260))=1,INDEX(伝票元!$J$6:$J$511,$M260),"")</f>
        <v/>
      </c>
      <c r="G260" s="42" t="str">
        <f aca="false">IF(IF($M260="",0,INDEX(伝票元!$N$6:$N$511,$M260))=1,INDEX(伝票元!$Q$6:$Q$511,$M260),"")</f>
        <v/>
      </c>
      <c r="H260" s="45" t="str">
        <f aca="false">IF($M260="","",INDEX(伝票元!$F$6:$F$511,$M260))</f>
        <v/>
      </c>
      <c r="I260" s="45" t="str">
        <f aca="false">IF($M260="","",INDEX(伝票元!$G$6:$G$511,$M260))</f>
        <v/>
      </c>
      <c r="J260" s="42" t="str">
        <f aca="false">IF($M260="","",INDEX(伝票元!$H$6:$H$511,$M260))</f>
        <v/>
      </c>
      <c r="K260" s="46" t="str">
        <f aca="false">IF(IF($M260="",0,INDEX(伝票元!$N$6:$N$511,$M260))=1,INDEX(伝票元!$R$6:$R$511,$M260),"")</f>
        <v/>
      </c>
      <c r="L260" s="47" t="str">
        <f aca="false">IF($M260="","",INDEX(伝票元!$S$6:$S$511,$M260))</f>
        <v/>
      </c>
      <c r="M260" s="47" t="str">
        <f aca="false">IFERROR(MATCH(254,伝票元!$O$6:$O$511,0),"")</f>
        <v/>
      </c>
    </row>
    <row r="261" customFormat="false" ht="15" hidden="false" customHeight="false" outlineLevel="0" collapsed="false">
      <c r="A261" s="10" t="str">
        <f aca="false">IF($M261="","",INDEX(伝票元!$P$6:$P$511,$M261))</f>
        <v/>
      </c>
      <c r="B261" s="45" t="str">
        <f aca="false">IF($M261="","",INDEX(伝票元!$D$6:$D$511,$M261))</f>
        <v/>
      </c>
      <c r="C261" s="10" t="str">
        <f aca="false">IF($M261="","",INDEX(伝票元!$E$6:$E$511,$M261))</f>
        <v/>
      </c>
      <c r="D261" s="45" t="str">
        <f aca="false">IF($M261="","",INDEX(伝票元!$A$6:$A$511,$M261))</f>
        <v/>
      </c>
      <c r="E261" s="10" t="str">
        <f aca="false">IF(IF($M261="",0,INDEX(伝票元!$N$6:$N$511,$M261))=1,INDEX(伝票元!$I$6:$I$511,$M261),"")</f>
        <v/>
      </c>
      <c r="F261" s="45" t="str">
        <f aca="false">IF(IF($M261="",0,INDEX(伝票元!$N$6:$N$511,$M261))=1,INDEX(伝票元!$J$6:$J$511,$M261),"")</f>
        <v/>
      </c>
      <c r="G261" s="42" t="str">
        <f aca="false">IF(IF($M261="",0,INDEX(伝票元!$N$6:$N$511,$M261))=1,INDEX(伝票元!$Q$6:$Q$511,$M261),"")</f>
        <v/>
      </c>
      <c r="H261" s="45" t="str">
        <f aca="false">IF($M261="","",INDEX(伝票元!$F$6:$F$511,$M261))</f>
        <v/>
      </c>
      <c r="I261" s="45" t="str">
        <f aca="false">IF($M261="","",INDEX(伝票元!$G$6:$G$511,$M261))</f>
        <v/>
      </c>
      <c r="J261" s="42" t="str">
        <f aca="false">IF($M261="","",INDEX(伝票元!$H$6:$H$511,$M261))</f>
        <v/>
      </c>
      <c r="K261" s="46" t="str">
        <f aca="false">IF(IF($M261="",0,INDEX(伝票元!$N$6:$N$511,$M261))=1,INDEX(伝票元!$R$6:$R$511,$M261),"")</f>
        <v/>
      </c>
      <c r="L261" s="47" t="str">
        <f aca="false">IF($M261="","",INDEX(伝票元!$S$6:$S$511,$M261))</f>
        <v/>
      </c>
      <c r="M261" s="47" t="str">
        <f aca="false">IFERROR(MATCH(255,伝票元!$O$6:$O$511,0),"")</f>
        <v/>
      </c>
    </row>
    <row r="262" customFormat="false" ht="15" hidden="false" customHeight="false" outlineLevel="0" collapsed="false">
      <c r="A262" s="10" t="str">
        <f aca="false">IF($M262="","",INDEX(伝票元!$P$6:$P$511,$M262))</f>
        <v/>
      </c>
      <c r="B262" s="45" t="str">
        <f aca="false">IF($M262="","",INDEX(伝票元!$D$6:$D$511,$M262))</f>
        <v/>
      </c>
      <c r="C262" s="10" t="str">
        <f aca="false">IF($M262="","",INDEX(伝票元!$E$6:$E$511,$M262))</f>
        <v/>
      </c>
      <c r="D262" s="45" t="str">
        <f aca="false">IF($M262="","",INDEX(伝票元!$A$6:$A$511,$M262))</f>
        <v/>
      </c>
      <c r="E262" s="10" t="str">
        <f aca="false">IF(IF($M262="",0,INDEX(伝票元!$N$6:$N$511,$M262))=1,INDEX(伝票元!$I$6:$I$511,$M262),"")</f>
        <v/>
      </c>
      <c r="F262" s="45" t="str">
        <f aca="false">IF(IF($M262="",0,INDEX(伝票元!$N$6:$N$511,$M262))=1,INDEX(伝票元!$J$6:$J$511,$M262),"")</f>
        <v/>
      </c>
      <c r="G262" s="42" t="str">
        <f aca="false">IF(IF($M262="",0,INDEX(伝票元!$N$6:$N$511,$M262))=1,INDEX(伝票元!$Q$6:$Q$511,$M262),"")</f>
        <v/>
      </c>
      <c r="H262" s="45" t="str">
        <f aca="false">IF($M262="","",INDEX(伝票元!$F$6:$F$511,$M262))</f>
        <v/>
      </c>
      <c r="I262" s="45" t="str">
        <f aca="false">IF($M262="","",INDEX(伝票元!$G$6:$G$511,$M262))</f>
        <v/>
      </c>
      <c r="J262" s="42" t="str">
        <f aca="false">IF($M262="","",INDEX(伝票元!$H$6:$H$511,$M262))</f>
        <v/>
      </c>
      <c r="K262" s="46" t="str">
        <f aca="false">IF(IF($M262="",0,INDEX(伝票元!$N$6:$N$511,$M262))=1,INDEX(伝票元!$R$6:$R$511,$M262),"")</f>
        <v/>
      </c>
      <c r="L262" s="47" t="str">
        <f aca="false">IF($M262="","",INDEX(伝票元!$S$6:$S$511,$M262))</f>
        <v/>
      </c>
      <c r="M262" s="47" t="str">
        <f aca="false">IFERROR(MATCH(256,伝票元!$O$6:$O$511,0),"")</f>
        <v/>
      </c>
    </row>
    <row r="263" customFormat="false" ht="15" hidden="false" customHeight="false" outlineLevel="0" collapsed="false">
      <c r="A263" s="10" t="str">
        <f aca="false">IF($M263="","",INDEX(伝票元!$P$6:$P$511,$M263))</f>
        <v/>
      </c>
      <c r="B263" s="45" t="str">
        <f aca="false">IF($M263="","",INDEX(伝票元!$D$6:$D$511,$M263))</f>
        <v/>
      </c>
      <c r="C263" s="10" t="str">
        <f aca="false">IF($M263="","",INDEX(伝票元!$E$6:$E$511,$M263))</f>
        <v/>
      </c>
      <c r="D263" s="45" t="str">
        <f aca="false">IF($M263="","",INDEX(伝票元!$A$6:$A$511,$M263))</f>
        <v/>
      </c>
      <c r="E263" s="10" t="str">
        <f aca="false">IF(IF($M263="",0,INDEX(伝票元!$N$6:$N$511,$M263))=1,INDEX(伝票元!$I$6:$I$511,$M263),"")</f>
        <v/>
      </c>
      <c r="F263" s="45" t="str">
        <f aca="false">IF(IF($M263="",0,INDEX(伝票元!$N$6:$N$511,$M263))=1,INDEX(伝票元!$J$6:$J$511,$M263),"")</f>
        <v/>
      </c>
      <c r="G263" s="42" t="str">
        <f aca="false">IF(IF($M263="",0,INDEX(伝票元!$N$6:$N$511,$M263))=1,INDEX(伝票元!$Q$6:$Q$511,$M263),"")</f>
        <v/>
      </c>
      <c r="H263" s="45" t="str">
        <f aca="false">IF($M263="","",INDEX(伝票元!$F$6:$F$511,$M263))</f>
        <v/>
      </c>
      <c r="I263" s="45" t="str">
        <f aca="false">IF($M263="","",INDEX(伝票元!$G$6:$G$511,$M263))</f>
        <v/>
      </c>
      <c r="J263" s="42" t="str">
        <f aca="false">IF($M263="","",INDEX(伝票元!$H$6:$H$511,$M263))</f>
        <v/>
      </c>
      <c r="K263" s="46" t="str">
        <f aca="false">IF(IF($M263="",0,INDEX(伝票元!$N$6:$N$511,$M263))=1,INDEX(伝票元!$R$6:$R$511,$M263),"")</f>
        <v/>
      </c>
      <c r="L263" s="47" t="str">
        <f aca="false">IF($M263="","",INDEX(伝票元!$S$6:$S$511,$M263))</f>
        <v/>
      </c>
      <c r="M263" s="47" t="str">
        <f aca="false">IFERROR(MATCH(257,伝票元!$O$6:$O$511,0),"")</f>
        <v/>
      </c>
    </row>
    <row r="264" customFormat="false" ht="15" hidden="false" customHeight="false" outlineLevel="0" collapsed="false">
      <c r="A264" s="10" t="str">
        <f aca="false">IF($M264="","",INDEX(伝票元!$P$6:$P$511,$M264))</f>
        <v/>
      </c>
      <c r="B264" s="45" t="str">
        <f aca="false">IF($M264="","",INDEX(伝票元!$D$6:$D$511,$M264))</f>
        <v/>
      </c>
      <c r="C264" s="10" t="str">
        <f aca="false">IF($M264="","",INDEX(伝票元!$E$6:$E$511,$M264))</f>
        <v/>
      </c>
      <c r="D264" s="45" t="str">
        <f aca="false">IF($M264="","",INDEX(伝票元!$A$6:$A$511,$M264))</f>
        <v/>
      </c>
      <c r="E264" s="10" t="str">
        <f aca="false">IF(IF($M264="",0,INDEX(伝票元!$N$6:$N$511,$M264))=1,INDEX(伝票元!$I$6:$I$511,$M264),"")</f>
        <v/>
      </c>
      <c r="F264" s="45" t="str">
        <f aca="false">IF(IF($M264="",0,INDEX(伝票元!$N$6:$N$511,$M264))=1,INDEX(伝票元!$J$6:$J$511,$M264),"")</f>
        <v/>
      </c>
      <c r="G264" s="42" t="str">
        <f aca="false">IF(IF($M264="",0,INDEX(伝票元!$N$6:$N$511,$M264))=1,INDEX(伝票元!$Q$6:$Q$511,$M264),"")</f>
        <v/>
      </c>
      <c r="H264" s="45" t="str">
        <f aca="false">IF($M264="","",INDEX(伝票元!$F$6:$F$511,$M264))</f>
        <v/>
      </c>
      <c r="I264" s="45" t="str">
        <f aca="false">IF($M264="","",INDEX(伝票元!$G$6:$G$511,$M264))</f>
        <v/>
      </c>
      <c r="J264" s="42" t="str">
        <f aca="false">IF($M264="","",INDEX(伝票元!$H$6:$H$511,$M264))</f>
        <v/>
      </c>
      <c r="K264" s="46" t="str">
        <f aca="false">IF(IF($M264="",0,INDEX(伝票元!$N$6:$N$511,$M264))=1,INDEX(伝票元!$R$6:$R$511,$M264),"")</f>
        <v/>
      </c>
      <c r="L264" s="47" t="str">
        <f aca="false">IF($M264="","",INDEX(伝票元!$S$6:$S$511,$M264))</f>
        <v/>
      </c>
      <c r="M264" s="47" t="str">
        <f aca="false">IFERROR(MATCH(258,伝票元!$O$6:$O$511,0),"")</f>
        <v/>
      </c>
    </row>
    <row r="265" customFormat="false" ht="15" hidden="false" customHeight="false" outlineLevel="0" collapsed="false">
      <c r="A265" s="10" t="str">
        <f aca="false">IF($M265="","",INDEX(伝票元!$P$6:$P$511,$M265))</f>
        <v/>
      </c>
      <c r="B265" s="45" t="str">
        <f aca="false">IF($M265="","",INDEX(伝票元!$D$6:$D$511,$M265))</f>
        <v/>
      </c>
      <c r="C265" s="10" t="str">
        <f aca="false">IF($M265="","",INDEX(伝票元!$E$6:$E$511,$M265))</f>
        <v/>
      </c>
      <c r="D265" s="45" t="str">
        <f aca="false">IF($M265="","",INDEX(伝票元!$A$6:$A$511,$M265))</f>
        <v/>
      </c>
      <c r="E265" s="10" t="str">
        <f aca="false">IF(IF($M265="",0,INDEX(伝票元!$N$6:$N$511,$M265))=1,INDEX(伝票元!$I$6:$I$511,$M265),"")</f>
        <v/>
      </c>
      <c r="F265" s="45" t="str">
        <f aca="false">IF(IF($M265="",0,INDEX(伝票元!$N$6:$N$511,$M265))=1,INDEX(伝票元!$J$6:$J$511,$M265),"")</f>
        <v/>
      </c>
      <c r="G265" s="42" t="str">
        <f aca="false">IF(IF($M265="",0,INDEX(伝票元!$N$6:$N$511,$M265))=1,INDEX(伝票元!$Q$6:$Q$511,$M265),"")</f>
        <v/>
      </c>
      <c r="H265" s="45" t="str">
        <f aca="false">IF($M265="","",INDEX(伝票元!$F$6:$F$511,$M265))</f>
        <v/>
      </c>
      <c r="I265" s="45" t="str">
        <f aca="false">IF($M265="","",INDEX(伝票元!$G$6:$G$511,$M265))</f>
        <v/>
      </c>
      <c r="J265" s="42" t="str">
        <f aca="false">IF($M265="","",INDEX(伝票元!$H$6:$H$511,$M265))</f>
        <v/>
      </c>
      <c r="K265" s="46" t="str">
        <f aca="false">IF(IF($M265="",0,INDEX(伝票元!$N$6:$N$511,$M265))=1,INDEX(伝票元!$R$6:$R$511,$M265),"")</f>
        <v/>
      </c>
      <c r="L265" s="47" t="str">
        <f aca="false">IF($M265="","",INDEX(伝票元!$S$6:$S$511,$M265))</f>
        <v/>
      </c>
      <c r="M265" s="47" t="str">
        <f aca="false">IFERROR(MATCH(259,伝票元!$O$6:$O$511,0),"")</f>
        <v/>
      </c>
    </row>
    <row r="266" customFormat="false" ht="15" hidden="false" customHeight="false" outlineLevel="0" collapsed="false">
      <c r="A266" s="10" t="str">
        <f aca="false">IF($M266="","",INDEX(伝票元!$P$6:$P$511,$M266))</f>
        <v/>
      </c>
      <c r="B266" s="45" t="str">
        <f aca="false">IF($M266="","",INDEX(伝票元!$D$6:$D$511,$M266))</f>
        <v/>
      </c>
      <c r="C266" s="10" t="str">
        <f aca="false">IF($M266="","",INDEX(伝票元!$E$6:$E$511,$M266))</f>
        <v/>
      </c>
      <c r="D266" s="45" t="str">
        <f aca="false">IF($M266="","",INDEX(伝票元!$A$6:$A$511,$M266))</f>
        <v/>
      </c>
      <c r="E266" s="10" t="str">
        <f aca="false">IF(IF($M266="",0,INDEX(伝票元!$N$6:$N$511,$M266))=1,INDEX(伝票元!$I$6:$I$511,$M266),"")</f>
        <v/>
      </c>
      <c r="F266" s="45" t="str">
        <f aca="false">IF(IF($M266="",0,INDEX(伝票元!$N$6:$N$511,$M266))=1,INDEX(伝票元!$J$6:$J$511,$M266),"")</f>
        <v/>
      </c>
      <c r="G266" s="42" t="str">
        <f aca="false">IF(IF($M266="",0,INDEX(伝票元!$N$6:$N$511,$M266))=1,INDEX(伝票元!$Q$6:$Q$511,$M266),"")</f>
        <v/>
      </c>
      <c r="H266" s="45" t="str">
        <f aca="false">IF($M266="","",INDEX(伝票元!$F$6:$F$511,$M266))</f>
        <v/>
      </c>
      <c r="I266" s="45" t="str">
        <f aca="false">IF($M266="","",INDEX(伝票元!$G$6:$G$511,$M266))</f>
        <v/>
      </c>
      <c r="J266" s="42" t="str">
        <f aca="false">IF($M266="","",INDEX(伝票元!$H$6:$H$511,$M266))</f>
        <v/>
      </c>
      <c r="K266" s="46" t="str">
        <f aca="false">IF(IF($M266="",0,INDEX(伝票元!$N$6:$N$511,$M266))=1,INDEX(伝票元!$R$6:$R$511,$M266),"")</f>
        <v/>
      </c>
      <c r="L266" s="47" t="str">
        <f aca="false">IF($M266="","",INDEX(伝票元!$S$6:$S$511,$M266))</f>
        <v/>
      </c>
      <c r="M266" s="47" t="str">
        <f aca="false">IFERROR(MATCH(260,伝票元!$O$6:$O$511,0),"")</f>
        <v/>
      </c>
    </row>
    <row r="267" customFormat="false" ht="15" hidden="false" customHeight="false" outlineLevel="0" collapsed="false">
      <c r="A267" s="10" t="str">
        <f aca="false">IF($M267="","",INDEX(伝票元!$P$6:$P$511,$M267))</f>
        <v/>
      </c>
      <c r="B267" s="45" t="str">
        <f aca="false">IF($M267="","",INDEX(伝票元!$D$6:$D$511,$M267))</f>
        <v/>
      </c>
      <c r="C267" s="10" t="str">
        <f aca="false">IF($M267="","",INDEX(伝票元!$E$6:$E$511,$M267))</f>
        <v/>
      </c>
      <c r="D267" s="45" t="str">
        <f aca="false">IF($M267="","",INDEX(伝票元!$A$6:$A$511,$M267))</f>
        <v/>
      </c>
      <c r="E267" s="10" t="str">
        <f aca="false">IF(IF($M267="",0,INDEX(伝票元!$N$6:$N$511,$M267))=1,INDEX(伝票元!$I$6:$I$511,$M267),"")</f>
        <v/>
      </c>
      <c r="F267" s="45" t="str">
        <f aca="false">IF(IF($M267="",0,INDEX(伝票元!$N$6:$N$511,$M267))=1,INDEX(伝票元!$J$6:$J$511,$M267),"")</f>
        <v/>
      </c>
      <c r="G267" s="42" t="str">
        <f aca="false">IF(IF($M267="",0,INDEX(伝票元!$N$6:$N$511,$M267))=1,INDEX(伝票元!$Q$6:$Q$511,$M267),"")</f>
        <v/>
      </c>
      <c r="H267" s="45" t="str">
        <f aca="false">IF($M267="","",INDEX(伝票元!$F$6:$F$511,$M267))</f>
        <v/>
      </c>
      <c r="I267" s="45" t="str">
        <f aca="false">IF($M267="","",INDEX(伝票元!$G$6:$G$511,$M267))</f>
        <v/>
      </c>
      <c r="J267" s="42" t="str">
        <f aca="false">IF($M267="","",INDEX(伝票元!$H$6:$H$511,$M267))</f>
        <v/>
      </c>
      <c r="K267" s="46" t="str">
        <f aca="false">IF(IF($M267="",0,INDEX(伝票元!$N$6:$N$511,$M267))=1,INDEX(伝票元!$R$6:$R$511,$M267),"")</f>
        <v/>
      </c>
      <c r="L267" s="47" t="str">
        <f aca="false">IF($M267="","",INDEX(伝票元!$S$6:$S$511,$M267))</f>
        <v/>
      </c>
      <c r="M267" s="47" t="str">
        <f aca="false">IFERROR(MATCH(261,伝票元!$O$6:$O$511,0),"")</f>
        <v/>
      </c>
    </row>
    <row r="268" customFormat="false" ht="15" hidden="false" customHeight="false" outlineLevel="0" collapsed="false">
      <c r="A268" s="10" t="str">
        <f aca="false">IF($M268="","",INDEX(伝票元!$P$6:$P$511,$M268))</f>
        <v/>
      </c>
      <c r="B268" s="45" t="str">
        <f aca="false">IF($M268="","",INDEX(伝票元!$D$6:$D$511,$M268))</f>
        <v/>
      </c>
      <c r="C268" s="10" t="str">
        <f aca="false">IF($M268="","",INDEX(伝票元!$E$6:$E$511,$M268))</f>
        <v/>
      </c>
      <c r="D268" s="45" t="str">
        <f aca="false">IF($M268="","",INDEX(伝票元!$A$6:$A$511,$M268))</f>
        <v/>
      </c>
      <c r="E268" s="10" t="str">
        <f aca="false">IF(IF($M268="",0,INDEX(伝票元!$N$6:$N$511,$M268))=1,INDEX(伝票元!$I$6:$I$511,$M268),"")</f>
        <v/>
      </c>
      <c r="F268" s="45" t="str">
        <f aca="false">IF(IF($M268="",0,INDEX(伝票元!$N$6:$N$511,$M268))=1,INDEX(伝票元!$J$6:$J$511,$M268),"")</f>
        <v/>
      </c>
      <c r="G268" s="42" t="str">
        <f aca="false">IF(IF($M268="",0,INDEX(伝票元!$N$6:$N$511,$M268))=1,INDEX(伝票元!$Q$6:$Q$511,$M268),"")</f>
        <v/>
      </c>
      <c r="H268" s="45" t="str">
        <f aca="false">IF($M268="","",INDEX(伝票元!$F$6:$F$511,$M268))</f>
        <v/>
      </c>
      <c r="I268" s="45" t="str">
        <f aca="false">IF($M268="","",INDEX(伝票元!$G$6:$G$511,$M268))</f>
        <v/>
      </c>
      <c r="J268" s="42" t="str">
        <f aca="false">IF($M268="","",INDEX(伝票元!$H$6:$H$511,$M268))</f>
        <v/>
      </c>
      <c r="K268" s="46" t="str">
        <f aca="false">IF(IF($M268="",0,INDEX(伝票元!$N$6:$N$511,$M268))=1,INDEX(伝票元!$R$6:$R$511,$M268),"")</f>
        <v/>
      </c>
      <c r="L268" s="47" t="str">
        <f aca="false">IF($M268="","",INDEX(伝票元!$S$6:$S$511,$M268))</f>
        <v/>
      </c>
      <c r="M268" s="47" t="str">
        <f aca="false">IFERROR(MATCH(262,伝票元!$O$6:$O$511,0),"")</f>
        <v/>
      </c>
    </row>
    <row r="269" customFormat="false" ht="15" hidden="false" customHeight="false" outlineLevel="0" collapsed="false">
      <c r="A269" s="10" t="str">
        <f aca="false">IF($M269="","",INDEX(伝票元!$P$6:$P$511,$M269))</f>
        <v/>
      </c>
      <c r="B269" s="45" t="str">
        <f aca="false">IF($M269="","",INDEX(伝票元!$D$6:$D$511,$M269))</f>
        <v/>
      </c>
      <c r="C269" s="10" t="str">
        <f aca="false">IF($M269="","",INDEX(伝票元!$E$6:$E$511,$M269))</f>
        <v/>
      </c>
      <c r="D269" s="45" t="str">
        <f aca="false">IF($M269="","",INDEX(伝票元!$A$6:$A$511,$M269))</f>
        <v/>
      </c>
      <c r="E269" s="10" t="str">
        <f aca="false">IF(IF($M269="",0,INDEX(伝票元!$N$6:$N$511,$M269))=1,INDEX(伝票元!$I$6:$I$511,$M269),"")</f>
        <v/>
      </c>
      <c r="F269" s="45" t="str">
        <f aca="false">IF(IF($M269="",0,INDEX(伝票元!$N$6:$N$511,$M269))=1,INDEX(伝票元!$J$6:$J$511,$M269),"")</f>
        <v/>
      </c>
      <c r="G269" s="42" t="str">
        <f aca="false">IF(IF($M269="",0,INDEX(伝票元!$N$6:$N$511,$M269))=1,INDEX(伝票元!$Q$6:$Q$511,$M269),"")</f>
        <v/>
      </c>
      <c r="H269" s="45" t="str">
        <f aca="false">IF($M269="","",INDEX(伝票元!$F$6:$F$511,$M269))</f>
        <v/>
      </c>
      <c r="I269" s="45" t="str">
        <f aca="false">IF($M269="","",INDEX(伝票元!$G$6:$G$511,$M269))</f>
        <v/>
      </c>
      <c r="J269" s="42" t="str">
        <f aca="false">IF($M269="","",INDEX(伝票元!$H$6:$H$511,$M269))</f>
        <v/>
      </c>
      <c r="K269" s="46" t="str">
        <f aca="false">IF(IF($M269="",0,INDEX(伝票元!$N$6:$N$511,$M269))=1,INDEX(伝票元!$R$6:$R$511,$M269),"")</f>
        <v/>
      </c>
      <c r="L269" s="47" t="str">
        <f aca="false">IF($M269="","",INDEX(伝票元!$S$6:$S$511,$M269))</f>
        <v/>
      </c>
      <c r="M269" s="47" t="str">
        <f aca="false">IFERROR(MATCH(263,伝票元!$O$6:$O$511,0),"")</f>
        <v/>
      </c>
    </row>
    <row r="270" customFormat="false" ht="15" hidden="false" customHeight="false" outlineLevel="0" collapsed="false">
      <c r="A270" s="10" t="str">
        <f aca="false">IF($M270="","",INDEX(伝票元!$P$6:$P$511,$M270))</f>
        <v/>
      </c>
      <c r="B270" s="45" t="str">
        <f aca="false">IF($M270="","",INDEX(伝票元!$D$6:$D$511,$M270))</f>
        <v/>
      </c>
      <c r="C270" s="10" t="str">
        <f aca="false">IF($M270="","",INDEX(伝票元!$E$6:$E$511,$M270))</f>
        <v/>
      </c>
      <c r="D270" s="45" t="str">
        <f aca="false">IF($M270="","",INDEX(伝票元!$A$6:$A$511,$M270))</f>
        <v/>
      </c>
      <c r="E270" s="10" t="str">
        <f aca="false">IF(IF($M270="",0,INDEX(伝票元!$N$6:$N$511,$M270))=1,INDEX(伝票元!$I$6:$I$511,$M270),"")</f>
        <v/>
      </c>
      <c r="F270" s="45" t="str">
        <f aca="false">IF(IF($M270="",0,INDEX(伝票元!$N$6:$N$511,$M270))=1,INDEX(伝票元!$J$6:$J$511,$M270),"")</f>
        <v/>
      </c>
      <c r="G270" s="42" t="str">
        <f aca="false">IF(IF($M270="",0,INDEX(伝票元!$N$6:$N$511,$M270))=1,INDEX(伝票元!$Q$6:$Q$511,$M270),"")</f>
        <v/>
      </c>
      <c r="H270" s="45" t="str">
        <f aca="false">IF($M270="","",INDEX(伝票元!$F$6:$F$511,$M270))</f>
        <v/>
      </c>
      <c r="I270" s="45" t="str">
        <f aca="false">IF($M270="","",INDEX(伝票元!$G$6:$G$511,$M270))</f>
        <v/>
      </c>
      <c r="J270" s="42" t="str">
        <f aca="false">IF($M270="","",INDEX(伝票元!$H$6:$H$511,$M270))</f>
        <v/>
      </c>
      <c r="K270" s="46" t="str">
        <f aca="false">IF(IF($M270="",0,INDEX(伝票元!$N$6:$N$511,$M270))=1,INDEX(伝票元!$R$6:$R$511,$M270),"")</f>
        <v/>
      </c>
      <c r="L270" s="47" t="str">
        <f aca="false">IF($M270="","",INDEX(伝票元!$S$6:$S$511,$M270))</f>
        <v/>
      </c>
      <c r="M270" s="47" t="str">
        <f aca="false">IFERROR(MATCH(264,伝票元!$O$6:$O$511,0),"")</f>
        <v/>
      </c>
    </row>
    <row r="271" customFormat="false" ht="15" hidden="false" customHeight="false" outlineLevel="0" collapsed="false">
      <c r="A271" s="10" t="str">
        <f aca="false">IF($M271="","",INDEX(伝票元!$P$6:$P$511,$M271))</f>
        <v/>
      </c>
      <c r="B271" s="45" t="str">
        <f aca="false">IF($M271="","",INDEX(伝票元!$D$6:$D$511,$M271))</f>
        <v/>
      </c>
      <c r="C271" s="10" t="str">
        <f aca="false">IF($M271="","",INDEX(伝票元!$E$6:$E$511,$M271))</f>
        <v/>
      </c>
      <c r="D271" s="45" t="str">
        <f aca="false">IF($M271="","",INDEX(伝票元!$A$6:$A$511,$M271))</f>
        <v/>
      </c>
      <c r="E271" s="10" t="str">
        <f aca="false">IF(IF($M271="",0,INDEX(伝票元!$N$6:$N$511,$M271))=1,INDEX(伝票元!$I$6:$I$511,$M271),"")</f>
        <v/>
      </c>
      <c r="F271" s="45" t="str">
        <f aca="false">IF(IF($M271="",0,INDEX(伝票元!$N$6:$N$511,$M271))=1,INDEX(伝票元!$J$6:$J$511,$M271),"")</f>
        <v/>
      </c>
      <c r="G271" s="42" t="str">
        <f aca="false">IF(IF($M271="",0,INDEX(伝票元!$N$6:$N$511,$M271))=1,INDEX(伝票元!$Q$6:$Q$511,$M271),"")</f>
        <v/>
      </c>
      <c r="H271" s="45" t="str">
        <f aca="false">IF($M271="","",INDEX(伝票元!$F$6:$F$511,$M271))</f>
        <v/>
      </c>
      <c r="I271" s="45" t="str">
        <f aca="false">IF($M271="","",INDEX(伝票元!$G$6:$G$511,$M271))</f>
        <v/>
      </c>
      <c r="J271" s="42" t="str">
        <f aca="false">IF($M271="","",INDEX(伝票元!$H$6:$H$511,$M271))</f>
        <v/>
      </c>
      <c r="K271" s="46" t="str">
        <f aca="false">IF(IF($M271="",0,INDEX(伝票元!$N$6:$N$511,$M271))=1,INDEX(伝票元!$R$6:$R$511,$M271),"")</f>
        <v/>
      </c>
      <c r="L271" s="47" t="str">
        <f aca="false">IF($M271="","",INDEX(伝票元!$S$6:$S$511,$M271))</f>
        <v/>
      </c>
      <c r="M271" s="47" t="str">
        <f aca="false">IFERROR(MATCH(265,伝票元!$O$6:$O$511,0),"")</f>
        <v/>
      </c>
    </row>
    <row r="272" customFormat="false" ht="15" hidden="false" customHeight="false" outlineLevel="0" collapsed="false">
      <c r="A272" s="10" t="str">
        <f aca="false">IF($M272="","",INDEX(伝票元!$P$6:$P$511,$M272))</f>
        <v/>
      </c>
      <c r="B272" s="45" t="str">
        <f aca="false">IF($M272="","",INDEX(伝票元!$D$6:$D$511,$M272))</f>
        <v/>
      </c>
      <c r="C272" s="10" t="str">
        <f aca="false">IF($M272="","",INDEX(伝票元!$E$6:$E$511,$M272))</f>
        <v/>
      </c>
      <c r="D272" s="45" t="str">
        <f aca="false">IF($M272="","",INDEX(伝票元!$A$6:$A$511,$M272))</f>
        <v/>
      </c>
      <c r="E272" s="10" t="str">
        <f aca="false">IF(IF($M272="",0,INDEX(伝票元!$N$6:$N$511,$M272))=1,INDEX(伝票元!$I$6:$I$511,$M272),"")</f>
        <v/>
      </c>
      <c r="F272" s="45" t="str">
        <f aca="false">IF(IF($M272="",0,INDEX(伝票元!$N$6:$N$511,$M272))=1,INDEX(伝票元!$J$6:$J$511,$M272),"")</f>
        <v/>
      </c>
      <c r="G272" s="42" t="str">
        <f aca="false">IF(IF($M272="",0,INDEX(伝票元!$N$6:$N$511,$M272))=1,INDEX(伝票元!$Q$6:$Q$511,$M272),"")</f>
        <v/>
      </c>
      <c r="H272" s="45" t="str">
        <f aca="false">IF($M272="","",INDEX(伝票元!$F$6:$F$511,$M272))</f>
        <v/>
      </c>
      <c r="I272" s="45" t="str">
        <f aca="false">IF($M272="","",INDEX(伝票元!$G$6:$G$511,$M272))</f>
        <v/>
      </c>
      <c r="J272" s="42" t="str">
        <f aca="false">IF($M272="","",INDEX(伝票元!$H$6:$H$511,$M272))</f>
        <v/>
      </c>
      <c r="K272" s="46" t="str">
        <f aca="false">IF(IF($M272="",0,INDEX(伝票元!$N$6:$N$511,$M272))=1,INDEX(伝票元!$R$6:$R$511,$M272),"")</f>
        <v/>
      </c>
      <c r="L272" s="47" t="str">
        <f aca="false">IF($M272="","",INDEX(伝票元!$S$6:$S$511,$M272))</f>
        <v/>
      </c>
      <c r="M272" s="47" t="str">
        <f aca="false">IFERROR(MATCH(266,伝票元!$O$6:$O$511,0),"")</f>
        <v/>
      </c>
    </row>
    <row r="273" customFormat="false" ht="15" hidden="false" customHeight="false" outlineLevel="0" collapsed="false">
      <c r="A273" s="10" t="str">
        <f aca="false">IF($M273="","",INDEX(伝票元!$P$6:$P$511,$M273))</f>
        <v/>
      </c>
      <c r="B273" s="45" t="str">
        <f aca="false">IF($M273="","",INDEX(伝票元!$D$6:$D$511,$M273))</f>
        <v/>
      </c>
      <c r="C273" s="10" t="str">
        <f aca="false">IF($M273="","",INDEX(伝票元!$E$6:$E$511,$M273))</f>
        <v/>
      </c>
      <c r="D273" s="45" t="str">
        <f aca="false">IF($M273="","",INDEX(伝票元!$A$6:$A$511,$M273))</f>
        <v/>
      </c>
      <c r="E273" s="10" t="str">
        <f aca="false">IF(IF($M273="",0,INDEX(伝票元!$N$6:$N$511,$M273))=1,INDEX(伝票元!$I$6:$I$511,$M273),"")</f>
        <v/>
      </c>
      <c r="F273" s="45" t="str">
        <f aca="false">IF(IF($M273="",0,INDEX(伝票元!$N$6:$N$511,$M273))=1,INDEX(伝票元!$J$6:$J$511,$M273),"")</f>
        <v/>
      </c>
      <c r="G273" s="42" t="str">
        <f aca="false">IF(IF($M273="",0,INDEX(伝票元!$N$6:$N$511,$M273))=1,INDEX(伝票元!$Q$6:$Q$511,$M273),"")</f>
        <v/>
      </c>
      <c r="H273" s="45" t="str">
        <f aca="false">IF($M273="","",INDEX(伝票元!$F$6:$F$511,$M273))</f>
        <v/>
      </c>
      <c r="I273" s="45" t="str">
        <f aca="false">IF($M273="","",INDEX(伝票元!$G$6:$G$511,$M273))</f>
        <v/>
      </c>
      <c r="J273" s="42" t="str">
        <f aca="false">IF($M273="","",INDEX(伝票元!$H$6:$H$511,$M273))</f>
        <v/>
      </c>
      <c r="K273" s="46" t="str">
        <f aca="false">IF(IF($M273="",0,INDEX(伝票元!$N$6:$N$511,$M273))=1,INDEX(伝票元!$R$6:$R$511,$M273),"")</f>
        <v/>
      </c>
      <c r="L273" s="47" t="str">
        <f aca="false">IF($M273="","",INDEX(伝票元!$S$6:$S$511,$M273))</f>
        <v/>
      </c>
      <c r="M273" s="47" t="str">
        <f aca="false">IFERROR(MATCH(267,伝票元!$O$6:$O$511,0),"")</f>
        <v/>
      </c>
    </row>
    <row r="274" customFormat="false" ht="15" hidden="false" customHeight="false" outlineLevel="0" collapsed="false">
      <c r="A274" s="10" t="str">
        <f aca="false">IF($M274="","",INDEX(伝票元!$P$6:$P$511,$M274))</f>
        <v/>
      </c>
      <c r="B274" s="45" t="str">
        <f aca="false">IF($M274="","",INDEX(伝票元!$D$6:$D$511,$M274))</f>
        <v/>
      </c>
      <c r="C274" s="10" t="str">
        <f aca="false">IF($M274="","",INDEX(伝票元!$E$6:$E$511,$M274))</f>
        <v/>
      </c>
      <c r="D274" s="45" t="str">
        <f aca="false">IF($M274="","",INDEX(伝票元!$A$6:$A$511,$M274))</f>
        <v/>
      </c>
      <c r="E274" s="10" t="str">
        <f aca="false">IF(IF($M274="",0,INDEX(伝票元!$N$6:$N$511,$M274))=1,INDEX(伝票元!$I$6:$I$511,$M274),"")</f>
        <v/>
      </c>
      <c r="F274" s="45" t="str">
        <f aca="false">IF(IF($M274="",0,INDEX(伝票元!$N$6:$N$511,$M274))=1,INDEX(伝票元!$J$6:$J$511,$M274),"")</f>
        <v/>
      </c>
      <c r="G274" s="42" t="str">
        <f aca="false">IF(IF($M274="",0,INDEX(伝票元!$N$6:$N$511,$M274))=1,INDEX(伝票元!$Q$6:$Q$511,$M274),"")</f>
        <v/>
      </c>
      <c r="H274" s="45" t="str">
        <f aca="false">IF($M274="","",INDEX(伝票元!$F$6:$F$511,$M274))</f>
        <v/>
      </c>
      <c r="I274" s="45" t="str">
        <f aca="false">IF($M274="","",INDEX(伝票元!$G$6:$G$511,$M274))</f>
        <v/>
      </c>
      <c r="J274" s="42" t="str">
        <f aca="false">IF($M274="","",INDEX(伝票元!$H$6:$H$511,$M274))</f>
        <v/>
      </c>
      <c r="K274" s="46" t="str">
        <f aca="false">IF(IF($M274="",0,INDEX(伝票元!$N$6:$N$511,$M274))=1,INDEX(伝票元!$R$6:$R$511,$M274),"")</f>
        <v/>
      </c>
      <c r="L274" s="47" t="str">
        <f aca="false">IF($M274="","",INDEX(伝票元!$S$6:$S$511,$M274))</f>
        <v/>
      </c>
      <c r="M274" s="47" t="str">
        <f aca="false">IFERROR(MATCH(268,伝票元!$O$6:$O$511,0),"")</f>
        <v/>
      </c>
    </row>
    <row r="275" customFormat="false" ht="15" hidden="false" customHeight="false" outlineLevel="0" collapsed="false">
      <c r="A275" s="10" t="str">
        <f aca="false">IF($M275="","",INDEX(伝票元!$P$6:$P$511,$M275))</f>
        <v/>
      </c>
      <c r="B275" s="45" t="str">
        <f aca="false">IF($M275="","",INDEX(伝票元!$D$6:$D$511,$M275))</f>
        <v/>
      </c>
      <c r="C275" s="10" t="str">
        <f aca="false">IF($M275="","",INDEX(伝票元!$E$6:$E$511,$M275))</f>
        <v/>
      </c>
      <c r="D275" s="45" t="str">
        <f aca="false">IF($M275="","",INDEX(伝票元!$A$6:$A$511,$M275))</f>
        <v/>
      </c>
      <c r="E275" s="10" t="str">
        <f aca="false">IF(IF($M275="",0,INDEX(伝票元!$N$6:$N$511,$M275))=1,INDEX(伝票元!$I$6:$I$511,$M275),"")</f>
        <v/>
      </c>
      <c r="F275" s="45" t="str">
        <f aca="false">IF(IF($M275="",0,INDEX(伝票元!$N$6:$N$511,$M275))=1,INDEX(伝票元!$J$6:$J$511,$M275),"")</f>
        <v/>
      </c>
      <c r="G275" s="42" t="str">
        <f aca="false">IF(IF($M275="",0,INDEX(伝票元!$N$6:$N$511,$M275))=1,INDEX(伝票元!$Q$6:$Q$511,$M275),"")</f>
        <v/>
      </c>
      <c r="H275" s="45" t="str">
        <f aca="false">IF($M275="","",INDEX(伝票元!$F$6:$F$511,$M275))</f>
        <v/>
      </c>
      <c r="I275" s="45" t="str">
        <f aca="false">IF($M275="","",INDEX(伝票元!$G$6:$G$511,$M275))</f>
        <v/>
      </c>
      <c r="J275" s="42" t="str">
        <f aca="false">IF($M275="","",INDEX(伝票元!$H$6:$H$511,$M275))</f>
        <v/>
      </c>
      <c r="K275" s="46" t="str">
        <f aca="false">IF(IF($M275="",0,INDEX(伝票元!$N$6:$N$511,$M275))=1,INDEX(伝票元!$R$6:$R$511,$M275),"")</f>
        <v/>
      </c>
      <c r="L275" s="47" t="str">
        <f aca="false">IF($M275="","",INDEX(伝票元!$S$6:$S$511,$M275))</f>
        <v/>
      </c>
      <c r="M275" s="47" t="str">
        <f aca="false">IFERROR(MATCH(269,伝票元!$O$6:$O$511,0),"")</f>
        <v/>
      </c>
    </row>
    <row r="276" customFormat="false" ht="15" hidden="false" customHeight="false" outlineLevel="0" collapsed="false">
      <c r="A276" s="10" t="str">
        <f aca="false">IF($M276="","",INDEX(伝票元!$P$6:$P$511,$M276))</f>
        <v/>
      </c>
      <c r="B276" s="45" t="str">
        <f aca="false">IF($M276="","",INDEX(伝票元!$D$6:$D$511,$M276))</f>
        <v/>
      </c>
      <c r="C276" s="10" t="str">
        <f aca="false">IF($M276="","",INDEX(伝票元!$E$6:$E$511,$M276))</f>
        <v/>
      </c>
      <c r="D276" s="45" t="str">
        <f aca="false">IF($M276="","",INDEX(伝票元!$A$6:$A$511,$M276))</f>
        <v/>
      </c>
      <c r="E276" s="10" t="str">
        <f aca="false">IF(IF($M276="",0,INDEX(伝票元!$N$6:$N$511,$M276))=1,INDEX(伝票元!$I$6:$I$511,$M276),"")</f>
        <v/>
      </c>
      <c r="F276" s="45" t="str">
        <f aca="false">IF(IF($M276="",0,INDEX(伝票元!$N$6:$N$511,$M276))=1,INDEX(伝票元!$J$6:$J$511,$M276),"")</f>
        <v/>
      </c>
      <c r="G276" s="42" t="str">
        <f aca="false">IF(IF($M276="",0,INDEX(伝票元!$N$6:$N$511,$M276))=1,INDEX(伝票元!$Q$6:$Q$511,$M276),"")</f>
        <v/>
      </c>
      <c r="H276" s="45" t="str">
        <f aca="false">IF($M276="","",INDEX(伝票元!$F$6:$F$511,$M276))</f>
        <v/>
      </c>
      <c r="I276" s="45" t="str">
        <f aca="false">IF($M276="","",INDEX(伝票元!$G$6:$G$511,$M276))</f>
        <v/>
      </c>
      <c r="J276" s="42" t="str">
        <f aca="false">IF($M276="","",INDEX(伝票元!$H$6:$H$511,$M276))</f>
        <v/>
      </c>
      <c r="K276" s="46" t="str">
        <f aca="false">IF(IF($M276="",0,INDEX(伝票元!$N$6:$N$511,$M276))=1,INDEX(伝票元!$R$6:$R$511,$M276),"")</f>
        <v/>
      </c>
      <c r="L276" s="47" t="str">
        <f aca="false">IF($M276="","",INDEX(伝票元!$S$6:$S$511,$M276))</f>
        <v/>
      </c>
      <c r="M276" s="47" t="str">
        <f aca="false">IFERROR(MATCH(270,伝票元!$O$6:$O$511,0),"")</f>
        <v/>
      </c>
    </row>
    <row r="277" customFormat="false" ht="15" hidden="false" customHeight="false" outlineLevel="0" collapsed="false">
      <c r="A277" s="10" t="str">
        <f aca="false">IF($M277="","",INDEX(伝票元!$P$6:$P$511,$M277))</f>
        <v/>
      </c>
      <c r="B277" s="45" t="str">
        <f aca="false">IF($M277="","",INDEX(伝票元!$D$6:$D$511,$M277))</f>
        <v/>
      </c>
      <c r="C277" s="10" t="str">
        <f aca="false">IF($M277="","",INDEX(伝票元!$E$6:$E$511,$M277))</f>
        <v/>
      </c>
      <c r="D277" s="45" t="str">
        <f aca="false">IF($M277="","",INDEX(伝票元!$A$6:$A$511,$M277))</f>
        <v/>
      </c>
      <c r="E277" s="10" t="str">
        <f aca="false">IF(IF($M277="",0,INDEX(伝票元!$N$6:$N$511,$M277))=1,INDEX(伝票元!$I$6:$I$511,$M277),"")</f>
        <v/>
      </c>
      <c r="F277" s="45" t="str">
        <f aca="false">IF(IF($M277="",0,INDEX(伝票元!$N$6:$N$511,$M277))=1,INDEX(伝票元!$J$6:$J$511,$M277),"")</f>
        <v/>
      </c>
      <c r="G277" s="42" t="str">
        <f aca="false">IF(IF($M277="",0,INDEX(伝票元!$N$6:$N$511,$M277))=1,INDEX(伝票元!$Q$6:$Q$511,$M277),"")</f>
        <v/>
      </c>
      <c r="H277" s="45" t="str">
        <f aca="false">IF($M277="","",INDEX(伝票元!$F$6:$F$511,$M277))</f>
        <v/>
      </c>
      <c r="I277" s="45" t="str">
        <f aca="false">IF($M277="","",INDEX(伝票元!$G$6:$G$511,$M277))</f>
        <v/>
      </c>
      <c r="J277" s="42" t="str">
        <f aca="false">IF($M277="","",INDEX(伝票元!$H$6:$H$511,$M277))</f>
        <v/>
      </c>
      <c r="K277" s="46" t="str">
        <f aca="false">IF(IF($M277="",0,INDEX(伝票元!$N$6:$N$511,$M277))=1,INDEX(伝票元!$R$6:$R$511,$M277),"")</f>
        <v/>
      </c>
      <c r="L277" s="47" t="str">
        <f aca="false">IF($M277="","",INDEX(伝票元!$S$6:$S$511,$M277))</f>
        <v/>
      </c>
      <c r="M277" s="47" t="str">
        <f aca="false">IFERROR(MATCH(271,伝票元!$O$6:$O$511,0),"")</f>
        <v/>
      </c>
    </row>
    <row r="278" customFormat="false" ht="15" hidden="false" customHeight="false" outlineLevel="0" collapsed="false">
      <c r="A278" s="10" t="str">
        <f aca="false">IF($M278="","",INDEX(伝票元!$P$6:$P$511,$M278))</f>
        <v/>
      </c>
      <c r="B278" s="45" t="str">
        <f aca="false">IF($M278="","",INDEX(伝票元!$D$6:$D$511,$M278))</f>
        <v/>
      </c>
      <c r="C278" s="10" t="str">
        <f aca="false">IF($M278="","",INDEX(伝票元!$E$6:$E$511,$M278))</f>
        <v/>
      </c>
      <c r="D278" s="45" t="str">
        <f aca="false">IF($M278="","",INDEX(伝票元!$A$6:$A$511,$M278))</f>
        <v/>
      </c>
      <c r="E278" s="10" t="str">
        <f aca="false">IF(IF($M278="",0,INDEX(伝票元!$N$6:$N$511,$M278))=1,INDEX(伝票元!$I$6:$I$511,$M278),"")</f>
        <v/>
      </c>
      <c r="F278" s="45" t="str">
        <f aca="false">IF(IF($M278="",0,INDEX(伝票元!$N$6:$N$511,$M278))=1,INDEX(伝票元!$J$6:$J$511,$M278),"")</f>
        <v/>
      </c>
      <c r="G278" s="42" t="str">
        <f aca="false">IF(IF($M278="",0,INDEX(伝票元!$N$6:$N$511,$M278))=1,INDEX(伝票元!$Q$6:$Q$511,$M278),"")</f>
        <v/>
      </c>
      <c r="H278" s="45" t="str">
        <f aca="false">IF($M278="","",INDEX(伝票元!$F$6:$F$511,$M278))</f>
        <v/>
      </c>
      <c r="I278" s="45" t="str">
        <f aca="false">IF($M278="","",INDEX(伝票元!$G$6:$G$511,$M278))</f>
        <v/>
      </c>
      <c r="J278" s="42" t="str">
        <f aca="false">IF($M278="","",INDEX(伝票元!$H$6:$H$511,$M278))</f>
        <v/>
      </c>
      <c r="K278" s="46" t="str">
        <f aca="false">IF(IF($M278="",0,INDEX(伝票元!$N$6:$N$511,$M278))=1,INDEX(伝票元!$R$6:$R$511,$M278),"")</f>
        <v/>
      </c>
      <c r="L278" s="47" t="str">
        <f aca="false">IF($M278="","",INDEX(伝票元!$S$6:$S$511,$M278))</f>
        <v/>
      </c>
      <c r="M278" s="47" t="str">
        <f aca="false">IFERROR(MATCH(272,伝票元!$O$6:$O$511,0),"")</f>
        <v/>
      </c>
    </row>
    <row r="279" customFormat="false" ht="15" hidden="false" customHeight="false" outlineLevel="0" collapsed="false">
      <c r="A279" s="10" t="str">
        <f aca="false">IF($M279="","",INDEX(伝票元!$P$6:$P$511,$M279))</f>
        <v/>
      </c>
      <c r="B279" s="45" t="str">
        <f aca="false">IF($M279="","",INDEX(伝票元!$D$6:$D$511,$M279))</f>
        <v/>
      </c>
      <c r="C279" s="10" t="str">
        <f aca="false">IF($M279="","",INDEX(伝票元!$E$6:$E$511,$M279))</f>
        <v/>
      </c>
      <c r="D279" s="45" t="str">
        <f aca="false">IF($M279="","",INDEX(伝票元!$A$6:$A$511,$M279))</f>
        <v/>
      </c>
      <c r="E279" s="10" t="str">
        <f aca="false">IF(IF($M279="",0,INDEX(伝票元!$N$6:$N$511,$M279))=1,INDEX(伝票元!$I$6:$I$511,$M279),"")</f>
        <v/>
      </c>
      <c r="F279" s="45" t="str">
        <f aca="false">IF(IF($M279="",0,INDEX(伝票元!$N$6:$N$511,$M279))=1,INDEX(伝票元!$J$6:$J$511,$M279),"")</f>
        <v/>
      </c>
      <c r="G279" s="42" t="str">
        <f aca="false">IF(IF($M279="",0,INDEX(伝票元!$N$6:$N$511,$M279))=1,INDEX(伝票元!$Q$6:$Q$511,$M279),"")</f>
        <v/>
      </c>
      <c r="H279" s="45" t="str">
        <f aca="false">IF($M279="","",INDEX(伝票元!$F$6:$F$511,$M279))</f>
        <v/>
      </c>
      <c r="I279" s="45" t="str">
        <f aca="false">IF($M279="","",INDEX(伝票元!$G$6:$G$511,$M279))</f>
        <v/>
      </c>
      <c r="J279" s="42" t="str">
        <f aca="false">IF($M279="","",INDEX(伝票元!$H$6:$H$511,$M279))</f>
        <v/>
      </c>
      <c r="K279" s="46" t="str">
        <f aca="false">IF(IF($M279="",0,INDEX(伝票元!$N$6:$N$511,$M279))=1,INDEX(伝票元!$R$6:$R$511,$M279),"")</f>
        <v/>
      </c>
      <c r="L279" s="47" t="str">
        <f aca="false">IF($M279="","",INDEX(伝票元!$S$6:$S$511,$M279))</f>
        <v/>
      </c>
      <c r="M279" s="47" t="str">
        <f aca="false">IFERROR(MATCH(273,伝票元!$O$6:$O$511,0),"")</f>
        <v/>
      </c>
    </row>
    <row r="280" customFormat="false" ht="15" hidden="false" customHeight="false" outlineLevel="0" collapsed="false">
      <c r="A280" s="10" t="str">
        <f aca="false">IF($M280="","",INDEX(伝票元!$P$6:$P$511,$M280))</f>
        <v/>
      </c>
      <c r="B280" s="45" t="str">
        <f aca="false">IF($M280="","",INDEX(伝票元!$D$6:$D$511,$M280))</f>
        <v/>
      </c>
      <c r="C280" s="10" t="str">
        <f aca="false">IF($M280="","",INDEX(伝票元!$E$6:$E$511,$M280))</f>
        <v/>
      </c>
      <c r="D280" s="45" t="str">
        <f aca="false">IF($M280="","",INDEX(伝票元!$A$6:$A$511,$M280))</f>
        <v/>
      </c>
      <c r="E280" s="10" t="str">
        <f aca="false">IF(IF($M280="",0,INDEX(伝票元!$N$6:$N$511,$M280))=1,INDEX(伝票元!$I$6:$I$511,$M280),"")</f>
        <v/>
      </c>
      <c r="F280" s="45" t="str">
        <f aca="false">IF(IF($M280="",0,INDEX(伝票元!$N$6:$N$511,$M280))=1,INDEX(伝票元!$J$6:$J$511,$M280),"")</f>
        <v/>
      </c>
      <c r="G280" s="42" t="str">
        <f aca="false">IF(IF($M280="",0,INDEX(伝票元!$N$6:$N$511,$M280))=1,INDEX(伝票元!$Q$6:$Q$511,$M280),"")</f>
        <v/>
      </c>
      <c r="H280" s="45" t="str">
        <f aca="false">IF($M280="","",INDEX(伝票元!$F$6:$F$511,$M280))</f>
        <v/>
      </c>
      <c r="I280" s="45" t="str">
        <f aca="false">IF($M280="","",INDEX(伝票元!$G$6:$G$511,$M280))</f>
        <v/>
      </c>
      <c r="J280" s="42" t="str">
        <f aca="false">IF($M280="","",INDEX(伝票元!$H$6:$H$511,$M280))</f>
        <v/>
      </c>
      <c r="K280" s="46" t="str">
        <f aca="false">IF(IF($M280="",0,INDEX(伝票元!$N$6:$N$511,$M280))=1,INDEX(伝票元!$R$6:$R$511,$M280),"")</f>
        <v/>
      </c>
      <c r="L280" s="47" t="str">
        <f aca="false">IF($M280="","",INDEX(伝票元!$S$6:$S$511,$M280))</f>
        <v/>
      </c>
      <c r="M280" s="47" t="str">
        <f aca="false">IFERROR(MATCH(274,伝票元!$O$6:$O$511,0),"")</f>
        <v/>
      </c>
    </row>
    <row r="281" customFormat="false" ht="15" hidden="false" customHeight="false" outlineLevel="0" collapsed="false">
      <c r="A281" s="10" t="str">
        <f aca="false">IF($M281="","",INDEX(伝票元!$P$6:$P$511,$M281))</f>
        <v/>
      </c>
      <c r="B281" s="45" t="str">
        <f aca="false">IF($M281="","",INDEX(伝票元!$D$6:$D$511,$M281))</f>
        <v/>
      </c>
      <c r="C281" s="10" t="str">
        <f aca="false">IF($M281="","",INDEX(伝票元!$E$6:$E$511,$M281))</f>
        <v/>
      </c>
      <c r="D281" s="45" t="str">
        <f aca="false">IF($M281="","",INDEX(伝票元!$A$6:$A$511,$M281))</f>
        <v/>
      </c>
      <c r="E281" s="10" t="str">
        <f aca="false">IF(IF($M281="",0,INDEX(伝票元!$N$6:$N$511,$M281))=1,INDEX(伝票元!$I$6:$I$511,$M281),"")</f>
        <v/>
      </c>
      <c r="F281" s="45" t="str">
        <f aca="false">IF(IF($M281="",0,INDEX(伝票元!$N$6:$N$511,$M281))=1,INDEX(伝票元!$J$6:$J$511,$M281),"")</f>
        <v/>
      </c>
      <c r="G281" s="42" t="str">
        <f aca="false">IF(IF($M281="",0,INDEX(伝票元!$N$6:$N$511,$M281))=1,INDEX(伝票元!$Q$6:$Q$511,$M281),"")</f>
        <v/>
      </c>
      <c r="H281" s="45" t="str">
        <f aca="false">IF($M281="","",INDEX(伝票元!$F$6:$F$511,$M281))</f>
        <v/>
      </c>
      <c r="I281" s="45" t="str">
        <f aca="false">IF($M281="","",INDEX(伝票元!$G$6:$G$511,$M281))</f>
        <v/>
      </c>
      <c r="J281" s="42" t="str">
        <f aca="false">IF($M281="","",INDEX(伝票元!$H$6:$H$511,$M281))</f>
        <v/>
      </c>
      <c r="K281" s="46" t="str">
        <f aca="false">IF(IF($M281="",0,INDEX(伝票元!$N$6:$N$511,$M281))=1,INDEX(伝票元!$R$6:$R$511,$M281),"")</f>
        <v/>
      </c>
      <c r="L281" s="47" t="str">
        <f aca="false">IF($M281="","",INDEX(伝票元!$S$6:$S$511,$M281))</f>
        <v/>
      </c>
      <c r="M281" s="47" t="str">
        <f aca="false">IFERROR(MATCH(275,伝票元!$O$6:$O$511,0),"")</f>
        <v/>
      </c>
    </row>
    <row r="282" customFormat="false" ht="15" hidden="false" customHeight="false" outlineLevel="0" collapsed="false">
      <c r="A282" s="10" t="str">
        <f aca="false">IF($M282="","",INDEX(伝票元!$P$6:$P$511,$M282))</f>
        <v/>
      </c>
      <c r="B282" s="45" t="str">
        <f aca="false">IF($M282="","",INDEX(伝票元!$D$6:$D$511,$M282))</f>
        <v/>
      </c>
      <c r="C282" s="10" t="str">
        <f aca="false">IF($M282="","",INDEX(伝票元!$E$6:$E$511,$M282))</f>
        <v/>
      </c>
      <c r="D282" s="45" t="str">
        <f aca="false">IF($M282="","",INDEX(伝票元!$A$6:$A$511,$M282))</f>
        <v/>
      </c>
      <c r="E282" s="10" t="str">
        <f aca="false">IF(IF($M282="",0,INDEX(伝票元!$N$6:$N$511,$M282))=1,INDEX(伝票元!$I$6:$I$511,$M282),"")</f>
        <v/>
      </c>
      <c r="F282" s="45" t="str">
        <f aca="false">IF(IF($M282="",0,INDEX(伝票元!$N$6:$N$511,$M282))=1,INDEX(伝票元!$J$6:$J$511,$M282),"")</f>
        <v/>
      </c>
      <c r="G282" s="42" t="str">
        <f aca="false">IF(IF($M282="",0,INDEX(伝票元!$N$6:$N$511,$M282))=1,INDEX(伝票元!$Q$6:$Q$511,$M282),"")</f>
        <v/>
      </c>
      <c r="H282" s="45" t="str">
        <f aca="false">IF($M282="","",INDEX(伝票元!$F$6:$F$511,$M282))</f>
        <v/>
      </c>
      <c r="I282" s="45" t="str">
        <f aca="false">IF($M282="","",INDEX(伝票元!$G$6:$G$511,$M282))</f>
        <v/>
      </c>
      <c r="J282" s="42" t="str">
        <f aca="false">IF($M282="","",INDEX(伝票元!$H$6:$H$511,$M282))</f>
        <v/>
      </c>
      <c r="K282" s="46" t="str">
        <f aca="false">IF(IF($M282="",0,INDEX(伝票元!$N$6:$N$511,$M282))=1,INDEX(伝票元!$R$6:$R$511,$M282),"")</f>
        <v/>
      </c>
      <c r="L282" s="47" t="str">
        <f aca="false">IF($M282="","",INDEX(伝票元!$S$6:$S$511,$M282))</f>
        <v/>
      </c>
      <c r="M282" s="47" t="str">
        <f aca="false">IFERROR(MATCH(276,伝票元!$O$6:$O$511,0),"")</f>
        <v/>
      </c>
    </row>
    <row r="283" customFormat="false" ht="15" hidden="false" customHeight="false" outlineLevel="0" collapsed="false">
      <c r="A283" s="10" t="str">
        <f aca="false">IF($M283="","",INDEX(伝票元!$P$6:$P$511,$M283))</f>
        <v/>
      </c>
      <c r="B283" s="45" t="str">
        <f aca="false">IF($M283="","",INDEX(伝票元!$D$6:$D$511,$M283))</f>
        <v/>
      </c>
      <c r="C283" s="10" t="str">
        <f aca="false">IF($M283="","",INDEX(伝票元!$E$6:$E$511,$M283))</f>
        <v/>
      </c>
      <c r="D283" s="45" t="str">
        <f aca="false">IF($M283="","",INDEX(伝票元!$A$6:$A$511,$M283))</f>
        <v/>
      </c>
      <c r="E283" s="10" t="str">
        <f aca="false">IF(IF($M283="",0,INDEX(伝票元!$N$6:$N$511,$M283))=1,INDEX(伝票元!$I$6:$I$511,$M283),"")</f>
        <v/>
      </c>
      <c r="F283" s="45" t="str">
        <f aca="false">IF(IF($M283="",0,INDEX(伝票元!$N$6:$N$511,$M283))=1,INDEX(伝票元!$J$6:$J$511,$M283),"")</f>
        <v/>
      </c>
      <c r="G283" s="42" t="str">
        <f aca="false">IF(IF($M283="",0,INDEX(伝票元!$N$6:$N$511,$M283))=1,INDEX(伝票元!$Q$6:$Q$511,$M283),"")</f>
        <v/>
      </c>
      <c r="H283" s="45" t="str">
        <f aca="false">IF($M283="","",INDEX(伝票元!$F$6:$F$511,$M283))</f>
        <v/>
      </c>
      <c r="I283" s="45" t="str">
        <f aca="false">IF($M283="","",INDEX(伝票元!$G$6:$G$511,$M283))</f>
        <v/>
      </c>
      <c r="J283" s="42" t="str">
        <f aca="false">IF($M283="","",INDEX(伝票元!$H$6:$H$511,$M283))</f>
        <v/>
      </c>
      <c r="K283" s="46" t="str">
        <f aca="false">IF(IF($M283="",0,INDEX(伝票元!$N$6:$N$511,$M283))=1,INDEX(伝票元!$R$6:$R$511,$M283),"")</f>
        <v/>
      </c>
      <c r="L283" s="47" t="str">
        <f aca="false">IF($M283="","",INDEX(伝票元!$S$6:$S$511,$M283))</f>
        <v/>
      </c>
      <c r="M283" s="47" t="str">
        <f aca="false">IFERROR(MATCH(277,伝票元!$O$6:$O$511,0),"")</f>
        <v/>
      </c>
    </row>
    <row r="284" customFormat="false" ht="15" hidden="false" customHeight="false" outlineLevel="0" collapsed="false">
      <c r="A284" s="10" t="str">
        <f aca="false">IF($M284="","",INDEX(伝票元!$P$6:$P$511,$M284))</f>
        <v/>
      </c>
      <c r="B284" s="45" t="str">
        <f aca="false">IF($M284="","",INDEX(伝票元!$D$6:$D$511,$M284))</f>
        <v/>
      </c>
      <c r="C284" s="10" t="str">
        <f aca="false">IF($M284="","",INDEX(伝票元!$E$6:$E$511,$M284))</f>
        <v/>
      </c>
      <c r="D284" s="45" t="str">
        <f aca="false">IF($M284="","",INDEX(伝票元!$A$6:$A$511,$M284))</f>
        <v/>
      </c>
      <c r="E284" s="10" t="str">
        <f aca="false">IF(IF($M284="",0,INDEX(伝票元!$N$6:$N$511,$M284))=1,INDEX(伝票元!$I$6:$I$511,$M284),"")</f>
        <v/>
      </c>
      <c r="F284" s="45" t="str">
        <f aca="false">IF(IF($M284="",0,INDEX(伝票元!$N$6:$N$511,$M284))=1,INDEX(伝票元!$J$6:$J$511,$M284),"")</f>
        <v/>
      </c>
      <c r="G284" s="42" t="str">
        <f aca="false">IF(IF($M284="",0,INDEX(伝票元!$N$6:$N$511,$M284))=1,INDEX(伝票元!$Q$6:$Q$511,$M284),"")</f>
        <v/>
      </c>
      <c r="H284" s="45" t="str">
        <f aca="false">IF($M284="","",INDEX(伝票元!$F$6:$F$511,$M284))</f>
        <v/>
      </c>
      <c r="I284" s="45" t="str">
        <f aca="false">IF($M284="","",INDEX(伝票元!$G$6:$G$511,$M284))</f>
        <v/>
      </c>
      <c r="J284" s="42" t="str">
        <f aca="false">IF($M284="","",INDEX(伝票元!$H$6:$H$511,$M284))</f>
        <v/>
      </c>
      <c r="K284" s="46" t="str">
        <f aca="false">IF(IF($M284="",0,INDEX(伝票元!$N$6:$N$511,$M284))=1,INDEX(伝票元!$R$6:$R$511,$M284),"")</f>
        <v/>
      </c>
      <c r="L284" s="47" t="str">
        <f aca="false">IF($M284="","",INDEX(伝票元!$S$6:$S$511,$M284))</f>
        <v/>
      </c>
      <c r="M284" s="47" t="str">
        <f aca="false">IFERROR(MATCH(278,伝票元!$O$6:$O$511,0),"")</f>
        <v/>
      </c>
    </row>
    <row r="285" customFormat="false" ht="15" hidden="false" customHeight="false" outlineLevel="0" collapsed="false">
      <c r="A285" s="10" t="str">
        <f aca="false">IF($M285="","",INDEX(伝票元!$P$6:$P$511,$M285))</f>
        <v/>
      </c>
      <c r="B285" s="45" t="str">
        <f aca="false">IF($M285="","",INDEX(伝票元!$D$6:$D$511,$M285))</f>
        <v/>
      </c>
      <c r="C285" s="10" t="str">
        <f aca="false">IF($M285="","",INDEX(伝票元!$E$6:$E$511,$M285))</f>
        <v/>
      </c>
      <c r="D285" s="45" t="str">
        <f aca="false">IF($M285="","",INDEX(伝票元!$A$6:$A$511,$M285))</f>
        <v/>
      </c>
      <c r="E285" s="10" t="str">
        <f aca="false">IF(IF($M285="",0,INDEX(伝票元!$N$6:$N$511,$M285))=1,INDEX(伝票元!$I$6:$I$511,$M285),"")</f>
        <v/>
      </c>
      <c r="F285" s="45" t="str">
        <f aca="false">IF(IF($M285="",0,INDEX(伝票元!$N$6:$N$511,$M285))=1,INDEX(伝票元!$J$6:$J$511,$M285),"")</f>
        <v/>
      </c>
      <c r="G285" s="42" t="str">
        <f aca="false">IF(IF($M285="",0,INDEX(伝票元!$N$6:$N$511,$M285))=1,INDEX(伝票元!$Q$6:$Q$511,$M285),"")</f>
        <v/>
      </c>
      <c r="H285" s="45" t="str">
        <f aca="false">IF($M285="","",INDEX(伝票元!$F$6:$F$511,$M285))</f>
        <v/>
      </c>
      <c r="I285" s="45" t="str">
        <f aca="false">IF($M285="","",INDEX(伝票元!$G$6:$G$511,$M285))</f>
        <v/>
      </c>
      <c r="J285" s="42" t="str">
        <f aca="false">IF($M285="","",INDEX(伝票元!$H$6:$H$511,$M285))</f>
        <v/>
      </c>
      <c r="K285" s="46" t="str">
        <f aca="false">IF(IF($M285="",0,INDEX(伝票元!$N$6:$N$511,$M285))=1,INDEX(伝票元!$R$6:$R$511,$M285),"")</f>
        <v/>
      </c>
      <c r="L285" s="47" t="str">
        <f aca="false">IF($M285="","",INDEX(伝票元!$S$6:$S$511,$M285))</f>
        <v/>
      </c>
      <c r="M285" s="47" t="str">
        <f aca="false">IFERROR(MATCH(279,伝票元!$O$6:$O$511,0),"")</f>
        <v/>
      </c>
    </row>
    <row r="286" customFormat="false" ht="15" hidden="false" customHeight="false" outlineLevel="0" collapsed="false">
      <c r="A286" s="10" t="str">
        <f aca="false">IF($M286="","",INDEX(伝票元!$P$6:$P$511,$M286))</f>
        <v/>
      </c>
      <c r="B286" s="45" t="str">
        <f aca="false">IF($M286="","",INDEX(伝票元!$D$6:$D$511,$M286))</f>
        <v/>
      </c>
      <c r="C286" s="10" t="str">
        <f aca="false">IF($M286="","",INDEX(伝票元!$E$6:$E$511,$M286))</f>
        <v/>
      </c>
      <c r="D286" s="45" t="str">
        <f aca="false">IF($M286="","",INDEX(伝票元!$A$6:$A$511,$M286))</f>
        <v/>
      </c>
      <c r="E286" s="10" t="str">
        <f aca="false">IF(IF($M286="",0,INDEX(伝票元!$N$6:$N$511,$M286))=1,INDEX(伝票元!$I$6:$I$511,$M286),"")</f>
        <v/>
      </c>
      <c r="F286" s="45" t="str">
        <f aca="false">IF(IF($M286="",0,INDEX(伝票元!$N$6:$N$511,$M286))=1,INDEX(伝票元!$J$6:$J$511,$M286),"")</f>
        <v/>
      </c>
      <c r="G286" s="42" t="str">
        <f aca="false">IF(IF($M286="",0,INDEX(伝票元!$N$6:$N$511,$M286))=1,INDEX(伝票元!$Q$6:$Q$511,$M286),"")</f>
        <v/>
      </c>
      <c r="H286" s="45" t="str">
        <f aca="false">IF($M286="","",INDEX(伝票元!$F$6:$F$511,$M286))</f>
        <v/>
      </c>
      <c r="I286" s="45" t="str">
        <f aca="false">IF($M286="","",INDEX(伝票元!$G$6:$G$511,$M286))</f>
        <v/>
      </c>
      <c r="J286" s="42" t="str">
        <f aca="false">IF($M286="","",INDEX(伝票元!$H$6:$H$511,$M286))</f>
        <v/>
      </c>
      <c r="K286" s="46" t="str">
        <f aca="false">IF(IF($M286="",0,INDEX(伝票元!$N$6:$N$511,$M286))=1,INDEX(伝票元!$R$6:$R$511,$M286),"")</f>
        <v/>
      </c>
      <c r="L286" s="47" t="str">
        <f aca="false">IF($M286="","",INDEX(伝票元!$S$6:$S$511,$M286))</f>
        <v/>
      </c>
      <c r="M286" s="47" t="str">
        <f aca="false">IFERROR(MATCH(280,伝票元!$O$6:$O$511,0),"")</f>
        <v/>
      </c>
    </row>
    <row r="287" customFormat="false" ht="15" hidden="false" customHeight="false" outlineLevel="0" collapsed="false">
      <c r="A287" s="10" t="str">
        <f aca="false">IF($M287="","",INDEX(伝票元!$P$6:$P$511,$M287))</f>
        <v/>
      </c>
      <c r="B287" s="45" t="str">
        <f aca="false">IF($M287="","",INDEX(伝票元!$D$6:$D$511,$M287))</f>
        <v/>
      </c>
      <c r="C287" s="10" t="str">
        <f aca="false">IF($M287="","",INDEX(伝票元!$E$6:$E$511,$M287))</f>
        <v/>
      </c>
      <c r="D287" s="45" t="str">
        <f aca="false">IF($M287="","",INDEX(伝票元!$A$6:$A$511,$M287))</f>
        <v/>
      </c>
      <c r="E287" s="10" t="str">
        <f aca="false">IF(IF($M287="",0,INDEX(伝票元!$N$6:$N$511,$M287))=1,INDEX(伝票元!$I$6:$I$511,$M287),"")</f>
        <v/>
      </c>
      <c r="F287" s="45" t="str">
        <f aca="false">IF(IF($M287="",0,INDEX(伝票元!$N$6:$N$511,$M287))=1,INDEX(伝票元!$J$6:$J$511,$M287),"")</f>
        <v/>
      </c>
      <c r="G287" s="42" t="str">
        <f aca="false">IF(IF($M287="",0,INDEX(伝票元!$N$6:$N$511,$M287))=1,INDEX(伝票元!$Q$6:$Q$511,$M287),"")</f>
        <v/>
      </c>
      <c r="H287" s="45" t="str">
        <f aca="false">IF($M287="","",INDEX(伝票元!$F$6:$F$511,$M287))</f>
        <v/>
      </c>
      <c r="I287" s="45" t="str">
        <f aca="false">IF($M287="","",INDEX(伝票元!$G$6:$G$511,$M287))</f>
        <v/>
      </c>
      <c r="J287" s="42" t="str">
        <f aca="false">IF($M287="","",INDEX(伝票元!$H$6:$H$511,$M287))</f>
        <v/>
      </c>
      <c r="K287" s="46" t="str">
        <f aca="false">IF(IF($M287="",0,INDEX(伝票元!$N$6:$N$511,$M287))=1,INDEX(伝票元!$R$6:$R$511,$M287),"")</f>
        <v/>
      </c>
      <c r="L287" s="47" t="str">
        <f aca="false">IF($M287="","",INDEX(伝票元!$S$6:$S$511,$M287))</f>
        <v/>
      </c>
      <c r="M287" s="47" t="str">
        <f aca="false">IFERROR(MATCH(281,伝票元!$O$6:$O$511,0),"")</f>
        <v/>
      </c>
    </row>
    <row r="288" customFormat="false" ht="15" hidden="false" customHeight="false" outlineLevel="0" collapsed="false">
      <c r="A288" s="10" t="str">
        <f aca="false">IF($M288="","",INDEX(伝票元!$P$6:$P$511,$M288))</f>
        <v/>
      </c>
      <c r="B288" s="45" t="str">
        <f aca="false">IF($M288="","",INDEX(伝票元!$D$6:$D$511,$M288))</f>
        <v/>
      </c>
      <c r="C288" s="10" t="str">
        <f aca="false">IF($M288="","",INDEX(伝票元!$E$6:$E$511,$M288))</f>
        <v/>
      </c>
      <c r="D288" s="45" t="str">
        <f aca="false">IF($M288="","",INDEX(伝票元!$A$6:$A$511,$M288))</f>
        <v/>
      </c>
      <c r="E288" s="10" t="str">
        <f aca="false">IF(IF($M288="",0,INDEX(伝票元!$N$6:$N$511,$M288))=1,INDEX(伝票元!$I$6:$I$511,$M288),"")</f>
        <v/>
      </c>
      <c r="F288" s="45" t="str">
        <f aca="false">IF(IF($M288="",0,INDEX(伝票元!$N$6:$N$511,$M288))=1,INDEX(伝票元!$J$6:$J$511,$M288),"")</f>
        <v/>
      </c>
      <c r="G288" s="42" t="str">
        <f aca="false">IF(IF($M288="",0,INDEX(伝票元!$N$6:$N$511,$M288))=1,INDEX(伝票元!$Q$6:$Q$511,$M288),"")</f>
        <v/>
      </c>
      <c r="H288" s="45" t="str">
        <f aca="false">IF($M288="","",INDEX(伝票元!$F$6:$F$511,$M288))</f>
        <v/>
      </c>
      <c r="I288" s="45" t="str">
        <f aca="false">IF($M288="","",INDEX(伝票元!$G$6:$G$511,$M288))</f>
        <v/>
      </c>
      <c r="J288" s="42" t="str">
        <f aca="false">IF($M288="","",INDEX(伝票元!$H$6:$H$511,$M288))</f>
        <v/>
      </c>
      <c r="K288" s="46" t="str">
        <f aca="false">IF(IF($M288="",0,INDEX(伝票元!$N$6:$N$511,$M288))=1,INDEX(伝票元!$R$6:$R$511,$M288),"")</f>
        <v/>
      </c>
      <c r="L288" s="47" t="str">
        <f aca="false">IF($M288="","",INDEX(伝票元!$S$6:$S$511,$M288))</f>
        <v/>
      </c>
      <c r="M288" s="47" t="str">
        <f aca="false">IFERROR(MATCH(282,伝票元!$O$6:$O$511,0),"")</f>
        <v/>
      </c>
    </row>
    <row r="289" customFormat="false" ht="15" hidden="false" customHeight="false" outlineLevel="0" collapsed="false">
      <c r="A289" s="10" t="str">
        <f aca="false">IF($M289="","",INDEX(伝票元!$P$6:$P$511,$M289))</f>
        <v/>
      </c>
      <c r="B289" s="45" t="str">
        <f aca="false">IF($M289="","",INDEX(伝票元!$D$6:$D$511,$M289))</f>
        <v/>
      </c>
      <c r="C289" s="10" t="str">
        <f aca="false">IF($M289="","",INDEX(伝票元!$E$6:$E$511,$M289))</f>
        <v/>
      </c>
      <c r="D289" s="45" t="str">
        <f aca="false">IF($M289="","",INDEX(伝票元!$A$6:$A$511,$M289))</f>
        <v/>
      </c>
      <c r="E289" s="10" t="str">
        <f aca="false">IF(IF($M289="",0,INDEX(伝票元!$N$6:$N$511,$M289))=1,INDEX(伝票元!$I$6:$I$511,$M289),"")</f>
        <v/>
      </c>
      <c r="F289" s="45" t="str">
        <f aca="false">IF(IF($M289="",0,INDEX(伝票元!$N$6:$N$511,$M289))=1,INDEX(伝票元!$J$6:$J$511,$M289),"")</f>
        <v/>
      </c>
      <c r="G289" s="42" t="str">
        <f aca="false">IF(IF($M289="",0,INDEX(伝票元!$N$6:$N$511,$M289))=1,INDEX(伝票元!$Q$6:$Q$511,$M289),"")</f>
        <v/>
      </c>
      <c r="H289" s="45" t="str">
        <f aca="false">IF($M289="","",INDEX(伝票元!$F$6:$F$511,$M289))</f>
        <v/>
      </c>
      <c r="I289" s="45" t="str">
        <f aca="false">IF($M289="","",INDEX(伝票元!$G$6:$G$511,$M289))</f>
        <v/>
      </c>
      <c r="J289" s="42" t="str">
        <f aca="false">IF($M289="","",INDEX(伝票元!$H$6:$H$511,$M289))</f>
        <v/>
      </c>
      <c r="K289" s="46" t="str">
        <f aca="false">IF(IF($M289="",0,INDEX(伝票元!$N$6:$N$511,$M289))=1,INDEX(伝票元!$R$6:$R$511,$M289),"")</f>
        <v/>
      </c>
      <c r="L289" s="47" t="str">
        <f aca="false">IF($M289="","",INDEX(伝票元!$S$6:$S$511,$M289))</f>
        <v/>
      </c>
      <c r="M289" s="47" t="str">
        <f aca="false">IFERROR(MATCH(283,伝票元!$O$6:$O$511,0),"")</f>
        <v/>
      </c>
    </row>
    <row r="290" customFormat="false" ht="15" hidden="false" customHeight="false" outlineLevel="0" collapsed="false">
      <c r="A290" s="10" t="str">
        <f aca="false">IF($M290="","",INDEX(伝票元!$P$6:$P$511,$M290))</f>
        <v/>
      </c>
      <c r="B290" s="45" t="str">
        <f aca="false">IF($M290="","",INDEX(伝票元!$D$6:$D$511,$M290))</f>
        <v/>
      </c>
      <c r="C290" s="10" t="str">
        <f aca="false">IF($M290="","",INDEX(伝票元!$E$6:$E$511,$M290))</f>
        <v/>
      </c>
      <c r="D290" s="45" t="str">
        <f aca="false">IF($M290="","",INDEX(伝票元!$A$6:$A$511,$M290))</f>
        <v/>
      </c>
      <c r="E290" s="10" t="str">
        <f aca="false">IF(IF($M290="",0,INDEX(伝票元!$N$6:$N$511,$M290))=1,INDEX(伝票元!$I$6:$I$511,$M290),"")</f>
        <v/>
      </c>
      <c r="F290" s="45" t="str">
        <f aca="false">IF(IF($M290="",0,INDEX(伝票元!$N$6:$N$511,$M290))=1,INDEX(伝票元!$J$6:$J$511,$M290),"")</f>
        <v/>
      </c>
      <c r="G290" s="42" t="str">
        <f aca="false">IF(IF($M290="",0,INDEX(伝票元!$N$6:$N$511,$M290))=1,INDEX(伝票元!$Q$6:$Q$511,$M290),"")</f>
        <v/>
      </c>
      <c r="H290" s="45" t="str">
        <f aca="false">IF($M290="","",INDEX(伝票元!$F$6:$F$511,$M290))</f>
        <v/>
      </c>
      <c r="I290" s="45" t="str">
        <f aca="false">IF($M290="","",INDEX(伝票元!$G$6:$G$511,$M290))</f>
        <v/>
      </c>
      <c r="J290" s="42" t="str">
        <f aca="false">IF($M290="","",INDEX(伝票元!$H$6:$H$511,$M290))</f>
        <v/>
      </c>
      <c r="K290" s="46" t="str">
        <f aca="false">IF(IF($M290="",0,INDEX(伝票元!$N$6:$N$511,$M290))=1,INDEX(伝票元!$R$6:$R$511,$M290),"")</f>
        <v/>
      </c>
      <c r="L290" s="47" t="str">
        <f aca="false">IF($M290="","",INDEX(伝票元!$S$6:$S$511,$M290))</f>
        <v/>
      </c>
      <c r="M290" s="47" t="str">
        <f aca="false">IFERROR(MATCH(284,伝票元!$O$6:$O$511,0),"")</f>
        <v/>
      </c>
    </row>
    <row r="291" customFormat="false" ht="15" hidden="false" customHeight="false" outlineLevel="0" collapsed="false">
      <c r="A291" s="10" t="str">
        <f aca="false">IF($M291="","",INDEX(伝票元!$P$6:$P$511,$M291))</f>
        <v/>
      </c>
      <c r="B291" s="45" t="str">
        <f aca="false">IF($M291="","",INDEX(伝票元!$D$6:$D$511,$M291))</f>
        <v/>
      </c>
      <c r="C291" s="10" t="str">
        <f aca="false">IF($M291="","",INDEX(伝票元!$E$6:$E$511,$M291))</f>
        <v/>
      </c>
      <c r="D291" s="45" t="str">
        <f aca="false">IF($M291="","",INDEX(伝票元!$A$6:$A$511,$M291))</f>
        <v/>
      </c>
      <c r="E291" s="10" t="str">
        <f aca="false">IF(IF($M291="",0,INDEX(伝票元!$N$6:$N$511,$M291))=1,INDEX(伝票元!$I$6:$I$511,$M291),"")</f>
        <v/>
      </c>
      <c r="F291" s="45" t="str">
        <f aca="false">IF(IF($M291="",0,INDEX(伝票元!$N$6:$N$511,$M291))=1,INDEX(伝票元!$J$6:$J$511,$M291),"")</f>
        <v/>
      </c>
      <c r="G291" s="42" t="str">
        <f aca="false">IF(IF($M291="",0,INDEX(伝票元!$N$6:$N$511,$M291))=1,INDEX(伝票元!$Q$6:$Q$511,$M291),"")</f>
        <v/>
      </c>
      <c r="H291" s="45" t="str">
        <f aca="false">IF($M291="","",INDEX(伝票元!$F$6:$F$511,$M291))</f>
        <v/>
      </c>
      <c r="I291" s="45" t="str">
        <f aca="false">IF($M291="","",INDEX(伝票元!$G$6:$G$511,$M291))</f>
        <v/>
      </c>
      <c r="J291" s="42" t="str">
        <f aca="false">IF($M291="","",INDEX(伝票元!$H$6:$H$511,$M291))</f>
        <v/>
      </c>
      <c r="K291" s="46" t="str">
        <f aca="false">IF(IF($M291="",0,INDEX(伝票元!$N$6:$N$511,$M291))=1,INDEX(伝票元!$R$6:$R$511,$M291),"")</f>
        <v/>
      </c>
      <c r="L291" s="47" t="str">
        <f aca="false">IF($M291="","",INDEX(伝票元!$S$6:$S$511,$M291))</f>
        <v/>
      </c>
      <c r="M291" s="47" t="str">
        <f aca="false">IFERROR(MATCH(285,伝票元!$O$6:$O$511,0),"")</f>
        <v/>
      </c>
    </row>
    <row r="292" customFormat="false" ht="15" hidden="false" customHeight="false" outlineLevel="0" collapsed="false">
      <c r="A292" s="10" t="str">
        <f aca="false">IF($M292="","",INDEX(伝票元!$P$6:$P$511,$M292))</f>
        <v/>
      </c>
      <c r="B292" s="45" t="str">
        <f aca="false">IF($M292="","",INDEX(伝票元!$D$6:$D$511,$M292))</f>
        <v/>
      </c>
      <c r="C292" s="10" t="str">
        <f aca="false">IF($M292="","",INDEX(伝票元!$E$6:$E$511,$M292))</f>
        <v/>
      </c>
      <c r="D292" s="45" t="str">
        <f aca="false">IF($M292="","",INDEX(伝票元!$A$6:$A$511,$M292))</f>
        <v/>
      </c>
      <c r="E292" s="10" t="str">
        <f aca="false">IF(IF($M292="",0,INDEX(伝票元!$N$6:$N$511,$M292))=1,INDEX(伝票元!$I$6:$I$511,$M292),"")</f>
        <v/>
      </c>
      <c r="F292" s="45" t="str">
        <f aca="false">IF(IF($M292="",0,INDEX(伝票元!$N$6:$N$511,$M292))=1,INDEX(伝票元!$J$6:$J$511,$M292),"")</f>
        <v/>
      </c>
      <c r="G292" s="42" t="str">
        <f aca="false">IF(IF($M292="",0,INDEX(伝票元!$N$6:$N$511,$M292))=1,INDEX(伝票元!$Q$6:$Q$511,$M292),"")</f>
        <v/>
      </c>
      <c r="H292" s="45" t="str">
        <f aca="false">IF($M292="","",INDEX(伝票元!$F$6:$F$511,$M292))</f>
        <v/>
      </c>
      <c r="I292" s="45" t="str">
        <f aca="false">IF($M292="","",INDEX(伝票元!$G$6:$G$511,$M292))</f>
        <v/>
      </c>
      <c r="J292" s="42" t="str">
        <f aca="false">IF($M292="","",INDEX(伝票元!$H$6:$H$511,$M292))</f>
        <v/>
      </c>
      <c r="K292" s="46" t="str">
        <f aca="false">IF(IF($M292="",0,INDEX(伝票元!$N$6:$N$511,$M292))=1,INDEX(伝票元!$R$6:$R$511,$M292),"")</f>
        <v/>
      </c>
      <c r="L292" s="47" t="str">
        <f aca="false">IF($M292="","",INDEX(伝票元!$S$6:$S$511,$M292))</f>
        <v/>
      </c>
      <c r="M292" s="47" t="str">
        <f aca="false">IFERROR(MATCH(286,伝票元!$O$6:$O$511,0),"")</f>
        <v/>
      </c>
    </row>
    <row r="293" customFormat="false" ht="15" hidden="false" customHeight="false" outlineLevel="0" collapsed="false">
      <c r="A293" s="10" t="str">
        <f aca="false">IF($M293="","",INDEX(伝票元!$P$6:$P$511,$M293))</f>
        <v/>
      </c>
      <c r="B293" s="45" t="str">
        <f aca="false">IF($M293="","",INDEX(伝票元!$D$6:$D$511,$M293))</f>
        <v/>
      </c>
      <c r="C293" s="10" t="str">
        <f aca="false">IF($M293="","",INDEX(伝票元!$E$6:$E$511,$M293))</f>
        <v/>
      </c>
      <c r="D293" s="45" t="str">
        <f aca="false">IF($M293="","",INDEX(伝票元!$A$6:$A$511,$M293))</f>
        <v/>
      </c>
      <c r="E293" s="10" t="str">
        <f aca="false">IF(IF($M293="",0,INDEX(伝票元!$N$6:$N$511,$M293))=1,INDEX(伝票元!$I$6:$I$511,$M293),"")</f>
        <v/>
      </c>
      <c r="F293" s="45" t="str">
        <f aca="false">IF(IF($M293="",0,INDEX(伝票元!$N$6:$N$511,$M293))=1,INDEX(伝票元!$J$6:$J$511,$M293),"")</f>
        <v/>
      </c>
      <c r="G293" s="42" t="str">
        <f aca="false">IF(IF($M293="",0,INDEX(伝票元!$N$6:$N$511,$M293))=1,INDEX(伝票元!$Q$6:$Q$511,$M293),"")</f>
        <v/>
      </c>
      <c r="H293" s="45" t="str">
        <f aca="false">IF($M293="","",INDEX(伝票元!$F$6:$F$511,$M293))</f>
        <v/>
      </c>
      <c r="I293" s="45" t="str">
        <f aca="false">IF($M293="","",INDEX(伝票元!$G$6:$G$511,$M293))</f>
        <v/>
      </c>
      <c r="J293" s="42" t="str">
        <f aca="false">IF($M293="","",INDEX(伝票元!$H$6:$H$511,$M293))</f>
        <v/>
      </c>
      <c r="K293" s="46" t="str">
        <f aca="false">IF(IF($M293="",0,INDEX(伝票元!$N$6:$N$511,$M293))=1,INDEX(伝票元!$R$6:$R$511,$M293),"")</f>
        <v/>
      </c>
      <c r="L293" s="47" t="str">
        <f aca="false">IF($M293="","",INDEX(伝票元!$S$6:$S$511,$M293))</f>
        <v/>
      </c>
      <c r="M293" s="47" t="str">
        <f aca="false">IFERROR(MATCH(287,伝票元!$O$6:$O$511,0),"")</f>
        <v/>
      </c>
    </row>
    <row r="294" customFormat="false" ht="15" hidden="false" customHeight="false" outlineLevel="0" collapsed="false">
      <c r="A294" s="10" t="str">
        <f aca="false">IF($M294="","",INDEX(伝票元!$P$6:$P$511,$M294))</f>
        <v/>
      </c>
      <c r="B294" s="45" t="str">
        <f aca="false">IF($M294="","",INDEX(伝票元!$D$6:$D$511,$M294))</f>
        <v/>
      </c>
      <c r="C294" s="10" t="str">
        <f aca="false">IF($M294="","",INDEX(伝票元!$E$6:$E$511,$M294))</f>
        <v/>
      </c>
      <c r="D294" s="45" t="str">
        <f aca="false">IF($M294="","",INDEX(伝票元!$A$6:$A$511,$M294))</f>
        <v/>
      </c>
      <c r="E294" s="10" t="str">
        <f aca="false">IF(IF($M294="",0,INDEX(伝票元!$N$6:$N$511,$M294))=1,INDEX(伝票元!$I$6:$I$511,$M294),"")</f>
        <v/>
      </c>
      <c r="F294" s="45" t="str">
        <f aca="false">IF(IF($M294="",0,INDEX(伝票元!$N$6:$N$511,$M294))=1,INDEX(伝票元!$J$6:$J$511,$M294),"")</f>
        <v/>
      </c>
      <c r="G294" s="42" t="str">
        <f aca="false">IF(IF($M294="",0,INDEX(伝票元!$N$6:$N$511,$M294))=1,INDEX(伝票元!$Q$6:$Q$511,$M294),"")</f>
        <v/>
      </c>
      <c r="H294" s="45" t="str">
        <f aca="false">IF($M294="","",INDEX(伝票元!$F$6:$F$511,$M294))</f>
        <v/>
      </c>
      <c r="I294" s="45" t="str">
        <f aca="false">IF($M294="","",INDEX(伝票元!$G$6:$G$511,$M294))</f>
        <v/>
      </c>
      <c r="J294" s="42" t="str">
        <f aca="false">IF($M294="","",INDEX(伝票元!$H$6:$H$511,$M294))</f>
        <v/>
      </c>
      <c r="K294" s="46" t="str">
        <f aca="false">IF(IF($M294="",0,INDEX(伝票元!$N$6:$N$511,$M294))=1,INDEX(伝票元!$R$6:$R$511,$M294),"")</f>
        <v/>
      </c>
      <c r="L294" s="47" t="str">
        <f aca="false">IF($M294="","",INDEX(伝票元!$S$6:$S$511,$M294))</f>
        <v/>
      </c>
      <c r="M294" s="47" t="str">
        <f aca="false">IFERROR(MATCH(288,伝票元!$O$6:$O$511,0),"")</f>
        <v/>
      </c>
    </row>
    <row r="295" customFormat="false" ht="15" hidden="false" customHeight="false" outlineLevel="0" collapsed="false">
      <c r="A295" s="10" t="str">
        <f aca="false">IF($M295="","",INDEX(伝票元!$P$6:$P$511,$M295))</f>
        <v/>
      </c>
      <c r="B295" s="45" t="str">
        <f aca="false">IF($M295="","",INDEX(伝票元!$D$6:$D$511,$M295))</f>
        <v/>
      </c>
      <c r="C295" s="10" t="str">
        <f aca="false">IF($M295="","",INDEX(伝票元!$E$6:$E$511,$M295))</f>
        <v/>
      </c>
      <c r="D295" s="45" t="str">
        <f aca="false">IF($M295="","",INDEX(伝票元!$A$6:$A$511,$M295))</f>
        <v/>
      </c>
      <c r="E295" s="10" t="str">
        <f aca="false">IF(IF($M295="",0,INDEX(伝票元!$N$6:$N$511,$M295))=1,INDEX(伝票元!$I$6:$I$511,$M295),"")</f>
        <v/>
      </c>
      <c r="F295" s="45" t="str">
        <f aca="false">IF(IF($M295="",0,INDEX(伝票元!$N$6:$N$511,$M295))=1,INDEX(伝票元!$J$6:$J$511,$M295),"")</f>
        <v/>
      </c>
      <c r="G295" s="42" t="str">
        <f aca="false">IF(IF($M295="",0,INDEX(伝票元!$N$6:$N$511,$M295))=1,INDEX(伝票元!$Q$6:$Q$511,$M295),"")</f>
        <v/>
      </c>
      <c r="H295" s="45" t="str">
        <f aca="false">IF($M295="","",INDEX(伝票元!$F$6:$F$511,$M295))</f>
        <v/>
      </c>
      <c r="I295" s="45" t="str">
        <f aca="false">IF($M295="","",INDEX(伝票元!$G$6:$G$511,$M295))</f>
        <v/>
      </c>
      <c r="J295" s="42" t="str">
        <f aca="false">IF($M295="","",INDEX(伝票元!$H$6:$H$511,$M295))</f>
        <v/>
      </c>
      <c r="K295" s="46" t="str">
        <f aca="false">IF(IF($M295="",0,INDEX(伝票元!$N$6:$N$511,$M295))=1,INDEX(伝票元!$R$6:$R$511,$M295),"")</f>
        <v/>
      </c>
      <c r="L295" s="47" t="str">
        <f aca="false">IF($M295="","",INDEX(伝票元!$S$6:$S$511,$M295))</f>
        <v/>
      </c>
      <c r="M295" s="47" t="str">
        <f aca="false">IFERROR(MATCH(289,伝票元!$O$6:$O$511,0),"")</f>
        <v/>
      </c>
    </row>
    <row r="296" customFormat="false" ht="15" hidden="false" customHeight="false" outlineLevel="0" collapsed="false">
      <c r="A296" s="10" t="str">
        <f aca="false">IF($M296="","",INDEX(伝票元!$P$6:$P$511,$M296))</f>
        <v/>
      </c>
      <c r="B296" s="45" t="str">
        <f aca="false">IF($M296="","",INDEX(伝票元!$D$6:$D$511,$M296))</f>
        <v/>
      </c>
      <c r="C296" s="10" t="str">
        <f aca="false">IF($M296="","",INDEX(伝票元!$E$6:$E$511,$M296))</f>
        <v/>
      </c>
      <c r="D296" s="45" t="str">
        <f aca="false">IF($M296="","",INDEX(伝票元!$A$6:$A$511,$M296))</f>
        <v/>
      </c>
      <c r="E296" s="10" t="str">
        <f aca="false">IF(IF($M296="",0,INDEX(伝票元!$N$6:$N$511,$M296))=1,INDEX(伝票元!$I$6:$I$511,$M296),"")</f>
        <v/>
      </c>
      <c r="F296" s="45" t="str">
        <f aca="false">IF(IF($M296="",0,INDEX(伝票元!$N$6:$N$511,$M296))=1,INDEX(伝票元!$J$6:$J$511,$M296),"")</f>
        <v/>
      </c>
      <c r="G296" s="42" t="str">
        <f aca="false">IF(IF($M296="",0,INDEX(伝票元!$N$6:$N$511,$M296))=1,INDEX(伝票元!$Q$6:$Q$511,$M296),"")</f>
        <v/>
      </c>
      <c r="H296" s="45" t="str">
        <f aca="false">IF($M296="","",INDEX(伝票元!$F$6:$F$511,$M296))</f>
        <v/>
      </c>
      <c r="I296" s="45" t="str">
        <f aca="false">IF($M296="","",INDEX(伝票元!$G$6:$G$511,$M296))</f>
        <v/>
      </c>
      <c r="J296" s="42" t="str">
        <f aca="false">IF($M296="","",INDEX(伝票元!$H$6:$H$511,$M296))</f>
        <v/>
      </c>
      <c r="K296" s="46" t="str">
        <f aca="false">IF(IF($M296="",0,INDEX(伝票元!$N$6:$N$511,$M296))=1,INDEX(伝票元!$R$6:$R$511,$M296),"")</f>
        <v/>
      </c>
      <c r="L296" s="47" t="str">
        <f aca="false">IF($M296="","",INDEX(伝票元!$S$6:$S$511,$M296))</f>
        <v/>
      </c>
      <c r="M296" s="47" t="str">
        <f aca="false">IFERROR(MATCH(290,伝票元!$O$6:$O$511,0),"")</f>
        <v/>
      </c>
    </row>
    <row r="297" customFormat="false" ht="15" hidden="false" customHeight="false" outlineLevel="0" collapsed="false">
      <c r="A297" s="10" t="str">
        <f aca="false">IF($M297="","",INDEX(伝票元!$P$6:$P$511,$M297))</f>
        <v/>
      </c>
      <c r="B297" s="45" t="str">
        <f aca="false">IF($M297="","",INDEX(伝票元!$D$6:$D$511,$M297))</f>
        <v/>
      </c>
      <c r="C297" s="10" t="str">
        <f aca="false">IF($M297="","",INDEX(伝票元!$E$6:$E$511,$M297))</f>
        <v/>
      </c>
      <c r="D297" s="45" t="str">
        <f aca="false">IF($M297="","",INDEX(伝票元!$A$6:$A$511,$M297))</f>
        <v/>
      </c>
      <c r="E297" s="10" t="str">
        <f aca="false">IF(IF($M297="",0,INDEX(伝票元!$N$6:$N$511,$M297))=1,INDEX(伝票元!$I$6:$I$511,$M297),"")</f>
        <v/>
      </c>
      <c r="F297" s="45" t="str">
        <f aca="false">IF(IF($M297="",0,INDEX(伝票元!$N$6:$N$511,$M297))=1,INDEX(伝票元!$J$6:$J$511,$M297),"")</f>
        <v/>
      </c>
      <c r="G297" s="42" t="str">
        <f aca="false">IF(IF($M297="",0,INDEX(伝票元!$N$6:$N$511,$M297))=1,INDEX(伝票元!$Q$6:$Q$511,$M297),"")</f>
        <v/>
      </c>
      <c r="H297" s="45" t="str">
        <f aca="false">IF($M297="","",INDEX(伝票元!$F$6:$F$511,$M297))</f>
        <v/>
      </c>
      <c r="I297" s="45" t="str">
        <f aca="false">IF($M297="","",INDEX(伝票元!$G$6:$G$511,$M297))</f>
        <v/>
      </c>
      <c r="J297" s="42" t="str">
        <f aca="false">IF($M297="","",INDEX(伝票元!$H$6:$H$511,$M297))</f>
        <v/>
      </c>
      <c r="K297" s="46" t="str">
        <f aca="false">IF(IF($M297="",0,INDEX(伝票元!$N$6:$N$511,$M297))=1,INDEX(伝票元!$R$6:$R$511,$M297),"")</f>
        <v/>
      </c>
      <c r="L297" s="47" t="str">
        <f aca="false">IF($M297="","",INDEX(伝票元!$S$6:$S$511,$M297))</f>
        <v/>
      </c>
      <c r="M297" s="47" t="str">
        <f aca="false">IFERROR(MATCH(291,伝票元!$O$6:$O$511,0),"")</f>
        <v/>
      </c>
    </row>
    <row r="298" customFormat="false" ht="15" hidden="false" customHeight="false" outlineLevel="0" collapsed="false">
      <c r="A298" s="10" t="str">
        <f aca="false">IF($M298="","",INDEX(伝票元!$P$6:$P$511,$M298))</f>
        <v/>
      </c>
      <c r="B298" s="45" t="str">
        <f aca="false">IF($M298="","",INDEX(伝票元!$D$6:$D$511,$M298))</f>
        <v/>
      </c>
      <c r="C298" s="10" t="str">
        <f aca="false">IF($M298="","",INDEX(伝票元!$E$6:$E$511,$M298))</f>
        <v/>
      </c>
      <c r="D298" s="45" t="str">
        <f aca="false">IF($M298="","",INDEX(伝票元!$A$6:$A$511,$M298))</f>
        <v/>
      </c>
      <c r="E298" s="10" t="str">
        <f aca="false">IF(IF($M298="",0,INDEX(伝票元!$N$6:$N$511,$M298))=1,INDEX(伝票元!$I$6:$I$511,$M298),"")</f>
        <v/>
      </c>
      <c r="F298" s="45" t="str">
        <f aca="false">IF(IF($M298="",0,INDEX(伝票元!$N$6:$N$511,$M298))=1,INDEX(伝票元!$J$6:$J$511,$M298),"")</f>
        <v/>
      </c>
      <c r="G298" s="42" t="str">
        <f aca="false">IF(IF($M298="",0,INDEX(伝票元!$N$6:$N$511,$M298))=1,INDEX(伝票元!$Q$6:$Q$511,$M298),"")</f>
        <v/>
      </c>
      <c r="H298" s="45" t="str">
        <f aca="false">IF($M298="","",INDEX(伝票元!$F$6:$F$511,$M298))</f>
        <v/>
      </c>
      <c r="I298" s="45" t="str">
        <f aca="false">IF($M298="","",INDEX(伝票元!$G$6:$G$511,$M298))</f>
        <v/>
      </c>
      <c r="J298" s="42" t="str">
        <f aca="false">IF($M298="","",INDEX(伝票元!$H$6:$H$511,$M298))</f>
        <v/>
      </c>
      <c r="K298" s="46" t="str">
        <f aca="false">IF(IF($M298="",0,INDEX(伝票元!$N$6:$N$511,$M298))=1,INDEX(伝票元!$R$6:$R$511,$M298),"")</f>
        <v/>
      </c>
      <c r="L298" s="47" t="str">
        <f aca="false">IF($M298="","",INDEX(伝票元!$S$6:$S$511,$M298))</f>
        <v/>
      </c>
      <c r="M298" s="47" t="str">
        <f aca="false">IFERROR(MATCH(292,伝票元!$O$6:$O$511,0),"")</f>
        <v/>
      </c>
    </row>
    <row r="299" customFormat="false" ht="15" hidden="false" customHeight="false" outlineLevel="0" collapsed="false">
      <c r="A299" s="10" t="str">
        <f aca="false">IF($M299="","",INDEX(伝票元!$P$6:$P$511,$M299))</f>
        <v/>
      </c>
      <c r="B299" s="45" t="str">
        <f aca="false">IF($M299="","",INDEX(伝票元!$D$6:$D$511,$M299))</f>
        <v/>
      </c>
      <c r="C299" s="10" t="str">
        <f aca="false">IF($M299="","",INDEX(伝票元!$E$6:$E$511,$M299))</f>
        <v/>
      </c>
      <c r="D299" s="45" t="str">
        <f aca="false">IF($M299="","",INDEX(伝票元!$A$6:$A$511,$M299))</f>
        <v/>
      </c>
      <c r="E299" s="10" t="str">
        <f aca="false">IF(IF($M299="",0,INDEX(伝票元!$N$6:$N$511,$M299))=1,INDEX(伝票元!$I$6:$I$511,$M299),"")</f>
        <v/>
      </c>
      <c r="F299" s="45" t="str">
        <f aca="false">IF(IF($M299="",0,INDEX(伝票元!$N$6:$N$511,$M299))=1,INDEX(伝票元!$J$6:$J$511,$M299),"")</f>
        <v/>
      </c>
      <c r="G299" s="42" t="str">
        <f aca="false">IF(IF($M299="",0,INDEX(伝票元!$N$6:$N$511,$M299))=1,INDEX(伝票元!$Q$6:$Q$511,$M299),"")</f>
        <v/>
      </c>
      <c r="H299" s="45" t="str">
        <f aca="false">IF($M299="","",INDEX(伝票元!$F$6:$F$511,$M299))</f>
        <v/>
      </c>
      <c r="I299" s="45" t="str">
        <f aca="false">IF($M299="","",INDEX(伝票元!$G$6:$G$511,$M299))</f>
        <v/>
      </c>
      <c r="J299" s="42" t="str">
        <f aca="false">IF($M299="","",INDEX(伝票元!$H$6:$H$511,$M299))</f>
        <v/>
      </c>
      <c r="K299" s="46" t="str">
        <f aca="false">IF(IF($M299="",0,INDEX(伝票元!$N$6:$N$511,$M299))=1,INDEX(伝票元!$R$6:$R$511,$M299),"")</f>
        <v/>
      </c>
      <c r="L299" s="47" t="str">
        <f aca="false">IF($M299="","",INDEX(伝票元!$S$6:$S$511,$M299))</f>
        <v/>
      </c>
      <c r="M299" s="47" t="str">
        <f aca="false">IFERROR(MATCH(293,伝票元!$O$6:$O$511,0),"")</f>
        <v/>
      </c>
    </row>
    <row r="300" customFormat="false" ht="15" hidden="false" customHeight="false" outlineLevel="0" collapsed="false">
      <c r="A300" s="10" t="str">
        <f aca="false">IF($M300="","",INDEX(伝票元!$P$6:$P$511,$M300))</f>
        <v/>
      </c>
      <c r="B300" s="45" t="str">
        <f aca="false">IF($M300="","",INDEX(伝票元!$D$6:$D$511,$M300))</f>
        <v/>
      </c>
      <c r="C300" s="10" t="str">
        <f aca="false">IF($M300="","",INDEX(伝票元!$E$6:$E$511,$M300))</f>
        <v/>
      </c>
      <c r="D300" s="45" t="str">
        <f aca="false">IF($M300="","",INDEX(伝票元!$A$6:$A$511,$M300))</f>
        <v/>
      </c>
      <c r="E300" s="10" t="str">
        <f aca="false">IF(IF($M300="",0,INDEX(伝票元!$N$6:$N$511,$M300))=1,INDEX(伝票元!$I$6:$I$511,$M300),"")</f>
        <v/>
      </c>
      <c r="F300" s="45" t="str">
        <f aca="false">IF(IF($M300="",0,INDEX(伝票元!$N$6:$N$511,$M300))=1,INDEX(伝票元!$J$6:$J$511,$M300),"")</f>
        <v/>
      </c>
      <c r="G300" s="42" t="str">
        <f aca="false">IF(IF($M300="",0,INDEX(伝票元!$N$6:$N$511,$M300))=1,INDEX(伝票元!$Q$6:$Q$511,$M300),"")</f>
        <v/>
      </c>
      <c r="H300" s="45" t="str">
        <f aca="false">IF($M300="","",INDEX(伝票元!$F$6:$F$511,$M300))</f>
        <v/>
      </c>
      <c r="I300" s="45" t="str">
        <f aca="false">IF($M300="","",INDEX(伝票元!$G$6:$G$511,$M300))</f>
        <v/>
      </c>
      <c r="J300" s="42" t="str">
        <f aca="false">IF($M300="","",INDEX(伝票元!$H$6:$H$511,$M300))</f>
        <v/>
      </c>
      <c r="K300" s="46" t="str">
        <f aca="false">IF(IF($M300="",0,INDEX(伝票元!$N$6:$N$511,$M300))=1,INDEX(伝票元!$R$6:$R$511,$M300),"")</f>
        <v/>
      </c>
      <c r="L300" s="47" t="str">
        <f aca="false">IF($M300="","",INDEX(伝票元!$S$6:$S$511,$M300))</f>
        <v/>
      </c>
      <c r="M300" s="47" t="str">
        <f aca="false">IFERROR(MATCH(294,伝票元!$O$6:$O$511,0),"")</f>
        <v/>
      </c>
    </row>
    <row r="301" customFormat="false" ht="15" hidden="false" customHeight="false" outlineLevel="0" collapsed="false">
      <c r="A301" s="10" t="str">
        <f aca="false">IF($M301="","",INDEX(伝票元!$P$6:$P$511,$M301))</f>
        <v/>
      </c>
      <c r="B301" s="45" t="str">
        <f aca="false">IF($M301="","",INDEX(伝票元!$D$6:$D$511,$M301))</f>
        <v/>
      </c>
      <c r="C301" s="10" t="str">
        <f aca="false">IF($M301="","",INDEX(伝票元!$E$6:$E$511,$M301))</f>
        <v/>
      </c>
      <c r="D301" s="45" t="str">
        <f aca="false">IF($M301="","",INDEX(伝票元!$A$6:$A$511,$M301))</f>
        <v/>
      </c>
      <c r="E301" s="10" t="str">
        <f aca="false">IF(IF($M301="",0,INDEX(伝票元!$N$6:$N$511,$M301))=1,INDEX(伝票元!$I$6:$I$511,$M301),"")</f>
        <v/>
      </c>
      <c r="F301" s="45" t="str">
        <f aca="false">IF(IF($M301="",0,INDEX(伝票元!$N$6:$N$511,$M301))=1,INDEX(伝票元!$J$6:$J$511,$M301),"")</f>
        <v/>
      </c>
      <c r="G301" s="42" t="str">
        <f aca="false">IF(IF($M301="",0,INDEX(伝票元!$N$6:$N$511,$M301))=1,INDEX(伝票元!$Q$6:$Q$511,$M301),"")</f>
        <v/>
      </c>
      <c r="H301" s="45" t="str">
        <f aca="false">IF($M301="","",INDEX(伝票元!$F$6:$F$511,$M301))</f>
        <v/>
      </c>
      <c r="I301" s="45" t="str">
        <f aca="false">IF($M301="","",INDEX(伝票元!$G$6:$G$511,$M301))</f>
        <v/>
      </c>
      <c r="J301" s="42" t="str">
        <f aca="false">IF($M301="","",INDEX(伝票元!$H$6:$H$511,$M301))</f>
        <v/>
      </c>
      <c r="K301" s="46" t="str">
        <f aca="false">IF(IF($M301="",0,INDEX(伝票元!$N$6:$N$511,$M301))=1,INDEX(伝票元!$R$6:$R$511,$M301),"")</f>
        <v/>
      </c>
      <c r="L301" s="47" t="str">
        <f aca="false">IF($M301="","",INDEX(伝票元!$S$6:$S$511,$M301))</f>
        <v/>
      </c>
      <c r="M301" s="47" t="str">
        <f aca="false">IFERROR(MATCH(295,伝票元!$O$6:$O$511,0),"")</f>
        <v/>
      </c>
    </row>
    <row r="302" customFormat="false" ht="15" hidden="false" customHeight="false" outlineLevel="0" collapsed="false">
      <c r="A302" s="10" t="str">
        <f aca="false">IF($M302="","",INDEX(伝票元!$P$6:$P$511,$M302))</f>
        <v/>
      </c>
      <c r="B302" s="45" t="str">
        <f aca="false">IF($M302="","",INDEX(伝票元!$D$6:$D$511,$M302))</f>
        <v/>
      </c>
      <c r="C302" s="10" t="str">
        <f aca="false">IF($M302="","",INDEX(伝票元!$E$6:$E$511,$M302))</f>
        <v/>
      </c>
      <c r="D302" s="45" t="str">
        <f aca="false">IF($M302="","",INDEX(伝票元!$A$6:$A$511,$M302))</f>
        <v/>
      </c>
      <c r="E302" s="10" t="str">
        <f aca="false">IF(IF($M302="",0,INDEX(伝票元!$N$6:$N$511,$M302))=1,INDEX(伝票元!$I$6:$I$511,$M302),"")</f>
        <v/>
      </c>
      <c r="F302" s="45" t="str">
        <f aca="false">IF(IF($M302="",0,INDEX(伝票元!$N$6:$N$511,$M302))=1,INDEX(伝票元!$J$6:$J$511,$M302),"")</f>
        <v/>
      </c>
      <c r="G302" s="42" t="str">
        <f aca="false">IF(IF($M302="",0,INDEX(伝票元!$N$6:$N$511,$M302))=1,INDEX(伝票元!$Q$6:$Q$511,$M302),"")</f>
        <v/>
      </c>
      <c r="H302" s="45" t="str">
        <f aca="false">IF($M302="","",INDEX(伝票元!$F$6:$F$511,$M302))</f>
        <v/>
      </c>
      <c r="I302" s="45" t="str">
        <f aca="false">IF($M302="","",INDEX(伝票元!$G$6:$G$511,$M302))</f>
        <v/>
      </c>
      <c r="J302" s="42" t="str">
        <f aca="false">IF($M302="","",INDEX(伝票元!$H$6:$H$511,$M302))</f>
        <v/>
      </c>
      <c r="K302" s="46" t="str">
        <f aca="false">IF(IF($M302="",0,INDEX(伝票元!$N$6:$N$511,$M302))=1,INDEX(伝票元!$R$6:$R$511,$M302),"")</f>
        <v/>
      </c>
      <c r="L302" s="47" t="str">
        <f aca="false">IF($M302="","",INDEX(伝票元!$S$6:$S$511,$M302))</f>
        <v/>
      </c>
      <c r="M302" s="47" t="str">
        <f aca="false">IFERROR(MATCH(296,伝票元!$O$6:$O$511,0),"")</f>
        <v/>
      </c>
    </row>
    <row r="303" customFormat="false" ht="15" hidden="false" customHeight="false" outlineLevel="0" collapsed="false">
      <c r="A303" s="10" t="str">
        <f aca="false">IF($M303="","",INDEX(伝票元!$P$6:$P$511,$M303))</f>
        <v/>
      </c>
      <c r="B303" s="45" t="str">
        <f aca="false">IF($M303="","",INDEX(伝票元!$D$6:$D$511,$M303))</f>
        <v/>
      </c>
      <c r="C303" s="10" t="str">
        <f aca="false">IF($M303="","",INDEX(伝票元!$E$6:$E$511,$M303))</f>
        <v/>
      </c>
      <c r="D303" s="45" t="str">
        <f aca="false">IF($M303="","",INDEX(伝票元!$A$6:$A$511,$M303))</f>
        <v/>
      </c>
      <c r="E303" s="10" t="str">
        <f aca="false">IF(IF($M303="",0,INDEX(伝票元!$N$6:$N$511,$M303))=1,INDEX(伝票元!$I$6:$I$511,$M303),"")</f>
        <v/>
      </c>
      <c r="F303" s="45" t="str">
        <f aca="false">IF(IF($M303="",0,INDEX(伝票元!$N$6:$N$511,$M303))=1,INDEX(伝票元!$J$6:$J$511,$M303),"")</f>
        <v/>
      </c>
      <c r="G303" s="42" t="str">
        <f aca="false">IF(IF($M303="",0,INDEX(伝票元!$N$6:$N$511,$M303))=1,INDEX(伝票元!$Q$6:$Q$511,$M303),"")</f>
        <v/>
      </c>
      <c r="H303" s="45" t="str">
        <f aca="false">IF($M303="","",INDEX(伝票元!$F$6:$F$511,$M303))</f>
        <v/>
      </c>
      <c r="I303" s="45" t="str">
        <f aca="false">IF($M303="","",INDEX(伝票元!$G$6:$G$511,$M303))</f>
        <v/>
      </c>
      <c r="J303" s="42" t="str">
        <f aca="false">IF($M303="","",INDEX(伝票元!$H$6:$H$511,$M303))</f>
        <v/>
      </c>
      <c r="K303" s="46" t="str">
        <f aca="false">IF(IF($M303="",0,INDEX(伝票元!$N$6:$N$511,$M303))=1,INDEX(伝票元!$R$6:$R$511,$M303),"")</f>
        <v/>
      </c>
      <c r="L303" s="47" t="str">
        <f aca="false">IF($M303="","",INDEX(伝票元!$S$6:$S$511,$M303))</f>
        <v/>
      </c>
      <c r="M303" s="47" t="str">
        <f aca="false">IFERROR(MATCH(297,伝票元!$O$6:$O$511,0),"")</f>
        <v/>
      </c>
    </row>
    <row r="304" customFormat="false" ht="15" hidden="false" customHeight="false" outlineLevel="0" collapsed="false">
      <c r="A304" s="10" t="str">
        <f aca="false">IF($M304="","",INDEX(伝票元!$P$6:$P$511,$M304))</f>
        <v/>
      </c>
      <c r="B304" s="45" t="str">
        <f aca="false">IF($M304="","",INDEX(伝票元!$D$6:$D$511,$M304))</f>
        <v/>
      </c>
      <c r="C304" s="10" t="str">
        <f aca="false">IF($M304="","",INDEX(伝票元!$E$6:$E$511,$M304))</f>
        <v/>
      </c>
      <c r="D304" s="45" t="str">
        <f aca="false">IF($M304="","",INDEX(伝票元!$A$6:$A$511,$M304))</f>
        <v/>
      </c>
      <c r="E304" s="10" t="str">
        <f aca="false">IF(IF($M304="",0,INDEX(伝票元!$N$6:$N$511,$M304))=1,INDEX(伝票元!$I$6:$I$511,$M304),"")</f>
        <v/>
      </c>
      <c r="F304" s="45" t="str">
        <f aca="false">IF(IF($M304="",0,INDEX(伝票元!$N$6:$N$511,$M304))=1,INDEX(伝票元!$J$6:$J$511,$M304),"")</f>
        <v/>
      </c>
      <c r="G304" s="42" t="str">
        <f aca="false">IF(IF($M304="",0,INDEX(伝票元!$N$6:$N$511,$M304))=1,INDEX(伝票元!$Q$6:$Q$511,$M304),"")</f>
        <v/>
      </c>
      <c r="H304" s="45" t="str">
        <f aca="false">IF($M304="","",INDEX(伝票元!$F$6:$F$511,$M304))</f>
        <v/>
      </c>
      <c r="I304" s="45" t="str">
        <f aca="false">IF($M304="","",INDEX(伝票元!$G$6:$G$511,$M304))</f>
        <v/>
      </c>
      <c r="J304" s="42" t="str">
        <f aca="false">IF($M304="","",INDEX(伝票元!$H$6:$H$511,$M304))</f>
        <v/>
      </c>
      <c r="K304" s="46" t="str">
        <f aca="false">IF(IF($M304="",0,INDEX(伝票元!$N$6:$N$511,$M304))=1,INDEX(伝票元!$R$6:$R$511,$M304),"")</f>
        <v/>
      </c>
      <c r="L304" s="47" t="str">
        <f aca="false">IF($M304="","",INDEX(伝票元!$S$6:$S$511,$M304))</f>
        <v/>
      </c>
      <c r="M304" s="47" t="str">
        <f aca="false">IFERROR(MATCH(298,伝票元!$O$6:$O$511,0),"")</f>
        <v/>
      </c>
    </row>
    <row r="305" customFormat="false" ht="15" hidden="false" customHeight="false" outlineLevel="0" collapsed="false">
      <c r="A305" s="10" t="str">
        <f aca="false">IF($M305="","",INDEX(伝票元!$P$6:$P$511,$M305))</f>
        <v/>
      </c>
      <c r="B305" s="45" t="str">
        <f aca="false">IF($M305="","",INDEX(伝票元!$D$6:$D$511,$M305))</f>
        <v/>
      </c>
      <c r="C305" s="10" t="str">
        <f aca="false">IF($M305="","",INDEX(伝票元!$E$6:$E$511,$M305))</f>
        <v/>
      </c>
      <c r="D305" s="45" t="str">
        <f aca="false">IF($M305="","",INDEX(伝票元!$A$6:$A$511,$M305))</f>
        <v/>
      </c>
      <c r="E305" s="10" t="str">
        <f aca="false">IF(IF($M305="",0,INDEX(伝票元!$N$6:$N$511,$M305))=1,INDEX(伝票元!$I$6:$I$511,$M305),"")</f>
        <v/>
      </c>
      <c r="F305" s="45" t="str">
        <f aca="false">IF(IF($M305="",0,INDEX(伝票元!$N$6:$N$511,$M305))=1,INDEX(伝票元!$J$6:$J$511,$M305),"")</f>
        <v/>
      </c>
      <c r="G305" s="42" t="str">
        <f aca="false">IF(IF($M305="",0,INDEX(伝票元!$N$6:$N$511,$M305))=1,INDEX(伝票元!$Q$6:$Q$511,$M305),"")</f>
        <v/>
      </c>
      <c r="H305" s="45" t="str">
        <f aca="false">IF($M305="","",INDEX(伝票元!$F$6:$F$511,$M305))</f>
        <v/>
      </c>
      <c r="I305" s="45" t="str">
        <f aca="false">IF($M305="","",INDEX(伝票元!$G$6:$G$511,$M305))</f>
        <v/>
      </c>
      <c r="J305" s="42" t="str">
        <f aca="false">IF($M305="","",INDEX(伝票元!$H$6:$H$511,$M305))</f>
        <v/>
      </c>
      <c r="K305" s="46" t="str">
        <f aca="false">IF(IF($M305="",0,INDEX(伝票元!$N$6:$N$511,$M305))=1,INDEX(伝票元!$R$6:$R$511,$M305),"")</f>
        <v/>
      </c>
      <c r="L305" s="47" t="str">
        <f aca="false">IF($M305="","",INDEX(伝票元!$S$6:$S$511,$M305))</f>
        <v/>
      </c>
      <c r="M305" s="47" t="str">
        <f aca="false">IFERROR(MATCH(299,伝票元!$O$6:$O$511,0),"")</f>
        <v/>
      </c>
    </row>
    <row r="306" customFormat="false" ht="15" hidden="false" customHeight="false" outlineLevel="0" collapsed="false">
      <c r="A306" s="10" t="str">
        <f aca="false">IF($M306="","",INDEX(伝票元!$P$6:$P$511,$M306))</f>
        <v/>
      </c>
      <c r="B306" s="45" t="str">
        <f aca="false">IF($M306="","",INDEX(伝票元!$D$6:$D$511,$M306))</f>
        <v/>
      </c>
      <c r="C306" s="10" t="str">
        <f aca="false">IF($M306="","",INDEX(伝票元!$E$6:$E$511,$M306))</f>
        <v/>
      </c>
      <c r="D306" s="45" t="str">
        <f aca="false">IF($M306="","",INDEX(伝票元!$A$6:$A$511,$M306))</f>
        <v/>
      </c>
      <c r="E306" s="10" t="str">
        <f aca="false">IF(IF($M306="",0,INDEX(伝票元!$N$6:$N$511,$M306))=1,INDEX(伝票元!$I$6:$I$511,$M306),"")</f>
        <v/>
      </c>
      <c r="F306" s="45" t="str">
        <f aca="false">IF(IF($M306="",0,INDEX(伝票元!$N$6:$N$511,$M306))=1,INDEX(伝票元!$J$6:$J$511,$M306),"")</f>
        <v/>
      </c>
      <c r="G306" s="42" t="str">
        <f aca="false">IF(IF($M306="",0,INDEX(伝票元!$N$6:$N$511,$M306))=1,INDEX(伝票元!$Q$6:$Q$511,$M306),"")</f>
        <v/>
      </c>
      <c r="H306" s="45" t="str">
        <f aca="false">IF($M306="","",INDEX(伝票元!$F$6:$F$511,$M306))</f>
        <v/>
      </c>
      <c r="I306" s="45" t="str">
        <f aca="false">IF($M306="","",INDEX(伝票元!$G$6:$G$511,$M306))</f>
        <v/>
      </c>
      <c r="J306" s="42" t="str">
        <f aca="false">IF($M306="","",INDEX(伝票元!$H$6:$H$511,$M306))</f>
        <v/>
      </c>
      <c r="K306" s="46" t="str">
        <f aca="false">IF(IF($M306="",0,INDEX(伝票元!$N$6:$N$511,$M306))=1,INDEX(伝票元!$R$6:$R$511,$M306),"")</f>
        <v/>
      </c>
      <c r="L306" s="47" t="str">
        <f aca="false">IF($M306="","",INDEX(伝票元!$S$6:$S$511,$M306))</f>
        <v/>
      </c>
      <c r="M306" s="47" t="str">
        <f aca="false">IFERROR(MATCH(300,伝票元!$O$6:$O$511,0),"")</f>
        <v/>
      </c>
    </row>
    <row r="307" customFormat="false" ht="15" hidden="false" customHeight="false" outlineLevel="0" collapsed="false">
      <c r="A307" s="10" t="str">
        <f aca="false">IF($M307="","",INDEX(伝票元!$P$6:$P$511,$M307))</f>
        <v/>
      </c>
      <c r="B307" s="45" t="str">
        <f aca="false">IF($M307="","",INDEX(伝票元!$D$6:$D$511,$M307))</f>
        <v/>
      </c>
      <c r="C307" s="10" t="str">
        <f aca="false">IF($M307="","",INDEX(伝票元!$E$6:$E$511,$M307))</f>
        <v/>
      </c>
      <c r="D307" s="45" t="str">
        <f aca="false">IF($M307="","",INDEX(伝票元!$A$6:$A$511,$M307))</f>
        <v/>
      </c>
      <c r="E307" s="10" t="str">
        <f aca="false">IF(IF($M307="",0,INDEX(伝票元!$N$6:$N$511,$M307))=1,INDEX(伝票元!$I$6:$I$511,$M307),"")</f>
        <v/>
      </c>
      <c r="F307" s="45" t="str">
        <f aca="false">IF(IF($M307="",0,INDEX(伝票元!$N$6:$N$511,$M307))=1,INDEX(伝票元!$J$6:$J$511,$M307),"")</f>
        <v/>
      </c>
      <c r="G307" s="42" t="str">
        <f aca="false">IF(IF($M307="",0,INDEX(伝票元!$N$6:$N$511,$M307))=1,INDEX(伝票元!$Q$6:$Q$511,$M307),"")</f>
        <v/>
      </c>
      <c r="H307" s="45" t="str">
        <f aca="false">IF($M307="","",INDEX(伝票元!$F$6:$F$511,$M307))</f>
        <v/>
      </c>
      <c r="I307" s="45" t="str">
        <f aca="false">IF($M307="","",INDEX(伝票元!$G$6:$G$511,$M307))</f>
        <v/>
      </c>
      <c r="J307" s="42" t="str">
        <f aca="false">IF($M307="","",INDEX(伝票元!$H$6:$H$511,$M307))</f>
        <v/>
      </c>
      <c r="K307" s="46" t="str">
        <f aca="false">IF(IF($M307="",0,INDEX(伝票元!$N$6:$N$511,$M307))=1,INDEX(伝票元!$R$6:$R$511,$M307),"")</f>
        <v/>
      </c>
      <c r="L307" s="47" t="str">
        <f aca="false">IF($M307="","",INDEX(伝票元!$S$6:$S$511,$M307))</f>
        <v/>
      </c>
      <c r="M307" s="47" t="str">
        <f aca="false">IFERROR(MATCH(301,伝票元!$O$6:$O$511,0),"")</f>
        <v/>
      </c>
    </row>
    <row r="308" customFormat="false" ht="15" hidden="false" customHeight="false" outlineLevel="0" collapsed="false">
      <c r="A308" s="10" t="str">
        <f aca="false">IF($M308="","",INDEX(伝票元!$P$6:$P$511,$M308))</f>
        <v/>
      </c>
      <c r="B308" s="45" t="str">
        <f aca="false">IF($M308="","",INDEX(伝票元!$D$6:$D$511,$M308))</f>
        <v/>
      </c>
      <c r="C308" s="10" t="str">
        <f aca="false">IF($M308="","",INDEX(伝票元!$E$6:$E$511,$M308))</f>
        <v/>
      </c>
      <c r="D308" s="45" t="str">
        <f aca="false">IF($M308="","",INDEX(伝票元!$A$6:$A$511,$M308))</f>
        <v/>
      </c>
      <c r="E308" s="10" t="str">
        <f aca="false">IF(IF($M308="",0,INDEX(伝票元!$N$6:$N$511,$M308))=1,INDEX(伝票元!$I$6:$I$511,$M308),"")</f>
        <v/>
      </c>
      <c r="F308" s="45" t="str">
        <f aca="false">IF(IF($M308="",0,INDEX(伝票元!$N$6:$N$511,$M308))=1,INDEX(伝票元!$J$6:$J$511,$M308),"")</f>
        <v/>
      </c>
      <c r="G308" s="42" t="str">
        <f aca="false">IF(IF($M308="",0,INDEX(伝票元!$N$6:$N$511,$M308))=1,INDEX(伝票元!$Q$6:$Q$511,$M308),"")</f>
        <v/>
      </c>
      <c r="H308" s="45" t="str">
        <f aca="false">IF($M308="","",INDEX(伝票元!$F$6:$F$511,$M308))</f>
        <v/>
      </c>
      <c r="I308" s="45" t="str">
        <f aca="false">IF($M308="","",INDEX(伝票元!$G$6:$G$511,$M308))</f>
        <v/>
      </c>
      <c r="J308" s="42" t="str">
        <f aca="false">IF($M308="","",INDEX(伝票元!$H$6:$H$511,$M308))</f>
        <v/>
      </c>
      <c r="K308" s="46" t="str">
        <f aca="false">IF(IF($M308="",0,INDEX(伝票元!$N$6:$N$511,$M308))=1,INDEX(伝票元!$R$6:$R$511,$M308),"")</f>
        <v/>
      </c>
      <c r="L308" s="47" t="str">
        <f aca="false">IF($M308="","",INDEX(伝票元!$S$6:$S$511,$M308))</f>
        <v/>
      </c>
      <c r="M308" s="47" t="str">
        <f aca="false">IFERROR(MATCH(302,伝票元!$O$6:$O$511,0),"")</f>
        <v/>
      </c>
    </row>
    <row r="309" customFormat="false" ht="15" hidden="false" customHeight="false" outlineLevel="0" collapsed="false">
      <c r="A309" s="10" t="str">
        <f aca="false">IF($M309="","",INDEX(伝票元!$P$6:$P$511,$M309))</f>
        <v/>
      </c>
      <c r="B309" s="45" t="str">
        <f aca="false">IF($M309="","",INDEX(伝票元!$D$6:$D$511,$M309))</f>
        <v/>
      </c>
      <c r="C309" s="10" t="str">
        <f aca="false">IF($M309="","",INDEX(伝票元!$E$6:$E$511,$M309))</f>
        <v/>
      </c>
      <c r="D309" s="45" t="str">
        <f aca="false">IF($M309="","",INDEX(伝票元!$A$6:$A$511,$M309))</f>
        <v/>
      </c>
      <c r="E309" s="10" t="str">
        <f aca="false">IF(IF($M309="",0,INDEX(伝票元!$N$6:$N$511,$M309))=1,INDEX(伝票元!$I$6:$I$511,$M309),"")</f>
        <v/>
      </c>
      <c r="F309" s="45" t="str">
        <f aca="false">IF(IF($M309="",0,INDEX(伝票元!$N$6:$N$511,$M309))=1,INDEX(伝票元!$J$6:$J$511,$M309),"")</f>
        <v/>
      </c>
      <c r="G309" s="42" t="str">
        <f aca="false">IF(IF($M309="",0,INDEX(伝票元!$N$6:$N$511,$M309))=1,INDEX(伝票元!$Q$6:$Q$511,$M309),"")</f>
        <v/>
      </c>
      <c r="H309" s="45" t="str">
        <f aca="false">IF($M309="","",INDEX(伝票元!$F$6:$F$511,$M309))</f>
        <v/>
      </c>
      <c r="I309" s="45" t="str">
        <f aca="false">IF($M309="","",INDEX(伝票元!$G$6:$G$511,$M309))</f>
        <v/>
      </c>
      <c r="J309" s="42" t="str">
        <f aca="false">IF($M309="","",INDEX(伝票元!$H$6:$H$511,$M309))</f>
        <v/>
      </c>
      <c r="K309" s="46" t="str">
        <f aca="false">IF(IF($M309="",0,INDEX(伝票元!$N$6:$N$511,$M309))=1,INDEX(伝票元!$R$6:$R$511,$M309),"")</f>
        <v/>
      </c>
      <c r="L309" s="47" t="str">
        <f aca="false">IF($M309="","",INDEX(伝票元!$S$6:$S$511,$M309))</f>
        <v/>
      </c>
      <c r="M309" s="47" t="str">
        <f aca="false">IFERROR(MATCH(303,伝票元!$O$6:$O$511,0),"")</f>
        <v/>
      </c>
    </row>
    <row r="310" customFormat="false" ht="15" hidden="false" customHeight="false" outlineLevel="0" collapsed="false">
      <c r="A310" s="10" t="str">
        <f aca="false">IF($M310="","",INDEX(伝票元!$P$6:$P$511,$M310))</f>
        <v/>
      </c>
      <c r="B310" s="45" t="str">
        <f aca="false">IF($M310="","",INDEX(伝票元!$D$6:$D$511,$M310))</f>
        <v/>
      </c>
      <c r="C310" s="10" t="str">
        <f aca="false">IF($M310="","",INDEX(伝票元!$E$6:$E$511,$M310))</f>
        <v/>
      </c>
      <c r="D310" s="45" t="str">
        <f aca="false">IF($M310="","",INDEX(伝票元!$A$6:$A$511,$M310))</f>
        <v/>
      </c>
      <c r="E310" s="10" t="str">
        <f aca="false">IF(IF($M310="",0,INDEX(伝票元!$N$6:$N$511,$M310))=1,INDEX(伝票元!$I$6:$I$511,$M310),"")</f>
        <v/>
      </c>
      <c r="F310" s="45" t="str">
        <f aca="false">IF(IF($M310="",0,INDEX(伝票元!$N$6:$N$511,$M310))=1,INDEX(伝票元!$J$6:$J$511,$M310),"")</f>
        <v/>
      </c>
      <c r="G310" s="42" t="str">
        <f aca="false">IF(IF($M310="",0,INDEX(伝票元!$N$6:$N$511,$M310))=1,INDEX(伝票元!$Q$6:$Q$511,$M310),"")</f>
        <v/>
      </c>
      <c r="H310" s="45" t="str">
        <f aca="false">IF($M310="","",INDEX(伝票元!$F$6:$F$511,$M310))</f>
        <v/>
      </c>
      <c r="I310" s="45" t="str">
        <f aca="false">IF($M310="","",INDEX(伝票元!$G$6:$G$511,$M310))</f>
        <v/>
      </c>
      <c r="J310" s="42" t="str">
        <f aca="false">IF($M310="","",INDEX(伝票元!$H$6:$H$511,$M310))</f>
        <v/>
      </c>
      <c r="K310" s="46" t="str">
        <f aca="false">IF(IF($M310="",0,INDEX(伝票元!$N$6:$N$511,$M310))=1,INDEX(伝票元!$R$6:$R$511,$M310),"")</f>
        <v/>
      </c>
      <c r="L310" s="47" t="str">
        <f aca="false">IF($M310="","",INDEX(伝票元!$S$6:$S$511,$M310))</f>
        <v/>
      </c>
      <c r="M310" s="47" t="str">
        <f aca="false">IFERROR(MATCH(304,伝票元!$O$6:$O$511,0),"")</f>
        <v/>
      </c>
    </row>
    <row r="311" customFormat="false" ht="15" hidden="false" customHeight="false" outlineLevel="0" collapsed="false">
      <c r="A311" s="10" t="str">
        <f aca="false">IF($M311="","",INDEX(伝票元!$P$6:$P$511,$M311))</f>
        <v/>
      </c>
      <c r="B311" s="45" t="str">
        <f aca="false">IF($M311="","",INDEX(伝票元!$D$6:$D$511,$M311))</f>
        <v/>
      </c>
      <c r="C311" s="10" t="str">
        <f aca="false">IF($M311="","",INDEX(伝票元!$E$6:$E$511,$M311))</f>
        <v/>
      </c>
      <c r="D311" s="45" t="str">
        <f aca="false">IF($M311="","",INDEX(伝票元!$A$6:$A$511,$M311))</f>
        <v/>
      </c>
      <c r="E311" s="10" t="str">
        <f aca="false">IF(IF($M311="",0,INDEX(伝票元!$N$6:$N$511,$M311))=1,INDEX(伝票元!$I$6:$I$511,$M311),"")</f>
        <v/>
      </c>
      <c r="F311" s="45" t="str">
        <f aca="false">IF(IF($M311="",0,INDEX(伝票元!$N$6:$N$511,$M311))=1,INDEX(伝票元!$J$6:$J$511,$M311),"")</f>
        <v/>
      </c>
      <c r="G311" s="42" t="str">
        <f aca="false">IF(IF($M311="",0,INDEX(伝票元!$N$6:$N$511,$M311))=1,INDEX(伝票元!$Q$6:$Q$511,$M311),"")</f>
        <v/>
      </c>
      <c r="H311" s="45" t="str">
        <f aca="false">IF($M311="","",INDEX(伝票元!$F$6:$F$511,$M311))</f>
        <v/>
      </c>
      <c r="I311" s="45" t="str">
        <f aca="false">IF($M311="","",INDEX(伝票元!$G$6:$G$511,$M311))</f>
        <v/>
      </c>
      <c r="J311" s="42" t="str">
        <f aca="false">IF($M311="","",INDEX(伝票元!$H$6:$H$511,$M311))</f>
        <v/>
      </c>
      <c r="K311" s="46" t="str">
        <f aca="false">IF(IF($M311="",0,INDEX(伝票元!$N$6:$N$511,$M311))=1,INDEX(伝票元!$R$6:$R$511,$M311),"")</f>
        <v/>
      </c>
      <c r="L311" s="47" t="str">
        <f aca="false">IF($M311="","",INDEX(伝票元!$S$6:$S$511,$M311))</f>
        <v/>
      </c>
      <c r="M311" s="47" t="str">
        <f aca="false">IFERROR(MATCH(305,伝票元!$O$6:$O$511,0),"")</f>
        <v/>
      </c>
    </row>
    <row r="312" customFormat="false" ht="15" hidden="false" customHeight="false" outlineLevel="0" collapsed="false">
      <c r="A312" s="10" t="str">
        <f aca="false">IF($M312="","",INDEX(伝票元!$P$6:$P$511,$M312))</f>
        <v/>
      </c>
      <c r="B312" s="45" t="str">
        <f aca="false">IF($M312="","",INDEX(伝票元!$D$6:$D$511,$M312))</f>
        <v/>
      </c>
      <c r="C312" s="10" t="str">
        <f aca="false">IF($M312="","",INDEX(伝票元!$E$6:$E$511,$M312))</f>
        <v/>
      </c>
      <c r="D312" s="45" t="str">
        <f aca="false">IF($M312="","",INDEX(伝票元!$A$6:$A$511,$M312))</f>
        <v/>
      </c>
      <c r="E312" s="10" t="str">
        <f aca="false">IF(IF($M312="",0,INDEX(伝票元!$N$6:$N$511,$M312))=1,INDEX(伝票元!$I$6:$I$511,$M312),"")</f>
        <v/>
      </c>
      <c r="F312" s="45" t="str">
        <f aca="false">IF(IF($M312="",0,INDEX(伝票元!$N$6:$N$511,$M312))=1,INDEX(伝票元!$J$6:$J$511,$M312),"")</f>
        <v/>
      </c>
      <c r="G312" s="42" t="str">
        <f aca="false">IF(IF($M312="",0,INDEX(伝票元!$N$6:$N$511,$M312))=1,INDEX(伝票元!$Q$6:$Q$511,$M312),"")</f>
        <v/>
      </c>
      <c r="H312" s="45" t="str">
        <f aca="false">IF($M312="","",INDEX(伝票元!$F$6:$F$511,$M312))</f>
        <v/>
      </c>
      <c r="I312" s="45" t="str">
        <f aca="false">IF($M312="","",INDEX(伝票元!$G$6:$G$511,$M312))</f>
        <v/>
      </c>
      <c r="J312" s="42" t="str">
        <f aca="false">IF($M312="","",INDEX(伝票元!$H$6:$H$511,$M312))</f>
        <v/>
      </c>
      <c r="K312" s="46" t="str">
        <f aca="false">IF(IF($M312="",0,INDEX(伝票元!$N$6:$N$511,$M312))=1,INDEX(伝票元!$R$6:$R$511,$M312),"")</f>
        <v/>
      </c>
      <c r="L312" s="47" t="str">
        <f aca="false">IF($M312="","",INDEX(伝票元!$S$6:$S$511,$M312))</f>
        <v/>
      </c>
      <c r="M312" s="47" t="str">
        <f aca="false">IFERROR(MATCH(306,伝票元!$O$6:$O$511,0),"")</f>
        <v/>
      </c>
    </row>
    <row r="313" customFormat="false" ht="15" hidden="false" customHeight="false" outlineLevel="0" collapsed="false">
      <c r="A313" s="10" t="str">
        <f aca="false">IF($M313="","",INDEX(伝票元!$P$6:$P$511,$M313))</f>
        <v/>
      </c>
      <c r="B313" s="45" t="str">
        <f aca="false">IF($M313="","",INDEX(伝票元!$D$6:$D$511,$M313))</f>
        <v/>
      </c>
      <c r="C313" s="10" t="str">
        <f aca="false">IF($M313="","",INDEX(伝票元!$E$6:$E$511,$M313))</f>
        <v/>
      </c>
      <c r="D313" s="45" t="str">
        <f aca="false">IF($M313="","",INDEX(伝票元!$A$6:$A$511,$M313))</f>
        <v/>
      </c>
      <c r="E313" s="10" t="str">
        <f aca="false">IF(IF($M313="",0,INDEX(伝票元!$N$6:$N$511,$M313))=1,INDEX(伝票元!$I$6:$I$511,$M313),"")</f>
        <v/>
      </c>
      <c r="F313" s="45" t="str">
        <f aca="false">IF(IF($M313="",0,INDEX(伝票元!$N$6:$N$511,$M313))=1,INDEX(伝票元!$J$6:$J$511,$M313),"")</f>
        <v/>
      </c>
      <c r="G313" s="42" t="str">
        <f aca="false">IF(IF($M313="",0,INDEX(伝票元!$N$6:$N$511,$M313))=1,INDEX(伝票元!$Q$6:$Q$511,$M313),"")</f>
        <v/>
      </c>
      <c r="H313" s="45" t="str">
        <f aca="false">IF($M313="","",INDEX(伝票元!$F$6:$F$511,$M313))</f>
        <v/>
      </c>
      <c r="I313" s="45" t="str">
        <f aca="false">IF($M313="","",INDEX(伝票元!$G$6:$G$511,$M313))</f>
        <v/>
      </c>
      <c r="J313" s="42" t="str">
        <f aca="false">IF($M313="","",INDEX(伝票元!$H$6:$H$511,$M313))</f>
        <v/>
      </c>
      <c r="K313" s="46" t="str">
        <f aca="false">IF(IF($M313="",0,INDEX(伝票元!$N$6:$N$511,$M313))=1,INDEX(伝票元!$R$6:$R$511,$M313),"")</f>
        <v/>
      </c>
      <c r="L313" s="47" t="str">
        <f aca="false">IF($M313="","",INDEX(伝票元!$S$6:$S$511,$M313))</f>
        <v/>
      </c>
      <c r="M313" s="47" t="str">
        <f aca="false">IFERROR(MATCH(307,伝票元!$O$6:$O$511,0),"")</f>
        <v/>
      </c>
    </row>
    <row r="314" customFormat="false" ht="15" hidden="false" customHeight="false" outlineLevel="0" collapsed="false">
      <c r="A314" s="10" t="str">
        <f aca="false">IF($M314="","",INDEX(伝票元!$P$6:$P$511,$M314))</f>
        <v/>
      </c>
      <c r="B314" s="45" t="str">
        <f aca="false">IF($M314="","",INDEX(伝票元!$D$6:$D$511,$M314))</f>
        <v/>
      </c>
      <c r="C314" s="10" t="str">
        <f aca="false">IF($M314="","",INDEX(伝票元!$E$6:$E$511,$M314))</f>
        <v/>
      </c>
      <c r="D314" s="45" t="str">
        <f aca="false">IF($M314="","",INDEX(伝票元!$A$6:$A$511,$M314))</f>
        <v/>
      </c>
      <c r="E314" s="10" t="str">
        <f aca="false">IF(IF($M314="",0,INDEX(伝票元!$N$6:$N$511,$M314))=1,INDEX(伝票元!$I$6:$I$511,$M314),"")</f>
        <v/>
      </c>
      <c r="F314" s="45" t="str">
        <f aca="false">IF(IF($M314="",0,INDEX(伝票元!$N$6:$N$511,$M314))=1,INDEX(伝票元!$J$6:$J$511,$M314),"")</f>
        <v/>
      </c>
      <c r="G314" s="42" t="str">
        <f aca="false">IF(IF($M314="",0,INDEX(伝票元!$N$6:$N$511,$M314))=1,INDEX(伝票元!$Q$6:$Q$511,$M314),"")</f>
        <v/>
      </c>
      <c r="H314" s="45" t="str">
        <f aca="false">IF($M314="","",INDEX(伝票元!$F$6:$F$511,$M314))</f>
        <v/>
      </c>
      <c r="I314" s="45" t="str">
        <f aca="false">IF($M314="","",INDEX(伝票元!$G$6:$G$511,$M314))</f>
        <v/>
      </c>
      <c r="J314" s="42" t="str">
        <f aca="false">IF($M314="","",INDEX(伝票元!$H$6:$H$511,$M314))</f>
        <v/>
      </c>
      <c r="K314" s="46" t="str">
        <f aca="false">IF(IF($M314="",0,INDEX(伝票元!$N$6:$N$511,$M314))=1,INDEX(伝票元!$R$6:$R$511,$M314),"")</f>
        <v/>
      </c>
      <c r="L314" s="47" t="str">
        <f aca="false">IF($M314="","",INDEX(伝票元!$S$6:$S$511,$M314))</f>
        <v/>
      </c>
      <c r="M314" s="47" t="str">
        <f aca="false">IFERROR(MATCH(308,伝票元!$O$6:$O$511,0),"")</f>
        <v/>
      </c>
    </row>
    <row r="315" customFormat="false" ht="15" hidden="false" customHeight="false" outlineLevel="0" collapsed="false">
      <c r="A315" s="10" t="str">
        <f aca="false">IF($M315="","",INDEX(伝票元!$P$6:$P$511,$M315))</f>
        <v/>
      </c>
      <c r="B315" s="45" t="str">
        <f aca="false">IF($M315="","",INDEX(伝票元!$D$6:$D$511,$M315))</f>
        <v/>
      </c>
      <c r="C315" s="10" t="str">
        <f aca="false">IF($M315="","",INDEX(伝票元!$E$6:$E$511,$M315))</f>
        <v/>
      </c>
      <c r="D315" s="45" t="str">
        <f aca="false">IF($M315="","",INDEX(伝票元!$A$6:$A$511,$M315))</f>
        <v/>
      </c>
      <c r="E315" s="10" t="str">
        <f aca="false">IF(IF($M315="",0,INDEX(伝票元!$N$6:$N$511,$M315))=1,INDEX(伝票元!$I$6:$I$511,$M315),"")</f>
        <v/>
      </c>
      <c r="F315" s="45" t="str">
        <f aca="false">IF(IF($M315="",0,INDEX(伝票元!$N$6:$N$511,$M315))=1,INDEX(伝票元!$J$6:$J$511,$M315),"")</f>
        <v/>
      </c>
      <c r="G315" s="42" t="str">
        <f aca="false">IF(IF($M315="",0,INDEX(伝票元!$N$6:$N$511,$M315))=1,INDEX(伝票元!$Q$6:$Q$511,$M315),"")</f>
        <v/>
      </c>
      <c r="H315" s="45" t="str">
        <f aca="false">IF($M315="","",INDEX(伝票元!$F$6:$F$511,$M315))</f>
        <v/>
      </c>
      <c r="I315" s="45" t="str">
        <f aca="false">IF($M315="","",INDEX(伝票元!$G$6:$G$511,$M315))</f>
        <v/>
      </c>
      <c r="J315" s="42" t="str">
        <f aca="false">IF($M315="","",INDEX(伝票元!$H$6:$H$511,$M315))</f>
        <v/>
      </c>
      <c r="K315" s="46" t="str">
        <f aca="false">IF(IF($M315="",0,INDEX(伝票元!$N$6:$N$511,$M315))=1,INDEX(伝票元!$R$6:$R$511,$M315),"")</f>
        <v/>
      </c>
      <c r="L315" s="47" t="str">
        <f aca="false">IF($M315="","",INDEX(伝票元!$S$6:$S$511,$M315))</f>
        <v/>
      </c>
      <c r="M315" s="47" t="str">
        <f aca="false">IFERROR(MATCH(309,伝票元!$O$6:$O$511,0),"")</f>
        <v/>
      </c>
    </row>
    <row r="316" customFormat="false" ht="15" hidden="false" customHeight="false" outlineLevel="0" collapsed="false">
      <c r="A316" s="10" t="str">
        <f aca="false">IF($M316="","",INDEX(伝票元!$P$6:$P$511,$M316))</f>
        <v/>
      </c>
      <c r="B316" s="45" t="str">
        <f aca="false">IF($M316="","",INDEX(伝票元!$D$6:$D$511,$M316))</f>
        <v/>
      </c>
      <c r="C316" s="10" t="str">
        <f aca="false">IF($M316="","",INDEX(伝票元!$E$6:$E$511,$M316))</f>
        <v/>
      </c>
      <c r="D316" s="45" t="str">
        <f aca="false">IF($M316="","",INDEX(伝票元!$A$6:$A$511,$M316))</f>
        <v/>
      </c>
      <c r="E316" s="10" t="str">
        <f aca="false">IF(IF($M316="",0,INDEX(伝票元!$N$6:$N$511,$M316))=1,INDEX(伝票元!$I$6:$I$511,$M316),"")</f>
        <v/>
      </c>
      <c r="F316" s="45" t="str">
        <f aca="false">IF(IF($M316="",0,INDEX(伝票元!$N$6:$N$511,$M316))=1,INDEX(伝票元!$J$6:$J$511,$M316),"")</f>
        <v/>
      </c>
      <c r="G316" s="42" t="str">
        <f aca="false">IF(IF($M316="",0,INDEX(伝票元!$N$6:$N$511,$M316))=1,INDEX(伝票元!$Q$6:$Q$511,$M316),"")</f>
        <v/>
      </c>
      <c r="H316" s="45" t="str">
        <f aca="false">IF($M316="","",INDEX(伝票元!$F$6:$F$511,$M316))</f>
        <v/>
      </c>
      <c r="I316" s="45" t="str">
        <f aca="false">IF($M316="","",INDEX(伝票元!$G$6:$G$511,$M316))</f>
        <v/>
      </c>
      <c r="J316" s="42" t="str">
        <f aca="false">IF($M316="","",INDEX(伝票元!$H$6:$H$511,$M316))</f>
        <v/>
      </c>
      <c r="K316" s="46" t="str">
        <f aca="false">IF(IF($M316="",0,INDEX(伝票元!$N$6:$N$511,$M316))=1,INDEX(伝票元!$R$6:$R$511,$M316),"")</f>
        <v/>
      </c>
      <c r="L316" s="47" t="str">
        <f aca="false">IF($M316="","",INDEX(伝票元!$S$6:$S$511,$M316))</f>
        <v/>
      </c>
      <c r="M316" s="47" t="str">
        <f aca="false">IFERROR(MATCH(310,伝票元!$O$6:$O$511,0),"")</f>
        <v/>
      </c>
    </row>
    <row r="317" customFormat="false" ht="15" hidden="false" customHeight="false" outlineLevel="0" collapsed="false">
      <c r="A317" s="10" t="str">
        <f aca="false">IF($M317="","",INDEX(伝票元!$P$6:$P$511,$M317))</f>
        <v/>
      </c>
      <c r="B317" s="45" t="str">
        <f aca="false">IF($M317="","",INDEX(伝票元!$D$6:$D$511,$M317))</f>
        <v/>
      </c>
      <c r="C317" s="10" t="str">
        <f aca="false">IF($M317="","",INDEX(伝票元!$E$6:$E$511,$M317))</f>
        <v/>
      </c>
      <c r="D317" s="45" t="str">
        <f aca="false">IF($M317="","",INDEX(伝票元!$A$6:$A$511,$M317))</f>
        <v/>
      </c>
      <c r="E317" s="10" t="str">
        <f aca="false">IF(IF($M317="",0,INDEX(伝票元!$N$6:$N$511,$M317))=1,INDEX(伝票元!$I$6:$I$511,$M317),"")</f>
        <v/>
      </c>
      <c r="F317" s="45" t="str">
        <f aca="false">IF(IF($M317="",0,INDEX(伝票元!$N$6:$N$511,$M317))=1,INDEX(伝票元!$J$6:$J$511,$M317),"")</f>
        <v/>
      </c>
      <c r="G317" s="42" t="str">
        <f aca="false">IF(IF($M317="",0,INDEX(伝票元!$N$6:$N$511,$M317))=1,INDEX(伝票元!$Q$6:$Q$511,$M317),"")</f>
        <v/>
      </c>
      <c r="H317" s="45" t="str">
        <f aca="false">IF($M317="","",INDEX(伝票元!$F$6:$F$511,$M317))</f>
        <v/>
      </c>
      <c r="I317" s="45" t="str">
        <f aca="false">IF($M317="","",INDEX(伝票元!$G$6:$G$511,$M317))</f>
        <v/>
      </c>
      <c r="J317" s="42" t="str">
        <f aca="false">IF($M317="","",INDEX(伝票元!$H$6:$H$511,$M317))</f>
        <v/>
      </c>
      <c r="K317" s="46" t="str">
        <f aca="false">IF(IF($M317="",0,INDEX(伝票元!$N$6:$N$511,$M317))=1,INDEX(伝票元!$R$6:$R$511,$M317),"")</f>
        <v/>
      </c>
      <c r="L317" s="47" t="str">
        <f aca="false">IF($M317="","",INDEX(伝票元!$S$6:$S$511,$M317))</f>
        <v/>
      </c>
      <c r="M317" s="47" t="str">
        <f aca="false">IFERROR(MATCH(311,伝票元!$O$6:$O$511,0),"")</f>
        <v/>
      </c>
    </row>
    <row r="318" customFormat="false" ht="15" hidden="false" customHeight="false" outlineLevel="0" collapsed="false">
      <c r="A318" s="10" t="str">
        <f aca="false">IF($M318="","",INDEX(伝票元!$P$6:$P$511,$M318))</f>
        <v/>
      </c>
      <c r="B318" s="45" t="str">
        <f aca="false">IF($M318="","",INDEX(伝票元!$D$6:$D$511,$M318))</f>
        <v/>
      </c>
      <c r="C318" s="10" t="str">
        <f aca="false">IF($M318="","",INDEX(伝票元!$E$6:$E$511,$M318))</f>
        <v/>
      </c>
      <c r="D318" s="45" t="str">
        <f aca="false">IF($M318="","",INDEX(伝票元!$A$6:$A$511,$M318))</f>
        <v/>
      </c>
      <c r="E318" s="10" t="str">
        <f aca="false">IF(IF($M318="",0,INDEX(伝票元!$N$6:$N$511,$M318))=1,INDEX(伝票元!$I$6:$I$511,$M318),"")</f>
        <v/>
      </c>
      <c r="F318" s="45" t="str">
        <f aca="false">IF(IF($M318="",0,INDEX(伝票元!$N$6:$N$511,$M318))=1,INDEX(伝票元!$J$6:$J$511,$M318),"")</f>
        <v/>
      </c>
      <c r="G318" s="42" t="str">
        <f aca="false">IF(IF($M318="",0,INDEX(伝票元!$N$6:$N$511,$M318))=1,INDEX(伝票元!$Q$6:$Q$511,$M318),"")</f>
        <v/>
      </c>
      <c r="H318" s="45" t="str">
        <f aca="false">IF($M318="","",INDEX(伝票元!$F$6:$F$511,$M318))</f>
        <v/>
      </c>
      <c r="I318" s="45" t="str">
        <f aca="false">IF($M318="","",INDEX(伝票元!$G$6:$G$511,$M318))</f>
        <v/>
      </c>
      <c r="J318" s="42" t="str">
        <f aca="false">IF($M318="","",INDEX(伝票元!$H$6:$H$511,$M318))</f>
        <v/>
      </c>
      <c r="K318" s="46" t="str">
        <f aca="false">IF(IF($M318="",0,INDEX(伝票元!$N$6:$N$511,$M318))=1,INDEX(伝票元!$R$6:$R$511,$M318),"")</f>
        <v/>
      </c>
      <c r="L318" s="47" t="str">
        <f aca="false">IF($M318="","",INDEX(伝票元!$S$6:$S$511,$M318))</f>
        <v/>
      </c>
      <c r="M318" s="47" t="str">
        <f aca="false">IFERROR(MATCH(312,伝票元!$O$6:$O$511,0),"")</f>
        <v/>
      </c>
    </row>
    <row r="319" customFormat="false" ht="15" hidden="false" customHeight="false" outlineLevel="0" collapsed="false">
      <c r="A319" s="10" t="str">
        <f aca="false">IF($M319="","",INDEX(伝票元!$P$6:$P$511,$M319))</f>
        <v/>
      </c>
      <c r="B319" s="45" t="str">
        <f aca="false">IF($M319="","",INDEX(伝票元!$D$6:$D$511,$M319))</f>
        <v/>
      </c>
      <c r="C319" s="10" t="str">
        <f aca="false">IF($M319="","",INDEX(伝票元!$E$6:$E$511,$M319))</f>
        <v/>
      </c>
      <c r="D319" s="45" t="str">
        <f aca="false">IF($M319="","",INDEX(伝票元!$A$6:$A$511,$M319))</f>
        <v/>
      </c>
      <c r="E319" s="10" t="str">
        <f aca="false">IF(IF($M319="",0,INDEX(伝票元!$N$6:$N$511,$M319))=1,INDEX(伝票元!$I$6:$I$511,$M319),"")</f>
        <v/>
      </c>
      <c r="F319" s="45" t="str">
        <f aca="false">IF(IF($M319="",0,INDEX(伝票元!$N$6:$N$511,$M319))=1,INDEX(伝票元!$J$6:$J$511,$M319),"")</f>
        <v/>
      </c>
      <c r="G319" s="42" t="str">
        <f aca="false">IF(IF($M319="",0,INDEX(伝票元!$N$6:$N$511,$M319))=1,INDEX(伝票元!$Q$6:$Q$511,$M319),"")</f>
        <v/>
      </c>
      <c r="H319" s="45" t="str">
        <f aca="false">IF($M319="","",INDEX(伝票元!$F$6:$F$511,$M319))</f>
        <v/>
      </c>
      <c r="I319" s="45" t="str">
        <f aca="false">IF($M319="","",INDEX(伝票元!$G$6:$G$511,$M319))</f>
        <v/>
      </c>
      <c r="J319" s="42" t="str">
        <f aca="false">IF($M319="","",INDEX(伝票元!$H$6:$H$511,$M319))</f>
        <v/>
      </c>
      <c r="K319" s="46" t="str">
        <f aca="false">IF(IF($M319="",0,INDEX(伝票元!$N$6:$N$511,$M319))=1,INDEX(伝票元!$R$6:$R$511,$M319),"")</f>
        <v/>
      </c>
      <c r="L319" s="47" t="str">
        <f aca="false">IF($M319="","",INDEX(伝票元!$S$6:$S$511,$M319))</f>
        <v/>
      </c>
      <c r="M319" s="47" t="str">
        <f aca="false">IFERROR(MATCH(313,伝票元!$O$6:$O$511,0),"")</f>
        <v/>
      </c>
    </row>
    <row r="320" customFormat="false" ht="15" hidden="false" customHeight="false" outlineLevel="0" collapsed="false">
      <c r="A320" s="10" t="str">
        <f aca="false">IF($M320="","",INDEX(伝票元!$P$6:$P$511,$M320))</f>
        <v/>
      </c>
      <c r="B320" s="45" t="str">
        <f aca="false">IF($M320="","",INDEX(伝票元!$D$6:$D$511,$M320))</f>
        <v/>
      </c>
      <c r="C320" s="10" t="str">
        <f aca="false">IF($M320="","",INDEX(伝票元!$E$6:$E$511,$M320))</f>
        <v/>
      </c>
      <c r="D320" s="45" t="str">
        <f aca="false">IF($M320="","",INDEX(伝票元!$A$6:$A$511,$M320))</f>
        <v/>
      </c>
      <c r="E320" s="10" t="str">
        <f aca="false">IF(IF($M320="",0,INDEX(伝票元!$N$6:$N$511,$M320))=1,INDEX(伝票元!$I$6:$I$511,$M320),"")</f>
        <v/>
      </c>
      <c r="F320" s="45" t="str">
        <f aca="false">IF(IF($M320="",0,INDEX(伝票元!$N$6:$N$511,$M320))=1,INDEX(伝票元!$J$6:$J$511,$M320),"")</f>
        <v/>
      </c>
      <c r="G320" s="42" t="str">
        <f aca="false">IF(IF($M320="",0,INDEX(伝票元!$N$6:$N$511,$M320))=1,INDEX(伝票元!$Q$6:$Q$511,$M320),"")</f>
        <v/>
      </c>
      <c r="H320" s="45" t="str">
        <f aca="false">IF($M320="","",INDEX(伝票元!$F$6:$F$511,$M320))</f>
        <v/>
      </c>
      <c r="I320" s="45" t="str">
        <f aca="false">IF($M320="","",INDEX(伝票元!$G$6:$G$511,$M320))</f>
        <v/>
      </c>
      <c r="J320" s="42" t="str">
        <f aca="false">IF($M320="","",INDEX(伝票元!$H$6:$H$511,$M320))</f>
        <v/>
      </c>
      <c r="K320" s="46" t="str">
        <f aca="false">IF(IF($M320="",0,INDEX(伝票元!$N$6:$N$511,$M320))=1,INDEX(伝票元!$R$6:$R$511,$M320),"")</f>
        <v/>
      </c>
      <c r="L320" s="47" t="str">
        <f aca="false">IF($M320="","",INDEX(伝票元!$S$6:$S$511,$M320))</f>
        <v/>
      </c>
      <c r="M320" s="47" t="str">
        <f aca="false">IFERROR(MATCH(314,伝票元!$O$6:$O$511,0),"")</f>
        <v/>
      </c>
    </row>
    <row r="321" customFormat="false" ht="15" hidden="false" customHeight="false" outlineLevel="0" collapsed="false">
      <c r="A321" s="10" t="str">
        <f aca="false">IF($M321="","",INDEX(伝票元!$P$6:$P$511,$M321))</f>
        <v/>
      </c>
      <c r="B321" s="45" t="str">
        <f aca="false">IF($M321="","",INDEX(伝票元!$D$6:$D$511,$M321))</f>
        <v/>
      </c>
      <c r="C321" s="10" t="str">
        <f aca="false">IF($M321="","",INDEX(伝票元!$E$6:$E$511,$M321))</f>
        <v/>
      </c>
      <c r="D321" s="45" t="str">
        <f aca="false">IF($M321="","",INDEX(伝票元!$A$6:$A$511,$M321))</f>
        <v/>
      </c>
      <c r="E321" s="10" t="str">
        <f aca="false">IF(IF($M321="",0,INDEX(伝票元!$N$6:$N$511,$M321))=1,INDEX(伝票元!$I$6:$I$511,$M321),"")</f>
        <v/>
      </c>
      <c r="F321" s="45" t="str">
        <f aca="false">IF(IF($M321="",0,INDEX(伝票元!$N$6:$N$511,$M321))=1,INDEX(伝票元!$J$6:$J$511,$M321),"")</f>
        <v/>
      </c>
      <c r="G321" s="42" t="str">
        <f aca="false">IF(IF($M321="",0,INDEX(伝票元!$N$6:$N$511,$M321))=1,INDEX(伝票元!$Q$6:$Q$511,$M321),"")</f>
        <v/>
      </c>
      <c r="H321" s="45" t="str">
        <f aca="false">IF($M321="","",INDEX(伝票元!$F$6:$F$511,$M321))</f>
        <v/>
      </c>
      <c r="I321" s="45" t="str">
        <f aca="false">IF($M321="","",INDEX(伝票元!$G$6:$G$511,$M321))</f>
        <v/>
      </c>
      <c r="J321" s="42" t="str">
        <f aca="false">IF($M321="","",INDEX(伝票元!$H$6:$H$511,$M321))</f>
        <v/>
      </c>
      <c r="K321" s="46" t="str">
        <f aca="false">IF(IF($M321="",0,INDEX(伝票元!$N$6:$N$511,$M321))=1,INDEX(伝票元!$R$6:$R$511,$M321),"")</f>
        <v/>
      </c>
      <c r="L321" s="47" t="str">
        <f aca="false">IF($M321="","",INDEX(伝票元!$S$6:$S$511,$M321))</f>
        <v/>
      </c>
      <c r="M321" s="47" t="str">
        <f aca="false">IFERROR(MATCH(315,伝票元!$O$6:$O$511,0),"")</f>
        <v/>
      </c>
    </row>
    <row r="322" customFormat="false" ht="15" hidden="false" customHeight="false" outlineLevel="0" collapsed="false">
      <c r="A322" s="10" t="str">
        <f aca="false">IF($M322="","",INDEX(伝票元!$P$6:$P$511,$M322))</f>
        <v/>
      </c>
      <c r="B322" s="45" t="str">
        <f aca="false">IF($M322="","",INDEX(伝票元!$D$6:$D$511,$M322))</f>
        <v/>
      </c>
      <c r="C322" s="10" t="str">
        <f aca="false">IF($M322="","",INDEX(伝票元!$E$6:$E$511,$M322))</f>
        <v/>
      </c>
      <c r="D322" s="45" t="str">
        <f aca="false">IF($M322="","",INDEX(伝票元!$A$6:$A$511,$M322))</f>
        <v/>
      </c>
      <c r="E322" s="10" t="str">
        <f aca="false">IF(IF($M322="",0,INDEX(伝票元!$N$6:$N$511,$M322))=1,INDEX(伝票元!$I$6:$I$511,$M322),"")</f>
        <v/>
      </c>
      <c r="F322" s="45" t="str">
        <f aca="false">IF(IF($M322="",0,INDEX(伝票元!$N$6:$N$511,$M322))=1,INDEX(伝票元!$J$6:$J$511,$M322),"")</f>
        <v/>
      </c>
      <c r="G322" s="42" t="str">
        <f aca="false">IF(IF($M322="",0,INDEX(伝票元!$N$6:$N$511,$M322))=1,INDEX(伝票元!$Q$6:$Q$511,$M322),"")</f>
        <v/>
      </c>
      <c r="H322" s="45" t="str">
        <f aca="false">IF($M322="","",INDEX(伝票元!$F$6:$F$511,$M322))</f>
        <v/>
      </c>
      <c r="I322" s="45" t="str">
        <f aca="false">IF($M322="","",INDEX(伝票元!$G$6:$G$511,$M322))</f>
        <v/>
      </c>
      <c r="J322" s="42" t="str">
        <f aca="false">IF($M322="","",INDEX(伝票元!$H$6:$H$511,$M322))</f>
        <v/>
      </c>
      <c r="K322" s="46" t="str">
        <f aca="false">IF(IF($M322="",0,INDEX(伝票元!$N$6:$N$511,$M322))=1,INDEX(伝票元!$R$6:$R$511,$M322),"")</f>
        <v/>
      </c>
      <c r="L322" s="47" t="str">
        <f aca="false">IF($M322="","",INDEX(伝票元!$S$6:$S$511,$M322))</f>
        <v/>
      </c>
      <c r="M322" s="47" t="str">
        <f aca="false">IFERROR(MATCH(316,伝票元!$O$6:$O$511,0),"")</f>
        <v/>
      </c>
    </row>
    <row r="323" customFormat="false" ht="15" hidden="false" customHeight="false" outlineLevel="0" collapsed="false">
      <c r="A323" s="10" t="str">
        <f aca="false">IF($M323="","",INDEX(伝票元!$P$6:$P$511,$M323))</f>
        <v/>
      </c>
      <c r="B323" s="45" t="str">
        <f aca="false">IF($M323="","",INDEX(伝票元!$D$6:$D$511,$M323))</f>
        <v/>
      </c>
      <c r="C323" s="10" t="str">
        <f aca="false">IF($M323="","",INDEX(伝票元!$E$6:$E$511,$M323))</f>
        <v/>
      </c>
      <c r="D323" s="45" t="str">
        <f aca="false">IF($M323="","",INDEX(伝票元!$A$6:$A$511,$M323))</f>
        <v/>
      </c>
      <c r="E323" s="10" t="str">
        <f aca="false">IF(IF($M323="",0,INDEX(伝票元!$N$6:$N$511,$M323))=1,INDEX(伝票元!$I$6:$I$511,$M323),"")</f>
        <v/>
      </c>
      <c r="F323" s="45" t="str">
        <f aca="false">IF(IF($M323="",0,INDEX(伝票元!$N$6:$N$511,$M323))=1,INDEX(伝票元!$J$6:$J$511,$M323),"")</f>
        <v/>
      </c>
      <c r="G323" s="42" t="str">
        <f aca="false">IF(IF($M323="",0,INDEX(伝票元!$N$6:$N$511,$M323))=1,INDEX(伝票元!$Q$6:$Q$511,$M323),"")</f>
        <v/>
      </c>
      <c r="H323" s="45" t="str">
        <f aca="false">IF($M323="","",INDEX(伝票元!$F$6:$F$511,$M323))</f>
        <v/>
      </c>
      <c r="I323" s="45" t="str">
        <f aca="false">IF($M323="","",INDEX(伝票元!$G$6:$G$511,$M323))</f>
        <v/>
      </c>
      <c r="J323" s="42" t="str">
        <f aca="false">IF($M323="","",INDEX(伝票元!$H$6:$H$511,$M323))</f>
        <v/>
      </c>
      <c r="K323" s="46" t="str">
        <f aca="false">IF(IF($M323="",0,INDEX(伝票元!$N$6:$N$511,$M323))=1,INDEX(伝票元!$R$6:$R$511,$M323),"")</f>
        <v/>
      </c>
      <c r="L323" s="47" t="str">
        <f aca="false">IF($M323="","",INDEX(伝票元!$S$6:$S$511,$M323))</f>
        <v/>
      </c>
      <c r="M323" s="47" t="str">
        <f aca="false">IFERROR(MATCH(317,伝票元!$O$6:$O$511,0),"")</f>
        <v/>
      </c>
    </row>
    <row r="324" customFormat="false" ht="15" hidden="false" customHeight="false" outlineLevel="0" collapsed="false">
      <c r="A324" s="10" t="str">
        <f aca="false">IF($M324="","",INDEX(伝票元!$P$6:$P$511,$M324))</f>
        <v/>
      </c>
      <c r="B324" s="45" t="str">
        <f aca="false">IF($M324="","",INDEX(伝票元!$D$6:$D$511,$M324))</f>
        <v/>
      </c>
      <c r="C324" s="10" t="str">
        <f aca="false">IF($M324="","",INDEX(伝票元!$E$6:$E$511,$M324))</f>
        <v/>
      </c>
      <c r="D324" s="45" t="str">
        <f aca="false">IF($M324="","",INDEX(伝票元!$A$6:$A$511,$M324))</f>
        <v/>
      </c>
      <c r="E324" s="10" t="str">
        <f aca="false">IF(IF($M324="",0,INDEX(伝票元!$N$6:$N$511,$M324))=1,INDEX(伝票元!$I$6:$I$511,$M324),"")</f>
        <v/>
      </c>
      <c r="F324" s="45" t="str">
        <f aca="false">IF(IF($M324="",0,INDEX(伝票元!$N$6:$N$511,$M324))=1,INDEX(伝票元!$J$6:$J$511,$M324),"")</f>
        <v/>
      </c>
      <c r="G324" s="42" t="str">
        <f aca="false">IF(IF($M324="",0,INDEX(伝票元!$N$6:$N$511,$M324))=1,INDEX(伝票元!$Q$6:$Q$511,$M324),"")</f>
        <v/>
      </c>
      <c r="H324" s="45" t="str">
        <f aca="false">IF($M324="","",INDEX(伝票元!$F$6:$F$511,$M324))</f>
        <v/>
      </c>
      <c r="I324" s="45" t="str">
        <f aca="false">IF($M324="","",INDEX(伝票元!$G$6:$G$511,$M324))</f>
        <v/>
      </c>
      <c r="J324" s="42" t="str">
        <f aca="false">IF($M324="","",INDEX(伝票元!$H$6:$H$511,$M324))</f>
        <v/>
      </c>
      <c r="K324" s="46" t="str">
        <f aca="false">IF(IF($M324="",0,INDEX(伝票元!$N$6:$N$511,$M324))=1,INDEX(伝票元!$R$6:$R$511,$M324),"")</f>
        <v/>
      </c>
      <c r="L324" s="47" t="str">
        <f aca="false">IF($M324="","",INDEX(伝票元!$S$6:$S$511,$M324))</f>
        <v/>
      </c>
      <c r="M324" s="47" t="str">
        <f aca="false">IFERROR(MATCH(318,伝票元!$O$6:$O$511,0),"")</f>
        <v/>
      </c>
    </row>
    <row r="325" customFormat="false" ht="15" hidden="false" customHeight="false" outlineLevel="0" collapsed="false">
      <c r="A325" s="10" t="str">
        <f aca="false">IF($M325="","",INDEX(伝票元!$P$6:$P$511,$M325))</f>
        <v/>
      </c>
      <c r="B325" s="45" t="str">
        <f aca="false">IF($M325="","",INDEX(伝票元!$D$6:$D$511,$M325))</f>
        <v/>
      </c>
      <c r="C325" s="10" t="str">
        <f aca="false">IF($M325="","",INDEX(伝票元!$E$6:$E$511,$M325))</f>
        <v/>
      </c>
      <c r="D325" s="45" t="str">
        <f aca="false">IF($M325="","",INDEX(伝票元!$A$6:$A$511,$M325))</f>
        <v/>
      </c>
      <c r="E325" s="10" t="str">
        <f aca="false">IF(IF($M325="",0,INDEX(伝票元!$N$6:$N$511,$M325))=1,INDEX(伝票元!$I$6:$I$511,$M325),"")</f>
        <v/>
      </c>
      <c r="F325" s="45" t="str">
        <f aca="false">IF(IF($M325="",0,INDEX(伝票元!$N$6:$N$511,$M325))=1,INDEX(伝票元!$J$6:$J$511,$M325),"")</f>
        <v/>
      </c>
      <c r="G325" s="42" t="str">
        <f aca="false">IF(IF($M325="",0,INDEX(伝票元!$N$6:$N$511,$M325))=1,INDEX(伝票元!$Q$6:$Q$511,$M325),"")</f>
        <v/>
      </c>
      <c r="H325" s="45" t="str">
        <f aca="false">IF($M325="","",INDEX(伝票元!$F$6:$F$511,$M325))</f>
        <v/>
      </c>
      <c r="I325" s="45" t="str">
        <f aca="false">IF($M325="","",INDEX(伝票元!$G$6:$G$511,$M325))</f>
        <v/>
      </c>
      <c r="J325" s="42" t="str">
        <f aca="false">IF($M325="","",INDEX(伝票元!$H$6:$H$511,$M325))</f>
        <v/>
      </c>
      <c r="K325" s="46" t="str">
        <f aca="false">IF(IF($M325="",0,INDEX(伝票元!$N$6:$N$511,$M325))=1,INDEX(伝票元!$R$6:$R$511,$M325),"")</f>
        <v/>
      </c>
      <c r="L325" s="47" t="str">
        <f aca="false">IF($M325="","",INDEX(伝票元!$S$6:$S$511,$M325))</f>
        <v/>
      </c>
      <c r="M325" s="47" t="str">
        <f aca="false">IFERROR(MATCH(319,伝票元!$O$6:$O$511,0),"")</f>
        <v/>
      </c>
    </row>
    <row r="326" customFormat="false" ht="15" hidden="false" customHeight="false" outlineLevel="0" collapsed="false">
      <c r="A326" s="10" t="str">
        <f aca="false">IF($M326="","",INDEX(伝票元!$P$6:$P$511,$M326))</f>
        <v/>
      </c>
      <c r="B326" s="45" t="str">
        <f aca="false">IF($M326="","",INDEX(伝票元!$D$6:$D$511,$M326))</f>
        <v/>
      </c>
      <c r="C326" s="10" t="str">
        <f aca="false">IF($M326="","",INDEX(伝票元!$E$6:$E$511,$M326))</f>
        <v/>
      </c>
      <c r="D326" s="45" t="str">
        <f aca="false">IF($M326="","",INDEX(伝票元!$A$6:$A$511,$M326))</f>
        <v/>
      </c>
      <c r="E326" s="10" t="str">
        <f aca="false">IF(IF($M326="",0,INDEX(伝票元!$N$6:$N$511,$M326))=1,INDEX(伝票元!$I$6:$I$511,$M326),"")</f>
        <v/>
      </c>
      <c r="F326" s="45" t="str">
        <f aca="false">IF(IF($M326="",0,INDEX(伝票元!$N$6:$N$511,$M326))=1,INDEX(伝票元!$J$6:$J$511,$M326),"")</f>
        <v/>
      </c>
      <c r="G326" s="42" t="str">
        <f aca="false">IF(IF($M326="",0,INDEX(伝票元!$N$6:$N$511,$M326))=1,INDEX(伝票元!$Q$6:$Q$511,$M326),"")</f>
        <v/>
      </c>
      <c r="H326" s="45" t="str">
        <f aca="false">IF($M326="","",INDEX(伝票元!$F$6:$F$511,$M326))</f>
        <v/>
      </c>
      <c r="I326" s="45" t="str">
        <f aca="false">IF($M326="","",INDEX(伝票元!$G$6:$G$511,$M326))</f>
        <v/>
      </c>
      <c r="J326" s="42" t="str">
        <f aca="false">IF($M326="","",INDEX(伝票元!$H$6:$H$511,$M326))</f>
        <v/>
      </c>
      <c r="K326" s="46" t="str">
        <f aca="false">IF(IF($M326="",0,INDEX(伝票元!$N$6:$N$511,$M326))=1,INDEX(伝票元!$R$6:$R$511,$M326),"")</f>
        <v/>
      </c>
      <c r="L326" s="47" t="str">
        <f aca="false">IF($M326="","",INDEX(伝票元!$S$6:$S$511,$M326))</f>
        <v/>
      </c>
      <c r="M326" s="47" t="str">
        <f aca="false">IFERROR(MATCH(320,伝票元!$O$6:$O$511,0),"")</f>
        <v/>
      </c>
    </row>
    <row r="327" customFormat="false" ht="15" hidden="false" customHeight="false" outlineLevel="0" collapsed="false">
      <c r="A327" s="10" t="str">
        <f aca="false">IF($M327="","",INDEX(伝票元!$P$6:$P$511,$M327))</f>
        <v/>
      </c>
      <c r="B327" s="45" t="str">
        <f aca="false">IF($M327="","",INDEX(伝票元!$D$6:$D$511,$M327))</f>
        <v/>
      </c>
      <c r="C327" s="10" t="str">
        <f aca="false">IF($M327="","",INDEX(伝票元!$E$6:$E$511,$M327))</f>
        <v/>
      </c>
      <c r="D327" s="45" t="str">
        <f aca="false">IF($M327="","",INDEX(伝票元!$A$6:$A$511,$M327))</f>
        <v/>
      </c>
      <c r="E327" s="10" t="str">
        <f aca="false">IF(IF($M327="",0,INDEX(伝票元!$N$6:$N$511,$M327))=1,INDEX(伝票元!$I$6:$I$511,$M327),"")</f>
        <v/>
      </c>
      <c r="F327" s="45" t="str">
        <f aca="false">IF(IF($M327="",0,INDEX(伝票元!$N$6:$N$511,$M327))=1,INDEX(伝票元!$J$6:$J$511,$M327),"")</f>
        <v/>
      </c>
      <c r="G327" s="42" t="str">
        <f aca="false">IF(IF($M327="",0,INDEX(伝票元!$N$6:$N$511,$M327))=1,INDEX(伝票元!$Q$6:$Q$511,$M327),"")</f>
        <v/>
      </c>
      <c r="H327" s="45" t="str">
        <f aca="false">IF($M327="","",INDEX(伝票元!$F$6:$F$511,$M327))</f>
        <v/>
      </c>
      <c r="I327" s="45" t="str">
        <f aca="false">IF($M327="","",INDEX(伝票元!$G$6:$G$511,$M327))</f>
        <v/>
      </c>
      <c r="J327" s="42" t="str">
        <f aca="false">IF($M327="","",INDEX(伝票元!$H$6:$H$511,$M327))</f>
        <v/>
      </c>
      <c r="K327" s="46" t="str">
        <f aca="false">IF(IF($M327="",0,INDEX(伝票元!$N$6:$N$511,$M327))=1,INDEX(伝票元!$R$6:$R$511,$M327),"")</f>
        <v/>
      </c>
      <c r="L327" s="47" t="str">
        <f aca="false">IF($M327="","",INDEX(伝票元!$S$6:$S$511,$M327))</f>
        <v/>
      </c>
      <c r="M327" s="47" t="str">
        <f aca="false">IFERROR(MATCH(321,伝票元!$O$6:$O$511,0),"")</f>
        <v/>
      </c>
    </row>
    <row r="328" customFormat="false" ht="15" hidden="false" customHeight="false" outlineLevel="0" collapsed="false">
      <c r="A328" s="10" t="str">
        <f aca="false">IF($M328="","",INDEX(伝票元!$P$6:$P$511,$M328))</f>
        <v/>
      </c>
      <c r="B328" s="45" t="str">
        <f aca="false">IF($M328="","",INDEX(伝票元!$D$6:$D$511,$M328))</f>
        <v/>
      </c>
      <c r="C328" s="10" t="str">
        <f aca="false">IF($M328="","",INDEX(伝票元!$E$6:$E$511,$M328))</f>
        <v/>
      </c>
      <c r="D328" s="45" t="str">
        <f aca="false">IF($M328="","",INDEX(伝票元!$A$6:$A$511,$M328))</f>
        <v/>
      </c>
      <c r="E328" s="10" t="str">
        <f aca="false">IF(IF($M328="",0,INDEX(伝票元!$N$6:$N$511,$M328))=1,INDEX(伝票元!$I$6:$I$511,$M328),"")</f>
        <v/>
      </c>
      <c r="F328" s="45" t="str">
        <f aca="false">IF(IF($M328="",0,INDEX(伝票元!$N$6:$N$511,$M328))=1,INDEX(伝票元!$J$6:$J$511,$M328),"")</f>
        <v/>
      </c>
      <c r="G328" s="42" t="str">
        <f aca="false">IF(IF($M328="",0,INDEX(伝票元!$N$6:$N$511,$M328))=1,INDEX(伝票元!$Q$6:$Q$511,$M328),"")</f>
        <v/>
      </c>
      <c r="H328" s="45" t="str">
        <f aca="false">IF($M328="","",INDEX(伝票元!$F$6:$F$511,$M328))</f>
        <v/>
      </c>
      <c r="I328" s="45" t="str">
        <f aca="false">IF($M328="","",INDEX(伝票元!$G$6:$G$511,$M328))</f>
        <v/>
      </c>
      <c r="J328" s="42" t="str">
        <f aca="false">IF($M328="","",INDEX(伝票元!$H$6:$H$511,$M328))</f>
        <v/>
      </c>
      <c r="K328" s="46" t="str">
        <f aca="false">IF(IF($M328="",0,INDEX(伝票元!$N$6:$N$511,$M328))=1,INDEX(伝票元!$R$6:$R$511,$M328),"")</f>
        <v/>
      </c>
      <c r="L328" s="47" t="str">
        <f aca="false">IF($M328="","",INDEX(伝票元!$S$6:$S$511,$M328))</f>
        <v/>
      </c>
      <c r="M328" s="47" t="str">
        <f aca="false">IFERROR(MATCH(322,伝票元!$O$6:$O$511,0),"")</f>
        <v/>
      </c>
    </row>
    <row r="329" customFormat="false" ht="15" hidden="false" customHeight="false" outlineLevel="0" collapsed="false">
      <c r="A329" s="10" t="str">
        <f aca="false">IF($M329="","",INDEX(伝票元!$P$6:$P$511,$M329))</f>
        <v/>
      </c>
      <c r="B329" s="45" t="str">
        <f aca="false">IF($M329="","",INDEX(伝票元!$D$6:$D$511,$M329))</f>
        <v/>
      </c>
      <c r="C329" s="10" t="str">
        <f aca="false">IF($M329="","",INDEX(伝票元!$E$6:$E$511,$M329))</f>
        <v/>
      </c>
      <c r="D329" s="45" t="str">
        <f aca="false">IF($M329="","",INDEX(伝票元!$A$6:$A$511,$M329))</f>
        <v/>
      </c>
      <c r="E329" s="10" t="str">
        <f aca="false">IF(IF($M329="",0,INDEX(伝票元!$N$6:$N$511,$M329))=1,INDEX(伝票元!$I$6:$I$511,$M329),"")</f>
        <v/>
      </c>
      <c r="F329" s="45" t="str">
        <f aca="false">IF(IF($M329="",0,INDEX(伝票元!$N$6:$N$511,$M329))=1,INDEX(伝票元!$J$6:$J$511,$M329),"")</f>
        <v/>
      </c>
      <c r="G329" s="42" t="str">
        <f aca="false">IF(IF($M329="",0,INDEX(伝票元!$N$6:$N$511,$M329))=1,INDEX(伝票元!$Q$6:$Q$511,$M329),"")</f>
        <v/>
      </c>
      <c r="H329" s="45" t="str">
        <f aca="false">IF($M329="","",INDEX(伝票元!$F$6:$F$511,$M329))</f>
        <v/>
      </c>
      <c r="I329" s="45" t="str">
        <f aca="false">IF($M329="","",INDEX(伝票元!$G$6:$G$511,$M329))</f>
        <v/>
      </c>
      <c r="J329" s="42" t="str">
        <f aca="false">IF($M329="","",INDEX(伝票元!$H$6:$H$511,$M329))</f>
        <v/>
      </c>
      <c r="K329" s="46" t="str">
        <f aca="false">IF(IF($M329="",0,INDEX(伝票元!$N$6:$N$511,$M329))=1,INDEX(伝票元!$R$6:$R$511,$M329),"")</f>
        <v/>
      </c>
      <c r="L329" s="47" t="str">
        <f aca="false">IF($M329="","",INDEX(伝票元!$S$6:$S$511,$M329))</f>
        <v/>
      </c>
      <c r="M329" s="47" t="str">
        <f aca="false">IFERROR(MATCH(323,伝票元!$O$6:$O$511,0),"")</f>
        <v/>
      </c>
    </row>
    <row r="330" customFormat="false" ht="15" hidden="false" customHeight="false" outlineLevel="0" collapsed="false">
      <c r="A330" s="10" t="str">
        <f aca="false">IF($M330="","",INDEX(伝票元!$P$6:$P$511,$M330))</f>
        <v/>
      </c>
      <c r="B330" s="45" t="str">
        <f aca="false">IF($M330="","",INDEX(伝票元!$D$6:$D$511,$M330))</f>
        <v/>
      </c>
      <c r="C330" s="10" t="str">
        <f aca="false">IF($M330="","",INDEX(伝票元!$E$6:$E$511,$M330))</f>
        <v/>
      </c>
      <c r="D330" s="45" t="str">
        <f aca="false">IF($M330="","",INDEX(伝票元!$A$6:$A$511,$M330))</f>
        <v/>
      </c>
      <c r="E330" s="10" t="str">
        <f aca="false">IF(IF($M330="",0,INDEX(伝票元!$N$6:$N$511,$M330))=1,INDEX(伝票元!$I$6:$I$511,$M330),"")</f>
        <v/>
      </c>
      <c r="F330" s="45" t="str">
        <f aca="false">IF(IF($M330="",0,INDEX(伝票元!$N$6:$N$511,$M330))=1,INDEX(伝票元!$J$6:$J$511,$M330),"")</f>
        <v/>
      </c>
      <c r="G330" s="42" t="str">
        <f aca="false">IF(IF($M330="",0,INDEX(伝票元!$N$6:$N$511,$M330))=1,INDEX(伝票元!$Q$6:$Q$511,$M330),"")</f>
        <v/>
      </c>
      <c r="H330" s="45" t="str">
        <f aca="false">IF($M330="","",INDEX(伝票元!$F$6:$F$511,$M330))</f>
        <v/>
      </c>
      <c r="I330" s="45" t="str">
        <f aca="false">IF($M330="","",INDEX(伝票元!$G$6:$G$511,$M330))</f>
        <v/>
      </c>
      <c r="J330" s="42" t="str">
        <f aca="false">IF($M330="","",INDEX(伝票元!$H$6:$H$511,$M330))</f>
        <v/>
      </c>
      <c r="K330" s="46" t="str">
        <f aca="false">IF(IF($M330="",0,INDEX(伝票元!$N$6:$N$511,$M330))=1,INDEX(伝票元!$R$6:$R$511,$M330),"")</f>
        <v/>
      </c>
      <c r="L330" s="47" t="str">
        <f aca="false">IF($M330="","",INDEX(伝票元!$S$6:$S$511,$M330))</f>
        <v/>
      </c>
      <c r="M330" s="47" t="str">
        <f aca="false">IFERROR(MATCH(324,伝票元!$O$6:$O$511,0),"")</f>
        <v/>
      </c>
    </row>
    <row r="331" customFormat="false" ht="15" hidden="false" customHeight="false" outlineLevel="0" collapsed="false">
      <c r="A331" s="10" t="str">
        <f aca="false">IF($M331="","",INDEX(伝票元!$P$6:$P$511,$M331))</f>
        <v/>
      </c>
      <c r="B331" s="45" t="str">
        <f aca="false">IF($M331="","",INDEX(伝票元!$D$6:$D$511,$M331))</f>
        <v/>
      </c>
      <c r="C331" s="10" t="str">
        <f aca="false">IF($M331="","",INDEX(伝票元!$E$6:$E$511,$M331))</f>
        <v/>
      </c>
      <c r="D331" s="45" t="str">
        <f aca="false">IF($M331="","",INDEX(伝票元!$A$6:$A$511,$M331))</f>
        <v/>
      </c>
      <c r="E331" s="10" t="str">
        <f aca="false">IF(IF($M331="",0,INDEX(伝票元!$N$6:$N$511,$M331))=1,INDEX(伝票元!$I$6:$I$511,$M331),"")</f>
        <v/>
      </c>
      <c r="F331" s="45" t="str">
        <f aca="false">IF(IF($M331="",0,INDEX(伝票元!$N$6:$N$511,$M331))=1,INDEX(伝票元!$J$6:$J$511,$M331),"")</f>
        <v/>
      </c>
      <c r="G331" s="42" t="str">
        <f aca="false">IF(IF($M331="",0,INDEX(伝票元!$N$6:$N$511,$M331))=1,INDEX(伝票元!$Q$6:$Q$511,$M331),"")</f>
        <v/>
      </c>
      <c r="H331" s="45" t="str">
        <f aca="false">IF($M331="","",INDEX(伝票元!$F$6:$F$511,$M331))</f>
        <v/>
      </c>
      <c r="I331" s="45" t="str">
        <f aca="false">IF($M331="","",INDEX(伝票元!$G$6:$G$511,$M331))</f>
        <v/>
      </c>
      <c r="J331" s="42" t="str">
        <f aca="false">IF($M331="","",INDEX(伝票元!$H$6:$H$511,$M331))</f>
        <v/>
      </c>
      <c r="K331" s="46" t="str">
        <f aca="false">IF(IF($M331="",0,INDEX(伝票元!$N$6:$N$511,$M331))=1,INDEX(伝票元!$R$6:$R$511,$M331),"")</f>
        <v/>
      </c>
      <c r="L331" s="47" t="str">
        <f aca="false">IF($M331="","",INDEX(伝票元!$S$6:$S$511,$M331))</f>
        <v/>
      </c>
      <c r="M331" s="47" t="str">
        <f aca="false">IFERROR(MATCH(325,伝票元!$O$6:$O$511,0),"")</f>
        <v/>
      </c>
    </row>
    <row r="332" customFormat="false" ht="15" hidden="false" customHeight="false" outlineLevel="0" collapsed="false">
      <c r="A332" s="10" t="str">
        <f aca="false">IF($M332="","",INDEX(伝票元!$P$6:$P$511,$M332))</f>
        <v/>
      </c>
      <c r="B332" s="45" t="str">
        <f aca="false">IF($M332="","",INDEX(伝票元!$D$6:$D$511,$M332))</f>
        <v/>
      </c>
      <c r="C332" s="10" t="str">
        <f aca="false">IF($M332="","",INDEX(伝票元!$E$6:$E$511,$M332))</f>
        <v/>
      </c>
      <c r="D332" s="45" t="str">
        <f aca="false">IF($M332="","",INDEX(伝票元!$A$6:$A$511,$M332))</f>
        <v/>
      </c>
      <c r="E332" s="10" t="str">
        <f aca="false">IF(IF($M332="",0,INDEX(伝票元!$N$6:$N$511,$M332))=1,INDEX(伝票元!$I$6:$I$511,$M332),"")</f>
        <v/>
      </c>
      <c r="F332" s="45" t="str">
        <f aca="false">IF(IF($M332="",0,INDEX(伝票元!$N$6:$N$511,$M332))=1,INDEX(伝票元!$J$6:$J$511,$M332),"")</f>
        <v/>
      </c>
      <c r="G332" s="42" t="str">
        <f aca="false">IF(IF($M332="",0,INDEX(伝票元!$N$6:$N$511,$M332))=1,INDEX(伝票元!$Q$6:$Q$511,$M332),"")</f>
        <v/>
      </c>
      <c r="H332" s="45" t="str">
        <f aca="false">IF($M332="","",INDEX(伝票元!$F$6:$F$511,$M332))</f>
        <v/>
      </c>
      <c r="I332" s="45" t="str">
        <f aca="false">IF($M332="","",INDEX(伝票元!$G$6:$G$511,$M332))</f>
        <v/>
      </c>
      <c r="J332" s="42" t="str">
        <f aca="false">IF($M332="","",INDEX(伝票元!$H$6:$H$511,$M332))</f>
        <v/>
      </c>
      <c r="K332" s="46" t="str">
        <f aca="false">IF(IF($M332="",0,INDEX(伝票元!$N$6:$N$511,$M332))=1,INDEX(伝票元!$R$6:$R$511,$M332),"")</f>
        <v/>
      </c>
      <c r="L332" s="47" t="str">
        <f aca="false">IF($M332="","",INDEX(伝票元!$S$6:$S$511,$M332))</f>
        <v/>
      </c>
      <c r="M332" s="47" t="str">
        <f aca="false">IFERROR(MATCH(326,伝票元!$O$6:$O$511,0),"")</f>
        <v/>
      </c>
    </row>
    <row r="333" customFormat="false" ht="15" hidden="false" customHeight="false" outlineLevel="0" collapsed="false">
      <c r="A333" s="10" t="str">
        <f aca="false">IF($M333="","",INDEX(伝票元!$P$6:$P$511,$M333))</f>
        <v/>
      </c>
      <c r="B333" s="45" t="str">
        <f aca="false">IF($M333="","",INDEX(伝票元!$D$6:$D$511,$M333))</f>
        <v/>
      </c>
      <c r="C333" s="10" t="str">
        <f aca="false">IF($M333="","",INDEX(伝票元!$E$6:$E$511,$M333))</f>
        <v/>
      </c>
      <c r="D333" s="45" t="str">
        <f aca="false">IF($M333="","",INDEX(伝票元!$A$6:$A$511,$M333))</f>
        <v/>
      </c>
      <c r="E333" s="10" t="str">
        <f aca="false">IF(IF($M333="",0,INDEX(伝票元!$N$6:$N$511,$M333))=1,INDEX(伝票元!$I$6:$I$511,$M333),"")</f>
        <v/>
      </c>
      <c r="F333" s="45" t="str">
        <f aca="false">IF(IF($M333="",0,INDEX(伝票元!$N$6:$N$511,$M333))=1,INDEX(伝票元!$J$6:$J$511,$M333),"")</f>
        <v/>
      </c>
      <c r="G333" s="42" t="str">
        <f aca="false">IF(IF($M333="",0,INDEX(伝票元!$N$6:$N$511,$M333))=1,INDEX(伝票元!$Q$6:$Q$511,$M333),"")</f>
        <v/>
      </c>
      <c r="H333" s="45" t="str">
        <f aca="false">IF($M333="","",INDEX(伝票元!$F$6:$F$511,$M333))</f>
        <v/>
      </c>
      <c r="I333" s="45" t="str">
        <f aca="false">IF($M333="","",INDEX(伝票元!$G$6:$G$511,$M333))</f>
        <v/>
      </c>
      <c r="J333" s="42" t="str">
        <f aca="false">IF($M333="","",INDEX(伝票元!$H$6:$H$511,$M333))</f>
        <v/>
      </c>
      <c r="K333" s="46" t="str">
        <f aca="false">IF(IF($M333="",0,INDEX(伝票元!$N$6:$N$511,$M333))=1,INDEX(伝票元!$R$6:$R$511,$M333),"")</f>
        <v/>
      </c>
      <c r="L333" s="47" t="str">
        <f aca="false">IF($M333="","",INDEX(伝票元!$S$6:$S$511,$M333))</f>
        <v/>
      </c>
      <c r="M333" s="47" t="str">
        <f aca="false">IFERROR(MATCH(327,伝票元!$O$6:$O$511,0),"")</f>
        <v/>
      </c>
    </row>
    <row r="334" customFormat="false" ht="15" hidden="false" customHeight="false" outlineLevel="0" collapsed="false">
      <c r="A334" s="10" t="str">
        <f aca="false">IF($M334="","",INDEX(伝票元!$P$6:$P$511,$M334))</f>
        <v/>
      </c>
      <c r="B334" s="45" t="str">
        <f aca="false">IF($M334="","",INDEX(伝票元!$D$6:$D$511,$M334))</f>
        <v/>
      </c>
      <c r="C334" s="10" t="str">
        <f aca="false">IF($M334="","",INDEX(伝票元!$E$6:$E$511,$M334))</f>
        <v/>
      </c>
      <c r="D334" s="45" t="str">
        <f aca="false">IF($M334="","",INDEX(伝票元!$A$6:$A$511,$M334))</f>
        <v/>
      </c>
      <c r="E334" s="10" t="str">
        <f aca="false">IF(IF($M334="",0,INDEX(伝票元!$N$6:$N$511,$M334))=1,INDEX(伝票元!$I$6:$I$511,$M334),"")</f>
        <v/>
      </c>
      <c r="F334" s="45" t="str">
        <f aca="false">IF(IF($M334="",0,INDEX(伝票元!$N$6:$N$511,$M334))=1,INDEX(伝票元!$J$6:$J$511,$M334),"")</f>
        <v/>
      </c>
      <c r="G334" s="42" t="str">
        <f aca="false">IF(IF($M334="",0,INDEX(伝票元!$N$6:$N$511,$M334))=1,INDEX(伝票元!$Q$6:$Q$511,$M334),"")</f>
        <v/>
      </c>
      <c r="H334" s="45" t="str">
        <f aca="false">IF($M334="","",INDEX(伝票元!$F$6:$F$511,$M334))</f>
        <v/>
      </c>
      <c r="I334" s="45" t="str">
        <f aca="false">IF($M334="","",INDEX(伝票元!$G$6:$G$511,$M334))</f>
        <v/>
      </c>
      <c r="J334" s="42" t="str">
        <f aca="false">IF($M334="","",INDEX(伝票元!$H$6:$H$511,$M334))</f>
        <v/>
      </c>
      <c r="K334" s="46" t="str">
        <f aca="false">IF(IF($M334="",0,INDEX(伝票元!$N$6:$N$511,$M334))=1,INDEX(伝票元!$R$6:$R$511,$M334),"")</f>
        <v/>
      </c>
      <c r="L334" s="47" t="str">
        <f aca="false">IF($M334="","",INDEX(伝票元!$S$6:$S$511,$M334))</f>
        <v/>
      </c>
      <c r="M334" s="47" t="str">
        <f aca="false">IFERROR(MATCH(328,伝票元!$O$6:$O$511,0),"")</f>
        <v/>
      </c>
    </row>
    <row r="335" customFormat="false" ht="15" hidden="false" customHeight="false" outlineLevel="0" collapsed="false">
      <c r="A335" s="10" t="str">
        <f aca="false">IF($M335="","",INDEX(伝票元!$P$6:$P$511,$M335))</f>
        <v/>
      </c>
      <c r="B335" s="45" t="str">
        <f aca="false">IF($M335="","",INDEX(伝票元!$D$6:$D$511,$M335))</f>
        <v/>
      </c>
      <c r="C335" s="10" t="str">
        <f aca="false">IF($M335="","",INDEX(伝票元!$E$6:$E$511,$M335))</f>
        <v/>
      </c>
      <c r="D335" s="45" t="str">
        <f aca="false">IF($M335="","",INDEX(伝票元!$A$6:$A$511,$M335))</f>
        <v/>
      </c>
      <c r="E335" s="10" t="str">
        <f aca="false">IF(IF($M335="",0,INDEX(伝票元!$N$6:$N$511,$M335))=1,INDEX(伝票元!$I$6:$I$511,$M335),"")</f>
        <v/>
      </c>
      <c r="F335" s="45" t="str">
        <f aca="false">IF(IF($M335="",0,INDEX(伝票元!$N$6:$N$511,$M335))=1,INDEX(伝票元!$J$6:$J$511,$M335),"")</f>
        <v/>
      </c>
      <c r="G335" s="42" t="str">
        <f aca="false">IF(IF($M335="",0,INDEX(伝票元!$N$6:$N$511,$M335))=1,INDEX(伝票元!$Q$6:$Q$511,$M335),"")</f>
        <v/>
      </c>
      <c r="H335" s="45" t="str">
        <f aca="false">IF($M335="","",INDEX(伝票元!$F$6:$F$511,$M335))</f>
        <v/>
      </c>
      <c r="I335" s="45" t="str">
        <f aca="false">IF($M335="","",INDEX(伝票元!$G$6:$G$511,$M335))</f>
        <v/>
      </c>
      <c r="J335" s="42" t="str">
        <f aca="false">IF($M335="","",INDEX(伝票元!$H$6:$H$511,$M335))</f>
        <v/>
      </c>
      <c r="K335" s="46" t="str">
        <f aca="false">IF(IF($M335="",0,INDEX(伝票元!$N$6:$N$511,$M335))=1,INDEX(伝票元!$R$6:$R$511,$M335),"")</f>
        <v/>
      </c>
      <c r="L335" s="47" t="str">
        <f aca="false">IF($M335="","",INDEX(伝票元!$S$6:$S$511,$M335))</f>
        <v/>
      </c>
      <c r="M335" s="47" t="str">
        <f aca="false">IFERROR(MATCH(329,伝票元!$O$6:$O$511,0),"")</f>
        <v/>
      </c>
    </row>
    <row r="336" customFormat="false" ht="15" hidden="false" customHeight="false" outlineLevel="0" collapsed="false">
      <c r="A336" s="10" t="str">
        <f aca="false">IF($M336="","",INDEX(伝票元!$P$6:$P$511,$M336))</f>
        <v/>
      </c>
      <c r="B336" s="45" t="str">
        <f aca="false">IF($M336="","",INDEX(伝票元!$D$6:$D$511,$M336))</f>
        <v/>
      </c>
      <c r="C336" s="10" t="str">
        <f aca="false">IF($M336="","",INDEX(伝票元!$E$6:$E$511,$M336))</f>
        <v/>
      </c>
      <c r="D336" s="45" t="str">
        <f aca="false">IF($M336="","",INDEX(伝票元!$A$6:$A$511,$M336))</f>
        <v/>
      </c>
      <c r="E336" s="10" t="str">
        <f aca="false">IF(IF($M336="",0,INDEX(伝票元!$N$6:$N$511,$M336))=1,INDEX(伝票元!$I$6:$I$511,$M336),"")</f>
        <v/>
      </c>
      <c r="F336" s="45" t="str">
        <f aca="false">IF(IF($M336="",0,INDEX(伝票元!$N$6:$N$511,$M336))=1,INDEX(伝票元!$J$6:$J$511,$M336),"")</f>
        <v/>
      </c>
      <c r="G336" s="42" t="str">
        <f aca="false">IF(IF($M336="",0,INDEX(伝票元!$N$6:$N$511,$M336))=1,INDEX(伝票元!$Q$6:$Q$511,$M336),"")</f>
        <v/>
      </c>
      <c r="H336" s="45" t="str">
        <f aca="false">IF($M336="","",INDEX(伝票元!$F$6:$F$511,$M336))</f>
        <v/>
      </c>
      <c r="I336" s="45" t="str">
        <f aca="false">IF($M336="","",INDEX(伝票元!$G$6:$G$511,$M336))</f>
        <v/>
      </c>
      <c r="J336" s="42" t="str">
        <f aca="false">IF($M336="","",INDEX(伝票元!$H$6:$H$511,$M336))</f>
        <v/>
      </c>
      <c r="K336" s="46" t="str">
        <f aca="false">IF(IF($M336="",0,INDEX(伝票元!$N$6:$N$511,$M336))=1,INDEX(伝票元!$R$6:$R$511,$M336),"")</f>
        <v/>
      </c>
      <c r="L336" s="47" t="str">
        <f aca="false">IF($M336="","",INDEX(伝票元!$S$6:$S$511,$M336))</f>
        <v/>
      </c>
      <c r="M336" s="47" t="str">
        <f aca="false">IFERROR(MATCH(330,伝票元!$O$6:$O$511,0),"")</f>
        <v/>
      </c>
    </row>
    <row r="337" customFormat="false" ht="15" hidden="false" customHeight="false" outlineLevel="0" collapsed="false">
      <c r="A337" s="10" t="str">
        <f aca="false">IF($M337="","",INDEX(伝票元!$P$6:$P$511,$M337))</f>
        <v/>
      </c>
      <c r="B337" s="45" t="str">
        <f aca="false">IF($M337="","",INDEX(伝票元!$D$6:$D$511,$M337))</f>
        <v/>
      </c>
      <c r="C337" s="10" t="str">
        <f aca="false">IF($M337="","",INDEX(伝票元!$E$6:$E$511,$M337))</f>
        <v/>
      </c>
      <c r="D337" s="45" t="str">
        <f aca="false">IF($M337="","",INDEX(伝票元!$A$6:$A$511,$M337))</f>
        <v/>
      </c>
      <c r="E337" s="10" t="str">
        <f aca="false">IF(IF($M337="",0,INDEX(伝票元!$N$6:$N$511,$M337))=1,INDEX(伝票元!$I$6:$I$511,$M337),"")</f>
        <v/>
      </c>
      <c r="F337" s="45" t="str">
        <f aca="false">IF(IF($M337="",0,INDEX(伝票元!$N$6:$N$511,$M337))=1,INDEX(伝票元!$J$6:$J$511,$M337),"")</f>
        <v/>
      </c>
      <c r="G337" s="42" t="str">
        <f aca="false">IF(IF($M337="",0,INDEX(伝票元!$N$6:$N$511,$M337))=1,INDEX(伝票元!$Q$6:$Q$511,$M337),"")</f>
        <v/>
      </c>
      <c r="H337" s="45" t="str">
        <f aca="false">IF($M337="","",INDEX(伝票元!$F$6:$F$511,$M337))</f>
        <v/>
      </c>
      <c r="I337" s="45" t="str">
        <f aca="false">IF($M337="","",INDEX(伝票元!$G$6:$G$511,$M337))</f>
        <v/>
      </c>
      <c r="J337" s="42" t="str">
        <f aca="false">IF($M337="","",INDEX(伝票元!$H$6:$H$511,$M337))</f>
        <v/>
      </c>
      <c r="K337" s="46" t="str">
        <f aca="false">IF(IF($M337="",0,INDEX(伝票元!$N$6:$N$511,$M337))=1,INDEX(伝票元!$R$6:$R$511,$M337),"")</f>
        <v/>
      </c>
      <c r="L337" s="47" t="str">
        <f aca="false">IF($M337="","",INDEX(伝票元!$S$6:$S$511,$M337))</f>
        <v/>
      </c>
      <c r="M337" s="47" t="str">
        <f aca="false">IFERROR(MATCH(331,伝票元!$O$6:$O$511,0),"")</f>
        <v/>
      </c>
    </row>
    <row r="338" customFormat="false" ht="15" hidden="false" customHeight="false" outlineLevel="0" collapsed="false">
      <c r="A338" s="10" t="str">
        <f aca="false">IF($M338="","",INDEX(伝票元!$P$6:$P$511,$M338))</f>
        <v/>
      </c>
      <c r="B338" s="45" t="str">
        <f aca="false">IF($M338="","",INDEX(伝票元!$D$6:$D$511,$M338))</f>
        <v/>
      </c>
      <c r="C338" s="10" t="str">
        <f aca="false">IF($M338="","",INDEX(伝票元!$E$6:$E$511,$M338))</f>
        <v/>
      </c>
      <c r="D338" s="45" t="str">
        <f aca="false">IF($M338="","",INDEX(伝票元!$A$6:$A$511,$M338))</f>
        <v/>
      </c>
      <c r="E338" s="10" t="str">
        <f aca="false">IF(IF($M338="",0,INDEX(伝票元!$N$6:$N$511,$M338))=1,INDEX(伝票元!$I$6:$I$511,$M338),"")</f>
        <v/>
      </c>
      <c r="F338" s="45" t="str">
        <f aca="false">IF(IF($M338="",0,INDEX(伝票元!$N$6:$N$511,$M338))=1,INDEX(伝票元!$J$6:$J$511,$M338),"")</f>
        <v/>
      </c>
      <c r="G338" s="42" t="str">
        <f aca="false">IF(IF($M338="",0,INDEX(伝票元!$N$6:$N$511,$M338))=1,INDEX(伝票元!$Q$6:$Q$511,$M338),"")</f>
        <v/>
      </c>
      <c r="H338" s="45" t="str">
        <f aca="false">IF($M338="","",INDEX(伝票元!$F$6:$F$511,$M338))</f>
        <v/>
      </c>
      <c r="I338" s="45" t="str">
        <f aca="false">IF($M338="","",INDEX(伝票元!$G$6:$G$511,$M338))</f>
        <v/>
      </c>
      <c r="J338" s="42" t="str">
        <f aca="false">IF($M338="","",INDEX(伝票元!$H$6:$H$511,$M338))</f>
        <v/>
      </c>
      <c r="K338" s="46" t="str">
        <f aca="false">IF(IF($M338="",0,INDEX(伝票元!$N$6:$N$511,$M338))=1,INDEX(伝票元!$R$6:$R$511,$M338),"")</f>
        <v/>
      </c>
      <c r="L338" s="47" t="str">
        <f aca="false">IF($M338="","",INDEX(伝票元!$S$6:$S$511,$M338))</f>
        <v/>
      </c>
      <c r="M338" s="47" t="str">
        <f aca="false">IFERROR(MATCH(332,伝票元!$O$6:$O$511,0),"")</f>
        <v/>
      </c>
    </row>
    <row r="339" customFormat="false" ht="15" hidden="false" customHeight="false" outlineLevel="0" collapsed="false">
      <c r="A339" s="10" t="str">
        <f aca="false">IF($M339="","",INDEX(伝票元!$P$6:$P$511,$M339))</f>
        <v/>
      </c>
      <c r="B339" s="45" t="str">
        <f aca="false">IF($M339="","",INDEX(伝票元!$D$6:$D$511,$M339))</f>
        <v/>
      </c>
      <c r="C339" s="10" t="str">
        <f aca="false">IF($M339="","",INDEX(伝票元!$E$6:$E$511,$M339))</f>
        <v/>
      </c>
      <c r="D339" s="45" t="str">
        <f aca="false">IF($M339="","",INDEX(伝票元!$A$6:$A$511,$M339))</f>
        <v/>
      </c>
      <c r="E339" s="10" t="str">
        <f aca="false">IF(IF($M339="",0,INDEX(伝票元!$N$6:$N$511,$M339))=1,INDEX(伝票元!$I$6:$I$511,$M339),"")</f>
        <v/>
      </c>
      <c r="F339" s="45" t="str">
        <f aca="false">IF(IF($M339="",0,INDEX(伝票元!$N$6:$N$511,$M339))=1,INDEX(伝票元!$J$6:$J$511,$M339),"")</f>
        <v/>
      </c>
      <c r="G339" s="42" t="str">
        <f aca="false">IF(IF($M339="",0,INDEX(伝票元!$N$6:$N$511,$M339))=1,INDEX(伝票元!$Q$6:$Q$511,$M339),"")</f>
        <v/>
      </c>
      <c r="H339" s="45" t="str">
        <f aca="false">IF($M339="","",INDEX(伝票元!$F$6:$F$511,$M339))</f>
        <v/>
      </c>
      <c r="I339" s="45" t="str">
        <f aca="false">IF($M339="","",INDEX(伝票元!$G$6:$G$511,$M339))</f>
        <v/>
      </c>
      <c r="J339" s="42" t="str">
        <f aca="false">IF($M339="","",INDEX(伝票元!$H$6:$H$511,$M339))</f>
        <v/>
      </c>
      <c r="K339" s="46" t="str">
        <f aca="false">IF(IF($M339="",0,INDEX(伝票元!$N$6:$N$511,$M339))=1,INDEX(伝票元!$R$6:$R$511,$M339),"")</f>
        <v/>
      </c>
      <c r="L339" s="47" t="str">
        <f aca="false">IF($M339="","",INDEX(伝票元!$S$6:$S$511,$M339))</f>
        <v/>
      </c>
      <c r="M339" s="47" t="str">
        <f aca="false">IFERROR(MATCH(333,伝票元!$O$6:$O$511,0),"")</f>
        <v/>
      </c>
    </row>
    <row r="340" customFormat="false" ht="15" hidden="false" customHeight="false" outlineLevel="0" collapsed="false">
      <c r="A340" s="10" t="str">
        <f aca="false">IF($M340="","",INDEX(伝票元!$P$6:$P$511,$M340))</f>
        <v/>
      </c>
      <c r="B340" s="45" t="str">
        <f aca="false">IF($M340="","",INDEX(伝票元!$D$6:$D$511,$M340))</f>
        <v/>
      </c>
      <c r="C340" s="10" t="str">
        <f aca="false">IF($M340="","",INDEX(伝票元!$E$6:$E$511,$M340))</f>
        <v/>
      </c>
      <c r="D340" s="45" t="str">
        <f aca="false">IF($M340="","",INDEX(伝票元!$A$6:$A$511,$M340))</f>
        <v/>
      </c>
      <c r="E340" s="10" t="str">
        <f aca="false">IF(IF($M340="",0,INDEX(伝票元!$N$6:$N$511,$M340))=1,INDEX(伝票元!$I$6:$I$511,$M340),"")</f>
        <v/>
      </c>
      <c r="F340" s="45" t="str">
        <f aca="false">IF(IF($M340="",0,INDEX(伝票元!$N$6:$N$511,$M340))=1,INDEX(伝票元!$J$6:$J$511,$M340),"")</f>
        <v/>
      </c>
      <c r="G340" s="42" t="str">
        <f aca="false">IF(IF($M340="",0,INDEX(伝票元!$N$6:$N$511,$M340))=1,INDEX(伝票元!$Q$6:$Q$511,$M340),"")</f>
        <v/>
      </c>
      <c r="H340" s="45" t="str">
        <f aca="false">IF($M340="","",INDEX(伝票元!$F$6:$F$511,$M340))</f>
        <v/>
      </c>
      <c r="I340" s="45" t="str">
        <f aca="false">IF($M340="","",INDEX(伝票元!$G$6:$G$511,$M340))</f>
        <v/>
      </c>
      <c r="J340" s="42" t="str">
        <f aca="false">IF($M340="","",INDEX(伝票元!$H$6:$H$511,$M340))</f>
        <v/>
      </c>
      <c r="K340" s="46" t="str">
        <f aca="false">IF(IF($M340="",0,INDEX(伝票元!$N$6:$N$511,$M340))=1,INDEX(伝票元!$R$6:$R$511,$M340),"")</f>
        <v/>
      </c>
      <c r="L340" s="47" t="str">
        <f aca="false">IF($M340="","",INDEX(伝票元!$S$6:$S$511,$M340))</f>
        <v/>
      </c>
      <c r="M340" s="47" t="str">
        <f aca="false">IFERROR(MATCH(334,伝票元!$O$6:$O$511,0),"")</f>
        <v/>
      </c>
    </row>
    <row r="341" customFormat="false" ht="15" hidden="false" customHeight="false" outlineLevel="0" collapsed="false">
      <c r="A341" s="10" t="str">
        <f aca="false">IF($M341="","",INDEX(伝票元!$P$6:$P$511,$M341))</f>
        <v/>
      </c>
      <c r="B341" s="45" t="str">
        <f aca="false">IF($M341="","",INDEX(伝票元!$D$6:$D$511,$M341))</f>
        <v/>
      </c>
      <c r="C341" s="10" t="str">
        <f aca="false">IF($M341="","",INDEX(伝票元!$E$6:$E$511,$M341))</f>
        <v/>
      </c>
      <c r="D341" s="45" t="str">
        <f aca="false">IF($M341="","",INDEX(伝票元!$A$6:$A$511,$M341))</f>
        <v/>
      </c>
      <c r="E341" s="10" t="str">
        <f aca="false">IF(IF($M341="",0,INDEX(伝票元!$N$6:$N$511,$M341))=1,INDEX(伝票元!$I$6:$I$511,$M341),"")</f>
        <v/>
      </c>
      <c r="F341" s="45" t="str">
        <f aca="false">IF(IF($M341="",0,INDEX(伝票元!$N$6:$N$511,$M341))=1,INDEX(伝票元!$J$6:$J$511,$M341),"")</f>
        <v/>
      </c>
      <c r="G341" s="42" t="str">
        <f aca="false">IF(IF($M341="",0,INDEX(伝票元!$N$6:$N$511,$M341))=1,INDEX(伝票元!$Q$6:$Q$511,$M341),"")</f>
        <v/>
      </c>
      <c r="H341" s="45" t="str">
        <f aca="false">IF($M341="","",INDEX(伝票元!$F$6:$F$511,$M341))</f>
        <v/>
      </c>
      <c r="I341" s="45" t="str">
        <f aca="false">IF($M341="","",INDEX(伝票元!$G$6:$G$511,$M341))</f>
        <v/>
      </c>
      <c r="J341" s="42" t="str">
        <f aca="false">IF($M341="","",INDEX(伝票元!$H$6:$H$511,$M341))</f>
        <v/>
      </c>
      <c r="K341" s="46" t="str">
        <f aca="false">IF(IF($M341="",0,INDEX(伝票元!$N$6:$N$511,$M341))=1,INDEX(伝票元!$R$6:$R$511,$M341),"")</f>
        <v/>
      </c>
      <c r="L341" s="47" t="str">
        <f aca="false">IF($M341="","",INDEX(伝票元!$S$6:$S$511,$M341))</f>
        <v/>
      </c>
      <c r="M341" s="47" t="str">
        <f aca="false">IFERROR(MATCH(335,伝票元!$O$6:$O$511,0),"")</f>
        <v/>
      </c>
    </row>
    <row r="342" customFormat="false" ht="15" hidden="false" customHeight="false" outlineLevel="0" collapsed="false">
      <c r="A342" s="10" t="str">
        <f aca="false">IF($M342="","",INDEX(伝票元!$P$6:$P$511,$M342))</f>
        <v/>
      </c>
      <c r="B342" s="45" t="str">
        <f aca="false">IF($M342="","",INDEX(伝票元!$D$6:$D$511,$M342))</f>
        <v/>
      </c>
      <c r="C342" s="10" t="str">
        <f aca="false">IF($M342="","",INDEX(伝票元!$E$6:$E$511,$M342))</f>
        <v/>
      </c>
      <c r="D342" s="45" t="str">
        <f aca="false">IF($M342="","",INDEX(伝票元!$A$6:$A$511,$M342))</f>
        <v/>
      </c>
      <c r="E342" s="10" t="str">
        <f aca="false">IF(IF($M342="",0,INDEX(伝票元!$N$6:$N$511,$M342))=1,INDEX(伝票元!$I$6:$I$511,$M342),"")</f>
        <v/>
      </c>
      <c r="F342" s="45" t="str">
        <f aca="false">IF(IF($M342="",0,INDEX(伝票元!$N$6:$N$511,$M342))=1,INDEX(伝票元!$J$6:$J$511,$M342),"")</f>
        <v/>
      </c>
      <c r="G342" s="42" t="str">
        <f aca="false">IF(IF($M342="",0,INDEX(伝票元!$N$6:$N$511,$M342))=1,INDEX(伝票元!$Q$6:$Q$511,$M342),"")</f>
        <v/>
      </c>
      <c r="H342" s="45" t="str">
        <f aca="false">IF($M342="","",INDEX(伝票元!$F$6:$F$511,$M342))</f>
        <v/>
      </c>
      <c r="I342" s="45" t="str">
        <f aca="false">IF($M342="","",INDEX(伝票元!$G$6:$G$511,$M342))</f>
        <v/>
      </c>
      <c r="J342" s="42" t="str">
        <f aca="false">IF($M342="","",INDEX(伝票元!$H$6:$H$511,$M342))</f>
        <v/>
      </c>
      <c r="K342" s="46" t="str">
        <f aca="false">IF(IF($M342="",0,INDEX(伝票元!$N$6:$N$511,$M342))=1,INDEX(伝票元!$R$6:$R$511,$M342),"")</f>
        <v/>
      </c>
      <c r="L342" s="47" t="str">
        <f aca="false">IF($M342="","",INDEX(伝票元!$S$6:$S$511,$M342))</f>
        <v/>
      </c>
      <c r="M342" s="47" t="str">
        <f aca="false">IFERROR(MATCH(336,伝票元!$O$6:$O$511,0),"")</f>
        <v/>
      </c>
    </row>
    <row r="343" customFormat="false" ht="15" hidden="false" customHeight="false" outlineLevel="0" collapsed="false">
      <c r="A343" s="10" t="str">
        <f aca="false">IF($M343="","",INDEX(伝票元!$P$6:$P$511,$M343))</f>
        <v/>
      </c>
      <c r="B343" s="45" t="str">
        <f aca="false">IF($M343="","",INDEX(伝票元!$D$6:$D$511,$M343))</f>
        <v/>
      </c>
      <c r="C343" s="10" t="str">
        <f aca="false">IF($M343="","",INDEX(伝票元!$E$6:$E$511,$M343))</f>
        <v/>
      </c>
      <c r="D343" s="45" t="str">
        <f aca="false">IF($M343="","",INDEX(伝票元!$A$6:$A$511,$M343))</f>
        <v/>
      </c>
      <c r="E343" s="10" t="str">
        <f aca="false">IF(IF($M343="",0,INDEX(伝票元!$N$6:$N$511,$M343))=1,INDEX(伝票元!$I$6:$I$511,$M343),"")</f>
        <v/>
      </c>
      <c r="F343" s="45" t="str">
        <f aca="false">IF(IF($M343="",0,INDEX(伝票元!$N$6:$N$511,$M343))=1,INDEX(伝票元!$J$6:$J$511,$M343),"")</f>
        <v/>
      </c>
      <c r="G343" s="42" t="str">
        <f aca="false">IF(IF($M343="",0,INDEX(伝票元!$N$6:$N$511,$M343))=1,INDEX(伝票元!$Q$6:$Q$511,$M343),"")</f>
        <v/>
      </c>
      <c r="H343" s="45" t="str">
        <f aca="false">IF($M343="","",INDEX(伝票元!$F$6:$F$511,$M343))</f>
        <v/>
      </c>
      <c r="I343" s="45" t="str">
        <f aca="false">IF($M343="","",INDEX(伝票元!$G$6:$G$511,$M343))</f>
        <v/>
      </c>
      <c r="J343" s="42" t="str">
        <f aca="false">IF($M343="","",INDEX(伝票元!$H$6:$H$511,$M343))</f>
        <v/>
      </c>
      <c r="K343" s="46" t="str">
        <f aca="false">IF(IF($M343="",0,INDEX(伝票元!$N$6:$N$511,$M343))=1,INDEX(伝票元!$R$6:$R$511,$M343),"")</f>
        <v/>
      </c>
      <c r="L343" s="47" t="str">
        <f aca="false">IF($M343="","",INDEX(伝票元!$S$6:$S$511,$M343))</f>
        <v/>
      </c>
      <c r="M343" s="47" t="str">
        <f aca="false">IFERROR(MATCH(337,伝票元!$O$6:$O$511,0),"")</f>
        <v/>
      </c>
    </row>
    <row r="344" customFormat="false" ht="15" hidden="false" customHeight="false" outlineLevel="0" collapsed="false">
      <c r="A344" s="10" t="str">
        <f aca="false">IF($M344="","",INDEX(伝票元!$P$6:$P$511,$M344))</f>
        <v/>
      </c>
      <c r="B344" s="45" t="str">
        <f aca="false">IF($M344="","",INDEX(伝票元!$D$6:$D$511,$M344))</f>
        <v/>
      </c>
      <c r="C344" s="10" t="str">
        <f aca="false">IF($M344="","",INDEX(伝票元!$E$6:$E$511,$M344))</f>
        <v/>
      </c>
      <c r="D344" s="45" t="str">
        <f aca="false">IF($M344="","",INDEX(伝票元!$A$6:$A$511,$M344))</f>
        <v/>
      </c>
      <c r="E344" s="10" t="str">
        <f aca="false">IF(IF($M344="",0,INDEX(伝票元!$N$6:$N$511,$M344))=1,INDEX(伝票元!$I$6:$I$511,$M344),"")</f>
        <v/>
      </c>
      <c r="F344" s="45" t="str">
        <f aca="false">IF(IF($M344="",0,INDEX(伝票元!$N$6:$N$511,$M344))=1,INDEX(伝票元!$J$6:$J$511,$M344),"")</f>
        <v/>
      </c>
      <c r="G344" s="42" t="str">
        <f aca="false">IF(IF($M344="",0,INDEX(伝票元!$N$6:$N$511,$M344))=1,INDEX(伝票元!$Q$6:$Q$511,$M344),"")</f>
        <v/>
      </c>
      <c r="H344" s="45" t="str">
        <f aca="false">IF($M344="","",INDEX(伝票元!$F$6:$F$511,$M344))</f>
        <v/>
      </c>
      <c r="I344" s="45" t="str">
        <f aca="false">IF($M344="","",INDEX(伝票元!$G$6:$G$511,$M344))</f>
        <v/>
      </c>
      <c r="J344" s="42" t="str">
        <f aca="false">IF($M344="","",INDEX(伝票元!$H$6:$H$511,$M344))</f>
        <v/>
      </c>
      <c r="K344" s="46" t="str">
        <f aca="false">IF(IF($M344="",0,INDEX(伝票元!$N$6:$N$511,$M344))=1,INDEX(伝票元!$R$6:$R$511,$M344),"")</f>
        <v/>
      </c>
      <c r="L344" s="47" t="str">
        <f aca="false">IF($M344="","",INDEX(伝票元!$S$6:$S$511,$M344))</f>
        <v/>
      </c>
      <c r="M344" s="47" t="str">
        <f aca="false">IFERROR(MATCH(338,伝票元!$O$6:$O$511,0),"")</f>
        <v/>
      </c>
    </row>
    <row r="345" customFormat="false" ht="15" hidden="false" customHeight="false" outlineLevel="0" collapsed="false">
      <c r="A345" s="10" t="str">
        <f aca="false">IF($M345="","",INDEX(伝票元!$P$6:$P$511,$M345))</f>
        <v/>
      </c>
      <c r="B345" s="45" t="str">
        <f aca="false">IF($M345="","",INDEX(伝票元!$D$6:$D$511,$M345))</f>
        <v/>
      </c>
      <c r="C345" s="10" t="str">
        <f aca="false">IF($M345="","",INDEX(伝票元!$E$6:$E$511,$M345))</f>
        <v/>
      </c>
      <c r="D345" s="45" t="str">
        <f aca="false">IF($M345="","",INDEX(伝票元!$A$6:$A$511,$M345))</f>
        <v/>
      </c>
      <c r="E345" s="10" t="str">
        <f aca="false">IF(IF($M345="",0,INDEX(伝票元!$N$6:$N$511,$M345))=1,INDEX(伝票元!$I$6:$I$511,$M345),"")</f>
        <v/>
      </c>
      <c r="F345" s="45" t="str">
        <f aca="false">IF(IF($M345="",0,INDEX(伝票元!$N$6:$N$511,$M345))=1,INDEX(伝票元!$J$6:$J$511,$M345),"")</f>
        <v/>
      </c>
      <c r="G345" s="42" t="str">
        <f aca="false">IF(IF($M345="",0,INDEX(伝票元!$N$6:$N$511,$M345))=1,INDEX(伝票元!$Q$6:$Q$511,$M345),"")</f>
        <v/>
      </c>
      <c r="H345" s="45" t="str">
        <f aca="false">IF($M345="","",INDEX(伝票元!$F$6:$F$511,$M345))</f>
        <v/>
      </c>
      <c r="I345" s="45" t="str">
        <f aca="false">IF($M345="","",INDEX(伝票元!$G$6:$G$511,$M345))</f>
        <v/>
      </c>
      <c r="J345" s="42" t="str">
        <f aca="false">IF($M345="","",INDEX(伝票元!$H$6:$H$511,$M345))</f>
        <v/>
      </c>
      <c r="K345" s="46" t="str">
        <f aca="false">IF(IF($M345="",0,INDEX(伝票元!$N$6:$N$511,$M345))=1,INDEX(伝票元!$R$6:$R$511,$M345),"")</f>
        <v/>
      </c>
      <c r="L345" s="47" t="str">
        <f aca="false">IF($M345="","",INDEX(伝票元!$S$6:$S$511,$M345))</f>
        <v/>
      </c>
      <c r="M345" s="47" t="str">
        <f aca="false">IFERROR(MATCH(339,伝票元!$O$6:$O$511,0),"")</f>
        <v/>
      </c>
    </row>
    <row r="346" customFormat="false" ht="15" hidden="false" customHeight="false" outlineLevel="0" collapsed="false">
      <c r="A346" s="10" t="str">
        <f aca="false">IF($M346="","",INDEX(伝票元!$P$6:$P$511,$M346))</f>
        <v/>
      </c>
      <c r="B346" s="45" t="str">
        <f aca="false">IF($M346="","",INDEX(伝票元!$D$6:$D$511,$M346))</f>
        <v/>
      </c>
      <c r="C346" s="10" t="str">
        <f aca="false">IF($M346="","",INDEX(伝票元!$E$6:$E$511,$M346))</f>
        <v/>
      </c>
      <c r="D346" s="45" t="str">
        <f aca="false">IF($M346="","",INDEX(伝票元!$A$6:$A$511,$M346))</f>
        <v/>
      </c>
      <c r="E346" s="10" t="str">
        <f aca="false">IF(IF($M346="",0,INDEX(伝票元!$N$6:$N$511,$M346))=1,INDEX(伝票元!$I$6:$I$511,$M346),"")</f>
        <v/>
      </c>
      <c r="F346" s="45" t="str">
        <f aca="false">IF(IF($M346="",0,INDEX(伝票元!$N$6:$N$511,$M346))=1,INDEX(伝票元!$J$6:$J$511,$M346),"")</f>
        <v/>
      </c>
      <c r="G346" s="42" t="str">
        <f aca="false">IF(IF($M346="",0,INDEX(伝票元!$N$6:$N$511,$M346))=1,INDEX(伝票元!$Q$6:$Q$511,$M346),"")</f>
        <v/>
      </c>
      <c r="H346" s="45" t="str">
        <f aca="false">IF($M346="","",INDEX(伝票元!$F$6:$F$511,$M346))</f>
        <v/>
      </c>
      <c r="I346" s="45" t="str">
        <f aca="false">IF($M346="","",INDEX(伝票元!$G$6:$G$511,$M346))</f>
        <v/>
      </c>
      <c r="J346" s="42" t="str">
        <f aca="false">IF($M346="","",INDEX(伝票元!$H$6:$H$511,$M346))</f>
        <v/>
      </c>
      <c r="K346" s="46" t="str">
        <f aca="false">IF(IF($M346="",0,INDEX(伝票元!$N$6:$N$511,$M346))=1,INDEX(伝票元!$R$6:$R$511,$M346),"")</f>
        <v/>
      </c>
      <c r="L346" s="47" t="str">
        <f aca="false">IF($M346="","",INDEX(伝票元!$S$6:$S$511,$M346))</f>
        <v/>
      </c>
      <c r="M346" s="47" t="str">
        <f aca="false">IFERROR(MATCH(340,伝票元!$O$6:$O$511,0),"")</f>
        <v/>
      </c>
    </row>
    <row r="347" customFormat="false" ht="15" hidden="false" customHeight="false" outlineLevel="0" collapsed="false">
      <c r="A347" s="10" t="str">
        <f aca="false">IF($M347="","",INDEX(伝票元!$P$6:$P$511,$M347))</f>
        <v/>
      </c>
      <c r="B347" s="45" t="str">
        <f aca="false">IF($M347="","",INDEX(伝票元!$D$6:$D$511,$M347))</f>
        <v/>
      </c>
      <c r="C347" s="10" t="str">
        <f aca="false">IF($M347="","",INDEX(伝票元!$E$6:$E$511,$M347))</f>
        <v/>
      </c>
      <c r="D347" s="45" t="str">
        <f aca="false">IF($M347="","",INDEX(伝票元!$A$6:$A$511,$M347))</f>
        <v/>
      </c>
      <c r="E347" s="10" t="str">
        <f aca="false">IF(IF($M347="",0,INDEX(伝票元!$N$6:$N$511,$M347))=1,INDEX(伝票元!$I$6:$I$511,$M347),"")</f>
        <v/>
      </c>
      <c r="F347" s="45" t="str">
        <f aca="false">IF(IF($M347="",0,INDEX(伝票元!$N$6:$N$511,$M347))=1,INDEX(伝票元!$J$6:$J$511,$M347),"")</f>
        <v/>
      </c>
      <c r="G347" s="42" t="str">
        <f aca="false">IF(IF($M347="",0,INDEX(伝票元!$N$6:$N$511,$M347))=1,INDEX(伝票元!$Q$6:$Q$511,$M347),"")</f>
        <v/>
      </c>
      <c r="H347" s="45" t="str">
        <f aca="false">IF($M347="","",INDEX(伝票元!$F$6:$F$511,$M347))</f>
        <v/>
      </c>
      <c r="I347" s="45" t="str">
        <f aca="false">IF($M347="","",INDEX(伝票元!$G$6:$G$511,$M347))</f>
        <v/>
      </c>
      <c r="J347" s="42" t="str">
        <f aca="false">IF($M347="","",INDEX(伝票元!$H$6:$H$511,$M347))</f>
        <v/>
      </c>
      <c r="K347" s="46" t="str">
        <f aca="false">IF(IF($M347="",0,INDEX(伝票元!$N$6:$N$511,$M347))=1,INDEX(伝票元!$R$6:$R$511,$M347),"")</f>
        <v/>
      </c>
      <c r="L347" s="47" t="str">
        <f aca="false">IF($M347="","",INDEX(伝票元!$S$6:$S$511,$M347))</f>
        <v/>
      </c>
      <c r="M347" s="47" t="str">
        <f aca="false">IFERROR(MATCH(341,伝票元!$O$6:$O$511,0),"")</f>
        <v/>
      </c>
    </row>
    <row r="348" customFormat="false" ht="15" hidden="false" customHeight="false" outlineLevel="0" collapsed="false">
      <c r="A348" s="10" t="str">
        <f aca="false">IF($M348="","",INDEX(伝票元!$P$6:$P$511,$M348))</f>
        <v/>
      </c>
      <c r="B348" s="45" t="str">
        <f aca="false">IF($M348="","",INDEX(伝票元!$D$6:$D$511,$M348))</f>
        <v/>
      </c>
      <c r="C348" s="10" t="str">
        <f aca="false">IF($M348="","",INDEX(伝票元!$E$6:$E$511,$M348))</f>
        <v/>
      </c>
      <c r="D348" s="45" t="str">
        <f aca="false">IF($M348="","",INDEX(伝票元!$A$6:$A$511,$M348))</f>
        <v/>
      </c>
      <c r="E348" s="10" t="str">
        <f aca="false">IF(IF($M348="",0,INDEX(伝票元!$N$6:$N$511,$M348))=1,INDEX(伝票元!$I$6:$I$511,$M348),"")</f>
        <v/>
      </c>
      <c r="F348" s="45" t="str">
        <f aca="false">IF(IF($M348="",0,INDEX(伝票元!$N$6:$N$511,$M348))=1,INDEX(伝票元!$J$6:$J$511,$M348),"")</f>
        <v/>
      </c>
      <c r="G348" s="42" t="str">
        <f aca="false">IF(IF($M348="",0,INDEX(伝票元!$N$6:$N$511,$M348))=1,INDEX(伝票元!$Q$6:$Q$511,$M348),"")</f>
        <v/>
      </c>
      <c r="H348" s="45" t="str">
        <f aca="false">IF($M348="","",INDEX(伝票元!$F$6:$F$511,$M348))</f>
        <v/>
      </c>
      <c r="I348" s="45" t="str">
        <f aca="false">IF($M348="","",INDEX(伝票元!$G$6:$G$511,$M348))</f>
        <v/>
      </c>
      <c r="J348" s="42" t="str">
        <f aca="false">IF($M348="","",INDEX(伝票元!$H$6:$H$511,$M348))</f>
        <v/>
      </c>
      <c r="K348" s="46" t="str">
        <f aca="false">IF(IF($M348="",0,INDEX(伝票元!$N$6:$N$511,$M348))=1,INDEX(伝票元!$R$6:$R$511,$M348),"")</f>
        <v/>
      </c>
      <c r="L348" s="47" t="str">
        <f aca="false">IF($M348="","",INDEX(伝票元!$S$6:$S$511,$M348))</f>
        <v/>
      </c>
      <c r="M348" s="47" t="str">
        <f aca="false">IFERROR(MATCH(342,伝票元!$O$6:$O$511,0),"")</f>
        <v/>
      </c>
    </row>
    <row r="349" customFormat="false" ht="15" hidden="false" customHeight="false" outlineLevel="0" collapsed="false">
      <c r="A349" s="10" t="str">
        <f aca="false">IF($M349="","",INDEX(伝票元!$P$6:$P$511,$M349))</f>
        <v/>
      </c>
      <c r="B349" s="45" t="str">
        <f aca="false">IF($M349="","",INDEX(伝票元!$D$6:$D$511,$M349))</f>
        <v/>
      </c>
      <c r="C349" s="10" t="str">
        <f aca="false">IF($M349="","",INDEX(伝票元!$E$6:$E$511,$M349))</f>
        <v/>
      </c>
      <c r="D349" s="45" t="str">
        <f aca="false">IF($M349="","",INDEX(伝票元!$A$6:$A$511,$M349))</f>
        <v/>
      </c>
      <c r="E349" s="10" t="str">
        <f aca="false">IF(IF($M349="",0,INDEX(伝票元!$N$6:$N$511,$M349))=1,INDEX(伝票元!$I$6:$I$511,$M349),"")</f>
        <v/>
      </c>
      <c r="F349" s="45" t="str">
        <f aca="false">IF(IF($M349="",0,INDEX(伝票元!$N$6:$N$511,$M349))=1,INDEX(伝票元!$J$6:$J$511,$M349),"")</f>
        <v/>
      </c>
      <c r="G349" s="42" t="str">
        <f aca="false">IF(IF($M349="",0,INDEX(伝票元!$N$6:$N$511,$M349))=1,INDEX(伝票元!$Q$6:$Q$511,$M349),"")</f>
        <v/>
      </c>
      <c r="H349" s="45" t="str">
        <f aca="false">IF($M349="","",INDEX(伝票元!$F$6:$F$511,$M349))</f>
        <v/>
      </c>
      <c r="I349" s="45" t="str">
        <f aca="false">IF($M349="","",INDEX(伝票元!$G$6:$G$511,$M349))</f>
        <v/>
      </c>
      <c r="J349" s="42" t="str">
        <f aca="false">IF($M349="","",INDEX(伝票元!$H$6:$H$511,$M349))</f>
        <v/>
      </c>
      <c r="K349" s="46" t="str">
        <f aca="false">IF(IF($M349="",0,INDEX(伝票元!$N$6:$N$511,$M349))=1,INDEX(伝票元!$R$6:$R$511,$M349),"")</f>
        <v/>
      </c>
      <c r="L349" s="47" t="str">
        <f aca="false">IF($M349="","",INDEX(伝票元!$S$6:$S$511,$M349))</f>
        <v/>
      </c>
      <c r="M349" s="47" t="str">
        <f aca="false">IFERROR(MATCH(343,伝票元!$O$6:$O$511,0),"")</f>
        <v/>
      </c>
    </row>
    <row r="350" customFormat="false" ht="15" hidden="false" customHeight="false" outlineLevel="0" collapsed="false">
      <c r="A350" s="10" t="str">
        <f aca="false">IF($M350="","",INDEX(伝票元!$P$6:$P$511,$M350))</f>
        <v/>
      </c>
      <c r="B350" s="45" t="str">
        <f aca="false">IF($M350="","",INDEX(伝票元!$D$6:$D$511,$M350))</f>
        <v/>
      </c>
      <c r="C350" s="10" t="str">
        <f aca="false">IF($M350="","",INDEX(伝票元!$E$6:$E$511,$M350))</f>
        <v/>
      </c>
      <c r="D350" s="45" t="str">
        <f aca="false">IF($M350="","",INDEX(伝票元!$A$6:$A$511,$M350))</f>
        <v/>
      </c>
      <c r="E350" s="10" t="str">
        <f aca="false">IF(IF($M350="",0,INDEX(伝票元!$N$6:$N$511,$M350))=1,INDEX(伝票元!$I$6:$I$511,$M350),"")</f>
        <v/>
      </c>
      <c r="F350" s="45" t="str">
        <f aca="false">IF(IF($M350="",0,INDEX(伝票元!$N$6:$N$511,$M350))=1,INDEX(伝票元!$J$6:$J$511,$M350),"")</f>
        <v/>
      </c>
      <c r="G350" s="42" t="str">
        <f aca="false">IF(IF($M350="",0,INDEX(伝票元!$N$6:$N$511,$M350))=1,INDEX(伝票元!$Q$6:$Q$511,$M350),"")</f>
        <v/>
      </c>
      <c r="H350" s="45" t="str">
        <f aca="false">IF($M350="","",INDEX(伝票元!$F$6:$F$511,$M350))</f>
        <v/>
      </c>
      <c r="I350" s="45" t="str">
        <f aca="false">IF($M350="","",INDEX(伝票元!$G$6:$G$511,$M350))</f>
        <v/>
      </c>
      <c r="J350" s="42" t="str">
        <f aca="false">IF($M350="","",INDEX(伝票元!$H$6:$H$511,$M350))</f>
        <v/>
      </c>
      <c r="K350" s="46" t="str">
        <f aca="false">IF(IF($M350="",0,INDEX(伝票元!$N$6:$N$511,$M350))=1,INDEX(伝票元!$R$6:$R$511,$M350),"")</f>
        <v/>
      </c>
      <c r="L350" s="47" t="str">
        <f aca="false">IF($M350="","",INDEX(伝票元!$S$6:$S$511,$M350))</f>
        <v/>
      </c>
      <c r="M350" s="47" t="str">
        <f aca="false">IFERROR(MATCH(344,伝票元!$O$6:$O$511,0),"")</f>
        <v/>
      </c>
    </row>
    <row r="351" customFormat="false" ht="15" hidden="false" customHeight="false" outlineLevel="0" collapsed="false">
      <c r="A351" s="10" t="str">
        <f aca="false">IF($M351="","",INDEX(伝票元!$P$6:$P$511,$M351))</f>
        <v/>
      </c>
      <c r="B351" s="45" t="str">
        <f aca="false">IF($M351="","",INDEX(伝票元!$D$6:$D$511,$M351))</f>
        <v/>
      </c>
      <c r="C351" s="10" t="str">
        <f aca="false">IF($M351="","",INDEX(伝票元!$E$6:$E$511,$M351))</f>
        <v/>
      </c>
      <c r="D351" s="45" t="str">
        <f aca="false">IF($M351="","",INDEX(伝票元!$A$6:$A$511,$M351))</f>
        <v/>
      </c>
      <c r="E351" s="10" t="str">
        <f aca="false">IF(IF($M351="",0,INDEX(伝票元!$N$6:$N$511,$M351))=1,INDEX(伝票元!$I$6:$I$511,$M351),"")</f>
        <v/>
      </c>
      <c r="F351" s="45" t="str">
        <f aca="false">IF(IF($M351="",0,INDEX(伝票元!$N$6:$N$511,$M351))=1,INDEX(伝票元!$J$6:$J$511,$M351),"")</f>
        <v/>
      </c>
      <c r="G351" s="42" t="str">
        <f aca="false">IF(IF($M351="",0,INDEX(伝票元!$N$6:$N$511,$M351))=1,INDEX(伝票元!$Q$6:$Q$511,$M351),"")</f>
        <v/>
      </c>
      <c r="H351" s="45" t="str">
        <f aca="false">IF($M351="","",INDEX(伝票元!$F$6:$F$511,$M351))</f>
        <v/>
      </c>
      <c r="I351" s="45" t="str">
        <f aca="false">IF($M351="","",INDEX(伝票元!$G$6:$G$511,$M351))</f>
        <v/>
      </c>
      <c r="J351" s="42" t="str">
        <f aca="false">IF($M351="","",INDEX(伝票元!$H$6:$H$511,$M351))</f>
        <v/>
      </c>
      <c r="K351" s="46" t="str">
        <f aca="false">IF(IF($M351="",0,INDEX(伝票元!$N$6:$N$511,$M351))=1,INDEX(伝票元!$R$6:$R$511,$M351),"")</f>
        <v/>
      </c>
      <c r="L351" s="47" t="str">
        <f aca="false">IF($M351="","",INDEX(伝票元!$S$6:$S$511,$M351))</f>
        <v/>
      </c>
      <c r="M351" s="47" t="str">
        <f aca="false">IFERROR(MATCH(345,伝票元!$O$6:$O$511,0),"")</f>
        <v/>
      </c>
    </row>
    <row r="352" customFormat="false" ht="15" hidden="false" customHeight="false" outlineLevel="0" collapsed="false">
      <c r="A352" s="10" t="str">
        <f aca="false">IF($M352="","",INDEX(伝票元!$P$6:$P$511,$M352))</f>
        <v/>
      </c>
      <c r="B352" s="45" t="str">
        <f aca="false">IF($M352="","",INDEX(伝票元!$D$6:$D$511,$M352))</f>
        <v/>
      </c>
      <c r="C352" s="10" t="str">
        <f aca="false">IF($M352="","",INDEX(伝票元!$E$6:$E$511,$M352))</f>
        <v/>
      </c>
      <c r="D352" s="45" t="str">
        <f aca="false">IF($M352="","",INDEX(伝票元!$A$6:$A$511,$M352))</f>
        <v/>
      </c>
      <c r="E352" s="10" t="str">
        <f aca="false">IF(IF($M352="",0,INDEX(伝票元!$N$6:$N$511,$M352))=1,INDEX(伝票元!$I$6:$I$511,$M352),"")</f>
        <v/>
      </c>
      <c r="F352" s="45" t="str">
        <f aca="false">IF(IF($M352="",0,INDEX(伝票元!$N$6:$N$511,$M352))=1,INDEX(伝票元!$J$6:$J$511,$M352),"")</f>
        <v/>
      </c>
      <c r="G352" s="42" t="str">
        <f aca="false">IF(IF($M352="",0,INDEX(伝票元!$N$6:$N$511,$M352))=1,INDEX(伝票元!$Q$6:$Q$511,$M352),"")</f>
        <v/>
      </c>
      <c r="H352" s="45" t="str">
        <f aca="false">IF($M352="","",INDEX(伝票元!$F$6:$F$511,$M352))</f>
        <v/>
      </c>
      <c r="I352" s="45" t="str">
        <f aca="false">IF($M352="","",INDEX(伝票元!$G$6:$G$511,$M352))</f>
        <v/>
      </c>
      <c r="J352" s="42" t="str">
        <f aca="false">IF($M352="","",INDEX(伝票元!$H$6:$H$511,$M352))</f>
        <v/>
      </c>
      <c r="K352" s="46" t="str">
        <f aca="false">IF(IF($M352="",0,INDEX(伝票元!$N$6:$N$511,$M352))=1,INDEX(伝票元!$R$6:$R$511,$M352),"")</f>
        <v/>
      </c>
      <c r="L352" s="47" t="str">
        <f aca="false">IF($M352="","",INDEX(伝票元!$S$6:$S$511,$M352))</f>
        <v/>
      </c>
      <c r="M352" s="47" t="str">
        <f aca="false">IFERROR(MATCH(346,伝票元!$O$6:$O$511,0),"")</f>
        <v/>
      </c>
    </row>
    <row r="353" customFormat="false" ht="15" hidden="false" customHeight="false" outlineLevel="0" collapsed="false">
      <c r="A353" s="10" t="str">
        <f aca="false">IF($M353="","",INDEX(伝票元!$P$6:$P$511,$M353))</f>
        <v/>
      </c>
      <c r="B353" s="45" t="str">
        <f aca="false">IF($M353="","",INDEX(伝票元!$D$6:$D$511,$M353))</f>
        <v/>
      </c>
      <c r="C353" s="10" t="str">
        <f aca="false">IF($M353="","",INDEX(伝票元!$E$6:$E$511,$M353))</f>
        <v/>
      </c>
      <c r="D353" s="45" t="str">
        <f aca="false">IF($M353="","",INDEX(伝票元!$A$6:$A$511,$M353))</f>
        <v/>
      </c>
      <c r="E353" s="10" t="str">
        <f aca="false">IF(IF($M353="",0,INDEX(伝票元!$N$6:$N$511,$M353))=1,INDEX(伝票元!$I$6:$I$511,$M353),"")</f>
        <v/>
      </c>
      <c r="F353" s="45" t="str">
        <f aca="false">IF(IF($M353="",0,INDEX(伝票元!$N$6:$N$511,$M353))=1,INDEX(伝票元!$J$6:$J$511,$M353),"")</f>
        <v/>
      </c>
      <c r="G353" s="42" t="str">
        <f aca="false">IF(IF($M353="",0,INDEX(伝票元!$N$6:$N$511,$M353))=1,INDEX(伝票元!$Q$6:$Q$511,$M353),"")</f>
        <v/>
      </c>
      <c r="H353" s="45" t="str">
        <f aca="false">IF($M353="","",INDEX(伝票元!$F$6:$F$511,$M353))</f>
        <v/>
      </c>
      <c r="I353" s="45" t="str">
        <f aca="false">IF($M353="","",INDEX(伝票元!$G$6:$G$511,$M353))</f>
        <v/>
      </c>
      <c r="J353" s="42" t="str">
        <f aca="false">IF($M353="","",INDEX(伝票元!$H$6:$H$511,$M353))</f>
        <v/>
      </c>
      <c r="K353" s="46" t="str">
        <f aca="false">IF(IF($M353="",0,INDEX(伝票元!$N$6:$N$511,$M353))=1,INDEX(伝票元!$R$6:$R$511,$M353),"")</f>
        <v/>
      </c>
      <c r="L353" s="47" t="str">
        <f aca="false">IF($M353="","",INDEX(伝票元!$S$6:$S$511,$M353))</f>
        <v/>
      </c>
      <c r="M353" s="47" t="str">
        <f aca="false">IFERROR(MATCH(347,伝票元!$O$6:$O$511,0),"")</f>
        <v/>
      </c>
    </row>
    <row r="354" customFormat="false" ht="15" hidden="false" customHeight="false" outlineLevel="0" collapsed="false">
      <c r="A354" s="10" t="str">
        <f aca="false">IF($M354="","",INDEX(伝票元!$P$6:$P$511,$M354))</f>
        <v/>
      </c>
      <c r="B354" s="45" t="str">
        <f aca="false">IF($M354="","",INDEX(伝票元!$D$6:$D$511,$M354))</f>
        <v/>
      </c>
      <c r="C354" s="10" t="str">
        <f aca="false">IF($M354="","",INDEX(伝票元!$E$6:$E$511,$M354))</f>
        <v/>
      </c>
      <c r="D354" s="45" t="str">
        <f aca="false">IF($M354="","",INDEX(伝票元!$A$6:$A$511,$M354))</f>
        <v/>
      </c>
      <c r="E354" s="10" t="str">
        <f aca="false">IF(IF($M354="",0,INDEX(伝票元!$N$6:$N$511,$M354))=1,INDEX(伝票元!$I$6:$I$511,$M354),"")</f>
        <v/>
      </c>
      <c r="F354" s="45" t="str">
        <f aca="false">IF(IF($M354="",0,INDEX(伝票元!$N$6:$N$511,$M354))=1,INDEX(伝票元!$J$6:$J$511,$M354),"")</f>
        <v/>
      </c>
      <c r="G354" s="42" t="str">
        <f aca="false">IF(IF($M354="",0,INDEX(伝票元!$N$6:$N$511,$M354))=1,INDEX(伝票元!$Q$6:$Q$511,$M354),"")</f>
        <v/>
      </c>
      <c r="H354" s="45" t="str">
        <f aca="false">IF($M354="","",INDEX(伝票元!$F$6:$F$511,$M354))</f>
        <v/>
      </c>
      <c r="I354" s="45" t="str">
        <f aca="false">IF($M354="","",INDEX(伝票元!$G$6:$G$511,$M354))</f>
        <v/>
      </c>
      <c r="J354" s="42" t="str">
        <f aca="false">IF($M354="","",INDEX(伝票元!$H$6:$H$511,$M354))</f>
        <v/>
      </c>
      <c r="K354" s="46" t="str">
        <f aca="false">IF(IF($M354="",0,INDEX(伝票元!$N$6:$N$511,$M354))=1,INDEX(伝票元!$R$6:$R$511,$M354),"")</f>
        <v/>
      </c>
      <c r="L354" s="47" t="str">
        <f aca="false">IF($M354="","",INDEX(伝票元!$S$6:$S$511,$M354))</f>
        <v/>
      </c>
      <c r="M354" s="47" t="str">
        <f aca="false">IFERROR(MATCH(348,伝票元!$O$6:$O$511,0),"")</f>
        <v/>
      </c>
    </row>
    <row r="355" customFormat="false" ht="15" hidden="false" customHeight="false" outlineLevel="0" collapsed="false">
      <c r="A355" s="10" t="str">
        <f aca="false">IF($M355="","",INDEX(伝票元!$P$6:$P$511,$M355))</f>
        <v/>
      </c>
      <c r="B355" s="45" t="str">
        <f aca="false">IF($M355="","",INDEX(伝票元!$D$6:$D$511,$M355))</f>
        <v/>
      </c>
      <c r="C355" s="10" t="str">
        <f aca="false">IF($M355="","",INDEX(伝票元!$E$6:$E$511,$M355))</f>
        <v/>
      </c>
      <c r="D355" s="45" t="str">
        <f aca="false">IF($M355="","",INDEX(伝票元!$A$6:$A$511,$M355))</f>
        <v/>
      </c>
      <c r="E355" s="10" t="str">
        <f aca="false">IF(IF($M355="",0,INDEX(伝票元!$N$6:$N$511,$M355))=1,INDEX(伝票元!$I$6:$I$511,$M355),"")</f>
        <v/>
      </c>
      <c r="F355" s="45" t="str">
        <f aca="false">IF(IF($M355="",0,INDEX(伝票元!$N$6:$N$511,$M355))=1,INDEX(伝票元!$J$6:$J$511,$M355),"")</f>
        <v/>
      </c>
      <c r="G355" s="42" t="str">
        <f aca="false">IF(IF($M355="",0,INDEX(伝票元!$N$6:$N$511,$M355))=1,INDEX(伝票元!$Q$6:$Q$511,$M355),"")</f>
        <v/>
      </c>
      <c r="H355" s="45" t="str">
        <f aca="false">IF($M355="","",INDEX(伝票元!$F$6:$F$511,$M355))</f>
        <v/>
      </c>
      <c r="I355" s="45" t="str">
        <f aca="false">IF($M355="","",INDEX(伝票元!$G$6:$G$511,$M355))</f>
        <v/>
      </c>
      <c r="J355" s="42" t="str">
        <f aca="false">IF($M355="","",INDEX(伝票元!$H$6:$H$511,$M355))</f>
        <v/>
      </c>
      <c r="K355" s="46" t="str">
        <f aca="false">IF(IF($M355="",0,INDEX(伝票元!$N$6:$N$511,$M355))=1,INDEX(伝票元!$R$6:$R$511,$M355),"")</f>
        <v/>
      </c>
      <c r="L355" s="47" t="str">
        <f aca="false">IF($M355="","",INDEX(伝票元!$S$6:$S$511,$M355))</f>
        <v/>
      </c>
      <c r="M355" s="47" t="str">
        <f aca="false">IFERROR(MATCH(349,伝票元!$O$6:$O$511,0),"")</f>
        <v/>
      </c>
    </row>
    <row r="356" customFormat="false" ht="15" hidden="false" customHeight="false" outlineLevel="0" collapsed="false">
      <c r="A356" s="10" t="str">
        <f aca="false">IF($M356="","",INDEX(伝票元!$P$6:$P$511,$M356))</f>
        <v/>
      </c>
      <c r="B356" s="45" t="str">
        <f aca="false">IF($M356="","",INDEX(伝票元!$D$6:$D$511,$M356))</f>
        <v/>
      </c>
      <c r="C356" s="10" t="str">
        <f aca="false">IF($M356="","",INDEX(伝票元!$E$6:$E$511,$M356))</f>
        <v/>
      </c>
      <c r="D356" s="45" t="str">
        <f aca="false">IF($M356="","",INDEX(伝票元!$A$6:$A$511,$M356))</f>
        <v/>
      </c>
      <c r="E356" s="10" t="str">
        <f aca="false">IF(IF($M356="",0,INDEX(伝票元!$N$6:$N$511,$M356))=1,INDEX(伝票元!$I$6:$I$511,$M356),"")</f>
        <v/>
      </c>
      <c r="F356" s="45" t="str">
        <f aca="false">IF(IF($M356="",0,INDEX(伝票元!$N$6:$N$511,$M356))=1,INDEX(伝票元!$J$6:$J$511,$M356),"")</f>
        <v/>
      </c>
      <c r="G356" s="42" t="str">
        <f aca="false">IF(IF($M356="",0,INDEX(伝票元!$N$6:$N$511,$M356))=1,INDEX(伝票元!$Q$6:$Q$511,$M356),"")</f>
        <v/>
      </c>
      <c r="H356" s="45" t="str">
        <f aca="false">IF($M356="","",INDEX(伝票元!$F$6:$F$511,$M356))</f>
        <v/>
      </c>
      <c r="I356" s="45" t="str">
        <f aca="false">IF($M356="","",INDEX(伝票元!$G$6:$G$511,$M356))</f>
        <v/>
      </c>
      <c r="J356" s="42" t="str">
        <f aca="false">IF($M356="","",INDEX(伝票元!$H$6:$H$511,$M356))</f>
        <v/>
      </c>
      <c r="K356" s="46" t="str">
        <f aca="false">IF(IF($M356="",0,INDEX(伝票元!$N$6:$N$511,$M356))=1,INDEX(伝票元!$R$6:$R$511,$M356),"")</f>
        <v/>
      </c>
      <c r="L356" s="47" t="str">
        <f aca="false">IF($M356="","",INDEX(伝票元!$S$6:$S$511,$M356))</f>
        <v/>
      </c>
      <c r="M356" s="47" t="str">
        <f aca="false">IFERROR(MATCH(350,伝票元!$O$6:$O$511,0),"")</f>
        <v/>
      </c>
    </row>
    <row r="357" customFormat="false" ht="15" hidden="false" customHeight="false" outlineLevel="0" collapsed="false">
      <c r="A357" s="10" t="str">
        <f aca="false">IF($M357="","",INDEX(伝票元!$P$6:$P$511,$M357))</f>
        <v/>
      </c>
      <c r="B357" s="45" t="str">
        <f aca="false">IF($M357="","",INDEX(伝票元!$D$6:$D$511,$M357))</f>
        <v/>
      </c>
      <c r="C357" s="10" t="str">
        <f aca="false">IF($M357="","",INDEX(伝票元!$E$6:$E$511,$M357))</f>
        <v/>
      </c>
      <c r="D357" s="45" t="str">
        <f aca="false">IF($M357="","",INDEX(伝票元!$A$6:$A$511,$M357))</f>
        <v/>
      </c>
      <c r="E357" s="10" t="str">
        <f aca="false">IF(IF($M357="",0,INDEX(伝票元!$N$6:$N$511,$M357))=1,INDEX(伝票元!$I$6:$I$511,$M357),"")</f>
        <v/>
      </c>
      <c r="F357" s="45" t="str">
        <f aca="false">IF(IF($M357="",0,INDEX(伝票元!$N$6:$N$511,$M357))=1,INDEX(伝票元!$J$6:$J$511,$M357),"")</f>
        <v/>
      </c>
      <c r="G357" s="42" t="str">
        <f aca="false">IF(IF($M357="",0,INDEX(伝票元!$N$6:$N$511,$M357))=1,INDEX(伝票元!$Q$6:$Q$511,$M357),"")</f>
        <v/>
      </c>
      <c r="H357" s="45" t="str">
        <f aca="false">IF($M357="","",INDEX(伝票元!$F$6:$F$511,$M357))</f>
        <v/>
      </c>
      <c r="I357" s="45" t="str">
        <f aca="false">IF($M357="","",INDEX(伝票元!$G$6:$G$511,$M357))</f>
        <v/>
      </c>
      <c r="J357" s="42" t="str">
        <f aca="false">IF($M357="","",INDEX(伝票元!$H$6:$H$511,$M357))</f>
        <v/>
      </c>
      <c r="K357" s="46" t="str">
        <f aca="false">IF(IF($M357="",0,INDEX(伝票元!$N$6:$N$511,$M357))=1,INDEX(伝票元!$R$6:$R$511,$M357),"")</f>
        <v/>
      </c>
      <c r="L357" s="47" t="str">
        <f aca="false">IF($M357="","",INDEX(伝票元!$S$6:$S$511,$M357))</f>
        <v/>
      </c>
      <c r="M357" s="47" t="str">
        <f aca="false">IFERROR(MATCH(351,伝票元!$O$6:$O$511,0),"")</f>
        <v/>
      </c>
    </row>
    <row r="358" customFormat="false" ht="15" hidden="false" customHeight="false" outlineLevel="0" collapsed="false">
      <c r="A358" s="10" t="str">
        <f aca="false">IF($M358="","",INDEX(伝票元!$P$6:$P$511,$M358))</f>
        <v/>
      </c>
      <c r="B358" s="45" t="str">
        <f aca="false">IF($M358="","",INDEX(伝票元!$D$6:$D$511,$M358))</f>
        <v/>
      </c>
      <c r="C358" s="10" t="str">
        <f aca="false">IF($M358="","",INDEX(伝票元!$E$6:$E$511,$M358))</f>
        <v/>
      </c>
      <c r="D358" s="45" t="str">
        <f aca="false">IF($M358="","",INDEX(伝票元!$A$6:$A$511,$M358))</f>
        <v/>
      </c>
      <c r="E358" s="10" t="str">
        <f aca="false">IF(IF($M358="",0,INDEX(伝票元!$N$6:$N$511,$M358))=1,INDEX(伝票元!$I$6:$I$511,$M358),"")</f>
        <v/>
      </c>
      <c r="F358" s="45" t="str">
        <f aca="false">IF(IF($M358="",0,INDEX(伝票元!$N$6:$N$511,$M358))=1,INDEX(伝票元!$J$6:$J$511,$M358),"")</f>
        <v/>
      </c>
      <c r="G358" s="42" t="str">
        <f aca="false">IF(IF($M358="",0,INDEX(伝票元!$N$6:$N$511,$M358))=1,INDEX(伝票元!$Q$6:$Q$511,$M358),"")</f>
        <v/>
      </c>
      <c r="H358" s="45" t="str">
        <f aca="false">IF($M358="","",INDEX(伝票元!$F$6:$F$511,$M358))</f>
        <v/>
      </c>
      <c r="I358" s="45" t="str">
        <f aca="false">IF($M358="","",INDEX(伝票元!$G$6:$G$511,$M358))</f>
        <v/>
      </c>
      <c r="J358" s="42" t="str">
        <f aca="false">IF($M358="","",INDEX(伝票元!$H$6:$H$511,$M358))</f>
        <v/>
      </c>
      <c r="K358" s="46" t="str">
        <f aca="false">IF(IF($M358="",0,INDEX(伝票元!$N$6:$N$511,$M358))=1,INDEX(伝票元!$R$6:$R$511,$M358),"")</f>
        <v/>
      </c>
      <c r="L358" s="47" t="str">
        <f aca="false">IF($M358="","",INDEX(伝票元!$S$6:$S$511,$M358))</f>
        <v/>
      </c>
      <c r="M358" s="47" t="str">
        <f aca="false">IFERROR(MATCH(352,伝票元!$O$6:$O$511,0),"")</f>
        <v/>
      </c>
    </row>
    <row r="359" customFormat="false" ht="15" hidden="false" customHeight="false" outlineLevel="0" collapsed="false">
      <c r="A359" s="10" t="str">
        <f aca="false">IF($M359="","",INDEX(伝票元!$P$6:$P$511,$M359))</f>
        <v/>
      </c>
      <c r="B359" s="45" t="str">
        <f aca="false">IF($M359="","",INDEX(伝票元!$D$6:$D$511,$M359))</f>
        <v/>
      </c>
      <c r="C359" s="10" t="str">
        <f aca="false">IF($M359="","",INDEX(伝票元!$E$6:$E$511,$M359))</f>
        <v/>
      </c>
      <c r="D359" s="45" t="str">
        <f aca="false">IF($M359="","",INDEX(伝票元!$A$6:$A$511,$M359))</f>
        <v/>
      </c>
      <c r="E359" s="10" t="str">
        <f aca="false">IF(IF($M359="",0,INDEX(伝票元!$N$6:$N$511,$M359))=1,INDEX(伝票元!$I$6:$I$511,$M359),"")</f>
        <v/>
      </c>
      <c r="F359" s="45" t="str">
        <f aca="false">IF(IF($M359="",0,INDEX(伝票元!$N$6:$N$511,$M359))=1,INDEX(伝票元!$J$6:$J$511,$M359),"")</f>
        <v/>
      </c>
      <c r="G359" s="42" t="str">
        <f aca="false">IF(IF($M359="",0,INDEX(伝票元!$N$6:$N$511,$M359))=1,INDEX(伝票元!$Q$6:$Q$511,$M359),"")</f>
        <v/>
      </c>
      <c r="H359" s="45" t="str">
        <f aca="false">IF($M359="","",INDEX(伝票元!$F$6:$F$511,$M359))</f>
        <v/>
      </c>
      <c r="I359" s="45" t="str">
        <f aca="false">IF($M359="","",INDEX(伝票元!$G$6:$G$511,$M359))</f>
        <v/>
      </c>
      <c r="J359" s="42" t="str">
        <f aca="false">IF($M359="","",INDEX(伝票元!$H$6:$H$511,$M359))</f>
        <v/>
      </c>
      <c r="K359" s="46" t="str">
        <f aca="false">IF(IF($M359="",0,INDEX(伝票元!$N$6:$N$511,$M359))=1,INDEX(伝票元!$R$6:$R$511,$M359),"")</f>
        <v/>
      </c>
      <c r="L359" s="47" t="str">
        <f aca="false">IF($M359="","",INDEX(伝票元!$S$6:$S$511,$M359))</f>
        <v/>
      </c>
      <c r="M359" s="47" t="str">
        <f aca="false">IFERROR(MATCH(353,伝票元!$O$6:$O$511,0),"")</f>
        <v/>
      </c>
    </row>
    <row r="360" customFormat="false" ht="15" hidden="false" customHeight="false" outlineLevel="0" collapsed="false">
      <c r="A360" s="10" t="str">
        <f aca="false">IF($M360="","",INDEX(伝票元!$P$6:$P$511,$M360))</f>
        <v/>
      </c>
      <c r="B360" s="45" t="str">
        <f aca="false">IF($M360="","",INDEX(伝票元!$D$6:$D$511,$M360))</f>
        <v/>
      </c>
      <c r="C360" s="10" t="str">
        <f aca="false">IF($M360="","",INDEX(伝票元!$E$6:$E$511,$M360))</f>
        <v/>
      </c>
      <c r="D360" s="45" t="str">
        <f aca="false">IF($M360="","",INDEX(伝票元!$A$6:$A$511,$M360))</f>
        <v/>
      </c>
      <c r="E360" s="10" t="str">
        <f aca="false">IF(IF($M360="",0,INDEX(伝票元!$N$6:$N$511,$M360))=1,INDEX(伝票元!$I$6:$I$511,$M360),"")</f>
        <v/>
      </c>
      <c r="F360" s="45" t="str">
        <f aca="false">IF(IF($M360="",0,INDEX(伝票元!$N$6:$N$511,$M360))=1,INDEX(伝票元!$J$6:$J$511,$M360),"")</f>
        <v/>
      </c>
      <c r="G360" s="42" t="str">
        <f aca="false">IF(IF($M360="",0,INDEX(伝票元!$N$6:$N$511,$M360))=1,INDEX(伝票元!$Q$6:$Q$511,$M360),"")</f>
        <v/>
      </c>
      <c r="H360" s="45" t="str">
        <f aca="false">IF($M360="","",INDEX(伝票元!$F$6:$F$511,$M360))</f>
        <v/>
      </c>
      <c r="I360" s="45" t="str">
        <f aca="false">IF($M360="","",INDEX(伝票元!$G$6:$G$511,$M360))</f>
        <v/>
      </c>
      <c r="J360" s="42" t="str">
        <f aca="false">IF($M360="","",INDEX(伝票元!$H$6:$H$511,$M360))</f>
        <v/>
      </c>
      <c r="K360" s="46" t="str">
        <f aca="false">IF(IF($M360="",0,INDEX(伝票元!$N$6:$N$511,$M360))=1,INDEX(伝票元!$R$6:$R$511,$M360),"")</f>
        <v/>
      </c>
      <c r="L360" s="47" t="str">
        <f aca="false">IF($M360="","",INDEX(伝票元!$S$6:$S$511,$M360))</f>
        <v/>
      </c>
      <c r="M360" s="47" t="str">
        <f aca="false">IFERROR(MATCH(354,伝票元!$O$6:$O$511,0),"")</f>
        <v/>
      </c>
    </row>
    <row r="361" customFormat="false" ht="15" hidden="false" customHeight="false" outlineLevel="0" collapsed="false">
      <c r="A361" s="10" t="str">
        <f aca="false">IF($M361="","",INDEX(伝票元!$P$6:$P$511,$M361))</f>
        <v/>
      </c>
      <c r="B361" s="45" t="str">
        <f aca="false">IF($M361="","",INDEX(伝票元!$D$6:$D$511,$M361))</f>
        <v/>
      </c>
      <c r="C361" s="10" t="str">
        <f aca="false">IF($M361="","",INDEX(伝票元!$E$6:$E$511,$M361))</f>
        <v/>
      </c>
      <c r="D361" s="45" t="str">
        <f aca="false">IF($M361="","",INDEX(伝票元!$A$6:$A$511,$M361))</f>
        <v/>
      </c>
      <c r="E361" s="10" t="str">
        <f aca="false">IF(IF($M361="",0,INDEX(伝票元!$N$6:$N$511,$M361))=1,INDEX(伝票元!$I$6:$I$511,$M361),"")</f>
        <v/>
      </c>
      <c r="F361" s="45" t="str">
        <f aca="false">IF(IF($M361="",0,INDEX(伝票元!$N$6:$N$511,$M361))=1,INDEX(伝票元!$J$6:$J$511,$M361),"")</f>
        <v/>
      </c>
      <c r="G361" s="42" t="str">
        <f aca="false">IF(IF($M361="",0,INDEX(伝票元!$N$6:$N$511,$M361))=1,INDEX(伝票元!$Q$6:$Q$511,$M361),"")</f>
        <v/>
      </c>
      <c r="H361" s="45" t="str">
        <f aca="false">IF($M361="","",INDEX(伝票元!$F$6:$F$511,$M361))</f>
        <v/>
      </c>
      <c r="I361" s="45" t="str">
        <f aca="false">IF($M361="","",INDEX(伝票元!$G$6:$G$511,$M361))</f>
        <v/>
      </c>
      <c r="J361" s="42" t="str">
        <f aca="false">IF($M361="","",INDEX(伝票元!$H$6:$H$511,$M361))</f>
        <v/>
      </c>
      <c r="K361" s="46" t="str">
        <f aca="false">IF(IF($M361="",0,INDEX(伝票元!$N$6:$N$511,$M361))=1,INDEX(伝票元!$R$6:$R$511,$M361),"")</f>
        <v/>
      </c>
      <c r="L361" s="47" t="str">
        <f aca="false">IF($M361="","",INDEX(伝票元!$S$6:$S$511,$M361))</f>
        <v/>
      </c>
      <c r="M361" s="47" t="str">
        <f aca="false">IFERROR(MATCH(355,伝票元!$O$6:$O$511,0),"")</f>
        <v/>
      </c>
    </row>
    <row r="362" customFormat="false" ht="15" hidden="false" customHeight="false" outlineLevel="0" collapsed="false">
      <c r="A362" s="10" t="str">
        <f aca="false">IF($M362="","",INDEX(伝票元!$P$6:$P$511,$M362))</f>
        <v/>
      </c>
      <c r="B362" s="45" t="str">
        <f aca="false">IF($M362="","",INDEX(伝票元!$D$6:$D$511,$M362))</f>
        <v/>
      </c>
      <c r="C362" s="10" t="str">
        <f aca="false">IF($M362="","",INDEX(伝票元!$E$6:$E$511,$M362))</f>
        <v/>
      </c>
      <c r="D362" s="45" t="str">
        <f aca="false">IF($M362="","",INDEX(伝票元!$A$6:$A$511,$M362))</f>
        <v/>
      </c>
      <c r="E362" s="10" t="str">
        <f aca="false">IF(IF($M362="",0,INDEX(伝票元!$N$6:$N$511,$M362))=1,INDEX(伝票元!$I$6:$I$511,$M362),"")</f>
        <v/>
      </c>
      <c r="F362" s="45" t="str">
        <f aca="false">IF(IF($M362="",0,INDEX(伝票元!$N$6:$N$511,$M362))=1,INDEX(伝票元!$J$6:$J$511,$M362),"")</f>
        <v/>
      </c>
      <c r="G362" s="42" t="str">
        <f aca="false">IF(IF($M362="",0,INDEX(伝票元!$N$6:$N$511,$M362))=1,INDEX(伝票元!$Q$6:$Q$511,$M362),"")</f>
        <v/>
      </c>
      <c r="H362" s="45" t="str">
        <f aca="false">IF($M362="","",INDEX(伝票元!$F$6:$F$511,$M362))</f>
        <v/>
      </c>
      <c r="I362" s="45" t="str">
        <f aca="false">IF($M362="","",INDEX(伝票元!$G$6:$G$511,$M362))</f>
        <v/>
      </c>
      <c r="J362" s="42" t="str">
        <f aca="false">IF($M362="","",INDEX(伝票元!$H$6:$H$511,$M362))</f>
        <v/>
      </c>
      <c r="K362" s="46" t="str">
        <f aca="false">IF(IF($M362="",0,INDEX(伝票元!$N$6:$N$511,$M362))=1,INDEX(伝票元!$R$6:$R$511,$M362),"")</f>
        <v/>
      </c>
      <c r="L362" s="47" t="str">
        <f aca="false">IF($M362="","",INDEX(伝票元!$S$6:$S$511,$M362))</f>
        <v/>
      </c>
      <c r="M362" s="47" t="str">
        <f aca="false">IFERROR(MATCH(356,伝票元!$O$6:$O$511,0),"")</f>
        <v/>
      </c>
    </row>
    <row r="363" customFormat="false" ht="15" hidden="false" customHeight="false" outlineLevel="0" collapsed="false">
      <c r="A363" s="10" t="str">
        <f aca="false">IF($M363="","",INDEX(伝票元!$P$6:$P$511,$M363))</f>
        <v/>
      </c>
      <c r="B363" s="45" t="str">
        <f aca="false">IF($M363="","",INDEX(伝票元!$D$6:$D$511,$M363))</f>
        <v/>
      </c>
      <c r="C363" s="10" t="str">
        <f aca="false">IF($M363="","",INDEX(伝票元!$E$6:$E$511,$M363))</f>
        <v/>
      </c>
      <c r="D363" s="45" t="str">
        <f aca="false">IF($M363="","",INDEX(伝票元!$A$6:$A$511,$M363))</f>
        <v/>
      </c>
      <c r="E363" s="10" t="str">
        <f aca="false">IF(IF($M363="",0,INDEX(伝票元!$N$6:$N$511,$M363))=1,INDEX(伝票元!$I$6:$I$511,$M363),"")</f>
        <v/>
      </c>
      <c r="F363" s="45" t="str">
        <f aca="false">IF(IF($M363="",0,INDEX(伝票元!$N$6:$N$511,$M363))=1,INDEX(伝票元!$J$6:$J$511,$M363),"")</f>
        <v/>
      </c>
      <c r="G363" s="42" t="str">
        <f aca="false">IF(IF($M363="",0,INDEX(伝票元!$N$6:$N$511,$M363))=1,INDEX(伝票元!$Q$6:$Q$511,$M363),"")</f>
        <v/>
      </c>
      <c r="H363" s="45" t="str">
        <f aca="false">IF($M363="","",INDEX(伝票元!$F$6:$F$511,$M363))</f>
        <v/>
      </c>
      <c r="I363" s="45" t="str">
        <f aca="false">IF($M363="","",INDEX(伝票元!$G$6:$G$511,$M363))</f>
        <v/>
      </c>
      <c r="J363" s="42" t="str">
        <f aca="false">IF($M363="","",INDEX(伝票元!$H$6:$H$511,$M363))</f>
        <v/>
      </c>
      <c r="K363" s="46" t="str">
        <f aca="false">IF(IF($M363="",0,INDEX(伝票元!$N$6:$N$511,$M363))=1,INDEX(伝票元!$R$6:$R$511,$M363),"")</f>
        <v/>
      </c>
      <c r="L363" s="47" t="str">
        <f aca="false">IF($M363="","",INDEX(伝票元!$S$6:$S$511,$M363))</f>
        <v/>
      </c>
      <c r="M363" s="47" t="str">
        <f aca="false">IFERROR(MATCH(357,伝票元!$O$6:$O$511,0),"")</f>
        <v/>
      </c>
    </row>
    <row r="364" customFormat="false" ht="15" hidden="false" customHeight="false" outlineLevel="0" collapsed="false">
      <c r="A364" s="10" t="str">
        <f aca="false">IF($M364="","",INDEX(伝票元!$P$6:$P$511,$M364))</f>
        <v/>
      </c>
      <c r="B364" s="45" t="str">
        <f aca="false">IF($M364="","",INDEX(伝票元!$D$6:$D$511,$M364))</f>
        <v/>
      </c>
      <c r="C364" s="10" t="str">
        <f aca="false">IF($M364="","",INDEX(伝票元!$E$6:$E$511,$M364))</f>
        <v/>
      </c>
      <c r="D364" s="45" t="str">
        <f aca="false">IF($M364="","",INDEX(伝票元!$A$6:$A$511,$M364))</f>
        <v/>
      </c>
      <c r="E364" s="10" t="str">
        <f aca="false">IF(IF($M364="",0,INDEX(伝票元!$N$6:$N$511,$M364))=1,INDEX(伝票元!$I$6:$I$511,$M364),"")</f>
        <v/>
      </c>
      <c r="F364" s="45" t="str">
        <f aca="false">IF(IF($M364="",0,INDEX(伝票元!$N$6:$N$511,$M364))=1,INDEX(伝票元!$J$6:$J$511,$M364),"")</f>
        <v/>
      </c>
      <c r="G364" s="42" t="str">
        <f aca="false">IF(IF($M364="",0,INDEX(伝票元!$N$6:$N$511,$M364))=1,INDEX(伝票元!$Q$6:$Q$511,$M364),"")</f>
        <v/>
      </c>
      <c r="H364" s="45" t="str">
        <f aca="false">IF($M364="","",INDEX(伝票元!$F$6:$F$511,$M364))</f>
        <v/>
      </c>
      <c r="I364" s="45" t="str">
        <f aca="false">IF($M364="","",INDEX(伝票元!$G$6:$G$511,$M364))</f>
        <v/>
      </c>
      <c r="J364" s="42" t="str">
        <f aca="false">IF($M364="","",INDEX(伝票元!$H$6:$H$511,$M364))</f>
        <v/>
      </c>
      <c r="K364" s="46" t="str">
        <f aca="false">IF(IF($M364="",0,INDEX(伝票元!$N$6:$N$511,$M364))=1,INDEX(伝票元!$R$6:$R$511,$M364),"")</f>
        <v/>
      </c>
      <c r="L364" s="47" t="str">
        <f aca="false">IF($M364="","",INDEX(伝票元!$S$6:$S$511,$M364))</f>
        <v/>
      </c>
      <c r="M364" s="47" t="str">
        <f aca="false">IFERROR(MATCH(358,伝票元!$O$6:$O$511,0),"")</f>
        <v/>
      </c>
    </row>
    <row r="365" customFormat="false" ht="15" hidden="false" customHeight="false" outlineLevel="0" collapsed="false">
      <c r="A365" s="10" t="str">
        <f aca="false">IF($M365="","",INDEX(伝票元!$P$6:$P$511,$M365))</f>
        <v/>
      </c>
      <c r="B365" s="45" t="str">
        <f aca="false">IF($M365="","",INDEX(伝票元!$D$6:$D$511,$M365))</f>
        <v/>
      </c>
      <c r="C365" s="10" t="str">
        <f aca="false">IF($M365="","",INDEX(伝票元!$E$6:$E$511,$M365))</f>
        <v/>
      </c>
      <c r="D365" s="45" t="str">
        <f aca="false">IF($M365="","",INDEX(伝票元!$A$6:$A$511,$M365))</f>
        <v/>
      </c>
      <c r="E365" s="10" t="str">
        <f aca="false">IF(IF($M365="",0,INDEX(伝票元!$N$6:$N$511,$M365))=1,INDEX(伝票元!$I$6:$I$511,$M365),"")</f>
        <v/>
      </c>
      <c r="F365" s="45" t="str">
        <f aca="false">IF(IF($M365="",0,INDEX(伝票元!$N$6:$N$511,$M365))=1,INDEX(伝票元!$J$6:$J$511,$M365),"")</f>
        <v/>
      </c>
      <c r="G365" s="42" t="str">
        <f aca="false">IF(IF($M365="",0,INDEX(伝票元!$N$6:$N$511,$M365))=1,INDEX(伝票元!$Q$6:$Q$511,$M365),"")</f>
        <v/>
      </c>
      <c r="H365" s="45" t="str">
        <f aca="false">IF($M365="","",INDEX(伝票元!$F$6:$F$511,$M365))</f>
        <v/>
      </c>
      <c r="I365" s="45" t="str">
        <f aca="false">IF($M365="","",INDEX(伝票元!$G$6:$G$511,$M365))</f>
        <v/>
      </c>
      <c r="J365" s="42" t="str">
        <f aca="false">IF($M365="","",INDEX(伝票元!$H$6:$H$511,$M365))</f>
        <v/>
      </c>
      <c r="K365" s="46" t="str">
        <f aca="false">IF(IF($M365="",0,INDEX(伝票元!$N$6:$N$511,$M365))=1,INDEX(伝票元!$R$6:$R$511,$M365),"")</f>
        <v/>
      </c>
      <c r="L365" s="47" t="str">
        <f aca="false">IF($M365="","",INDEX(伝票元!$S$6:$S$511,$M365))</f>
        <v/>
      </c>
      <c r="M365" s="47" t="str">
        <f aca="false">IFERROR(MATCH(359,伝票元!$O$6:$O$511,0),"")</f>
        <v/>
      </c>
    </row>
    <row r="366" customFormat="false" ht="15" hidden="false" customHeight="false" outlineLevel="0" collapsed="false">
      <c r="A366" s="10" t="str">
        <f aca="false">IF($M366="","",INDEX(伝票元!$P$6:$P$511,$M366))</f>
        <v/>
      </c>
      <c r="B366" s="45" t="str">
        <f aca="false">IF($M366="","",INDEX(伝票元!$D$6:$D$511,$M366))</f>
        <v/>
      </c>
      <c r="C366" s="10" t="str">
        <f aca="false">IF($M366="","",INDEX(伝票元!$E$6:$E$511,$M366))</f>
        <v/>
      </c>
      <c r="D366" s="45" t="str">
        <f aca="false">IF($M366="","",INDEX(伝票元!$A$6:$A$511,$M366))</f>
        <v/>
      </c>
      <c r="E366" s="10" t="str">
        <f aca="false">IF(IF($M366="",0,INDEX(伝票元!$N$6:$N$511,$M366))=1,INDEX(伝票元!$I$6:$I$511,$M366),"")</f>
        <v/>
      </c>
      <c r="F366" s="45" t="str">
        <f aca="false">IF(IF($M366="",0,INDEX(伝票元!$N$6:$N$511,$M366))=1,INDEX(伝票元!$J$6:$J$511,$M366),"")</f>
        <v/>
      </c>
      <c r="G366" s="42" t="str">
        <f aca="false">IF(IF($M366="",0,INDEX(伝票元!$N$6:$N$511,$M366))=1,INDEX(伝票元!$Q$6:$Q$511,$M366),"")</f>
        <v/>
      </c>
      <c r="H366" s="45" t="str">
        <f aca="false">IF($M366="","",INDEX(伝票元!$F$6:$F$511,$M366))</f>
        <v/>
      </c>
      <c r="I366" s="45" t="str">
        <f aca="false">IF($M366="","",INDEX(伝票元!$G$6:$G$511,$M366))</f>
        <v/>
      </c>
      <c r="J366" s="42" t="str">
        <f aca="false">IF($M366="","",INDEX(伝票元!$H$6:$H$511,$M366))</f>
        <v/>
      </c>
      <c r="K366" s="46" t="str">
        <f aca="false">IF(IF($M366="",0,INDEX(伝票元!$N$6:$N$511,$M366))=1,INDEX(伝票元!$R$6:$R$511,$M366),"")</f>
        <v/>
      </c>
      <c r="L366" s="47" t="str">
        <f aca="false">IF($M366="","",INDEX(伝票元!$S$6:$S$511,$M366))</f>
        <v/>
      </c>
      <c r="M366" s="47" t="str">
        <f aca="false">IFERROR(MATCH(360,伝票元!$O$6:$O$511,0),"")</f>
        <v/>
      </c>
    </row>
    <row r="367" customFormat="false" ht="15" hidden="false" customHeight="false" outlineLevel="0" collapsed="false">
      <c r="A367" s="10" t="str">
        <f aca="false">IF($M367="","",INDEX(伝票元!$P$6:$P$511,$M367))</f>
        <v/>
      </c>
      <c r="B367" s="45" t="str">
        <f aca="false">IF($M367="","",INDEX(伝票元!$D$6:$D$511,$M367))</f>
        <v/>
      </c>
      <c r="C367" s="10" t="str">
        <f aca="false">IF($M367="","",INDEX(伝票元!$E$6:$E$511,$M367))</f>
        <v/>
      </c>
      <c r="D367" s="45" t="str">
        <f aca="false">IF($M367="","",INDEX(伝票元!$A$6:$A$511,$M367))</f>
        <v/>
      </c>
      <c r="E367" s="10" t="str">
        <f aca="false">IF(IF($M367="",0,INDEX(伝票元!$N$6:$N$511,$M367))=1,INDEX(伝票元!$I$6:$I$511,$M367),"")</f>
        <v/>
      </c>
      <c r="F367" s="45" t="str">
        <f aca="false">IF(IF($M367="",0,INDEX(伝票元!$N$6:$N$511,$M367))=1,INDEX(伝票元!$J$6:$J$511,$M367),"")</f>
        <v/>
      </c>
      <c r="G367" s="42" t="str">
        <f aca="false">IF(IF($M367="",0,INDEX(伝票元!$N$6:$N$511,$M367))=1,INDEX(伝票元!$Q$6:$Q$511,$M367),"")</f>
        <v/>
      </c>
      <c r="H367" s="45" t="str">
        <f aca="false">IF($M367="","",INDEX(伝票元!$F$6:$F$511,$M367))</f>
        <v/>
      </c>
      <c r="I367" s="45" t="str">
        <f aca="false">IF($M367="","",INDEX(伝票元!$G$6:$G$511,$M367))</f>
        <v/>
      </c>
      <c r="J367" s="42" t="str">
        <f aca="false">IF($M367="","",INDEX(伝票元!$H$6:$H$511,$M367))</f>
        <v/>
      </c>
      <c r="K367" s="46" t="str">
        <f aca="false">IF(IF($M367="",0,INDEX(伝票元!$N$6:$N$511,$M367))=1,INDEX(伝票元!$R$6:$R$511,$M367),"")</f>
        <v/>
      </c>
      <c r="L367" s="47" t="str">
        <f aca="false">IF($M367="","",INDEX(伝票元!$S$6:$S$511,$M367))</f>
        <v/>
      </c>
      <c r="M367" s="47" t="str">
        <f aca="false">IFERROR(MATCH(361,伝票元!$O$6:$O$511,0),"")</f>
        <v/>
      </c>
    </row>
    <row r="368" customFormat="false" ht="15" hidden="false" customHeight="false" outlineLevel="0" collapsed="false">
      <c r="A368" s="10" t="str">
        <f aca="false">IF($M368="","",INDEX(伝票元!$P$6:$P$511,$M368))</f>
        <v/>
      </c>
      <c r="B368" s="45" t="str">
        <f aca="false">IF($M368="","",INDEX(伝票元!$D$6:$D$511,$M368))</f>
        <v/>
      </c>
      <c r="C368" s="10" t="str">
        <f aca="false">IF($M368="","",INDEX(伝票元!$E$6:$E$511,$M368))</f>
        <v/>
      </c>
      <c r="D368" s="45" t="str">
        <f aca="false">IF($M368="","",INDEX(伝票元!$A$6:$A$511,$M368))</f>
        <v/>
      </c>
      <c r="E368" s="10" t="str">
        <f aca="false">IF(IF($M368="",0,INDEX(伝票元!$N$6:$N$511,$M368))=1,INDEX(伝票元!$I$6:$I$511,$M368),"")</f>
        <v/>
      </c>
      <c r="F368" s="45" t="str">
        <f aca="false">IF(IF($M368="",0,INDEX(伝票元!$N$6:$N$511,$M368))=1,INDEX(伝票元!$J$6:$J$511,$M368),"")</f>
        <v/>
      </c>
      <c r="G368" s="42" t="str">
        <f aca="false">IF(IF($M368="",0,INDEX(伝票元!$N$6:$N$511,$M368))=1,INDEX(伝票元!$Q$6:$Q$511,$M368),"")</f>
        <v/>
      </c>
      <c r="H368" s="45" t="str">
        <f aca="false">IF($M368="","",INDEX(伝票元!$F$6:$F$511,$M368))</f>
        <v/>
      </c>
      <c r="I368" s="45" t="str">
        <f aca="false">IF($M368="","",INDEX(伝票元!$G$6:$G$511,$M368))</f>
        <v/>
      </c>
      <c r="J368" s="42" t="str">
        <f aca="false">IF($M368="","",INDEX(伝票元!$H$6:$H$511,$M368))</f>
        <v/>
      </c>
      <c r="K368" s="46" t="str">
        <f aca="false">IF(IF($M368="",0,INDEX(伝票元!$N$6:$N$511,$M368))=1,INDEX(伝票元!$R$6:$R$511,$M368),"")</f>
        <v/>
      </c>
      <c r="L368" s="47" t="str">
        <f aca="false">IF($M368="","",INDEX(伝票元!$S$6:$S$511,$M368))</f>
        <v/>
      </c>
      <c r="M368" s="47" t="str">
        <f aca="false">IFERROR(MATCH(362,伝票元!$O$6:$O$511,0),"")</f>
        <v/>
      </c>
    </row>
    <row r="369" customFormat="false" ht="15" hidden="false" customHeight="false" outlineLevel="0" collapsed="false">
      <c r="A369" s="10" t="str">
        <f aca="false">IF($M369="","",INDEX(伝票元!$P$6:$P$511,$M369))</f>
        <v/>
      </c>
      <c r="B369" s="45" t="str">
        <f aca="false">IF($M369="","",INDEX(伝票元!$D$6:$D$511,$M369))</f>
        <v/>
      </c>
      <c r="C369" s="10" t="str">
        <f aca="false">IF($M369="","",INDEX(伝票元!$E$6:$E$511,$M369))</f>
        <v/>
      </c>
      <c r="D369" s="45" t="str">
        <f aca="false">IF($M369="","",INDEX(伝票元!$A$6:$A$511,$M369))</f>
        <v/>
      </c>
      <c r="E369" s="10" t="str">
        <f aca="false">IF(IF($M369="",0,INDEX(伝票元!$N$6:$N$511,$M369))=1,INDEX(伝票元!$I$6:$I$511,$M369),"")</f>
        <v/>
      </c>
      <c r="F369" s="45" t="str">
        <f aca="false">IF(IF($M369="",0,INDEX(伝票元!$N$6:$N$511,$M369))=1,INDEX(伝票元!$J$6:$J$511,$M369),"")</f>
        <v/>
      </c>
      <c r="G369" s="42" t="str">
        <f aca="false">IF(IF($M369="",0,INDEX(伝票元!$N$6:$N$511,$M369))=1,INDEX(伝票元!$Q$6:$Q$511,$M369),"")</f>
        <v/>
      </c>
      <c r="H369" s="45" t="str">
        <f aca="false">IF($M369="","",INDEX(伝票元!$F$6:$F$511,$M369))</f>
        <v/>
      </c>
      <c r="I369" s="45" t="str">
        <f aca="false">IF($M369="","",INDEX(伝票元!$G$6:$G$511,$M369))</f>
        <v/>
      </c>
      <c r="J369" s="42" t="str">
        <f aca="false">IF($M369="","",INDEX(伝票元!$H$6:$H$511,$M369))</f>
        <v/>
      </c>
      <c r="K369" s="46" t="str">
        <f aca="false">IF(IF($M369="",0,INDEX(伝票元!$N$6:$N$511,$M369))=1,INDEX(伝票元!$R$6:$R$511,$M369),"")</f>
        <v/>
      </c>
      <c r="L369" s="47" t="str">
        <f aca="false">IF($M369="","",INDEX(伝票元!$S$6:$S$511,$M369))</f>
        <v/>
      </c>
      <c r="M369" s="47" t="str">
        <f aca="false">IFERROR(MATCH(363,伝票元!$O$6:$O$511,0),"")</f>
        <v/>
      </c>
    </row>
    <row r="370" customFormat="false" ht="15" hidden="false" customHeight="false" outlineLevel="0" collapsed="false">
      <c r="A370" s="10" t="str">
        <f aca="false">IF($M370="","",INDEX(伝票元!$P$6:$P$511,$M370))</f>
        <v/>
      </c>
      <c r="B370" s="45" t="str">
        <f aca="false">IF($M370="","",INDEX(伝票元!$D$6:$D$511,$M370))</f>
        <v/>
      </c>
      <c r="C370" s="10" t="str">
        <f aca="false">IF($M370="","",INDEX(伝票元!$E$6:$E$511,$M370))</f>
        <v/>
      </c>
      <c r="D370" s="45" t="str">
        <f aca="false">IF($M370="","",INDEX(伝票元!$A$6:$A$511,$M370))</f>
        <v/>
      </c>
      <c r="E370" s="10" t="str">
        <f aca="false">IF(IF($M370="",0,INDEX(伝票元!$N$6:$N$511,$M370))=1,INDEX(伝票元!$I$6:$I$511,$M370),"")</f>
        <v/>
      </c>
      <c r="F370" s="45" t="str">
        <f aca="false">IF(IF($M370="",0,INDEX(伝票元!$N$6:$N$511,$M370))=1,INDEX(伝票元!$J$6:$J$511,$M370),"")</f>
        <v/>
      </c>
      <c r="G370" s="42" t="str">
        <f aca="false">IF(IF($M370="",0,INDEX(伝票元!$N$6:$N$511,$M370))=1,INDEX(伝票元!$Q$6:$Q$511,$M370),"")</f>
        <v/>
      </c>
      <c r="H370" s="45" t="str">
        <f aca="false">IF($M370="","",INDEX(伝票元!$F$6:$F$511,$M370))</f>
        <v/>
      </c>
      <c r="I370" s="45" t="str">
        <f aca="false">IF($M370="","",INDEX(伝票元!$G$6:$G$511,$M370))</f>
        <v/>
      </c>
      <c r="J370" s="42" t="str">
        <f aca="false">IF($M370="","",INDEX(伝票元!$H$6:$H$511,$M370))</f>
        <v/>
      </c>
      <c r="K370" s="46" t="str">
        <f aca="false">IF(IF($M370="",0,INDEX(伝票元!$N$6:$N$511,$M370))=1,INDEX(伝票元!$R$6:$R$511,$M370),"")</f>
        <v/>
      </c>
      <c r="L370" s="47" t="str">
        <f aca="false">IF($M370="","",INDEX(伝票元!$S$6:$S$511,$M370))</f>
        <v/>
      </c>
      <c r="M370" s="47" t="str">
        <f aca="false">IFERROR(MATCH(364,伝票元!$O$6:$O$511,0),"")</f>
        <v/>
      </c>
    </row>
    <row r="371" customFormat="false" ht="15" hidden="false" customHeight="false" outlineLevel="0" collapsed="false">
      <c r="A371" s="10" t="str">
        <f aca="false">IF($M371="","",INDEX(伝票元!$P$6:$P$511,$M371))</f>
        <v/>
      </c>
      <c r="B371" s="45" t="str">
        <f aca="false">IF($M371="","",INDEX(伝票元!$D$6:$D$511,$M371))</f>
        <v/>
      </c>
      <c r="C371" s="10" t="str">
        <f aca="false">IF($M371="","",INDEX(伝票元!$E$6:$E$511,$M371))</f>
        <v/>
      </c>
      <c r="D371" s="45" t="str">
        <f aca="false">IF($M371="","",INDEX(伝票元!$A$6:$A$511,$M371))</f>
        <v/>
      </c>
      <c r="E371" s="10" t="str">
        <f aca="false">IF(IF($M371="",0,INDEX(伝票元!$N$6:$N$511,$M371))=1,INDEX(伝票元!$I$6:$I$511,$M371),"")</f>
        <v/>
      </c>
      <c r="F371" s="45" t="str">
        <f aca="false">IF(IF($M371="",0,INDEX(伝票元!$N$6:$N$511,$M371))=1,INDEX(伝票元!$J$6:$J$511,$M371),"")</f>
        <v/>
      </c>
      <c r="G371" s="42" t="str">
        <f aca="false">IF(IF($M371="",0,INDEX(伝票元!$N$6:$N$511,$M371))=1,INDEX(伝票元!$Q$6:$Q$511,$M371),"")</f>
        <v/>
      </c>
      <c r="H371" s="45" t="str">
        <f aca="false">IF($M371="","",INDEX(伝票元!$F$6:$F$511,$M371))</f>
        <v/>
      </c>
      <c r="I371" s="45" t="str">
        <f aca="false">IF($M371="","",INDEX(伝票元!$G$6:$G$511,$M371))</f>
        <v/>
      </c>
      <c r="J371" s="42" t="str">
        <f aca="false">IF($M371="","",INDEX(伝票元!$H$6:$H$511,$M371))</f>
        <v/>
      </c>
      <c r="K371" s="46" t="str">
        <f aca="false">IF(IF($M371="",0,INDEX(伝票元!$N$6:$N$511,$M371))=1,INDEX(伝票元!$R$6:$R$511,$M371),"")</f>
        <v/>
      </c>
      <c r="L371" s="47" t="str">
        <f aca="false">IF($M371="","",INDEX(伝票元!$S$6:$S$511,$M371))</f>
        <v/>
      </c>
      <c r="M371" s="47" t="str">
        <f aca="false">IFERROR(MATCH(365,伝票元!$O$6:$O$511,0),"")</f>
        <v/>
      </c>
    </row>
    <row r="372" customFormat="false" ht="15" hidden="false" customHeight="false" outlineLevel="0" collapsed="false">
      <c r="A372" s="10" t="str">
        <f aca="false">IF($M372="","",INDEX(伝票元!$P$6:$P$511,$M372))</f>
        <v/>
      </c>
      <c r="B372" s="45" t="str">
        <f aca="false">IF($M372="","",INDEX(伝票元!$D$6:$D$511,$M372))</f>
        <v/>
      </c>
      <c r="C372" s="10" t="str">
        <f aca="false">IF($M372="","",INDEX(伝票元!$E$6:$E$511,$M372))</f>
        <v/>
      </c>
      <c r="D372" s="45" t="str">
        <f aca="false">IF($M372="","",INDEX(伝票元!$A$6:$A$511,$M372))</f>
        <v/>
      </c>
      <c r="E372" s="10" t="str">
        <f aca="false">IF(IF($M372="",0,INDEX(伝票元!$N$6:$N$511,$M372))=1,INDEX(伝票元!$I$6:$I$511,$M372),"")</f>
        <v/>
      </c>
      <c r="F372" s="45" t="str">
        <f aca="false">IF(IF($M372="",0,INDEX(伝票元!$N$6:$N$511,$M372))=1,INDEX(伝票元!$J$6:$J$511,$M372),"")</f>
        <v/>
      </c>
      <c r="G372" s="42" t="str">
        <f aca="false">IF(IF($M372="",0,INDEX(伝票元!$N$6:$N$511,$M372))=1,INDEX(伝票元!$Q$6:$Q$511,$M372),"")</f>
        <v/>
      </c>
      <c r="H372" s="45" t="str">
        <f aca="false">IF($M372="","",INDEX(伝票元!$F$6:$F$511,$M372))</f>
        <v/>
      </c>
      <c r="I372" s="45" t="str">
        <f aca="false">IF($M372="","",INDEX(伝票元!$G$6:$G$511,$M372))</f>
        <v/>
      </c>
      <c r="J372" s="42" t="str">
        <f aca="false">IF($M372="","",INDEX(伝票元!$H$6:$H$511,$M372))</f>
        <v/>
      </c>
      <c r="K372" s="46" t="str">
        <f aca="false">IF(IF($M372="",0,INDEX(伝票元!$N$6:$N$511,$M372))=1,INDEX(伝票元!$R$6:$R$511,$M372),"")</f>
        <v/>
      </c>
      <c r="L372" s="47" t="str">
        <f aca="false">IF($M372="","",INDEX(伝票元!$S$6:$S$511,$M372))</f>
        <v/>
      </c>
      <c r="M372" s="47" t="str">
        <f aca="false">IFERROR(MATCH(366,伝票元!$O$6:$O$511,0),"")</f>
        <v/>
      </c>
    </row>
    <row r="373" customFormat="false" ht="15" hidden="false" customHeight="false" outlineLevel="0" collapsed="false">
      <c r="A373" s="10" t="str">
        <f aca="false">IF($M373="","",INDEX(伝票元!$P$6:$P$511,$M373))</f>
        <v/>
      </c>
      <c r="B373" s="45" t="str">
        <f aca="false">IF($M373="","",INDEX(伝票元!$D$6:$D$511,$M373))</f>
        <v/>
      </c>
      <c r="C373" s="10" t="str">
        <f aca="false">IF($M373="","",INDEX(伝票元!$E$6:$E$511,$M373))</f>
        <v/>
      </c>
      <c r="D373" s="45" t="str">
        <f aca="false">IF($M373="","",INDEX(伝票元!$A$6:$A$511,$M373))</f>
        <v/>
      </c>
      <c r="E373" s="10" t="str">
        <f aca="false">IF(IF($M373="",0,INDEX(伝票元!$N$6:$N$511,$M373))=1,INDEX(伝票元!$I$6:$I$511,$M373),"")</f>
        <v/>
      </c>
      <c r="F373" s="45" t="str">
        <f aca="false">IF(IF($M373="",0,INDEX(伝票元!$N$6:$N$511,$M373))=1,INDEX(伝票元!$J$6:$J$511,$M373),"")</f>
        <v/>
      </c>
      <c r="G373" s="42" t="str">
        <f aca="false">IF(IF($M373="",0,INDEX(伝票元!$N$6:$N$511,$M373))=1,INDEX(伝票元!$Q$6:$Q$511,$M373),"")</f>
        <v/>
      </c>
      <c r="H373" s="45" t="str">
        <f aca="false">IF($M373="","",INDEX(伝票元!$F$6:$F$511,$M373))</f>
        <v/>
      </c>
      <c r="I373" s="45" t="str">
        <f aca="false">IF($M373="","",INDEX(伝票元!$G$6:$G$511,$M373))</f>
        <v/>
      </c>
      <c r="J373" s="42" t="str">
        <f aca="false">IF($M373="","",INDEX(伝票元!$H$6:$H$511,$M373))</f>
        <v/>
      </c>
      <c r="K373" s="46" t="str">
        <f aca="false">IF(IF($M373="",0,INDEX(伝票元!$N$6:$N$511,$M373))=1,INDEX(伝票元!$R$6:$R$511,$M373),"")</f>
        <v/>
      </c>
      <c r="L373" s="47" t="str">
        <f aca="false">IF($M373="","",INDEX(伝票元!$S$6:$S$511,$M373))</f>
        <v/>
      </c>
      <c r="M373" s="47" t="str">
        <f aca="false">IFERROR(MATCH(367,伝票元!$O$6:$O$511,0),"")</f>
        <v/>
      </c>
    </row>
    <row r="374" customFormat="false" ht="15" hidden="false" customHeight="false" outlineLevel="0" collapsed="false">
      <c r="A374" s="10" t="str">
        <f aca="false">IF($M374="","",INDEX(伝票元!$P$6:$P$511,$M374))</f>
        <v/>
      </c>
      <c r="B374" s="45" t="str">
        <f aca="false">IF($M374="","",INDEX(伝票元!$D$6:$D$511,$M374))</f>
        <v/>
      </c>
      <c r="C374" s="10" t="str">
        <f aca="false">IF($M374="","",INDEX(伝票元!$E$6:$E$511,$M374))</f>
        <v/>
      </c>
      <c r="D374" s="45" t="str">
        <f aca="false">IF($M374="","",INDEX(伝票元!$A$6:$A$511,$M374))</f>
        <v/>
      </c>
      <c r="E374" s="10" t="str">
        <f aca="false">IF(IF($M374="",0,INDEX(伝票元!$N$6:$N$511,$M374))=1,INDEX(伝票元!$I$6:$I$511,$M374),"")</f>
        <v/>
      </c>
      <c r="F374" s="45" t="str">
        <f aca="false">IF(IF($M374="",0,INDEX(伝票元!$N$6:$N$511,$M374))=1,INDEX(伝票元!$J$6:$J$511,$M374),"")</f>
        <v/>
      </c>
      <c r="G374" s="42" t="str">
        <f aca="false">IF(IF($M374="",0,INDEX(伝票元!$N$6:$N$511,$M374))=1,INDEX(伝票元!$Q$6:$Q$511,$M374),"")</f>
        <v/>
      </c>
      <c r="H374" s="45" t="str">
        <f aca="false">IF($M374="","",INDEX(伝票元!$F$6:$F$511,$M374))</f>
        <v/>
      </c>
      <c r="I374" s="45" t="str">
        <f aca="false">IF($M374="","",INDEX(伝票元!$G$6:$G$511,$M374))</f>
        <v/>
      </c>
      <c r="J374" s="42" t="str">
        <f aca="false">IF($M374="","",INDEX(伝票元!$H$6:$H$511,$M374))</f>
        <v/>
      </c>
      <c r="K374" s="46" t="str">
        <f aca="false">IF(IF($M374="",0,INDEX(伝票元!$N$6:$N$511,$M374))=1,INDEX(伝票元!$R$6:$R$511,$M374),"")</f>
        <v/>
      </c>
      <c r="L374" s="47" t="str">
        <f aca="false">IF($M374="","",INDEX(伝票元!$S$6:$S$511,$M374))</f>
        <v/>
      </c>
      <c r="M374" s="47" t="str">
        <f aca="false">IFERROR(MATCH(368,伝票元!$O$6:$O$511,0),"")</f>
        <v/>
      </c>
    </row>
    <row r="375" customFormat="false" ht="15" hidden="false" customHeight="false" outlineLevel="0" collapsed="false">
      <c r="A375" s="10" t="str">
        <f aca="false">IF($M375="","",INDEX(伝票元!$P$6:$P$511,$M375))</f>
        <v/>
      </c>
      <c r="B375" s="45" t="str">
        <f aca="false">IF($M375="","",INDEX(伝票元!$D$6:$D$511,$M375))</f>
        <v/>
      </c>
      <c r="C375" s="10" t="str">
        <f aca="false">IF($M375="","",INDEX(伝票元!$E$6:$E$511,$M375))</f>
        <v/>
      </c>
      <c r="D375" s="45" t="str">
        <f aca="false">IF($M375="","",INDEX(伝票元!$A$6:$A$511,$M375))</f>
        <v/>
      </c>
      <c r="E375" s="10" t="str">
        <f aca="false">IF(IF($M375="",0,INDEX(伝票元!$N$6:$N$511,$M375))=1,INDEX(伝票元!$I$6:$I$511,$M375),"")</f>
        <v/>
      </c>
      <c r="F375" s="45" t="str">
        <f aca="false">IF(IF($M375="",0,INDEX(伝票元!$N$6:$N$511,$M375))=1,INDEX(伝票元!$J$6:$J$511,$M375),"")</f>
        <v/>
      </c>
      <c r="G375" s="42" t="str">
        <f aca="false">IF(IF($M375="",0,INDEX(伝票元!$N$6:$N$511,$M375))=1,INDEX(伝票元!$Q$6:$Q$511,$M375),"")</f>
        <v/>
      </c>
      <c r="H375" s="45" t="str">
        <f aca="false">IF($M375="","",INDEX(伝票元!$F$6:$F$511,$M375))</f>
        <v/>
      </c>
      <c r="I375" s="45" t="str">
        <f aca="false">IF($M375="","",INDEX(伝票元!$G$6:$G$511,$M375))</f>
        <v/>
      </c>
      <c r="J375" s="42" t="str">
        <f aca="false">IF($M375="","",INDEX(伝票元!$H$6:$H$511,$M375))</f>
        <v/>
      </c>
      <c r="K375" s="46" t="str">
        <f aca="false">IF(IF($M375="",0,INDEX(伝票元!$N$6:$N$511,$M375))=1,INDEX(伝票元!$R$6:$R$511,$M375),"")</f>
        <v/>
      </c>
      <c r="L375" s="47" t="str">
        <f aca="false">IF($M375="","",INDEX(伝票元!$S$6:$S$511,$M375))</f>
        <v/>
      </c>
      <c r="M375" s="47" t="str">
        <f aca="false">IFERROR(MATCH(369,伝票元!$O$6:$O$511,0),"")</f>
        <v/>
      </c>
    </row>
    <row r="376" customFormat="false" ht="15" hidden="false" customHeight="false" outlineLevel="0" collapsed="false">
      <c r="A376" s="10" t="str">
        <f aca="false">IF($M376="","",INDEX(伝票元!$P$6:$P$511,$M376))</f>
        <v/>
      </c>
      <c r="B376" s="45" t="str">
        <f aca="false">IF($M376="","",INDEX(伝票元!$D$6:$D$511,$M376))</f>
        <v/>
      </c>
      <c r="C376" s="10" t="str">
        <f aca="false">IF($M376="","",INDEX(伝票元!$E$6:$E$511,$M376))</f>
        <v/>
      </c>
      <c r="D376" s="45" t="str">
        <f aca="false">IF($M376="","",INDEX(伝票元!$A$6:$A$511,$M376))</f>
        <v/>
      </c>
      <c r="E376" s="10" t="str">
        <f aca="false">IF(IF($M376="",0,INDEX(伝票元!$N$6:$N$511,$M376))=1,INDEX(伝票元!$I$6:$I$511,$M376),"")</f>
        <v/>
      </c>
      <c r="F376" s="45" t="str">
        <f aca="false">IF(IF($M376="",0,INDEX(伝票元!$N$6:$N$511,$M376))=1,INDEX(伝票元!$J$6:$J$511,$M376),"")</f>
        <v/>
      </c>
      <c r="G376" s="42" t="str">
        <f aca="false">IF(IF($M376="",0,INDEX(伝票元!$N$6:$N$511,$M376))=1,INDEX(伝票元!$Q$6:$Q$511,$M376),"")</f>
        <v/>
      </c>
      <c r="H376" s="45" t="str">
        <f aca="false">IF($M376="","",INDEX(伝票元!$F$6:$F$511,$M376))</f>
        <v/>
      </c>
      <c r="I376" s="45" t="str">
        <f aca="false">IF($M376="","",INDEX(伝票元!$G$6:$G$511,$M376))</f>
        <v/>
      </c>
      <c r="J376" s="42" t="str">
        <f aca="false">IF($M376="","",INDEX(伝票元!$H$6:$H$511,$M376))</f>
        <v/>
      </c>
      <c r="K376" s="46" t="str">
        <f aca="false">IF(IF($M376="",0,INDEX(伝票元!$N$6:$N$511,$M376))=1,INDEX(伝票元!$R$6:$R$511,$M376),"")</f>
        <v/>
      </c>
      <c r="L376" s="47" t="str">
        <f aca="false">IF($M376="","",INDEX(伝票元!$S$6:$S$511,$M376))</f>
        <v/>
      </c>
      <c r="M376" s="47" t="str">
        <f aca="false">IFERROR(MATCH(370,伝票元!$O$6:$O$511,0),"")</f>
        <v/>
      </c>
    </row>
    <row r="377" customFormat="false" ht="15" hidden="false" customHeight="false" outlineLevel="0" collapsed="false">
      <c r="A377" s="10" t="str">
        <f aca="false">IF($M377="","",INDEX(伝票元!$P$6:$P$511,$M377))</f>
        <v/>
      </c>
      <c r="B377" s="45" t="str">
        <f aca="false">IF($M377="","",INDEX(伝票元!$D$6:$D$511,$M377))</f>
        <v/>
      </c>
      <c r="C377" s="10" t="str">
        <f aca="false">IF($M377="","",INDEX(伝票元!$E$6:$E$511,$M377))</f>
        <v/>
      </c>
      <c r="D377" s="45" t="str">
        <f aca="false">IF($M377="","",INDEX(伝票元!$A$6:$A$511,$M377))</f>
        <v/>
      </c>
      <c r="E377" s="10" t="str">
        <f aca="false">IF(IF($M377="",0,INDEX(伝票元!$N$6:$N$511,$M377))=1,INDEX(伝票元!$I$6:$I$511,$M377),"")</f>
        <v/>
      </c>
      <c r="F377" s="45" t="str">
        <f aca="false">IF(IF($M377="",0,INDEX(伝票元!$N$6:$N$511,$M377))=1,INDEX(伝票元!$J$6:$J$511,$M377),"")</f>
        <v/>
      </c>
      <c r="G377" s="42" t="str">
        <f aca="false">IF(IF($M377="",0,INDEX(伝票元!$N$6:$N$511,$M377))=1,INDEX(伝票元!$Q$6:$Q$511,$M377),"")</f>
        <v/>
      </c>
      <c r="H377" s="45" t="str">
        <f aca="false">IF($M377="","",INDEX(伝票元!$F$6:$F$511,$M377))</f>
        <v/>
      </c>
      <c r="I377" s="45" t="str">
        <f aca="false">IF($M377="","",INDEX(伝票元!$G$6:$G$511,$M377))</f>
        <v/>
      </c>
      <c r="J377" s="42" t="str">
        <f aca="false">IF($M377="","",INDEX(伝票元!$H$6:$H$511,$M377))</f>
        <v/>
      </c>
      <c r="K377" s="46" t="str">
        <f aca="false">IF(IF($M377="",0,INDEX(伝票元!$N$6:$N$511,$M377))=1,INDEX(伝票元!$R$6:$R$511,$M377),"")</f>
        <v/>
      </c>
      <c r="L377" s="47" t="str">
        <f aca="false">IF($M377="","",INDEX(伝票元!$S$6:$S$511,$M377))</f>
        <v/>
      </c>
      <c r="M377" s="47" t="str">
        <f aca="false">IFERROR(MATCH(371,伝票元!$O$6:$O$511,0),"")</f>
        <v/>
      </c>
    </row>
    <row r="378" customFormat="false" ht="15" hidden="false" customHeight="false" outlineLevel="0" collapsed="false">
      <c r="A378" s="10" t="str">
        <f aca="false">IF($M378="","",INDEX(伝票元!$P$6:$P$511,$M378))</f>
        <v/>
      </c>
      <c r="B378" s="45" t="str">
        <f aca="false">IF($M378="","",INDEX(伝票元!$D$6:$D$511,$M378))</f>
        <v/>
      </c>
      <c r="C378" s="10" t="str">
        <f aca="false">IF($M378="","",INDEX(伝票元!$E$6:$E$511,$M378))</f>
        <v/>
      </c>
      <c r="D378" s="45" t="str">
        <f aca="false">IF($M378="","",INDEX(伝票元!$A$6:$A$511,$M378))</f>
        <v/>
      </c>
      <c r="E378" s="10" t="str">
        <f aca="false">IF(IF($M378="",0,INDEX(伝票元!$N$6:$N$511,$M378))=1,INDEX(伝票元!$I$6:$I$511,$M378),"")</f>
        <v/>
      </c>
      <c r="F378" s="45" t="str">
        <f aca="false">IF(IF($M378="",0,INDEX(伝票元!$N$6:$N$511,$M378))=1,INDEX(伝票元!$J$6:$J$511,$M378),"")</f>
        <v/>
      </c>
      <c r="G378" s="42" t="str">
        <f aca="false">IF(IF($M378="",0,INDEX(伝票元!$N$6:$N$511,$M378))=1,INDEX(伝票元!$Q$6:$Q$511,$M378),"")</f>
        <v/>
      </c>
      <c r="H378" s="45" t="str">
        <f aca="false">IF($M378="","",INDEX(伝票元!$F$6:$F$511,$M378))</f>
        <v/>
      </c>
      <c r="I378" s="45" t="str">
        <f aca="false">IF($M378="","",INDEX(伝票元!$G$6:$G$511,$M378))</f>
        <v/>
      </c>
      <c r="J378" s="42" t="str">
        <f aca="false">IF($M378="","",INDEX(伝票元!$H$6:$H$511,$M378))</f>
        <v/>
      </c>
      <c r="K378" s="46" t="str">
        <f aca="false">IF(IF($M378="",0,INDEX(伝票元!$N$6:$N$511,$M378))=1,INDEX(伝票元!$R$6:$R$511,$M378),"")</f>
        <v/>
      </c>
      <c r="L378" s="47" t="str">
        <f aca="false">IF($M378="","",INDEX(伝票元!$S$6:$S$511,$M378))</f>
        <v/>
      </c>
      <c r="M378" s="47" t="str">
        <f aca="false">IFERROR(MATCH(372,伝票元!$O$6:$O$511,0),"")</f>
        <v/>
      </c>
    </row>
    <row r="379" customFormat="false" ht="15" hidden="false" customHeight="false" outlineLevel="0" collapsed="false">
      <c r="A379" s="10" t="str">
        <f aca="false">IF($M379="","",INDEX(伝票元!$P$6:$P$511,$M379))</f>
        <v/>
      </c>
      <c r="B379" s="45" t="str">
        <f aca="false">IF($M379="","",INDEX(伝票元!$D$6:$D$511,$M379))</f>
        <v/>
      </c>
      <c r="C379" s="10" t="str">
        <f aca="false">IF($M379="","",INDEX(伝票元!$E$6:$E$511,$M379))</f>
        <v/>
      </c>
      <c r="D379" s="45" t="str">
        <f aca="false">IF($M379="","",INDEX(伝票元!$A$6:$A$511,$M379))</f>
        <v/>
      </c>
      <c r="E379" s="10" t="str">
        <f aca="false">IF(IF($M379="",0,INDEX(伝票元!$N$6:$N$511,$M379))=1,INDEX(伝票元!$I$6:$I$511,$M379),"")</f>
        <v/>
      </c>
      <c r="F379" s="45" t="str">
        <f aca="false">IF(IF($M379="",0,INDEX(伝票元!$N$6:$N$511,$M379))=1,INDEX(伝票元!$J$6:$J$511,$M379),"")</f>
        <v/>
      </c>
      <c r="G379" s="42" t="str">
        <f aca="false">IF(IF($M379="",0,INDEX(伝票元!$N$6:$N$511,$M379))=1,INDEX(伝票元!$Q$6:$Q$511,$M379),"")</f>
        <v/>
      </c>
      <c r="H379" s="45" t="str">
        <f aca="false">IF($M379="","",INDEX(伝票元!$F$6:$F$511,$M379))</f>
        <v/>
      </c>
      <c r="I379" s="45" t="str">
        <f aca="false">IF($M379="","",INDEX(伝票元!$G$6:$G$511,$M379))</f>
        <v/>
      </c>
      <c r="J379" s="42" t="str">
        <f aca="false">IF($M379="","",INDEX(伝票元!$H$6:$H$511,$M379))</f>
        <v/>
      </c>
      <c r="K379" s="46" t="str">
        <f aca="false">IF(IF($M379="",0,INDEX(伝票元!$N$6:$N$511,$M379))=1,INDEX(伝票元!$R$6:$R$511,$M379),"")</f>
        <v/>
      </c>
      <c r="L379" s="47" t="str">
        <f aca="false">IF($M379="","",INDEX(伝票元!$S$6:$S$511,$M379))</f>
        <v/>
      </c>
      <c r="M379" s="47" t="str">
        <f aca="false">IFERROR(MATCH(373,伝票元!$O$6:$O$511,0),"")</f>
        <v/>
      </c>
    </row>
    <row r="380" customFormat="false" ht="15" hidden="false" customHeight="false" outlineLevel="0" collapsed="false">
      <c r="A380" s="10" t="str">
        <f aca="false">IF($M380="","",INDEX(伝票元!$P$6:$P$511,$M380))</f>
        <v/>
      </c>
      <c r="B380" s="45" t="str">
        <f aca="false">IF($M380="","",INDEX(伝票元!$D$6:$D$511,$M380))</f>
        <v/>
      </c>
      <c r="C380" s="10" t="str">
        <f aca="false">IF($M380="","",INDEX(伝票元!$E$6:$E$511,$M380))</f>
        <v/>
      </c>
      <c r="D380" s="45" t="str">
        <f aca="false">IF($M380="","",INDEX(伝票元!$A$6:$A$511,$M380))</f>
        <v/>
      </c>
      <c r="E380" s="10" t="str">
        <f aca="false">IF(IF($M380="",0,INDEX(伝票元!$N$6:$N$511,$M380))=1,INDEX(伝票元!$I$6:$I$511,$M380),"")</f>
        <v/>
      </c>
      <c r="F380" s="45" t="str">
        <f aca="false">IF(IF($M380="",0,INDEX(伝票元!$N$6:$N$511,$M380))=1,INDEX(伝票元!$J$6:$J$511,$M380),"")</f>
        <v/>
      </c>
      <c r="G380" s="42" t="str">
        <f aca="false">IF(IF($M380="",0,INDEX(伝票元!$N$6:$N$511,$M380))=1,INDEX(伝票元!$Q$6:$Q$511,$M380),"")</f>
        <v/>
      </c>
      <c r="H380" s="45" t="str">
        <f aca="false">IF($M380="","",INDEX(伝票元!$F$6:$F$511,$M380))</f>
        <v/>
      </c>
      <c r="I380" s="45" t="str">
        <f aca="false">IF($M380="","",INDEX(伝票元!$G$6:$G$511,$M380))</f>
        <v/>
      </c>
      <c r="J380" s="42" t="str">
        <f aca="false">IF($M380="","",INDEX(伝票元!$H$6:$H$511,$M380))</f>
        <v/>
      </c>
      <c r="K380" s="46" t="str">
        <f aca="false">IF(IF($M380="",0,INDEX(伝票元!$N$6:$N$511,$M380))=1,INDEX(伝票元!$R$6:$R$511,$M380),"")</f>
        <v/>
      </c>
      <c r="L380" s="47" t="str">
        <f aca="false">IF($M380="","",INDEX(伝票元!$S$6:$S$511,$M380))</f>
        <v/>
      </c>
      <c r="M380" s="47" t="str">
        <f aca="false">IFERROR(MATCH(374,伝票元!$O$6:$O$511,0),"")</f>
        <v/>
      </c>
    </row>
    <row r="381" customFormat="false" ht="15" hidden="false" customHeight="false" outlineLevel="0" collapsed="false">
      <c r="A381" s="10" t="str">
        <f aca="false">IF($M381="","",INDEX(伝票元!$P$6:$P$511,$M381))</f>
        <v/>
      </c>
      <c r="B381" s="45" t="str">
        <f aca="false">IF($M381="","",INDEX(伝票元!$D$6:$D$511,$M381))</f>
        <v/>
      </c>
      <c r="C381" s="10" t="str">
        <f aca="false">IF($M381="","",INDEX(伝票元!$E$6:$E$511,$M381))</f>
        <v/>
      </c>
      <c r="D381" s="45" t="str">
        <f aca="false">IF($M381="","",INDEX(伝票元!$A$6:$A$511,$M381))</f>
        <v/>
      </c>
      <c r="E381" s="10" t="str">
        <f aca="false">IF(IF($M381="",0,INDEX(伝票元!$N$6:$N$511,$M381))=1,INDEX(伝票元!$I$6:$I$511,$M381),"")</f>
        <v/>
      </c>
      <c r="F381" s="45" t="str">
        <f aca="false">IF(IF($M381="",0,INDEX(伝票元!$N$6:$N$511,$M381))=1,INDEX(伝票元!$J$6:$J$511,$M381),"")</f>
        <v/>
      </c>
      <c r="G381" s="42" t="str">
        <f aca="false">IF(IF($M381="",0,INDEX(伝票元!$N$6:$N$511,$M381))=1,INDEX(伝票元!$Q$6:$Q$511,$M381),"")</f>
        <v/>
      </c>
      <c r="H381" s="45" t="str">
        <f aca="false">IF($M381="","",INDEX(伝票元!$F$6:$F$511,$M381))</f>
        <v/>
      </c>
      <c r="I381" s="45" t="str">
        <f aca="false">IF($M381="","",INDEX(伝票元!$G$6:$G$511,$M381))</f>
        <v/>
      </c>
      <c r="J381" s="42" t="str">
        <f aca="false">IF($M381="","",INDEX(伝票元!$H$6:$H$511,$M381))</f>
        <v/>
      </c>
      <c r="K381" s="46" t="str">
        <f aca="false">IF(IF($M381="",0,INDEX(伝票元!$N$6:$N$511,$M381))=1,INDEX(伝票元!$R$6:$R$511,$M381),"")</f>
        <v/>
      </c>
      <c r="L381" s="47" t="str">
        <f aca="false">IF($M381="","",INDEX(伝票元!$S$6:$S$511,$M381))</f>
        <v/>
      </c>
      <c r="M381" s="47" t="str">
        <f aca="false">IFERROR(MATCH(375,伝票元!$O$6:$O$511,0),"")</f>
        <v/>
      </c>
    </row>
    <row r="382" customFormat="false" ht="15" hidden="false" customHeight="false" outlineLevel="0" collapsed="false">
      <c r="A382" s="10" t="str">
        <f aca="false">IF($M382="","",INDEX(伝票元!$P$6:$P$511,$M382))</f>
        <v/>
      </c>
      <c r="B382" s="45" t="str">
        <f aca="false">IF($M382="","",INDEX(伝票元!$D$6:$D$511,$M382))</f>
        <v/>
      </c>
      <c r="C382" s="10" t="str">
        <f aca="false">IF($M382="","",INDEX(伝票元!$E$6:$E$511,$M382))</f>
        <v/>
      </c>
      <c r="D382" s="45" t="str">
        <f aca="false">IF($M382="","",INDEX(伝票元!$A$6:$A$511,$M382))</f>
        <v/>
      </c>
      <c r="E382" s="10" t="str">
        <f aca="false">IF(IF($M382="",0,INDEX(伝票元!$N$6:$N$511,$M382))=1,INDEX(伝票元!$I$6:$I$511,$M382),"")</f>
        <v/>
      </c>
      <c r="F382" s="45" t="str">
        <f aca="false">IF(IF($M382="",0,INDEX(伝票元!$N$6:$N$511,$M382))=1,INDEX(伝票元!$J$6:$J$511,$M382),"")</f>
        <v/>
      </c>
      <c r="G382" s="42" t="str">
        <f aca="false">IF(IF($M382="",0,INDEX(伝票元!$N$6:$N$511,$M382))=1,INDEX(伝票元!$Q$6:$Q$511,$M382),"")</f>
        <v/>
      </c>
      <c r="H382" s="45" t="str">
        <f aca="false">IF($M382="","",INDEX(伝票元!$F$6:$F$511,$M382))</f>
        <v/>
      </c>
      <c r="I382" s="45" t="str">
        <f aca="false">IF($M382="","",INDEX(伝票元!$G$6:$G$511,$M382))</f>
        <v/>
      </c>
      <c r="J382" s="42" t="str">
        <f aca="false">IF($M382="","",INDEX(伝票元!$H$6:$H$511,$M382))</f>
        <v/>
      </c>
      <c r="K382" s="46" t="str">
        <f aca="false">IF(IF($M382="",0,INDEX(伝票元!$N$6:$N$511,$M382))=1,INDEX(伝票元!$R$6:$R$511,$M382),"")</f>
        <v/>
      </c>
      <c r="L382" s="47" t="str">
        <f aca="false">IF($M382="","",INDEX(伝票元!$S$6:$S$511,$M382))</f>
        <v/>
      </c>
      <c r="M382" s="47" t="str">
        <f aca="false">IFERROR(MATCH(376,伝票元!$O$6:$O$511,0),"")</f>
        <v/>
      </c>
    </row>
    <row r="383" customFormat="false" ht="15" hidden="false" customHeight="false" outlineLevel="0" collapsed="false">
      <c r="A383" s="10" t="str">
        <f aca="false">IF($M383="","",INDEX(伝票元!$P$6:$P$511,$M383))</f>
        <v/>
      </c>
      <c r="B383" s="45" t="str">
        <f aca="false">IF($M383="","",INDEX(伝票元!$D$6:$D$511,$M383))</f>
        <v/>
      </c>
      <c r="C383" s="10" t="str">
        <f aca="false">IF($M383="","",INDEX(伝票元!$E$6:$E$511,$M383))</f>
        <v/>
      </c>
      <c r="D383" s="45" t="str">
        <f aca="false">IF($M383="","",INDEX(伝票元!$A$6:$A$511,$M383))</f>
        <v/>
      </c>
      <c r="E383" s="10" t="str">
        <f aca="false">IF(IF($M383="",0,INDEX(伝票元!$N$6:$N$511,$M383))=1,INDEX(伝票元!$I$6:$I$511,$M383),"")</f>
        <v/>
      </c>
      <c r="F383" s="45" t="str">
        <f aca="false">IF(IF($M383="",0,INDEX(伝票元!$N$6:$N$511,$M383))=1,INDEX(伝票元!$J$6:$J$511,$M383),"")</f>
        <v/>
      </c>
      <c r="G383" s="42" t="str">
        <f aca="false">IF(IF($M383="",0,INDEX(伝票元!$N$6:$N$511,$M383))=1,INDEX(伝票元!$Q$6:$Q$511,$M383),"")</f>
        <v/>
      </c>
      <c r="H383" s="45" t="str">
        <f aca="false">IF($M383="","",INDEX(伝票元!$F$6:$F$511,$M383))</f>
        <v/>
      </c>
      <c r="I383" s="45" t="str">
        <f aca="false">IF($M383="","",INDEX(伝票元!$G$6:$G$511,$M383))</f>
        <v/>
      </c>
      <c r="J383" s="42" t="str">
        <f aca="false">IF($M383="","",INDEX(伝票元!$H$6:$H$511,$M383))</f>
        <v/>
      </c>
      <c r="K383" s="46" t="str">
        <f aca="false">IF(IF($M383="",0,INDEX(伝票元!$N$6:$N$511,$M383))=1,INDEX(伝票元!$R$6:$R$511,$M383),"")</f>
        <v/>
      </c>
      <c r="L383" s="47" t="str">
        <f aca="false">IF($M383="","",INDEX(伝票元!$S$6:$S$511,$M383))</f>
        <v/>
      </c>
      <c r="M383" s="47" t="str">
        <f aca="false">IFERROR(MATCH(377,伝票元!$O$6:$O$511,0),"")</f>
        <v/>
      </c>
    </row>
    <row r="384" customFormat="false" ht="15" hidden="false" customHeight="false" outlineLevel="0" collapsed="false">
      <c r="A384" s="10" t="str">
        <f aca="false">IF($M384="","",INDEX(伝票元!$P$6:$P$511,$M384))</f>
        <v/>
      </c>
      <c r="B384" s="45" t="str">
        <f aca="false">IF($M384="","",INDEX(伝票元!$D$6:$D$511,$M384))</f>
        <v/>
      </c>
      <c r="C384" s="10" t="str">
        <f aca="false">IF($M384="","",INDEX(伝票元!$E$6:$E$511,$M384))</f>
        <v/>
      </c>
      <c r="D384" s="45" t="str">
        <f aca="false">IF($M384="","",INDEX(伝票元!$A$6:$A$511,$M384))</f>
        <v/>
      </c>
      <c r="E384" s="10" t="str">
        <f aca="false">IF(IF($M384="",0,INDEX(伝票元!$N$6:$N$511,$M384))=1,INDEX(伝票元!$I$6:$I$511,$M384),"")</f>
        <v/>
      </c>
      <c r="F384" s="45" t="str">
        <f aca="false">IF(IF($M384="",0,INDEX(伝票元!$N$6:$N$511,$M384))=1,INDEX(伝票元!$J$6:$J$511,$M384),"")</f>
        <v/>
      </c>
      <c r="G384" s="42" t="str">
        <f aca="false">IF(IF($M384="",0,INDEX(伝票元!$N$6:$N$511,$M384))=1,INDEX(伝票元!$Q$6:$Q$511,$M384),"")</f>
        <v/>
      </c>
      <c r="H384" s="45" t="str">
        <f aca="false">IF($M384="","",INDEX(伝票元!$F$6:$F$511,$M384))</f>
        <v/>
      </c>
      <c r="I384" s="45" t="str">
        <f aca="false">IF($M384="","",INDEX(伝票元!$G$6:$G$511,$M384))</f>
        <v/>
      </c>
      <c r="J384" s="42" t="str">
        <f aca="false">IF($M384="","",INDEX(伝票元!$H$6:$H$511,$M384))</f>
        <v/>
      </c>
      <c r="K384" s="46" t="str">
        <f aca="false">IF(IF($M384="",0,INDEX(伝票元!$N$6:$N$511,$M384))=1,INDEX(伝票元!$R$6:$R$511,$M384),"")</f>
        <v/>
      </c>
      <c r="L384" s="47" t="str">
        <f aca="false">IF($M384="","",INDEX(伝票元!$S$6:$S$511,$M384))</f>
        <v/>
      </c>
      <c r="M384" s="47" t="str">
        <f aca="false">IFERROR(MATCH(378,伝票元!$O$6:$O$511,0),"")</f>
        <v/>
      </c>
    </row>
    <row r="385" customFormat="false" ht="15" hidden="false" customHeight="false" outlineLevel="0" collapsed="false">
      <c r="A385" s="10" t="str">
        <f aca="false">IF($M385="","",INDEX(伝票元!$P$6:$P$511,$M385))</f>
        <v/>
      </c>
      <c r="B385" s="45" t="str">
        <f aca="false">IF($M385="","",INDEX(伝票元!$D$6:$D$511,$M385))</f>
        <v/>
      </c>
      <c r="C385" s="10" t="str">
        <f aca="false">IF($M385="","",INDEX(伝票元!$E$6:$E$511,$M385))</f>
        <v/>
      </c>
      <c r="D385" s="45" t="str">
        <f aca="false">IF($M385="","",INDEX(伝票元!$A$6:$A$511,$M385))</f>
        <v/>
      </c>
      <c r="E385" s="10" t="str">
        <f aca="false">IF(IF($M385="",0,INDEX(伝票元!$N$6:$N$511,$M385))=1,INDEX(伝票元!$I$6:$I$511,$M385),"")</f>
        <v/>
      </c>
      <c r="F385" s="45" t="str">
        <f aca="false">IF(IF($M385="",0,INDEX(伝票元!$N$6:$N$511,$M385))=1,INDEX(伝票元!$J$6:$J$511,$M385),"")</f>
        <v/>
      </c>
      <c r="G385" s="42" t="str">
        <f aca="false">IF(IF($M385="",0,INDEX(伝票元!$N$6:$N$511,$M385))=1,INDEX(伝票元!$Q$6:$Q$511,$M385),"")</f>
        <v/>
      </c>
      <c r="H385" s="45" t="str">
        <f aca="false">IF($M385="","",INDEX(伝票元!$F$6:$F$511,$M385))</f>
        <v/>
      </c>
      <c r="I385" s="45" t="str">
        <f aca="false">IF($M385="","",INDEX(伝票元!$G$6:$G$511,$M385))</f>
        <v/>
      </c>
      <c r="J385" s="42" t="str">
        <f aca="false">IF($M385="","",INDEX(伝票元!$H$6:$H$511,$M385))</f>
        <v/>
      </c>
      <c r="K385" s="46" t="str">
        <f aca="false">IF(IF($M385="",0,INDEX(伝票元!$N$6:$N$511,$M385))=1,INDEX(伝票元!$R$6:$R$511,$M385),"")</f>
        <v/>
      </c>
      <c r="L385" s="47" t="str">
        <f aca="false">IF($M385="","",INDEX(伝票元!$S$6:$S$511,$M385))</f>
        <v/>
      </c>
      <c r="M385" s="47" t="str">
        <f aca="false">IFERROR(MATCH(379,伝票元!$O$6:$O$511,0),"")</f>
        <v/>
      </c>
    </row>
    <row r="386" customFormat="false" ht="15" hidden="false" customHeight="false" outlineLevel="0" collapsed="false">
      <c r="A386" s="10" t="str">
        <f aca="false">IF($M386="","",INDEX(伝票元!$P$6:$P$511,$M386))</f>
        <v/>
      </c>
      <c r="B386" s="45" t="str">
        <f aca="false">IF($M386="","",INDEX(伝票元!$D$6:$D$511,$M386))</f>
        <v/>
      </c>
      <c r="C386" s="10" t="str">
        <f aca="false">IF($M386="","",INDEX(伝票元!$E$6:$E$511,$M386))</f>
        <v/>
      </c>
      <c r="D386" s="45" t="str">
        <f aca="false">IF($M386="","",INDEX(伝票元!$A$6:$A$511,$M386))</f>
        <v/>
      </c>
      <c r="E386" s="10" t="str">
        <f aca="false">IF(IF($M386="",0,INDEX(伝票元!$N$6:$N$511,$M386))=1,INDEX(伝票元!$I$6:$I$511,$M386),"")</f>
        <v/>
      </c>
      <c r="F386" s="45" t="str">
        <f aca="false">IF(IF($M386="",0,INDEX(伝票元!$N$6:$N$511,$M386))=1,INDEX(伝票元!$J$6:$J$511,$M386),"")</f>
        <v/>
      </c>
      <c r="G386" s="42" t="str">
        <f aca="false">IF(IF($M386="",0,INDEX(伝票元!$N$6:$N$511,$M386))=1,INDEX(伝票元!$Q$6:$Q$511,$M386),"")</f>
        <v/>
      </c>
      <c r="H386" s="45" t="str">
        <f aca="false">IF($M386="","",INDEX(伝票元!$F$6:$F$511,$M386))</f>
        <v/>
      </c>
      <c r="I386" s="45" t="str">
        <f aca="false">IF($M386="","",INDEX(伝票元!$G$6:$G$511,$M386))</f>
        <v/>
      </c>
      <c r="J386" s="42" t="str">
        <f aca="false">IF($M386="","",INDEX(伝票元!$H$6:$H$511,$M386))</f>
        <v/>
      </c>
      <c r="K386" s="46" t="str">
        <f aca="false">IF(IF($M386="",0,INDEX(伝票元!$N$6:$N$511,$M386))=1,INDEX(伝票元!$R$6:$R$511,$M386),"")</f>
        <v/>
      </c>
      <c r="L386" s="47" t="str">
        <f aca="false">IF($M386="","",INDEX(伝票元!$S$6:$S$511,$M386))</f>
        <v/>
      </c>
      <c r="M386" s="47" t="str">
        <f aca="false">IFERROR(MATCH(380,伝票元!$O$6:$O$511,0),"")</f>
        <v/>
      </c>
    </row>
    <row r="387" customFormat="false" ht="15" hidden="false" customHeight="false" outlineLevel="0" collapsed="false">
      <c r="A387" s="10" t="str">
        <f aca="false">IF($M387="","",INDEX(伝票元!$P$6:$P$511,$M387))</f>
        <v/>
      </c>
      <c r="B387" s="45" t="str">
        <f aca="false">IF($M387="","",INDEX(伝票元!$D$6:$D$511,$M387))</f>
        <v/>
      </c>
      <c r="C387" s="10" t="str">
        <f aca="false">IF($M387="","",INDEX(伝票元!$E$6:$E$511,$M387))</f>
        <v/>
      </c>
      <c r="D387" s="45" t="str">
        <f aca="false">IF($M387="","",INDEX(伝票元!$A$6:$A$511,$M387))</f>
        <v/>
      </c>
      <c r="E387" s="10" t="str">
        <f aca="false">IF(IF($M387="",0,INDEX(伝票元!$N$6:$N$511,$M387))=1,INDEX(伝票元!$I$6:$I$511,$M387),"")</f>
        <v/>
      </c>
      <c r="F387" s="45" t="str">
        <f aca="false">IF(IF($M387="",0,INDEX(伝票元!$N$6:$N$511,$M387))=1,INDEX(伝票元!$J$6:$J$511,$M387),"")</f>
        <v/>
      </c>
      <c r="G387" s="42" t="str">
        <f aca="false">IF(IF($M387="",0,INDEX(伝票元!$N$6:$N$511,$M387))=1,INDEX(伝票元!$Q$6:$Q$511,$M387),"")</f>
        <v/>
      </c>
      <c r="H387" s="45" t="str">
        <f aca="false">IF($M387="","",INDEX(伝票元!$F$6:$F$511,$M387))</f>
        <v/>
      </c>
      <c r="I387" s="45" t="str">
        <f aca="false">IF($M387="","",INDEX(伝票元!$G$6:$G$511,$M387))</f>
        <v/>
      </c>
      <c r="J387" s="42" t="str">
        <f aca="false">IF($M387="","",INDEX(伝票元!$H$6:$H$511,$M387))</f>
        <v/>
      </c>
      <c r="K387" s="46" t="str">
        <f aca="false">IF(IF($M387="",0,INDEX(伝票元!$N$6:$N$511,$M387))=1,INDEX(伝票元!$R$6:$R$511,$M387),"")</f>
        <v/>
      </c>
      <c r="L387" s="47" t="str">
        <f aca="false">IF($M387="","",INDEX(伝票元!$S$6:$S$511,$M387))</f>
        <v/>
      </c>
      <c r="M387" s="47" t="str">
        <f aca="false">IFERROR(MATCH(381,伝票元!$O$6:$O$511,0),"")</f>
        <v/>
      </c>
    </row>
    <row r="388" customFormat="false" ht="15" hidden="false" customHeight="false" outlineLevel="0" collapsed="false">
      <c r="A388" s="10" t="str">
        <f aca="false">IF($M388="","",INDEX(伝票元!$P$6:$P$511,$M388))</f>
        <v/>
      </c>
      <c r="B388" s="45" t="str">
        <f aca="false">IF($M388="","",INDEX(伝票元!$D$6:$D$511,$M388))</f>
        <v/>
      </c>
      <c r="C388" s="10" t="str">
        <f aca="false">IF($M388="","",INDEX(伝票元!$E$6:$E$511,$M388))</f>
        <v/>
      </c>
      <c r="D388" s="45" t="str">
        <f aca="false">IF($M388="","",INDEX(伝票元!$A$6:$A$511,$M388))</f>
        <v/>
      </c>
      <c r="E388" s="10" t="str">
        <f aca="false">IF(IF($M388="",0,INDEX(伝票元!$N$6:$N$511,$M388))=1,INDEX(伝票元!$I$6:$I$511,$M388),"")</f>
        <v/>
      </c>
      <c r="F388" s="45" t="str">
        <f aca="false">IF(IF($M388="",0,INDEX(伝票元!$N$6:$N$511,$M388))=1,INDEX(伝票元!$J$6:$J$511,$M388),"")</f>
        <v/>
      </c>
      <c r="G388" s="42" t="str">
        <f aca="false">IF(IF($M388="",0,INDEX(伝票元!$N$6:$N$511,$M388))=1,INDEX(伝票元!$Q$6:$Q$511,$M388),"")</f>
        <v/>
      </c>
      <c r="H388" s="45" t="str">
        <f aca="false">IF($M388="","",INDEX(伝票元!$F$6:$F$511,$M388))</f>
        <v/>
      </c>
      <c r="I388" s="45" t="str">
        <f aca="false">IF($M388="","",INDEX(伝票元!$G$6:$G$511,$M388))</f>
        <v/>
      </c>
      <c r="J388" s="42" t="str">
        <f aca="false">IF($M388="","",INDEX(伝票元!$H$6:$H$511,$M388))</f>
        <v/>
      </c>
      <c r="K388" s="46" t="str">
        <f aca="false">IF(IF($M388="",0,INDEX(伝票元!$N$6:$N$511,$M388))=1,INDEX(伝票元!$R$6:$R$511,$M388),"")</f>
        <v/>
      </c>
      <c r="L388" s="47" t="str">
        <f aca="false">IF($M388="","",INDEX(伝票元!$S$6:$S$511,$M388))</f>
        <v/>
      </c>
      <c r="M388" s="47" t="str">
        <f aca="false">IFERROR(MATCH(382,伝票元!$O$6:$O$511,0),"")</f>
        <v/>
      </c>
    </row>
    <row r="389" customFormat="false" ht="15" hidden="false" customHeight="false" outlineLevel="0" collapsed="false">
      <c r="A389" s="10" t="str">
        <f aca="false">IF($M389="","",INDEX(伝票元!$P$6:$P$511,$M389))</f>
        <v/>
      </c>
      <c r="B389" s="45" t="str">
        <f aca="false">IF($M389="","",INDEX(伝票元!$D$6:$D$511,$M389))</f>
        <v/>
      </c>
      <c r="C389" s="10" t="str">
        <f aca="false">IF($M389="","",INDEX(伝票元!$E$6:$E$511,$M389))</f>
        <v/>
      </c>
      <c r="D389" s="45" t="str">
        <f aca="false">IF($M389="","",INDEX(伝票元!$A$6:$A$511,$M389))</f>
        <v/>
      </c>
      <c r="E389" s="10" t="str">
        <f aca="false">IF(IF($M389="",0,INDEX(伝票元!$N$6:$N$511,$M389))=1,INDEX(伝票元!$I$6:$I$511,$M389),"")</f>
        <v/>
      </c>
      <c r="F389" s="45" t="str">
        <f aca="false">IF(IF($M389="",0,INDEX(伝票元!$N$6:$N$511,$M389))=1,INDEX(伝票元!$J$6:$J$511,$M389),"")</f>
        <v/>
      </c>
      <c r="G389" s="42" t="str">
        <f aca="false">IF(IF($M389="",0,INDEX(伝票元!$N$6:$N$511,$M389))=1,INDEX(伝票元!$Q$6:$Q$511,$M389),"")</f>
        <v/>
      </c>
      <c r="H389" s="45" t="str">
        <f aca="false">IF($M389="","",INDEX(伝票元!$F$6:$F$511,$M389))</f>
        <v/>
      </c>
      <c r="I389" s="45" t="str">
        <f aca="false">IF($M389="","",INDEX(伝票元!$G$6:$G$511,$M389))</f>
        <v/>
      </c>
      <c r="J389" s="42" t="str">
        <f aca="false">IF($M389="","",INDEX(伝票元!$H$6:$H$511,$M389))</f>
        <v/>
      </c>
      <c r="K389" s="46" t="str">
        <f aca="false">IF(IF($M389="",0,INDEX(伝票元!$N$6:$N$511,$M389))=1,INDEX(伝票元!$R$6:$R$511,$M389),"")</f>
        <v/>
      </c>
      <c r="L389" s="47" t="str">
        <f aca="false">IF($M389="","",INDEX(伝票元!$S$6:$S$511,$M389))</f>
        <v/>
      </c>
      <c r="M389" s="47" t="str">
        <f aca="false">IFERROR(MATCH(383,伝票元!$O$6:$O$511,0),"")</f>
        <v/>
      </c>
    </row>
    <row r="390" customFormat="false" ht="15" hidden="false" customHeight="false" outlineLevel="0" collapsed="false">
      <c r="A390" s="10" t="str">
        <f aca="false">IF($M390="","",INDEX(伝票元!$P$6:$P$511,$M390))</f>
        <v/>
      </c>
      <c r="B390" s="45" t="str">
        <f aca="false">IF($M390="","",INDEX(伝票元!$D$6:$D$511,$M390))</f>
        <v/>
      </c>
      <c r="C390" s="10" t="str">
        <f aca="false">IF($M390="","",INDEX(伝票元!$E$6:$E$511,$M390))</f>
        <v/>
      </c>
      <c r="D390" s="45" t="str">
        <f aca="false">IF($M390="","",INDEX(伝票元!$A$6:$A$511,$M390))</f>
        <v/>
      </c>
      <c r="E390" s="10" t="str">
        <f aca="false">IF(IF($M390="",0,INDEX(伝票元!$N$6:$N$511,$M390))=1,INDEX(伝票元!$I$6:$I$511,$M390),"")</f>
        <v/>
      </c>
      <c r="F390" s="45" t="str">
        <f aca="false">IF(IF($M390="",0,INDEX(伝票元!$N$6:$N$511,$M390))=1,INDEX(伝票元!$J$6:$J$511,$M390),"")</f>
        <v/>
      </c>
      <c r="G390" s="42" t="str">
        <f aca="false">IF(IF($M390="",0,INDEX(伝票元!$N$6:$N$511,$M390))=1,INDEX(伝票元!$Q$6:$Q$511,$M390),"")</f>
        <v/>
      </c>
      <c r="H390" s="45" t="str">
        <f aca="false">IF($M390="","",INDEX(伝票元!$F$6:$F$511,$M390))</f>
        <v/>
      </c>
      <c r="I390" s="45" t="str">
        <f aca="false">IF($M390="","",INDEX(伝票元!$G$6:$G$511,$M390))</f>
        <v/>
      </c>
      <c r="J390" s="42" t="str">
        <f aca="false">IF($M390="","",INDEX(伝票元!$H$6:$H$511,$M390))</f>
        <v/>
      </c>
      <c r="K390" s="46" t="str">
        <f aca="false">IF(IF($M390="",0,INDEX(伝票元!$N$6:$N$511,$M390))=1,INDEX(伝票元!$R$6:$R$511,$M390),"")</f>
        <v/>
      </c>
      <c r="L390" s="47" t="str">
        <f aca="false">IF($M390="","",INDEX(伝票元!$S$6:$S$511,$M390))</f>
        <v/>
      </c>
      <c r="M390" s="47" t="str">
        <f aca="false">IFERROR(MATCH(384,伝票元!$O$6:$O$511,0),"")</f>
        <v/>
      </c>
    </row>
    <row r="391" customFormat="false" ht="15" hidden="false" customHeight="false" outlineLevel="0" collapsed="false">
      <c r="A391" s="10" t="str">
        <f aca="false">IF($M391="","",INDEX(伝票元!$P$6:$P$511,$M391))</f>
        <v/>
      </c>
      <c r="B391" s="45" t="str">
        <f aca="false">IF($M391="","",INDEX(伝票元!$D$6:$D$511,$M391))</f>
        <v/>
      </c>
      <c r="C391" s="10" t="str">
        <f aca="false">IF($M391="","",INDEX(伝票元!$E$6:$E$511,$M391))</f>
        <v/>
      </c>
      <c r="D391" s="45" t="str">
        <f aca="false">IF($M391="","",INDEX(伝票元!$A$6:$A$511,$M391))</f>
        <v/>
      </c>
      <c r="E391" s="10" t="str">
        <f aca="false">IF(IF($M391="",0,INDEX(伝票元!$N$6:$N$511,$M391))=1,INDEX(伝票元!$I$6:$I$511,$M391),"")</f>
        <v/>
      </c>
      <c r="F391" s="45" t="str">
        <f aca="false">IF(IF($M391="",0,INDEX(伝票元!$N$6:$N$511,$M391))=1,INDEX(伝票元!$J$6:$J$511,$M391),"")</f>
        <v/>
      </c>
      <c r="G391" s="42" t="str">
        <f aca="false">IF(IF($M391="",0,INDEX(伝票元!$N$6:$N$511,$M391))=1,INDEX(伝票元!$Q$6:$Q$511,$M391),"")</f>
        <v/>
      </c>
      <c r="H391" s="45" t="str">
        <f aca="false">IF($M391="","",INDEX(伝票元!$F$6:$F$511,$M391))</f>
        <v/>
      </c>
      <c r="I391" s="45" t="str">
        <f aca="false">IF($M391="","",INDEX(伝票元!$G$6:$G$511,$M391))</f>
        <v/>
      </c>
      <c r="J391" s="42" t="str">
        <f aca="false">IF($M391="","",INDEX(伝票元!$H$6:$H$511,$M391))</f>
        <v/>
      </c>
      <c r="K391" s="46" t="str">
        <f aca="false">IF(IF($M391="",0,INDEX(伝票元!$N$6:$N$511,$M391))=1,INDEX(伝票元!$R$6:$R$511,$M391),"")</f>
        <v/>
      </c>
      <c r="L391" s="47" t="str">
        <f aca="false">IF($M391="","",INDEX(伝票元!$S$6:$S$511,$M391))</f>
        <v/>
      </c>
      <c r="M391" s="47" t="str">
        <f aca="false">IFERROR(MATCH(385,伝票元!$O$6:$O$511,0),"")</f>
        <v/>
      </c>
    </row>
    <row r="392" customFormat="false" ht="15" hidden="false" customHeight="false" outlineLevel="0" collapsed="false">
      <c r="A392" s="10" t="str">
        <f aca="false">IF($M392="","",INDEX(伝票元!$P$6:$P$511,$M392))</f>
        <v/>
      </c>
      <c r="B392" s="45" t="str">
        <f aca="false">IF($M392="","",INDEX(伝票元!$D$6:$D$511,$M392))</f>
        <v/>
      </c>
      <c r="C392" s="10" t="str">
        <f aca="false">IF($M392="","",INDEX(伝票元!$E$6:$E$511,$M392))</f>
        <v/>
      </c>
      <c r="D392" s="45" t="str">
        <f aca="false">IF($M392="","",INDEX(伝票元!$A$6:$A$511,$M392))</f>
        <v/>
      </c>
      <c r="E392" s="10" t="str">
        <f aca="false">IF(IF($M392="",0,INDEX(伝票元!$N$6:$N$511,$M392))=1,INDEX(伝票元!$I$6:$I$511,$M392),"")</f>
        <v/>
      </c>
      <c r="F392" s="45" t="str">
        <f aca="false">IF(IF($M392="",0,INDEX(伝票元!$N$6:$N$511,$M392))=1,INDEX(伝票元!$J$6:$J$511,$M392),"")</f>
        <v/>
      </c>
      <c r="G392" s="42" t="str">
        <f aca="false">IF(IF($M392="",0,INDEX(伝票元!$N$6:$N$511,$M392))=1,INDEX(伝票元!$Q$6:$Q$511,$M392),"")</f>
        <v/>
      </c>
      <c r="H392" s="45" t="str">
        <f aca="false">IF($M392="","",INDEX(伝票元!$F$6:$F$511,$M392))</f>
        <v/>
      </c>
      <c r="I392" s="45" t="str">
        <f aca="false">IF($M392="","",INDEX(伝票元!$G$6:$G$511,$M392))</f>
        <v/>
      </c>
      <c r="J392" s="42" t="str">
        <f aca="false">IF($M392="","",INDEX(伝票元!$H$6:$H$511,$M392))</f>
        <v/>
      </c>
      <c r="K392" s="46" t="str">
        <f aca="false">IF(IF($M392="",0,INDEX(伝票元!$N$6:$N$511,$M392))=1,INDEX(伝票元!$R$6:$R$511,$M392),"")</f>
        <v/>
      </c>
      <c r="L392" s="47" t="str">
        <f aca="false">IF($M392="","",INDEX(伝票元!$S$6:$S$511,$M392))</f>
        <v/>
      </c>
      <c r="M392" s="47" t="str">
        <f aca="false">IFERROR(MATCH(386,伝票元!$O$6:$O$511,0),"")</f>
        <v/>
      </c>
    </row>
    <row r="393" customFormat="false" ht="15" hidden="false" customHeight="false" outlineLevel="0" collapsed="false">
      <c r="A393" s="10" t="str">
        <f aca="false">IF($M393="","",INDEX(伝票元!$P$6:$P$511,$M393))</f>
        <v/>
      </c>
      <c r="B393" s="45" t="str">
        <f aca="false">IF($M393="","",INDEX(伝票元!$D$6:$D$511,$M393))</f>
        <v/>
      </c>
      <c r="C393" s="10" t="str">
        <f aca="false">IF($M393="","",INDEX(伝票元!$E$6:$E$511,$M393))</f>
        <v/>
      </c>
      <c r="D393" s="45" t="str">
        <f aca="false">IF($M393="","",INDEX(伝票元!$A$6:$A$511,$M393))</f>
        <v/>
      </c>
      <c r="E393" s="10" t="str">
        <f aca="false">IF(IF($M393="",0,INDEX(伝票元!$N$6:$N$511,$M393))=1,INDEX(伝票元!$I$6:$I$511,$M393),"")</f>
        <v/>
      </c>
      <c r="F393" s="45" t="str">
        <f aca="false">IF(IF($M393="",0,INDEX(伝票元!$N$6:$N$511,$M393))=1,INDEX(伝票元!$J$6:$J$511,$M393),"")</f>
        <v/>
      </c>
      <c r="G393" s="42" t="str">
        <f aca="false">IF(IF($M393="",0,INDEX(伝票元!$N$6:$N$511,$M393))=1,INDEX(伝票元!$Q$6:$Q$511,$M393),"")</f>
        <v/>
      </c>
      <c r="H393" s="45" t="str">
        <f aca="false">IF($M393="","",INDEX(伝票元!$F$6:$F$511,$M393))</f>
        <v/>
      </c>
      <c r="I393" s="45" t="str">
        <f aca="false">IF($M393="","",INDEX(伝票元!$G$6:$G$511,$M393))</f>
        <v/>
      </c>
      <c r="J393" s="42" t="str">
        <f aca="false">IF($M393="","",INDEX(伝票元!$H$6:$H$511,$M393))</f>
        <v/>
      </c>
      <c r="K393" s="46" t="str">
        <f aca="false">IF(IF($M393="",0,INDEX(伝票元!$N$6:$N$511,$M393))=1,INDEX(伝票元!$R$6:$R$511,$M393),"")</f>
        <v/>
      </c>
      <c r="L393" s="47" t="str">
        <f aca="false">IF($M393="","",INDEX(伝票元!$S$6:$S$511,$M393))</f>
        <v/>
      </c>
      <c r="M393" s="47" t="str">
        <f aca="false">IFERROR(MATCH(387,伝票元!$O$6:$O$511,0),"")</f>
        <v/>
      </c>
    </row>
    <row r="394" customFormat="false" ht="15" hidden="false" customHeight="false" outlineLevel="0" collapsed="false">
      <c r="A394" s="10" t="str">
        <f aca="false">IF($M394="","",INDEX(伝票元!$P$6:$P$511,$M394))</f>
        <v/>
      </c>
      <c r="B394" s="45" t="str">
        <f aca="false">IF($M394="","",INDEX(伝票元!$D$6:$D$511,$M394))</f>
        <v/>
      </c>
      <c r="C394" s="10" t="str">
        <f aca="false">IF($M394="","",INDEX(伝票元!$E$6:$E$511,$M394))</f>
        <v/>
      </c>
      <c r="D394" s="45" t="str">
        <f aca="false">IF($M394="","",INDEX(伝票元!$A$6:$A$511,$M394))</f>
        <v/>
      </c>
      <c r="E394" s="10" t="str">
        <f aca="false">IF(IF($M394="",0,INDEX(伝票元!$N$6:$N$511,$M394))=1,INDEX(伝票元!$I$6:$I$511,$M394),"")</f>
        <v/>
      </c>
      <c r="F394" s="45" t="str">
        <f aca="false">IF(IF($M394="",0,INDEX(伝票元!$N$6:$N$511,$M394))=1,INDEX(伝票元!$J$6:$J$511,$M394),"")</f>
        <v/>
      </c>
      <c r="G394" s="42" t="str">
        <f aca="false">IF(IF($M394="",0,INDEX(伝票元!$N$6:$N$511,$M394))=1,INDEX(伝票元!$Q$6:$Q$511,$M394),"")</f>
        <v/>
      </c>
      <c r="H394" s="45" t="str">
        <f aca="false">IF($M394="","",INDEX(伝票元!$F$6:$F$511,$M394))</f>
        <v/>
      </c>
      <c r="I394" s="45" t="str">
        <f aca="false">IF($M394="","",INDEX(伝票元!$G$6:$G$511,$M394))</f>
        <v/>
      </c>
      <c r="J394" s="42" t="str">
        <f aca="false">IF($M394="","",INDEX(伝票元!$H$6:$H$511,$M394))</f>
        <v/>
      </c>
      <c r="K394" s="46" t="str">
        <f aca="false">IF(IF($M394="",0,INDEX(伝票元!$N$6:$N$511,$M394))=1,INDEX(伝票元!$R$6:$R$511,$M394),"")</f>
        <v/>
      </c>
      <c r="L394" s="47" t="str">
        <f aca="false">IF($M394="","",INDEX(伝票元!$S$6:$S$511,$M394))</f>
        <v/>
      </c>
      <c r="M394" s="47" t="str">
        <f aca="false">IFERROR(MATCH(388,伝票元!$O$6:$O$511,0),"")</f>
        <v/>
      </c>
    </row>
    <row r="395" customFormat="false" ht="15" hidden="false" customHeight="false" outlineLevel="0" collapsed="false">
      <c r="A395" s="10" t="str">
        <f aca="false">IF($M395="","",INDEX(伝票元!$P$6:$P$511,$M395))</f>
        <v/>
      </c>
      <c r="B395" s="45" t="str">
        <f aca="false">IF($M395="","",INDEX(伝票元!$D$6:$D$511,$M395))</f>
        <v/>
      </c>
      <c r="C395" s="10" t="str">
        <f aca="false">IF($M395="","",INDEX(伝票元!$E$6:$E$511,$M395))</f>
        <v/>
      </c>
      <c r="D395" s="45" t="str">
        <f aca="false">IF($M395="","",INDEX(伝票元!$A$6:$A$511,$M395))</f>
        <v/>
      </c>
      <c r="E395" s="10" t="str">
        <f aca="false">IF(IF($M395="",0,INDEX(伝票元!$N$6:$N$511,$M395))=1,INDEX(伝票元!$I$6:$I$511,$M395),"")</f>
        <v/>
      </c>
      <c r="F395" s="45" t="str">
        <f aca="false">IF(IF($M395="",0,INDEX(伝票元!$N$6:$N$511,$M395))=1,INDEX(伝票元!$J$6:$J$511,$M395),"")</f>
        <v/>
      </c>
      <c r="G395" s="42" t="str">
        <f aca="false">IF(IF($M395="",0,INDEX(伝票元!$N$6:$N$511,$M395))=1,INDEX(伝票元!$Q$6:$Q$511,$M395),"")</f>
        <v/>
      </c>
      <c r="H395" s="45" t="str">
        <f aca="false">IF($M395="","",INDEX(伝票元!$F$6:$F$511,$M395))</f>
        <v/>
      </c>
      <c r="I395" s="45" t="str">
        <f aca="false">IF($M395="","",INDEX(伝票元!$G$6:$G$511,$M395))</f>
        <v/>
      </c>
      <c r="J395" s="42" t="str">
        <f aca="false">IF($M395="","",INDEX(伝票元!$H$6:$H$511,$M395))</f>
        <v/>
      </c>
      <c r="K395" s="46" t="str">
        <f aca="false">IF(IF($M395="",0,INDEX(伝票元!$N$6:$N$511,$M395))=1,INDEX(伝票元!$R$6:$R$511,$M395),"")</f>
        <v/>
      </c>
      <c r="L395" s="47" t="str">
        <f aca="false">IF($M395="","",INDEX(伝票元!$S$6:$S$511,$M395))</f>
        <v/>
      </c>
      <c r="M395" s="47" t="str">
        <f aca="false">IFERROR(MATCH(389,伝票元!$O$6:$O$511,0),"")</f>
        <v/>
      </c>
    </row>
    <row r="396" customFormat="false" ht="15" hidden="false" customHeight="false" outlineLevel="0" collapsed="false">
      <c r="A396" s="10" t="str">
        <f aca="false">IF($M396="","",INDEX(伝票元!$P$6:$P$511,$M396))</f>
        <v/>
      </c>
      <c r="B396" s="45" t="str">
        <f aca="false">IF($M396="","",INDEX(伝票元!$D$6:$D$511,$M396))</f>
        <v/>
      </c>
      <c r="C396" s="10" t="str">
        <f aca="false">IF($M396="","",INDEX(伝票元!$E$6:$E$511,$M396))</f>
        <v/>
      </c>
      <c r="D396" s="45" t="str">
        <f aca="false">IF($M396="","",INDEX(伝票元!$A$6:$A$511,$M396))</f>
        <v/>
      </c>
      <c r="E396" s="10" t="str">
        <f aca="false">IF(IF($M396="",0,INDEX(伝票元!$N$6:$N$511,$M396))=1,INDEX(伝票元!$I$6:$I$511,$M396),"")</f>
        <v/>
      </c>
      <c r="F396" s="45" t="str">
        <f aca="false">IF(IF($M396="",0,INDEX(伝票元!$N$6:$N$511,$M396))=1,INDEX(伝票元!$J$6:$J$511,$M396),"")</f>
        <v/>
      </c>
      <c r="G396" s="42" t="str">
        <f aca="false">IF(IF($M396="",0,INDEX(伝票元!$N$6:$N$511,$M396))=1,INDEX(伝票元!$Q$6:$Q$511,$M396),"")</f>
        <v/>
      </c>
      <c r="H396" s="45" t="str">
        <f aca="false">IF($M396="","",INDEX(伝票元!$F$6:$F$511,$M396))</f>
        <v/>
      </c>
      <c r="I396" s="45" t="str">
        <f aca="false">IF($M396="","",INDEX(伝票元!$G$6:$G$511,$M396))</f>
        <v/>
      </c>
      <c r="J396" s="42" t="str">
        <f aca="false">IF($M396="","",INDEX(伝票元!$H$6:$H$511,$M396))</f>
        <v/>
      </c>
      <c r="K396" s="46" t="str">
        <f aca="false">IF(IF($M396="",0,INDEX(伝票元!$N$6:$N$511,$M396))=1,INDEX(伝票元!$R$6:$R$511,$M396),"")</f>
        <v/>
      </c>
      <c r="L396" s="47" t="str">
        <f aca="false">IF($M396="","",INDEX(伝票元!$S$6:$S$511,$M396))</f>
        <v/>
      </c>
      <c r="M396" s="47" t="str">
        <f aca="false">IFERROR(MATCH(390,伝票元!$O$6:$O$511,0),"")</f>
        <v/>
      </c>
    </row>
    <row r="397" customFormat="false" ht="15" hidden="false" customHeight="false" outlineLevel="0" collapsed="false">
      <c r="A397" s="10" t="str">
        <f aca="false">IF($M397="","",INDEX(伝票元!$P$6:$P$511,$M397))</f>
        <v/>
      </c>
      <c r="B397" s="45" t="str">
        <f aca="false">IF($M397="","",INDEX(伝票元!$D$6:$D$511,$M397))</f>
        <v/>
      </c>
      <c r="C397" s="10" t="str">
        <f aca="false">IF($M397="","",INDEX(伝票元!$E$6:$E$511,$M397))</f>
        <v/>
      </c>
      <c r="D397" s="45" t="str">
        <f aca="false">IF($M397="","",INDEX(伝票元!$A$6:$A$511,$M397))</f>
        <v/>
      </c>
      <c r="E397" s="10" t="str">
        <f aca="false">IF(IF($M397="",0,INDEX(伝票元!$N$6:$N$511,$M397))=1,INDEX(伝票元!$I$6:$I$511,$M397),"")</f>
        <v/>
      </c>
      <c r="F397" s="45" t="str">
        <f aca="false">IF(IF($M397="",0,INDEX(伝票元!$N$6:$N$511,$M397))=1,INDEX(伝票元!$J$6:$J$511,$M397),"")</f>
        <v/>
      </c>
      <c r="G397" s="42" t="str">
        <f aca="false">IF(IF($M397="",0,INDEX(伝票元!$N$6:$N$511,$M397))=1,INDEX(伝票元!$Q$6:$Q$511,$M397),"")</f>
        <v/>
      </c>
      <c r="H397" s="45" t="str">
        <f aca="false">IF($M397="","",INDEX(伝票元!$F$6:$F$511,$M397))</f>
        <v/>
      </c>
      <c r="I397" s="45" t="str">
        <f aca="false">IF($M397="","",INDEX(伝票元!$G$6:$G$511,$M397))</f>
        <v/>
      </c>
      <c r="J397" s="42" t="str">
        <f aca="false">IF($M397="","",INDEX(伝票元!$H$6:$H$511,$M397))</f>
        <v/>
      </c>
      <c r="K397" s="46" t="str">
        <f aca="false">IF(IF($M397="",0,INDEX(伝票元!$N$6:$N$511,$M397))=1,INDEX(伝票元!$R$6:$R$511,$M397),"")</f>
        <v/>
      </c>
      <c r="L397" s="47" t="str">
        <f aca="false">IF($M397="","",INDEX(伝票元!$S$6:$S$511,$M397))</f>
        <v/>
      </c>
      <c r="M397" s="47" t="str">
        <f aca="false">IFERROR(MATCH(391,伝票元!$O$6:$O$511,0),"")</f>
        <v/>
      </c>
    </row>
    <row r="398" customFormat="false" ht="15" hidden="false" customHeight="false" outlineLevel="0" collapsed="false">
      <c r="A398" s="10" t="str">
        <f aca="false">IF($M398="","",INDEX(伝票元!$P$6:$P$511,$M398))</f>
        <v/>
      </c>
      <c r="B398" s="45" t="str">
        <f aca="false">IF($M398="","",INDEX(伝票元!$D$6:$D$511,$M398))</f>
        <v/>
      </c>
      <c r="C398" s="10" t="str">
        <f aca="false">IF($M398="","",INDEX(伝票元!$E$6:$E$511,$M398))</f>
        <v/>
      </c>
      <c r="D398" s="45" t="str">
        <f aca="false">IF($M398="","",INDEX(伝票元!$A$6:$A$511,$M398))</f>
        <v/>
      </c>
      <c r="E398" s="10" t="str">
        <f aca="false">IF(IF($M398="",0,INDEX(伝票元!$N$6:$N$511,$M398))=1,INDEX(伝票元!$I$6:$I$511,$M398),"")</f>
        <v/>
      </c>
      <c r="F398" s="45" t="str">
        <f aca="false">IF(IF($M398="",0,INDEX(伝票元!$N$6:$N$511,$M398))=1,INDEX(伝票元!$J$6:$J$511,$M398),"")</f>
        <v/>
      </c>
      <c r="G398" s="42" t="str">
        <f aca="false">IF(IF($M398="",0,INDEX(伝票元!$N$6:$N$511,$M398))=1,INDEX(伝票元!$Q$6:$Q$511,$M398),"")</f>
        <v/>
      </c>
      <c r="H398" s="45" t="str">
        <f aca="false">IF($M398="","",INDEX(伝票元!$F$6:$F$511,$M398))</f>
        <v/>
      </c>
      <c r="I398" s="45" t="str">
        <f aca="false">IF($M398="","",INDEX(伝票元!$G$6:$G$511,$M398))</f>
        <v/>
      </c>
      <c r="J398" s="42" t="str">
        <f aca="false">IF($M398="","",INDEX(伝票元!$H$6:$H$511,$M398))</f>
        <v/>
      </c>
      <c r="K398" s="46" t="str">
        <f aca="false">IF(IF($M398="",0,INDEX(伝票元!$N$6:$N$511,$M398))=1,INDEX(伝票元!$R$6:$R$511,$M398),"")</f>
        <v/>
      </c>
      <c r="L398" s="47" t="str">
        <f aca="false">IF($M398="","",INDEX(伝票元!$S$6:$S$511,$M398))</f>
        <v/>
      </c>
      <c r="M398" s="47" t="str">
        <f aca="false">IFERROR(MATCH(392,伝票元!$O$6:$O$511,0),"")</f>
        <v/>
      </c>
    </row>
    <row r="399" customFormat="false" ht="15" hidden="false" customHeight="false" outlineLevel="0" collapsed="false">
      <c r="A399" s="10" t="str">
        <f aca="false">IF($M399="","",INDEX(伝票元!$P$6:$P$511,$M399))</f>
        <v/>
      </c>
      <c r="B399" s="45" t="str">
        <f aca="false">IF($M399="","",INDEX(伝票元!$D$6:$D$511,$M399))</f>
        <v/>
      </c>
      <c r="C399" s="10" t="str">
        <f aca="false">IF($M399="","",INDEX(伝票元!$E$6:$E$511,$M399))</f>
        <v/>
      </c>
      <c r="D399" s="45" t="str">
        <f aca="false">IF($M399="","",INDEX(伝票元!$A$6:$A$511,$M399))</f>
        <v/>
      </c>
      <c r="E399" s="10" t="str">
        <f aca="false">IF(IF($M399="",0,INDEX(伝票元!$N$6:$N$511,$M399))=1,INDEX(伝票元!$I$6:$I$511,$M399),"")</f>
        <v/>
      </c>
      <c r="F399" s="45" t="str">
        <f aca="false">IF(IF($M399="",0,INDEX(伝票元!$N$6:$N$511,$M399))=1,INDEX(伝票元!$J$6:$J$511,$M399),"")</f>
        <v/>
      </c>
      <c r="G399" s="42" t="str">
        <f aca="false">IF(IF($M399="",0,INDEX(伝票元!$N$6:$N$511,$M399))=1,INDEX(伝票元!$Q$6:$Q$511,$M399),"")</f>
        <v/>
      </c>
      <c r="H399" s="45" t="str">
        <f aca="false">IF($M399="","",INDEX(伝票元!$F$6:$F$511,$M399))</f>
        <v/>
      </c>
      <c r="I399" s="45" t="str">
        <f aca="false">IF($M399="","",INDEX(伝票元!$G$6:$G$511,$M399))</f>
        <v/>
      </c>
      <c r="J399" s="42" t="str">
        <f aca="false">IF($M399="","",INDEX(伝票元!$H$6:$H$511,$M399))</f>
        <v/>
      </c>
      <c r="K399" s="46" t="str">
        <f aca="false">IF(IF($M399="",0,INDEX(伝票元!$N$6:$N$511,$M399))=1,INDEX(伝票元!$R$6:$R$511,$M399),"")</f>
        <v/>
      </c>
      <c r="L399" s="47" t="str">
        <f aca="false">IF($M399="","",INDEX(伝票元!$S$6:$S$511,$M399))</f>
        <v/>
      </c>
      <c r="M399" s="47" t="str">
        <f aca="false">IFERROR(MATCH(393,伝票元!$O$6:$O$511,0),"")</f>
        <v/>
      </c>
    </row>
    <row r="400" customFormat="false" ht="15" hidden="false" customHeight="false" outlineLevel="0" collapsed="false">
      <c r="A400" s="10" t="str">
        <f aca="false">IF($M400="","",INDEX(伝票元!$P$6:$P$511,$M400))</f>
        <v/>
      </c>
      <c r="B400" s="45" t="str">
        <f aca="false">IF($M400="","",INDEX(伝票元!$D$6:$D$511,$M400))</f>
        <v/>
      </c>
      <c r="C400" s="10" t="str">
        <f aca="false">IF($M400="","",INDEX(伝票元!$E$6:$E$511,$M400))</f>
        <v/>
      </c>
      <c r="D400" s="45" t="str">
        <f aca="false">IF($M400="","",INDEX(伝票元!$A$6:$A$511,$M400))</f>
        <v/>
      </c>
      <c r="E400" s="10" t="str">
        <f aca="false">IF(IF($M400="",0,INDEX(伝票元!$N$6:$N$511,$M400))=1,INDEX(伝票元!$I$6:$I$511,$M400),"")</f>
        <v/>
      </c>
      <c r="F400" s="45" t="str">
        <f aca="false">IF(IF($M400="",0,INDEX(伝票元!$N$6:$N$511,$M400))=1,INDEX(伝票元!$J$6:$J$511,$M400),"")</f>
        <v/>
      </c>
      <c r="G400" s="42" t="str">
        <f aca="false">IF(IF($M400="",0,INDEX(伝票元!$N$6:$N$511,$M400))=1,INDEX(伝票元!$Q$6:$Q$511,$M400),"")</f>
        <v/>
      </c>
      <c r="H400" s="45" t="str">
        <f aca="false">IF($M400="","",INDEX(伝票元!$F$6:$F$511,$M400))</f>
        <v/>
      </c>
      <c r="I400" s="45" t="str">
        <f aca="false">IF($M400="","",INDEX(伝票元!$G$6:$G$511,$M400))</f>
        <v/>
      </c>
      <c r="J400" s="42" t="str">
        <f aca="false">IF($M400="","",INDEX(伝票元!$H$6:$H$511,$M400))</f>
        <v/>
      </c>
      <c r="K400" s="46" t="str">
        <f aca="false">IF(IF($M400="",0,INDEX(伝票元!$N$6:$N$511,$M400))=1,INDEX(伝票元!$R$6:$R$511,$M400),"")</f>
        <v/>
      </c>
      <c r="L400" s="47" t="str">
        <f aca="false">IF($M400="","",INDEX(伝票元!$S$6:$S$511,$M400))</f>
        <v/>
      </c>
      <c r="M400" s="47" t="str">
        <f aca="false">IFERROR(MATCH(394,伝票元!$O$6:$O$511,0),"")</f>
        <v/>
      </c>
    </row>
    <row r="401" customFormat="false" ht="15" hidden="false" customHeight="false" outlineLevel="0" collapsed="false">
      <c r="A401" s="10" t="str">
        <f aca="false">IF($M401="","",INDEX(伝票元!$P$6:$P$511,$M401))</f>
        <v/>
      </c>
      <c r="B401" s="45" t="str">
        <f aca="false">IF($M401="","",INDEX(伝票元!$D$6:$D$511,$M401))</f>
        <v/>
      </c>
      <c r="C401" s="10" t="str">
        <f aca="false">IF($M401="","",INDEX(伝票元!$E$6:$E$511,$M401))</f>
        <v/>
      </c>
      <c r="D401" s="45" t="str">
        <f aca="false">IF($M401="","",INDEX(伝票元!$A$6:$A$511,$M401))</f>
        <v/>
      </c>
      <c r="E401" s="10" t="str">
        <f aca="false">IF(IF($M401="",0,INDEX(伝票元!$N$6:$N$511,$M401))=1,INDEX(伝票元!$I$6:$I$511,$M401),"")</f>
        <v/>
      </c>
      <c r="F401" s="45" t="str">
        <f aca="false">IF(IF($M401="",0,INDEX(伝票元!$N$6:$N$511,$M401))=1,INDEX(伝票元!$J$6:$J$511,$M401),"")</f>
        <v/>
      </c>
      <c r="G401" s="42" t="str">
        <f aca="false">IF(IF($M401="",0,INDEX(伝票元!$N$6:$N$511,$M401))=1,INDEX(伝票元!$Q$6:$Q$511,$M401),"")</f>
        <v/>
      </c>
      <c r="H401" s="45" t="str">
        <f aca="false">IF($M401="","",INDEX(伝票元!$F$6:$F$511,$M401))</f>
        <v/>
      </c>
      <c r="I401" s="45" t="str">
        <f aca="false">IF($M401="","",INDEX(伝票元!$G$6:$G$511,$M401))</f>
        <v/>
      </c>
      <c r="J401" s="42" t="str">
        <f aca="false">IF($M401="","",INDEX(伝票元!$H$6:$H$511,$M401))</f>
        <v/>
      </c>
      <c r="K401" s="46" t="str">
        <f aca="false">IF(IF($M401="",0,INDEX(伝票元!$N$6:$N$511,$M401))=1,INDEX(伝票元!$R$6:$R$511,$M401),"")</f>
        <v/>
      </c>
      <c r="L401" s="47" t="str">
        <f aca="false">IF($M401="","",INDEX(伝票元!$S$6:$S$511,$M401))</f>
        <v/>
      </c>
      <c r="M401" s="47" t="str">
        <f aca="false">IFERROR(MATCH(395,伝票元!$O$6:$O$511,0),"")</f>
        <v/>
      </c>
    </row>
    <row r="402" customFormat="false" ht="15" hidden="false" customHeight="false" outlineLevel="0" collapsed="false">
      <c r="A402" s="10" t="str">
        <f aca="false">IF($M402="","",INDEX(伝票元!$P$6:$P$511,$M402))</f>
        <v/>
      </c>
      <c r="B402" s="45" t="str">
        <f aca="false">IF($M402="","",INDEX(伝票元!$D$6:$D$511,$M402))</f>
        <v/>
      </c>
      <c r="C402" s="10" t="str">
        <f aca="false">IF($M402="","",INDEX(伝票元!$E$6:$E$511,$M402))</f>
        <v/>
      </c>
      <c r="D402" s="45" t="str">
        <f aca="false">IF($M402="","",INDEX(伝票元!$A$6:$A$511,$M402))</f>
        <v/>
      </c>
      <c r="E402" s="10" t="str">
        <f aca="false">IF(IF($M402="",0,INDEX(伝票元!$N$6:$N$511,$M402))=1,INDEX(伝票元!$I$6:$I$511,$M402),"")</f>
        <v/>
      </c>
      <c r="F402" s="45" t="str">
        <f aca="false">IF(IF($M402="",0,INDEX(伝票元!$N$6:$N$511,$M402))=1,INDEX(伝票元!$J$6:$J$511,$M402),"")</f>
        <v/>
      </c>
      <c r="G402" s="42" t="str">
        <f aca="false">IF(IF($M402="",0,INDEX(伝票元!$N$6:$N$511,$M402))=1,INDEX(伝票元!$Q$6:$Q$511,$M402),"")</f>
        <v/>
      </c>
      <c r="H402" s="45" t="str">
        <f aca="false">IF($M402="","",INDEX(伝票元!$F$6:$F$511,$M402))</f>
        <v/>
      </c>
      <c r="I402" s="45" t="str">
        <f aca="false">IF($M402="","",INDEX(伝票元!$G$6:$G$511,$M402))</f>
        <v/>
      </c>
      <c r="J402" s="42" t="str">
        <f aca="false">IF($M402="","",INDEX(伝票元!$H$6:$H$511,$M402))</f>
        <v/>
      </c>
      <c r="K402" s="46" t="str">
        <f aca="false">IF(IF($M402="",0,INDEX(伝票元!$N$6:$N$511,$M402))=1,INDEX(伝票元!$R$6:$R$511,$M402),"")</f>
        <v/>
      </c>
      <c r="L402" s="47" t="str">
        <f aca="false">IF($M402="","",INDEX(伝票元!$S$6:$S$511,$M402))</f>
        <v/>
      </c>
      <c r="M402" s="47" t="str">
        <f aca="false">IFERROR(MATCH(396,伝票元!$O$6:$O$511,0),"")</f>
        <v/>
      </c>
    </row>
    <row r="403" customFormat="false" ht="15" hidden="false" customHeight="false" outlineLevel="0" collapsed="false">
      <c r="A403" s="10" t="str">
        <f aca="false">IF($M403="","",INDEX(伝票元!$P$6:$P$511,$M403))</f>
        <v/>
      </c>
      <c r="B403" s="45" t="str">
        <f aca="false">IF($M403="","",INDEX(伝票元!$D$6:$D$511,$M403))</f>
        <v/>
      </c>
      <c r="C403" s="10" t="str">
        <f aca="false">IF($M403="","",INDEX(伝票元!$E$6:$E$511,$M403))</f>
        <v/>
      </c>
      <c r="D403" s="45" t="str">
        <f aca="false">IF($M403="","",INDEX(伝票元!$A$6:$A$511,$M403))</f>
        <v/>
      </c>
      <c r="E403" s="10" t="str">
        <f aca="false">IF(IF($M403="",0,INDEX(伝票元!$N$6:$N$511,$M403))=1,INDEX(伝票元!$I$6:$I$511,$M403),"")</f>
        <v/>
      </c>
      <c r="F403" s="45" t="str">
        <f aca="false">IF(IF($M403="",0,INDEX(伝票元!$N$6:$N$511,$M403))=1,INDEX(伝票元!$J$6:$J$511,$M403),"")</f>
        <v/>
      </c>
      <c r="G403" s="42" t="str">
        <f aca="false">IF(IF($M403="",0,INDEX(伝票元!$N$6:$N$511,$M403))=1,INDEX(伝票元!$Q$6:$Q$511,$M403),"")</f>
        <v/>
      </c>
      <c r="H403" s="45" t="str">
        <f aca="false">IF($M403="","",INDEX(伝票元!$F$6:$F$511,$M403))</f>
        <v/>
      </c>
      <c r="I403" s="45" t="str">
        <f aca="false">IF($M403="","",INDEX(伝票元!$G$6:$G$511,$M403))</f>
        <v/>
      </c>
      <c r="J403" s="42" t="str">
        <f aca="false">IF($M403="","",INDEX(伝票元!$H$6:$H$511,$M403))</f>
        <v/>
      </c>
      <c r="K403" s="46" t="str">
        <f aca="false">IF(IF($M403="",0,INDEX(伝票元!$N$6:$N$511,$M403))=1,INDEX(伝票元!$R$6:$R$511,$M403),"")</f>
        <v/>
      </c>
      <c r="L403" s="47" t="str">
        <f aca="false">IF($M403="","",INDEX(伝票元!$S$6:$S$511,$M403))</f>
        <v/>
      </c>
      <c r="M403" s="47" t="str">
        <f aca="false">IFERROR(MATCH(397,伝票元!$O$6:$O$511,0),"")</f>
        <v/>
      </c>
    </row>
    <row r="404" customFormat="false" ht="15" hidden="false" customHeight="false" outlineLevel="0" collapsed="false">
      <c r="A404" s="10" t="str">
        <f aca="false">IF($M404="","",INDEX(伝票元!$P$6:$P$511,$M404))</f>
        <v/>
      </c>
      <c r="B404" s="45" t="str">
        <f aca="false">IF($M404="","",INDEX(伝票元!$D$6:$D$511,$M404))</f>
        <v/>
      </c>
      <c r="C404" s="10" t="str">
        <f aca="false">IF($M404="","",INDEX(伝票元!$E$6:$E$511,$M404))</f>
        <v/>
      </c>
      <c r="D404" s="45" t="str">
        <f aca="false">IF($M404="","",INDEX(伝票元!$A$6:$A$511,$M404))</f>
        <v/>
      </c>
      <c r="E404" s="10" t="str">
        <f aca="false">IF(IF($M404="",0,INDEX(伝票元!$N$6:$N$511,$M404))=1,INDEX(伝票元!$I$6:$I$511,$M404),"")</f>
        <v/>
      </c>
      <c r="F404" s="45" t="str">
        <f aca="false">IF(IF($M404="",0,INDEX(伝票元!$N$6:$N$511,$M404))=1,INDEX(伝票元!$J$6:$J$511,$M404),"")</f>
        <v/>
      </c>
      <c r="G404" s="42" t="str">
        <f aca="false">IF(IF($M404="",0,INDEX(伝票元!$N$6:$N$511,$M404))=1,INDEX(伝票元!$Q$6:$Q$511,$M404),"")</f>
        <v/>
      </c>
      <c r="H404" s="45" t="str">
        <f aca="false">IF($M404="","",INDEX(伝票元!$F$6:$F$511,$M404))</f>
        <v/>
      </c>
      <c r="I404" s="45" t="str">
        <f aca="false">IF($M404="","",INDEX(伝票元!$G$6:$G$511,$M404))</f>
        <v/>
      </c>
      <c r="J404" s="42" t="str">
        <f aca="false">IF($M404="","",INDEX(伝票元!$H$6:$H$511,$M404))</f>
        <v/>
      </c>
      <c r="K404" s="46" t="str">
        <f aca="false">IF(IF($M404="",0,INDEX(伝票元!$N$6:$N$511,$M404))=1,INDEX(伝票元!$R$6:$R$511,$M404),"")</f>
        <v/>
      </c>
      <c r="L404" s="47" t="str">
        <f aca="false">IF($M404="","",INDEX(伝票元!$S$6:$S$511,$M404))</f>
        <v/>
      </c>
      <c r="M404" s="47" t="str">
        <f aca="false">IFERROR(MATCH(398,伝票元!$O$6:$O$511,0),"")</f>
        <v/>
      </c>
    </row>
    <row r="405" customFormat="false" ht="15" hidden="false" customHeight="false" outlineLevel="0" collapsed="false">
      <c r="A405" s="10" t="str">
        <f aca="false">IF($M405="","",INDEX(伝票元!$P$6:$P$511,$M405))</f>
        <v/>
      </c>
      <c r="B405" s="45" t="str">
        <f aca="false">IF($M405="","",INDEX(伝票元!$D$6:$D$511,$M405))</f>
        <v/>
      </c>
      <c r="C405" s="10" t="str">
        <f aca="false">IF($M405="","",INDEX(伝票元!$E$6:$E$511,$M405))</f>
        <v/>
      </c>
      <c r="D405" s="45" t="str">
        <f aca="false">IF($M405="","",INDEX(伝票元!$A$6:$A$511,$M405))</f>
        <v/>
      </c>
      <c r="E405" s="10" t="str">
        <f aca="false">IF(IF($M405="",0,INDEX(伝票元!$N$6:$N$511,$M405))=1,INDEX(伝票元!$I$6:$I$511,$M405),"")</f>
        <v/>
      </c>
      <c r="F405" s="45" t="str">
        <f aca="false">IF(IF($M405="",0,INDEX(伝票元!$N$6:$N$511,$M405))=1,INDEX(伝票元!$J$6:$J$511,$M405),"")</f>
        <v/>
      </c>
      <c r="G405" s="42" t="str">
        <f aca="false">IF(IF($M405="",0,INDEX(伝票元!$N$6:$N$511,$M405))=1,INDEX(伝票元!$Q$6:$Q$511,$M405),"")</f>
        <v/>
      </c>
      <c r="H405" s="45" t="str">
        <f aca="false">IF($M405="","",INDEX(伝票元!$F$6:$F$511,$M405))</f>
        <v/>
      </c>
      <c r="I405" s="45" t="str">
        <f aca="false">IF($M405="","",INDEX(伝票元!$G$6:$G$511,$M405))</f>
        <v/>
      </c>
      <c r="J405" s="42" t="str">
        <f aca="false">IF($M405="","",INDEX(伝票元!$H$6:$H$511,$M405))</f>
        <v/>
      </c>
      <c r="K405" s="46" t="str">
        <f aca="false">IF(IF($M405="",0,INDEX(伝票元!$N$6:$N$511,$M405))=1,INDEX(伝票元!$R$6:$R$511,$M405),"")</f>
        <v/>
      </c>
      <c r="L405" s="47" t="str">
        <f aca="false">IF($M405="","",INDEX(伝票元!$S$6:$S$511,$M405))</f>
        <v/>
      </c>
      <c r="M405" s="47" t="str">
        <f aca="false">IFERROR(MATCH(399,伝票元!$O$6:$O$511,0),"")</f>
        <v/>
      </c>
    </row>
    <row r="406" customFormat="false" ht="15" hidden="false" customHeight="false" outlineLevel="0" collapsed="false">
      <c r="A406" s="10" t="str">
        <f aca="false">IF($M406="","",INDEX(伝票元!$P$6:$P$511,$M406))</f>
        <v/>
      </c>
      <c r="B406" s="45" t="str">
        <f aca="false">IF($M406="","",INDEX(伝票元!$D$6:$D$511,$M406))</f>
        <v/>
      </c>
      <c r="C406" s="10" t="str">
        <f aca="false">IF($M406="","",INDEX(伝票元!$E$6:$E$511,$M406))</f>
        <v/>
      </c>
      <c r="D406" s="45" t="str">
        <f aca="false">IF($M406="","",INDEX(伝票元!$A$6:$A$511,$M406))</f>
        <v/>
      </c>
      <c r="E406" s="10" t="str">
        <f aca="false">IF(IF($M406="",0,INDEX(伝票元!$N$6:$N$511,$M406))=1,INDEX(伝票元!$I$6:$I$511,$M406),"")</f>
        <v/>
      </c>
      <c r="F406" s="45" t="str">
        <f aca="false">IF(IF($M406="",0,INDEX(伝票元!$N$6:$N$511,$M406))=1,INDEX(伝票元!$J$6:$J$511,$M406),"")</f>
        <v/>
      </c>
      <c r="G406" s="42" t="str">
        <f aca="false">IF(IF($M406="",0,INDEX(伝票元!$N$6:$N$511,$M406))=1,INDEX(伝票元!$Q$6:$Q$511,$M406),"")</f>
        <v/>
      </c>
      <c r="H406" s="45" t="str">
        <f aca="false">IF($M406="","",INDEX(伝票元!$F$6:$F$511,$M406))</f>
        <v/>
      </c>
      <c r="I406" s="45" t="str">
        <f aca="false">IF($M406="","",INDEX(伝票元!$G$6:$G$511,$M406))</f>
        <v/>
      </c>
      <c r="J406" s="42" t="str">
        <f aca="false">IF($M406="","",INDEX(伝票元!$H$6:$H$511,$M406))</f>
        <v/>
      </c>
      <c r="K406" s="46" t="str">
        <f aca="false">IF(IF($M406="",0,INDEX(伝票元!$N$6:$N$511,$M406))=1,INDEX(伝票元!$R$6:$R$511,$M406),"")</f>
        <v/>
      </c>
      <c r="L406" s="47" t="str">
        <f aca="false">IF($M406="","",INDEX(伝票元!$S$6:$S$511,$M406))</f>
        <v/>
      </c>
      <c r="M406" s="47" t="str">
        <f aca="false">IFERROR(MATCH(400,伝票元!$O$6:$O$511,0),"")</f>
        <v/>
      </c>
    </row>
    <row r="407" customFormat="false" ht="15" hidden="false" customHeight="false" outlineLevel="0" collapsed="false">
      <c r="A407" s="10" t="str">
        <f aca="false">IF($M407="","",INDEX(伝票元!$P$6:$P$511,$M407))</f>
        <v/>
      </c>
      <c r="B407" s="45" t="str">
        <f aca="false">IF($M407="","",INDEX(伝票元!$D$6:$D$511,$M407))</f>
        <v/>
      </c>
      <c r="C407" s="10" t="str">
        <f aca="false">IF($M407="","",INDEX(伝票元!$E$6:$E$511,$M407))</f>
        <v/>
      </c>
      <c r="D407" s="45" t="str">
        <f aca="false">IF($M407="","",INDEX(伝票元!$A$6:$A$511,$M407))</f>
        <v/>
      </c>
      <c r="E407" s="10" t="str">
        <f aca="false">IF(IF($M407="",0,INDEX(伝票元!$N$6:$N$511,$M407))=1,INDEX(伝票元!$I$6:$I$511,$M407),"")</f>
        <v/>
      </c>
      <c r="F407" s="45" t="str">
        <f aca="false">IF(IF($M407="",0,INDEX(伝票元!$N$6:$N$511,$M407))=1,INDEX(伝票元!$J$6:$J$511,$M407),"")</f>
        <v/>
      </c>
      <c r="G407" s="42" t="str">
        <f aca="false">IF(IF($M407="",0,INDEX(伝票元!$N$6:$N$511,$M407))=1,INDEX(伝票元!$Q$6:$Q$511,$M407),"")</f>
        <v/>
      </c>
      <c r="H407" s="45" t="str">
        <f aca="false">IF($M407="","",INDEX(伝票元!$F$6:$F$511,$M407))</f>
        <v/>
      </c>
      <c r="I407" s="45" t="str">
        <f aca="false">IF($M407="","",INDEX(伝票元!$G$6:$G$511,$M407))</f>
        <v/>
      </c>
      <c r="J407" s="42" t="str">
        <f aca="false">IF($M407="","",INDEX(伝票元!$H$6:$H$511,$M407))</f>
        <v/>
      </c>
      <c r="K407" s="46" t="str">
        <f aca="false">IF(IF($M407="",0,INDEX(伝票元!$N$6:$N$511,$M407))=1,INDEX(伝票元!$R$6:$R$511,$M407),"")</f>
        <v/>
      </c>
      <c r="L407" s="47" t="str">
        <f aca="false">IF($M407="","",INDEX(伝票元!$S$6:$S$511,$M407))</f>
        <v/>
      </c>
      <c r="M407" s="47" t="str">
        <f aca="false">IFERROR(MATCH(401,伝票元!$O$6:$O$511,0),"")</f>
        <v/>
      </c>
    </row>
    <row r="408" customFormat="false" ht="15" hidden="false" customHeight="false" outlineLevel="0" collapsed="false">
      <c r="A408" s="10" t="str">
        <f aca="false">IF($M408="","",INDEX(伝票元!$P$6:$P$511,$M408))</f>
        <v/>
      </c>
      <c r="B408" s="45" t="str">
        <f aca="false">IF($M408="","",INDEX(伝票元!$D$6:$D$511,$M408))</f>
        <v/>
      </c>
      <c r="C408" s="10" t="str">
        <f aca="false">IF($M408="","",INDEX(伝票元!$E$6:$E$511,$M408))</f>
        <v/>
      </c>
      <c r="D408" s="45" t="str">
        <f aca="false">IF($M408="","",INDEX(伝票元!$A$6:$A$511,$M408))</f>
        <v/>
      </c>
      <c r="E408" s="10" t="str">
        <f aca="false">IF(IF($M408="",0,INDEX(伝票元!$N$6:$N$511,$M408))=1,INDEX(伝票元!$I$6:$I$511,$M408),"")</f>
        <v/>
      </c>
      <c r="F408" s="45" t="str">
        <f aca="false">IF(IF($M408="",0,INDEX(伝票元!$N$6:$N$511,$M408))=1,INDEX(伝票元!$J$6:$J$511,$M408),"")</f>
        <v/>
      </c>
      <c r="G408" s="42" t="str">
        <f aca="false">IF(IF($M408="",0,INDEX(伝票元!$N$6:$N$511,$M408))=1,INDEX(伝票元!$Q$6:$Q$511,$M408),"")</f>
        <v/>
      </c>
      <c r="H408" s="45" t="str">
        <f aca="false">IF($M408="","",INDEX(伝票元!$F$6:$F$511,$M408))</f>
        <v/>
      </c>
      <c r="I408" s="45" t="str">
        <f aca="false">IF($M408="","",INDEX(伝票元!$G$6:$G$511,$M408))</f>
        <v/>
      </c>
      <c r="J408" s="42" t="str">
        <f aca="false">IF($M408="","",INDEX(伝票元!$H$6:$H$511,$M408))</f>
        <v/>
      </c>
      <c r="K408" s="46" t="str">
        <f aca="false">IF(IF($M408="",0,INDEX(伝票元!$N$6:$N$511,$M408))=1,INDEX(伝票元!$R$6:$R$511,$M408),"")</f>
        <v/>
      </c>
      <c r="L408" s="47" t="str">
        <f aca="false">IF($M408="","",INDEX(伝票元!$S$6:$S$511,$M408))</f>
        <v/>
      </c>
      <c r="M408" s="47" t="str">
        <f aca="false">IFERROR(MATCH(402,伝票元!$O$6:$O$511,0),"")</f>
        <v/>
      </c>
    </row>
    <row r="409" customFormat="false" ht="15" hidden="false" customHeight="false" outlineLevel="0" collapsed="false">
      <c r="A409" s="10" t="str">
        <f aca="false">IF($M409="","",INDEX(伝票元!$P$6:$P$511,$M409))</f>
        <v/>
      </c>
      <c r="B409" s="45" t="str">
        <f aca="false">IF($M409="","",INDEX(伝票元!$D$6:$D$511,$M409))</f>
        <v/>
      </c>
      <c r="C409" s="10" t="str">
        <f aca="false">IF($M409="","",INDEX(伝票元!$E$6:$E$511,$M409))</f>
        <v/>
      </c>
      <c r="D409" s="45" t="str">
        <f aca="false">IF($M409="","",INDEX(伝票元!$A$6:$A$511,$M409))</f>
        <v/>
      </c>
      <c r="E409" s="10" t="str">
        <f aca="false">IF(IF($M409="",0,INDEX(伝票元!$N$6:$N$511,$M409))=1,INDEX(伝票元!$I$6:$I$511,$M409),"")</f>
        <v/>
      </c>
      <c r="F409" s="45" t="str">
        <f aca="false">IF(IF($M409="",0,INDEX(伝票元!$N$6:$N$511,$M409))=1,INDEX(伝票元!$J$6:$J$511,$M409),"")</f>
        <v/>
      </c>
      <c r="G409" s="42" t="str">
        <f aca="false">IF(IF($M409="",0,INDEX(伝票元!$N$6:$N$511,$M409))=1,INDEX(伝票元!$Q$6:$Q$511,$M409),"")</f>
        <v/>
      </c>
      <c r="H409" s="45" t="str">
        <f aca="false">IF($M409="","",INDEX(伝票元!$F$6:$F$511,$M409))</f>
        <v/>
      </c>
      <c r="I409" s="45" t="str">
        <f aca="false">IF($M409="","",INDEX(伝票元!$G$6:$G$511,$M409))</f>
        <v/>
      </c>
      <c r="J409" s="42" t="str">
        <f aca="false">IF($M409="","",INDEX(伝票元!$H$6:$H$511,$M409))</f>
        <v/>
      </c>
      <c r="K409" s="46" t="str">
        <f aca="false">IF(IF($M409="",0,INDEX(伝票元!$N$6:$N$511,$M409))=1,INDEX(伝票元!$R$6:$R$511,$M409),"")</f>
        <v/>
      </c>
      <c r="L409" s="47" t="str">
        <f aca="false">IF($M409="","",INDEX(伝票元!$S$6:$S$511,$M409))</f>
        <v/>
      </c>
      <c r="M409" s="47" t="str">
        <f aca="false">IFERROR(MATCH(403,伝票元!$O$6:$O$511,0),"")</f>
        <v/>
      </c>
    </row>
    <row r="410" customFormat="false" ht="15" hidden="false" customHeight="false" outlineLevel="0" collapsed="false">
      <c r="A410" s="10" t="str">
        <f aca="false">IF($M410="","",INDEX(伝票元!$P$6:$P$511,$M410))</f>
        <v/>
      </c>
      <c r="B410" s="45" t="str">
        <f aca="false">IF($M410="","",INDEX(伝票元!$D$6:$D$511,$M410))</f>
        <v/>
      </c>
      <c r="C410" s="10" t="str">
        <f aca="false">IF($M410="","",INDEX(伝票元!$E$6:$E$511,$M410))</f>
        <v/>
      </c>
      <c r="D410" s="45" t="str">
        <f aca="false">IF($M410="","",INDEX(伝票元!$A$6:$A$511,$M410))</f>
        <v/>
      </c>
      <c r="E410" s="10" t="str">
        <f aca="false">IF(IF($M410="",0,INDEX(伝票元!$N$6:$N$511,$M410))=1,INDEX(伝票元!$I$6:$I$511,$M410),"")</f>
        <v/>
      </c>
      <c r="F410" s="45" t="str">
        <f aca="false">IF(IF($M410="",0,INDEX(伝票元!$N$6:$N$511,$M410))=1,INDEX(伝票元!$J$6:$J$511,$M410),"")</f>
        <v/>
      </c>
      <c r="G410" s="42" t="str">
        <f aca="false">IF(IF($M410="",0,INDEX(伝票元!$N$6:$N$511,$M410))=1,INDEX(伝票元!$Q$6:$Q$511,$M410),"")</f>
        <v/>
      </c>
      <c r="H410" s="45" t="str">
        <f aca="false">IF($M410="","",INDEX(伝票元!$F$6:$F$511,$M410))</f>
        <v/>
      </c>
      <c r="I410" s="45" t="str">
        <f aca="false">IF($M410="","",INDEX(伝票元!$G$6:$G$511,$M410))</f>
        <v/>
      </c>
      <c r="J410" s="42" t="str">
        <f aca="false">IF($M410="","",INDEX(伝票元!$H$6:$H$511,$M410))</f>
        <v/>
      </c>
      <c r="K410" s="46" t="str">
        <f aca="false">IF(IF($M410="",0,INDEX(伝票元!$N$6:$N$511,$M410))=1,INDEX(伝票元!$R$6:$R$511,$M410),"")</f>
        <v/>
      </c>
      <c r="L410" s="47" t="str">
        <f aca="false">IF($M410="","",INDEX(伝票元!$S$6:$S$511,$M410))</f>
        <v/>
      </c>
      <c r="M410" s="47" t="str">
        <f aca="false">IFERROR(MATCH(404,伝票元!$O$6:$O$511,0),"")</f>
        <v/>
      </c>
    </row>
    <row r="411" customFormat="false" ht="15" hidden="false" customHeight="false" outlineLevel="0" collapsed="false">
      <c r="A411" s="10" t="str">
        <f aca="false">IF($M411="","",INDEX(伝票元!$P$6:$P$511,$M411))</f>
        <v/>
      </c>
      <c r="B411" s="45" t="str">
        <f aca="false">IF($M411="","",INDEX(伝票元!$D$6:$D$511,$M411))</f>
        <v/>
      </c>
      <c r="C411" s="10" t="str">
        <f aca="false">IF($M411="","",INDEX(伝票元!$E$6:$E$511,$M411))</f>
        <v/>
      </c>
      <c r="D411" s="45" t="str">
        <f aca="false">IF($M411="","",INDEX(伝票元!$A$6:$A$511,$M411))</f>
        <v/>
      </c>
      <c r="E411" s="10" t="str">
        <f aca="false">IF(IF($M411="",0,INDEX(伝票元!$N$6:$N$511,$M411))=1,INDEX(伝票元!$I$6:$I$511,$M411),"")</f>
        <v/>
      </c>
      <c r="F411" s="45" t="str">
        <f aca="false">IF(IF($M411="",0,INDEX(伝票元!$N$6:$N$511,$M411))=1,INDEX(伝票元!$J$6:$J$511,$M411),"")</f>
        <v/>
      </c>
      <c r="G411" s="42" t="str">
        <f aca="false">IF(IF($M411="",0,INDEX(伝票元!$N$6:$N$511,$M411))=1,INDEX(伝票元!$Q$6:$Q$511,$M411),"")</f>
        <v/>
      </c>
      <c r="H411" s="45" t="str">
        <f aca="false">IF($M411="","",INDEX(伝票元!$F$6:$F$511,$M411))</f>
        <v/>
      </c>
      <c r="I411" s="45" t="str">
        <f aca="false">IF($M411="","",INDEX(伝票元!$G$6:$G$511,$M411))</f>
        <v/>
      </c>
      <c r="J411" s="42" t="str">
        <f aca="false">IF($M411="","",INDEX(伝票元!$H$6:$H$511,$M411))</f>
        <v/>
      </c>
      <c r="K411" s="46" t="str">
        <f aca="false">IF(IF($M411="",0,INDEX(伝票元!$N$6:$N$511,$M411))=1,INDEX(伝票元!$R$6:$R$511,$M411),"")</f>
        <v/>
      </c>
      <c r="L411" s="47" t="str">
        <f aca="false">IF($M411="","",INDEX(伝票元!$S$6:$S$511,$M411))</f>
        <v/>
      </c>
      <c r="M411" s="47" t="str">
        <f aca="false">IFERROR(MATCH(405,伝票元!$O$6:$O$511,0),"")</f>
        <v/>
      </c>
    </row>
    <row r="412" customFormat="false" ht="15" hidden="false" customHeight="false" outlineLevel="0" collapsed="false">
      <c r="A412" s="10" t="str">
        <f aca="false">IF($M412="","",INDEX(伝票元!$P$6:$P$511,$M412))</f>
        <v/>
      </c>
      <c r="B412" s="45" t="str">
        <f aca="false">IF($M412="","",INDEX(伝票元!$D$6:$D$511,$M412))</f>
        <v/>
      </c>
      <c r="C412" s="10" t="str">
        <f aca="false">IF($M412="","",INDEX(伝票元!$E$6:$E$511,$M412))</f>
        <v/>
      </c>
      <c r="D412" s="45" t="str">
        <f aca="false">IF($M412="","",INDEX(伝票元!$A$6:$A$511,$M412))</f>
        <v/>
      </c>
      <c r="E412" s="10" t="str">
        <f aca="false">IF(IF($M412="",0,INDEX(伝票元!$N$6:$N$511,$M412))=1,INDEX(伝票元!$I$6:$I$511,$M412),"")</f>
        <v/>
      </c>
      <c r="F412" s="45" t="str">
        <f aca="false">IF(IF($M412="",0,INDEX(伝票元!$N$6:$N$511,$M412))=1,INDEX(伝票元!$J$6:$J$511,$M412),"")</f>
        <v/>
      </c>
      <c r="G412" s="42" t="str">
        <f aca="false">IF(IF($M412="",0,INDEX(伝票元!$N$6:$N$511,$M412))=1,INDEX(伝票元!$Q$6:$Q$511,$M412),"")</f>
        <v/>
      </c>
      <c r="H412" s="45" t="str">
        <f aca="false">IF($M412="","",INDEX(伝票元!$F$6:$F$511,$M412))</f>
        <v/>
      </c>
      <c r="I412" s="45" t="str">
        <f aca="false">IF($M412="","",INDEX(伝票元!$G$6:$G$511,$M412))</f>
        <v/>
      </c>
      <c r="J412" s="42" t="str">
        <f aca="false">IF($M412="","",INDEX(伝票元!$H$6:$H$511,$M412))</f>
        <v/>
      </c>
      <c r="K412" s="46" t="str">
        <f aca="false">IF(IF($M412="",0,INDEX(伝票元!$N$6:$N$511,$M412))=1,INDEX(伝票元!$R$6:$R$511,$M412),"")</f>
        <v/>
      </c>
      <c r="L412" s="47" t="str">
        <f aca="false">IF($M412="","",INDEX(伝票元!$S$6:$S$511,$M412))</f>
        <v/>
      </c>
      <c r="M412" s="47" t="str">
        <f aca="false">IFERROR(MATCH(406,伝票元!$O$6:$O$511,0),"")</f>
        <v/>
      </c>
    </row>
    <row r="413" customFormat="false" ht="15" hidden="false" customHeight="false" outlineLevel="0" collapsed="false">
      <c r="A413" s="10" t="str">
        <f aca="false">IF($M413="","",INDEX(伝票元!$P$6:$P$511,$M413))</f>
        <v/>
      </c>
      <c r="B413" s="45" t="str">
        <f aca="false">IF($M413="","",INDEX(伝票元!$D$6:$D$511,$M413))</f>
        <v/>
      </c>
      <c r="C413" s="10" t="str">
        <f aca="false">IF($M413="","",INDEX(伝票元!$E$6:$E$511,$M413))</f>
        <v/>
      </c>
      <c r="D413" s="45" t="str">
        <f aca="false">IF($M413="","",INDEX(伝票元!$A$6:$A$511,$M413))</f>
        <v/>
      </c>
      <c r="E413" s="10" t="str">
        <f aca="false">IF(IF($M413="",0,INDEX(伝票元!$N$6:$N$511,$M413))=1,INDEX(伝票元!$I$6:$I$511,$M413),"")</f>
        <v/>
      </c>
      <c r="F413" s="45" t="str">
        <f aca="false">IF(IF($M413="",0,INDEX(伝票元!$N$6:$N$511,$M413))=1,INDEX(伝票元!$J$6:$J$511,$M413),"")</f>
        <v/>
      </c>
      <c r="G413" s="42" t="str">
        <f aca="false">IF(IF($M413="",0,INDEX(伝票元!$N$6:$N$511,$M413))=1,INDEX(伝票元!$Q$6:$Q$511,$M413),"")</f>
        <v/>
      </c>
      <c r="H413" s="45" t="str">
        <f aca="false">IF($M413="","",INDEX(伝票元!$F$6:$F$511,$M413))</f>
        <v/>
      </c>
      <c r="I413" s="45" t="str">
        <f aca="false">IF($M413="","",INDEX(伝票元!$G$6:$G$511,$M413))</f>
        <v/>
      </c>
      <c r="J413" s="42" t="str">
        <f aca="false">IF($M413="","",INDEX(伝票元!$H$6:$H$511,$M413))</f>
        <v/>
      </c>
      <c r="K413" s="46" t="str">
        <f aca="false">IF(IF($M413="",0,INDEX(伝票元!$N$6:$N$511,$M413))=1,INDEX(伝票元!$R$6:$R$511,$M413),"")</f>
        <v/>
      </c>
      <c r="L413" s="47" t="str">
        <f aca="false">IF($M413="","",INDEX(伝票元!$S$6:$S$511,$M413))</f>
        <v/>
      </c>
      <c r="M413" s="47" t="str">
        <f aca="false">IFERROR(MATCH(407,伝票元!$O$6:$O$511,0),"")</f>
        <v/>
      </c>
    </row>
    <row r="414" customFormat="false" ht="15" hidden="false" customHeight="false" outlineLevel="0" collapsed="false">
      <c r="A414" s="10" t="str">
        <f aca="false">IF($M414="","",INDEX(伝票元!$P$6:$P$511,$M414))</f>
        <v/>
      </c>
      <c r="B414" s="45" t="str">
        <f aca="false">IF($M414="","",INDEX(伝票元!$D$6:$D$511,$M414))</f>
        <v/>
      </c>
      <c r="C414" s="10" t="str">
        <f aca="false">IF($M414="","",INDEX(伝票元!$E$6:$E$511,$M414))</f>
        <v/>
      </c>
      <c r="D414" s="45" t="str">
        <f aca="false">IF($M414="","",INDEX(伝票元!$A$6:$A$511,$M414))</f>
        <v/>
      </c>
      <c r="E414" s="10" t="str">
        <f aca="false">IF(IF($M414="",0,INDEX(伝票元!$N$6:$N$511,$M414))=1,INDEX(伝票元!$I$6:$I$511,$M414),"")</f>
        <v/>
      </c>
      <c r="F414" s="45" t="str">
        <f aca="false">IF(IF($M414="",0,INDEX(伝票元!$N$6:$N$511,$M414))=1,INDEX(伝票元!$J$6:$J$511,$M414),"")</f>
        <v/>
      </c>
      <c r="G414" s="42" t="str">
        <f aca="false">IF(IF($M414="",0,INDEX(伝票元!$N$6:$N$511,$M414))=1,INDEX(伝票元!$Q$6:$Q$511,$M414),"")</f>
        <v/>
      </c>
      <c r="H414" s="45" t="str">
        <f aca="false">IF($M414="","",INDEX(伝票元!$F$6:$F$511,$M414))</f>
        <v/>
      </c>
      <c r="I414" s="45" t="str">
        <f aca="false">IF($M414="","",INDEX(伝票元!$G$6:$G$511,$M414))</f>
        <v/>
      </c>
      <c r="J414" s="42" t="str">
        <f aca="false">IF($M414="","",INDEX(伝票元!$H$6:$H$511,$M414))</f>
        <v/>
      </c>
      <c r="K414" s="46" t="str">
        <f aca="false">IF(IF($M414="",0,INDEX(伝票元!$N$6:$N$511,$M414))=1,INDEX(伝票元!$R$6:$R$511,$M414),"")</f>
        <v/>
      </c>
      <c r="L414" s="47" t="str">
        <f aca="false">IF($M414="","",INDEX(伝票元!$S$6:$S$511,$M414))</f>
        <v/>
      </c>
      <c r="M414" s="47" t="str">
        <f aca="false">IFERROR(MATCH(408,伝票元!$O$6:$O$511,0),"")</f>
        <v/>
      </c>
    </row>
    <row r="415" customFormat="false" ht="15" hidden="false" customHeight="false" outlineLevel="0" collapsed="false">
      <c r="A415" s="10" t="str">
        <f aca="false">IF($M415="","",INDEX(伝票元!$P$6:$P$511,$M415))</f>
        <v/>
      </c>
      <c r="B415" s="45" t="str">
        <f aca="false">IF($M415="","",INDEX(伝票元!$D$6:$D$511,$M415))</f>
        <v/>
      </c>
      <c r="C415" s="10" t="str">
        <f aca="false">IF($M415="","",INDEX(伝票元!$E$6:$E$511,$M415))</f>
        <v/>
      </c>
      <c r="D415" s="45" t="str">
        <f aca="false">IF($M415="","",INDEX(伝票元!$A$6:$A$511,$M415))</f>
        <v/>
      </c>
      <c r="E415" s="10" t="str">
        <f aca="false">IF(IF($M415="",0,INDEX(伝票元!$N$6:$N$511,$M415))=1,INDEX(伝票元!$I$6:$I$511,$M415),"")</f>
        <v/>
      </c>
      <c r="F415" s="45" t="str">
        <f aca="false">IF(IF($M415="",0,INDEX(伝票元!$N$6:$N$511,$M415))=1,INDEX(伝票元!$J$6:$J$511,$M415),"")</f>
        <v/>
      </c>
      <c r="G415" s="42" t="str">
        <f aca="false">IF(IF($M415="",0,INDEX(伝票元!$N$6:$N$511,$M415))=1,INDEX(伝票元!$Q$6:$Q$511,$M415),"")</f>
        <v/>
      </c>
      <c r="H415" s="45" t="str">
        <f aca="false">IF($M415="","",INDEX(伝票元!$F$6:$F$511,$M415))</f>
        <v/>
      </c>
      <c r="I415" s="45" t="str">
        <f aca="false">IF($M415="","",INDEX(伝票元!$G$6:$G$511,$M415))</f>
        <v/>
      </c>
      <c r="J415" s="42" t="str">
        <f aca="false">IF($M415="","",INDEX(伝票元!$H$6:$H$511,$M415))</f>
        <v/>
      </c>
      <c r="K415" s="46" t="str">
        <f aca="false">IF(IF($M415="",0,INDEX(伝票元!$N$6:$N$511,$M415))=1,INDEX(伝票元!$R$6:$R$511,$M415),"")</f>
        <v/>
      </c>
      <c r="L415" s="47" t="str">
        <f aca="false">IF($M415="","",INDEX(伝票元!$S$6:$S$511,$M415))</f>
        <v/>
      </c>
      <c r="M415" s="47" t="str">
        <f aca="false">IFERROR(MATCH(409,伝票元!$O$6:$O$511,0),"")</f>
        <v/>
      </c>
    </row>
    <row r="416" customFormat="false" ht="15" hidden="false" customHeight="false" outlineLevel="0" collapsed="false">
      <c r="A416" s="10" t="str">
        <f aca="false">IF($M416="","",INDEX(伝票元!$P$6:$P$511,$M416))</f>
        <v/>
      </c>
      <c r="B416" s="45" t="str">
        <f aca="false">IF($M416="","",INDEX(伝票元!$D$6:$D$511,$M416))</f>
        <v/>
      </c>
      <c r="C416" s="10" t="str">
        <f aca="false">IF($M416="","",INDEX(伝票元!$E$6:$E$511,$M416))</f>
        <v/>
      </c>
      <c r="D416" s="45" t="str">
        <f aca="false">IF($M416="","",INDEX(伝票元!$A$6:$A$511,$M416))</f>
        <v/>
      </c>
      <c r="E416" s="10" t="str">
        <f aca="false">IF(IF($M416="",0,INDEX(伝票元!$N$6:$N$511,$M416))=1,INDEX(伝票元!$I$6:$I$511,$M416),"")</f>
        <v/>
      </c>
      <c r="F416" s="45" t="str">
        <f aca="false">IF(IF($M416="",0,INDEX(伝票元!$N$6:$N$511,$M416))=1,INDEX(伝票元!$J$6:$J$511,$M416),"")</f>
        <v/>
      </c>
      <c r="G416" s="42" t="str">
        <f aca="false">IF(IF($M416="",0,INDEX(伝票元!$N$6:$N$511,$M416))=1,INDEX(伝票元!$Q$6:$Q$511,$M416),"")</f>
        <v/>
      </c>
      <c r="H416" s="45" t="str">
        <f aca="false">IF($M416="","",INDEX(伝票元!$F$6:$F$511,$M416))</f>
        <v/>
      </c>
      <c r="I416" s="45" t="str">
        <f aca="false">IF($M416="","",INDEX(伝票元!$G$6:$G$511,$M416))</f>
        <v/>
      </c>
      <c r="J416" s="42" t="str">
        <f aca="false">IF($M416="","",INDEX(伝票元!$H$6:$H$511,$M416))</f>
        <v/>
      </c>
      <c r="K416" s="46" t="str">
        <f aca="false">IF(IF($M416="",0,INDEX(伝票元!$N$6:$N$511,$M416))=1,INDEX(伝票元!$R$6:$R$511,$M416),"")</f>
        <v/>
      </c>
      <c r="L416" s="47" t="str">
        <f aca="false">IF($M416="","",INDEX(伝票元!$S$6:$S$511,$M416))</f>
        <v/>
      </c>
      <c r="M416" s="47" t="str">
        <f aca="false">IFERROR(MATCH(410,伝票元!$O$6:$O$511,0),"")</f>
        <v/>
      </c>
    </row>
    <row r="417" customFormat="false" ht="15" hidden="false" customHeight="false" outlineLevel="0" collapsed="false">
      <c r="A417" s="10" t="str">
        <f aca="false">IF($M417="","",INDEX(伝票元!$P$6:$P$511,$M417))</f>
        <v/>
      </c>
      <c r="B417" s="45" t="str">
        <f aca="false">IF($M417="","",INDEX(伝票元!$D$6:$D$511,$M417))</f>
        <v/>
      </c>
      <c r="C417" s="10" t="str">
        <f aca="false">IF($M417="","",INDEX(伝票元!$E$6:$E$511,$M417))</f>
        <v/>
      </c>
      <c r="D417" s="45" t="str">
        <f aca="false">IF($M417="","",INDEX(伝票元!$A$6:$A$511,$M417))</f>
        <v/>
      </c>
      <c r="E417" s="10" t="str">
        <f aca="false">IF(IF($M417="",0,INDEX(伝票元!$N$6:$N$511,$M417))=1,INDEX(伝票元!$I$6:$I$511,$M417),"")</f>
        <v/>
      </c>
      <c r="F417" s="45" t="str">
        <f aca="false">IF(IF($M417="",0,INDEX(伝票元!$N$6:$N$511,$M417))=1,INDEX(伝票元!$J$6:$J$511,$M417),"")</f>
        <v/>
      </c>
      <c r="G417" s="42" t="str">
        <f aca="false">IF(IF($M417="",0,INDEX(伝票元!$N$6:$N$511,$M417))=1,INDEX(伝票元!$Q$6:$Q$511,$M417),"")</f>
        <v/>
      </c>
      <c r="H417" s="45" t="str">
        <f aca="false">IF($M417="","",INDEX(伝票元!$F$6:$F$511,$M417))</f>
        <v/>
      </c>
      <c r="I417" s="45" t="str">
        <f aca="false">IF($M417="","",INDEX(伝票元!$G$6:$G$511,$M417))</f>
        <v/>
      </c>
      <c r="J417" s="42" t="str">
        <f aca="false">IF($M417="","",INDEX(伝票元!$H$6:$H$511,$M417))</f>
        <v/>
      </c>
      <c r="K417" s="46" t="str">
        <f aca="false">IF(IF($M417="",0,INDEX(伝票元!$N$6:$N$511,$M417))=1,INDEX(伝票元!$R$6:$R$511,$M417),"")</f>
        <v/>
      </c>
      <c r="L417" s="47" t="str">
        <f aca="false">IF($M417="","",INDEX(伝票元!$S$6:$S$511,$M417))</f>
        <v/>
      </c>
      <c r="M417" s="47" t="str">
        <f aca="false">IFERROR(MATCH(411,伝票元!$O$6:$O$511,0),"")</f>
        <v/>
      </c>
    </row>
    <row r="418" customFormat="false" ht="15" hidden="false" customHeight="false" outlineLevel="0" collapsed="false">
      <c r="A418" s="10" t="str">
        <f aca="false">IF($M418="","",INDEX(伝票元!$P$6:$P$511,$M418))</f>
        <v/>
      </c>
      <c r="B418" s="45" t="str">
        <f aca="false">IF($M418="","",INDEX(伝票元!$D$6:$D$511,$M418))</f>
        <v/>
      </c>
      <c r="C418" s="10" t="str">
        <f aca="false">IF($M418="","",INDEX(伝票元!$E$6:$E$511,$M418))</f>
        <v/>
      </c>
      <c r="D418" s="45" t="str">
        <f aca="false">IF($M418="","",INDEX(伝票元!$A$6:$A$511,$M418))</f>
        <v/>
      </c>
      <c r="E418" s="10" t="str">
        <f aca="false">IF(IF($M418="",0,INDEX(伝票元!$N$6:$N$511,$M418))=1,INDEX(伝票元!$I$6:$I$511,$M418),"")</f>
        <v/>
      </c>
      <c r="F418" s="45" t="str">
        <f aca="false">IF(IF($M418="",0,INDEX(伝票元!$N$6:$N$511,$M418))=1,INDEX(伝票元!$J$6:$J$511,$M418),"")</f>
        <v/>
      </c>
      <c r="G418" s="42" t="str">
        <f aca="false">IF(IF($M418="",0,INDEX(伝票元!$N$6:$N$511,$M418))=1,INDEX(伝票元!$Q$6:$Q$511,$M418),"")</f>
        <v/>
      </c>
      <c r="H418" s="45" t="str">
        <f aca="false">IF($M418="","",INDEX(伝票元!$F$6:$F$511,$M418))</f>
        <v/>
      </c>
      <c r="I418" s="45" t="str">
        <f aca="false">IF($M418="","",INDEX(伝票元!$G$6:$G$511,$M418))</f>
        <v/>
      </c>
      <c r="J418" s="42" t="str">
        <f aca="false">IF($M418="","",INDEX(伝票元!$H$6:$H$511,$M418))</f>
        <v/>
      </c>
      <c r="K418" s="46" t="str">
        <f aca="false">IF(IF($M418="",0,INDEX(伝票元!$N$6:$N$511,$M418))=1,INDEX(伝票元!$R$6:$R$511,$M418),"")</f>
        <v/>
      </c>
      <c r="L418" s="47" t="str">
        <f aca="false">IF($M418="","",INDEX(伝票元!$S$6:$S$511,$M418))</f>
        <v/>
      </c>
      <c r="M418" s="47" t="str">
        <f aca="false">IFERROR(MATCH(412,伝票元!$O$6:$O$511,0),"")</f>
        <v/>
      </c>
    </row>
    <row r="419" customFormat="false" ht="15" hidden="false" customHeight="false" outlineLevel="0" collapsed="false">
      <c r="A419" s="10" t="str">
        <f aca="false">IF($M419="","",INDEX(伝票元!$P$6:$P$511,$M419))</f>
        <v/>
      </c>
      <c r="B419" s="45" t="str">
        <f aca="false">IF($M419="","",INDEX(伝票元!$D$6:$D$511,$M419))</f>
        <v/>
      </c>
      <c r="C419" s="10" t="str">
        <f aca="false">IF($M419="","",INDEX(伝票元!$E$6:$E$511,$M419))</f>
        <v/>
      </c>
      <c r="D419" s="45" t="str">
        <f aca="false">IF($M419="","",INDEX(伝票元!$A$6:$A$511,$M419))</f>
        <v/>
      </c>
      <c r="E419" s="10" t="str">
        <f aca="false">IF(IF($M419="",0,INDEX(伝票元!$N$6:$N$511,$M419))=1,INDEX(伝票元!$I$6:$I$511,$M419),"")</f>
        <v/>
      </c>
      <c r="F419" s="45" t="str">
        <f aca="false">IF(IF($M419="",0,INDEX(伝票元!$N$6:$N$511,$M419))=1,INDEX(伝票元!$J$6:$J$511,$M419),"")</f>
        <v/>
      </c>
      <c r="G419" s="42" t="str">
        <f aca="false">IF(IF($M419="",0,INDEX(伝票元!$N$6:$N$511,$M419))=1,INDEX(伝票元!$Q$6:$Q$511,$M419),"")</f>
        <v/>
      </c>
      <c r="H419" s="45" t="str">
        <f aca="false">IF($M419="","",INDEX(伝票元!$F$6:$F$511,$M419))</f>
        <v/>
      </c>
      <c r="I419" s="45" t="str">
        <f aca="false">IF($M419="","",INDEX(伝票元!$G$6:$G$511,$M419))</f>
        <v/>
      </c>
      <c r="J419" s="42" t="str">
        <f aca="false">IF($M419="","",INDEX(伝票元!$H$6:$H$511,$M419))</f>
        <v/>
      </c>
      <c r="K419" s="46" t="str">
        <f aca="false">IF(IF($M419="",0,INDEX(伝票元!$N$6:$N$511,$M419))=1,INDEX(伝票元!$R$6:$R$511,$M419),"")</f>
        <v/>
      </c>
      <c r="L419" s="47" t="str">
        <f aca="false">IF($M419="","",INDEX(伝票元!$S$6:$S$511,$M419))</f>
        <v/>
      </c>
      <c r="M419" s="47" t="str">
        <f aca="false">IFERROR(MATCH(413,伝票元!$O$6:$O$511,0),"")</f>
        <v/>
      </c>
    </row>
    <row r="420" customFormat="false" ht="15" hidden="false" customHeight="false" outlineLevel="0" collapsed="false">
      <c r="A420" s="10" t="str">
        <f aca="false">IF($M420="","",INDEX(伝票元!$P$6:$P$511,$M420))</f>
        <v/>
      </c>
      <c r="B420" s="45" t="str">
        <f aca="false">IF($M420="","",INDEX(伝票元!$D$6:$D$511,$M420))</f>
        <v/>
      </c>
      <c r="C420" s="10" t="str">
        <f aca="false">IF($M420="","",INDEX(伝票元!$E$6:$E$511,$M420))</f>
        <v/>
      </c>
      <c r="D420" s="45" t="str">
        <f aca="false">IF($M420="","",INDEX(伝票元!$A$6:$A$511,$M420))</f>
        <v/>
      </c>
      <c r="E420" s="10" t="str">
        <f aca="false">IF(IF($M420="",0,INDEX(伝票元!$N$6:$N$511,$M420))=1,INDEX(伝票元!$I$6:$I$511,$M420),"")</f>
        <v/>
      </c>
      <c r="F420" s="45" t="str">
        <f aca="false">IF(IF($M420="",0,INDEX(伝票元!$N$6:$N$511,$M420))=1,INDEX(伝票元!$J$6:$J$511,$M420),"")</f>
        <v/>
      </c>
      <c r="G420" s="42" t="str">
        <f aca="false">IF(IF($M420="",0,INDEX(伝票元!$N$6:$N$511,$M420))=1,INDEX(伝票元!$Q$6:$Q$511,$M420),"")</f>
        <v/>
      </c>
      <c r="H420" s="45" t="str">
        <f aca="false">IF($M420="","",INDEX(伝票元!$F$6:$F$511,$M420))</f>
        <v/>
      </c>
      <c r="I420" s="45" t="str">
        <f aca="false">IF($M420="","",INDEX(伝票元!$G$6:$G$511,$M420))</f>
        <v/>
      </c>
      <c r="J420" s="42" t="str">
        <f aca="false">IF($M420="","",INDEX(伝票元!$H$6:$H$511,$M420))</f>
        <v/>
      </c>
      <c r="K420" s="46" t="str">
        <f aca="false">IF(IF($M420="",0,INDEX(伝票元!$N$6:$N$511,$M420))=1,INDEX(伝票元!$R$6:$R$511,$M420),"")</f>
        <v/>
      </c>
      <c r="L420" s="47" t="str">
        <f aca="false">IF($M420="","",INDEX(伝票元!$S$6:$S$511,$M420))</f>
        <v/>
      </c>
      <c r="M420" s="47" t="str">
        <f aca="false">IFERROR(MATCH(414,伝票元!$O$6:$O$511,0),"")</f>
        <v/>
      </c>
    </row>
    <row r="421" customFormat="false" ht="15" hidden="false" customHeight="false" outlineLevel="0" collapsed="false">
      <c r="A421" s="10" t="str">
        <f aca="false">IF($M421="","",INDEX(伝票元!$P$6:$P$511,$M421))</f>
        <v/>
      </c>
      <c r="B421" s="45" t="str">
        <f aca="false">IF($M421="","",INDEX(伝票元!$D$6:$D$511,$M421))</f>
        <v/>
      </c>
      <c r="C421" s="10" t="str">
        <f aca="false">IF($M421="","",INDEX(伝票元!$E$6:$E$511,$M421))</f>
        <v/>
      </c>
      <c r="D421" s="45" t="str">
        <f aca="false">IF($M421="","",INDEX(伝票元!$A$6:$A$511,$M421))</f>
        <v/>
      </c>
      <c r="E421" s="10" t="str">
        <f aca="false">IF(IF($M421="",0,INDEX(伝票元!$N$6:$N$511,$M421))=1,INDEX(伝票元!$I$6:$I$511,$M421),"")</f>
        <v/>
      </c>
      <c r="F421" s="45" t="str">
        <f aca="false">IF(IF($M421="",0,INDEX(伝票元!$N$6:$N$511,$M421))=1,INDEX(伝票元!$J$6:$J$511,$M421),"")</f>
        <v/>
      </c>
      <c r="G421" s="42" t="str">
        <f aca="false">IF(IF($M421="",0,INDEX(伝票元!$N$6:$N$511,$M421))=1,INDEX(伝票元!$Q$6:$Q$511,$M421),"")</f>
        <v/>
      </c>
      <c r="H421" s="45" t="str">
        <f aca="false">IF($M421="","",INDEX(伝票元!$F$6:$F$511,$M421))</f>
        <v/>
      </c>
      <c r="I421" s="45" t="str">
        <f aca="false">IF($M421="","",INDEX(伝票元!$G$6:$G$511,$M421))</f>
        <v/>
      </c>
      <c r="J421" s="42" t="str">
        <f aca="false">IF($M421="","",INDEX(伝票元!$H$6:$H$511,$M421))</f>
        <v/>
      </c>
      <c r="K421" s="46" t="str">
        <f aca="false">IF(IF($M421="",0,INDEX(伝票元!$N$6:$N$511,$M421))=1,INDEX(伝票元!$R$6:$R$511,$M421),"")</f>
        <v/>
      </c>
      <c r="L421" s="47" t="str">
        <f aca="false">IF($M421="","",INDEX(伝票元!$S$6:$S$511,$M421))</f>
        <v/>
      </c>
      <c r="M421" s="47" t="str">
        <f aca="false">IFERROR(MATCH(415,伝票元!$O$6:$O$511,0),"")</f>
        <v/>
      </c>
    </row>
    <row r="422" customFormat="false" ht="15" hidden="false" customHeight="false" outlineLevel="0" collapsed="false">
      <c r="A422" s="10" t="str">
        <f aca="false">IF($M422="","",INDEX(伝票元!$P$6:$P$511,$M422))</f>
        <v/>
      </c>
      <c r="B422" s="45" t="str">
        <f aca="false">IF($M422="","",INDEX(伝票元!$D$6:$D$511,$M422))</f>
        <v/>
      </c>
      <c r="C422" s="10" t="str">
        <f aca="false">IF($M422="","",INDEX(伝票元!$E$6:$E$511,$M422))</f>
        <v/>
      </c>
      <c r="D422" s="45" t="str">
        <f aca="false">IF($M422="","",INDEX(伝票元!$A$6:$A$511,$M422))</f>
        <v/>
      </c>
      <c r="E422" s="10" t="str">
        <f aca="false">IF(IF($M422="",0,INDEX(伝票元!$N$6:$N$511,$M422))=1,INDEX(伝票元!$I$6:$I$511,$M422),"")</f>
        <v/>
      </c>
      <c r="F422" s="45" t="str">
        <f aca="false">IF(IF($M422="",0,INDEX(伝票元!$N$6:$N$511,$M422))=1,INDEX(伝票元!$J$6:$J$511,$M422),"")</f>
        <v/>
      </c>
      <c r="G422" s="42" t="str">
        <f aca="false">IF(IF($M422="",0,INDEX(伝票元!$N$6:$N$511,$M422))=1,INDEX(伝票元!$Q$6:$Q$511,$M422),"")</f>
        <v/>
      </c>
      <c r="H422" s="45" t="str">
        <f aca="false">IF($M422="","",INDEX(伝票元!$F$6:$F$511,$M422))</f>
        <v/>
      </c>
      <c r="I422" s="45" t="str">
        <f aca="false">IF($M422="","",INDEX(伝票元!$G$6:$G$511,$M422))</f>
        <v/>
      </c>
      <c r="J422" s="42" t="str">
        <f aca="false">IF($M422="","",INDEX(伝票元!$H$6:$H$511,$M422))</f>
        <v/>
      </c>
      <c r="K422" s="46" t="str">
        <f aca="false">IF(IF($M422="",0,INDEX(伝票元!$N$6:$N$511,$M422))=1,INDEX(伝票元!$R$6:$R$511,$M422),"")</f>
        <v/>
      </c>
      <c r="L422" s="47" t="str">
        <f aca="false">IF($M422="","",INDEX(伝票元!$S$6:$S$511,$M422))</f>
        <v/>
      </c>
      <c r="M422" s="47" t="str">
        <f aca="false">IFERROR(MATCH(416,伝票元!$O$6:$O$511,0),"")</f>
        <v/>
      </c>
    </row>
    <row r="423" customFormat="false" ht="15" hidden="false" customHeight="false" outlineLevel="0" collapsed="false">
      <c r="A423" s="10" t="str">
        <f aca="false">IF($M423="","",INDEX(伝票元!$P$6:$P$511,$M423))</f>
        <v/>
      </c>
      <c r="B423" s="45" t="str">
        <f aca="false">IF($M423="","",INDEX(伝票元!$D$6:$D$511,$M423))</f>
        <v/>
      </c>
      <c r="C423" s="10" t="str">
        <f aca="false">IF($M423="","",INDEX(伝票元!$E$6:$E$511,$M423))</f>
        <v/>
      </c>
      <c r="D423" s="45" t="str">
        <f aca="false">IF($M423="","",INDEX(伝票元!$A$6:$A$511,$M423))</f>
        <v/>
      </c>
      <c r="E423" s="10" t="str">
        <f aca="false">IF(IF($M423="",0,INDEX(伝票元!$N$6:$N$511,$M423))=1,INDEX(伝票元!$I$6:$I$511,$M423),"")</f>
        <v/>
      </c>
      <c r="F423" s="45" t="str">
        <f aca="false">IF(IF($M423="",0,INDEX(伝票元!$N$6:$N$511,$M423))=1,INDEX(伝票元!$J$6:$J$511,$M423),"")</f>
        <v/>
      </c>
      <c r="G423" s="42" t="str">
        <f aca="false">IF(IF($M423="",0,INDEX(伝票元!$N$6:$N$511,$M423))=1,INDEX(伝票元!$Q$6:$Q$511,$M423),"")</f>
        <v/>
      </c>
      <c r="H423" s="45" t="str">
        <f aca="false">IF($M423="","",INDEX(伝票元!$F$6:$F$511,$M423))</f>
        <v/>
      </c>
      <c r="I423" s="45" t="str">
        <f aca="false">IF($M423="","",INDEX(伝票元!$G$6:$G$511,$M423))</f>
        <v/>
      </c>
      <c r="J423" s="42" t="str">
        <f aca="false">IF($M423="","",INDEX(伝票元!$H$6:$H$511,$M423))</f>
        <v/>
      </c>
      <c r="K423" s="46" t="str">
        <f aca="false">IF(IF($M423="",0,INDEX(伝票元!$N$6:$N$511,$M423))=1,INDEX(伝票元!$R$6:$R$511,$M423),"")</f>
        <v/>
      </c>
      <c r="L423" s="47" t="str">
        <f aca="false">IF($M423="","",INDEX(伝票元!$S$6:$S$511,$M423))</f>
        <v/>
      </c>
      <c r="M423" s="47" t="str">
        <f aca="false">IFERROR(MATCH(417,伝票元!$O$6:$O$511,0),"")</f>
        <v/>
      </c>
    </row>
    <row r="424" customFormat="false" ht="15" hidden="false" customHeight="false" outlineLevel="0" collapsed="false">
      <c r="A424" s="10" t="str">
        <f aca="false">IF($M424="","",INDEX(伝票元!$P$6:$P$511,$M424))</f>
        <v/>
      </c>
      <c r="B424" s="45" t="str">
        <f aca="false">IF($M424="","",INDEX(伝票元!$D$6:$D$511,$M424))</f>
        <v/>
      </c>
      <c r="C424" s="10" t="str">
        <f aca="false">IF($M424="","",INDEX(伝票元!$E$6:$E$511,$M424))</f>
        <v/>
      </c>
      <c r="D424" s="45" t="str">
        <f aca="false">IF($M424="","",INDEX(伝票元!$A$6:$A$511,$M424))</f>
        <v/>
      </c>
      <c r="E424" s="10" t="str">
        <f aca="false">IF(IF($M424="",0,INDEX(伝票元!$N$6:$N$511,$M424))=1,INDEX(伝票元!$I$6:$I$511,$M424),"")</f>
        <v/>
      </c>
      <c r="F424" s="45" t="str">
        <f aca="false">IF(IF($M424="",0,INDEX(伝票元!$N$6:$N$511,$M424))=1,INDEX(伝票元!$J$6:$J$511,$M424),"")</f>
        <v/>
      </c>
      <c r="G424" s="42" t="str">
        <f aca="false">IF(IF($M424="",0,INDEX(伝票元!$N$6:$N$511,$M424))=1,INDEX(伝票元!$Q$6:$Q$511,$M424),"")</f>
        <v/>
      </c>
      <c r="H424" s="45" t="str">
        <f aca="false">IF($M424="","",INDEX(伝票元!$F$6:$F$511,$M424))</f>
        <v/>
      </c>
      <c r="I424" s="45" t="str">
        <f aca="false">IF($M424="","",INDEX(伝票元!$G$6:$G$511,$M424))</f>
        <v/>
      </c>
      <c r="J424" s="42" t="str">
        <f aca="false">IF($M424="","",INDEX(伝票元!$H$6:$H$511,$M424))</f>
        <v/>
      </c>
      <c r="K424" s="46" t="str">
        <f aca="false">IF(IF($M424="",0,INDEX(伝票元!$N$6:$N$511,$M424))=1,INDEX(伝票元!$R$6:$R$511,$M424),"")</f>
        <v/>
      </c>
      <c r="L424" s="47" t="str">
        <f aca="false">IF($M424="","",INDEX(伝票元!$S$6:$S$511,$M424))</f>
        <v/>
      </c>
      <c r="M424" s="47" t="str">
        <f aca="false">IFERROR(MATCH(418,伝票元!$O$6:$O$511,0),"")</f>
        <v/>
      </c>
    </row>
    <row r="425" customFormat="false" ht="15" hidden="false" customHeight="false" outlineLevel="0" collapsed="false">
      <c r="A425" s="10" t="str">
        <f aca="false">IF($M425="","",INDEX(伝票元!$P$6:$P$511,$M425))</f>
        <v/>
      </c>
      <c r="B425" s="45" t="str">
        <f aca="false">IF($M425="","",INDEX(伝票元!$D$6:$D$511,$M425))</f>
        <v/>
      </c>
      <c r="C425" s="10" t="str">
        <f aca="false">IF($M425="","",INDEX(伝票元!$E$6:$E$511,$M425))</f>
        <v/>
      </c>
      <c r="D425" s="45" t="str">
        <f aca="false">IF($M425="","",INDEX(伝票元!$A$6:$A$511,$M425))</f>
        <v/>
      </c>
      <c r="E425" s="10" t="str">
        <f aca="false">IF(IF($M425="",0,INDEX(伝票元!$N$6:$N$511,$M425))=1,INDEX(伝票元!$I$6:$I$511,$M425),"")</f>
        <v/>
      </c>
      <c r="F425" s="45" t="str">
        <f aca="false">IF(IF($M425="",0,INDEX(伝票元!$N$6:$N$511,$M425))=1,INDEX(伝票元!$J$6:$J$511,$M425),"")</f>
        <v/>
      </c>
      <c r="G425" s="42" t="str">
        <f aca="false">IF(IF($M425="",0,INDEX(伝票元!$N$6:$N$511,$M425))=1,INDEX(伝票元!$Q$6:$Q$511,$M425),"")</f>
        <v/>
      </c>
      <c r="H425" s="45" t="str">
        <f aca="false">IF($M425="","",INDEX(伝票元!$F$6:$F$511,$M425))</f>
        <v/>
      </c>
      <c r="I425" s="45" t="str">
        <f aca="false">IF($M425="","",INDEX(伝票元!$G$6:$G$511,$M425))</f>
        <v/>
      </c>
      <c r="J425" s="42" t="str">
        <f aca="false">IF($M425="","",INDEX(伝票元!$H$6:$H$511,$M425))</f>
        <v/>
      </c>
      <c r="K425" s="46" t="str">
        <f aca="false">IF(IF($M425="",0,INDEX(伝票元!$N$6:$N$511,$M425))=1,INDEX(伝票元!$R$6:$R$511,$M425),"")</f>
        <v/>
      </c>
      <c r="L425" s="47" t="str">
        <f aca="false">IF($M425="","",INDEX(伝票元!$S$6:$S$511,$M425))</f>
        <v/>
      </c>
      <c r="M425" s="47" t="str">
        <f aca="false">IFERROR(MATCH(419,伝票元!$O$6:$O$511,0),"")</f>
        <v/>
      </c>
    </row>
    <row r="426" customFormat="false" ht="15" hidden="false" customHeight="false" outlineLevel="0" collapsed="false">
      <c r="A426" s="10" t="str">
        <f aca="false">IF($M426="","",INDEX(伝票元!$P$6:$P$511,$M426))</f>
        <v/>
      </c>
      <c r="B426" s="45" t="str">
        <f aca="false">IF($M426="","",INDEX(伝票元!$D$6:$D$511,$M426))</f>
        <v/>
      </c>
      <c r="C426" s="10" t="str">
        <f aca="false">IF($M426="","",INDEX(伝票元!$E$6:$E$511,$M426))</f>
        <v/>
      </c>
      <c r="D426" s="45" t="str">
        <f aca="false">IF($M426="","",INDEX(伝票元!$A$6:$A$511,$M426))</f>
        <v/>
      </c>
      <c r="E426" s="10" t="str">
        <f aca="false">IF(IF($M426="",0,INDEX(伝票元!$N$6:$N$511,$M426))=1,INDEX(伝票元!$I$6:$I$511,$M426),"")</f>
        <v/>
      </c>
      <c r="F426" s="45" t="str">
        <f aca="false">IF(IF($M426="",0,INDEX(伝票元!$N$6:$N$511,$M426))=1,INDEX(伝票元!$J$6:$J$511,$M426),"")</f>
        <v/>
      </c>
      <c r="G426" s="42" t="str">
        <f aca="false">IF(IF($M426="",0,INDEX(伝票元!$N$6:$N$511,$M426))=1,INDEX(伝票元!$Q$6:$Q$511,$M426),"")</f>
        <v/>
      </c>
      <c r="H426" s="45" t="str">
        <f aca="false">IF($M426="","",INDEX(伝票元!$F$6:$F$511,$M426))</f>
        <v/>
      </c>
      <c r="I426" s="45" t="str">
        <f aca="false">IF($M426="","",INDEX(伝票元!$G$6:$G$511,$M426))</f>
        <v/>
      </c>
      <c r="J426" s="42" t="str">
        <f aca="false">IF($M426="","",INDEX(伝票元!$H$6:$H$511,$M426))</f>
        <v/>
      </c>
      <c r="K426" s="46" t="str">
        <f aca="false">IF(IF($M426="",0,INDEX(伝票元!$N$6:$N$511,$M426))=1,INDEX(伝票元!$R$6:$R$511,$M426),"")</f>
        <v/>
      </c>
      <c r="L426" s="47" t="str">
        <f aca="false">IF($M426="","",INDEX(伝票元!$S$6:$S$511,$M426))</f>
        <v/>
      </c>
      <c r="M426" s="47" t="str">
        <f aca="false">IFERROR(MATCH(420,伝票元!$O$6:$O$511,0),"")</f>
        <v/>
      </c>
    </row>
    <row r="427" customFormat="false" ht="15" hidden="false" customHeight="false" outlineLevel="0" collapsed="false">
      <c r="A427" s="10" t="str">
        <f aca="false">IF($M427="","",INDEX(伝票元!$P$6:$P$511,$M427))</f>
        <v/>
      </c>
      <c r="B427" s="45" t="str">
        <f aca="false">IF($M427="","",INDEX(伝票元!$D$6:$D$511,$M427))</f>
        <v/>
      </c>
      <c r="C427" s="10" t="str">
        <f aca="false">IF($M427="","",INDEX(伝票元!$E$6:$E$511,$M427))</f>
        <v/>
      </c>
      <c r="D427" s="45" t="str">
        <f aca="false">IF($M427="","",INDEX(伝票元!$A$6:$A$511,$M427))</f>
        <v/>
      </c>
      <c r="E427" s="10" t="str">
        <f aca="false">IF(IF($M427="",0,INDEX(伝票元!$N$6:$N$511,$M427))=1,INDEX(伝票元!$I$6:$I$511,$M427),"")</f>
        <v/>
      </c>
      <c r="F427" s="45" t="str">
        <f aca="false">IF(IF($M427="",0,INDEX(伝票元!$N$6:$N$511,$M427))=1,INDEX(伝票元!$J$6:$J$511,$M427),"")</f>
        <v/>
      </c>
      <c r="G427" s="42" t="str">
        <f aca="false">IF(IF($M427="",0,INDEX(伝票元!$N$6:$N$511,$M427))=1,INDEX(伝票元!$Q$6:$Q$511,$M427),"")</f>
        <v/>
      </c>
      <c r="H427" s="45" t="str">
        <f aca="false">IF($M427="","",INDEX(伝票元!$F$6:$F$511,$M427))</f>
        <v/>
      </c>
      <c r="I427" s="45" t="str">
        <f aca="false">IF($M427="","",INDEX(伝票元!$G$6:$G$511,$M427))</f>
        <v/>
      </c>
      <c r="J427" s="42" t="str">
        <f aca="false">IF($M427="","",INDEX(伝票元!$H$6:$H$511,$M427))</f>
        <v/>
      </c>
      <c r="K427" s="46" t="str">
        <f aca="false">IF(IF($M427="",0,INDEX(伝票元!$N$6:$N$511,$M427))=1,INDEX(伝票元!$R$6:$R$511,$M427),"")</f>
        <v/>
      </c>
      <c r="L427" s="47" t="str">
        <f aca="false">IF($M427="","",INDEX(伝票元!$S$6:$S$511,$M427))</f>
        <v/>
      </c>
      <c r="M427" s="47" t="str">
        <f aca="false">IFERROR(MATCH(421,伝票元!$O$6:$O$511,0),"")</f>
        <v/>
      </c>
    </row>
    <row r="428" customFormat="false" ht="15" hidden="false" customHeight="false" outlineLevel="0" collapsed="false">
      <c r="A428" s="10" t="str">
        <f aca="false">IF($M428="","",INDEX(伝票元!$P$6:$P$511,$M428))</f>
        <v/>
      </c>
      <c r="B428" s="45" t="str">
        <f aca="false">IF($M428="","",INDEX(伝票元!$D$6:$D$511,$M428))</f>
        <v/>
      </c>
      <c r="C428" s="10" t="str">
        <f aca="false">IF($M428="","",INDEX(伝票元!$E$6:$E$511,$M428))</f>
        <v/>
      </c>
      <c r="D428" s="45" t="str">
        <f aca="false">IF($M428="","",INDEX(伝票元!$A$6:$A$511,$M428))</f>
        <v/>
      </c>
      <c r="E428" s="10" t="str">
        <f aca="false">IF(IF($M428="",0,INDEX(伝票元!$N$6:$N$511,$M428))=1,INDEX(伝票元!$I$6:$I$511,$M428),"")</f>
        <v/>
      </c>
      <c r="F428" s="45" t="str">
        <f aca="false">IF(IF($M428="",0,INDEX(伝票元!$N$6:$N$511,$M428))=1,INDEX(伝票元!$J$6:$J$511,$M428),"")</f>
        <v/>
      </c>
      <c r="G428" s="42" t="str">
        <f aca="false">IF(IF($M428="",0,INDEX(伝票元!$N$6:$N$511,$M428))=1,INDEX(伝票元!$Q$6:$Q$511,$M428),"")</f>
        <v/>
      </c>
      <c r="H428" s="45" t="str">
        <f aca="false">IF($M428="","",INDEX(伝票元!$F$6:$F$511,$M428))</f>
        <v/>
      </c>
      <c r="I428" s="45" t="str">
        <f aca="false">IF($M428="","",INDEX(伝票元!$G$6:$G$511,$M428))</f>
        <v/>
      </c>
      <c r="J428" s="42" t="str">
        <f aca="false">IF($M428="","",INDEX(伝票元!$H$6:$H$511,$M428))</f>
        <v/>
      </c>
      <c r="K428" s="46" t="str">
        <f aca="false">IF(IF($M428="",0,INDEX(伝票元!$N$6:$N$511,$M428))=1,INDEX(伝票元!$R$6:$R$511,$M428),"")</f>
        <v/>
      </c>
      <c r="L428" s="47" t="str">
        <f aca="false">IF($M428="","",INDEX(伝票元!$S$6:$S$511,$M428))</f>
        <v/>
      </c>
      <c r="M428" s="47" t="str">
        <f aca="false">IFERROR(MATCH(422,伝票元!$O$6:$O$511,0),"")</f>
        <v/>
      </c>
    </row>
    <row r="429" customFormat="false" ht="15" hidden="false" customHeight="false" outlineLevel="0" collapsed="false">
      <c r="A429" s="10" t="str">
        <f aca="false">IF($M429="","",INDEX(伝票元!$P$6:$P$511,$M429))</f>
        <v/>
      </c>
      <c r="B429" s="45" t="str">
        <f aca="false">IF($M429="","",INDEX(伝票元!$D$6:$D$511,$M429))</f>
        <v/>
      </c>
      <c r="C429" s="10" t="str">
        <f aca="false">IF($M429="","",INDEX(伝票元!$E$6:$E$511,$M429))</f>
        <v/>
      </c>
      <c r="D429" s="45" t="str">
        <f aca="false">IF($M429="","",INDEX(伝票元!$A$6:$A$511,$M429))</f>
        <v/>
      </c>
      <c r="E429" s="10" t="str">
        <f aca="false">IF(IF($M429="",0,INDEX(伝票元!$N$6:$N$511,$M429))=1,INDEX(伝票元!$I$6:$I$511,$M429),"")</f>
        <v/>
      </c>
      <c r="F429" s="45" t="str">
        <f aca="false">IF(IF($M429="",0,INDEX(伝票元!$N$6:$N$511,$M429))=1,INDEX(伝票元!$J$6:$J$511,$M429),"")</f>
        <v/>
      </c>
      <c r="G429" s="42" t="str">
        <f aca="false">IF(IF($M429="",0,INDEX(伝票元!$N$6:$N$511,$M429))=1,INDEX(伝票元!$Q$6:$Q$511,$M429),"")</f>
        <v/>
      </c>
      <c r="H429" s="45" t="str">
        <f aca="false">IF($M429="","",INDEX(伝票元!$F$6:$F$511,$M429))</f>
        <v/>
      </c>
      <c r="I429" s="45" t="str">
        <f aca="false">IF($M429="","",INDEX(伝票元!$G$6:$G$511,$M429))</f>
        <v/>
      </c>
      <c r="J429" s="42" t="str">
        <f aca="false">IF($M429="","",INDEX(伝票元!$H$6:$H$511,$M429))</f>
        <v/>
      </c>
      <c r="K429" s="46" t="str">
        <f aca="false">IF(IF($M429="",0,INDEX(伝票元!$N$6:$N$511,$M429))=1,INDEX(伝票元!$R$6:$R$511,$M429),"")</f>
        <v/>
      </c>
      <c r="L429" s="47" t="str">
        <f aca="false">IF($M429="","",INDEX(伝票元!$S$6:$S$511,$M429))</f>
        <v/>
      </c>
      <c r="M429" s="47" t="str">
        <f aca="false">IFERROR(MATCH(423,伝票元!$O$6:$O$511,0),"")</f>
        <v/>
      </c>
    </row>
    <row r="430" customFormat="false" ht="15" hidden="false" customHeight="false" outlineLevel="0" collapsed="false">
      <c r="A430" s="10" t="str">
        <f aca="false">IF($M430="","",INDEX(伝票元!$P$6:$P$511,$M430))</f>
        <v/>
      </c>
      <c r="B430" s="45" t="str">
        <f aca="false">IF($M430="","",INDEX(伝票元!$D$6:$D$511,$M430))</f>
        <v/>
      </c>
      <c r="C430" s="10" t="str">
        <f aca="false">IF($M430="","",INDEX(伝票元!$E$6:$E$511,$M430))</f>
        <v/>
      </c>
      <c r="D430" s="45" t="str">
        <f aca="false">IF($M430="","",INDEX(伝票元!$A$6:$A$511,$M430))</f>
        <v/>
      </c>
      <c r="E430" s="10" t="str">
        <f aca="false">IF(IF($M430="",0,INDEX(伝票元!$N$6:$N$511,$M430))=1,INDEX(伝票元!$I$6:$I$511,$M430),"")</f>
        <v/>
      </c>
      <c r="F430" s="45" t="str">
        <f aca="false">IF(IF($M430="",0,INDEX(伝票元!$N$6:$N$511,$M430))=1,INDEX(伝票元!$J$6:$J$511,$M430),"")</f>
        <v/>
      </c>
      <c r="G430" s="42" t="str">
        <f aca="false">IF(IF($M430="",0,INDEX(伝票元!$N$6:$N$511,$M430))=1,INDEX(伝票元!$Q$6:$Q$511,$M430),"")</f>
        <v/>
      </c>
      <c r="H430" s="45" t="str">
        <f aca="false">IF($M430="","",INDEX(伝票元!$F$6:$F$511,$M430))</f>
        <v/>
      </c>
      <c r="I430" s="45" t="str">
        <f aca="false">IF($M430="","",INDEX(伝票元!$G$6:$G$511,$M430))</f>
        <v/>
      </c>
      <c r="J430" s="42" t="str">
        <f aca="false">IF($M430="","",INDEX(伝票元!$H$6:$H$511,$M430))</f>
        <v/>
      </c>
      <c r="K430" s="46" t="str">
        <f aca="false">IF(IF($M430="",0,INDEX(伝票元!$N$6:$N$511,$M430))=1,INDEX(伝票元!$R$6:$R$511,$M430),"")</f>
        <v/>
      </c>
      <c r="L430" s="47" t="str">
        <f aca="false">IF($M430="","",INDEX(伝票元!$S$6:$S$511,$M430))</f>
        <v/>
      </c>
      <c r="M430" s="47" t="str">
        <f aca="false">IFERROR(MATCH(424,伝票元!$O$6:$O$511,0),"")</f>
        <v/>
      </c>
    </row>
    <row r="431" customFormat="false" ht="15" hidden="false" customHeight="false" outlineLevel="0" collapsed="false">
      <c r="A431" s="10" t="str">
        <f aca="false">IF($M431="","",INDEX(伝票元!$P$6:$P$511,$M431))</f>
        <v/>
      </c>
      <c r="B431" s="45" t="str">
        <f aca="false">IF($M431="","",INDEX(伝票元!$D$6:$D$511,$M431))</f>
        <v/>
      </c>
      <c r="C431" s="10" t="str">
        <f aca="false">IF($M431="","",INDEX(伝票元!$E$6:$E$511,$M431))</f>
        <v/>
      </c>
      <c r="D431" s="45" t="str">
        <f aca="false">IF($M431="","",INDEX(伝票元!$A$6:$A$511,$M431))</f>
        <v/>
      </c>
      <c r="E431" s="10" t="str">
        <f aca="false">IF(IF($M431="",0,INDEX(伝票元!$N$6:$N$511,$M431))=1,INDEX(伝票元!$I$6:$I$511,$M431),"")</f>
        <v/>
      </c>
      <c r="F431" s="45" t="str">
        <f aca="false">IF(IF($M431="",0,INDEX(伝票元!$N$6:$N$511,$M431))=1,INDEX(伝票元!$J$6:$J$511,$M431),"")</f>
        <v/>
      </c>
      <c r="G431" s="42" t="str">
        <f aca="false">IF(IF($M431="",0,INDEX(伝票元!$N$6:$N$511,$M431))=1,INDEX(伝票元!$Q$6:$Q$511,$M431),"")</f>
        <v/>
      </c>
      <c r="H431" s="45" t="str">
        <f aca="false">IF($M431="","",INDEX(伝票元!$F$6:$F$511,$M431))</f>
        <v/>
      </c>
      <c r="I431" s="45" t="str">
        <f aca="false">IF($M431="","",INDEX(伝票元!$G$6:$G$511,$M431))</f>
        <v/>
      </c>
      <c r="J431" s="42" t="str">
        <f aca="false">IF($M431="","",INDEX(伝票元!$H$6:$H$511,$M431))</f>
        <v/>
      </c>
      <c r="K431" s="46" t="str">
        <f aca="false">IF(IF($M431="",0,INDEX(伝票元!$N$6:$N$511,$M431))=1,INDEX(伝票元!$R$6:$R$511,$M431),"")</f>
        <v/>
      </c>
      <c r="L431" s="47" t="str">
        <f aca="false">IF($M431="","",INDEX(伝票元!$S$6:$S$511,$M431))</f>
        <v/>
      </c>
      <c r="M431" s="47" t="str">
        <f aca="false">IFERROR(MATCH(425,伝票元!$O$6:$O$511,0),"")</f>
        <v/>
      </c>
    </row>
    <row r="432" customFormat="false" ht="15" hidden="false" customHeight="false" outlineLevel="0" collapsed="false">
      <c r="A432" s="10" t="str">
        <f aca="false">IF($M432="","",INDEX(伝票元!$P$6:$P$511,$M432))</f>
        <v/>
      </c>
      <c r="B432" s="45" t="str">
        <f aca="false">IF($M432="","",INDEX(伝票元!$D$6:$D$511,$M432))</f>
        <v/>
      </c>
      <c r="C432" s="10" t="str">
        <f aca="false">IF($M432="","",INDEX(伝票元!$E$6:$E$511,$M432))</f>
        <v/>
      </c>
      <c r="D432" s="45" t="str">
        <f aca="false">IF($M432="","",INDEX(伝票元!$A$6:$A$511,$M432))</f>
        <v/>
      </c>
      <c r="E432" s="10" t="str">
        <f aca="false">IF(IF($M432="",0,INDEX(伝票元!$N$6:$N$511,$M432))=1,INDEX(伝票元!$I$6:$I$511,$M432),"")</f>
        <v/>
      </c>
      <c r="F432" s="45" t="str">
        <f aca="false">IF(IF($M432="",0,INDEX(伝票元!$N$6:$N$511,$M432))=1,INDEX(伝票元!$J$6:$J$511,$M432),"")</f>
        <v/>
      </c>
      <c r="G432" s="42" t="str">
        <f aca="false">IF(IF($M432="",0,INDEX(伝票元!$N$6:$N$511,$M432))=1,INDEX(伝票元!$Q$6:$Q$511,$M432),"")</f>
        <v/>
      </c>
      <c r="H432" s="45" t="str">
        <f aca="false">IF($M432="","",INDEX(伝票元!$F$6:$F$511,$M432))</f>
        <v/>
      </c>
      <c r="I432" s="45" t="str">
        <f aca="false">IF($M432="","",INDEX(伝票元!$G$6:$G$511,$M432))</f>
        <v/>
      </c>
      <c r="J432" s="42" t="str">
        <f aca="false">IF($M432="","",INDEX(伝票元!$H$6:$H$511,$M432))</f>
        <v/>
      </c>
      <c r="K432" s="46" t="str">
        <f aca="false">IF(IF($M432="",0,INDEX(伝票元!$N$6:$N$511,$M432))=1,INDEX(伝票元!$R$6:$R$511,$M432),"")</f>
        <v/>
      </c>
      <c r="L432" s="47" t="str">
        <f aca="false">IF($M432="","",INDEX(伝票元!$S$6:$S$511,$M432))</f>
        <v/>
      </c>
      <c r="M432" s="47" t="str">
        <f aca="false">IFERROR(MATCH(426,伝票元!$O$6:$O$511,0),"")</f>
        <v/>
      </c>
    </row>
    <row r="433" customFormat="false" ht="15" hidden="false" customHeight="false" outlineLevel="0" collapsed="false">
      <c r="A433" s="10" t="str">
        <f aca="false">IF($M433="","",INDEX(伝票元!$P$6:$P$511,$M433))</f>
        <v/>
      </c>
      <c r="B433" s="45" t="str">
        <f aca="false">IF($M433="","",INDEX(伝票元!$D$6:$D$511,$M433))</f>
        <v/>
      </c>
      <c r="C433" s="10" t="str">
        <f aca="false">IF($M433="","",INDEX(伝票元!$E$6:$E$511,$M433))</f>
        <v/>
      </c>
      <c r="D433" s="45" t="str">
        <f aca="false">IF($M433="","",INDEX(伝票元!$A$6:$A$511,$M433))</f>
        <v/>
      </c>
      <c r="E433" s="10" t="str">
        <f aca="false">IF(IF($M433="",0,INDEX(伝票元!$N$6:$N$511,$M433))=1,INDEX(伝票元!$I$6:$I$511,$M433),"")</f>
        <v/>
      </c>
      <c r="F433" s="45" t="str">
        <f aca="false">IF(IF($M433="",0,INDEX(伝票元!$N$6:$N$511,$M433))=1,INDEX(伝票元!$J$6:$J$511,$M433),"")</f>
        <v/>
      </c>
      <c r="G433" s="42" t="str">
        <f aca="false">IF(IF($M433="",0,INDEX(伝票元!$N$6:$N$511,$M433))=1,INDEX(伝票元!$Q$6:$Q$511,$M433),"")</f>
        <v/>
      </c>
      <c r="H433" s="45" t="str">
        <f aca="false">IF($M433="","",INDEX(伝票元!$F$6:$F$511,$M433))</f>
        <v/>
      </c>
      <c r="I433" s="45" t="str">
        <f aca="false">IF($M433="","",INDEX(伝票元!$G$6:$G$511,$M433))</f>
        <v/>
      </c>
      <c r="J433" s="42" t="str">
        <f aca="false">IF($M433="","",INDEX(伝票元!$H$6:$H$511,$M433))</f>
        <v/>
      </c>
      <c r="K433" s="46" t="str">
        <f aca="false">IF(IF($M433="",0,INDEX(伝票元!$N$6:$N$511,$M433))=1,INDEX(伝票元!$R$6:$R$511,$M433),"")</f>
        <v/>
      </c>
      <c r="L433" s="47" t="str">
        <f aca="false">IF($M433="","",INDEX(伝票元!$S$6:$S$511,$M433))</f>
        <v/>
      </c>
      <c r="M433" s="47" t="str">
        <f aca="false">IFERROR(MATCH(427,伝票元!$O$6:$O$511,0),"")</f>
        <v/>
      </c>
    </row>
    <row r="434" customFormat="false" ht="15" hidden="false" customHeight="false" outlineLevel="0" collapsed="false">
      <c r="A434" s="10" t="str">
        <f aca="false">IF($M434="","",INDEX(伝票元!$P$6:$P$511,$M434))</f>
        <v/>
      </c>
      <c r="B434" s="45" t="str">
        <f aca="false">IF($M434="","",INDEX(伝票元!$D$6:$D$511,$M434))</f>
        <v/>
      </c>
      <c r="C434" s="10" t="str">
        <f aca="false">IF($M434="","",INDEX(伝票元!$E$6:$E$511,$M434))</f>
        <v/>
      </c>
      <c r="D434" s="45" t="str">
        <f aca="false">IF($M434="","",INDEX(伝票元!$A$6:$A$511,$M434))</f>
        <v/>
      </c>
      <c r="E434" s="10" t="str">
        <f aca="false">IF(IF($M434="",0,INDEX(伝票元!$N$6:$N$511,$M434))=1,INDEX(伝票元!$I$6:$I$511,$M434),"")</f>
        <v/>
      </c>
      <c r="F434" s="45" t="str">
        <f aca="false">IF(IF($M434="",0,INDEX(伝票元!$N$6:$N$511,$M434))=1,INDEX(伝票元!$J$6:$J$511,$M434),"")</f>
        <v/>
      </c>
      <c r="G434" s="42" t="str">
        <f aca="false">IF(IF($M434="",0,INDEX(伝票元!$N$6:$N$511,$M434))=1,INDEX(伝票元!$Q$6:$Q$511,$M434),"")</f>
        <v/>
      </c>
      <c r="H434" s="45" t="str">
        <f aca="false">IF($M434="","",INDEX(伝票元!$F$6:$F$511,$M434))</f>
        <v/>
      </c>
      <c r="I434" s="45" t="str">
        <f aca="false">IF($M434="","",INDEX(伝票元!$G$6:$G$511,$M434))</f>
        <v/>
      </c>
      <c r="J434" s="42" t="str">
        <f aca="false">IF($M434="","",INDEX(伝票元!$H$6:$H$511,$M434))</f>
        <v/>
      </c>
      <c r="K434" s="46" t="str">
        <f aca="false">IF(IF($M434="",0,INDEX(伝票元!$N$6:$N$511,$M434))=1,INDEX(伝票元!$R$6:$R$511,$M434),"")</f>
        <v/>
      </c>
      <c r="L434" s="47" t="str">
        <f aca="false">IF($M434="","",INDEX(伝票元!$S$6:$S$511,$M434))</f>
        <v/>
      </c>
      <c r="M434" s="47" t="str">
        <f aca="false">IFERROR(MATCH(428,伝票元!$O$6:$O$511,0),"")</f>
        <v/>
      </c>
    </row>
    <row r="435" customFormat="false" ht="15" hidden="false" customHeight="false" outlineLevel="0" collapsed="false">
      <c r="A435" s="10" t="str">
        <f aca="false">IF($M435="","",INDEX(伝票元!$P$6:$P$511,$M435))</f>
        <v/>
      </c>
      <c r="B435" s="45" t="str">
        <f aca="false">IF($M435="","",INDEX(伝票元!$D$6:$D$511,$M435))</f>
        <v/>
      </c>
      <c r="C435" s="10" t="str">
        <f aca="false">IF($M435="","",INDEX(伝票元!$E$6:$E$511,$M435))</f>
        <v/>
      </c>
      <c r="D435" s="45" t="str">
        <f aca="false">IF($M435="","",INDEX(伝票元!$A$6:$A$511,$M435))</f>
        <v/>
      </c>
      <c r="E435" s="10" t="str">
        <f aca="false">IF(IF($M435="",0,INDEX(伝票元!$N$6:$N$511,$M435))=1,INDEX(伝票元!$I$6:$I$511,$M435),"")</f>
        <v/>
      </c>
      <c r="F435" s="45" t="str">
        <f aca="false">IF(IF($M435="",0,INDEX(伝票元!$N$6:$N$511,$M435))=1,INDEX(伝票元!$J$6:$J$511,$M435),"")</f>
        <v/>
      </c>
      <c r="G435" s="42" t="str">
        <f aca="false">IF(IF($M435="",0,INDEX(伝票元!$N$6:$N$511,$M435))=1,INDEX(伝票元!$Q$6:$Q$511,$M435),"")</f>
        <v/>
      </c>
      <c r="H435" s="45" t="str">
        <f aca="false">IF($M435="","",INDEX(伝票元!$F$6:$F$511,$M435))</f>
        <v/>
      </c>
      <c r="I435" s="45" t="str">
        <f aca="false">IF($M435="","",INDEX(伝票元!$G$6:$G$511,$M435))</f>
        <v/>
      </c>
      <c r="J435" s="42" t="str">
        <f aca="false">IF($M435="","",INDEX(伝票元!$H$6:$H$511,$M435))</f>
        <v/>
      </c>
      <c r="K435" s="46" t="str">
        <f aca="false">IF(IF($M435="",0,INDEX(伝票元!$N$6:$N$511,$M435))=1,INDEX(伝票元!$R$6:$R$511,$M435),"")</f>
        <v/>
      </c>
      <c r="L435" s="47" t="str">
        <f aca="false">IF($M435="","",INDEX(伝票元!$S$6:$S$511,$M435))</f>
        <v/>
      </c>
      <c r="M435" s="47" t="str">
        <f aca="false">IFERROR(MATCH(429,伝票元!$O$6:$O$511,0),"")</f>
        <v/>
      </c>
    </row>
    <row r="436" customFormat="false" ht="15" hidden="false" customHeight="false" outlineLevel="0" collapsed="false">
      <c r="A436" s="10" t="str">
        <f aca="false">IF($M436="","",INDEX(伝票元!$P$6:$P$511,$M436))</f>
        <v/>
      </c>
      <c r="B436" s="45" t="str">
        <f aca="false">IF($M436="","",INDEX(伝票元!$D$6:$D$511,$M436))</f>
        <v/>
      </c>
      <c r="C436" s="10" t="str">
        <f aca="false">IF($M436="","",INDEX(伝票元!$E$6:$E$511,$M436))</f>
        <v/>
      </c>
      <c r="D436" s="45" t="str">
        <f aca="false">IF($M436="","",INDEX(伝票元!$A$6:$A$511,$M436))</f>
        <v/>
      </c>
      <c r="E436" s="10" t="str">
        <f aca="false">IF(IF($M436="",0,INDEX(伝票元!$N$6:$N$511,$M436))=1,INDEX(伝票元!$I$6:$I$511,$M436),"")</f>
        <v/>
      </c>
      <c r="F436" s="45" t="str">
        <f aca="false">IF(IF($M436="",0,INDEX(伝票元!$N$6:$N$511,$M436))=1,INDEX(伝票元!$J$6:$J$511,$M436),"")</f>
        <v/>
      </c>
      <c r="G436" s="42" t="str">
        <f aca="false">IF(IF($M436="",0,INDEX(伝票元!$N$6:$N$511,$M436))=1,INDEX(伝票元!$Q$6:$Q$511,$M436),"")</f>
        <v/>
      </c>
      <c r="H436" s="45" t="str">
        <f aca="false">IF($M436="","",INDEX(伝票元!$F$6:$F$511,$M436))</f>
        <v/>
      </c>
      <c r="I436" s="45" t="str">
        <f aca="false">IF($M436="","",INDEX(伝票元!$G$6:$G$511,$M436))</f>
        <v/>
      </c>
      <c r="J436" s="42" t="str">
        <f aca="false">IF($M436="","",INDEX(伝票元!$H$6:$H$511,$M436))</f>
        <v/>
      </c>
      <c r="K436" s="46" t="str">
        <f aca="false">IF(IF($M436="",0,INDEX(伝票元!$N$6:$N$511,$M436))=1,INDEX(伝票元!$R$6:$R$511,$M436),"")</f>
        <v/>
      </c>
      <c r="L436" s="47" t="str">
        <f aca="false">IF($M436="","",INDEX(伝票元!$S$6:$S$511,$M436))</f>
        <v/>
      </c>
      <c r="M436" s="47" t="str">
        <f aca="false">IFERROR(MATCH(430,伝票元!$O$6:$O$511,0),"")</f>
        <v/>
      </c>
    </row>
    <row r="437" customFormat="false" ht="15" hidden="false" customHeight="false" outlineLevel="0" collapsed="false">
      <c r="A437" s="10" t="str">
        <f aca="false">IF($M437="","",INDEX(伝票元!$P$6:$P$511,$M437))</f>
        <v/>
      </c>
      <c r="B437" s="45" t="str">
        <f aca="false">IF($M437="","",INDEX(伝票元!$D$6:$D$511,$M437))</f>
        <v/>
      </c>
      <c r="C437" s="10" t="str">
        <f aca="false">IF($M437="","",INDEX(伝票元!$E$6:$E$511,$M437))</f>
        <v/>
      </c>
      <c r="D437" s="45" t="str">
        <f aca="false">IF($M437="","",INDEX(伝票元!$A$6:$A$511,$M437))</f>
        <v/>
      </c>
      <c r="E437" s="10" t="str">
        <f aca="false">IF(IF($M437="",0,INDEX(伝票元!$N$6:$N$511,$M437))=1,INDEX(伝票元!$I$6:$I$511,$M437),"")</f>
        <v/>
      </c>
      <c r="F437" s="45" t="str">
        <f aca="false">IF(IF($M437="",0,INDEX(伝票元!$N$6:$N$511,$M437))=1,INDEX(伝票元!$J$6:$J$511,$M437),"")</f>
        <v/>
      </c>
      <c r="G437" s="42" t="str">
        <f aca="false">IF(IF($M437="",0,INDEX(伝票元!$N$6:$N$511,$M437))=1,INDEX(伝票元!$Q$6:$Q$511,$M437),"")</f>
        <v/>
      </c>
      <c r="H437" s="45" t="str">
        <f aca="false">IF($M437="","",INDEX(伝票元!$F$6:$F$511,$M437))</f>
        <v/>
      </c>
      <c r="I437" s="45" t="str">
        <f aca="false">IF($M437="","",INDEX(伝票元!$G$6:$G$511,$M437))</f>
        <v/>
      </c>
      <c r="J437" s="42" t="str">
        <f aca="false">IF($M437="","",INDEX(伝票元!$H$6:$H$511,$M437))</f>
        <v/>
      </c>
      <c r="K437" s="46" t="str">
        <f aca="false">IF(IF($M437="",0,INDEX(伝票元!$N$6:$N$511,$M437))=1,INDEX(伝票元!$R$6:$R$511,$M437),"")</f>
        <v/>
      </c>
      <c r="L437" s="47" t="str">
        <f aca="false">IF($M437="","",INDEX(伝票元!$S$6:$S$511,$M437))</f>
        <v/>
      </c>
      <c r="M437" s="47" t="str">
        <f aca="false">IFERROR(MATCH(431,伝票元!$O$6:$O$511,0),"")</f>
        <v/>
      </c>
    </row>
    <row r="438" customFormat="false" ht="15" hidden="false" customHeight="false" outlineLevel="0" collapsed="false">
      <c r="A438" s="10" t="str">
        <f aca="false">IF($M438="","",INDEX(伝票元!$P$6:$P$511,$M438))</f>
        <v/>
      </c>
      <c r="B438" s="45" t="str">
        <f aca="false">IF($M438="","",INDEX(伝票元!$D$6:$D$511,$M438))</f>
        <v/>
      </c>
      <c r="C438" s="10" t="str">
        <f aca="false">IF($M438="","",INDEX(伝票元!$E$6:$E$511,$M438))</f>
        <v/>
      </c>
      <c r="D438" s="45" t="str">
        <f aca="false">IF($M438="","",INDEX(伝票元!$A$6:$A$511,$M438))</f>
        <v/>
      </c>
      <c r="E438" s="10" t="str">
        <f aca="false">IF(IF($M438="",0,INDEX(伝票元!$N$6:$N$511,$M438))=1,INDEX(伝票元!$I$6:$I$511,$M438),"")</f>
        <v/>
      </c>
      <c r="F438" s="45" t="str">
        <f aca="false">IF(IF($M438="",0,INDEX(伝票元!$N$6:$N$511,$M438))=1,INDEX(伝票元!$J$6:$J$511,$M438),"")</f>
        <v/>
      </c>
      <c r="G438" s="42" t="str">
        <f aca="false">IF(IF($M438="",0,INDEX(伝票元!$N$6:$N$511,$M438))=1,INDEX(伝票元!$Q$6:$Q$511,$M438),"")</f>
        <v/>
      </c>
      <c r="H438" s="45" t="str">
        <f aca="false">IF($M438="","",INDEX(伝票元!$F$6:$F$511,$M438))</f>
        <v/>
      </c>
      <c r="I438" s="45" t="str">
        <f aca="false">IF($M438="","",INDEX(伝票元!$G$6:$G$511,$M438))</f>
        <v/>
      </c>
      <c r="J438" s="42" t="str">
        <f aca="false">IF($M438="","",INDEX(伝票元!$H$6:$H$511,$M438))</f>
        <v/>
      </c>
      <c r="K438" s="46" t="str">
        <f aca="false">IF(IF($M438="",0,INDEX(伝票元!$N$6:$N$511,$M438))=1,INDEX(伝票元!$R$6:$R$511,$M438),"")</f>
        <v/>
      </c>
      <c r="L438" s="47" t="str">
        <f aca="false">IF($M438="","",INDEX(伝票元!$S$6:$S$511,$M438))</f>
        <v/>
      </c>
      <c r="M438" s="47" t="str">
        <f aca="false">IFERROR(MATCH(432,伝票元!$O$6:$O$511,0),"")</f>
        <v/>
      </c>
    </row>
    <row r="439" customFormat="false" ht="15" hidden="false" customHeight="false" outlineLevel="0" collapsed="false">
      <c r="A439" s="10" t="str">
        <f aca="false">IF($M439="","",INDEX(伝票元!$P$6:$P$511,$M439))</f>
        <v/>
      </c>
      <c r="B439" s="45" t="str">
        <f aca="false">IF($M439="","",INDEX(伝票元!$D$6:$D$511,$M439))</f>
        <v/>
      </c>
      <c r="C439" s="10" t="str">
        <f aca="false">IF($M439="","",INDEX(伝票元!$E$6:$E$511,$M439))</f>
        <v/>
      </c>
      <c r="D439" s="45" t="str">
        <f aca="false">IF($M439="","",INDEX(伝票元!$A$6:$A$511,$M439))</f>
        <v/>
      </c>
      <c r="E439" s="10" t="str">
        <f aca="false">IF(IF($M439="",0,INDEX(伝票元!$N$6:$N$511,$M439))=1,INDEX(伝票元!$I$6:$I$511,$M439),"")</f>
        <v/>
      </c>
      <c r="F439" s="45" t="str">
        <f aca="false">IF(IF($M439="",0,INDEX(伝票元!$N$6:$N$511,$M439))=1,INDEX(伝票元!$J$6:$J$511,$M439),"")</f>
        <v/>
      </c>
      <c r="G439" s="42" t="str">
        <f aca="false">IF(IF($M439="",0,INDEX(伝票元!$N$6:$N$511,$M439))=1,INDEX(伝票元!$Q$6:$Q$511,$M439),"")</f>
        <v/>
      </c>
      <c r="H439" s="45" t="str">
        <f aca="false">IF($M439="","",INDEX(伝票元!$F$6:$F$511,$M439))</f>
        <v/>
      </c>
      <c r="I439" s="45" t="str">
        <f aca="false">IF($M439="","",INDEX(伝票元!$G$6:$G$511,$M439))</f>
        <v/>
      </c>
      <c r="J439" s="42" t="str">
        <f aca="false">IF($M439="","",INDEX(伝票元!$H$6:$H$511,$M439))</f>
        <v/>
      </c>
      <c r="K439" s="46" t="str">
        <f aca="false">IF(IF($M439="",0,INDEX(伝票元!$N$6:$N$511,$M439))=1,INDEX(伝票元!$R$6:$R$511,$M439),"")</f>
        <v/>
      </c>
      <c r="L439" s="47" t="str">
        <f aca="false">IF($M439="","",INDEX(伝票元!$S$6:$S$511,$M439))</f>
        <v/>
      </c>
      <c r="M439" s="47" t="str">
        <f aca="false">IFERROR(MATCH(433,伝票元!$O$6:$O$511,0),"")</f>
        <v/>
      </c>
    </row>
    <row r="440" customFormat="false" ht="15" hidden="false" customHeight="false" outlineLevel="0" collapsed="false">
      <c r="A440" s="10" t="str">
        <f aca="false">IF($M440="","",INDEX(伝票元!$P$6:$P$511,$M440))</f>
        <v/>
      </c>
      <c r="B440" s="45" t="str">
        <f aca="false">IF($M440="","",INDEX(伝票元!$D$6:$D$511,$M440))</f>
        <v/>
      </c>
      <c r="C440" s="10" t="str">
        <f aca="false">IF($M440="","",INDEX(伝票元!$E$6:$E$511,$M440))</f>
        <v/>
      </c>
      <c r="D440" s="45" t="str">
        <f aca="false">IF($M440="","",INDEX(伝票元!$A$6:$A$511,$M440))</f>
        <v/>
      </c>
      <c r="E440" s="10" t="str">
        <f aca="false">IF(IF($M440="",0,INDEX(伝票元!$N$6:$N$511,$M440))=1,INDEX(伝票元!$I$6:$I$511,$M440),"")</f>
        <v/>
      </c>
      <c r="F440" s="45" t="str">
        <f aca="false">IF(IF($M440="",0,INDEX(伝票元!$N$6:$N$511,$M440))=1,INDEX(伝票元!$J$6:$J$511,$M440),"")</f>
        <v/>
      </c>
      <c r="G440" s="42" t="str">
        <f aca="false">IF(IF($M440="",0,INDEX(伝票元!$N$6:$N$511,$M440))=1,INDEX(伝票元!$Q$6:$Q$511,$M440),"")</f>
        <v/>
      </c>
      <c r="H440" s="45" t="str">
        <f aca="false">IF($M440="","",INDEX(伝票元!$F$6:$F$511,$M440))</f>
        <v/>
      </c>
      <c r="I440" s="45" t="str">
        <f aca="false">IF($M440="","",INDEX(伝票元!$G$6:$G$511,$M440))</f>
        <v/>
      </c>
      <c r="J440" s="42" t="str">
        <f aca="false">IF($M440="","",INDEX(伝票元!$H$6:$H$511,$M440))</f>
        <v/>
      </c>
      <c r="K440" s="46" t="str">
        <f aca="false">IF(IF($M440="",0,INDEX(伝票元!$N$6:$N$511,$M440))=1,INDEX(伝票元!$R$6:$R$511,$M440),"")</f>
        <v/>
      </c>
      <c r="L440" s="47" t="str">
        <f aca="false">IF($M440="","",INDEX(伝票元!$S$6:$S$511,$M440))</f>
        <v/>
      </c>
      <c r="M440" s="47" t="str">
        <f aca="false">IFERROR(MATCH(434,伝票元!$O$6:$O$511,0),"")</f>
        <v/>
      </c>
    </row>
    <row r="441" customFormat="false" ht="15" hidden="false" customHeight="false" outlineLevel="0" collapsed="false">
      <c r="A441" s="10" t="str">
        <f aca="false">IF($M441="","",INDEX(伝票元!$P$6:$P$511,$M441))</f>
        <v/>
      </c>
      <c r="B441" s="45" t="str">
        <f aca="false">IF($M441="","",INDEX(伝票元!$D$6:$D$511,$M441))</f>
        <v/>
      </c>
      <c r="C441" s="10" t="str">
        <f aca="false">IF($M441="","",INDEX(伝票元!$E$6:$E$511,$M441))</f>
        <v/>
      </c>
      <c r="D441" s="45" t="str">
        <f aca="false">IF($M441="","",INDEX(伝票元!$A$6:$A$511,$M441))</f>
        <v/>
      </c>
      <c r="E441" s="10" t="str">
        <f aca="false">IF(IF($M441="",0,INDEX(伝票元!$N$6:$N$511,$M441))=1,INDEX(伝票元!$I$6:$I$511,$M441),"")</f>
        <v/>
      </c>
      <c r="F441" s="45" t="str">
        <f aca="false">IF(IF($M441="",0,INDEX(伝票元!$N$6:$N$511,$M441))=1,INDEX(伝票元!$J$6:$J$511,$M441),"")</f>
        <v/>
      </c>
      <c r="G441" s="42" t="str">
        <f aca="false">IF(IF($M441="",0,INDEX(伝票元!$N$6:$N$511,$M441))=1,INDEX(伝票元!$Q$6:$Q$511,$M441),"")</f>
        <v/>
      </c>
      <c r="H441" s="45" t="str">
        <f aca="false">IF($M441="","",INDEX(伝票元!$F$6:$F$511,$M441))</f>
        <v/>
      </c>
      <c r="I441" s="45" t="str">
        <f aca="false">IF($M441="","",INDEX(伝票元!$G$6:$G$511,$M441))</f>
        <v/>
      </c>
      <c r="J441" s="42" t="str">
        <f aca="false">IF($M441="","",INDEX(伝票元!$H$6:$H$511,$M441))</f>
        <v/>
      </c>
      <c r="K441" s="46" t="str">
        <f aca="false">IF(IF($M441="",0,INDEX(伝票元!$N$6:$N$511,$M441))=1,INDEX(伝票元!$R$6:$R$511,$M441),"")</f>
        <v/>
      </c>
      <c r="L441" s="47" t="str">
        <f aca="false">IF($M441="","",INDEX(伝票元!$S$6:$S$511,$M441))</f>
        <v/>
      </c>
      <c r="M441" s="47" t="str">
        <f aca="false">IFERROR(MATCH(435,伝票元!$O$6:$O$511,0),"")</f>
        <v/>
      </c>
    </row>
    <row r="442" customFormat="false" ht="15" hidden="false" customHeight="false" outlineLevel="0" collapsed="false">
      <c r="A442" s="10" t="str">
        <f aca="false">IF($M442="","",INDEX(伝票元!$P$6:$P$511,$M442))</f>
        <v/>
      </c>
      <c r="B442" s="45" t="str">
        <f aca="false">IF($M442="","",INDEX(伝票元!$D$6:$D$511,$M442))</f>
        <v/>
      </c>
      <c r="C442" s="10" t="str">
        <f aca="false">IF($M442="","",INDEX(伝票元!$E$6:$E$511,$M442))</f>
        <v/>
      </c>
      <c r="D442" s="45" t="str">
        <f aca="false">IF($M442="","",INDEX(伝票元!$A$6:$A$511,$M442))</f>
        <v/>
      </c>
      <c r="E442" s="10" t="str">
        <f aca="false">IF(IF($M442="",0,INDEX(伝票元!$N$6:$N$511,$M442))=1,INDEX(伝票元!$I$6:$I$511,$M442),"")</f>
        <v/>
      </c>
      <c r="F442" s="45" t="str">
        <f aca="false">IF(IF($M442="",0,INDEX(伝票元!$N$6:$N$511,$M442))=1,INDEX(伝票元!$J$6:$J$511,$M442),"")</f>
        <v/>
      </c>
      <c r="G442" s="42" t="str">
        <f aca="false">IF(IF($M442="",0,INDEX(伝票元!$N$6:$N$511,$M442))=1,INDEX(伝票元!$Q$6:$Q$511,$M442),"")</f>
        <v/>
      </c>
      <c r="H442" s="45" t="str">
        <f aca="false">IF($M442="","",INDEX(伝票元!$F$6:$F$511,$M442))</f>
        <v/>
      </c>
      <c r="I442" s="45" t="str">
        <f aca="false">IF($M442="","",INDEX(伝票元!$G$6:$G$511,$M442))</f>
        <v/>
      </c>
      <c r="J442" s="42" t="str">
        <f aca="false">IF($M442="","",INDEX(伝票元!$H$6:$H$511,$M442))</f>
        <v/>
      </c>
      <c r="K442" s="46" t="str">
        <f aca="false">IF(IF($M442="",0,INDEX(伝票元!$N$6:$N$511,$M442))=1,INDEX(伝票元!$R$6:$R$511,$M442),"")</f>
        <v/>
      </c>
      <c r="L442" s="47" t="str">
        <f aca="false">IF($M442="","",INDEX(伝票元!$S$6:$S$511,$M442))</f>
        <v/>
      </c>
      <c r="M442" s="47" t="str">
        <f aca="false">IFERROR(MATCH(436,伝票元!$O$6:$O$511,0),"")</f>
        <v/>
      </c>
    </row>
    <row r="443" customFormat="false" ht="15" hidden="false" customHeight="false" outlineLevel="0" collapsed="false">
      <c r="A443" s="10" t="str">
        <f aca="false">IF($M443="","",INDEX(伝票元!$P$6:$P$511,$M443))</f>
        <v/>
      </c>
      <c r="B443" s="45" t="str">
        <f aca="false">IF($M443="","",INDEX(伝票元!$D$6:$D$511,$M443))</f>
        <v/>
      </c>
      <c r="C443" s="10" t="str">
        <f aca="false">IF($M443="","",INDEX(伝票元!$E$6:$E$511,$M443))</f>
        <v/>
      </c>
      <c r="D443" s="45" t="str">
        <f aca="false">IF($M443="","",INDEX(伝票元!$A$6:$A$511,$M443))</f>
        <v/>
      </c>
      <c r="E443" s="10" t="str">
        <f aca="false">IF(IF($M443="",0,INDEX(伝票元!$N$6:$N$511,$M443))=1,INDEX(伝票元!$I$6:$I$511,$M443),"")</f>
        <v/>
      </c>
      <c r="F443" s="45" t="str">
        <f aca="false">IF(IF($M443="",0,INDEX(伝票元!$N$6:$N$511,$M443))=1,INDEX(伝票元!$J$6:$J$511,$M443),"")</f>
        <v/>
      </c>
      <c r="G443" s="42" t="str">
        <f aca="false">IF(IF($M443="",0,INDEX(伝票元!$N$6:$N$511,$M443))=1,INDEX(伝票元!$Q$6:$Q$511,$M443),"")</f>
        <v/>
      </c>
      <c r="H443" s="45" t="str">
        <f aca="false">IF($M443="","",INDEX(伝票元!$F$6:$F$511,$M443))</f>
        <v/>
      </c>
      <c r="I443" s="45" t="str">
        <f aca="false">IF($M443="","",INDEX(伝票元!$G$6:$G$511,$M443))</f>
        <v/>
      </c>
      <c r="J443" s="42" t="str">
        <f aca="false">IF($M443="","",INDEX(伝票元!$H$6:$H$511,$M443))</f>
        <v/>
      </c>
      <c r="K443" s="46" t="str">
        <f aca="false">IF(IF($M443="",0,INDEX(伝票元!$N$6:$N$511,$M443))=1,INDEX(伝票元!$R$6:$R$511,$M443),"")</f>
        <v/>
      </c>
      <c r="L443" s="47" t="str">
        <f aca="false">IF($M443="","",INDEX(伝票元!$S$6:$S$511,$M443))</f>
        <v/>
      </c>
      <c r="M443" s="47" t="str">
        <f aca="false">IFERROR(MATCH(437,伝票元!$O$6:$O$511,0),"")</f>
        <v/>
      </c>
    </row>
    <row r="444" customFormat="false" ht="15" hidden="false" customHeight="false" outlineLevel="0" collapsed="false">
      <c r="A444" s="10" t="str">
        <f aca="false">IF($M444="","",INDEX(伝票元!$P$6:$P$511,$M444))</f>
        <v/>
      </c>
      <c r="B444" s="45" t="str">
        <f aca="false">IF($M444="","",INDEX(伝票元!$D$6:$D$511,$M444))</f>
        <v/>
      </c>
      <c r="C444" s="10" t="str">
        <f aca="false">IF($M444="","",INDEX(伝票元!$E$6:$E$511,$M444))</f>
        <v/>
      </c>
      <c r="D444" s="45" t="str">
        <f aca="false">IF($M444="","",INDEX(伝票元!$A$6:$A$511,$M444))</f>
        <v/>
      </c>
      <c r="E444" s="10" t="str">
        <f aca="false">IF(IF($M444="",0,INDEX(伝票元!$N$6:$N$511,$M444))=1,INDEX(伝票元!$I$6:$I$511,$M444),"")</f>
        <v/>
      </c>
      <c r="F444" s="45" t="str">
        <f aca="false">IF(IF($M444="",0,INDEX(伝票元!$N$6:$N$511,$M444))=1,INDEX(伝票元!$J$6:$J$511,$M444),"")</f>
        <v/>
      </c>
      <c r="G444" s="42" t="str">
        <f aca="false">IF(IF($M444="",0,INDEX(伝票元!$N$6:$N$511,$M444))=1,INDEX(伝票元!$Q$6:$Q$511,$M444),"")</f>
        <v/>
      </c>
      <c r="H444" s="45" t="str">
        <f aca="false">IF($M444="","",INDEX(伝票元!$F$6:$F$511,$M444))</f>
        <v/>
      </c>
      <c r="I444" s="45" t="str">
        <f aca="false">IF($M444="","",INDEX(伝票元!$G$6:$G$511,$M444))</f>
        <v/>
      </c>
      <c r="J444" s="42" t="str">
        <f aca="false">IF($M444="","",INDEX(伝票元!$H$6:$H$511,$M444))</f>
        <v/>
      </c>
      <c r="K444" s="46" t="str">
        <f aca="false">IF(IF($M444="",0,INDEX(伝票元!$N$6:$N$511,$M444))=1,INDEX(伝票元!$R$6:$R$511,$M444),"")</f>
        <v/>
      </c>
      <c r="L444" s="47" t="str">
        <f aca="false">IF($M444="","",INDEX(伝票元!$S$6:$S$511,$M444))</f>
        <v/>
      </c>
      <c r="M444" s="47" t="str">
        <f aca="false">IFERROR(MATCH(438,伝票元!$O$6:$O$511,0),"")</f>
        <v/>
      </c>
    </row>
    <row r="445" customFormat="false" ht="15" hidden="false" customHeight="false" outlineLevel="0" collapsed="false">
      <c r="A445" s="10" t="str">
        <f aca="false">IF($M445="","",INDEX(伝票元!$P$6:$P$511,$M445))</f>
        <v/>
      </c>
      <c r="B445" s="45" t="str">
        <f aca="false">IF($M445="","",INDEX(伝票元!$D$6:$D$511,$M445))</f>
        <v/>
      </c>
      <c r="C445" s="10" t="str">
        <f aca="false">IF($M445="","",INDEX(伝票元!$E$6:$E$511,$M445))</f>
        <v/>
      </c>
      <c r="D445" s="45" t="str">
        <f aca="false">IF($M445="","",INDEX(伝票元!$A$6:$A$511,$M445))</f>
        <v/>
      </c>
      <c r="E445" s="10" t="str">
        <f aca="false">IF(IF($M445="",0,INDEX(伝票元!$N$6:$N$511,$M445))=1,INDEX(伝票元!$I$6:$I$511,$M445),"")</f>
        <v/>
      </c>
      <c r="F445" s="45" t="str">
        <f aca="false">IF(IF($M445="",0,INDEX(伝票元!$N$6:$N$511,$M445))=1,INDEX(伝票元!$J$6:$J$511,$M445),"")</f>
        <v/>
      </c>
      <c r="G445" s="42" t="str">
        <f aca="false">IF(IF($M445="",0,INDEX(伝票元!$N$6:$N$511,$M445))=1,INDEX(伝票元!$Q$6:$Q$511,$M445),"")</f>
        <v/>
      </c>
      <c r="H445" s="45" t="str">
        <f aca="false">IF($M445="","",INDEX(伝票元!$F$6:$F$511,$M445))</f>
        <v/>
      </c>
      <c r="I445" s="45" t="str">
        <f aca="false">IF($M445="","",INDEX(伝票元!$G$6:$G$511,$M445))</f>
        <v/>
      </c>
      <c r="J445" s="42" t="str">
        <f aca="false">IF($M445="","",INDEX(伝票元!$H$6:$H$511,$M445))</f>
        <v/>
      </c>
      <c r="K445" s="46" t="str">
        <f aca="false">IF(IF($M445="",0,INDEX(伝票元!$N$6:$N$511,$M445))=1,INDEX(伝票元!$R$6:$R$511,$M445),"")</f>
        <v/>
      </c>
      <c r="L445" s="47" t="str">
        <f aca="false">IF($M445="","",INDEX(伝票元!$S$6:$S$511,$M445))</f>
        <v/>
      </c>
      <c r="M445" s="47" t="str">
        <f aca="false">IFERROR(MATCH(439,伝票元!$O$6:$O$511,0),"")</f>
        <v/>
      </c>
    </row>
    <row r="446" customFormat="false" ht="15" hidden="false" customHeight="false" outlineLevel="0" collapsed="false">
      <c r="A446" s="10" t="str">
        <f aca="false">IF($M446="","",INDEX(伝票元!$P$6:$P$511,$M446))</f>
        <v/>
      </c>
      <c r="B446" s="45" t="str">
        <f aca="false">IF($M446="","",INDEX(伝票元!$D$6:$D$511,$M446))</f>
        <v/>
      </c>
      <c r="C446" s="10" t="str">
        <f aca="false">IF($M446="","",INDEX(伝票元!$E$6:$E$511,$M446))</f>
        <v/>
      </c>
      <c r="D446" s="45" t="str">
        <f aca="false">IF($M446="","",INDEX(伝票元!$A$6:$A$511,$M446))</f>
        <v/>
      </c>
      <c r="E446" s="10" t="str">
        <f aca="false">IF(IF($M446="",0,INDEX(伝票元!$N$6:$N$511,$M446))=1,INDEX(伝票元!$I$6:$I$511,$M446),"")</f>
        <v/>
      </c>
      <c r="F446" s="45" t="str">
        <f aca="false">IF(IF($M446="",0,INDEX(伝票元!$N$6:$N$511,$M446))=1,INDEX(伝票元!$J$6:$J$511,$M446),"")</f>
        <v/>
      </c>
      <c r="G446" s="42" t="str">
        <f aca="false">IF(IF($M446="",0,INDEX(伝票元!$N$6:$N$511,$M446))=1,INDEX(伝票元!$Q$6:$Q$511,$M446),"")</f>
        <v/>
      </c>
      <c r="H446" s="45" t="str">
        <f aca="false">IF($M446="","",INDEX(伝票元!$F$6:$F$511,$M446))</f>
        <v/>
      </c>
      <c r="I446" s="45" t="str">
        <f aca="false">IF($M446="","",INDEX(伝票元!$G$6:$G$511,$M446))</f>
        <v/>
      </c>
      <c r="J446" s="42" t="str">
        <f aca="false">IF($M446="","",INDEX(伝票元!$H$6:$H$511,$M446))</f>
        <v/>
      </c>
      <c r="K446" s="46" t="str">
        <f aca="false">IF(IF($M446="",0,INDEX(伝票元!$N$6:$N$511,$M446))=1,INDEX(伝票元!$R$6:$R$511,$M446),"")</f>
        <v/>
      </c>
      <c r="L446" s="47" t="str">
        <f aca="false">IF($M446="","",INDEX(伝票元!$S$6:$S$511,$M446))</f>
        <v/>
      </c>
      <c r="M446" s="47" t="str">
        <f aca="false">IFERROR(MATCH(440,伝票元!$O$6:$O$511,0),"")</f>
        <v/>
      </c>
    </row>
    <row r="447" customFormat="false" ht="15" hidden="false" customHeight="false" outlineLevel="0" collapsed="false">
      <c r="A447" s="10" t="str">
        <f aca="false">IF($M447="","",INDEX(伝票元!$P$6:$P$511,$M447))</f>
        <v/>
      </c>
      <c r="B447" s="45" t="str">
        <f aca="false">IF($M447="","",INDEX(伝票元!$D$6:$D$511,$M447))</f>
        <v/>
      </c>
      <c r="C447" s="10" t="str">
        <f aca="false">IF($M447="","",INDEX(伝票元!$E$6:$E$511,$M447))</f>
        <v/>
      </c>
      <c r="D447" s="45" t="str">
        <f aca="false">IF($M447="","",INDEX(伝票元!$A$6:$A$511,$M447))</f>
        <v/>
      </c>
      <c r="E447" s="10" t="str">
        <f aca="false">IF(IF($M447="",0,INDEX(伝票元!$N$6:$N$511,$M447))=1,INDEX(伝票元!$I$6:$I$511,$M447),"")</f>
        <v/>
      </c>
      <c r="F447" s="45" t="str">
        <f aca="false">IF(IF($M447="",0,INDEX(伝票元!$N$6:$N$511,$M447))=1,INDEX(伝票元!$J$6:$J$511,$M447),"")</f>
        <v/>
      </c>
      <c r="G447" s="42" t="str">
        <f aca="false">IF(IF($M447="",0,INDEX(伝票元!$N$6:$N$511,$M447))=1,INDEX(伝票元!$Q$6:$Q$511,$M447),"")</f>
        <v/>
      </c>
      <c r="H447" s="45" t="str">
        <f aca="false">IF($M447="","",INDEX(伝票元!$F$6:$F$511,$M447))</f>
        <v/>
      </c>
      <c r="I447" s="45" t="str">
        <f aca="false">IF($M447="","",INDEX(伝票元!$G$6:$G$511,$M447))</f>
        <v/>
      </c>
      <c r="J447" s="42" t="str">
        <f aca="false">IF($M447="","",INDEX(伝票元!$H$6:$H$511,$M447))</f>
        <v/>
      </c>
      <c r="K447" s="46" t="str">
        <f aca="false">IF(IF($M447="",0,INDEX(伝票元!$N$6:$N$511,$M447))=1,INDEX(伝票元!$R$6:$R$511,$M447),"")</f>
        <v/>
      </c>
      <c r="L447" s="47" t="str">
        <f aca="false">IF($M447="","",INDEX(伝票元!$S$6:$S$511,$M447))</f>
        <v/>
      </c>
      <c r="M447" s="47" t="str">
        <f aca="false">IFERROR(MATCH(441,伝票元!$O$6:$O$511,0),"")</f>
        <v/>
      </c>
    </row>
    <row r="448" customFormat="false" ht="15" hidden="false" customHeight="false" outlineLevel="0" collapsed="false">
      <c r="A448" s="10" t="str">
        <f aca="false">IF($M448="","",INDEX(伝票元!$P$6:$P$511,$M448))</f>
        <v/>
      </c>
      <c r="B448" s="45" t="str">
        <f aca="false">IF($M448="","",INDEX(伝票元!$D$6:$D$511,$M448))</f>
        <v/>
      </c>
      <c r="C448" s="10" t="str">
        <f aca="false">IF($M448="","",INDEX(伝票元!$E$6:$E$511,$M448))</f>
        <v/>
      </c>
      <c r="D448" s="45" t="str">
        <f aca="false">IF($M448="","",INDEX(伝票元!$A$6:$A$511,$M448))</f>
        <v/>
      </c>
      <c r="E448" s="10" t="str">
        <f aca="false">IF(IF($M448="",0,INDEX(伝票元!$N$6:$N$511,$M448))=1,INDEX(伝票元!$I$6:$I$511,$M448),"")</f>
        <v/>
      </c>
      <c r="F448" s="45" t="str">
        <f aca="false">IF(IF($M448="",0,INDEX(伝票元!$N$6:$N$511,$M448))=1,INDEX(伝票元!$J$6:$J$511,$M448),"")</f>
        <v/>
      </c>
      <c r="G448" s="42" t="str">
        <f aca="false">IF(IF($M448="",0,INDEX(伝票元!$N$6:$N$511,$M448))=1,INDEX(伝票元!$Q$6:$Q$511,$M448),"")</f>
        <v/>
      </c>
      <c r="H448" s="45" t="str">
        <f aca="false">IF($M448="","",INDEX(伝票元!$F$6:$F$511,$M448))</f>
        <v/>
      </c>
      <c r="I448" s="45" t="str">
        <f aca="false">IF($M448="","",INDEX(伝票元!$G$6:$G$511,$M448))</f>
        <v/>
      </c>
      <c r="J448" s="42" t="str">
        <f aca="false">IF($M448="","",INDEX(伝票元!$H$6:$H$511,$M448))</f>
        <v/>
      </c>
      <c r="K448" s="46" t="str">
        <f aca="false">IF(IF($M448="",0,INDEX(伝票元!$N$6:$N$511,$M448))=1,INDEX(伝票元!$R$6:$R$511,$M448),"")</f>
        <v/>
      </c>
      <c r="L448" s="47" t="str">
        <f aca="false">IF($M448="","",INDEX(伝票元!$S$6:$S$511,$M448))</f>
        <v/>
      </c>
      <c r="M448" s="47" t="str">
        <f aca="false">IFERROR(MATCH(442,伝票元!$O$6:$O$511,0),"")</f>
        <v/>
      </c>
    </row>
    <row r="449" customFormat="false" ht="15" hidden="false" customHeight="false" outlineLevel="0" collapsed="false">
      <c r="A449" s="10" t="str">
        <f aca="false">IF($M449="","",INDEX(伝票元!$P$6:$P$511,$M449))</f>
        <v/>
      </c>
      <c r="B449" s="45" t="str">
        <f aca="false">IF($M449="","",INDEX(伝票元!$D$6:$D$511,$M449))</f>
        <v/>
      </c>
      <c r="C449" s="10" t="str">
        <f aca="false">IF($M449="","",INDEX(伝票元!$E$6:$E$511,$M449))</f>
        <v/>
      </c>
      <c r="D449" s="45" t="str">
        <f aca="false">IF($M449="","",INDEX(伝票元!$A$6:$A$511,$M449))</f>
        <v/>
      </c>
      <c r="E449" s="10" t="str">
        <f aca="false">IF(IF($M449="",0,INDEX(伝票元!$N$6:$N$511,$M449))=1,INDEX(伝票元!$I$6:$I$511,$M449),"")</f>
        <v/>
      </c>
      <c r="F449" s="45" t="str">
        <f aca="false">IF(IF($M449="",0,INDEX(伝票元!$N$6:$N$511,$M449))=1,INDEX(伝票元!$J$6:$J$511,$M449),"")</f>
        <v/>
      </c>
      <c r="G449" s="42" t="str">
        <f aca="false">IF(IF($M449="",0,INDEX(伝票元!$N$6:$N$511,$M449))=1,INDEX(伝票元!$Q$6:$Q$511,$M449),"")</f>
        <v/>
      </c>
      <c r="H449" s="45" t="str">
        <f aca="false">IF($M449="","",INDEX(伝票元!$F$6:$F$511,$M449))</f>
        <v/>
      </c>
      <c r="I449" s="45" t="str">
        <f aca="false">IF($M449="","",INDEX(伝票元!$G$6:$G$511,$M449))</f>
        <v/>
      </c>
      <c r="J449" s="42" t="str">
        <f aca="false">IF($M449="","",INDEX(伝票元!$H$6:$H$511,$M449))</f>
        <v/>
      </c>
      <c r="K449" s="46" t="str">
        <f aca="false">IF(IF($M449="",0,INDEX(伝票元!$N$6:$N$511,$M449))=1,INDEX(伝票元!$R$6:$R$511,$M449),"")</f>
        <v/>
      </c>
      <c r="L449" s="47" t="str">
        <f aca="false">IF($M449="","",INDEX(伝票元!$S$6:$S$511,$M449))</f>
        <v/>
      </c>
      <c r="M449" s="47" t="str">
        <f aca="false">IFERROR(MATCH(443,伝票元!$O$6:$O$511,0),"")</f>
        <v/>
      </c>
    </row>
    <row r="450" customFormat="false" ht="15" hidden="false" customHeight="false" outlineLevel="0" collapsed="false">
      <c r="A450" s="10" t="str">
        <f aca="false">IF($M450="","",INDEX(伝票元!$P$6:$P$511,$M450))</f>
        <v/>
      </c>
      <c r="B450" s="45" t="str">
        <f aca="false">IF($M450="","",INDEX(伝票元!$D$6:$D$511,$M450))</f>
        <v/>
      </c>
      <c r="C450" s="10" t="str">
        <f aca="false">IF($M450="","",INDEX(伝票元!$E$6:$E$511,$M450))</f>
        <v/>
      </c>
      <c r="D450" s="45" t="str">
        <f aca="false">IF($M450="","",INDEX(伝票元!$A$6:$A$511,$M450))</f>
        <v/>
      </c>
      <c r="E450" s="10" t="str">
        <f aca="false">IF(IF($M450="",0,INDEX(伝票元!$N$6:$N$511,$M450))=1,INDEX(伝票元!$I$6:$I$511,$M450),"")</f>
        <v/>
      </c>
      <c r="F450" s="45" t="str">
        <f aca="false">IF(IF($M450="",0,INDEX(伝票元!$N$6:$N$511,$M450))=1,INDEX(伝票元!$J$6:$J$511,$M450),"")</f>
        <v/>
      </c>
      <c r="G450" s="42" t="str">
        <f aca="false">IF(IF($M450="",0,INDEX(伝票元!$N$6:$N$511,$M450))=1,INDEX(伝票元!$Q$6:$Q$511,$M450),"")</f>
        <v/>
      </c>
      <c r="H450" s="45" t="str">
        <f aca="false">IF($M450="","",INDEX(伝票元!$F$6:$F$511,$M450))</f>
        <v/>
      </c>
      <c r="I450" s="45" t="str">
        <f aca="false">IF($M450="","",INDEX(伝票元!$G$6:$G$511,$M450))</f>
        <v/>
      </c>
      <c r="J450" s="42" t="str">
        <f aca="false">IF($M450="","",INDEX(伝票元!$H$6:$H$511,$M450))</f>
        <v/>
      </c>
      <c r="K450" s="46" t="str">
        <f aca="false">IF(IF($M450="",0,INDEX(伝票元!$N$6:$N$511,$M450))=1,INDEX(伝票元!$R$6:$R$511,$M450),"")</f>
        <v/>
      </c>
      <c r="L450" s="47" t="str">
        <f aca="false">IF($M450="","",INDEX(伝票元!$S$6:$S$511,$M450))</f>
        <v/>
      </c>
      <c r="M450" s="47" t="str">
        <f aca="false">IFERROR(MATCH(444,伝票元!$O$6:$O$511,0),"")</f>
        <v/>
      </c>
    </row>
    <row r="451" customFormat="false" ht="15" hidden="false" customHeight="false" outlineLevel="0" collapsed="false">
      <c r="A451" s="10" t="str">
        <f aca="false">IF($M451="","",INDEX(伝票元!$P$6:$P$511,$M451))</f>
        <v/>
      </c>
      <c r="B451" s="45" t="str">
        <f aca="false">IF($M451="","",INDEX(伝票元!$D$6:$D$511,$M451))</f>
        <v/>
      </c>
      <c r="C451" s="10" t="str">
        <f aca="false">IF($M451="","",INDEX(伝票元!$E$6:$E$511,$M451))</f>
        <v/>
      </c>
      <c r="D451" s="45" t="str">
        <f aca="false">IF($M451="","",INDEX(伝票元!$A$6:$A$511,$M451))</f>
        <v/>
      </c>
      <c r="E451" s="10" t="str">
        <f aca="false">IF(IF($M451="",0,INDEX(伝票元!$N$6:$N$511,$M451))=1,INDEX(伝票元!$I$6:$I$511,$M451),"")</f>
        <v/>
      </c>
      <c r="F451" s="45" t="str">
        <f aca="false">IF(IF($M451="",0,INDEX(伝票元!$N$6:$N$511,$M451))=1,INDEX(伝票元!$J$6:$J$511,$M451),"")</f>
        <v/>
      </c>
      <c r="G451" s="42" t="str">
        <f aca="false">IF(IF($M451="",0,INDEX(伝票元!$N$6:$N$511,$M451))=1,INDEX(伝票元!$Q$6:$Q$511,$M451),"")</f>
        <v/>
      </c>
      <c r="H451" s="45" t="str">
        <f aca="false">IF($M451="","",INDEX(伝票元!$F$6:$F$511,$M451))</f>
        <v/>
      </c>
      <c r="I451" s="45" t="str">
        <f aca="false">IF($M451="","",INDEX(伝票元!$G$6:$G$511,$M451))</f>
        <v/>
      </c>
      <c r="J451" s="42" t="str">
        <f aca="false">IF($M451="","",INDEX(伝票元!$H$6:$H$511,$M451))</f>
        <v/>
      </c>
      <c r="K451" s="46" t="str">
        <f aca="false">IF(IF($M451="",0,INDEX(伝票元!$N$6:$N$511,$M451))=1,INDEX(伝票元!$R$6:$R$511,$M451),"")</f>
        <v/>
      </c>
      <c r="L451" s="47" t="str">
        <f aca="false">IF($M451="","",INDEX(伝票元!$S$6:$S$511,$M451))</f>
        <v/>
      </c>
      <c r="M451" s="47" t="str">
        <f aca="false">IFERROR(MATCH(445,伝票元!$O$6:$O$511,0),"")</f>
        <v/>
      </c>
    </row>
    <row r="452" customFormat="false" ht="15" hidden="false" customHeight="false" outlineLevel="0" collapsed="false">
      <c r="A452" s="10" t="str">
        <f aca="false">IF($M452="","",INDEX(伝票元!$P$6:$P$511,$M452))</f>
        <v/>
      </c>
      <c r="B452" s="45" t="str">
        <f aca="false">IF($M452="","",INDEX(伝票元!$D$6:$D$511,$M452))</f>
        <v/>
      </c>
      <c r="C452" s="10" t="str">
        <f aca="false">IF($M452="","",INDEX(伝票元!$E$6:$E$511,$M452))</f>
        <v/>
      </c>
      <c r="D452" s="45" t="str">
        <f aca="false">IF($M452="","",INDEX(伝票元!$A$6:$A$511,$M452))</f>
        <v/>
      </c>
      <c r="E452" s="10" t="str">
        <f aca="false">IF(IF($M452="",0,INDEX(伝票元!$N$6:$N$511,$M452))=1,INDEX(伝票元!$I$6:$I$511,$M452),"")</f>
        <v/>
      </c>
      <c r="F452" s="45" t="str">
        <f aca="false">IF(IF($M452="",0,INDEX(伝票元!$N$6:$N$511,$M452))=1,INDEX(伝票元!$J$6:$J$511,$M452),"")</f>
        <v/>
      </c>
      <c r="G452" s="42" t="str">
        <f aca="false">IF(IF($M452="",0,INDEX(伝票元!$N$6:$N$511,$M452))=1,INDEX(伝票元!$Q$6:$Q$511,$M452),"")</f>
        <v/>
      </c>
      <c r="H452" s="45" t="str">
        <f aca="false">IF($M452="","",INDEX(伝票元!$F$6:$F$511,$M452))</f>
        <v/>
      </c>
      <c r="I452" s="45" t="str">
        <f aca="false">IF($M452="","",INDEX(伝票元!$G$6:$G$511,$M452))</f>
        <v/>
      </c>
      <c r="J452" s="42" t="str">
        <f aca="false">IF($M452="","",INDEX(伝票元!$H$6:$H$511,$M452))</f>
        <v/>
      </c>
      <c r="K452" s="46" t="str">
        <f aca="false">IF(IF($M452="",0,INDEX(伝票元!$N$6:$N$511,$M452))=1,INDEX(伝票元!$R$6:$R$511,$M452),"")</f>
        <v/>
      </c>
      <c r="L452" s="47" t="str">
        <f aca="false">IF($M452="","",INDEX(伝票元!$S$6:$S$511,$M452))</f>
        <v/>
      </c>
      <c r="M452" s="47" t="str">
        <f aca="false">IFERROR(MATCH(446,伝票元!$O$6:$O$511,0),"")</f>
        <v/>
      </c>
    </row>
    <row r="453" customFormat="false" ht="15" hidden="false" customHeight="false" outlineLevel="0" collapsed="false">
      <c r="A453" s="10" t="str">
        <f aca="false">IF($M453="","",INDEX(伝票元!$P$6:$P$511,$M453))</f>
        <v/>
      </c>
      <c r="B453" s="45" t="str">
        <f aca="false">IF($M453="","",INDEX(伝票元!$D$6:$D$511,$M453))</f>
        <v/>
      </c>
      <c r="C453" s="10" t="str">
        <f aca="false">IF($M453="","",INDEX(伝票元!$E$6:$E$511,$M453))</f>
        <v/>
      </c>
      <c r="D453" s="45" t="str">
        <f aca="false">IF($M453="","",INDEX(伝票元!$A$6:$A$511,$M453))</f>
        <v/>
      </c>
      <c r="E453" s="10" t="str">
        <f aca="false">IF(IF($M453="",0,INDEX(伝票元!$N$6:$N$511,$M453))=1,INDEX(伝票元!$I$6:$I$511,$M453),"")</f>
        <v/>
      </c>
      <c r="F453" s="45" t="str">
        <f aca="false">IF(IF($M453="",0,INDEX(伝票元!$N$6:$N$511,$M453))=1,INDEX(伝票元!$J$6:$J$511,$M453),"")</f>
        <v/>
      </c>
      <c r="G453" s="42" t="str">
        <f aca="false">IF(IF($M453="",0,INDEX(伝票元!$N$6:$N$511,$M453))=1,INDEX(伝票元!$Q$6:$Q$511,$M453),"")</f>
        <v/>
      </c>
      <c r="H453" s="45" t="str">
        <f aca="false">IF($M453="","",INDEX(伝票元!$F$6:$F$511,$M453))</f>
        <v/>
      </c>
      <c r="I453" s="45" t="str">
        <f aca="false">IF($M453="","",INDEX(伝票元!$G$6:$G$511,$M453))</f>
        <v/>
      </c>
      <c r="J453" s="42" t="str">
        <f aca="false">IF($M453="","",INDEX(伝票元!$H$6:$H$511,$M453))</f>
        <v/>
      </c>
      <c r="K453" s="46" t="str">
        <f aca="false">IF(IF($M453="",0,INDEX(伝票元!$N$6:$N$511,$M453))=1,INDEX(伝票元!$R$6:$R$511,$M453),"")</f>
        <v/>
      </c>
      <c r="L453" s="47" t="str">
        <f aca="false">IF($M453="","",INDEX(伝票元!$S$6:$S$511,$M453))</f>
        <v/>
      </c>
      <c r="M453" s="47" t="str">
        <f aca="false">IFERROR(MATCH(447,伝票元!$O$6:$O$511,0),"")</f>
        <v/>
      </c>
    </row>
    <row r="454" customFormat="false" ht="15" hidden="false" customHeight="false" outlineLevel="0" collapsed="false">
      <c r="A454" s="10" t="str">
        <f aca="false">IF($M454="","",INDEX(伝票元!$P$6:$P$511,$M454))</f>
        <v/>
      </c>
      <c r="B454" s="45" t="str">
        <f aca="false">IF($M454="","",INDEX(伝票元!$D$6:$D$511,$M454))</f>
        <v/>
      </c>
      <c r="C454" s="10" t="str">
        <f aca="false">IF($M454="","",INDEX(伝票元!$E$6:$E$511,$M454))</f>
        <v/>
      </c>
      <c r="D454" s="45" t="str">
        <f aca="false">IF($M454="","",INDEX(伝票元!$A$6:$A$511,$M454))</f>
        <v/>
      </c>
      <c r="E454" s="10" t="str">
        <f aca="false">IF(IF($M454="",0,INDEX(伝票元!$N$6:$N$511,$M454))=1,INDEX(伝票元!$I$6:$I$511,$M454),"")</f>
        <v/>
      </c>
      <c r="F454" s="45" t="str">
        <f aca="false">IF(IF($M454="",0,INDEX(伝票元!$N$6:$N$511,$M454))=1,INDEX(伝票元!$J$6:$J$511,$M454),"")</f>
        <v/>
      </c>
      <c r="G454" s="42" t="str">
        <f aca="false">IF(IF($M454="",0,INDEX(伝票元!$N$6:$N$511,$M454))=1,INDEX(伝票元!$Q$6:$Q$511,$M454),"")</f>
        <v/>
      </c>
      <c r="H454" s="45" t="str">
        <f aca="false">IF($M454="","",INDEX(伝票元!$F$6:$F$511,$M454))</f>
        <v/>
      </c>
      <c r="I454" s="45" t="str">
        <f aca="false">IF($M454="","",INDEX(伝票元!$G$6:$G$511,$M454))</f>
        <v/>
      </c>
      <c r="J454" s="42" t="str">
        <f aca="false">IF($M454="","",INDEX(伝票元!$H$6:$H$511,$M454))</f>
        <v/>
      </c>
      <c r="K454" s="46" t="str">
        <f aca="false">IF(IF($M454="",0,INDEX(伝票元!$N$6:$N$511,$M454))=1,INDEX(伝票元!$R$6:$R$511,$M454),"")</f>
        <v/>
      </c>
      <c r="L454" s="47" t="str">
        <f aca="false">IF($M454="","",INDEX(伝票元!$S$6:$S$511,$M454))</f>
        <v/>
      </c>
      <c r="M454" s="47" t="str">
        <f aca="false">IFERROR(MATCH(448,伝票元!$O$6:$O$511,0),"")</f>
        <v/>
      </c>
    </row>
    <row r="455" customFormat="false" ht="15" hidden="false" customHeight="false" outlineLevel="0" collapsed="false">
      <c r="A455" s="10" t="str">
        <f aca="false">IF($M455="","",INDEX(伝票元!$P$6:$P$511,$M455))</f>
        <v/>
      </c>
      <c r="B455" s="45" t="str">
        <f aca="false">IF($M455="","",INDEX(伝票元!$D$6:$D$511,$M455))</f>
        <v/>
      </c>
      <c r="C455" s="10" t="str">
        <f aca="false">IF($M455="","",INDEX(伝票元!$E$6:$E$511,$M455))</f>
        <v/>
      </c>
      <c r="D455" s="45" t="str">
        <f aca="false">IF($M455="","",INDEX(伝票元!$A$6:$A$511,$M455))</f>
        <v/>
      </c>
      <c r="E455" s="10" t="str">
        <f aca="false">IF(IF($M455="",0,INDEX(伝票元!$N$6:$N$511,$M455))=1,INDEX(伝票元!$I$6:$I$511,$M455),"")</f>
        <v/>
      </c>
      <c r="F455" s="45" t="str">
        <f aca="false">IF(IF($M455="",0,INDEX(伝票元!$N$6:$N$511,$M455))=1,INDEX(伝票元!$J$6:$J$511,$M455),"")</f>
        <v/>
      </c>
      <c r="G455" s="42" t="str">
        <f aca="false">IF(IF($M455="",0,INDEX(伝票元!$N$6:$N$511,$M455))=1,INDEX(伝票元!$Q$6:$Q$511,$M455),"")</f>
        <v/>
      </c>
      <c r="H455" s="45" t="str">
        <f aca="false">IF($M455="","",INDEX(伝票元!$F$6:$F$511,$M455))</f>
        <v/>
      </c>
      <c r="I455" s="45" t="str">
        <f aca="false">IF($M455="","",INDEX(伝票元!$G$6:$G$511,$M455))</f>
        <v/>
      </c>
      <c r="J455" s="42" t="str">
        <f aca="false">IF($M455="","",INDEX(伝票元!$H$6:$H$511,$M455))</f>
        <v/>
      </c>
      <c r="K455" s="46" t="str">
        <f aca="false">IF(IF($M455="",0,INDEX(伝票元!$N$6:$N$511,$M455))=1,INDEX(伝票元!$R$6:$R$511,$M455),"")</f>
        <v/>
      </c>
      <c r="L455" s="47" t="str">
        <f aca="false">IF($M455="","",INDEX(伝票元!$S$6:$S$511,$M455))</f>
        <v/>
      </c>
      <c r="M455" s="47" t="str">
        <f aca="false">IFERROR(MATCH(449,伝票元!$O$6:$O$511,0),"")</f>
        <v/>
      </c>
    </row>
    <row r="456" customFormat="false" ht="15" hidden="false" customHeight="false" outlineLevel="0" collapsed="false">
      <c r="A456" s="10" t="str">
        <f aca="false">IF($M456="","",INDEX(伝票元!$P$6:$P$511,$M456))</f>
        <v/>
      </c>
      <c r="B456" s="45" t="str">
        <f aca="false">IF($M456="","",INDEX(伝票元!$D$6:$D$511,$M456))</f>
        <v/>
      </c>
      <c r="C456" s="10" t="str">
        <f aca="false">IF($M456="","",INDEX(伝票元!$E$6:$E$511,$M456))</f>
        <v/>
      </c>
      <c r="D456" s="45" t="str">
        <f aca="false">IF($M456="","",INDEX(伝票元!$A$6:$A$511,$M456))</f>
        <v/>
      </c>
      <c r="E456" s="10" t="str">
        <f aca="false">IF(IF($M456="",0,INDEX(伝票元!$N$6:$N$511,$M456))=1,INDEX(伝票元!$I$6:$I$511,$M456),"")</f>
        <v/>
      </c>
      <c r="F456" s="45" t="str">
        <f aca="false">IF(IF($M456="",0,INDEX(伝票元!$N$6:$N$511,$M456))=1,INDEX(伝票元!$J$6:$J$511,$M456),"")</f>
        <v/>
      </c>
      <c r="G456" s="42" t="str">
        <f aca="false">IF(IF($M456="",0,INDEX(伝票元!$N$6:$N$511,$M456))=1,INDEX(伝票元!$Q$6:$Q$511,$M456),"")</f>
        <v/>
      </c>
      <c r="H456" s="45" t="str">
        <f aca="false">IF($M456="","",INDEX(伝票元!$F$6:$F$511,$M456))</f>
        <v/>
      </c>
      <c r="I456" s="45" t="str">
        <f aca="false">IF($M456="","",INDEX(伝票元!$G$6:$G$511,$M456))</f>
        <v/>
      </c>
      <c r="J456" s="42" t="str">
        <f aca="false">IF($M456="","",INDEX(伝票元!$H$6:$H$511,$M456))</f>
        <v/>
      </c>
      <c r="K456" s="46" t="str">
        <f aca="false">IF(IF($M456="",0,INDEX(伝票元!$N$6:$N$511,$M456))=1,INDEX(伝票元!$R$6:$R$511,$M456),"")</f>
        <v/>
      </c>
      <c r="L456" s="47" t="str">
        <f aca="false">IF($M456="","",INDEX(伝票元!$S$6:$S$511,$M456))</f>
        <v/>
      </c>
      <c r="M456" s="47" t="str">
        <f aca="false">IFERROR(MATCH(450,伝票元!$O$6:$O$511,0),"")</f>
        <v/>
      </c>
    </row>
    <row r="457" customFormat="false" ht="15" hidden="false" customHeight="false" outlineLevel="0" collapsed="false">
      <c r="A457" s="10" t="str">
        <f aca="false">IF($M457="","",INDEX(伝票元!$P$6:$P$511,$M457))</f>
        <v/>
      </c>
      <c r="B457" s="45" t="str">
        <f aca="false">IF($M457="","",INDEX(伝票元!$D$6:$D$511,$M457))</f>
        <v/>
      </c>
      <c r="C457" s="10" t="str">
        <f aca="false">IF($M457="","",INDEX(伝票元!$E$6:$E$511,$M457))</f>
        <v/>
      </c>
      <c r="D457" s="45" t="str">
        <f aca="false">IF($M457="","",INDEX(伝票元!$A$6:$A$511,$M457))</f>
        <v/>
      </c>
      <c r="E457" s="10" t="str">
        <f aca="false">IF(IF($M457="",0,INDEX(伝票元!$N$6:$N$511,$M457))=1,INDEX(伝票元!$I$6:$I$511,$M457),"")</f>
        <v/>
      </c>
      <c r="F457" s="45" t="str">
        <f aca="false">IF(IF($M457="",0,INDEX(伝票元!$N$6:$N$511,$M457))=1,INDEX(伝票元!$J$6:$J$511,$M457),"")</f>
        <v/>
      </c>
      <c r="G457" s="42" t="str">
        <f aca="false">IF(IF($M457="",0,INDEX(伝票元!$N$6:$N$511,$M457))=1,INDEX(伝票元!$Q$6:$Q$511,$M457),"")</f>
        <v/>
      </c>
      <c r="H457" s="45" t="str">
        <f aca="false">IF($M457="","",INDEX(伝票元!$F$6:$F$511,$M457))</f>
        <v/>
      </c>
      <c r="I457" s="45" t="str">
        <f aca="false">IF($M457="","",INDEX(伝票元!$G$6:$G$511,$M457))</f>
        <v/>
      </c>
      <c r="J457" s="42" t="str">
        <f aca="false">IF($M457="","",INDEX(伝票元!$H$6:$H$511,$M457))</f>
        <v/>
      </c>
      <c r="K457" s="46" t="str">
        <f aca="false">IF(IF($M457="",0,INDEX(伝票元!$N$6:$N$511,$M457))=1,INDEX(伝票元!$R$6:$R$511,$M457),"")</f>
        <v/>
      </c>
      <c r="L457" s="47" t="str">
        <f aca="false">IF($M457="","",INDEX(伝票元!$S$6:$S$511,$M457))</f>
        <v/>
      </c>
      <c r="M457" s="47" t="str">
        <f aca="false">IFERROR(MATCH(451,伝票元!$O$6:$O$511,0),"")</f>
        <v/>
      </c>
    </row>
    <row r="458" customFormat="false" ht="15" hidden="false" customHeight="false" outlineLevel="0" collapsed="false">
      <c r="A458" s="10" t="str">
        <f aca="false">IF($M458="","",INDEX(伝票元!$P$6:$P$511,$M458))</f>
        <v/>
      </c>
      <c r="B458" s="45" t="str">
        <f aca="false">IF($M458="","",INDEX(伝票元!$D$6:$D$511,$M458))</f>
        <v/>
      </c>
      <c r="C458" s="10" t="str">
        <f aca="false">IF($M458="","",INDEX(伝票元!$E$6:$E$511,$M458))</f>
        <v/>
      </c>
      <c r="D458" s="45" t="str">
        <f aca="false">IF($M458="","",INDEX(伝票元!$A$6:$A$511,$M458))</f>
        <v/>
      </c>
      <c r="E458" s="10" t="str">
        <f aca="false">IF(IF($M458="",0,INDEX(伝票元!$N$6:$N$511,$M458))=1,INDEX(伝票元!$I$6:$I$511,$M458),"")</f>
        <v/>
      </c>
      <c r="F458" s="45" t="str">
        <f aca="false">IF(IF($M458="",0,INDEX(伝票元!$N$6:$N$511,$M458))=1,INDEX(伝票元!$J$6:$J$511,$M458),"")</f>
        <v/>
      </c>
      <c r="G458" s="42" t="str">
        <f aca="false">IF(IF($M458="",0,INDEX(伝票元!$N$6:$N$511,$M458))=1,INDEX(伝票元!$Q$6:$Q$511,$M458),"")</f>
        <v/>
      </c>
      <c r="H458" s="45" t="str">
        <f aca="false">IF($M458="","",INDEX(伝票元!$F$6:$F$511,$M458))</f>
        <v/>
      </c>
      <c r="I458" s="45" t="str">
        <f aca="false">IF($M458="","",INDEX(伝票元!$G$6:$G$511,$M458))</f>
        <v/>
      </c>
      <c r="J458" s="42" t="str">
        <f aca="false">IF($M458="","",INDEX(伝票元!$H$6:$H$511,$M458))</f>
        <v/>
      </c>
      <c r="K458" s="46" t="str">
        <f aca="false">IF(IF($M458="",0,INDEX(伝票元!$N$6:$N$511,$M458))=1,INDEX(伝票元!$R$6:$R$511,$M458),"")</f>
        <v/>
      </c>
      <c r="L458" s="47" t="str">
        <f aca="false">IF($M458="","",INDEX(伝票元!$S$6:$S$511,$M458))</f>
        <v/>
      </c>
      <c r="M458" s="47" t="str">
        <f aca="false">IFERROR(MATCH(452,伝票元!$O$6:$O$511,0),"")</f>
        <v/>
      </c>
    </row>
    <row r="459" customFormat="false" ht="15" hidden="false" customHeight="false" outlineLevel="0" collapsed="false">
      <c r="A459" s="10" t="str">
        <f aca="false">IF($M459="","",INDEX(伝票元!$P$6:$P$511,$M459))</f>
        <v/>
      </c>
      <c r="B459" s="45" t="str">
        <f aca="false">IF($M459="","",INDEX(伝票元!$D$6:$D$511,$M459))</f>
        <v/>
      </c>
      <c r="C459" s="10" t="str">
        <f aca="false">IF($M459="","",INDEX(伝票元!$E$6:$E$511,$M459))</f>
        <v/>
      </c>
      <c r="D459" s="45" t="str">
        <f aca="false">IF($M459="","",INDEX(伝票元!$A$6:$A$511,$M459))</f>
        <v/>
      </c>
      <c r="E459" s="10" t="str">
        <f aca="false">IF(IF($M459="",0,INDEX(伝票元!$N$6:$N$511,$M459))=1,INDEX(伝票元!$I$6:$I$511,$M459),"")</f>
        <v/>
      </c>
      <c r="F459" s="45" t="str">
        <f aca="false">IF(IF($M459="",0,INDEX(伝票元!$N$6:$N$511,$M459))=1,INDEX(伝票元!$J$6:$J$511,$M459),"")</f>
        <v/>
      </c>
      <c r="G459" s="42" t="str">
        <f aca="false">IF(IF($M459="",0,INDEX(伝票元!$N$6:$N$511,$M459))=1,INDEX(伝票元!$Q$6:$Q$511,$M459),"")</f>
        <v/>
      </c>
      <c r="H459" s="45" t="str">
        <f aca="false">IF($M459="","",INDEX(伝票元!$F$6:$F$511,$M459))</f>
        <v/>
      </c>
      <c r="I459" s="45" t="str">
        <f aca="false">IF($M459="","",INDEX(伝票元!$G$6:$G$511,$M459))</f>
        <v/>
      </c>
      <c r="J459" s="42" t="str">
        <f aca="false">IF($M459="","",INDEX(伝票元!$H$6:$H$511,$M459))</f>
        <v/>
      </c>
      <c r="K459" s="46" t="str">
        <f aca="false">IF(IF($M459="",0,INDEX(伝票元!$N$6:$N$511,$M459))=1,INDEX(伝票元!$R$6:$R$511,$M459),"")</f>
        <v/>
      </c>
      <c r="L459" s="47" t="str">
        <f aca="false">IF($M459="","",INDEX(伝票元!$S$6:$S$511,$M459))</f>
        <v/>
      </c>
      <c r="M459" s="47" t="str">
        <f aca="false">IFERROR(MATCH(453,伝票元!$O$6:$O$511,0),"")</f>
        <v/>
      </c>
    </row>
    <row r="460" customFormat="false" ht="15" hidden="false" customHeight="false" outlineLevel="0" collapsed="false">
      <c r="A460" s="10" t="str">
        <f aca="false">IF($M460="","",INDEX(伝票元!$P$6:$P$511,$M460))</f>
        <v/>
      </c>
      <c r="B460" s="45" t="str">
        <f aca="false">IF($M460="","",INDEX(伝票元!$D$6:$D$511,$M460))</f>
        <v/>
      </c>
      <c r="C460" s="10" t="str">
        <f aca="false">IF($M460="","",INDEX(伝票元!$E$6:$E$511,$M460))</f>
        <v/>
      </c>
      <c r="D460" s="45" t="str">
        <f aca="false">IF($M460="","",INDEX(伝票元!$A$6:$A$511,$M460))</f>
        <v/>
      </c>
      <c r="E460" s="10" t="str">
        <f aca="false">IF(IF($M460="",0,INDEX(伝票元!$N$6:$N$511,$M460))=1,INDEX(伝票元!$I$6:$I$511,$M460),"")</f>
        <v/>
      </c>
      <c r="F460" s="45" t="str">
        <f aca="false">IF(IF($M460="",0,INDEX(伝票元!$N$6:$N$511,$M460))=1,INDEX(伝票元!$J$6:$J$511,$M460),"")</f>
        <v/>
      </c>
      <c r="G460" s="42" t="str">
        <f aca="false">IF(IF($M460="",0,INDEX(伝票元!$N$6:$N$511,$M460))=1,INDEX(伝票元!$Q$6:$Q$511,$M460),"")</f>
        <v/>
      </c>
      <c r="H460" s="45" t="str">
        <f aca="false">IF($M460="","",INDEX(伝票元!$F$6:$F$511,$M460))</f>
        <v/>
      </c>
      <c r="I460" s="45" t="str">
        <f aca="false">IF($M460="","",INDEX(伝票元!$G$6:$G$511,$M460))</f>
        <v/>
      </c>
      <c r="J460" s="42" t="str">
        <f aca="false">IF($M460="","",INDEX(伝票元!$H$6:$H$511,$M460))</f>
        <v/>
      </c>
      <c r="K460" s="46" t="str">
        <f aca="false">IF(IF($M460="",0,INDEX(伝票元!$N$6:$N$511,$M460))=1,INDEX(伝票元!$R$6:$R$511,$M460),"")</f>
        <v/>
      </c>
      <c r="L460" s="47" t="str">
        <f aca="false">IF($M460="","",INDEX(伝票元!$S$6:$S$511,$M460))</f>
        <v/>
      </c>
      <c r="M460" s="47" t="str">
        <f aca="false">IFERROR(MATCH(454,伝票元!$O$6:$O$511,0),"")</f>
        <v/>
      </c>
    </row>
    <row r="461" customFormat="false" ht="15" hidden="false" customHeight="false" outlineLevel="0" collapsed="false">
      <c r="A461" s="10" t="str">
        <f aca="false">IF($M461="","",INDEX(伝票元!$P$6:$P$511,$M461))</f>
        <v/>
      </c>
      <c r="B461" s="45" t="str">
        <f aca="false">IF($M461="","",INDEX(伝票元!$D$6:$D$511,$M461))</f>
        <v/>
      </c>
      <c r="C461" s="10" t="str">
        <f aca="false">IF($M461="","",INDEX(伝票元!$E$6:$E$511,$M461))</f>
        <v/>
      </c>
      <c r="D461" s="45" t="str">
        <f aca="false">IF($M461="","",INDEX(伝票元!$A$6:$A$511,$M461))</f>
        <v/>
      </c>
      <c r="E461" s="10" t="str">
        <f aca="false">IF(IF($M461="",0,INDEX(伝票元!$N$6:$N$511,$M461))=1,INDEX(伝票元!$I$6:$I$511,$M461),"")</f>
        <v/>
      </c>
      <c r="F461" s="45" t="str">
        <f aca="false">IF(IF($M461="",0,INDEX(伝票元!$N$6:$N$511,$M461))=1,INDEX(伝票元!$J$6:$J$511,$M461),"")</f>
        <v/>
      </c>
      <c r="G461" s="42" t="str">
        <f aca="false">IF(IF($M461="",0,INDEX(伝票元!$N$6:$N$511,$M461))=1,INDEX(伝票元!$Q$6:$Q$511,$M461),"")</f>
        <v/>
      </c>
      <c r="H461" s="45" t="str">
        <f aca="false">IF($M461="","",INDEX(伝票元!$F$6:$F$511,$M461))</f>
        <v/>
      </c>
      <c r="I461" s="45" t="str">
        <f aca="false">IF($M461="","",INDEX(伝票元!$G$6:$G$511,$M461))</f>
        <v/>
      </c>
      <c r="J461" s="42" t="str">
        <f aca="false">IF($M461="","",INDEX(伝票元!$H$6:$H$511,$M461))</f>
        <v/>
      </c>
      <c r="K461" s="46" t="str">
        <f aca="false">IF(IF($M461="",0,INDEX(伝票元!$N$6:$N$511,$M461))=1,INDEX(伝票元!$R$6:$R$511,$M461),"")</f>
        <v/>
      </c>
      <c r="L461" s="47" t="str">
        <f aca="false">IF($M461="","",INDEX(伝票元!$S$6:$S$511,$M461))</f>
        <v/>
      </c>
      <c r="M461" s="47" t="str">
        <f aca="false">IFERROR(MATCH(455,伝票元!$O$6:$O$511,0),"")</f>
        <v/>
      </c>
    </row>
    <row r="462" customFormat="false" ht="15" hidden="false" customHeight="false" outlineLevel="0" collapsed="false">
      <c r="A462" s="10" t="str">
        <f aca="false">IF($M462="","",INDEX(伝票元!$P$6:$P$511,$M462))</f>
        <v/>
      </c>
      <c r="B462" s="45" t="str">
        <f aca="false">IF($M462="","",INDEX(伝票元!$D$6:$D$511,$M462))</f>
        <v/>
      </c>
      <c r="C462" s="10" t="str">
        <f aca="false">IF($M462="","",INDEX(伝票元!$E$6:$E$511,$M462))</f>
        <v/>
      </c>
      <c r="D462" s="45" t="str">
        <f aca="false">IF($M462="","",INDEX(伝票元!$A$6:$A$511,$M462))</f>
        <v/>
      </c>
      <c r="E462" s="10" t="str">
        <f aca="false">IF(IF($M462="",0,INDEX(伝票元!$N$6:$N$511,$M462))=1,INDEX(伝票元!$I$6:$I$511,$M462),"")</f>
        <v/>
      </c>
      <c r="F462" s="45" t="str">
        <f aca="false">IF(IF($M462="",0,INDEX(伝票元!$N$6:$N$511,$M462))=1,INDEX(伝票元!$J$6:$J$511,$M462),"")</f>
        <v/>
      </c>
      <c r="G462" s="42" t="str">
        <f aca="false">IF(IF($M462="",0,INDEX(伝票元!$N$6:$N$511,$M462))=1,INDEX(伝票元!$Q$6:$Q$511,$M462),"")</f>
        <v/>
      </c>
      <c r="H462" s="45" t="str">
        <f aca="false">IF($M462="","",INDEX(伝票元!$F$6:$F$511,$M462))</f>
        <v/>
      </c>
      <c r="I462" s="45" t="str">
        <f aca="false">IF($M462="","",INDEX(伝票元!$G$6:$G$511,$M462))</f>
        <v/>
      </c>
      <c r="J462" s="42" t="str">
        <f aca="false">IF($M462="","",INDEX(伝票元!$H$6:$H$511,$M462))</f>
        <v/>
      </c>
      <c r="K462" s="46" t="str">
        <f aca="false">IF(IF($M462="",0,INDEX(伝票元!$N$6:$N$511,$M462))=1,INDEX(伝票元!$R$6:$R$511,$M462),"")</f>
        <v/>
      </c>
      <c r="L462" s="47" t="str">
        <f aca="false">IF($M462="","",INDEX(伝票元!$S$6:$S$511,$M462))</f>
        <v/>
      </c>
      <c r="M462" s="47" t="str">
        <f aca="false">IFERROR(MATCH(456,伝票元!$O$6:$O$511,0),"")</f>
        <v/>
      </c>
    </row>
    <row r="463" customFormat="false" ht="15" hidden="false" customHeight="false" outlineLevel="0" collapsed="false">
      <c r="A463" s="10" t="str">
        <f aca="false">IF($M463="","",INDEX(伝票元!$P$6:$P$511,$M463))</f>
        <v/>
      </c>
      <c r="B463" s="45" t="str">
        <f aca="false">IF($M463="","",INDEX(伝票元!$D$6:$D$511,$M463))</f>
        <v/>
      </c>
      <c r="C463" s="10" t="str">
        <f aca="false">IF($M463="","",INDEX(伝票元!$E$6:$E$511,$M463))</f>
        <v/>
      </c>
      <c r="D463" s="45" t="str">
        <f aca="false">IF($M463="","",INDEX(伝票元!$A$6:$A$511,$M463))</f>
        <v/>
      </c>
      <c r="E463" s="10" t="str">
        <f aca="false">IF(IF($M463="",0,INDEX(伝票元!$N$6:$N$511,$M463))=1,INDEX(伝票元!$I$6:$I$511,$M463),"")</f>
        <v/>
      </c>
      <c r="F463" s="45" t="str">
        <f aca="false">IF(IF($M463="",0,INDEX(伝票元!$N$6:$N$511,$M463))=1,INDEX(伝票元!$J$6:$J$511,$M463),"")</f>
        <v/>
      </c>
      <c r="G463" s="42" t="str">
        <f aca="false">IF(IF($M463="",0,INDEX(伝票元!$N$6:$N$511,$M463))=1,INDEX(伝票元!$Q$6:$Q$511,$M463),"")</f>
        <v/>
      </c>
      <c r="H463" s="45" t="str">
        <f aca="false">IF($M463="","",INDEX(伝票元!$F$6:$F$511,$M463))</f>
        <v/>
      </c>
      <c r="I463" s="45" t="str">
        <f aca="false">IF($M463="","",INDEX(伝票元!$G$6:$G$511,$M463))</f>
        <v/>
      </c>
      <c r="J463" s="42" t="str">
        <f aca="false">IF($M463="","",INDEX(伝票元!$H$6:$H$511,$M463))</f>
        <v/>
      </c>
      <c r="K463" s="46" t="str">
        <f aca="false">IF(IF($M463="",0,INDEX(伝票元!$N$6:$N$511,$M463))=1,INDEX(伝票元!$R$6:$R$511,$M463),"")</f>
        <v/>
      </c>
      <c r="L463" s="47" t="str">
        <f aca="false">IF($M463="","",INDEX(伝票元!$S$6:$S$511,$M463))</f>
        <v/>
      </c>
      <c r="M463" s="47" t="str">
        <f aca="false">IFERROR(MATCH(457,伝票元!$O$6:$O$511,0),"")</f>
        <v/>
      </c>
    </row>
    <row r="464" customFormat="false" ht="15" hidden="false" customHeight="false" outlineLevel="0" collapsed="false">
      <c r="A464" s="10" t="str">
        <f aca="false">IF($M464="","",INDEX(伝票元!$P$6:$P$511,$M464))</f>
        <v/>
      </c>
      <c r="B464" s="45" t="str">
        <f aca="false">IF($M464="","",INDEX(伝票元!$D$6:$D$511,$M464))</f>
        <v/>
      </c>
      <c r="C464" s="10" t="str">
        <f aca="false">IF($M464="","",INDEX(伝票元!$E$6:$E$511,$M464))</f>
        <v/>
      </c>
      <c r="D464" s="45" t="str">
        <f aca="false">IF($M464="","",INDEX(伝票元!$A$6:$A$511,$M464))</f>
        <v/>
      </c>
      <c r="E464" s="10" t="str">
        <f aca="false">IF(IF($M464="",0,INDEX(伝票元!$N$6:$N$511,$M464))=1,INDEX(伝票元!$I$6:$I$511,$M464),"")</f>
        <v/>
      </c>
      <c r="F464" s="45" t="str">
        <f aca="false">IF(IF($M464="",0,INDEX(伝票元!$N$6:$N$511,$M464))=1,INDEX(伝票元!$J$6:$J$511,$M464),"")</f>
        <v/>
      </c>
      <c r="G464" s="42" t="str">
        <f aca="false">IF(IF($M464="",0,INDEX(伝票元!$N$6:$N$511,$M464))=1,INDEX(伝票元!$Q$6:$Q$511,$M464),"")</f>
        <v/>
      </c>
      <c r="H464" s="45" t="str">
        <f aca="false">IF($M464="","",INDEX(伝票元!$F$6:$F$511,$M464))</f>
        <v/>
      </c>
      <c r="I464" s="45" t="str">
        <f aca="false">IF($M464="","",INDEX(伝票元!$G$6:$G$511,$M464))</f>
        <v/>
      </c>
      <c r="J464" s="42" t="str">
        <f aca="false">IF($M464="","",INDEX(伝票元!$H$6:$H$511,$M464))</f>
        <v/>
      </c>
      <c r="K464" s="46" t="str">
        <f aca="false">IF(IF($M464="",0,INDEX(伝票元!$N$6:$N$511,$M464))=1,INDEX(伝票元!$R$6:$R$511,$M464),"")</f>
        <v/>
      </c>
      <c r="L464" s="47" t="str">
        <f aca="false">IF($M464="","",INDEX(伝票元!$S$6:$S$511,$M464))</f>
        <v/>
      </c>
      <c r="M464" s="47" t="str">
        <f aca="false">IFERROR(MATCH(458,伝票元!$O$6:$O$511,0),"")</f>
        <v/>
      </c>
    </row>
    <row r="465" customFormat="false" ht="15" hidden="false" customHeight="false" outlineLevel="0" collapsed="false">
      <c r="A465" s="10" t="str">
        <f aca="false">IF($M465="","",INDEX(伝票元!$P$6:$P$511,$M465))</f>
        <v/>
      </c>
      <c r="B465" s="45" t="str">
        <f aca="false">IF($M465="","",INDEX(伝票元!$D$6:$D$511,$M465))</f>
        <v/>
      </c>
      <c r="C465" s="10" t="str">
        <f aca="false">IF($M465="","",INDEX(伝票元!$E$6:$E$511,$M465))</f>
        <v/>
      </c>
      <c r="D465" s="45" t="str">
        <f aca="false">IF($M465="","",INDEX(伝票元!$A$6:$A$511,$M465))</f>
        <v/>
      </c>
      <c r="E465" s="10" t="str">
        <f aca="false">IF(IF($M465="",0,INDEX(伝票元!$N$6:$N$511,$M465))=1,INDEX(伝票元!$I$6:$I$511,$M465),"")</f>
        <v/>
      </c>
      <c r="F465" s="45" t="str">
        <f aca="false">IF(IF($M465="",0,INDEX(伝票元!$N$6:$N$511,$M465))=1,INDEX(伝票元!$J$6:$J$511,$M465),"")</f>
        <v/>
      </c>
      <c r="G465" s="42" t="str">
        <f aca="false">IF(IF($M465="",0,INDEX(伝票元!$N$6:$N$511,$M465))=1,INDEX(伝票元!$Q$6:$Q$511,$M465),"")</f>
        <v/>
      </c>
      <c r="H465" s="45" t="str">
        <f aca="false">IF($M465="","",INDEX(伝票元!$F$6:$F$511,$M465))</f>
        <v/>
      </c>
      <c r="I465" s="45" t="str">
        <f aca="false">IF($M465="","",INDEX(伝票元!$G$6:$G$511,$M465))</f>
        <v/>
      </c>
      <c r="J465" s="42" t="str">
        <f aca="false">IF($M465="","",INDEX(伝票元!$H$6:$H$511,$M465))</f>
        <v/>
      </c>
      <c r="K465" s="46" t="str">
        <f aca="false">IF(IF($M465="",0,INDEX(伝票元!$N$6:$N$511,$M465))=1,INDEX(伝票元!$R$6:$R$511,$M465),"")</f>
        <v/>
      </c>
      <c r="L465" s="47" t="str">
        <f aca="false">IF($M465="","",INDEX(伝票元!$S$6:$S$511,$M465))</f>
        <v/>
      </c>
      <c r="M465" s="47" t="str">
        <f aca="false">IFERROR(MATCH(459,伝票元!$O$6:$O$511,0),"")</f>
        <v/>
      </c>
    </row>
    <row r="466" customFormat="false" ht="15" hidden="false" customHeight="false" outlineLevel="0" collapsed="false">
      <c r="A466" s="10" t="str">
        <f aca="false">IF($M466="","",INDEX(伝票元!$P$6:$P$511,$M466))</f>
        <v/>
      </c>
      <c r="B466" s="45" t="str">
        <f aca="false">IF($M466="","",INDEX(伝票元!$D$6:$D$511,$M466))</f>
        <v/>
      </c>
      <c r="C466" s="10" t="str">
        <f aca="false">IF($M466="","",INDEX(伝票元!$E$6:$E$511,$M466))</f>
        <v/>
      </c>
      <c r="D466" s="45" t="str">
        <f aca="false">IF($M466="","",INDEX(伝票元!$A$6:$A$511,$M466))</f>
        <v/>
      </c>
      <c r="E466" s="10" t="str">
        <f aca="false">IF(IF($M466="",0,INDEX(伝票元!$N$6:$N$511,$M466))=1,INDEX(伝票元!$I$6:$I$511,$M466),"")</f>
        <v/>
      </c>
      <c r="F466" s="45" t="str">
        <f aca="false">IF(IF($M466="",0,INDEX(伝票元!$N$6:$N$511,$M466))=1,INDEX(伝票元!$J$6:$J$511,$M466),"")</f>
        <v/>
      </c>
      <c r="G466" s="42" t="str">
        <f aca="false">IF(IF($M466="",0,INDEX(伝票元!$N$6:$N$511,$M466))=1,INDEX(伝票元!$Q$6:$Q$511,$M466),"")</f>
        <v/>
      </c>
      <c r="H466" s="45" t="str">
        <f aca="false">IF($M466="","",INDEX(伝票元!$F$6:$F$511,$M466))</f>
        <v/>
      </c>
      <c r="I466" s="45" t="str">
        <f aca="false">IF($M466="","",INDEX(伝票元!$G$6:$G$511,$M466))</f>
        <v/>
      </c>
      <c r="J466" s="42" t="str">
        <f aca="false">IF($M466="","",INDEX(伝票元!$H$6:$H$511,$M466))</f>
        <v/>
      </c>
      <c r="K466" s="46" t="str">
        <f aca="false">IF(IF($M466="",0,INDEX(伝票元!$N$6:$N$511,$M466))=1,INDEX(伝票元!$R$6:$R$511,$M466),"")</f>
        <v/>
      </c>
      <c r="L466" s="47" t="str">
        <f aca="false">IF($M466="","",INDEX(伝票元!$S$6:$S$511,$M466))</f>
        <v/>
      </c>
      <c r="M466" s="47" t="str">
        <f aca="false">IFERROR(MATCH(460,伝票元!$O$6:$O$511,0),"")</f>
        <v/>
      </c>
    </row>
    <row r="467" customFormat="false" ht="15" hidden="false" customHeight="false" outlineLevel="0" collapsed="false">
      <c r="A467" s="10" t="str">
        <f aca="false">IF($M467="","",INDEX(伝票元!$P$6:$P$511,$M467))</f>
        <v/>
      </c>
      <c r="B467" s="45" t="str">
        <f aca="false">IF($M467="","",INDEX(伝票元!$D$6:$D$511,$M467))</f>
        <v/>
      </c>
      <c r="C467" s="10" t="str">
        <f aca="false">IF($M467="","",INDEX(伝票元!$E$6:$E$511,$M467))</f>
        <v/>
      </c>
      <c r="D467" s="45" t="str">
        <f aca="false">IF($M467="","",INDEX(伝票元!$A$6:$A$511,$M467))</f>
        <v/>
      </c>
      <c r="E467" s="10" t="str">
        <f aca="false">IF(IF($M467="",0,INDEX(伝票元!$N$6:$N$511,$M467))=1,INDEX(伝票元!$I$6:$I$511,$M467),"")</f>
        <v/>
      </c>
      <c r="F467" s="45" t="str">
        <f aca="false">IF(IF($M467="",0,INDEX(伝票元!$N$6:$N$511,$M467))=1,INDEX(伝票元!$J$6:$J$511,$M467),"")</f>
        <v/>
      </c>
      <c r="G467" s="42" t="str">
        <f aca="false">IF(IF($M467="",0,INDEX(伝票元!$N$6:$N$511,$M467))=1,INDEX(伝票元!$Q$6:$Q$511,$M467),"")</f>
        <v/>
      </c>
      <c r="H467" s="45" t="str">
        <f aca="false">IF($M467="","",INDEX(伝票元!$F$6:$F$511,$M467))</f>
        <v/>
      </c>
      <c r="I467" s="45" t="str">
        <f aca="false">IF($M467="","",INDEX(伝票元!$G$6:$G$511,$M467))</f>
        <v/>
      </c>
      <c r="J467" s="42" t="str">
        <f aca="false">IF($M467="","",INDEX(伝票元!$H$6:$H$511,$M467))</f>
        <v/>
      </c>
      <c r="K467" s="46" t="str">
        <f aca="false">IF(IF($M467="",0,INDEX(伝票元!$N$6:$N$511,$M467))=1,INDEX(伝票元!$R$6:$R$511,$M467),"")</f>
        <v/>
      </c>
      <c r="L467" s="47" t="str">
        <f aca="false">IF($M467="","",INDEX(伝票元!$S$6:$S$511,$M467))</f>
        <v/>
      </c>
      <c r="M467" s="47" t="str">
        <f aca="false">IFERROR(MATCH(461,伝票元!$O$6:$O$511,0),"")</f>
        <v/>
      </c>
    </row>
    <row r="468" customFormat="false" ht="15" hidden="false" customHeight="false" outlineLevel="0" collapsed="false">
      <c r="A468" s="10" t="str">
        <f aca="false">IF($M468="","",INDEX(伝票元!$P$6:$P$511,$M468))</f>
        <v/>
      </c>
      <c r="B468" s="45" t="str">
        <f aca="false">IF($M468="","",INDEX(伝票元!$D$6:$D$511,$M468))</f>
        <v/>
      </c>
      <c r="C468" s="10" t="str">
        <f aca="false">IF($M468="","",INDEX(伝票元!$E$6:$E$511,$M468))</f>
        <v/>
      </c>
      <c r="D468" s="45" t="str">
        <f aca="false">IF($M468="","",INDEX(伝票元!$A$6:$A$511,$M468))</f>
        <v/>
      </c>
      <c r="E468" s="10" t="str">
        <f aca="false">IF(IF($M468="",0,INDEX(伝票元!$N$6:$N$511,$M468))=1,INDEX(伝票元!$I$6:$I$511,$M468),"")</f>
        <v/>
      </c>
      <c r="F468" s="45" t="str">
        <f aca="false">IF(IF($M468="",0,INDEX(伝票元!$N$6:$N$511,$M468))=1,INDEX(伝票元!$J$6:$J$511,$M468),"")</f>
        <v/>
      </c>
      <c r="G468" s="42" t="str">
        <f aca="false">IF(IF($M468="",0,INDEX(伝票元!$N$6:$N$511,$M468))=1,INDEX(伝票元!$Q$6:$Q$511,$M468),"")</f>
        <v/>
      </c>
      <c r="H468" s="45" t="str">
        <f aca="false">IF($M468="","",INDEX(伝票元!$F$6:$F$511,$M468))</f>
        <v/>
      </c>
      <c r="I468" s="45" t="str">
        <f aca="false">IF($M468="","",INDEX(伝票元!$G$6:$G$511,$M468))</f>
        <v/>
      </c>
      <c r="J468" s="42" t="str">
        <f aca="false">IF($M468="","",INDEX(伝票元!$H$6:$H$511,$M468))</f>
        <v/>
      </c>
      <c r="K468" s="46" t="str">
        <f aca="false">IF(IF($M468="",0,INDEX(伝票元!$N$6:$N$511,$M468))=1,INDEX(伝票元!$R$6:$R$511,$M468),"")</f>
        <v/>
      </c>
      <c r="L468" s="47" t="str">
        <f aca="false">IF($M468="","",INDEX(伝票元!$S$6:$S$511,$M468))</f>
        <v/>
      </c>
      <c r="M468" s="47" t="str">
        <f aca="false">IFERROR(MATCH(462,伝票元!$O$6:$O$511,0),"")</f>
        <v/>
      </c>
    </row>
    <row r="469" customFormat="false" ht="15" hidden="false" customHeight="false" outlineLevel="0" collapsed="false">
      <c r="A469" s="10" t="str">
        <f aca="false">IF($M469="","",INDEX(伝票元!$P$6:$P$511,$M469))</f>
        <v/>
      </c>
      <c r="B469" s="45" t="str">
        <f aca="false">IF($M469="","",INDEX(伝票元!$D$6:$D$511,$M469))</f>
        <v/>
      </c>
      <c r="C469" s="10" t="str">
        <f aca="false">IF($M469="","",INDEX(伝票元!$E$6:$E$511,$M469))</f>
        <v/>
      </c>
      <c r="D469" s="45" t="str">
        <f aca="false">IF($M469="","",INDEX(伝票元!$A$6:$A$511,$M469))</f>
        <v/>
      </c>
      <c r="E469" s="10" t="str">
        <f aca="false">IF(IF($M469="",0,INDEX(伝票元!$N$6:$N$511,$M469))=1,INDEX(伝票元!$I$6:$I$511,$M469),"")</f>
        <v/>
      </c>
      <c r="F469" s="45" t="str">
        <f aca="false">IF(IF($M469="",0,INDEX(伝票元!$N$6:$N$511,$M469))=1,INDEX(伝票元!$J$6:$J$511,$M469),"")</f>
        <v/>
      </c>
      <c r="G469" s="42" t="str">
        <f aca="false">IF(IF($M469="",0,INDEX(伝票元!$N$6:$N$511,$M469))=1,INDEX(伝票元!$Q$6:$Q$511,$M469),"")</f>
        <v/>
      </c>
      <c r="H469" s="45" t="str">
        <f aca="false">IF($M469="","",INDEX(伝票元!$F$6:$F$511,$M469))</f>
        <v/>
      </c>
      <c r="I469" s="45" t="str">
        <f aca="false">IF($M469="","",INDEX(伝票元!$G$6:$G$511,$M469))</f>
        <v/>
      </c>
      <c r="J469" s="42" t="str">
        <f aca="false">IF($M469="","",INDEX(伝票元!$H$6:$H$511,$M469))</f>
        <v/>
      </c>
      <c r="K469" s="46" t="str">
        <f aca="false">IF(IF($M469="",0,INDEX(伝票元!$N$6:$N$511,$M469))=1,INDEX(伝票元!$R$6:$R$511,$M469),"")</f>
        <v/>
      </c>
      <c r="L469" s="47" t="str">
        <f aca="false">IF($M469="","",INDEX(伝票元!$S$6:$S$511,$M469))</f>
        <v/>
      </c>
      <c r="M469" s="47" t="str">
        <f aca="false">IFERROR(MATCH(463,伝票元!$O$6:$O$511,0),"")</f>
        <v/>
      </c>
    </row>
    <row r="470" customFormat="false" ht="15" hidden="false" customHeight="false" outlineLevel="0" collapsed="false">
      <c r="A470" s="10" t="str">
        <f aca="false">IF($M470="","",INDEX(伝票元!$P$6:$P$511,$M470))</f>
        <v/>
      </c>
      <c r="B470" s="45" t="str">
        <f aca="false">IF($M470="","",INDEX(伝票元!$D$6:$D$511,$M470))</f>
        <v/>
      </c>
      <c r="C470" s="10" t="str">
        <f aca="false">IF($M470="","",INDEX(伝票元!$E$6:$E$511,$M470))</f>
        <v/>
      </c>
      <c r="D470" s="45" t="str">
        <f aca="false">IF($M470="","",INDEX(伝票元!$A$6:$A$511,$M470))</f>
        <v/>
      </c>
      <c r="E470" s="10" t="str">
        <f aca="false">IF(IF($M470="",0,INDEX(伝票元!$N$6:$N$511,$M470))=1,INDEX(伝票元!$I$6:$I$511,$M470),"")</f>
        <v/>
      </c>
      <c r="F470" s="45" t="str">
        <f aca="false">IF(IF($M470="",0,INDEX(伝票元!$N$6:$N$511,$M470))=1,INDEX(伝票元!$J$6:$J$511,$M470),"")</f>
        <v/>
      </c>
      <c r="G470" s="42" t="str">
        <f aca="false">IF(IF($M470="",0,INDEX(伝票元!$N$6:$N$511,$M470))=1,INDEX(伝票元!$Q$6:$Q$511,$M470),"")</f>
        <v/>
      </c>
      <c r="H470" s="45" t="str">
        <f aca="false">IF($M470="","",INDEX(伝票元!$F$6:$F$511,$M470))</f>
        <v/>
      </c>
      <c r="I470" s="45" t="str">
        <f aca="false">IF($M470="","",INDEX(伝票元!$G$6:$G$511,$M470))</f>
        <v/>
      </c>
      <c r="J470" s="42" t="str">
        <f aca="false">IF($M470="","",INDEX(伝票元!$H$6:$H$511,$M470))</f>
        <v/>
      </c>
      <c r="K470" s="46" t="str">
        <f aca="false">IF(IF($M470="",0,INDEX(伝票元!$N$6:$N$511,$M470))=1,INDEX(伝票元!$R$6:$R$511,$M470),"")</f>
        <v/>
      </c>
      <c r="L470" s="47" t="str">
        <f aca="false">IF($M470="","",INDEX(伝票元!$S$6:$S$511,$M470))</f>
        <v/>
      </c>
      <c r="M470" s="47" t="str">
        <f aca="false">IFERROR(MATCH(464,伝票元!$O$6:$O$511,0),"")</f>
        <v/>
      </c>
    </row>
    <row r="471" customFormat="false" ht="15" hidden="false" customHeight="false" outlineLevel="0" collapsed="false">
      <c r="A471" s="10" t="str">
        <f aca="false">IF($M471="","",INDEX(伝票元!$P$6:$P$511,$M471))</f>
        <v/>
      </c>
      <c r="B471" s="45" t="str">
        <f aca="false">IF($M471="","",INDEX(伝票元!$D$6:$D$511,$M471))</f>
        <v/>
      </c>
      <c r="C471" s="10" t="str">
        <f aca="false">IF($M471="","",INDEX(伝票元!$E$6:$E$511,$M471))</f>
        <v/>
      </c>
      <c r="D471" s="45" t="str">
        <f aca="false">IF($M471="","",INDEX(伝票元!$A$6:$A$511,$M471))</f>
        <v/>
      </c>
      <c r="E471" s="10" t="str">
        <f aca="false">IF(IF($M471="",0,INDEX(伝票元!$N$6:$N$511,$M471))=1,INDEX(伝票元!$I$6:$I$511,$M471),"")</f>
        <v/>
      </c>
      <c r="F471" s="45" t="str">
        <f aca="false">IF(IF($M471="",0,INDEX(伝票元!$N$6:$N$511,$M471))=1,INDEX(伝票元!$J$6:$J$511,$M471),"")</f>
        <v/>
      </c>
      <c r="G471" s="42" t="str">
        <f aca="false">IF(IF($M471="",0,INDEX(伝票元!$N$6:$N$511,$M471))=1,INDEX(伝票元!$Q$6:$Q$511,$M471),"")</f>
        <v/>
      </c>
      <c r="H471" s="45" t="str">
        <f aca="false">IF($M471="","",INDEX(伝票元!$F$6:$F$511,$M471))</f>
        <v/>
      </c>
      <c r="I471" s="45" t="str">
        <f aca="false">IF($M471="","",INDEX(伝票元!$G$6:$G$511,$M471))</f>
        <v/>
      </c>
      <c r="J471" s="42" t="str">
        <f aca="false">IF($M471="","",INDEX(伝票元!$H$6:$H$511,$M471))</f>
        <v/>
      </c>
      <c r="K471" s="46" t="str">
        <f aca="false">IF(IF($M471="",0,INDEX(伝票元!$N$6:$N$511,$M471))=1,INDEX(伝票元!$R$6:$R$511,$M471),"")</f>
        <v/>
      </c>
      <c r="L471" s="47" t="str">
        <f aca="false">IF($M471="","",INDEX(伝票元!$S$6:$S$511,$M471))</f>
        <v/>
      </c>
      <c r="M471" s="47" t="str">
        <f aca="false">IFERROR(MATCH(465,伝票元!$O$6:$O$511,0),"")</f>
        <v/>
      </c>
    </row>
    <row r="472" customFormat="false" ht="15" hidden="false" customHeight="false" outlineLevel="0" collapsed="false">
      <c r="A472" s="10" t="str">
        <f aca="false">IF($M472="","",INDEX(伝票元!$P$6:$P$511,$M472))</f>
        <v/>
      </c>
      <c r="B472" s="45" t="str">
        <f aca="false">IF($M472="","",INDEX(伝票元!$D$6:$D$511,$M472))</f>
        <v/>
      </c>
      <c r="C472" s="10" t="str">
        <f aca="false">IF($M472="","",INDEX(伝票元!$E$6:$E$511,$M472))</f>
        <v/>
      </c>
      <c r="D472" s="45" t="str">
        <f aca="false">IF($M472="","",INDEX(伝票元!$A$6:$A$511,$M472))</f>
        <v/>
      </c>
      <c r="E472" s="10" t="str">
        <f aca="false">IF(IF($M472="",0,INDEX(伝票元!$N$6:$N$511,$M472))=1,INDEX(伝票元!$I$6:$I$511,$M472),"")</f>
        <v/>
      </c>
      <c r="F472" s="45" t="str">
        <f aca="false">IF(IF($M472="",0,INDEX(伝票元!$N$6:$N$511,$M472))=1,INDEX(伝票元!$J$6:$J$511,$M472),"")</f>
        <v/>
      </c>
      <c r="G472" s="42" t="str">
        <f aca="false">IF(IF($M472="",0,INDEX(伝票元!$N$6:$N$511,$M472))=1,INDEX(伝票元!$Q$6:$Q$511,$M472),"")</f>
        <v/>
      </c>
      <c r="H472" s="45" t="str">
        <f aca="false">IF($M472="","",INDEX(伝票元!$F$6:$F$511,$M472))</f>
        <v/>
      </c>
      <c r="I472" s="45" t="str">
        <f aca="false">IF($M472="","",INDEX(伝票元!$G$6:$G$511,$M472))</f>
        <v/>
      </c>
      <c r="J472" s="42" t="str">
        <f aca="false">IF($M472="","",INDEX(伝票元!$H$6:$H$511,$M472))</f>
        <v/>
      </c>
      <c r="K472" s="46" t="str">
        <f aca="false">IF(IF($M472="",0,INDEX(伝票元!$N$6:$N$511,$M472))=1,INDEX(伝票元!$R$6:$R$511,$M472),"")</f>
        <v/>
      </c>
      <c r="L472" s="47" t="str">
        <f aca="false">IF($M472="","",INDEX(伝票元!$S$6:$S$511,$M472))</f>
        <v/>
      </c>
      <c r="M472" s="47" t="str">
        <f aca="false">IFERROR(MATCH(466,伝票元!$O$6:$O$511,0),"")</f>
        <v/>
      </c>
    </row>
    <row r="473" customFormat="false" ht="15" hidden="false" customHeight="false" outlineLevel="0" collapsed="false">
      <c r="A473" s="10" t="str">
        <f aca="false">IF($M473="","",INDEX(伝票元!$P$6:$P$511,$M473))</f>
        <v/>
      </c>
      <c r="B473" s="45" t="str">
        <f aca="false">IF($M473="","",INDEX(伝票元!$D$6:$D$511,$M473))</f>
        <v/>
      </c>
      <c r="C473" s="10" t="str">
        <f aca="false">IF($M473="","",INDEX(伝票元!$E$6:$E$511,$M473))</f>
        <v/>
      </c>
      <c r="D473" s="45" t="str">
        <f aca="false">IF($M473="","",INDEX(伝票元!$A$6:$A$511,$M473))</f>
        <v/>
      </c>
      <c r="E473" s="10" t="str">
        <f aca="false">IF(IF($M473="",0,INDEX(伝票元!$N$6:$N$511,$M473))=1,INDEX(伝票元!$I$6:$I$511,$M473),"")</f>
        <v/>
      </c>
      <c r="F473" s="45" t="str">
        <f aca="false">IF(IF($M473="",0,INDEX(伝票元!$N$6:$N$511,$M473))=1,INDEX(伝票元!$J$6:$J$511,$M473),"")</f>
        <v/>
      </c>
      <c r="G473" s="42" t="str">
        <f aca="false">IF(IF($M473="",0,INDEX(伝票元!$N$6:$N$511,$M473))=1,INDEX(伝票元!$Q$6:$Q$511,$M473),"")</f>
        <v/>
      </c>
      <c r="H473" s="45" t="str">
        <f aca="false">IF($M473="","",INDEX(伝票元!$F$6:$F$511,$M473))</f>
        <v/>
      </c>
      <c r="I473" s="45" t="str">
        <f aca="false">IF($M473="","",INDEX(伝票元!$G$6:$G$511,$M473))</f>
        <v/>
      </c>
      <c r="J473" s="42" t="str">
        <f aca="false">IF($M473="","",INDEX(伝票元!$H$6:$H$511,$M473))</f>
        <v/>
      </c>
      <c r="K473" s="46" t="str">
        <f aca="false">IF(IF($M473="",0,INDEX(伝票元!$N$6:$N$511,$M473))=1,INDEX(伝票元!$R$6:$R$511,$M473),"")</f>
        <v/>
      </c>
      <c r="L473" s="47" t="str">
        <f aca="false">IF($M473="","",INDEX(伝票元!$S$6:$S$511,$M473))</f>
        <v/>
      </c>
      <c r="M473" s="47" t="str">
        <f aca="false">IFERROR(MATCH(467,伝票元!$O$6:$O$511,0),"")</f>
        <v/>
      </c>
    </row>
    <row r="474" customFormat="false" ht="15" hidden="false" customHeight="false" outlineLevel="0" collapsed="false">
      <c r="A474" s="10" t="str">
        <f aca="false">IF($M474="","",INDEX(伝票元!$P$6:$P$511,$M474))</f>
        <v/>
      </c>
      <c r="B474" s="45" t="str">
        <f aca="false">IF($M474="","",INDEX(伝票元!$D$6:$D$511,$M474))</f>
        <v/>
      </c>
      <c r="C474" s="10" t="str">
        <f aca="false">IF($M474="","",INDEX(伝票元!$E$6:$E$511,$M474))</f>
        <v/>
      </c>
      <c r="D474" s="45" t="str">
        <f aca="false">IF($M474="","",INDEX(伝票元!$A$6:$A$511,$M474))</f>
        <v/>
      </c>
      <c r="E474" s="10" t="str">
        <f aca="false">IF(IF($M474="",0,INDEX(伝票元!$N$6:$N$511,$M474))=1,INDEX(伝票元!$I$6:$I$511,$M474),"")</f>
        <v/>
      </c>
      <c r="F474" s="45" t="str">
        <f aca="false">IF(IF($M474="",0,INDEX(伝票元!$N$6:$N$511,$M474))=1,INDEX(伝票元!$J$6:$J$511,$M474),"")</f>
        <v/>
      </c>
      <c r="G474" s="42" t="str">
        <f aca="false">IF(IF($M474="",0,INDEX(伝票元!$N$6:$N$511,$M474))=1,INDEX(伝票元!$Q$6:$Q$511,$M474),"")</f>
        <v/>
      </c>
      <c r="H474" s="45" t="str">
        <f aca="false">IF($M474="","",INDEX(伝票元!$F$6:$F$511,$M474))</f>
        <v/>
      </c>
      <c r="I474" s="45" t="str">
        <f aca="false">IF($M474="","",INDEX(伝票元!$G$6:$G$511,$M474))</f>
        <v/>
      </c>
      <c r="J474" s="42" t="str">
        <f aca="false">IF($M474="","",INDEX(伝票元!$H$6:$H$511,$M474))</f>
        <v/>
      </c>
      <c r="K474" s="46" t="str">
        <f aca="false">IF(IF($M474="",0,INDEX(伝票元!$N$6:$N$511,$M474))=1,INDEX(伝票元!$R$6:$R$511,$M474),"")</f>
        <v/>
      </c>
      <c r="L474" s="47" t="str">
        <f aca="false">IF($M474="","",INDEX(伝票元!$S$6:$S$511,$M474))</f>
        <v/>
      </c>
      <c r="M474" s="47" t="str">
        <f aca="false">IFERROR(MATCH(468,伝票元!$O$6:$O$511,0),"")</f>
        <v/>
      </c>
    </row>
    <row r="475" customFormat="false" ht="15" hidden="false" customHeight="false" outlineLevel="0" collapsed="false">
      <c r="A475" s="10" t="str">
        <f aca="false">IF($M475="","",INDEX(伝票元!$P$6:$P$511,$M475))</f>
        <v/>
      </c>
      <c r="B475" s="45" t="str">
        <f aca="false">IF($M475="","",INDEX(伝票元!$D$6:$D$511,$M475))</f>
        <v/>
      </c>
      <c r="C475" s="10" t="str">
        <f aca="false">IF($M475="","",INDEX(伝票元!$E$6:$E$511,$M475))</f>
        <v/>
      </c>
      <c r="D475" s="45" t="str">
        <f aca="false">IF($M475="","",INDEX(伝票元!$A$6:$A$511,$M475))</f>
        <v/>
      </c>
      <c r="E475" s="10" t="str">
        <f aca="false">IF(IF($M475="",0,INDEX(伝票元!$N$6:$N$511,$M475))=1,INDEX(伝票元!$I$6:$I$511,$M475),"")</f>
        <v/>
      </c>
      <c r="F475" s="45" t="str">
        <f aca="false">IF(IF($M475="",0,INDEX(伝票元!$N$6:$N$511,$M475))=1,INDEX(伝票元!$J$6:$J$511,$M475),"")</f>
        <v/>
      </c>
      <c r="G475" s="42" t="str">
        <f aca="false">IF(IF($M475="",0,INDEX(伝票元!$N$6:$N$511,$M475))=1,INDEX(伝票元!$Q$6:$Q$511,$M475),"")</f>
        <v/>
      </c>
      <c r="H475" s="45" t="str">
        <f aca="false">IF($M475="","",INDEX(伝票元!$F$6:$F$511,$M475))</f>
        <v/>
      </c>
      <c r="I475" s="45" t="str">
        <f aca="false">IF($M475="","",INDEX(伝票元!$G$6:$G$511,$M475))</f>
        <v/>
      </c>
      <c r="J475" s="42" t="str">
        <f aca="false">IF($M475="","",INDEX(伝票元!$H$6:$H$511,$M475))</f>
        <v/>
      </c>
      <c r="K475" s="46" t="str">
        <f aca="false">IF(IF($M475="",0,INDEX(伝票元!$N$6:$N$511,$M475))=1,INDEX(伝票元!$R$6:$R$511,$M475),"")</f>
        <v/>
      </c>
      <c r="L475" s="47" t="str">
        <f aca="false">IF($M475="","",INDEX(伝票元!$S$6:$S$511,$M475))</f>
        <v/>
      </c>
      <c r="M475" s="47" t="str">
        <f aca="false">IFERROR(MATCH(469,伝票元!$O$6:$O$511,0),"")</f>
        <v/>
      </c>
    </row>
    <row r="476" customFormat="false" ht="15" hidden="false" customHeight="false" outlineLevel="0" collapsed="false">
      <c r="A476" s="10" t="str">
        <f aca="false">IF($M476="","",INDEX(伝票元!$P$6:$P$511,$M476))</f>
        <v/>
      </c>
      <c r="B476" s="45" t="str">
        <f aca="false">IF($M476="","",INDEX(伝票元!$D$6:$D$511,$M476))</f>
        <v/>
      </c>
      <c r="C476" s="10" t="str">
        <f aca="false">IF($M476="","",INDEX(伝票元!$E$6:$E$511,$M476))</f>
        <v/>
      </c>
      <c r="D476" s="45" t="str">
        <f aca="false">IF($M476="","",INDEX(伝票元!$A$6:$A$511,$M476))</f>
        <v/>
      </c>
      <c r="E476" s="10" t="str">
        <f aca="false">IF(IF($M476="",0,INDEX(伝票元!$N$6:$N$511,$M476))=1,INDEX(伝票元!$I$6:$I$511,$M476),"")</f>
        <v/>
      </c>
      <c r="F476" s="45" t="str">
        <f aca="false">IF(IF($M476="",0,INDEX(伝票元!$N$6:$N$511,$M476))=1,INDEX(伝票元!$J$6:$J$511,$M476),"")</f>
        <v/>
      </c>
      <c r="G476" s="42" t="str">
        <f aca="false">IF(IF($M476="",0,INDEX(伝票元!$N$6:$N$511,$M476))=1,INDEX(伝票元!$Q$6:$Q$511,$M476),"")</f>
        <v/>
      </c>
      <c r="H476" s="45" t="str">
        <f aca="false">IF($M476="","",INDEX(伝票元!$F$6:$F$511,$M476))</f>
        <v/>
      </c>
      <c r="I476" s="45" t="str">
        <f aca="false">IF($M476="","",INDEX(伝票元!$G$6:$G$511,$M476))</f>
        <v/>
      </c>
      <c r="J476" s="42" t="str">
        <f aca="false">IF($M476="","",INDEX(伝票元!$H$6:$H$511,$M476))</f>
        <v/>
      </c>
      <c r="K476" s="46" t="str">
        <f aca="false">IF(IF($M476="",0,INDEX(伝票元!$N$6:$N$511,$M476))=1,INDEX(伝票元!$R$6:$R$511,$M476),"")</f>
        <v/>
      </c>
      <c r="L476" s="47" t="str">
        <f aca="false">IF($M476="","",INDEX(伝票元!$S$6:$S$511,$M476))</f>
        <v/>
      </c>
      <c r="M476" s="47" t="str">
        <f aca="false">IFERROR(MATCH(470,伝票元!$O$6:$O$511,0),"")</f>
        <v/>
      </c>
    </row>
    <row r="477" customFormat="false" ht="15" hidden="false" customHeight="false" outlineLevel="0" collapsed="false">
      <c r="A477" s="10" t="str">
        <f aca="false">IF($M477="","",INDEX(伝票元!$P$6:$P$511,$M477))</f>
        <v/>
      </c>
      <c r="B477" s="45" t="str">
        <f aca="false">IF($M477="","",INDEX(伝票元!$D$6:$D$511,$M477))</f>
        <v/>
      </c>
      <c r="C477" s="10" t="str">
        <f aca="false">IF($M477="","",INDEX(伝票元!$E$6:$E$511,$M477))</f>
        <v/>
      </c>
      <c r="D477" s="45" t="str">
        <f aca="false">IF($M477="","",INDEX(伝票元!$A$6:$A$511,$M477))</f>
        <v/>
      </c>
      <c r="E477" s="10" t="str">
        <f aca="false">IF(IF($M477="",0,INDEX(伝票元!$N$6:$N$511,$M477))=1,INDEX(伝票元!$I$6:$I$511,$M477),"")</f>
        <v/>
      </c>
      <c r="F477" s="45" t="str">
        <f aca="false">IF(IF($M477="",0,INDEX(伝票元!$N$6:$N$511,$M477))=1,INDEX(伝票元!$J$6:$J$511,$M477),"")</f>
        <v/>
      </c>
      <c r="G477" s="42" t="str">
        <f aca="false">IF(IF($M477="",0,INDEX(伝票元!$N$6:$N$511,$M477))=1,INDEX(伝票元!$Q$6:$Q$511,$M477),"")</f>
        <v/>
      </c>
      <c r="H477" s="45" t="str">
        <f aca="false">IF($M477="","",INDEX(伝票元!$F$6:$F$511,$M477))</f>
        <v/>
      </c>
      <c r="I477" s="45" t="str">
        <f aca="false">IF($M477="","",INDEX(伝票元!$G$6:$G$511,$M477))</f>
        <v/>
      </c>
      <c r="J477" s="42" t="str">
        <f aca="false">IF($M477="","",INDEX(伝票元!$H$6:$H$511,$M477))</f>
        <v/>
      </c>
      <c r="K477" s="46" t="str">
        <f aca="false">IF(IF($M477="",0,INDEX(伝票元!$N$6:$N$511,$M477))=1,INDEX(伝票元!$R$6:$R$511,$M477),"")</f>
        <v/>
      </c>
      <c r="L477" s="47" t="str">
        <f aca="false">IF($M477="","",INDEX(伝票元!$S$6:$S$511,$M477))</f>
        <v/>
      </c>
      <c r="M477" s="47" t="str">
        <f aca="false">IFERROR(MATCH(471,伝票元!$O$6:$O$511,0),"")</f>
        <v/>
      </c>
    </row>
    <row r="478" customFormat="false" ht="15" hidden="false" customHeight="false" outlineLevel="0" collapsed="false">
      <c r="A478" s="10" t="str">
        <f aca="false">IF($M478="","",INDEX(伝票元!$P$6:$P$511,$M478))</f>
        <v/>
      </c>
      <c r="B478" s="45" t="str">
        <f aca="false">IF($M478="","",INDEX(伝票元!$D$6:$D$511,$M478))</f>
        <v/>
      </c>
      <c r="C478" s="10" t="str">
        <f aca="false">IF($M478="","",INDEX(伝票元!$E$6:$E$511,$M478))</f>
        <v/>
      </c>
      <c r="D478" s="45" t="str">
        <f aca="false">IF($M478="","",INDEX(伝票元!$A$6:$A$511,$M478))</f>
        <v/>
      </c>
      <c r="E478" s="10" t="str">
        <f aca="false">IF(IF($M478="",0,INDEX(伝票元!$N$6:$N$511,$M478))=1,INDEX(伝票元!$I$6:$I$511,$M478),"")</f>
        <v/>
      </c>
      <c r="F478" s="45" t="str">
        <f aca="false">IF(IF($M478="",0,INDEX(伝票元!$N$6:$N$511,$M478))=1,INDEX(伝票元!$J$6:$J$511,$M478),"")</f>
        <v/>
      </c>
      <c r="G478" s="42" t="str">
        <f aca="false">IF(IF($M478="",0,INDEX(伝票元!$N$6:$N$511,$M478))=1,INDEX(伝票元!$Q$6:$Q$511,$M478),"")</f>
        <v/>
      </c>
      <c r="H478" s="45" t="str">
        <f aca="false">IF($M478="","",INDEX(伝票元!$F$6:$F$511,$M478))</f>
        <v/>
      </c>
      <c r="I478" s="45" t="str">
        <f aca="false">IF($M478="","",INDEX(伝票元!$G$6:$G$511,$M478))</f>
        <v/>
      </c>
      <c r="J478" s="42" t="str">
        <f aca="false">IF($M478="","",INDEX(伝票元!$H$6:$H$511,$M478))</f>
        <v/>
      </c>
      <c r="K478" s="46" t="str">
        <f aca="false">IF(IF($M478="",0,INDEX(伝票元!$N$6:$N$511,$M478))=1,INDEX(伝票元!$R$6:$R$511,$M478),"")</f>
        <v/>
      </c>
      <c r="L478" s="47" t="str">
        <f aca="false">IF($M478="","",INDEX(伝票元!$S$6:$S$511,$M478))</f>
        <v/>
      </c>
      <c r="M478" s="47" t="str">
        <f aca="false">IFERROR(MATCH(472,伝票元!$O$6:$O$511,0),"")</f>
        <v/>
      </c>
    </row>
    <row r="479" customFormat="false" ht="15" hidden="false" customHeight="false" outlineLevel="0" collapsed="false">
      <c r="A479" s="10" t="str">
        <f aca="false">IF($M479="","",INDEX(伝票元!$P$6:$P$511,$M479))</f>
        <v/>
      </c>
      <c r="B479" s="45" t="str">
        <f aca="false">IF($M479="","",INDEX(伝票元!$D$6:$D$511,$M479))</f>
        <v/>
      </c>
      <c r="C479" s="10" t="str">
        <f aca="false">IF($M479="","",INDEX(伝票元!$E$6:$E$511,$M479))</f>
        <v/>
      </c>
      <c r="D479" s="45" t="str">
        <f aca="false">IF($M479="","",INDEX(伝票元!$A$6:$A$511,$M479))</f>
        <v/>
      </c>
      <c r="E479" s="10" t="str">
        <f aca="false">IF(IF($M479="",0,INDEX(伝票元!$N$6:$N$511,$M479))=1,INDEX(伝票元!$I$6:$I$511,$M479),"")</f>
        <v/>
      </c>
      <c r="F479" s="45" t="str">
        <f aca="false">IF(IF($M479="",0,INDEX(伝票元!$N$6:$N$511,$M479))=1,INDEX(伝票元!$J$6:$J$511,$M479),"")</f>
        <v/>
      </c>
      <c r="G479" s="42" t="str">
        <f aca="false">IF(IF($M479="",0,INDEX(伝票元!$N$6:$N$511,$M479))=1,INDEX(伝票元!$Q$6:$Q$511,$M479),"")</f>
        <v/>
      </c>
      <c r="H479" s="45" t="str">
        <f aca="false">IF($M479="","",INDEX(伝票元!$F$6:$F$511,$M479))</f>
        <v/>
      </c>
      <c r="I479" s="45" t="str">
        <f aca="false">IF($M479="","",INDEX(伝票元!$G$6:$G$511,$M479))</f>
        <v/>
      </c>
      <c r="J479" s="42" t="str">
        <f aca="false">IF($M479="","",INDEX(伝票元!$H$6:$H$511,$M479))</f>
        <v/>
      </c>
      <c r="K479" s="46" t="str">
        <f aca="false">IF(IF($M479="",0,INDEX(伝票元!$N$6:$N$511,$M479))=1,INDEX(伝票元!$R$6:$R$511,$M479),"")</f>
        <v/>
      </c>
      <c r="L479" s="47" t="str">
        <f aca="false">IF($M479="","",INDEX(伝票元!$S$6:$S$511,$M479))</f>
        <v/>
      </c>
      <c r="M479" s="47" t="str">
        <f aca="false">IFERROR(MATCH(473,伝票元!$O$6:$O$511,0),"")</f>
        <v/>
      </c>
    </row>
    <row r="480" customFormat="false" ht="15" hidden="false" customHeight="false" outlineLevel="0" collapsed="false">
      <c r="A480" s="10" t="str">
        <f aca="false">IF($M480="","",INDEX(伝票元!$P$6:$P$511,$M480))</f>
        <v/>
      </c>
      <c r="B480" s="45" t="str">
        <f aca="false">IF($M480="","",INDEX(伝票元!$D$6:$D$511,$M480))</f>
        <v/>
      </c>
      <c r="C480" s="10" t="str">
        <f aca="false">IF($M480="","",INDEX(伝票元!$E$6:$E$511,$M480))</f>
        <v/>
      </c>
      <c r="D480" s="45" t="str">
        <f aca="false">IF($M480="","",INDEX(伝票元!$A$6:$A$511,$M480))</f>
        <v/>
      </c>
      <c r="E480" s="10" t="str">
        <f aca="false">IF(IF($M480="",0,INDEX(伝票元!$N$6:$N$511,$M480))=1,INDEX(伝票元!$I$6:$I$511,$M480),"")</f>
        <v/>
      </c>
      <c r="F480" s="45" t="str">
        <f aca="false">IF(IF($M480="",0,INDEX(伝票元!$N$6:$N$511,$M480))=1,INDEX(伝票元!$J$6:$J$511,$M480),"")</f>
        <v/>
      </c>
      <c r="G480" s="42" t="str">
        <f aca="false">IF(IF($M480="",0,INDEX(伝票元!$N$6:$N$511,$M480))=1,INDEX(伝票元!$Q$6:$Q$511,$M480),"")</f>
        <v/>
      </c>
      <c r="H480" s="45" t="str">
        <f aca="false">IF($M480="","",INDEX(伝票元!$F$6:$F$511,$M480))</f>
        <v/>
      </c>
      <c r="I480" s="45" t="str">
        <f aca="false">IF($M480="","",INDEX(伝票元!$G$6:$G$511,$M480))</f>
        <v/>
      </c>
      <c r="J480" s="42" t="str">
        <f aca="false">IF($M480="","",INDEX(伝票元!$H$6:$H$511,$M480))</f>
        <v/>
      </c>
      <c r="K480" s="46" t="str">
        <f aca="false">IF(IF($M480="",0,INDEX(伝票元!$N$6:$N$511,$M480))=1,INDEX(伝票元!$R$6:$R$511,$M480),"")</f>
        <v/>
      </c>
      <c r="L480" s="47" t="str">
        <f aca="false">IF($M480="","",INDEX(伝票元!$S$6:$S$511,$M480))</f>
        <v/>
      </c>
      <c r="M480" s="47" t="str">
        <f aca="false">IFERROR(MATCH(474,伝票元!$O$6:$O$511,0),"")</f>
        <v/>
      </c>
    </row>
    <row r="481" customFormat="false" ht="15" hidden="false" customHeight="false" outlineLevel="0" collapsed="false">
      <c r="A481" s="10" t="str">
        <f aca="false">IF($M481="","",INDEX(伝票元!$P$6:$P$511,$M481))</f>
        <v/>
      </c>
      <c r="B481" s="45" t="str">
        <f aca="false">IF($M481="","",INDEX(伝票元!$D$6:$D$511,$M481))</f>
        <v/>
      </c>
      <c r="C481" s="10" t="str">
        <f aca="false">IF($M481="","",INDEX(伝票元!$E$6:$E$511,$M481))</f>
        <v/>
      </c>
      <c r="D481" s="45" t="str">
        <f aca="false">IF($M481="","",INDEX(伝票元!$A$6:$A$511,$M481))</f>
        <v/>
      </c>
      <c r="E481" s="10" t="str">
        <f aca="false">IF(IF($M481="",0,INDEX(伝票元!$N$6:$N$511,$M481))=1,INDEX(伝票元!$I$6:$I$511,$M481),"")</f>
        <v/>
      </c>
      <c r="F481" s="45" t="str">
        <f aca="false">IF(IF($M481="",0,INDEX(伝票元!$N$6:$N$511,$M481))=1,INDEX(伝票元!$J$6:$J$511,$M481),"")</f>
        <v/>
      </c>
      <c r="G481" s="42" t="str">
        <f aca="false">IF(IF($M481="",0,INDEX(伝票元!$N$6:$N$511,$M481))=1,INDEX(伝票元!$Q$6:$Q$511,$M481),"")</f>
        <v/>
      </c>
      <c r="H481" s="45" t="str">
        <f aca="false">IF($M481="","",INDEX(伝票元!$F$6:$F$511,$M481))</f>
        <v/>
      </c>
      <c r="I481" s="45" t="str">
        <f aca="false">IF($M481="","",INDEX(伝票元!$G$6:$G$511,$M481))</f>
        <v/>
      </c>
      <c r="J481" s="42" t="str">
        <f aca="false">IF($M481="","",INDEX(伝票元!$H$6:$H$511,$M481))</f>
        <v/>
      </c>
      <c r="K481" s="46" t="str">
        <f aca="false">IF(IF($M481="",0,INDEX(伝票元!$N$6:$N$511,$M481))=1,INDEX(伝票元!$R$6:$R$511,$M481),"")</f>
        <v/>
      </c>
      <c r="L481" s="47" t="str">
        <f aca="false">IF($M481="","",INDEX(伝票元!$S$6:$S$511,$M481))</f>
        <v/>
      </c>
      <c r="M481" s="47" t="str">
        <f aca="false">IFERROR(MATCH(475,伝票元!$O$6:$O$511,0),"")</f>
        <v/>
      </c>
    </row>
    <row r="482" customFormat="false" ht="15" hidden="false" customHeight="false" outlineLevel="0" collapsed="false">
      <c r="A482" s="10" t="str">
        <f aca="false">IF($M482="","",INDEX(伝票元!$P$6:$P$511,$M482))</f>
        <v/>
      </c>
      <c r="B482" s="45" t="str">
        <f aca="false">IF($M482="","",INDEX(伝票元!$D$6:$D$511,$M482))</f>
        <v/>
      </c>
      <c r="C482" s="10" t="str">
        <f aca="false">IF($M482="","",INDEX(伝票元!$E$6:$E$511,$M482))</f>
        <v/>
      </c>
      <c r="D482" s="45" t="str">
        <f aca="false">IF($M482="","",INDEX(伝票元!$A$6:$A$511,$M482))</f>
        <v/>
      </c>
      <c r="E482" s="10" t="str">
        <f aca="false">IF(IF($M482="",0,INDEX(伝票元!$N$6:$N$511,$M482))=1,INDEX(伝票元!$I$6:$I$511,$M482),"")</f>
        <v/>
      </c>
      <c r="F482" s="45" t="str">
        <f aca="false">IF(IF($M482="",0,INDEX(伝票元!$N$6:$N$511,$M482))=1,INDEX(伝票元!$J$6:$J$511,$M482),"")</f>
        <v/>
      </c>
      <c r="G482" s="42" t="str">
        <f aca="false">IF(IF($M482="",0,INDEX(伝票元!$N$6:$N$511,$M482))=1,INDEX(伝票元!$Q$6:$Q$511,$M482),"")</f>
        <v/>
      </c>
      <c r="H482" s="45" t="str">
        <f aca="false">IF($M482="","",INDEX(伝票元!$F$6:$F$511,$M482))</f>
        <v/>
      </c>
      <c r="I482" s="45" t="str">
        <f aca="false">IF($M482="","",INDEX(伝票元!$G$6:$G$511,$M482))</f>
        <v/>
      </c>
      <c r="J482" s="42" t="str">
        <f aca="false">IF($M482="","",INDEX(伝票元!$H$6:$H$511,$M482))</f>
        <v/>
      </c>
      <c r="K482" s="46" t="str">
        <f aca="false">IF(IF($M482="",0,INDEX(伝票元!$N$6:$N$511,$M482))=1,INDEX(伝票元!$R$6:$R$511,$M482),"")</f>
        <v/>
      </c>
      <c r="L482" s="47" t="str">
        <f aca="false">IF($M482="","",INDEX(伝票元!$S$6:$S$511,$M482))</f>
        <v/>
      </c>
      <c r="M482" s="47" t="str">
        <f aca="false">IFERROR(MATCH(476,伝票元!$O$6:$O$511,0),"")</f>
        <v/>
      </c>
    </row>
    <row r="483" customFormat="false" ht="15" hidden="false" customHeight="false" outlineLevel="0" collapsed="false">
      <c r="A483" s="10" t="str">
        <f aca="false">IF($M483="","",INDEX(伝票元!$P$6:$P$511,$M483))</f>
        <v/>
      </c>
      <c r="B483" s="45" t="str">
        <f aca="false">IF($M483="","",INDEX(伝票元!$D$6:$D$511,$M483))</f>
        <v/>
      </c>
      <c r="C483" s="10" t="str">
        <f aca="false">IF($M483="","",INDEX(伝票元!$E$6:$E$511,$M483))</f>
        <v/>
      </c>
      <c r="D483" s="45" t="str">
        <f aca="false">IF($M483="","",INDEX(伝票元!$A$6:$A$511,$M483))</f>
        <v/>
      </c>
      <c r="E483" s="10" t="str">
        <f aca="false">IF(IF($M483="",0,INDEX(伝票元!$N$6:$N$511,$M483))=1,INDEX(伝票元!$I$6:$I$511,$M483),"")</f>
        <v/>
      </c>
      <c r="F483" s="45" t="str">
        <f aca="false">IF(IF($M483="",0,INDEX(伝票元!$N$6:$N$511,$M483))=1,INDEX(伝票元!$J$6:$J$511,$M483),"")</f>
        <v/>
      </c>
      <c r="G483" s="42" t="str">
        <f aca="false">IF(IF($M483="",0,INDEX(伝票元!$N$6:$N$511,$M483))=1,INDEX(伝票元!$Q$6:$Q$511,$M483),"")</f>
        <v/>
      </c>
      <c r="H483" s="45" t="str">
        <f aca="false">IF($M483="","",INDEX(伝票元!$F$6:$F$511,$M483))</f>
        <v/>
      </c>
      <c r="I483" s="45" t="str">
        <f aca="false">IF($M483="","",INDEX(伝票元!$G$6:$G$511,$M483))</f>
        <v/>
      </c>
      <c r="J483" s="42" t="str">
        <f aca="false">IF($M483="","",INDEX(伝票元!$H$6:$H$511,$M483))</f>
        <v/>
      </c>
      <c r="K483" s="46" t="str">
        <f aca="false">IF(IF($M483="",0,INDEX(伝票元!$N$6:$N$511,$M483))=1,INDEX(伝票元!$R$6:$R$511,$M483),"")</f>
        <v/>
      </c>
      <c r="L483" s="47" t="str">
        <f aca="false">IF($M483="","",INDEX(伝票元!$S$6:$S$511,$M483))</f>
        <v/>
      </c>
      <c r="M483" s="47" t="str">
        <f aca="false">IFERROR(MATCH(477,伝票元!$O$6:$O$511,0),"")</f>
        <v/>
      </c>
    </row>
    <row r="484" customFormat="false" ht="15" hidden="false" customHeight="false" outlineLevel="0" collapsed="false">
      <c r="A484" s="10" t="str">
        <f aca="false">IF($M484="","",INDEX(伝票元!$P$6:$P$511,$M484))</f>
        <v/>
      </c>
      <c r="B484" s="45" t="str">
        <f aca="false">IF($M484="","",INDEX(伝票元!$D$6:$D$511,$M484))</f>
        <v/>
      </c>
      <c r="C484" s="10" t="str">
        <f aca="false">IF($M484="","",INDEX(伝票元!$E$6:$E$511,$M484))</f>
        <v/>
      </c>
      <c r="D484" s="45" t="str">
        <f aca="false">IF($M484="","",INDEX(伝票元!$A$6:$A$511,$M484))</f>
        <v/>
      </c>
      <c r="E484" s="10" t="str">
        <f aca="false">IF(IF($M484="",0,INDEX(伝票元!$N$6:$N$511,$M484))=1,INDEX(伝票元!$I$6:$I$511,$M484),"")</f>
        <v/>
      </c>
      <c r="F484" s="45" t="str">
        <f aca="false">IF(IF($M484="",0,INDEX(伝票元!$N$6:$N$511,$M484))=1,INDEX(伝票元!$J$6:$J$511,$M484),"")</f>
        <v/>
      </c>
      <c r="G484" s="42" t="str">
        <f aca="false">IF(IF($M484="",0,INDEX(伝票元!$N$6:$N$511,$M484))=1,INDEX(伝票元!$Q$6:$Q$511,$M484),"")</f>
        <v/>
      </c>
      <c r="H484" s="45" t="str">
        <f aca="false">IF($M484="","",INDEX(伝票元!$F$6:$F$511,$M484))</f>
        <v/>
      </c>
      <c r="I484" s="45" t="str">
        <f aca="false">IF($M484="","",INDEX(伝票元!$G$6:$G$511,$M484))</f>
        <v/>
      </c>
      <c r="J484" s="42" t="str">
        <f aca="false">IF($M484="","",INDEX(伝票元!$H$6:$H$511,$M484))</f>
        <v/>
      </c>
      <c r="K484" s="46" t="str">
        <f aca="false">IF(IF($M484="",0,INDEX(伝票元!$N$6:$N$511,$M484))=1,INDEX(伝票元!$R$6:$R$511,$M484),"")</f>
        <v/>
      </c>
      <c r="L484" s="47" t="str">
        <f aca="false">IF($M484="","",INDEX(伝票元!$S$6:$S$511,$M484))</f>
        <v/>
      </c>
      <c r="M484" s="47" t="str">
        <f aca="false">IFERROR(MATCH(478,伝票元!$O$6:$O$511,0),"")</f>
        <v/>
      </c>
    </row>
    <row r="485" customFormat="false" ht="15" hidden="false" customHeight="false" outlineLevel="0" collapsed="false">
      <c r="A485" s="10" t="str">
        <f aca="false">IF($M485="","",INDEX(伝票元!$P$6:$P$511,$M485))</f>
        <v/>
      </c>
      <c r="B485" s="45" t="str">
        <f aca="false">IF($M485="","",INDEX(伝票元!$D$6:$D$511,$M485))</f>
        <v/>
      </c>
      <c r="C485" s="10" t="str">
        <f aca="false">IF($M485="","",INDEX(伝票元!$E$6:$E$511,$M485))</f>
        <v/>
      </c>
      <c r="D485" s="45" t="str">
        <f aca="false">IF($M485="","",INDEX(伝票元!$A$6:$A$511,$M485))</f>
        <v/>
      </c>
      <c r="E485" s="10" t="str">
        <f aca="false">IF(IF($M485="",0,INDEX(伝票元!$N$6:$N$511,$M485))=1,INDEX(伝票元!$I$6:$I$511,$M485),"")</f>
        <v/>
      </c>
      <c r="F485" s="45" t="str">
        <f aca="false">IF(IF($M485="",0,INDEX(伝票元!$N$6:$N$511,$M485))=1,INDEX(伝票元!$J$6:$J$511,$M485),"")</f>
        <v/>
      </c>
      <c r="G485" s="42" t="str">
        <f aca="false">IF(IF($M485="",0,INDEX(伝票元!$N$6:$N$511,$M485))=1,INDEX(伝票元!$Q$6:$Q$511,$M485),"")</f>
        <v/>
      </c>
      <c r="H485" s="45" t="str">
        <f aca="false">IF($M485="","",INDEX(伝票元!$F$6:$F$511,$M485))</f>
        <v/>
      </c>
      <c r="I485" s="45" t="str">
        <f aca="false">IF($M485="","",INDEX(伝票元!$G$6:$G$511,$M485))</f>
        <v/>
      </c>
      <c r="J485" s="42" t="str">
        <f aca="false">IF($M485="","",INDEX(伝票元!$H$6:$H$511,$M485))</f>
        <v/>
      </c>
      <c r="K485" s="46" t="str">
        <f aca="false">IF(IF($M485="",0,INDEX(伝票元!$N$6:$N$511,$M485))=1,INDEX(伝票元!$R$6:$R$511,$M485),"")</f>
        <v/>
      </c>
      <c r="L485" s="47" t="str">
        <f aca="false">IF($M485="","",INDEX(伝票元!$S$6:$S$511,$M485))</f>
        <v/>
      </c>
      <c r="M485" s="47" t="str">
        <f aca="false">IFERROR(MATCH(479,伝票元!$O$6:$O$511,0),"")</f>
        <v/>
      </c>
    </row>
    <row r="486" customFormat="false" ht="15" hidden="false" customHeight="false" outlineLevel="0" collapsed="false">
      <c r="A486" s="10" t="str">
        <f aca="false">IF($M486="","",INDEX(伝票元!$P$6:$P$511,$M486))</f>
        <v/>
      </c>
      <c r="B486" s="45" t="str">
        <f aca="false">IF($M486="","",INDEX(伝票元!$D$6:$D$511,$M486))</f>
        <v/>
      </c>
      <c r="C486" s="10" t="str">
        <f aca="false">IF($M486="","",INDEX(伝票元!$E$6:$E$511,$M486))</f>
        <v/>
      </c>
      <c r="D486" s="45" t="str">
        <f aca="false">IF($M486="","",INDEX(伝票元!$A$6:$A$511,$M486))</f>
        <v/>
      </c>
      <c r="E486" s="10" t="str">
        <f aca="false">IF(IF($M486="",0,INDEX(伝票元!$N$6:$N$511,$M486))=1,INDEX(伝票元!$I$6:$I$511,$M486),"")</f>
        <v/>
      </c>
      <c r="F486" s="45" t="str">
        <f aca="false">IF(IF($M486="",0,INDEX(伝票元!$N$6:$N$511,$M486))=1,INDEX(伝票元!$J$6:$J$511,$M486),"")</f>
        <v/>
      </c>
      <c r="G486" s="42" t="str">
        <f aca="false">IF(IF($M486="",0,INDEX(伝票元!$N$6:$N$511,$M486))=1,INDEX(伝票元!$Q$6:$Q$511,$M486),"")</f>
        <v/>
      </c>
      <c r="H486" s="45" t="str">
        <f aca="false">IF($M486="","",INDEX(伝票元!$F$6:$F$511,$M486))</f>
        <v/>
      </c>
      <c r="I486" s="45" t="str">
        <f aca="false">IF($M486="","",INDEX(伝票元!$G$6:$G$511,$M486))</f>
        <v/>
      </c>
      <c r="J486" s="42" t="str">
        <f aca="false">IF($M486="","",INDEX(伝票元!$H$6:$H$511,$M486))</f>
        <v/>
      </c>
      <c r="K486" s="46" t="str">
        <f aca="false">IF(IF($M486="",0,INDEX(伝票元!$N$6:$N$511,$M486))=1,INDEX(伝票元!$R$6:$R$511,$M486),"")</f>
        <v/>
      </c>
      <c r="L486" s="47" t="str">
        <f aca="false">IF($M486="","",INDEX(伝票元!$S$6:$S$511,$M486))</f>
        <v/>
      </c>
      <c r="M486" s="47" t="str">
        <f aca="false">IFERROR(MATCH(480,伝票元!$O$6:$O$511,0),"")</f>
        <v/>
      </c>
    </row>
    <row r="487" customFormat="false" ht="15" hidden="false" customHeight="false" outlineLevel="0" collapsed="false">
      <c r="A487" s="10" t="str">
        <f aca="false">IF($M487="","",INDEX(伝票元!$P$6:$P$511,$M487))</f>
        <v/>
      </c>
      <c r="B487" s="45" t="str">
        <f aca="false">IF($M487="","",INDEX(伝票元!$D$6:$D$511,$M487))</f>
        <v/>
      </c>
      <c r="C487" s="10" t="str">
        <f aca="false">IF($M487="","",INDEX(伝票元!$E$6:$E$511,$M487))</f>
        <v/>
      </c>
      <c r="D487" s="45" t="str">
        <f aca="false">IF($M487="","",INDEX(伝票元!$A$6:$A$511,$M487))</f>
        <v/>
      </c>
      <c r="E487" s="10" t="str">
        <f aca="false">IF(IF($M487="",0,INDEX(伝票元!$N$6:$N$511,$M487))=1,INDEX(伝票元!$I$6:$I$511,$M487),"")</f>
        <v/>
      </c>
      <c r="F487" s="45" t="str">
        <f aca="false">IF(IF($M487="",0,INDEX(伝票元!$N$6:$N$511,$M487))=1,INDEX(伝票元!$J$6:$J$511,$M487),"")</f>
        <v/>
      </c>
      <c r="G487" s="42" t="str">
        <f aca="false">IF(IF($M487="",0,INDEX(伝票元!$N$6:$N$511,$M487))=1,INDEX(伝票元!$Q$6:$Q$511,$M487),"")</f>
        <v/>
      </c>
      <c r="H487" s="45" t="str">
        <f aca="false">IF($M487="","",INDEX(伝票元!$F$6:$F$511,$M487))</f>
        <v/>
      </c>
      <c r="I487" s="45" t="str">
        <f aca="false">IF($M487="","",INDEX(伝票元!$G$6:$G$511,$M487))</f>
        <v/>
      </c>
      <c r="J487" s="42" t="str">
        <f aca="false">IF($M487="","",INDEX(伝票元!$H$6:$H$511,$M487))</f>
        <v/>
      </c>
      <c r="K487" s="46" t="str">
        <f aca="false">IF(IF($M487="",0,INDEX(伝票元!$N$6:$N$511,$M487))=1,INDEX(伝票元!$R$6:$R$511,$M487),"")</f>
        <v/>
      </c>
      <c r="L487" s="47" t="str">
        <f aca="false">IF($M487="","",INDEX(伝票元!$S$6:$S$511,$M487))</f>
        <v/>
      </c>
      <c r="M487" s="47" t="str">
        <f aca="false">IFERROR(MATCH(481,伝票元!$O$6:$O$511,0),"")</f>
        <v/>
      </c>
    </row>
    <row r="488" customFormat="false" ht="15" hidden="false" customHeight="false" outlineLevel="0" collapsed="false">
      <c r="A488" s="10" t="str">
        <f aca="false">IF($M488="","",INDEX(伝票元!$P$6:$P$511,$M488))</f>
        <v/>
      </c>
      <c r="B488" s="45" t="str">
        <f aca="false">IF($M488="","",INDEX(伝票元!$D$6:$D$511,$M488))</f>
        <v/>
      </c>
      <c r="C488" s="10" t="str">
        <f aca="false">IF($M488="","",INDEX(伝票元!$E$6:$E$511,$M488))</f>
        <v/>
      </c>
      <c r="D488" s="45" t="str">
        <f aca="false">IF($M488="","",INDEX(伝票元!$A$6:$A$511,$M488))</f>
        <v/>
      </c>
      <c r="E488" s="10" t="str">
        <f aca="false">IF(IF($M488="",0,INDEX(伝票元!$N$6:$N$511,$M488))=1,INDEX(伝票元!$I$6:$I$511,$M488),"")</f>
        <v/>
      </c>
      <c r="F488" s="45" t="str">
        <f aca="false">IF(IF($M488="",0,INDEX(伝票元!$N$6:$N$511,$M488))=1,INDEX(伝票元!$J$6:$J$511,$M488),"")</f>
        <v/>
      </c>
      <c r="G488" s="42" t="str">
        <f aca="false">IF(IF($M488="",0,INDEX(伝票元!$N$6:$N$511,$M488))=1,INDEX(伝票元!$Q$6:$Q$511,$M488),"")</f>
        <v/>
      </c>
      <c r="H488" s="45" t="str">
        <f aca="false">IF($M488="","",INDEX(伝票元!$F$6:$F$511,$M488))</f>
        <v/>
      </c>
      <c r="I488" s="45" t="str">
        <f aca="false">IF($M488="","",INDEX(伝票元!$G$6:$G$511,$M488))</f>
        <v/>
      </c>
      <c r="J488" s="42" t="str">
        <f aca="false">IF($M488="","",INDEX(伝票元!$H$6:$H$511,$M488))</f>
        <v/>
      </c>
      <c r="K488" s="46" t="str">
        <f aca="false">IF(IF($M488="",0,INDEX(伝票元!$N$6:$N$511,$M488))=1,INDEX(伝票元!$R$6:$R$511,$M488),"")</f>
        <v/>
      </c>
      <c r="L488" s="47" t="str">
        <f aca="false">IF($M488="","",INDEX(伝票元!$S$6:$S$511,$M488))</f>
        <v/>
      </c>
      <c r="M488" s="47" t="str">
        <f aca="false">IFERROR(MATCH(482,伝票元!$O$6:$O$511,0),"")</f>
        <v/>
      </c>
    </row>
    <row r="489" customFormat="false" ht="15" hidden="false" customHeight="false" outlineLevel="0" collapsed="false">
      <c r="A489" s="10" t="str">
        <f aca="false">IF($M489="","",INDEX(伝票元!$P$6:$P$511,$M489))</f>
        <v/>
      </c>
      <c r="B489" s="45" t="str">
        <f aca="false">IF($M489="","",INDEX(伝票元!$D$6:$D$511,$M489))</f>
        <v/>
      </c>
      <c r="C489" s="10" t="str">
        <f aca="false">IF($M489="","",INDEX(伝票元!$E$6:$E$511,$M489))</f>
        <v/>
      </c>
      <c r="D489" s="45" t="str">
        <f aca="false">IF($M489="","",INDEX(伝票元!$A$6:$A$511,$M489))</f>
        <v/>
      </c>
      <c r="E489" s="10" t="str">
        <f aca="false">IF(IF($M489="",0,INDEX(伝票元!$N$6:$N$511,$M489))=1,INDEX(伝票元!$I$6:$I$511,$M489),"")</f>
        <v/>
      </c>
      <c r="F489" s="45" t="str">
        <f aca="false">IF(IF($M489="",0,INDEX(伝票元!$N$6:$N$511,$M489))=1,INDEX(伝票元!$J$6:$J$511,$M489),"")</f>
        <v/>
      </c>
      <c r="G489" s="42" t="str">
        <f aca="false">IF(IF($M489="",0,INDEX(伝票元!$N$6:$N$511,$M489))=1,INDEX(伝票元!$Q$6:$Q$511,$M489),"")</f>
        <v/>
      </c>
      <c r="H489" s="45" t="str">
        <f aca="false">IF($M489="","",INDEX(伝票元!$F$6:$F$511,$M489))</f>
        <v/>
      </c>
      <c r="I489" s="45" t="str">
        <f aca="false">IF($M489="","",INDEX(伝票元!$G$6:$G$511,$M489))</f>
        <v/>
      </c>
      <c r="J489" s="42" t="str">
        <f aca="false">IF($M489="","",INDEX(伝票元!$H$6:$H$511,$M489))</f>
        <v/>
      </c>
      <c r="K489" s="46" t="str">
        <f aca="false">IF(IF($M489="",0,INDEX(伝票元!$N$6:$N$511,$M489))=1,INDEX(伝票元!$R$6:$R$511,$M489),"")</f>
        <v/>
      </c>
      <c r="L489" s="47" t="str">
        <f aca="false">IF($M489="","",INDEX(伝票元!$S$6:$S$511,$M489))</f>
        <v/>
      </c>
      <c r="M489" s="47" t="str">
        <f aca="false">IFERROR(MATCH(483,伝票元!$O$6:$O$511,0),"")</f>
        <v/>
      </c>
    </row>
    <row r="490" customFormat="false" ht="15" hidden="false" customHeight="false" outlineLevel="0" collapsed="false">
      <c r="A490" s="10" t="str">
        <f aca="false">IF($M490="","",INDEX(伝票元!$P$6:$P$511,$M490))</f>
        <v/>
      </c>
      <c r="B490" s="45" t="str">
        <f aca="false">IF($M490="","",INDEX(伝票元!$D$6:$D$511,$M490))</f>
        <v/>
      </c>
      <c r="C490" s="10" t="str">
        <f aca="false">IF($M490="","",INDEX(伝票元!$E$6:$E$511,$M490))</f>
        <v/>
      </c>
      <c r="D490" s="45" t="str">
        <f aca="false">IF($M490="","",INDEX(伝票元!$A$6:$A$511,$M490))</f>
        <v/>
      </c>
      <c r="E490" s="10" t="str">
        <f aca="false">IF(IF($M490="",0,INDEX(伝票元!$N$6:$N$511,$M490))=1,INDEX(伝票元!$I$6:$I$511,$M490),"")</f>
        <v/>
      </c>
      <c r="F490" s="45" t="str">
        <f aca="false">IF(IF($M490="",0,INDEX(伝票元!$N$6:$N$511,$M490))=1,INDEX(伝票元!$J$6:$J$511,$M490),"")</f>
        <v/>
      </c>
      <c r="G490" s="42" t="str">
        <f aca="false">IF(IF($M490="",0,INDEX(伝票元!$N$6:$N$511,$M490))=1,INDEX(伝票元!$Q$6:$Q$511,$M490),"")</f>
        <v/>
      </c>
      <c r="H490" s="45" t="str">
        <f aca="false">IF($M490="","",INDEX(伝票元!$F$6:$F$511,$M490))</f>
        <v/>
      </c>
      <c r="I490" s="45" t="str">
        <f aca="false">IF($M490="","",INDEX(伝票元!$G$6:$G$511,$M490))</f>
        <v/>
      </c>
      <c r="J490" s="42" t="str">
        <f aca="false">IF($M490="","",INDEX(伝票元!$H$6:$H$511,$M490))</f>
        <v/>
      </c>
      <c r="K490" s="46" t="str">
        <f aca="false">IF(IF($M490="",0,INDEX(伝票元!$N$6:$N$511,$M490))=1,INDEX(伝票元!$R$6:$R$511,$M490),"")</f>
        <v/>
      </c>
      <c r="L490" s="47" t="str">
        <f aca="false">IF($M490="","",INDEX(伝票元!$S$6:$S$511,$M490))</f>
        <v/>
      </c>
      <c r="M490" s="47" t="str">
        <f aca="false">IFERROR(MATCH(484,伝票元!$O$6:$O$511,0),"")</f>
        <v/>
      </c>
    </row>
    <row r="491" customFormat="false" ht="15" hidden="false" customHeight="false" outlineLevel="0" collapsed="false">
      <c r="A491" s="10" t="str">
        <f aca="false">IF($M491="","",INDEX(伝票元!$P$6:$P$511,$M491))</f>
        <v/>
      </c>
      <c r="B491" s="45" t="str">
        <f aca="false">IF($M491="","",INDEX(伝票元!$D$6:$D$511,$M491))</f>
        <v/>
      </c>
      <c r="C491" s="10" t="str">
        <f aca="false">IF($M491="","",INDEX(伝票元!$E$6:$E$511,$M491))</f>
        <v/>
      </c>
      <c r="D491" s="45" t="str">
        <f aca="false">IF($M491="","",INDEX(伝票元!$A$6:$A$511,$M491))</f>
        <v/>
      </c>
      <c r="E491" s="10" t="str">
        <f aca="false">IF(IF($M491="",0,INDEX(伝票元!$N$6:$N$511,$M491))=1,INDEX(伝票元!$I$6:$I$511,$M491),"")</f>
        <v/>
      </c>
      <c r="F491" s="45" t="str">
        <f aca="false">IF(IF($M491="",0,INDEX(伝票元!$N$6:$N$511,$M491))=1,INDEX(伝票元!$J$6:$J$511,$M491),"")</f>
        <v/>
      </c>
      <c r="G491" s="42" t="str">
        <f aca="false">IF(IF($M491="",0,INDEX(伝票元!$N$6:$N$511,$M491))=1,INDEX(伝票元!$Q$6:$Q$511,$M491),"")</f>
        <v/>
      </c>
      <c r="H491" s="45" t="str">
        <f aca="false">IF($M491="","",INDEX(伝票元!$F$6:$F$511,$M491))</f>
        <v/>
      </c>
      <c r="I491" s="45" t="str">
        <f aca="false">IF($M491="","",INDEX(伝票元!$G$6:$G$511,$M491))</f>
        <v/>
      </c>
      <c r="J491" s="42" t="str">
        <f aca="false">IF($M491="","",INDEX(伝票元!$H$6:$H$511,$M491))</f>
        <v/>
      </c>
      <c r="K491" s="46" t="str">
        <f aca="false">IF(IF($M491="",0,INDEX(伝票元!$N$6:$N$511,$M491))=1,INDEX(伝票元!$R$6:$R$511,$M491),"")</f>
        <v/>
      </c>
      <c r="L491" s="47" t="str">
        <f aca="false">IF($M491="","",INDEX(伝票元!$S$6:$S$511,$M491))</f>
        <v/>
      </c>
      <c r="M491" s="47" t="str">
        <f aca="false">IFERROR(MATCH(485,伝票元!$O$6:$O$511,0),"")</f>
        <v/>
      </c>
    </row>
    <row r="492" customFormat="false" ht="15" hidden="false" customHeight="false" outlineLevel="0" collapsed="false">
      <c r="A492" s="10" t="str">
        <f aca="false">IF($M492="","",INDEX(伝票元!$P$6:$P$511,$M492))</f>
        <v/>
      </c>
      <c r="B492" s="45" t="str">
        <f aca="false">IF($M492="","",INDEX(伝票元!$D$6:$D$511,$M492))</f>
        <v/>
      </c>
      <c r="C492" s="10" t="str">
        <f aca="false">IF($M492="","",INDEX(伝票元!$E$6:$E$511,$M492))</f>
        <v/>
      </c>
      <c r="D492" s="45" t="str">
        <f aca="false">IF($M492="","",INDEX(伝票元!$A$6:$A$511,$M492))</f>
        <v/>
      </c>
      <c r="E492" s="10" t="str">
        <f aca="false">IF(IF($M492="",0,INDEX(伝票元!$N$6:$N$511,$M492))=1,INDEX(伝票元!$I$6:$I$511,$M492),"")</f>
        <v/>
      </c>
      <c r="F492" s="45" t="str">
        <f aca="false">IF(IF($M492="",0,INDEX(伝票元!$N$6:$N$511,$M492))=1,INDEX(伝票元!$J$6:$J$511,$M492),"")</f>
        <v/>
      </c>
      <c r="G492" s="42" t="str">
        <f aca="false">IF(IF($M492="",0,INDEX(伝票元!$N$6:$N$511,$M492))=1,INDEX(伝票元!$Q$6:$Q$511,$M492),"")</f>
        <v/>
      </c>
      <c r="H492" s="45" t="str">
        <f aca="false">IF($M492="","",INDEX(伝票元!$F$6:$F$511,$M492))</f>
        <v/>
      </c>
      <c r="I492" s="45" t="str">
        <f aca="false">IF($M492="","",INDEX(伝票元!$G$6:$G$511,$M492))</f>
        <v/>
      </c>
      <c r="J492" s="42" t="str">
        <f aca="false">IF($M492="","",INDEX(伝票元!$H$6:$H$511,$M492))</f>
        <v/>
      </c>
      <c r="K492" s="46" t="str">
        <f aca="false">IF(IF($M492="",0,INDEX(伝票元!$N$6:$N$511,$M492))=1,INDEX(伝票元!$R$6:$R$511,$M492),"")</f>
        <v/>
      </c>
      <c r="L492" s="47" t="str">
        <f aca="false">IF($M492="","",INDEX(伝票元!$S$6:$S$511,$M492))</f>
        <v/>
      </c>
      <c r="M492" s="47" t="str">
        <f aca="false">IFERROR(MATCH(486,伝票元!$O$6:$O$511,0),"")</f>
        <v/>
      </c>
    </row>
    <row r="493" customFormat="false" ht="15" hidden="false" customHeight="false" outlineLevel="0" collapsed="false">
      <c r="A493" s="10" t="str">
        <f aca="false">IF($M493="","",INDEX(伝票元!$P$6:$P$511,$M493))</f>
        <v/>
      </c>
      <c r="B493" s="45" t="str">
        <f aca="false">IF($M493="","",INDEX(伝票元!$D$6:$D$511,$M493))</f>
        <v/>
      </c>
      <c r="C493" s="10" t="str">
        <f aca="false">IF($M493="","",INDEX(伝票元!$E$6:$E$511,$M493))</f>
        <v/>
      </c>
      <c r="D493" s="45" t="str">
        <f aca="false">IF($M493="","",INDEX(伝票元!$A$6:$A$511,$M493))</f>
        <v/>
      </c>
      <c r="E493" s="10" t="str">
        <f aca="false">IF(IF($M493="",0,INDEX(伝票元!$N$6:$N$511,$M493))=1,INDEX(伝票元!$I$6:$I$511,$M493),"")</f>
        <v/>
      </c>
      <c r="F493" s="45" t="str">
        <f aca="false">IF(IF($M493="",0,INDEX(伝票元!$N$6:$N$511,$M493))=1,INDEX(伝票元!$J$6:$J$511,$M493),"")</f>
        <v/>
      </c>
      <c r="G493" s="42" t="str">
        <f aca="false">IF(IF($M493="",0,INDEX(伝票元!$N$6:$N$511,$M493))=1,INDEX(伝票元!$Q$6:$Q$511,$M493),"")</f>
        <v/>
      </c>
      <c r="H493" s="45" t="str">
        <f aca="false">IF($M493="","",INDEX(伝票元!$F$6:$F$511,$M493))</f>
        <v/>
      </c>
      <c r="I493" s="45" t="str">
        <f aca="false">IF($M493="","",INDEX(伝票元!$G$6:$G$511,$M493))</f>
        <v/>
      </c>
      <c r="J493" s="42" t="str">
        <f aca="false">IF($M493="","",INDEX(伝票元!$H$6:$H$511,$M493))</f>
        <v/>
      </c>
      <c r="K493" s="46" t="str">
        <f aca="false">IF(IF($M493="",0,INDEX(伝票元!$N$6:$N$511,$M493))=1,INDEX(伝票元!$R$6:$R$511,$M493),"")</f>
        <v/>
      </c>
      <c r="L493" s="47" t="str">
        <f aca="false">IF($M493="","",INDEX(伝票元!$S$6:$S$511,$M493))</f>
        <v/>
      </c>
      <c r="M493" s="47" t="str">
        <f aca="false">IFERROR(MATCH(487,伝票元!$O$6:$O$511,0),"")</f>
        <v/>
      </c>
    </row>
    <row r="494" customFormat="false" ht="15" hidden="false" customHeight="false" outlineLevel="0" collapsed="false">
      <c r="A494" s="10" t="str">
        <f aca="false">IF($M494="","",INDEX(伝票元!$P$6:$P$511,$M494))</f>
        <v/>
      </c>
      <c r="B494" s="45" t="str">
        <f aca="false">IF($M494="","",INDEX(伝票元!$D$6:$D$511,$M494))</f>
        <v/>
      </c>
      <c r="C494" s="10" t="str">
        <f aca="false">IF($M494="","",INDEX(伝票元!$E$6:$E$511,$M494))</f>
        <v/>
      </c>
      <c r="D494" s="45" t="str">
        <f aca="false">IF($M494="","",INDEX(伝票元!$A$6:$A$511,$M494))</f>
        <v/>
      </c>
      <c r="E494" s="10" t="str">
        <f aca="false">IF(IF($M494="",0,INDEX(伝票元!$N$6:$N$511,$M494))=1,INDEX(伝票元!$I$6:$I$511,$M494),"")</f>
        <v/>
      </c>
      <c r="F494" s="45" t="str">
        <f aca="false">IF(IF($M494="",0,INDEX(伝票元!$N$6:$N$511,$M494))=1,INDEX(伝票元!$J$6:$J$511,$M494),"")</f>
        <v/>
      </c>
      <c r="G494" s="42" t="str">
        <f aca="false">IF(IF($M494="",0,INDEX(伝票元!$N$6:$N$511,$M494))=1,INDEX(伝票元!$Q$6:$Q$511,$M494),"")</f>
        <v/>
      </c>
      <c r="H494" s="45" t="str">
        <f aca="false">IF($M494="","",INDEX(伝票元!$F$6:$F$511,$M494))</f>
        <v/>
      </c>
      <c r="I494" s="45" t="str">
        <f aca="false">IF($M494="","",INDEX(伝票元!$G$6:$G$511,$M494))</f>
        <v/>
      </c>
      <c r="J494" s="42" t="str">
        <f aca="false">IF($M494="","",INDEX(伝票元!$H$6:$H$511,$M494))</f>
        <v/>
      </c>
      <c r="K494" s="46" t="str">
        <f aca="false">IF(IF($M494="",0,INDEX(伝票元!$N$6:$N$511,$M494))=1,INDEX(伝票元!$R$6:$R$511,$M494),"")</f>
        <v/>
      </c>
      <c r="L494" s="47" t="str">
        <f aca="false">IF($M494="","",INDEX(伝票元!$S$6:$S$511,$M494))</f>
        <v/>
      </c>
      <c r="M494" s="47" t="str">
        <f aca="false">IFERROR(MATCH(488,伝票元!$O$6:$O$511,0),"")</f>
        <v/>
      </c>
    </row>
    <row r="495" customFormat="false" ht="15" hidden="false" customHeight="false" outlineLevel="0" collapsed="false">
      <c r="A495" s="10" t="str">
        <f aca="false">IF($M495="","",INDEX(伝票元!$P$6:$P$511,$M495))</f>
        <v/>
      </c>
      <c r="B495" s="45" t="str">
        <f aca="false">IF($M495="","",INDEX(伝票元!$D$6:$D$511,$M495))</f>
        <v/>
      </c>
      <c r="C495" s="10" t="str">
        <f aca="false">IF($M495="","",INDEX(伝票元!$E$6:$E$511,$M495))</f>
        <v/>
      </c>
      <c r="D495" s="45" t="str">
        <f aca="false">IF($M495="","",INDEX(伝票元!$A$6:$A$511,$M495))</f>
        <v/>
      </c>
      <c r="E495" s="10" t="str">
        <f aca="false">IF(IF($M495="",0,INDEX(伝票元!$N$6:$N$511,$M495))=1,INDEX(伝票元!$I$6:$I$511,$M495),"")</f>
        <v/>
      </c>
      <c r="F495" s="45" t="str">
        <f aca="false">IF(IF($M495="",0,INDEX(伝票元!$N$6:$N$511,$M495))=1,INDEX(伝票元!$J$6:$J$511,$M495),"")</f>
        <v/>
      </c>
      <c r="G495" s="42" t="str">
        <f aca="false">IF(IF($M495="",0,INDEX(伝票元!$N$6:$N$511,$M495))=1,INDEX(伝票元!$Q$6:$Q$511,$M495),"")</f>
        <v/>
      </c>
      <c r="H495" s="45" t="str">
        <f aca="false">IF($M495="","",INDEX(伝票元!$F$6:$F$511,$M495))</f>
        <v/>
      </c>
      <c r="I495" s="45" t="str">
        <f aca="false">IF($M495="","",INDEX(伝票元!$G$6:$G$511,$M495))</f>
        <v/>
      </c>
      <c r="J495" s="42" t="str">
        <f aca="false">IF($M495="","",INDEX(伝票元!$H$6:$H$511,$M495))</f>
        <v/>
      </c>
      <c r="K495" s="46" t="str">
        <f aca="false">IF(IF($M495="",0,INDEX(伝票元!$N$6:$N$511,$M495))=1,INDEX(伝票元!$R$6:$R$511,$M495),"")</f>
        <v/>
      </c>
      <c r="L495" s="47" t="str">
        <f aca="false">IF($M495="","",INDEX(伝票元!$S$6:$S$511,$M495))</f>
        <v/>
      </c>
      <c r="M495" s="47" t="str">
        <f aca="false">IFERROR(MATCH(489,伝票元!$O$6:$O$511,0),"")</f>
        <v/>
      </c>
    </row>
    <row r="496" customFormat="false" ht="15" hidden="false" customHeight="false" outlineLevel="0" collapsed="false">
      <c r="A496" s="10" t="str">
        <f aca="false">IF($M496="","",INDEX(伝票元!$P$6:$P$511,$M496))</f>
        <v/>
      </c>
      <c r="B496" s="45" t="str">
        <f aca="false">IF($M496="","",INDEX(伝票元!$D$6:$D$511,$M496))</f>
        <v/>
      </c>
      <c r="C496" s="10" t="str">
        <f aca="false">IF($M496="","",INDEX(伝票元!$E$6:$E$511,$M496))</f>
        <v/>
      </c>
      <c r="D496" s="45" t="str">
        <f aca="false">IF($M496="","",INDEX(伝票元!$A$6:$A$511,$M496))</f>
        <v/>
      </c>
      <c r="E496" s="10" t="str">
        <f aca="false">IF(IF($M496="",0,INDEX(伝票元!$N$6:$N$511,$M496))=1,INDEX(伝票元!$I$6:$I$511,$M496),"")</f>
        <v/>
      </c>
      <c r="F496" s="45" t="str">
        <f aca="false">IF(IF($M496="",0,INDEX(伝票元!$N$6:$N$511,$M496))=1,INDEX(伝票元!$J$6:$J$511,$M496),"")</f>
        <v/>
      </c>
      <c r="G496" s="42" t="str">
        <f aca="false">IF(IF($M496="",0,INDEX(伝票元!$N$6:$N$511,$M496))=1,INDEX(伝票元!$Q$6:$Q$511,$M496),"")</f>
        <v/>
      </c>
      <c r="H496" s="45" t="str">
        <f aca="false">IF($M496="","",INDEX(伝票元!$F$6:$F$511,$M496))</f>
        <v/>
      </c>
      <c r="I496" s="45" t="str">
        <f aca="false">IF($M496="","",INDEX(伝票元!$G$6:$G$511,$M496))</f>
        <v/>
      </c>
      <c r="J496" s="42" t="str">
        <f aca="false">IF($M496="","",INDEX(伝票元!$H$6:$H$511,$M496))</f>
        <v/>
      </c>
      <c r="K496" s="46" t="str">
        <f aca="false">IF(IF($M496="",0,INDEX(伝票元!$N$6:$N$511,$M496))=1,INDEX(伝票元!$R$6:$R$511,$M496),"")</f>
        <v/>
      </c>
      <c r="L496" s="47" t="str">
        <f aca="false">IF($M496="","",INDEX(伝票元!$S$6:$S$511,$M496))</f>
        <v/>
      </c>
      <c r="M496" s="47" t="str">
        <f aca="false">IFERROR(MATCH(490,伝票元!$O$6:$O$511,0),"")</f>
        <v/>
      </c>
    </row>
    <row r="497" customFormat="false" ht="15" hidden="false" customHeight="false" outlineLevel="0" collapsed="false">
      <c r="A497" s="10" t="str">
        <f aca="false">IF($M497="","",INDEX(伝票元!$P$6:$P$511,$M497))</f>
        <v/>
      </c>
      <c r="B497" s="45" t="str">
        <f aca="false">IF($M497="","",INDEX(伝票元!$D$6:$D$511,$M497))</f>
        <v/>
      </c>
      <c r="C497" s="10" t="str">
        <f aca="false">IF($M497="","",INDEX(伝票元!$E$6:$E$511,$M497))</f>
        <v/>
      </c>
      <c r="D497" s="45" t="str">
        <f aca="false">IF($M497="","",INDEX(伝票元!$A$6:$A$511,$M497))</f>
        <v/>
      </c>
      <c r="E497" s="10" t="str">
        <f aca="false">IF(IF($M497="",0,INDEX(伝票元!$N$6:$N$511,$M497))=1,INDEX(伝票元!$I$6:$I$511,$M497),"")</f>
        <v/>
      </c>
      <c r="F497" s="45" t="str">
        <f aca="false">IF(IF($M497="",0,INDEX(伝票元!$N$6:$N$511,$M497))=1,INDEX(伝票元!$J$6:$J$511,$M497),"")</f>
        <v/>
      </c>
      <c r="G497" s="42" t="str">
        <f aca="false">IF(IF($M497="",0,INDEX(伝票元!$N$6:$N$511,$M497))=1,INDEX(伝票元!$Q$6:$Q$511,$M497),"")</f>
        <v/>
      </c>
      <c r="H497" s="45" t="str">
        <f aca="false">IF($M497="","",INDEX(伝票元!$F$6:$F$511,$M497))</f>
        <v/>
      </c>
      <c r="I497" s="45" t="str">
        <f aca="false">IF($M497="","",INDEX(伝票元!$G$6:$G$511,$M497))</f>
        <v/>
      </c>
      <c r="J497" s="42" t="str">
        <f aca="false">IF($M497="","",INDEX(伝票元!$H$6:$H$511,$M497))</f>
        <v/>
      </c>
      <c r="K497" s="46" t="str">
        <f aca="false">IF(IF($M497="",0,INDEX(伝票元!$N$6:$N$511,$M497))=1,INDEX(伝票元!$R$6:$R$511,$M497),"")</f>
        <v/>
      </c>
      <c r="L497" s="47" t="str">
        <f aca="false">IF($M497="","",INDEX(伝票元!$S$6:$S$511,$M497))</f>
        <v/>
      </c>
      <c r="M497" s="47" t="str">
        <f aca="false">IFERROR(MATCH(491,伝票元!$O$6:$O$511,0),"")</f>
        <v/>
      </c>
    </row>
    <row r="498" customFormat="false" ht="15" hidden="false" customHeight="false" outlineLevel="0" collapsed="false">
      <c r="A498" s="10" t="str">
        <f aca="false">IF($M498="","",INDEX(伝票元!$P$6:$P$511,$M498))</f>
        <v/>
      </c>
      <c r="B498" s="45" t="str">
        <f aca="false">IF($M498="","",INDEX(伝票元!$D$6:$D$511,$M498))</f>
        <v/>
      </c>
      <c r="C498" s="10" t="str">
        <f aca="false">IF($M498="","",INDEX(伝票元!$E$6:$E$511,$M498))</f>
        <v/>
      </c>
      <c r="D498" s="45" t="str">
        <f aca="false">IF($M498="","",INDEX(伝票元!$A$6:$A$511,$M498))</f>
        <v/>
      </c>
      <c r="E498" s="10" t="str">
        <f aca="false">IF(IF($M498="",0,INDEX(伝票元!$N$6:$N$511,$M498))=1,INDEX(伝票元!$I$6:$I$511,$M498),"")</f>
        <v/>
      </c>
      <c r="F498" s="45" t="str">
        <f aca="false">IF(IF($M498="",0,INDEX(伝票元!$N$6:$N$511,$M498))=1,INDEX(伝票元!$J$6:$J$511,$M498),"")</f>
        <v/>
      </c>
      <c r="G498" s="42" t="str">
        <f aca="false">IF(IF($M498="",0,INDEX(伝票元!$N$6:$N$511,$M498))=1,INDEX(伝票元!$Q$6:$Q$511,$M498),"")</f>
        <v/>
      </c>
      <c r="H498" s="45" t="str">
        <f aca="false">IF($M498="","",INDEX(伝票元!$F$6:$F$511,$M498))</f>
        <v/>
      </c>
      <c r="I498" s="45" t="str">
        <f aca="false">IF($M498="","",INDEX(伝票元!$G$6:$G$511,$M498))</f>
        <v/>
      </c>
      <c r="J498" s="42" t="str">
        <f aca="false">IF($M498="","",INDEX(伝票元!$H$6:$H$511,$M498))</f>
        <v/>
      </c>
      <c r="K498" s="46" t="str">
        <f aca="false">IF(IF($M498="",0,INDEX(伝票元!$N$6:$N$511,$M498))=1,INDEX(伝票元!$R$6:$R$511,$M498),"")</f>
        <v/>
      </c>
      <c r="L498" s="47" t="str">
        <f aca="false">IF($M498="","",INDEX(伝票元!$S$6:$S$511,$M498))</f>
        <v/>
      </c>
      <c r="M498" s="47" t="str">
        <f aca="false">IFERROR(MATCH(492,伝票元!$O$6:$O$511,0),"")</f>
        <v/>
      </c>
    </row>
    <row r="499" customFormat="false" ht="15" hidden="false" customHeight="false" outlineLevel="0" collapsed="false">
      <c r="A499" s="10" t="str">
        <f aca="false">IF($M499="","",INDEX(伝票元!$P$6:$P$511,$M499))</f>
        <v/>
      </c>
      <c r="B499" s="45" t="str">
        <f aca="false">IF($M499="","",INDEX(伝票元!$D$6:$D$511,$M499))</f>
        <v/>
      </c>
      <c r="C499" s="10" t="str">
        <f aca="false">IF($M499="","",INDEX(伝票元!$E$6:$E$511,$M499))</f>
        <v/>
      </c>
      <c r="D499" s="45" t="str">
        <f aca="false">IF($M499="","",INDEX(伝票元!$A$6:$A$511,$M499))</f>
        <v/>
      </c>
      <c r="E499" s="10" t="str">
        <f aca="false">IF(IF($M499="",0,INDEX(伝票元!$N$6:$N$511,$M499))=1,INDEX(伝票元!$I$6:$I$511,$M499),"")</f>
        <v/>
      </c>
      <c r="F499" s="45" t="str">
        <f aca="false">IF(IF($M499="",0,INDEX(伝票元!$N$6:$N$511,$M499))=1,INDEX(伝票元!$J$6:$J$511,$M499),"")</f>
        <v/>
      </c>
      <c r="G499" s="42" t="str">
        <f aca="false">IF(IF($M499="",0,INDEX(伝票元!$N$6:$N$511,$M499))=1,INDEX(伝票元!$Q$6:$Q$511,$M499),"")</f>
        <v/>
      </c>
      <c r="H499" s="45" t="str">
        <f aca="false">IF($M499="","",INDEX(伝票元!$F$6:$F$511,$M499))</f>
        <v/>
      </c>
      <c r="I499" s="45" t="str">
        <f aca="false">IF($M499="","",INDEX(伝票元!$G$6:$G$511,$M499))</f>
        <v/>
      </c>
      <c r="J499" s="42" t="str">
        <f aca="false">IF($M499="","",INDEX(伝票元!$H$6:$H$511,$M499))</f>
        <v/>
      </c>
      <c r="K499" s="46" t="str">
        <f aca="false">IF(IF($M499="",0,INDEX(伝票元!$N$6:$N$511,$M499))=1,INDEX(伝票元!$R$6:$R$511,$M499),"")</f>
        <v/>
      </c>
      <c r="L499" s="47" t="str">
        <f aca="false">IF($M499="","",INDEX(伝票元!$S$6:$S$511,$M499))</f>
        <v/>
      </c>
      <c r="M499" s="47" t="str">
        <f aca="false">IFERROR(MATCH(493,伝票元!$O$6:$O$511,0),"")</f>
        <v/>
      </c>
    </row>
    <row r="500" customFormat="false" ht="15" hidden="false" customHeight="false" outlineLevel="0" collapsed="false">
      <c r="A500" s="10" t="str">
        <f aca="false">IF($M500="","",INDEX(伝票元!$P$6:$P$511,$M500))</f>
        <v/>
      </c>
      <c r="B500" s="45" t="str">
        <f aca="false">IF($M500="","",INDEX(伝票元!$D$6:$D$511,$M500))</f>
        <v/>
      </c>
      <c r="C500" s="10" t="str">
        <f aca="false">IF($M500="","",INDEX(伝票元!$E$6:$E$511,$M500))</f>
        <v/>
      </c>
      <c r="D500" s="45" t="str">
        <f aca="false">IF($M500="","",INDEX(伝票元!$A$6:$A$511,$M500))</f>
        <v/>
      </c>
      <c r="E500" s="10" t="str">
        <f aca="false">IF(IF($M500="",0,INDEX(伝票元!$N$6:$N$511,$M500))=1,INDEX(伝票元!$I$6:$I$511,$M500),"")</f>
        <v/>
      </c>
      <c r="F500" s="45" t="str">
        <f aca="false">IF(IF($M500="",0,INDEX(伝票元!$N$6:$N$511,$M500))=1,INDEX(伝票元!$J$6:$J$511,$M500),"")</f>
        <v/>
      </c>
      <c r="G500" s="42" t="str">
        <f aca="false">IF(IF($M500="",0,INDEX(伝票元!$N$6:$N$511,$M500))=1,INDEX(伝票元!$Q$6:$Q$511,$M500),"")</f>
        <v/>
      </c>
      <c r="H500" s="45" t="str">
        <f aca="false">IF($M500="","",INDEX(伝票元!$F$6:$F$511,$M500))</f>
        <v/>
      </c>
      <c r="I500" s="45" t="str">
        <f aca="false">IF($M500="","",INDEX(伝票元!$G$6:$G$511,$M500))</f>
        <v/>
      </c>
      <c r="J500" s="42" t="str">
        <f aca="false">IF($M500="","",INDEX(伝票元!$H$6:$H$511,$M500))</f>
        <v/>
      </c>
      <c r="K500" s="46" t="str">
        <f aca="false">IF(IF($M500="",0,INDEX(伝票元!$N$6:$N$511,$M500))=1,INDEX(伝票元!$R$6:$R$511,$M500),"")</f>
        <v/>
      </c>
      <c r="L500" s="47" t="str">
        <f aca="false">IF($M500="","",INDEX(伝票元!$S$6:$S$511,$M500))</f>
        <v/>
      </c>
      <c r="M500" s="47" t="str">
        <f aca="false">IFERROR(MATCH(494,伝票元!$O$6:$O$511,0),"")</f>
        <v/>
      </c>
    </row>
    <row r="501" customFormat="false" ht="15" hidden="false" customHeight="false" outlineLevel="0" collapsed="false">
      <c r="A501" s="10" t="str">
        <f aca="false">IF($M501="","",INDEX(伝票元!$P$6:$P$511,$M501))</f>
        <v/>
      </c>
      <c r="B501" s="45" t="str">
        <f aca="false">IF($M501="","",INDEX(伝票元!$D$6:$D$511,$M501))</f>
        <v/>
      </c>
      <c r="C501" s="10" t="str">
        <f aca="false">IF($M501="","",INDEX(伝票元!$E$6:$E$511,$M501))</f>
        <v/>
      </c>
      <c r="D501" s="45" t="str">
        <f aca="false">IF($M501="","",INDEX(伝票元!$A$6:$A$511,$M501))</f>
        <v/>
      </c>
      <c r="E501" s="10" t="str">
        <f aca="false">IF(IF($M501="",0,INDEX(伝票元!$N$6:$N$511,$M501))=1,INDEX(伝票元!$I$6:$I$511,$M501),"")</f>
        <v/>
      </c>
      <c r="F501" s="45" t="str">
        <f aca="false">IF(IF($M501="",0,INDEX(伝票元!$N$6:$N$511,$M501))=1,INDEX(伝票元!$J$6:$J$511,$M501),"")</f>
        <v/>
      </c>
      <c r="G501" s="42" t="str">
        <f aca="false">IF(IF($M501="",0,INDEX(伝票元!$N$6:$N$511,$M501))=1,INDEX(伝票元!$Q$6:$Q$511,$M501),"")</f>
        <v/>
      </c>
      <c r="H501" s="45" t="str">
        <f aca="false">IF($M501="","",INDEX(伝票元!$F$6:$F$511,$M501))</f>
        <v/>
      </c>
      <c r="I501" s="45" t="str">
        <f aca="false">IF($M501="","",INDEX(伝票元!$G$6:$G$511,$M501))</f>
        <v/>
      </c>
      <c r="J501" s="42" t="str">
        <f aca="false">IF($M501="","",INDEX(伝票元!$H$6:$H$511,$M501))</f>
        <v/>
      </c>
      <c r="K501" s="46" t="str">
        <f aca="false">IF(IF($M501="",0,INDEX(伝票元!$N$6:$N$511,$M501))=1,INDEX(伝票元!$R$6:$R$511,$M501),"")</f>
        <v/>
      </c>
      <c r="L501" s="47" t="str">
        <f aca="false">IF($M501="","",INDEX(伝票元!$S$6:$S$511,$M501))</f>
        <v/>
      </c>
      <c r="M501" s="47" t="str">
        <f aca="false">IFERROR(MATCH(495,伝票元!$O$6:$O$511,0),"")</f>
        <v/>
      </c>
    </row>
    <row r="502" customFormat="false" ht="15" hidden="false" customHeight="false" outlineLevel="0" collapsed="false">
      <c r="A502" s="10" t="str">
        <f aca="false">IF($M502="","",INDEX(伝票元!$P$6:$P$511,$M502))</f>
        <v/>
      </c>
      <c r="B502" s="45" t="str">
        <f aca="false">IF($M502="","",INDEX(伝票元!$D$6:$D$511,$M502))</f>
        <v/>
      </c>
      <c r="C502" s="10" t="str">
        <f aca="false">IF($M502="","",INDEX(伝票元!$E$6:$E$511,$M502))</f>
        <v/>
      </c>
      <c r="D502" s="45" t="str">
        <f aca="false">IF($M502="","",INDEX(伝票元!$A$6:$A$511,$M502))</f>
        <v/>
      </c>
      <c r="E502" s="10" t="str">
        <f aca="false">IF(IF($M502="",0,INDEX(伝票元!$N$6:$N$511,$M502))=1,INDEX(伝票元!$I$6:$I$511,$M502),"")</f>
        <v/>
      </c>
      <c r="F502" s="45" t="str">
        <f aca="false">IF(IF($M502="",0,INDEX(伝票元!$N$6:$N$511,$M502))=1,INDEX(伝票元!$J$6:$J$511,$M502),"")</f>
        <v/>
      </c>
      <c r="G502" s="42" t="str">
        <f aca="false">IF(IF($M502="",0,INDEX(伝票元!$N$6:$N$511,$M502))=1,INDEX(伝票元!$Q$6:$Q$511,$M502),"")</f>
        <v/>
      </c>
      <c r="H502" s="45" t="str">
        <f aca="false">IF($M502="","",INDEX(伝票元!$F$6:$F$511,$M502))</f>
        <v/>
      </c>
      <c r="I502" s="45" t="str">
        <f aca="false">IF($M502="","",INDEX(伝票元!$G$6:$G$511,$M502))</f>
        <v/>
      </c>
      <c r="J502" s="42" t="str">
        <f aca="false">IF($M502="","",INDEX(伝票元!$H$6:$H$511,$M502))</f>
        <v/>
      </c>
      <c r="K502" s="46" t="str">
        <f aca="false">IF(IF($M502="",0,INDEX(伝票元!$N$6:$N$511,$M502))=1,INDEX(伝票元!$R$6:$R$511,$M502),"")</f>
        <v/>
      </c>
      <c r="L502" s="47" t="str">
        <f aca="false">IF($M502="","",INDEX(伝票元!$S$6:$S$511,$M502))</f>
        <v/>
      </c>
      <c r="M502" s="47" t="str">
        <f aca="false">IFERROR(MATCH(496,伝票元!$O$6:$O$511,0),"")</f>
        <v/>
      </c>
    </row>
    <row r="503" customFormat="false" ht="15" hidden="false" customHeight="false" outlineLevel="0" collapsed="false">
      <c r="A503" s="10" t="str">
        <f aca="false">IF($M503="","",INDEX(伝票元!$P$6:$P$511,$M503))</f>
        <v/>
      </c>
      <c r="B503" s="45" t="str">
        <f aca="false">IF($M503="","",INDEX(伝票元!$D$6:$D$511,$M503))</f>
        <v/>
      </c>
      <c r="C503" s="10" t="str">
        <f aca="false">IF($M503="","",INDEX(伝票元!$E$6:$E$511,$M503))</f>
        <v/>
      </c>
      <c r="D503" s="45" t="str">
        <f aca="false">IF($M503="","",INDEX(伝票元!$A$6:$A$511,$M503))</f>
        <v/>
      </c>
      <c r="E503" s="10" t="str">
        <f aca="false">IF(IF($M503="",0,INDEX(伝票元!$N$6:$N$511,$M503))=1,INDEX(伝票元!$I$6:$I$511,$M503),"")</f>
        <v/>
      </c>
      <c r="F503" s="45" t="str">
        <f aca="false">IF(IF($M503="",0,INDEX(伝票元!$N$6:$N$511,$M503))=1,INDEX(伝票元!$J$6:$J$511,$M503),"")</f>
        <v/>
      </c>
      <c r="G503" s="42" t="str">
        <f aca="false">IF(IF($M503="",0,INDEX(伝票元!$N$6:$N$511,$M503))=1,INDEX(伝票元!$Q$6:$Q$511,$M503),"")</f>
        <v/>
      </c>
      <c r="H503" s="45" t="str">
        <f aca="false">IF($M503="","",INDEX(伝票元!$F$6:$F$511,$M503))</f>
        <v/>
      </c>
      <c r="I503" s="45" t="str">
        <f aca="false">IF($M503="","",INDEX(伝票元!$G$6:$G$511,$M503))</f>
        <v/>
      </c>
      <c r="J503" s="42" t="str">
        <f aca="false">IF($M503="","",INDEX(伝票元!$H$6:$H$511,$M503))</f>
        <v/>
      </c>
      <c r="K503" s="46" t="str">
        <f aca="false">IF(IF($M503="",0,INDEX(伝票元!$N$6:$N$511,$M503))=1,INDEX(伝票元!$R$6:$R$511,$M503),"")</f>
        <v/>
      </c>
      <c r="L503" s="47" t="str">
        <f aca="false">IF($M503="","",INDEX(伝票元!$S$6:$S$511,$M503))</f>
        <v/>
      </c>
      <c r="M503" s="47" t="str">
        <f aca="false">IFERROR(MATCH(497,伝票元!$O$6:$O$511,0),"")</f>
        <v/>
      </c>
    </row>
    <row r="504" customFormat="false" ht="15" hidden="false" customHeight="false" outlineLevel="0" collapsed="false">
      <c r="A504" s="10" t="str">
        <f aca="false">IF($M504="","",INDEX(伝票元!$P$6:$P$511,$M504))</f>
        <v/>
      </c>
      <c r="B504" s="45" t="str">
        <f aca="false">IF($M504="","",INDEX(伝票元!$D$6:$D$511,$M504))</f>
        <v/>
      </c>
      <c r="C504" s="10" t="str">
        <f aca="false">IF($M504="","",INDEX(伝票元!$E$6:$E$511,$M504))</f>
        <v/>
      </c>
      <c r="D504" s="45" t="str">
        <f aca="false">IF($M504="","",INDEX(伝票元!$A$6:$A$511,$M504))</f>
        <v/>
      </c>
      <c r="E504" s="10" t="str">
        <f aca="false">IF(IF($M504="",0,INDEX(伝票元!$N$6:$N$511,$M504))=1,INDEX(伝票元!$I$6:$I$511,$M504),"")</f>
        <v/>
      </c>
      <c r="F504" s="45" t="str">
        <f aca="false">IF(IF($M504="",0,INDEX(伝票元!$N$6:$N$511,$M504))=1,INDEX(伝票元!$J$6:$J$511,$M504),"")</f>
        <v/>
      </c>
      <c r="G504" s="42" t="str">
        <f aca="false">IF(IF($M504="",0,INDEX(伝票元!$N$6:$N$511,$M504))=1,INDEX(伝票元!$Q$6:$Q$511,$M504),"")</f>
        <v/>
      </c>
      <c r="H504" s="45" t="str">
        <f aca="false">IF($M504="","",INDEX(伝票元!$F$6:$F$511,$M504))</f>
        <v/>
      </c>
      <c r="I504" s="45" t="str">
        <f aca="false">IF($M504="","",INDEX(伝票元!$G$6:$G$511,$M504))</f>
        <v/>
      </c>
      <c r="J504" s="42" t="str">
        <f aca="false">IF($M504="","",INDEX(伝票元!$H$6:$H$511,$M504))</f>
        <v/>
      </c>
      <c r="K504" s="46" t="str">
        <f aca="false">IF(IF($M504="",0,INDEX(伝票元!$N$6:$N$511,$M504))=1,INDEX(伝票元!$R$6:$R$511,$M504),"")</f>
        <v/>
      </c>
      <c r="L504" s="47" t="str">
        <f aca="false">IF($M504="","",INDEX(伝票元!$S$6:$S$511,$M504))</f>
        <v/>
      </c>
      <c r="M504" s="47" t="str">
        <f aca="false">IFERROR(MATCH(498,伝票元!$O$6:$O$511,0),"")</f>
        <v/>
      </c>
    </row>
    <row r="505" customFormat="false" ht="15" hidden="false" customHeight="false" outlineLevel="0" collapsed="false">
      <c r="A505" s="10" t="str">
        <f aca="false">IF($M505="","",INDEX(伝票元!$P$6:$P$511,$M505))</f>
        <v/>
      </c>
      <c r="B505" s="45" t="str">
        <f aca="false">IF($M505="","",INDEX(伝票元!$D$6:$D$511,$M505))</f>
        <v/>
      </c>
      <c r="C505" s="10" t="str">
        <f aca="false">IF($M505="","",INDEX(伝票元!$E$6:$E$511,$M505))</f>
        <v/>
      </c>
      <c r="D505" s="45" t="str">
        <f aca="false">IF($M505="","",INDEX(伝票元!$A$6:$A$511,$M505))</f>
        <v/>
      </c>
      <c r="E505" s="10" t="str">
        <f aca="false">IF(IF($M505="",0,INDEX(伝票元!$N$6:$N$511,$M505))=1,INDEX(伝票元!$I$6:$I$511,$M505),"")</f>
        <v/>
      </c>
      <c r="F505" s="45" t="str">
        <f aca="false">IF(IF($M505="",0,INDEX(伝票元!$N$6:$N$511,$M505))=1,INDEX(伝票元!$J$6:$J$511,$M505),"")</f>
        <v/>
      </c>
      <c r="G505" s="42" t="str">
        <f aca="false">IF(IF($M505="",0,INDEX(伝票元!$N$6:$N$511,$M505))=1,INDEX(伝票元!$Q$6:$Q$511,$M505),"")</f>
        <v/>
      </c>
      <c r="H505" s="45" t="str">
        <f aca="false">IF($M505="","",INDEX(伝票元!$F$6:$F$511,$M505))</f>
        <v/>
      </c>
      <c r="I505" s="45" t="str">
        <f aca="false">IF($M505="","",INDEX(伝票元!$G$6:$G$511,$M505))</f>
        <v/>
      </c>
      <c r="J505" s="42" t="str">
        <f aca="false">IF($M505="","",INDEX(伝票元!$H$6:$H$511,$M505))</f>
        <v/>
      </c>
      <c r="K505" s="46" t="str">
        <f aca="false">IF(IF($M505="",0,INDEX(伝票元!$N$6:$N$511,$M505))=1,INDEX(伝票元!$R$6:$R$511,$M505),"")</f>
        <v/>
      </c>
      <c r="L505" s="47" t="str">
        <f aca="false">IF($M505="","",INDEX(伝票元!$S$6:$S$511,$M505))</f>
        <v/>
      </c>
      <c r="M505" s="47" t="str">
        <f aca="false">IFERROR(MATCH(499,伝票元!$O$6:$O$511,0),"")</f>
        <v/>
      </c>
    </row>
    <row r="506" customFormat="false" ht="15" hidden="false" customHeight="false" outlineLevel="0" collapsed="false">
      <c r="A506" s="10" t="str">
        <f aca="false">IF($M506="","",INDEX(伝票元!$P$6:$P$511,$M506))</f>
        <v/>
      </c>
      <c r="B506" s="45" t="str">
        <f aca="false">IF($M506="","",INDEX(伝票元!$D$6:$D$511,$M506))</f>
        <v/>
      </c>
      <c r="C506" s="10" t="str">
        <f aca="false">IF($M506="","",INDEX(伝票元!$E$6:$E$511,$M506))</f>
        <v/>
      </c>
      <c r="D506" s="45" t="str">
        <f aca="false">IF($M506="","",INDEX(伝票元!$A$6:$A$511,$M506))</f>
        <v/>
      </c>
      <c r="E506" s="10" t="str">
        <f aca="false">IF(IF($M506="",0,INDEX(伝票元!$N$6:$N$511,$M506))=1,INDEX(伝票元!$I$6:$I$511,$M506),"")</f>
        <v/>
      </c>
      <c r="F506" s="45" t="str">
        <f aca="false">IF(IF($M506="",0,INDEX(伝票元!$N$6:$N$511,$M506))=1,INDEX(伝票元!$J$6:$J$511,$M506),"")</f>
        <v/>
      </c>
      <c r="G506" s="42" t="str">
        <f aca="false">IF(IF($M506="",0,INDEX(伝票元!$N$6:$N$511,$M506))=1,INDEX(伝票元!$Q$6:$Q$511,$M506),"")</f>
        <v/>
      </c>
      <c r="H506" s="45" t="str">
        <f aca="false">IF($M506="","",INDEX(伝票元!$F$6:$F$511,$M506))</f>
        <v/>
      </c>
      <c r="I506" s="45" t="str">
        <f aca="false">IF($M506="","",INDEX(伝票元!$G$6:$G$511,$M506))</f>
        <v/>
      </c>
      <c r="J506" s="42" t="str">
        <f aca="false">IF($M506="","",INDEX(伝票元!$H$6:$H$511,$M506))</f>
        <v/>
      </c>
      <c r="K506" s="46" t="str">
        <f aca="false">IF(IF($M506="",0,INDEX(伝票元!$N$6:$N$511,$M506))=1,INDEX(伝票元!$R$6:$R$511,$M506),"")</f>
        <v/>
      </c>
      <c r="L506" s="47" t="str">
        <f aca="false">IF($M506="","",INDEX(伝票元!$S$6:$S$511,$M506))</f>
        <v/>
      </c>
      <c r="M506" s="47" t="str">
        <f aca="false">IFERROR(MATCH(500,伝票元!$O$6:$O$511,0),"")</f>
        <v/>
      </c>
    </row>
    <row r="507" customFormat="false" ht="15" hidden="false" customHeight="false" outlineLevel="0" collapsed="false">
      <c r="A507" s="10" t="str">
        <f aca="false">IF($M507="","",INDEX(伝票元!$P$6:$P$511,$M507))</f>
        <v/>
      </c>
      <c r="B507" s="45" t="str">
        <f aca="false">IF($M507="","",INDEX(伝票元!$D$6:$D$511,$M507))</f>
        <v/>
      </c>
      <c r="C507" s="10" t="str">
        <f aca="false">IF($M507="","",INDEX(伝票元!$E$6:$E$511,$M507))</f>
        <v/>
      </c>
      <c r="D507" s="45" t="str">
        <f aca="false">IF($M507="","",INDEX(伝票元!$A$6:$A$511,$M507))</f>
        <v/>
      </c>
      <c r="E507" s="10" t="str">
        <f aca="false">IF(IF($M507="",0,INDEX(伝票元!$N$6:$N$511,$M507))=1,INDEX(伝票元!$I$6:$I$511,$M507),"")</f>
        <v/>
      </c>
      <c r="F507" s="45" t="str">
        <f aca="false">IF(IF($M507="",0,INDEX(伝票元!$N$6:$N$511,$M507))=1,INDEX(伝票元!$J$6:$J$511,$M507),"")</f>
        <v/>
      </c>
      <c r="G507" s="42" t="str">
        <f aca="false">IF(IF($M507="",0,INDEX(伝票元!$N$6:$N$511,$M507))=1,INDEX(伝票元!$Q$6:$Q$511,$M507),"")</f>
        <v/>
      </c>
      <c r="H507" s="45" t="str">
        <f aca="false">IF($M507="","",INDEX(伝票元!$F$6:$F$511,$M507))</f>
        <v/>
      </c>
      <c r="I507" s="45" t="str">
        <f aca="false">IF($M507="","",INDEX(伝票元!$G$6:$G$511,$M507))</f>
        <v/>
      </c>
      <c r="J507" s="42" t="str">
        <f aca="false">IF($M507="","",INDEX(伝票元!$H$6:$H$511,$M507))</f>
        <v/>
      </c>
      <c r="K507" s="46" t="str">
        <f aca="false">IF(IF($M507="",0,INDEX(伝票元!$N$6:$N$511,$M507))=1,INDEX(伝票元!$R$6:$R$511,$M507),"")</f>
        <v/>
      </c>
      <c r="L507" s="47" t="str">
        <f aca="false">IF($M507="","",INDEX(伝票元!$S$6:$S$511,$M507))</f>
        <v/>
      </c>
      <c r="M507" s="47" t="str">
        <f aca="false">IFERROR(MATCH(501,伝票元!$O$6:$O$511,0),"")</f>
        <v/>
      </c>
    </row>
    <row r="508" customFormat="false" ht="15" hidden="false" customHeight="false" outlineLevel="0" collapsed="false">
      <c r="A508" s="10" t="str">
        <f aca="false">IF($M508="","",INDEX(伝票元!$P$6:$P$511,$M508))</f>
        <v/>
      </c>
      <c r="B508" s="45" t="str">
        <f aca="false">IF($M508="","",INDEX(伝票元!$D$6:$D$511,$M508))</f>
        <v/>
      </c>
      <c r="C508" s="10" t="str">
        <f aca="false">IF($M508="","",INDEX(伝票元!$E$6:$E$511,$M508))</f>
        <v/>
      </c>
      <c r="D508" s="45" t="str">
        <f aca="false">IF($M508="","",INDEX(伝票元!$A$6:$A$511,$M508))</f>
        <v/>
      </c>
      <c r="E508" s="10" t="str">
        <f aca="false">IF(IF($M508="",0,INDEX(伝票元!$N$6:$N$511,$M508))=1,INDEX(伝票元!$I$6:$I$511,$M508),"")</f>
        <v/>
      </c>
      <c r="F508" s="45" t="str">
        <f aca="false">IF(IF($M508="",0,INDEX(伝票元!$N$6:$N$511,$M508))=1,INDEX(伝票元!$J$6:$J$511,$M508),"")</f>
        <v/>
      </c>
      <c r="G508" s="42" t="str">
        <f aca="false">IF(IF($M508="",0,INDEX(伝票元!$N$6:$N$511,$M508))=1,INDEX(伝票元!$Q$6:$Q$511,$M508),"")</f>
        <v/>
      </c>
      <c r="H508" s="45" t="str">
        <f aca="false">IF($M508="","",INDEX(伝票元!$F$6:$F$511,$M508))</f>
        <v/>
      </c>
      <c r="I508" s="45" t="str">
        <f aca="false">IF($M508="","",INDEX(伝票元!$G$6:$G$511,$M508))</f>
        <v/>
      </c>
      <c r="J508" s="42" t="str">
        <f aca="false">IF($M508="","",INDEX(伝票元!$H$6:$H$511,$M508))</f>
        <v/>
      </c>
      <c r="K508" s="46" t="str">
        <f aca="false">IF(IF($M508="",0,INDEX(伝票元!$N$6:$N$511,$M508))=1,INDEX(伝票元!$R$6:$R$511,$M508),"")</f>
        <v/>
      </c>
      <c r="L508" s="47" t="str">
        <f aca="false">IF($M508="","",INDEX(伝票元!$S$6:$S$511,$M508))</f>
        <v/>
      </c>
      <c r="M508" s="47" t="str">
        <f aca="false">IFERROR(MATCH(502,伝票元!$O$6:$O$511,0),"")</f>
        <v/>
      </c>
    </row>
    <row r="509" customFormat="false" ht="15" hidden="false" customHeight="false" outlineLevel="0" collapsed="false">
      <c r="A509" s="10" t="str">
        <f aca="false">IF($M509="","",INDEX(伝票元!$P$6:$P$511,$M509))</f>
        <v/>
      </c>
      <c r="B509" s="45" t="str">
        <f aca="false">IF($M509="","",INDEX(伝票元!$D$6:$D$511,$M509))</f>
        <v/>
      </c>
      <c r="C509" s="10" t="str">
        <f aca="false">IF($M509="","",INDEX(伝票元!$E$6:$E$511,$M509))</f>
        <v/>
      </c>
      <c r="D509" s="45" t="str">
        <f aca="false">IF($M509="","",INDEX(伝票元!$A$6:$A$511,$M509))</f>
        <v/>
      </c>
      <c r="E509" s="10" t="str">
        <f aca="false">IF(IF($M509="",0,INDEX(伝票元!$N$6:$N$511,$M509))=1,INDEX(伝票元!$I$6:$I$511,$M509),"")</f>
        <v/>
      </c>
      <c r="F509" s="45" t="str">
        <f aca="false">IF(IF($M509="",0,INDEX(伝票元!$N$6:$N$511,$M509))=1,INDEX(伝票元!$J$6:$J$511,$M509),"")</f>
        <v/>
      </c>
      <c r="G509" s="42" t="str">
        <f aca="false">IF(IF($M509="",0,INDEX(伝票元!$N$6:$N$511,$M509))=1,INDEX(伝票元!$Q$6:$Q$511,$M509),"")</f>
        <v/>
      </c>
      <c r="H509" s="45" t="str">
        <f aca="false">IF($M509="","",INDEX(伝票元!$F$6:$F$511,$M509))</f>
        <v/>
      </c>
      <c r="I509" s="45" t="str">
        <f aca="false">IF($M509="","",INDEX(伝票元!$G$6:$G$511,$M509))</f>
        <v/>
      </c>
      <c r="J509" s="42" t="str">
        <f aca="false">IF($M509="","",INDEX(伝票元!$H$6:$H$511,$M509))</f>
        <v/>
      </c>
      <c r="K509" s="46" t="str">
        <f aca="false">IF(IF($M509="",0,INDEX(伝票元!$N$6:$N$511,$M509))=1,INDEX(伝票元!$R$6:$R$511,$M509),"")</f>
        <v/>
      </c>
      <c r="L509" s="47" t="str">
        <f aca="false">IF($M509="","",INDEX(伝票元!$S$6:$S$511,$M509))</f>
        <v/>
      </c>
      <c r="M509" s="47" t="str">
        <f aca="false">IFERROR(MATCH(503,伝票元!$O$6:$O$511,0),"")</f>
        <v/>
      </c>
    </row>
    <row r="510" customFormat="false" ht="15" hidden="false" customHeight="false" outlineLevel="0" collapsed="false">
      <c r="A510" s="10" t="str">
        <f aca="false">IF($M510="","",INDEX(伝票元!$P$6:$P$511,$M510))</f>
        <v/>
      </c>
      <c r="B510" s="45" t="str">
        <f aca="false">IF($M510="","",INDEX(伝票元!$D$6:$D$511,$M510))</f>
        <v/>
      </c>
      <c r="C510" s="10" t="str">
        <f aca="false">IF($M510="","",INDEX(伝票元!$E$6:$E$511,$M510))</f>
        <v/>
      </c>
      <c r="D510" s="45" t="str">
        <f aca="false">IF($M510="","",INDEX(伝票元!$A$6:$A$511,$M510))</f>
        <v/>
      </c>
      <c r="E510" s="10" t="str">
        <f aca="false">IF(IF($M510="",0,INDEX(伝票元!$N$6:$N$511,$M510))=1,INDEX(伝票元!$I$6:$I$511,$M510),"")</f>
        <v/>
      </c>
      <c r="F510" s="45" t="str">
        <f aca="false">IF(IF($M510="",0,INDEX(伝票元!$N$6:$N$511,$M510))=1,INDEX(伝票元!$J$6:$J$511,$M510),"")</f>
        <v/>
      </c>
      <c r="G510" s="42" t="str">
        <f aca="false">IF(IF($M510="",0,INDEX(伝票元!$N$6:$N$511,$M510))=1,INDEX(伝票元!$Q$6:$Q$511,$M510),"")</f>
        <v/>
      </c>
      <c r="H510" s="45" t="str">
        <f aca="false">IF($M510="","",INDEX(伝票元!$F$6:$F$511,$M510))</f>
        <v/>
      </c>
      <c r="I510" s="45" t="str">
        <f aca="false">IF($M510="","",INDEX(伝票元!$G$6:$G$511,$M510))</f>
        <v/>
      </c>
      <c r="J510" s="42" t="str">
        <f aca="false">IF($M510="","",INDEX(伝票元!$H$6:$H$511,$M510))</f>
        <v/>
      </c>
      <c r="K510" s="46" t="str">
        <f aca="false">IF(IF($M510="",0,INDEX(伝票元!$N$6:$N$511,$M510))=1,INDEX(伝票元!$R$6:$R$511,$M510),"")</f>
        <v/>
      </c>
      <c r="L510" s="47" t="str">
        <f aca="false">IF($M510="","",INDEX(伝票元!$S$6:$S$511,$M510))</f>
        <v/>
      </c>
      <c r="M510" s="47" t="str">
        <f aca="false">IFERROR(MATCH(504,伝票元!$O$6:$O$511,0),"")</f>
        <v/>
      </c>
    </row>
    <row r="511" customFormat="false" ht="15" hidden="false" customHeight="false" outlineLevel="0" collapsed="false">
      <c r="A511" s="10" t="str">
        <f aca="false">IF($M511="","",INDEX(伝票元!$P$6:$P$511,$M511))</f>
        <v/>
      </c>
      <c r="B511" s="45" t="str">
        <f aca="false">IF($M511="","",INDEX(伝票元!$D$6:$D$511,$M511))</f>
        <v/>
      </c>
      <c r="C511" s="10" t="str">
        <f aca="false">IF($M511="","",INDEX(伝票元!$E$6:$E$511,$M511))</f>
        <v/>
      </c>
      <c r="D511" s="45" t="str">
        <f aca="false">IF($M511="","",INDEX(伝票元!$A$6:$A$511,$M511))</f>
        <v/>
      </c>
      <c r="E511" s="10" t="str">
        <f aca="false">IF(IF($M511="",0,INDEX(伝票元!$N$6:$N$511,$M511))=1,INDEX(伝票元!$I$6:$I$511,$M511),"")</f>
        <v/>
      </c>
      <c r="F511" s="45" t="str">
        <f aca="false">IF(IF($M511="",0,INDEX(伝票元!$N$6:$N$511,$M511))=1,INDEX(伝票元!$J$6:$J$511,$M511),"")</f>
        <v/>
      </c>
      <c r="G511" s="42" t="str">
        <f aca="false">IF(IF($M511="",0,INDEX(伝票元!$N$6:$N$511,$M511))=1,INDEX(伝票元!$Q$6:$Q$511,$M511),"")</f>
        <v/>
      </c>
      <c r="H511" s="45" t="str">
        <f aca="false">IF($M511="","",INDEX(伝票元!$F$6:$F$511,$M511))</f>
        <v/>
      </c>
      <c r="I511" s="45" t="str">
        <f aca="false">IF($M511="","",INDEX(伝票元!$G$6:$G$511,$M511))</f>
        <v/>
      </c>
      <c r="J511" s="42" t="str">
        <f aca="false">IF($M511="","",INDEX(伝票元!$H$6:$H$511,$M511))</f>
        <v/>
      </c>
      <c r="K511" s="46" t="str">
        <f aca="false">IF(IF($M511="",0,INDEX(伝票元!$N$6:$N$511,$M511))=1,INDEX(伝票元!$R$6:$R$511,$M511),"")</f>
        <v/>
      </c>
      <c r="L511" s="47" t="str">
        <f aca="false">IF($M511="","",INDEX(伝票元!$S$6:$S$511,$M511))</f>
        <v/>
      </c>
      <c r="M511" s="47" t="str">
        <f aca="false">IFERROR(MATCH(505,伝票元!$O$6:$O$511,0),"")</f>
        <v/>
      </c>
    </row>
    <row r="512" customFormat="false" ht="15" hidden="false" customHeight="false" outlineLevel="0" collapsed="false">
      <c r="A512" s="10" t="str">
        <f aca="false">IF($M512="","",INDEX(伝票元!$P$6:$P$511,$M512))</f>
        <v/>
      </c>
      <c r="B512" s="45" t="str">
        <f aca="false">IF($M512="","",INDEX(伝票元!$D$6:$D$511,$M512))</f>
        <v/>
      </c>
      <c r="C512" s="10" t="str">
        <f aca="false">IF($M512="","",INDEX(伝票元!$E$6:$E$511,$M512))</f>
        <v/>
      </c>
      <c r="D512" s="45" t="str">
        <f aca="false">IF($M512="","",INDEX(伝票元!$A$6:$A$511,$M512))</f>
        <v/>
      </c>
      <c r="E512" s="10" t="str">
        <f aca="false">IF(IF($M512="",0,INDEX(伝票元!$N$6:$N$511,$M512))=1,INDEX(伝票元!$I$6:$I$511,$M512),"")</f>
        <v/>
      </c>
      <c r="F512" s="45" t="str">
        <f aca="false">IF(IF($M512="",0,INDEX(伝票元!$N$6:$N$511,$M512))=1,INDEX(伝票元!$J$6:$J$511,$M512),"")</f>
        <v/>
      </c>
      <c r="G512" s="42" t="str">
        <f aca="false">IF(IF($M512="",0,INDEX(伝票元!$N$6:$N$511,$M512))=1,INDEX(伝票元!$Q$6:$Q$511,$M512),"")</f>
        <v/>
      </c>
      <c r="H512" s="45" t="str">
        <f aca="false">IF($M512="","",INDEX(伝票元!$F$6:$F$511,$M512))</f>
        <v/>
      </c>
      <c r="I512" s="45" t="str">
        <f aca="false">IF($M512="","",INDEX(伝票元!$G$6:$G$511,$M512))</f>
        <v/>
      </c>
      <c r="J512" s="42" t="str">
        <f aca="false">IF($M512="","",INDEX(伝票元!$H$6:$H$511,$M512))</f>
        <v/>
      </c>
      <c r="K512" s="46" t="str">
        <f aca="false">IF(IF($M512="",0,INDEX(伝票元!$N$6:$N$511,$M512))=1,INDEX(伝票元!$R$6:$R$511,$M512),"")</f>
        <v/>
      </c>
      <c r="L512" s="47" t="str">
        <f aca="false">IF($M512="","",INDEX(伝票元!$S$6:$S$511,$M512))</f>
        <v/>
      </c>
      <c r="M512" s="47" t="str">
        <f aca="false">IFERROR(MATCH(506,伝票元!$O$6:$O$511,0),"")</f>
        <v/>
      </c>
    </row>
  </sheetData>
  <conditionalFormatting sqref="A7:K512">
    <cfRule type="expression" priority="2" aboveAverage="0" equalAverage="0" bottom="0" percent="0" rank="0" text="" dxfId="23">
      <formula>AND($M7&lt;&gt;"",IF($M7="",0,INDEX(伝票元!$N$6:$N$511,$M7))=1)</formula>
    </cfRule>
  </conditionalFormatting>
  <conditionalFormatting sqref="H7:I512">
    <cfRule type="expression" priority="3" aboveAverage="0" equalAverage="0" bottom="0" percent="0" rank="0" text="" dxfId="0">
      <formula>AND($M7&lt;&gt;"",$H7="")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L2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421875" defaultRowHeight="15" zeroHeight="false" outlineLevelRow="0" outlineLevelCol="1"/>
  <cols>
    <col collapsed="false" customWidth="true" hidden="false" outlineLevel="0" max="1" min="1" style="0" width="16"/>
    <col collapsed="false" customWidth="true" hidden="false" outlineLevel="0" max="2" min="2" style="0" width="17"/>
    <col collapsed="false" customWidth="true" hidden="false" outlineLevel="0" max="3" min="3" style="0" width="26"/>
    <col collapsed="false" customWidth="true" hidden="false" outlineLevel="0" max="4" min="4" style="0" width="16"/>
    <col collapsed="false" customWidth="true" hidden="false" outlineLevel="0" max="5" min="5" style="0" width="17"/>
    <col collapsed="false" customWidth="true" hidden="false" outlineLevel="0" max="6" min="6" style="0" width="26"/>
    <col collapsed="false" customWidth="true" hidden="false" outlineLevel="0" max="7" min="7" style="0" width="16"/>
    <col collapsed="false" customWidth="true" hidden="false" outlineLevel="0" max="10" min="8" style="0" width="2"/>
    <col collapsed="false" customWidth="true" hidden="true" outlineLevel="1" max="12" min="11" style="0" width="8"/>
  </cols>
  <sheetData>
    <row r="1" customFormat="false" ht="17.35" hidden="false" customHeight="false" outlineLevel="0" collapsed="false">
      <c r="A1" s="16" t="s">
        <v>271</v>
      </c>
    </row>
    <row r="2" customFormat="false" ht="17.35" hidden="false" customHeight="false" outlineLevel="0" collapsed="false">
      <c r="A2" s="2" t="s">
        <v>272</v>
      </c>
    </row>
    <row r="3" customFormat="false" ht="17.35" hidden="false" customHeight="false" outlineLevel="0" collapsed="false">
      <c r="K3" s="48" t="s">
        <v>273</v>
      </c>
      <c r="L3" s="48" t="s">
        <v>274</v>
      </c>
    </row>
    <row r="4" customFormat="false" ht="20.1" hidden="false" customHeight="false" outlineLevel="0" collapsed="false">
      <c r="A4" s="49" t="s">
        <v>275</v>
      </c>
      <c r="B4" s="50" t="n">
        <v>1</v>
      </c>
      <c r="C4" s="51" t="str">
        <f aca="false">"全"&amp;MAX(伝票元!$P$6:$P$511)&amp;"枚中"</f>
        <v>全0枚中</v>
      </c>
      <c r="E4" s="2" t="s">
        <v>276</v>
      </c>
      <c r="K4" s="0" t="str">
        <f aca="false">IFERROR(MATCH($B$4,伝票元!$P$6:$P$511,0),"")</f>
        <v/>
      </c>
      <c r="L4" s="0" t="str">
        <f aca="false">IF($K$4="","",INDEX(伝票元!$O$6:$O$511,$K$4))</f>
        <v/>
      </c>
    </row>
    <row r="5" customFormat="false" ht="17.35" hidden="false" customHeight="false" outlineLevel="0" collapsed="false"/>
    <row r="6" customFormat="false" ht="17.35" hidden="false" customHeight="false" outlineLevel="0" collapsed="false">
      <c r="A6" s="49" t="s">
        <v>260</v>
      </c>
      <c r="B6" s="52" t="str">
        <f aca="false">IF($K$4="","",INDEX(伝票元!$E$6:$E$511,$K$4))</f>
        <v/>
      </c>
      <c r="C6" s="53" t="str">
        <f aca="false">IF($K$4="","",INDEX(伝票元!$D$6:$D$511,$K$4))</f>
        <v/>
      </c>
      <c r="D6" s="53"/>
      <c r="E6" s="53"/>
      <c r="F6" s="53"/>
    </row>
    <row r="7" customFormat="false" ht="17.35" hidden="false" customHeight="false" outlineLevel="0" collapsed="false">
      <c r="A7" s="49" t="s">
        <v>74</v>
      </c>
      <c r="B7" s="54" t="str">
        <f aca="false">IF($K$4="","",INDEX(伝票元!$A$6:$A$511,$K$4))</f>
        <v/>
      </c>
      <c r="C7" s="54"/>
      <c r="D7" s="54"/>
      <c r="E7" s="54"/>
      <c r="F7" s="54"/>
    </row>
    <row r="8" customFormat="false" ht="17.35" hidden="false" customHeight="false" outlineLevel="0" collapsed="false">
      <c r="A8" s="49" t="s">
        <v>277</v>
      </c>
      <c r="B8" s="55" t="str">
        <f aca="false">IF($K$4="","",INDEX(伝票元!$R$6:$R$511,$K$4))</f>
        <v/>
      </c>
    </row>
    <row r="9" customFormat="false" ht="17.35" hidden="false" customHeight="false" outlineLevel="0" collapsed="false"/>
    <row r="10" customFormat="false" ht="17.35" hidden="false" customHeight="false" outlineLevel="0" collapsed="false">
      <c r="A10" s="56" t="s">
        <v>278</v>
      </c>
      <c r="B10" s="56" t="s">
        <v>262</v>
      </c>
      <c r="C10" s="56" t="s">
        <v>263</v>
      </c>
      <c r="D10" s="56" t="s">
        <v>264</v>
      </c>
      <c r="E10" s="56" t="s">
        <v>265</v>
      </c>
      <c r="F10" s="56" t="s">
        <v>266</v>
      </c>
      <c r="G10" s="56" t="s">
        <v>267</v>
      </c>
    </row>
    <row r="11" customFormat="false" ht="17.35" hidden="false" customHeight="false" outlineLevel="0" collapsed="false">
      <c r="A11" s="57" t="str">
        <f aca="false">IF(AND($K11&lt;&gt;"",IF($K11="",0,INDEX(伝票元!$P$6:$P$511,$K11))=$B$4),1,"")</f>
        <v/>
      </c>
      <c r="B11" s="57" t="str">
        <f aca="false">IF(AND(AND($K11&lt;&gt;"",IF($K11="",0,INDEX(伝票元!$P$6:$P$511,$K11))=$B$4),1=1),INDEX(伝票元!$I$6:$I$511,$K11),"")</f>
        <v/>
      </c>
      <c r="C11" s="53" t="str">
        <f aca="false">IF(AND(AND($K11&lt;&gt;"",IF($K11="",0,INDEX(伝票元!$P$6:$P$511,$K11))=$B$4),1=1),INDEX(伝票元!$J$6:$J$511,$K11),"")</f>
        <v/>
      </c>
      <c r="D11" s="58" t="str">
        <f aca="false">IF(AND(AND($K11&lt;&gt;"",IF($K11="",0,INDEX(伝票元!$P$6:$P$511,$K11))=$B$4),1=1),INDEX(伝票元!$Q$6:$Q$511,$K11),"")</f>
        <v/>
      </c>
      <c r="E11" s="57" t="str">
        <f aca="false">IF(AND($K11&lt;&gt;"",IF($K11="",0,INDEX(伝票元!$P$6:$P$511,$K11))=$B$4),INDEX(伝票元!$F$6:$F$511,$K11),"")</f>
        <v/>
      </c>
      <c r="F11" s="53" t="str">
        <f aca="false">IF(AND($K11&lt;&gt;"",IF($K11="",0,INDEX(伝票元!$P$6:$P$511,$K11))=$B$4),INDEX(伝票元!$G$6:$G$511,$K11),"")</f>
        <v/>
      </c>
      <c r="G11" s="58" t="str">
        <f aca="false">IF(AND($K11&lt;&gt;"",IF($K11="",0,INDEX(伝票元!$P$6:$P$511,$K11))=$B$4),INDEX(伝票元!$H$6:$H$511,$K11),"")</f>
        <v/>
      </c>
      <c r="K11" s="59" t="str">
        <f aca="false">IF($K$4="","",IFERROR(MATCH($L$4+0,伝票元!$O$6:$O$511,0),""))</f>
        <v/>
      </c>
    </row>
    <row r="12" customFormat="false" ht="17.35" hidden="false" customHeight="false" outlineLevel="0" collapsed="false">
      <c r="A12" s="60" t="s">
        <v>279</v>
      </c>
      <c r="B12" s="60" t="str">
        <f aca="false">IF(AND($K11&lt;&gt;"",IF($K11="",0,INDEX(伝票元!$P$6:$P$511,$K11))=$B$4),"対象外","")</f>
        <v/>
      </c>
      <c r="C12" s="61" t="str">
        <f aca="false">IF(AND($K11&lt;&gt;"",IF($K11="",0,INDEX(伝票元!$P$6:$P$511,$K11))=$B$4),$B$7,"")</f>
        <v/>
      </c>
      <c r="D12" s="61"/>
      <c r="E12" s="61"/>
      <c r="F12" s="61"/>
      <c r="G12" s="61"/>
    </row>
    <row r="13" customFormat="false" ht="17.35" hidden="false" customHeight="false" outlineLevel="0" collapsed="false">
      <c r="A13" s="57" t="str">
        <f aca="false">IF(AND($K13&lt;&gt;"",IF($K13="",0,INDEX(伝票元!$P$6:$P$511,$K13))=$B$4),2,"")</f>
        <v/>
      </c>
      <c r="B13" s="57" t="str">
        <f aca="false">IF(AND(AND($K13&lt;&gt;"",IF($K13="",0,INDEX(伝票元!$P$6:$P$511,$K13))=$B$4),2=1),INDEX(伝票元!$I$6:$I$511,$K13),"")</f>
        <v/>
      </c>
      <c r="C13" s="53" t="str">
        <f aca="false">IF(AND(AND($K13&lt;&gt;"",IF($K13="",0,INDEX(伝票元!$P$6:$P$511,$K13))=$B$4),2=1),INDEX(伝票元!$J$6:$J$511,$K13),"")</f>
        <v/>
      </c>
      <c r="D13" s="58" t="str">
        <f aca="false">IF(AND(AND($K13&lt;&gt;"",IF($K13="",0,INDEX(伝票元!$P$6:$P$511,$K13))=$B$4),2=1),INDEX(伝票元!$Q$6:$Q$511,$K13),"")</f>
        <v/>
      </c>
      <c r="E13" s="57" t="str">
        <f aca="false">IF(AND($K13&lt;&gt;"",IF($K13="",0,INDEX(伝票元!$P$6:$P$511,$K13))=$B$4),INDEX(伝票元!$F$6:$F$511,$K13),"")</f>
        <v/>
      </c>
      <c r="F13" s="53" t="str">
        <f aca="false">IF(AND($K13&lt;&gt;"",IF($K13="",0,INDEX(伝票元!$P$6:$P$511,$K13))=$B$4),INDEX(伝票元!$G$6:$G$511,$K13),"")</f>
        <v/>
      </c>
      <c r="G13" s="58" t="str">
        <f aca="false">IF(AND($K13&lt;&gt;"",IF($K13="",0,INDEX(伝票元!$P$6:$P$511,$K13))=$B$4),INDEX(伝票元!$H$6:$H$511,$K13),"")</f>
        <v/>
      </c>
      <c r="K13" s="59" t="str">
        <f aca="false">IF($K$4="","",IFERROR(MATCH($L$4+1,伝票元!$O$6:$O$511,0),""))</f>
        <v/>
      </c>
    </row>
    <row r="14" customFormat="false" ht="17.35" hidden="false" customHeight="false" outlineLevel="0" collapsed="false">
      <c r="A14" s="60" t="s">
        <v>279</v>
      </c>
      <c r="B14" s="60" t="str">
        <f aca="false">IF(AND($K13&lt;&gt;"",IF($K13="",0,INDEX(伝票元!$P$6:$P$511,$K13))=$B$4),"対象外","")</f>
        <v/>
      </c>
      <c r="C14" s="61" t="str">
        <f aca="false">IF(AND($K13&lt;&gt;"",IF($K13="",0,INDEX(伝票元!$P$6:$P$511,$K13))=$B$4),$B$7,"")</f>
        <v/>
      </c>
      <c r="D14" s="61"/>
      <c r="E14" s="61"/>
      <c r="F14" s="61"/>
      <c r="G14" s="61"/>
    </row>
    <row r="15" customFormat="false" ht="17.35" hidden="false" customHeight="false" outlineLevel="0" collapsed="false">
      <c r="A15" s="57" t="str">
        <f aca="false">IF(AND($K15&lt;&gt;"",IF($K15="",0,INDEX(伝票元!$P$6:$P$511,$K15))=$B$4),3,"")</f>
        <v/>
      </c>
      <c r="B15" s="57" t="str">
        <f aca="false">IF(AND(AND($K15&lt;&gt;"",IF($K15="",0,INDEX(伝票元!$P$6:$P$511,$K15))=$B$4),3=1),INDEX(伝票元!$I$6:$I$511,$K15),"")</f>
        <v/>
      </c>
      <c r="C15" s="53" t="str">
        <f aca="false">IF(AND(AND($K15&lt;&gt;"",IF($K15="",0,INDEX(伝票元!$P$6:$P$511,$K15))=$B$4),3=1),INDEX(伝票元!$J$6:$J$511,$K15),"")</f>
        <v/>
      </c>
      <c r="D15" s="58" t="str">
        <f aca="false">IF(AND(AND($K15&lt;&gt;"",IF($K15="",0,INDEX(伝票元!$P$6:$P$511,$K15))=$B$4),3=1),INDEX(伝票元!$Q$6:$Q$511,$K15),"")</f>
        <v/>
      </c>
      <c r="E15" s="57" t="str">
        <f aca="false">IF(AND($K15&lt;&gt;"",IF($K15="",0,INDEX(伝票元!$P$6:$P$511,$K15))=$B$4),INDEX(伝票元!$F$6:$F$511,$K15),"")</f>
        <v/>
      </c>
      <c r="F15" s="53" t="str">
        <f aca="false">IF(AND($K15&lt;&gt;"",IF($K15="",0,INDEX(伝票元!$P$6:$P$511,$K15))=$B$4),INDEX(伝票元!$G$6:$G$511,$K15),"")</f>
        <v/>
      </c>
      <c r="G15" s="58" t="str">
        <f aca="false">IF(AND($K15&lt;&gt;"",IF($K15="",0,INDEX(伝票元!$P$6:$P$511,$K15))=$B$4),INDEX(伝票元!$H$6:$H$511,$K15),"")</f>
        <v/>
      </c>
      <c r="K15" s="59" t="str">
        <f aca="false">IF($K$4="","",IFERROR(MATCH($L$4+2,伝票元!$O$6:$O$511,0),""))</f>
        <v/>
      </c>
    </row>
    <row r="16" customFormat="false" ht="17.35" hidden="false" customHeight="false" outlineLevel="0" collapsed="false">
      <c r="A16" s="60" t="s">
        <v>279</v>
      </c>
      <c r="B16" s="60" t="str">
        <f aca="false">IF(AND($K15&lt;&gt;"",IF($K15="",0,INDEX(伝票元!$P$6:$P$511,$K15))=$B$4),"対象外","")</f>
        <v/>
      </c>
      <c r="C16" s="61" t="str">
        <f aca="false">IF(AND($K15&lt;&gt;"",IF($K15="",0,INDEX(伝票元!$P$6:$P$511,$K15))=$B$4),$B$7,"")</f>
        <v/>
      </c>
      <c r="D16" s="61"/>
      <c r="E16" s="61"/>
      <c r="F16" s="61"/>
      <c r="G16" s="61"/>
    </row>
    <row r="17" customFormat="false" ht="17.35" hidden="false" customHeight="false" outlineLevel="0" collapsed="false">
      <c r="A17" s="57" t="str">
        <f aca="false">IF(AND($K17&lt;&gt;"",IF($K17="",0,INDEX(伝票元!$P$6:$P$511,$K17))=$B$4),4,"")</f>
        <v/>
      </c>
      <c r="B17" s="57" t="str">
        <f aca="false">IF(AND(AND($K17&lt;&gt;"",IF($K17="",0,INDEX(伝票元!$P$6:$P$511,$K17))=$B$4),4=1),INDEX(伝票元!$I$6:$I$511,$K17),"")</f>
        <v/>
      </c>
      <c r="C17" s="53" t="str">
        <f aca="false">IF(AND(AND($K17&lt;&gt;"",IF($K17="",0,INDEX(伝票元!$P$6:$P$511,$K17))=$B$4),4=1),INDEX(伝票元!$J$6:$J$511,$K17),"")</f>
        <v/>
      </c>
      <c r="D17" s="58" t="str">
        <f aca="false">IF(AND(AND($K17&lt;&gt;"",IF($K17="",0,INDEX(伝票元!$P$6:$P$511,$K17))=$B$4),4=1),INDEX(伝票元!$Q$6:$Q$511,$K17),"")</f>
        <v/>
      </c>
      <c r="E17" s="57" t="str">
        <f aca="false">IF(AND($K17&lt;&gt;"",IF($K17="",0,INDEX(伝票元!$P$6:$P$511,$K17))=$B$4),INDEX(伝票元!$F$6:$F$511,$K17),"")</f>
        <v/>
      </c>
      <c r="F17" s="53" t="str">
        <f aca="false">IF(AND($K17&lt;&gt;"",IF($K17="",0,INDEX(伝票元!$P$6:$P$511,$K17))=$B$4),INDEX(伝票元!$G$6:$G$511,$K17),"")</f>
        <v/>
      </c>
      <c r="G17" s="58" t="str">
        <f aca="false">IF(AND($K17&lt;&gt;"",IF($K17="",0,INDEX(伝票元!$P$6:$P$511,$K17))=$B$4),INDEX(伝票元!$H$6:$H$511,$K17),"")</f>
        <v/>
      </c>
      <c r="K17" s="59" t="str">
        <f aca="false">IF($K$4="","",IFERROR(MATCH($L$4+3,伝票元!$O$6:$O$511,0),""))</f>
        <v/>
      </c>
    </row>
    <row r="18" customFormat="false" ht="17.35" hidden="false" customHeight="false" outlineLevel="0" collapsed="false">
      <c r="A18" s="60" t="s">
        <v>279</v>
      </c>
      <c r="B18" s="60" t="str">
        <f aca="false">IF(AND($K17&lt;&gt;"",IF($K17="",0,INDEX(伝票元!$P$6:$P$511,$K17))=$B$4),"対象外","")</f>
        <v/>
      </c>
      <c r="C18" s="61" t="str">
        <f aca="false">IF(AND($K17&lt;&gt;"",IF($K17="",0,INDEX(伝票元!$P$6:$P$511,$K17))=$B$4),$B$7,"")</f>
        <v/>
      </c>
      <c r="D18" s="61"/>
      <c r="E18" s="61"/>
      <c r="F18" s="61"/>
      <c r="G18" s="61"/>
    </row>
    <row r="19" customFormat="false" ht="17.35" hidden="false" customHeight="false" outlineLevel="0" collapsed="false">
      <c r="A19" s="57" t="str">
        <f aca="false">IF(AND($K19&lt;&gt;"",IF($K19="",0,INDEX(伝票元!$P$6:$P$511,$K19))=$B$4),5,"")</f>
        <v/>
      </c>
      <c r="B19" s="57" t="str">
        <f aca="false">IF(AND(AND($K19&lt;&gt;"",IF($K19="",0,INDEX(伝票元!$P$6:$P$511,$K19))=$B$4),5=1),INDEX(伝票元!$I$6:$I$511,$K19),"")</f>
        <v/>
      </c>
      <c r="C19" s="53" t="str">
        <f aca="false">IF(AND(AND($K19&lt;&gt;"",IF($K19="",0,INDEX(伝票元!$P$6:$P$511,$K19))=$B$4),5=1),INDEX(伝票元!$J$6:$J$511,$K19),"")</f>
        <v/>
      </c>
      <c r="D19" s="58" t="str">
        <f aca="false">IF(AND(AND($K19&lt;&gt;"",IF($K19="",0,INDEX(伝票元!$P$6:$P$511,$K19))=$B$4),5=1),INDEX(伝票元!$Q$6:$Q$511,$K19),"")</f>
        <v/>
      </c>
      <c r="E19" s="57" t="str">
        <f aca="false">IF(AND($K19&lt;&gt;"",IF($K19="",0,INDEX(伝票元!$P$6:$P$511,$K19))=$B$4),INDEX(伝票元!$F$6:$F$511,$K19),"")</f>
        <v/>
      </c>
      <c r="F19" s="53" t="str">
        <f aca="false">IF(AND($K19&lt;&gt;"",IF($K19="",0,INDEX(伝票元!$P$6:$P$511,$K19))=$B$4),INDEX(伝票元!$G$6:$G$511,$K19),"")</f>
        <v/>
      </c>
      <c r="G19" s="58" t="str">
        <f aca="false">IF(AND($K19&lt;&gt;"",IF($K19="",0,INDEX(伝票元!$P$6:$P$511,$K19))=$B$4),INDEX(伝票元!$H$6:$H$511,$K19),"")</f>
        <v/>
      </c>
      <c r="K19" s="59" t="str">
        <f aca="false">IF($K$4="","",IFERROR(MATCH($L$4+4,伝票元!$O$6:$O$511,0),""))</f>
        <v/>
      </c>
    </row>
    <row r="20" customFormat="false" ht="17.35" hidden="false" customHeight="false" outlineLevel="0" collapsed="false">
      <c r="A20" s="60" t="s">
        <v>279</v>
      </c>
      <c r="B20" s="60" t="str">
        <f aca="false">IF(AND($K19&lt;&gt;"",IF($K19="",0,INDEX(伝票元!$P$6:$P$511,$K19))=$B$4),"対象外","")</f>
        <v/>
      </c>
      <c r="C20" s="61" t="str">
        <f aca="false">IF(AND($K19&lt;&gt;"",IF($K19="",0,INDEX(伝票元!$P$6:$P$511,$K19))=$B$4),$B$7,"")</f>
        <v/>
      </c>
      <c r="D20" s="61"/>
      <c r="E20" s="61"/>
      <c r="F20" s="61"/>
      <c r="G20" s="61"/>
    </row>
    <row r="21" customFormat="false" ht="17.35" hidden="false" customHeight="false" outlineLevel="0" collapsed="false">
      <c r="A21" s="57" t="str">
        <f aca="false">IF(AND($K21&lt;&gt;"",IF($K21="",0,INDEX(伝票元!$P$6:$P$511,$K21))=$B$4),6,"")</f>
        <v/>
      </c>
      <c r="B21" s="57" t="str">
        <f aca="false">IF(AND(AND($K21&lt;&gt;"",IF($K21="",0,INDEX(伝票元!$P$6:$P$511,$K21))=$B$4),6=1),INDEX(伝票元!$I$6:$I$511,$K21),"")</f>
        <v/>
      </c>
      <c r="C21" s="53" t="str">
        <f aca="false">IF(AND(AND($K21&lt;&gt;"",IF($K21="",0,INDEX(伝票元!$P$6:$P$511,$K21))=$B$4),6=1),INDEX(伝票元!$J$6:$J$511,$K21),"")</f>
        <v/>
      </c>
      <c r="D21" s="58" t="str">
        <f aca="false">IF(AND(AND($K21&lt;&gt;"",IF($K21="",0,INDEX(伝票元!$P$6:$P$511,$K21))=$B$4),6=1),INDEX(伝票元!$Q$6:$Q$511,$K21),"")</f>
        <v/>
      </c>
      <c r="E21" s="57" t="str">
        <f aca="false">IF(AND($K21&lt;&gt;"",IF($K21="",0,INDEX(伝票元!$P$6:$P$511,$K21))=$B$4),INDEX(伝票元!$F$6:$F$511,$K21),"")</f>
        <v/>
      </c>
      <c r="F21" s="53" t="str">
        <f aca="false">IF(AND($K21&lt;&gt;"",IF($K21="",0,INDEX(伝票元!$P$6:$P$511,$K21))=$B$4),INDEX(伝票元!$G$6:$G$511,$K21),"")</f>
        <v/>
      </c>
      <c r="G21" s="58" t="str">
        <f aca="false">IF(AND($K21&lt;&gt;"",IF($K21="",0,INDEX(伝票元!$P$6:$P$511,$K21))=$B$4),INDEX(伝票元!$H$6:$H$511,$K21),"")</f>
        <v/>
      </c>
      <c r="K21" s="59" t="str">
        <f aca="false">IF($K$4="","",IFERROR(MATCH($L$4+5,伝票元!$O$6:$O$511,0),""))</f>
        <v/>
      </c>
    </row>
    <row r="22" customFormat="false" ht="17.35" hidden="false" customHeight="false" outlineLevel="0" collapsed="false">
      <c r="A22" s="60" t="s">
        <v>279</v>
      </c>
      <c r="B22" s="60" t="str">
        <f aca="false">IF(AND($K21&lt;&gt;"",IF($K21="",0,INDEX(伝票元!$P$6:$P$511,$K21))=$B$4),"対象外","")</f>
        <v/>
      </c>
      <c r="C22" s="61" t="str">
        <f aca="false">IF(AND($K21&lt;&gt;"",IF($K21="",0,INDEX(伝票元!$P$6:$P$511,$K21))=$B$4),$B$7,"")</f>
        <v/>
      </c>
      <c r="D22" s="61"/>
      <c r="E22" s="61"/>
      <c r="F22" s="61"/>
      <c r="G22" s="61"/>
    </row>
    <row r="23" customFormat="false" ht="17.35" hidden="false" customHeight="false" outlineLevel="0" collapsed="false">
      <c r="A23" s="57" t="str">
        <f aca="false">IF(AND($K23&lt;&gt;"",IF($K23="",0,INDEX(伝票元!$P$6:$P$511,$K23))=$B$4),7,"")</f>
        <v/>
      </c>
      <c r="B23" s="57" t="str">
        <f aca="false">IF(AND(AND($K23&lt;&gt;"",IF($K23="",0,INDEX(伝票元!$P$6:$P$511,$K23))=$B$4),7=1),INDEX(伝票元!$I$6:$I$511,$K23),"")</f>
        <v/>
      </c>
      <c r="C23" s="53" t="str">
        <f aca="false">IF(AND(AND($K23&lt;&gt;"",IF($K23="",0,INDEX(伝票元!$P$6:$P$511,$K23))=$B$4),7=1),INDEX(伝票元!$J$6:$J$511,$K23),"")</f>
        <v/>
      </c>
      <c r="D23" s="58" t="str">
        <f aca="false">IF(AND(AND($K23&lt;&gt;"",IF($K23="",0,INDEX(伝票元!$P$6:$P$511,$K23))=$B$4),7=1),INDEX(伝票元!$Q$6:$Q$511,$K23),"")</f>
        <v/>
      </c>
      <c r="E23" s="57" t="str">
        <f aca="false">IF(AND($K23&lt;&gt;"",IF($K23="",0,INDEX(伝票元!$P$6:$P$511,$K23))=$B$4),INDEX(伝票元!$F$6:$F$511,$K23),"")</f>
        <v/>
      </c>
      <c r="F23" s="53" t="str">
        <f aca="false">IF(AND($K23&lt;&gt;"",IF($K23="",0,INDEX(伝票元!$P$6:$P$511,$K23))=$B$4),INDEX(伝票元!$G$6:$G$511,$K23),"")</f>
        <v/>
      </c>
      <c r="G23" s="58" t="str">
        <f aca="false">IF(AND($K23&lt;&gt;"",IF($K23="",0,INDEX(伝票元!$P$6:$P$511,$K23))=$B$4),INDEX(伝票元!$H$6:$H$511,$K23),"")</f>
        <v/>
      </c>
      <c r="K23" s="59" t="str">
        <f aca="false">IF($K$4="","",IFERROR(MATCH($L$4+6,伝票元!$O$6:$O$511,0),""))</f>
        <v/>
      </c>
    </row>
    <row r="24" customFormat="false" ht="17.35" hidden="false" customHeight="false" outlineLevel="0" collapsed="false">
      <c r="A24" s="60" t="s">
        <v>279</v>
      </c>
      <c r="B24" s="60" t="str">
        <f aca="false">IF(AND($K23&lt;&gt;"",IF($K23="",0,INDEX(伝票元!$P$6:$P$511,$K23))=$B$4),"対象外","")</f>
        <v/>
      </c>
      <c r="C24" s="61" t="str">
        <f aca="false">IF(AND($K23&lt;&gt;"",IF($K23="",0,INDEX(伝票元!$P$6:$P$511,$K23))=$B$4),$B$7,"")</f>
        <v/>
      </c>
      <c r="D24" s="61"/>
      <c r="E24" s="61"/>
      <c r="F24" s="61"/>
      <c r="G24" s="61"/>
    </row>
    <row r="25" customFormat="false" ht="17.35" hidden="false" customHeight="false" outlineLevel="0" collapsed="false">
      <c r="A25" s="57" t="str">
        <f aca="false">IF(AND($K25&lt;&gt;"",IF($K25="",0,INDEX(伝票元!$P$6:$P$511,$K25))=$B$4),8,"")</f>
        <v/>
      </c>
      <c r="B25" s="57" t="str">
        <f aca="false">IF(AND(AND($K25&lt;&gt;"",IF($K25="",0,INDEX(伝票元!$P$6:$P$511,$K25))=$B$4),8=1),INDEX(伝票元!$I$6:$I$511,$K25),"")</f>
        <v/>
      </c>
      <c r="C25" s="53" t="str">
        <f aca="false">IF(AND(AND($K25&lt;&gt;"",IF($K25="",0,INDEX(伝票元!$P$6:$P$511,$K25))=$B$4),8=1),INDEX(伝票元!$J$6:$J$511,$K25),"")</f>
        <v/>
      </c>
      <c r="D25" s="58" t="str">
        <f aca="false">IF(AND(AND($K25&lt;&gt;"",IF($K25="",0,INDEX(伝票元!$P$6:$P$511,$K25))=$B$4),8=1),INDEX(伝票元!$Q$6:$Q$511,$K25),"")</f>
        <v/>
      </c>
      <c r="E25" s="57" t="str">
        <f aca="false">IF(AND($K25&lt;&gt;"",IF($K25="",0,INDEX(伝票元!$P$6:$P$511,$K25))=$B$4),INDEX(伝票元!$F$6:$F$511,$K25),"")</f>
        <v/>
      </c>
      <c r="F25" s="53" t="str">
        <f aca="false">IF(AND($K25&lt;&gt;"",IF($K25="",0,INDEX(伝票元!$P$6:$P$511,$K25))=$B$4),INDEX(伝票元!$G$6:$G$511,$K25),"")</f>
        <v/>
      </c>
      <c r="G25" s="58" t="str">
        <f aca="false">IF(AND($K25&lt;&gt;"",IF($K25="",0,INDEX(伝票元!$P$6:$P$511,$K25))=$B$4),INDEX(伝票元!$H$6:$H$511,$K25),"")</f>
        <v/>
      </c>
      <c r="K25" s="59" t="str">
        <f aca="false">IF($K$4="","",IFERROR(MATCH($L$4+7,伝票元!$O$6:$O$511,0),""))</f>
        <v/>
      </c>
    </row>
    <row r="26" customFormat="false" ht="17.35" hidden="false" customHeight="false" outlineLevel="0" collapsed="false">
      <c r="A26" s="60" t="s">
        <v>279</v>
      </c>
      <c r="B26" s="60" t="str">
        <f aca="false">IF(AND($K25&lt;&gt;"",IF($K25="",0,INDEX(伝票元!$P$6:$P$511,$K25))=$B$4),"対象外","")</f>
        <v/>
      </c>
      <c r="C26" s="61" t="str">
        <f aca="false">IF(AND($K25&lt;&gt;"",IF($K25="",0,INDEX(伝票元!$P$6:$P$511,$K25))=$B$4),$B$7,"")</f>
        <v/>
      </c>
      <c r="D26" s="61"/>
      <c r="E26" s="61"/>
      <c r="F26" s="61"/>
      <c r="G26" s="61"/>
    </row>
    <row r="27" customFormat="false" ht="17.35" hidden="false" customHeight="false" outlineLevel="0" collapsed="false">
      <c r="A27" s="62" t="s">
        <v>19</v>
      </c>
      <c r="D27" s="58" t="str">
        <f aca="false">IF($K$4="","",SUM(D11:D26))</f>
        <v/>
      </c>
      <c r="E27" s="63" t="str">
        <f aca="false">IF($K$4="","",IF(D27=G27,"借方＝貸方 ○","借方≠貸方 ×"))</f>
        <v/>
      </c>
      <c r="F27" s="63"/>
      <c r="G27" s="58" t="str">
        <f aca="false">IF($K$4="","",SUM(G11:G26))</f>
        <v/>
      </c>
    </row>
    <row r="28" customFormat="false" ht="17.35" hidden="false" customHeight="false" outlineLevel="0" collapsed="false">
      <c r="A28" s="44" t="s">
        <v>280</v>
      </c>
    </row>
  </sheetData>
  <mergeCells count="11">
    <mergeCell ref="C6:F6"/>
    <mergeCell ref="B7:F7"/>
    <mergeCell ref="C12:G12"/>
    <mergeCell ref="C14:G14"/>
    <mergeCell ref="C16:G16"/>
    <mergeCell ref="C18:G18"/>
    <mergeCell ref="C20:G20"/>
    <mergeCell ref="C22:G22"/>
    <mergeCell ref="C24:G24"/>
    <mergeCell ref="C26:G26"/>
    <mergeCell ref="E27:F27"/>
  </mergeCells>
  <conditionalFormatting sqref="E27">
    <cfRule type="expression" priority="2" aboveAverage="0" equalAverage="0" bottom="0" percent="0" rank="0" text="" dxfId="1">
      <formula>LEFT(E27,4)="借方≠貸"</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421875" defaultRowHeight="15" zeroHeight="false" outlineLevelRow="0" outlineLevelCol="1"/>
  <cols>
    <col collapsed="false" customWidth="true" hidden="false" outlineLevel="0" max="1" min="1" style="0" width="14"/>
    <col collapsed="false" customWidth="true" hidden="false" outlineLevel="0" max="9" min="2" style="0" width="15"/>
    <col collapsed="false" customWidth="true" hidden="true" outlineLevel="1" max="21" min="11" style="0" width="12"/>
  </cols>
  <sheetData>
    <row r="1" customFormat="false" ht="17.35" hidden="false" customHeight="false" outlineLevel="0" collapsed="false">
      <c r="A1" s="37" t="s">
        <v>281</v>
      </c>
      <c r="B1" s="26" t="s">
        <v>282</v>
      </c>
      <c r="C1" s="64" t="s">
        <v>283</v>
      </c>
      <c r="D1" s="65" t="n">
        <v>46296</v>
      </c>
      <c r="E1" s="5" t="s">
        <v>284</v>
      </c>
      <c r="K1" s="48" t="s">
        <v>243</v>
      </c>
      <c r="L1" s="48" t="n">
        <f aca="false">IFERROR(MATCH($B$1&amp;"|"&amp;TEXT($D$1,"yyyymm"),給与データ!$AZ$6:$AZ$105,0),"")</f>
        <v>1</v>
      </c>
    </row>
    <row r="2" customFormat="false" ht="17.35" hidden="false" customHeight="false" outlineLevel="0" collapsed="false"/>
    <row r="3" customFormat="false" ht="17.35" hidden="false" customHeight="false" outlineLevel="0" collapsed="false">
      <c r="A3" s="66" t="s">
        <v>285</v>
      </c>
      <c r="B3" s="67" t="str">
        <f aca="false">IF($L$1="","","令和 "&amp;(YEAR($D$1)-2018)&amp;" 年 "&amp;MONTH($D$1)&amp;" 月")</f>
        <v>令和 8 年 10 月</v>
      </c>
      <c r="C3" s="67"/>
      <c r="D3" s="67"/>
    </row>
    <row r="4" customFormat="false" ht="20.85" hidden="false" customHeight="true" outlineLevel="0" collapsed="false">
      <c r="A4" s="66" t="s">
        <v>286</v>
      </c>
      <c r="B4" s="67" t="str">
        <f aca="false">IF($L$1="","",INDEX(給与データ!$C$6:$C$105,$L$1))</f>
        <v>1054110000 行政経営課</v>
      </c>
      <c r="C4" s="67"/>
      <c r="D4" s="67"/>
      <c r="F4" s="68" t="s">
        <v>287</v>
      </c>
      <c r="G4" s="68"/>
    </row>
    <row r="5" customFormat="false" ht="17.35" hidden="false" customHeight="false" outlineLevel="0" collapsed="false">
      <c r="A5" s="66" t="s">
        <v>288</v>
      </c>
      <c r="B5" s="67" t="str">
        <f aca="false">IF($L$1="","",$B$1&amp;"　　"&amp;IF($L$1="","",INDEX(給与データ!$B$6:$B$105,$L$1)))</f>
        <v>0000001　　サンプル　太郎</v>
      </c>
      <c r="C5" s="67"/>
      <c r="D5" s="67"/>
    </row>
    <row r="6" customFormat="false" ht="17.35" hidden="false" customHeight="false" outlineLevel="0" collapsed="false"/>
    <row r="7" customFormat="false" ht="17.35" hidden="false" customHeight="true" outlineLevel="0" collapsed="false">
      <c r="B7" s="66" t="s">
        <v>289</v>
      </c>
      <c r="C7" s="66"/>
      <c r="D7" s="66"/>
      <c r="E7" s="66"/>
      <c r="F7" s="66"/>
    </row>
    <row r="8" customFormat="false" ht="17.35" hidden="false" customHeight="false" outlineLevel="0" collapsed="false">
      <c r="B8" s="66" t="s">
        <v>290</v>
      </c>
      <c r="C8" s="66" t="s">
        <v>291</v>
      </c>
      <c r="D8" s="66" t="s">
        <v>292</v>
      </c>
      <c r="E8" s="66" t="s">
        <v>293</v>
      </c>
      <c r="F8" s="66" t="s">
        <v>294</v>
      </c>
    </row>
    <row r="9" customFormat="false" ht="26" hidden="false" customHeight="true" outlineLevel="0" collapsed="false">
      <c r="B9" s="69" t="n">
        <f aca="false">IF($L$1="","",INDEX(給与データ!$AW$6:$AW$105,$L$1))</f>
        <v>252971</v>
      </c>
      <c r="C9" s="69"/>
      <c r="D9" s="69"/>
      <c r="E9" s="69" t="n">
        <f aca="false">IF($L$1="","",IF(IF($L$1="","",INDEX(給与データ!$AV$6:$AV$105,$L$1))=0,"",IF($L$1="","",INDEX(給与データ!$AV$6:$AV$105,$L$1))))</f>
        <v>3233</v>
      </c>
      <c r="F9" s="69"/>
    </row>
    <row r="10" customFormat="false" ht="17.35" hidden="false" customHeight="false" outlineLevel="0" collapsed="false"/>
    <row r="11" customFormat="false" ht="17.35" hidden="false" customHeight="false" outlineLevel="0" collapsed="false">
      <c r="B11" s="66" t="s">
        <v>295</v>
      </c>
      <c r="C11" s="66" t="s">
        <v>296</v>
      </c>
      <c r="D11" s="66" t="s">
        <v>297</v>
      </c>
      <c r="E11" s="66" t="s">
        <v>298</v>
      </c>
      <c r="F11" s="66" t="s">
        <v>299</v>
      </c>
      <c r="G11" s="66" t="s">
        <v>300</v>
      </c>
      <c r="H11" s="66" t="s">
        <v>301</v>
      </c>
    </row>
    <row r="12" customFormat="false" ht="26" hidden="false" customHeight="true" outlineLevel="0" collapsed="false">
      <c r="B12" s="70" t="n">
        <f aca="false">IF($L$1="","",INDEX(給与データ!$AJ$6:$AJ$105,$L$1))</f>
        <v>357312</v>
      </c>
      <c r="C12" s="70" t="n">
        <f aca="false">IF($L$1="","",INDEX(給与データ!$AS$6:$AS$105,$L$1))</f>
        <v>101108</v>
      </c>
      <c r="D12" s="70" t="n">
        <f aca="false">IF($L$1="","",INDEX(給与データ!$AT$6:$AT$105,$L$1))</f>
        <v>256204</v>
      </c>
      <c r="E12" s="70" t="n">
        <f aca="false">IF($L$1="","",INDEX(給与データ!$AK$6:$AK$105,$L$1))</f>
        <v>2100</v>
      </c>
      <c r="F12" s="70" t="n">
        <f aca="false">IF($L$1="","",INDEX(給与データ!$AL$6:$AL$105,$L$1))</f>
        <v>355212</v>
      </c>
      <c r="G12" s="70" t="n">
        <f aca="false">IF($L$1="","",INDEX(給与データ!$AR$6:$AR$105,$L$1))</f>
        <v>60765</v>
      </c>
      <c r="H12" s="70" t="n">
        <f aca="false">IF($L$1="","",INDEX(給与データ!$AU$6:$AU$105,$L$1))</f>
        <v>294447</v>
      </c>
    </row>
    <row r="13" customFormat="false" ht="17.35" hidden="false" customHeight="false" outlineLevel="0" collapsed="false"/>
    <row r="14" customFormat="false" ht="24" hidden="false" customHeight="true" outlineLevel="0" collapsed="false">
      <c r="A14" s="66" t="s">
        <v>302</v>
      </c>
      <c r="B14" s="71" t="str">
        <f aca="false">IFERROR(INDEX($K$40:$K$58,MATCH(1,$M$40:$M$58,0)),"")</f>
        <v>給料</v>
      </c>
      <c r="C14" s="71" t="str">
        <f aca="false">IFERROR(INDEX($K$40:$K$58,MATCH(2,$M$40:$M$58,0)),"")</f>
        <v>地域手当</v>
      </c>
      <c r="D14" s="71" t="str">
        <f aca="false">IFERROR(INDEX($K$40:$K$58,MATCH(3,$M$40:$M$58,0)),"")</f>
        <v>通勤手当（非）</v>
      </c>
      <c r="E14" s="71" t="str">
        <f aca="false">IFERROR(INDEX($K$40:$K$58,MATCH(4,$M$40:$M$58,0)),"")</f>
        <v/>
      </c>
      <c r="F14" s="71" t="str">
        <f aca="false">IFERROR(INDEX($K$40:$K$58,MATCH(5,$M$40:$M$58,0)),"")</f>
        <v/>
      </c>
      <c r="G14" s="71" t="str">
        <f aca="false">IFERROR(INDEX($K$40:$K$58,MATCH(6,$M$40:$M$58,0)),"")</f>
        <v/>
      </c>
      <c r="H14" s="71" t="str">
        <f aca="false">IFERROR(INDEX($K$40:$K$58,MATCH(7,$M$40:$M$58,0)),"")</f>
        <v/>
      </c>
      <c r="I14" s="71" t="str">
        <f aca="false">IFERROR(INDEX($K$40:$K$58,MATCH(8,$M$40:$M$58,0)),"")</f>
        <v/>
      </c>
    </row>
    <row r="15" customFormat="false" ht="20" hidden="false" customHeight="true" outlineLevel="0" collapsed="false">
      <c r="A15" s="66"/>
      <c r="B15" s="72" t="n">
        <f aca="false">IFERROR(INDEX($L$40:$L$58,MATCH(1,$M$40:$M$58,0)),"")</f>
        <v>328900</v>
      </c>
      <c r="C15" s="72" t="n">
        <f aca="false">IFERROR(INDEX($L$40:$L$58,MATCH(2,$M$40:$M$58,0)),"")</f>
        <v>26312</v>
      </c>
      <c r="D15" s="72" t="n">
        <f aca="false">IFERROR(INDEX($L$40:$L$58,MATCH(3,$M$40:$M$58,0)),"")</f>
        <v>2100</v>
      </c>
      <c r="E15" s="72" t="str">
        <f aca="false">IFERROR(INDEX($L$40:$L$58,MATCH(4,$M$40:$M$58,0)),"")</f>
        <v/>
      </c>
      <c r="F15" s="72" t="str">
        <f aca="false">IFERROR(INDEX($L$40:$L$58,MATCH(5,$M$40:$M$58,0)),"")</f>
        <v/>
      </c>
      <c r="G15" s="72" t="str">
        <f aca="false">IFERROR(INDEX($L$40:$L$58,MATCH(6,$M$40:$M$58,0)),"")</f>
        <v/>
      </c>
      <c r="H15" s="72" t="str">
        <f aca="false">IFERROR(INDEX($L$40:$L$58,MATCH(7,$M$40:$M$58,0)),"")</f>
        <v/>
      </c>
      <c r="I15" s="72" t="str">
        <f aca="false">IFERROR(INDEX($L$40:$L$58,MATCH(8,$M$40:$M$58,0)),"")</f>
        <v/>
      </c>
    </row>
    <row r="16" customFormat="false" ht="24" hidden="false" customHeight="true" outlineLevel="0" collapsed="false">
      <c r="A16" s="66"/>
      <c r="B16" s="71" t="str">
        <f aca="false">IFERROR(INDEX($K$40:$K$58,MATCH(9,$M$40:$M$58,0)),"")</f>
        <v/>
      </c>
      <c r="C16" s="71" t="str">
        <f aca="false">IFERROR(INDEX($K$40:$K$58,MATCH(10,$M$40:$M$58,0)),"")</f>
        <v/>
      </c>
      <c r="D16" s="71" t="str">
        <f aca="false">IFERROR(INDEX($K$40:$K$58,MATCH(11,$M$40:$M$58,0)),"")</f>
        <v/>
      </c>
      <c r="E16" s="71" t="str">
        <f aca="false">IFERROR(INDEX($K$40:$K$58,MATCH(12,$M$40:$M$58,0)),"")</f>
        <v/>
      </c>
      <c r="F16" s="71" t="str">
        <f aca="false">IFERROR(INDEX($K$40:$K$58,MATCH(13,$M$40:$M$58,0)),"")</f>
        <v/>
      </c>
      <c r="G16" s="71" t="str">
        <f aca="false">IFERROR(INDEX($K$40:$K$58,MATCH(14,$M$40:$M$58,0)),"")</f>
        <v/>
      </c>
      <c r="H16" s="71" t="str">
        <f aca="false">IFERROR(INDEX($K$40:$K$58,MATCH(15,$M$40:$M$58,0)),"")</f>
        <v/>
      </c>
      <c r="I16" s="71" t="str">
        <f aca="false">IFERROR(INDEX($K$40:$K$58,MATCH(16,$M$40:$M$58,0)),"")</f>
        <v/>
      </c>
    </row>
    <row r="17" customFormat="false" ht="20" hidden="false" customHeight="true" outlineLevel="0" collapsed="false">
      <c r="A17" s="66"/>
      <c r="B17" s="72" t="str">
        <f aca="false">IFERROR(INDEX($L$40:$L$58,MATCH(9,$M$40:$M$58,0)),"")</f>
        <v/>
      </c>
      <c r="C17" s="72" t="str">
        <f aca="false">IFERROR(INDEX($L$40:$L$58,MATCH(10,$M$40:$M$58,0)),"")</f>
        <v/>
      </c>
      <c r="D17" s="72" t="str">
        <f aca="false">IFERROR(INDEX($L$40:$L$58,MATCH(11,$M$40:$M$58,0)),"")</f>
        <v/>
      </c>
      <c r="E17" s="72" t="str">
        <f aca="false">IFERROR(INDEX($L$40:$L$58,MATCH(12,$M$40:$M$58,0)),"")</f>
        <v/>
      </c>
      <c r="F17" s="72" t="str">
        <f aca="false">IFERROR(INDEX($L$40:$L$58,MATCH(13,$M$40:$M$58,0)),"")</f>
        <v/>
      </c>
      <c r="G17" s="72" t="str">
        <f aca="false">IFERROR(INDEX($L$40:$L$58,MATCH(14,$M$40:$M$58,0)),"")</f>
        <v/>
      </c>
      <c r="H17" s="72" t="str">
        <f aca="false">IFERROR(INDEX($L$40:$L$58,MATCH(15,$M$40:$M$58,0)),"")</f>
        <v/>
      </c>
      <c r="I17" s="72" t="str">
        <f aca="false">IFERROR(INDEX($L$40:$L$58,MATCH(16,$M$40:$M$58,0)),"")</f>
        <v/>
      </c>
    </row>
    <row r="18" customFormat="false" ht="24" hidden="false" customHeight="true" outlineLevel="0" collapsed="false">
      <c r="A18" s="66"/>
      <c r="B18" s="71" t="str">
        <f aca="false">IFERROR(INDEX($K$40:$K$58,MATCH(17,$M$40:$M$58,0)),"")</f>
        <v/>
      </c>
      <c r="C18" s="71" t="str">
        <f aca="false">IFERROR(INDEX($K$40:$K$58,MATCH(18,$M$40:$M$58,0)),"")</f>
        <v/>
      </c>
      <c r="D18" s="71" t="str">
        <f aca="false">IFERROR(INDEX($K$40:$K$58,MATCH(19,$M$40:$M$58,0)),"")</f>
        <v/>
      </c>
      <c r="E18" s="71" t="str">
        <f aca="false">IFERROR(INDEX($K$40:$K$58,MATCH(20,$M$40:$M$58,0)),"")</f>
        <v/>
      </c>
      <c r="F18" s="71" t="str">
        <f aca="false">IFERROR(INDEX($K$40:$K$58,MATCH(21,$M$40:$M$58,0)),"")</f>
        <v/>
      </c>
      <c r="G18" s="71" t="str">
        <f aca="false">IFERROR(INDEX($K$40:$K$58,MATCH(22,$M$40:$M$58,0)),"")</f>
        <v/>
      </c>
      <c r="H18" s="71" t="str">
        <f aca="false">IFERROR(INDEX($K$40:$K$58,MATCH(23,$M$40:$M$58,0)),"")</f>
        <v/>
      </c>
      <c r="I18" s="71" t="str">
        <f aca="false">IFERROR(INDEX($K$40:$K$58,MATCH(24,$M$40:$M$58,0)),"")</f>
        <v/>
      </c>
    </row>
    <row r="19" customFormat="false" ht="20" hidden="false" customHeight="true" outlineLevel="0" collapsed="false">
      <c r="A19" s="66"/>
      <c r="B19" s="72" t="str">
        <f aca="false">IFERROR(INDEX($L$40:$L$58,MATCH(17,$M$40:$M$58,0)),"")</f>
        <v/>
      </c>
      <c r="C19" s="72" t="str">
        <f aca="false">IFERROR(INDEX($L$40:$L$58,MATCH(18,$M$40:$M$58,0)),"")</f>
        <v/>
      </c>
      <c r="D19" s="72" t="str">
        <f aca="false">IFERROR(INDEX($L$40:$L$58,MATCH(19,$M$40:$M$58,0)),"")</f>
        <v/>
      </c>
      <c r="E19" s="72" t="str">
        <f aca="false">IFERROR(INDEX($L$40:$L$58,MATCH(20,$M$40:$M$58,0)),"")</f>
        <v/>
      </c>
      <c r="F19" s="72" t="str">
        <f aca="false">IFERROR(INDEX($L$40:$L$58,MATCH(21,$M$40:$M$58,0)),"")</f>
        <v/>
      </c>
      <c r="G19" s="72" t="str">
        <f aca="false">IFERROR(INDEX($L$40:$L$58,MATCH(22,$M$40:$M$58,0)),"")</f>
        <v/>
      </c>
      <c r="H19" s="72" t="str">
        <f aca="false">IFERROR(INDEX($L$40:$L$58,MATCH(23,$M$40:$M$58,0)),"")</f>
        <v/>
      </c>
      <c r="I19" s="72" t="str">
        <f aca="false">IFERROR(INDEX($L$40:$L$58,MATCH(24,$M$40:$M$58,0)),"")</f>
        <v/>
      </c>
    </row>
    <row r="20" customFormat="false" ht="17.35" hidden="false" customHeight="false" outlineLevel="0" collapsed="false"/>
    <row r="21" customFormat="false" ht="24" hidden="false" customHeight="true" outlineLevel="0" collapsed="false">
      <c r="A21" s="66" t="s">
        <v>303</v>
      </c>
      <c r="B21" s="71" t="str">
        <f aca="false">IFERROR(INDEX($O$40:$O$47,MATCH(1,$Q$40:$Q$47,0)),"")</f>
        <v>所得税</v>
      </c>
      <c r="C21" s="71" t="str">
        <f aca="false">IFERROR(INDEX($O$40:$O$47,MATCH(2,$Q$40:$Q$47,0)),"")</f>
        <v>住民税</v>
      </c>
      <c r="D21" s="71" t="str">
        <f aca="false">IFERROR(INDEX($O$40:$O$47,MATCH(3,$Q$40:$Q$47,0)),"")</f>
        <v>共済短期掛金</v>
      </c>
      <c r="E21" s="71" t="str">
        <f aca="false">IFERROR(INDEX($O$40:$O$47,MATCH(4,$Q$40:$Q$47,0)),"")</f>
        <v>共済子ども支援</v>
      </c>
      <c r="F21" s="71" t="str">
        <f aca="false">IFERROR(INDEX($O$40:$O$47,MATCH(5,$Q$40:$Q$47,0)),"")</f>
        <v>共済厚生年金掛金</v>
      </c>
      <c r="G21" s="71" t="str">
        <f aca="false">IFERROR(INDEX($O$40:$O$47,MATCH(6,$Q$40:$Q$47,0)),"")</f>
        <v>共済退職等年金</v>
      </c>
      <c r="H21" s="71" t="str">
        <f aca="false">IFERROR(INDEX($O$40:$O$47,MATCH(7,$Q$40:$Q$47,0)),"")</f>
        <v>共済介護</v>
      </c>
      <c r="I21" s="71" t="str">
        <f aca="false">IFERROR(INDEX($O$40:$O$47,MATCH(8,$Q$40:$Q$47,0)),"")</f>
        <v>互助会掛金</v>
      </c>
    </row>
    <row r="22" customFormat="false" ht="20" hidden="false" customHeight="true" outlineLevel="0" collapsed="false">
      <c r="A22" s="66"/>
      <c r="B22" s="72" t="n">
        <f aca="false">IFERROR(INDEX($P$40:$P$47,MATCH(1,$Q$40:$Q$47,0)),"")</f>
        <v>7710</v>
      </c>
      <c r="C22" s="72" t="n">
        <f aca="false">IFERROR(INDEX($P$40:$P$47,MATCH(2,$Q$40:$Q$47,0)),"")</f>
        <v>31400</v>
      </c>
      <c r="D22" s="72" t="n">
        <f aca="false">IFERROR(INDEX($P$40:$P$47,MATCH(3,$Q$40:$Q$47,0)),"")</f>
        <v>19706</v>
      </c>
      <c r="E22" s="72" t="n">
        <f aca="false">IFERROR(INDEX($P$40:$P$47,MATCH(4,$Q$40:$Q$47,0)),"")</f>
        <v>437</v>
      </c>
      <c r="F22" s="72" t="n">
        <f aca="false">IFERROR(INDEX($P$40:$P$47,MATCH(5,$Q$40:$Q$47,0)),"")</f>
        <v>34770</v>
      </c>
      <c r="G22" s="72" t="n">
        <f aca="false">IFERROR(INDEX($P$40:$P$47,MATCH(6,$Q$40:$Q$47,0)),"")</f>
        <v>2850</v>
      </c>
      <c r="H22" s="72" t="n">
        <f aca="false">IFERROR(INDEX($P$40:$P$47,MATCH(7,$Q$40:$Q$47,0)),"")</f>
        <v>3002</v>
      </c>
      <c r="I22" s="72" t="n">
        <f aca="false">IFERROR(INDEX($P$40:$P$47,MATCH(8,$Q$40:$Q$47,0)),"")</f>
        <v>1233</v>
      </c>
    </row>
    <row r="23" customFormat="false" ht="24" hidden="false" customHeight="true" outlineLevel="0" collapsed="false">
      <c r="A23" s="66"/>
      <c r="B23" s="71" t="str">
        <f aca="false">IFERROR(INDEX($O$40:$O$47,MATCH(9,$Q$40:$Q$47,0)),"")</f>
        <v/>
      </c>
      <c r="C23" s="71" t="str">
        <f aca="false">IFERROR(INDEX($O$40:$O$47,MATCH(10,$Q$40:$Q$47,0)),"")</f>
        <v/>
      </c>
      <c r="D23" s="71" t="str">
        <f aca="false">IFERROR(INDEX($O$40:$O$47,MATCH(11,$Q$40:$Q$47,0)),"")</f>
        <v/>
      </c>
      <c r="E23" s="71" t="str">
        <f aca="false">IFERROR(INDEX($O$40:$O$47,MATCH(12,$Q$40:$Q$47,0)),"")</f>
        <v/>
      </c>
      <c r="F23" s="71" t="str">
        <f aca="false">IFERROR(INDEX($O$40:$O$47,MATCH(13,$Q$40:$Q$47,0)),"")</f>
        <v/>
      </c>
      <c r="G23" s="71" t="str">
        <f aca="false">IFERROR(INDEX($O$40:$O$47,MATCH(14,$Q$40:$Q$47,0)),"")</f>
        <v/>
      </c>
      <c r="H23" s="71" t="str">
        <f aca="false">IFERROR(INDEX($O$40:$O$47,MATCH(15,$Q$40:$Q$47,0)),"")</f>
        <v/>
      </c>
      <c r="I23" s="71" t="str">
        <f aca="false">IFERROR(INDEX($O$40:$O$47,MATCH(16,$Q$40:$Q$47,0)),"")</f>
        <v/>
      </c>
    </row>
    <row r="24" customFormat="false" ht="20" hidden="false" customHeight="true" outlineLevel="0" collapsed="false">
      <c r="A24" s="66"/>
      <c r="B24" s="72" t="str">
        <f aca="false">IFERROR(INDEX($P$40:$P$47,MATCH(9,$Q$40:$Q$47,0)),"")</f>
        <v/>
      </c>
      <c r="C24" s="72" t="str">
        <f aca="false">IFERROR(INDEX($P$40:$P$47,MATCH(10,$Q$40:$Q$47,0)),"")</f>
        <v/>
      </c>
      <c r="D24" s="72" t="str">
        <f aca="false">IFERROR(INDEX($P$40:$P$47,MATCH(11,$Q$40:$Q$47,0)),"")</f>
        <v/>
      </c>
      <c r="E24" s="72" t="str">
        <f aca="false">IFERROR(INDEX($P$40:$P$47,MATCH(12,$Q$40:$Q$47,0)),"")</f>
        <v/>
      </c>
      <c r="F24" s="72" t="str">
        <f aca="false">IFERROR(INDEX($P$40:$P$47,MATCH(13,$Q$40:$Q$47,0)),"")</f>
        <v/>
      </c>
      <c r="G24" s="72" t="str">
        <f aca="false">IFERROR(INDEX($P$40:$P$47,MATCH(14,$Q$40:$Q$47,0)),"")</f>
        <v/>
      </c>
      <c r="H24" s="72" t="str">
        <f aca="false">IFERROR(INDEX($P$40:$P$47,MATCH(15,$Q$40:$Q$47,0)),"")</f>
        <v/>
      </c>
      <c r="I24" s="72" t="str">
        <f aca="false">IFERROR(INDEX($P$40:$P$47,MATCH(16,$Q$40:$Q$47,0)),"")</f>
        <v/>
      </c>
    </row>
    <row r="25" customFormat="false" ht="24" hidden="false" customHeight="true" outlineLevel="0" collapsed="false">
      <c r="A25" s="66"/>
      <c r="B25" s="71" t="str">
        <f aca="false">IFERROR(INDEX($O$40:$O$47,MATCH(17,$Q$40:$Q$47,0)),"")</f>
        <v/>
      </c>
      <c r="C25" s="71" t="str">
        <f aca="false">IFERROR(INDEX($O$40:$O$47,MATCH(18,$Q$40:$Q$47,0)),"")</f>
        <v/>
      </c>
      <c r="D25" s="71" t="str">
        <f aca="false">IFERROR(INDEX($O$40:$O$47,MATCH(19,$Q$40:$Q$47,0)),"")</f>
        <v/>
      </c>
      <c r="E25" s="71" t="str">
        <f aca="false">IFERROR(INDEX($O$40:$O$47,MATCH(20,$Q$40:$Q$47,0)),"")</f>
        <v/>
      </c>
      <c r="F25" s="71" t="str">
        <f aca="false">IFERROR(INDEX($O$40:$O$47,MATCH(21,$Q$40:$Q$47,0)),"")</f>
        <v/>
      </c>
      <c r="G25" s="71" t="str">
        <f aca="false">IFERROR(INDEX($O$40:$O$47,MATCH(22,$Q$40:$Q$47,0)),"")</f>
        <v/>
      </c>
      <c r="H25" s="71" t="str">
        <f aca="false">IFERROR(INDEX($O$40:$O$47,MATCH(23,$Q$40:$Q$47,0)),"")</f>
        <v/>
      </c>
      <c r="I25" s="71" t="str">
        <f aca="false">IFERROR(INDEX($O$40:$O$47,MATCH(24,$Q$40:$Q$47,0)),"")</f>
        <v/>
      </c>
    </row>
    <row r="26" customFormat="false" ht="20" hidden="false" customHeight="true" outlineLevel="0" collapsed="false">
      <c r="A26" s="66"/>
      <c r="B26" s="72" t="str">
        <f aca="false">IFERROR(INDEX($P$40:$P$47,MATCH(17,$Q$40:$Q$47,0)),"")</f>
        <v/>
      </c>
      <c r="C26" s="72" t="str">
        <f aca="false">IFERROR(INDEX($P$40:$P$47,MATCH(18,$Q$40:$Q$47,0)),"")</f>
        <v/>
      </c>
      <c r="D26" s="72" t="str">
        <f aca="false">IFERROR(INDEX($P$40:$P$47,MATCH(19,$Q$40:$Q$47,0)),"")</f>
        <v/>
      </c>
      <c r="E26" s="72" t="str">
        <f aca="false">IFERROR(INDEX($P$40:$P$47,MATCH(20,$Q$40:$Q$47,0)),"")</f>
        <v/>
      </c>
      <c r="F26" s="72" t="str">
        <f aca="false">IFERROR(INDEX($P$40:$P$47,MATCH(21,$Q$40:$Q$47,0)),"")</f>
        <v/>
      </c>
      <c r="G26" s="72" t="str">
        <f aca="false">IFERROR(INDEX($P$40:$P$47,MATCH(22,$Q$40:$Q$47,0)),"")</f>
        <v/>
      </c>
      <c r="H26" s="72" t="str">
        <f aca="false">IFERROR(INDEX($P$40:$P$47,MATCH(23,$Q$40:$Q$47,0)),"")</f>
        <v/>
      </c>
      <c r="I26" s="72" t="str">
        <f aca="false">IFERROR(INDEX($P$40:$P$47,MATCH(24,$Q$40:$Q$47,0)),"")</f>
        <v/>
      </c>
    </row>
    <row r="27" customFormat="false" ht="17.35" hidden="false" customHeight="false" outlineLevel="0" collapsed="false"/>
    <row r="28" customFormat="false" ht="17.35" hidden="false" customHeight="false" outlineLevel="0" collapsed="false">
      <c r="A28" s="73" t="str">
        <f aca="false">"備考　"&amp;IF($L$1="","",INDEX(給与データ!$AG$6:$AG$105,$L$1))</f>
        <v>備考　支給明細書PDFの金額を再現した例（氏名・番号は仮）</v>
      </c>
      <c r="B28" s="73"/>
      <c r="C28" s="73"/>
      <c r="D28" s="73"/>
      <c r="E28" s="73"/>
      <c r="F28" s="73"/>
      <c r="G28" s="73"/>
      <c r="H28" s="73"/>
      <c r="I28" s="73"/>
    </row>
    <row r="29" customFormat="false" ht="17.35" hidden="false" customHeight="false" outlineLevel="0" collapsed="false">
      <c r="A29" s="73"/>
      <c r="B29" s="73"/>
      <c r="C29" s="73"/>
      <c r="D29" s="73"/>
      <c r="E29" s="73"/>
      <c r="F29" s="73"/>
      <c r="G29" s="73"/>
      <c r="H29" s="73"/>
      <c r="I29" s="73"/>
    </row>
    <row r="30" customFormat="false" ht="17.35" hidden="false" customHeight="false" outlineLevel="0" collapsed="false">
      <c r="A30" s="73"/>
      <c r="B30" s="73"/>
      <c r="C30" s="73"/>
      <c r="D30" s="73"/>
      <c r="E30" s="73"/>
      <c r="F30" s="73"/>
      <c r="G30" s="73"/>
      <c r="H30" s="73"/>
      <c r="I30" s="73"/>
    </row>
    <row r="31" customFormat="false" ht="17.35" hidden="false" customHeight="false" outlineLevel="0" collapsed="false">
      <c r="A31" s="73"/>
      <c r="B31" s="73"/>
      <c r="C31" s="73"/>
      <c r="D31" s="73"/>
      <c r="E31" s="73"/>
      <c r="F31" s="73"/>
      <c r="G31" s="73"/>
      <c r="H31" s="73"/>
      <c r="I31" s="73"/>
    </row>
    <row r="32" customFormat="false" ht="17.35" hidden="false" customHeight="false" outlineLevel="0" collapsed="false"/>
    <row r="33" customFormat="false" ht="24" hidden="false" customHeight="true" outlineLevel="0" collapsed="false">
      <c r="A33" s="66" t="s">
        <v>304</v>
      </c>
      <c r="B33" s="71" t="str">
        <f aca="false">IFERROR(INDEX($S$40:$S$41,MATCH(1,$U$40:$U$41,0)),"")</f>
        <v>親睦会</v>
      </c>
      <c r="C33" s="71" t="str">
        <f aca="false">IFERROR(INDEX($S$40:$S$41,MATCH(2,$U$40:$U$41,0)),"")</f>
        <v>所属控除金手数料</v>
      </c>
      <c r="D33" s="71" t="str">
        <f aca="false">IFERROR(INDEX($S$40:$S$41,MATCH(3,$U$40:$U$41,0)),"")</f>
        <v/>
      </c>
      <c r="E33" s="71" t="str">
        <f aca="false">IFERROR(INDEX($S$40:$S$41,MATCH(4,$U$40:$U$41,0)),"")</f>
        <v/>
      </c>
      <c r="F33" s="71" t="str">
        <f aca="false">IFERROR(INDEX($S$40:$S$41,MATCH(5,$U$40:$U$41,0)),"")</f>
        <v/>
      </c>
      <c r="G33" s="71" t="str">
        <f aca="false">IFERROR(INDEX($S$40:$S$41,MATCH(6,$U$40:$U$41,0)),"")</f>
        <v/>
      </c>
      <c r="H33" s="71" t="str">
        <f aca="false">IFERROR(INDEX($S$40:$S$41,MATCH(7,$U$40:$U$41,0)),"")</f>
        <v/>
      </c>
      <c r="I33" s="71" t="str">
        <f aca="false">IFERROR(INDEX($S$40:$S$41,MATCH(8,$U$40:$U$41,0)),"")</f>
        <v/>
      </c>
    </row>
    <row r="34" customFormat="false" ht="20" hidden="false" customHeight="true" outlineLevel="0" collapsed="false">
      <c r="A34" s="66"/>
      <c r="B34" s="72" t="n">
        <f aca="false">IFERROR(INDEX($T$40:$T$41,MATCH(1,$U$40:$U$41,0)),"")</f>
        <v>3200</v>
      </c>
      <c r="C34" s="72" t="n">
        <f aca="false">IFERROR(INDEX($T$40:$T$41,MATCH(2,$U$40:$U$41,0)),"")</f>
        <v>33</v>
      </c>
      <c r="D34" s="72" t="str">
        <f aca="false">IFERROR(INDEX($T$40:$T$41,MATCH(3,$U$40:$U$41,0)),"")</f>
        <v/>
      </c>
      <c r="E34" s="72" t="str">
        <f aca="false">IFERROR(INDEX($T$40:$T$41,MATCH(4,$U$40:$U$41,0)),"")</f>
        <v/>
      </c>
      <c r="F34" s="72" t="str">
        <f aca="false">IFERROR(INDEX($T$40:$T$41,MATCH(5,$U$40:$U$41,0)),"")</f>
        <v/>
      </c>
      <c r="G34" s="72" t="str">
        <f aca="false">IFERROR(INDEX($T$40:$T$41,MATCH(6,$U$40:$U$41,0)),"")</f>
        <v/>
      </c>
      <c r="H34" s="72" t="str">
        <f aca="false">IFERROR(INDEX($T$40:$T$41,MATCH(7,$U$40:$U$41,0)),"")</f>
        <v/>
      </c>
      <c r="I34" s="72" t="str">
        <f aca="false">IFERROR(INDEX($T$40:$T$41,MATCH(8,$U$40:$U$41,0)),"")</f>
        <v/>
      </c>
    </row>
    <row r="35" customFormat="false" ht="24" hidden="false" customHeight="true" outlineLevel="0" collapsed="false">
      <c r="A35" s="66"/>
      <c r="B35" s="71" t="str">
        <f aca="false">IFERROR(INDEX($S$40:$S$41,MATCH(9,$U$40:$U$41,0)),"")</f>
        <v/>
      </c>
      <c r="C35" s="71" t="str">
        <f aca="false">IFERROR(INDEX($S$40:$S$41,MATCH(10,$U$40:$U$41,0)),"")</f>
        <v/>
      </c>
      <c r="D35" s="71" t="str">
        <f aca="false">IFERROR(INDEX($S$40:$S$41,MATCH(11,$U$40:$U$41,0)),"")</f>
        <v/>
      </c>
      <c r="E35" s="71" t="str">
        <f aca="false">IFERROR(INDEX($S$40:$S$41,MATCH(12,$U$40:$U$41,0)),"")</f>
        <v/>
      </c>
      <c r="F35" s="71" t="str">
        <f aca="false">IFERROR(INDEX($S$40:$S$41,MATCH(13,$U$40:$U$41,0)),"")</f>
        <v/>
      </c>
      <c r="G35" s="71" t="str">
        <f aca="false">IFERROR(INDEX($S$40:$S$41,MATCH(14,$U$40:$U$41,0)),"")</f>
        <v/>
      </c>
      <c r="H35" s="71" t="str">
        <f aca="false">IFERROR(INDEX($S$40:$S$41,MATCH(15,$U$40:$U$41,0)),"")</f>
        <v/>
      </c>
      <c r="I35" s="71" t="str">
        <f aca="false">IFERROR(INDEX($S$40:$S$41,MATCH(16,$U$40:$U$41,0)),"")</f>
        <v/>
      </c>
    </row>
    <row r="36" customFormat="false" ht="20" hidden="false" customHeight="true" outlineLevel="0" collapsed="false">
      <c r="A36" s="66"/>
      <c r="B36" s="72" t="str">
        <f aca="false">IFERROR(INDEX($T$40:$T$41,MATCH(9,$U$40:$U$41,0)),"")</f>
        <v/>
      </c>
      <c r="C36" s="72" t="str">
        <f aca="false">IFERROR(INDEX($T$40:$T$41,MATCH(10,$U$40:$U$41,0)),"")</f>
        <v/>
      </c>
      <c r="D36" s="72" t="str">
        <f aca="false">IFERROR(INDEX($T$40:$T$41,MATCH(11,$U$40:$U$41,0)),"")</f>
        <v/>
      </c>
      <c r="E36" s="72" t="str">
        <f aca="false">IFERROR(INDEX($T$40:$T$41,MATCH(12,$U$40:$U$41,0)),"")</f>
        <v/>
      </c>
      <c r="F36" s="72" t="str">
        <f aca="false">IFERROR(INDEX($T$40:$T$41,MATCH(13,$U$40:$U$41,0)),"")</f>
        <v/>
      </c>
      <c r="G36" s="72" t="str">
        <f aca="false">IFERROR(INDEX($T$40:$T$41,MATCH(14,$U$40:$U$41,0)),"")</f>
        <v/>
      </c>
      <c r="H36" s="72" t="str">
        <f aca="false">IFERROR(INDEX($T$40:$T$41,MATCH(15,$U$40:$U$41,0)),"")</f>
        <v/>
      </c>
      <c r="I36" s="72" t="str">
        <f aca="false">IFERROR(INDEX($T$40:$T$41,MATCH(16,$U$40:$U$41,0)),"")</f>
        <v/>
      </c>
    </row>
    <row r="37" customFormat="false" ht="24" hidden="false" customHeight="true" outlineLevel="0" collapsed="false">
      <c r="A37" s="66"/>
      <c r="B37" s="71" t="str">
        <f aca="false">IFERROR(INDEX($S$40:$S$41,MATCH(17,$U$40:$U$41,0)),"")</f>
        <v/>
      </c>
      <c r="C37" s="71" t="str">
        <f aca="false">IFERROR(INDEX($S$40:$S$41,MATCH(18,$U$40:$U$41,0)),"")</f>
        <v/>
      </c>
      <c r="D37" s="71" t="str">
        <f aca="false">IFERROR(INDEX($S$40:$S$41,MATCH(19,$U$40:$U$41,0)),"")</f>
        <v/>
      </c>
      <c r="E37" s="71" t="str">
        <f aca="false">IFERROR(INDEX($S$40:$S$41,MATCH(20,$U$40:$U$41,0)),"")</f>
        <v/>
      </c>
      <c r="F37" s="71" t="str">
        <f aca="false">IFERROR(INDEX($S$40:$S$41,MATCH(21,$U$40:$U$41,0)),"")</f>
        <v/>
      </c>
      <c r="G37" s="71" t="str">
        <f aca="false">IFERROR(INDEX($S$40:$S$41,MATCH(22,$U$40:$U$41,0)),"")</f>
        <v/>
      </c>
      <c r="H37" s="71" t="str">
        <f aca="false">IFERROR(INDEX($S$40:$S$41,MATCH(23,$U$40:$U$41,0)),"")</f>
        <v/>
      </c>
      <c r="I37" s="71" t="str">
        <f aca="false">IFERROR(INDEX($S$40:$S$41,MATCH(24,$U$40:$U$41,0)),"")</f>
        <v/>
      </c>
    </row>
    <row r="38" customFormat="false" ht="20" hidden="false" customHeight="true" outlineLevel="0" collapsed="false">
      <c r="A38" s="66"/>
      <c r="B38" s="72" t="str">
        <f aca="false">IFERROR(INDEX($T$40:$T$41,MATCH(17,$U$40:$U$41,0)),"")</f>
        <v/>
      </c>
      <c r="C38" s="72" t="str">
        <f aca="false">IFERROR(INDEX($T$40:$T$41,MATCH(18,$U$40:$U$41,0)),"")</f>
        <v/>
      </c>
      <c r="D38" s="72" t="str">
        <f aca="false">IFERROR(INDEX($T$40:$T$41,MATCH(19,$U$40:$U$41,0)),"")</f>
        <v/>
      </c>
      <c r="E38" s="72" t="str">
        <f aca="false">IFERROR(INDEX($T$40:$T$41,MATCH(20,$U$40:$U$41,0)),"")</f>
        <v/>
      </c>
      <c r="F38" s="72" t="str">
        <f aca="false">IFERROR(INDEX($T$40:$T$41,MATCH(21,$U$40:$U$41,0)),"")</f>
        <v/>
      </c>
      <c r="G38" s="72" t="str">
        <f aca="false">IFERROR(INDEX($T$40:$T$41,MATCH(22,$U$40:$U$41,0)),"")</f>
        <v/>
      </c>
      <c r="H38" s="72" t="str">
        <f aca="false">IFERROR(INDEX($T$40:$T$41,MATCH(23,$U$40:$U$41,0)),"")</f>
        <v/>
      </c>
      <c r="I38" s="72" t="str">
        <f aca="false">IFERROR(INDEX($T$40:$T$41,MATCH(24,$U$40:$U$41,0)),"")</f>
        <v/>
      </c>
    </row>
    <row r="39" customFormat="false" ht="17.35" hidden="false" customHeight="false" outlineLevel="0" collapsed="false">
      <c r="K39" s="48" t="s">
        <v>305</v>
      </c>
      <c r="L39" s="48" t="s">
        <v>306</v>
      </c>
      <c r="M39" s="48" t="s">
        <v>307</v>
      </c>
      <c r="O39" s="48" t="s">
        <v>308</v>
      </c>
      <c r="P39" s="48" t="s">
        <v>306</v>
      </c>
      <c r="Q39" s="48" t="s">
        <v>307</v>
      </c>
      <c r="S39" s="48" t="s">
        <v>309</v>
      </c>
      <c r="T39" s="48" t="s">
        <v>306</v>
      </c>
      <c r="U39" s="48" t="s">
        <v>307</v>
      </c>
    </row>
    <row r="40" customFormat="false" ht="17.35" hidden="false" customHeight="false" outlineLevel="0" collapsed="false">
      <c r="A40" s="13" t="s">
        <v>310</v>
      </c>
      <c r="B40" s="13"/>
      <c r="C40" s="13"/>
      <c r="D40" s="13"/>
      <c r="E40" s="13"/>
      <c r="K40" s="48" t="s">
        <v>311</v>
      </c>
      <c r="L40" s="48" t="n">
        <f aca="false">IF($L$1="",0,N(INDEX(給与データ!$E$6:$E$105,$L$1)))</f>
        <v>328900</v>
      </c>
      <c r="M40" s="48" t="n">
        <f aca="false">IF(L40&lt;&gt;0,MAX(M$39:M39)+1,"")</f>
        <v>1</v>
      </c>
      <c r="O40" s="48" t="s">
        <v>312</v>
      </c>
      <c r="P40" s="48" t="n">
        <f aca="false">IF($L$1="",0,N(INDEX(給与データ!$AB$6:$AB$105,$L$1)))</f>
        <v>7710</v>
      </c>
      <c r="Q40" s="48" t="n">
        <f aca="false">IF(P40&lt;&gt;0,MAX(Q$39:Q39)+1,"")</f>
        <v>1</v>
      </c>
      <c r="S40" s="48" t="s">
        <v>313</v>
      </c>
      <c r="T40" s="48" t="n">
        <f aca="false">IF($L$1="",0,N(INDEX(給与データ!$AE$6:$AE$105,$L$1)))</f>
        <v>3200</v>
      </c>
      <c r="U40" s="48" t="n">
        <f aca="false">IF(T40&lt;&gt;0,MAX(U$39:U39)+1,"")</f>
        <v>1</v>
      </c>
    </row>
    <row r="41" customFormat="false" ht="17.35" hidden="false" customHeight="false" outlineLevel="0" collapsed="false">
      <c r="A41" s="74" t="s">
        <v>314</v>
      </c>
      <c r="B41" s="74"/>
      <c r="C41" s="74"/>
      <c r="D41" s="42" t="n">
        <f aca="false">IF($L$1="","",INDEX(給与データ!$AJ$6:$AJ$105,$L$1))</f>
        <v>357312</v>
      </c>
      <c r="K41" s="48" t="s">
        <v>315</v>
      </c>
      <c r="L41" s="48" t="n">
        <f aca="false">IF($L$1="",0,N(INDEX(給与データ!$AH$6:$AH$105,$L$1)))</f>
        <v>26312</v>
      </c>
      <c r="M41" s="48" t="n">
        <f aca="false">IF(L41&lt;&gt;0,MAX(M$39:M40)+1,"")</f>
        <v>2</v>
      </c>
      <c r="O41" s="48" t="s">
        <v>316</v>
      </c>
      <c r="P41" s="48" t="n">
        <f aca="false">IF($L$1="",0,N(INDEX(給与データ!$AC$6:$AC$105,$L$1)))</f>
        <v>31400</v>
      </c>
      <c r="Q41" s="48" t="n">
        <f aca="false">IF(P41&lt;&gt;0,MAX(Q$39:Q40)+1,"")</f>
        <v>2</v>
      </c>
      <c r="S41" s="48" t="s">
        <v>317</v>
      </c>
      <c r="T41" s="48" t="n">
        <f aca="false">IF($L$1="",0,N(INDEX(給与データ!$AF$6:$AF$105,$L$1)))</f>
        <v>33</v>
      </c>
      <c r="U41" s="48" t="n">
        <f aca="false">IF(T41&lt;&gt;0,MAX(U$39:U40)+1,"")</f>
        <v>2</v>
      </c>
    </row>
    <row r="42" customFormat="false" ht="17.35" hidden="false" customHeight="false" outlineLevel="0" collapsed="false">
      <c r="A42" s="74" t="s">
        <v>318</v>
      </c>
      <c r="B42" s="74"/>
      <c r="C42" s="74"/>
      <c r="D42" s="42" t="n">
        <f aca="false">IF($L$1="","",-IF($L$1="","",INDEX(給与データ!$AI$6:$AI$105,$L$1)))</f>
        <v>-2100</v>
      </c>
      <c r="K42" s="48" t="s">
        <v>319</v>
      </c>
      <c r="L42" s="48" t="n">
        <f aca="false">IF($L$1="",0,N(INDEX(給与データ!$F$6:$F$105,$L$1)))</f>
        <v>0</v>
      </c>
      <c r="M42" s="0" t="str">
        <f aca="false">IF(L42&lt;&gt;0,MAX(M$39:M41)+1,"")</f>
        <v/>
      </c>
      <c r="O42" s="48" t="s">
        <v>320</v>
      </c>
      <c r="P42" s="48" t="n">
        <f aca="false">IF($L$1="",0,N(INDEX(給与データ!$AM$6:$AM$105,$L$1)))</f>
        <v>19706</v>
      </c>
      <c r="Q42" s="48" t="n">
        <f aca="false">IF(P42&lt;&gt;0,MAX(Q$39:Q41)+1,"")</f>
        <v>3</v>
      </c>
    </row>
    <row r="43" customFormat="false" ht="17.35" hidden="false" customHeight="false" outlineLevel="0" collapsed="false">
      <c r="A43" s="74" t="s">
        <v>321</v>
      </c>
      <c r="B43" s="74"/>
      <c r="C43" s="74"/>
      <c r="D43" s="42" t="n">
        <f aca="false">IF($L$1="","",INDEX(給与データ!$AX$6:$AX$105,$L$1))</f>
        <v>2100</v>
      </c>
      <c r="K43" s="48" t="s">
        <v>322</v>
      </c>
      <c r="L43" s="48" t="n">
        <f aca="false">IF($L$1="",0,N(INDEX(給与データ!$G$6:$G$105,$L$1)))</f>
        <v>0</v>
      </c>
      <c r="M43" s="0" t="str">
        <f aca="false">IF(L43&lt;&gt;0,MAX(M$39:M42)+1,"")</f>
        <v/>
      </c>
      <c r="O43" s="48" t="s">
        <v>323</v>
      </c>
      <c r="P43" s="48" t="n">
        <f aca="false">IF($L$1="",0,N(INDEX(給与データ!$AN$6:$AN$105,$L$1)))</f>
        <v>437</v>
      </c>
      <c r="Q43" s="48" t="n">
        <f aca="false">IF(P43&lt;&gt;0,MAX(Q$39:Q42)+1,"")</f>
        <v>4</v>
      </c>
    </row>
    <row r="44" customFormat="false" ht="28" hidden="false" customHeight="true" outlineLevel="0" collapsed="false">
      <c r="A44" s="75" t="s">
        <v>324</v>
      </c>
      <c r="B44" s="75"/>
      <c r="C44" s="75"/>
      <c r="D44" s="76" t="n">
        <f aca="false">IF($L$1="","",INDEX(給与データ!$AY$6:$AY$105,$L$1))</f>
        <v>357312</v>
      </c>
      <c r="K44" s="48" t="s">
        <v>325</v>
      </c>
      <c r="L44" s="48" t="n">
        <f aca="false">IF($L$1="",0,N(INDEX(給与データ!$H$6:$H$105,$L$1)))</f>
        <v>0</v>
      </c>
      <c r="M44" s="0" t="str">
        <f aca="false">IF(L44&lt;&gt;0,MAX(M$39:M43)+1,"")</f>
        <v/>
      </c>
      <c r="O44" s="48" t="s">
        <v>326</v>
      </c>
      <c r="P44" s="48" t="n">
        <f aca="false">IF($L$1="",0,N(INDEX(給与データ!$AO$6:$AO$105,$L$1)))</f>
        <v>34770</v>
      </c>
      <c r="Q44" s="48" t="n">
        <f aca="false">IF(P44&lt;&gt;0,MAX(Q$39:Q43)+1,"")</f>
        <v>5</v>
      </c>
    </row>
    <row r="45" customFormat="false" ht="17.35" hidden="false" customHeight="true" outlineLevel="0" collapsed="false">
      <c r="A45" s="77" t="s">
        <v>327</v>
      </c>
      <c r="B45" s="77"/>
      <c r="C45" s="77"/>
      <c r="D45" s="77"/>
      <c r="E45" s="77"/>
      <c r="F45" s="77"/>
      <c r="G45" s="77"/>
      <c r="H45" s="77"/>
      <c r="I45" s="77"/>
      <c r="K45" s="48" t="s">
        <v>328</v>
      </c>
      <c r="L45" s="48" t="n">
        <f aca="false">IF($L$1="",0,N(INDEX(給与データ!$I$6:$I$105,$L$1)))</f>
        <v>0</v>
      </c>
      <c r="M45" s="0" t="str">
        <f aca="false">IF(L45&lt;&gt;0,MAX(M$39:M44)+1,"")</f>
        <v/>
      </c>
      <c r="O45" s="48" t="s">
        <v>329</v>
      </c>
      <c r="P45" s="48" t="n">
        <f aca="false">IF($L$1="",0,N(INDEX(給与データ!$AP$6:$AP$105,$L$1)))</f>
        <v>2850</v>
      </c>
      <c r="Q45" s="48" t="n">
        <f aca="false">IF(P45&lt;&gt;0,MAX(Q$39:Q44)+1,"")</f>
        <v>6</v>
      </c>
    </row>
    <row r="46" customFormat="false" ht="17.35" hidden="false" customHeight="false" outlineLevel="0" collapsed="false">
      <c r="A46" s="77"/>
      <c r="B46" s="77"/>
      <c r="C46" s="77"/>
      <c r="D46" s="77"/>
      <c r="E46" s="77"/>
      <c r="F46" s="77"/>
      <c r="G46" s="77"/>
      <c r="H46" s="77"/>
      <c r="I46" s="77"/>
      <c r="K46" s="48" t="s">
        <v>330</v>
      </c>
      <c r="L46" s="48" t="n">
        <f aca="false">IF($L$1="",0,N(INDEX(給与データ!$J$6:$J$105,$L$1)))</f>
        <v>0</v>
      </c>
      <c r="M46" s="0" t="str">
        <f aca="false">IF(L46&lt;&gt;0,MAX(M$39:M45)+1,"")</f>
        <v/>
      </c>
      <c r="O46" s="48" t="s">
        <v>331</v>
      </c>
      <c r="P46" s="48" t="n">
        <f aca="false">IF($L$1="",0,N(INDEX(給与データ!$AQ$6:$AQ$105,$L$1)))</f>
        <v>3002</v>
      </c>
      <c r="Q46" s="48" t="n">
        <f aca="false">IF(P46&lt;&gt;0,MAX(Q$39:Q45)+1,"")</f>
        <v>7</v>
      </c>
    </row>
    <row r="47" customFormat="false" ht="17.35" hidden="false" customHeight="false" outlineLevel="0" collapsed="false">
      <c r="A47" s="5" t="s">
        <v>332</v>
      </c>
      <c r="K47" s="48" t="s">
        <v>333</v>
      </c>
      <c r="L47" s="48" t="n">
        <f aca="false">IF($L$1="",0,N(INDEX(給与データ!$L$6:$L$105,$L$1)))</f>
        <v>0</v>
      </c>
      <c r="M47" s="0" t="str">
        <f aca="false">IF(L47&lt;&gt;0,MAX(M$39:M46)+1,"")</f>
        <v/>
      </c>
      <c r="O47" s="48" t="s">
        <v>334</v>
      </c>
      <c r="P47" s="48" t="n">
        <f aca="false">IF($L$1="",0,N(INDEX(給与データ!$AD$6:$AD$105,$L$1)))</f>
        <v>1233</v>
      </c>
      <c r="Q47" s="48" t="n">
        <f aca="false">IF(P47&lt;&gt;0,MAX(Q$39:Q46)+1,"")</f>
        <v>8</v>
      </c>
    </row>
    <row r="48" customFormat="false" ht="15" hidden="false" customHeight="false" outlineLevel="0" collapsed="false">
      <c r="K48" s="48" t="s">
        <v>335</v>
      </c>
      <c r="L48" s="0" t="n">
        <f aca="false">IF($L$1="",0,N(INDEX(給与データ!$M$6:$M$105,$L$1)))</f>
        <v>0</v>
      </c>
      <c r="M48" s="0" t="str">
        <f aca="false">IF(L48&lt;&gt;0,MAX(M$39:M47)+1,"")</f>
        <v/>
      </c>
    </row>
    <row r="49" customFormat="false" ht="15" hidden="false" customHeight="false" outlineLevel="0" collapsed="false">
      <c r="K49" s="48" t="s">
        <v>336</v>
      </c>
      <c r="L49" s="0" t="n">
        <f aca="false">IF($L$1="",0,N(INDEX(給与データ!$N$6:$N$105,$L$1)))</f>
        <v>0</v>
      </c>
      <c r="M49" s="0" t="str">
        <f aca="false">IF(L49&lt;&gt;0,MAX(M$39:M48)+1,"")</f>
        <v/>
      </c>
    </row>
    <row r="50" customFormat="false" ht="15" hidden="false" customHeight="false" outlineLevel="0" collapsed="false">
      <c r="K50" s="48" t="s">
        <v>337</v>
      </c>
      <c r="L50" s="0" t="n">
        <f aca="false">IF($L$1="",0,N(INDEX(給与データ!$O$6:$O$105,$L$1)))</f>
        <v>0</v>
      </c>
      <c r="M50" s="0" t="str">
        <f aca="false">IF(L50&lt;&gt;0,MAX(M$39:M49)+1,"")</f>
        <v/>
      </c>
    </row>
    <row r="51" customFormat="false" ht="15" hidden="false" customHeight="false" outlineLevel="0" collapsed="false">
      <c r="K51" s="48" t="s">
        <v>338</v>
      </c>
      <c r="L51" s="0" t="n">
        <f aca="false">IF($L$1="",0,N(INDEX(給与データ!$P$6:$P$105,$L$1)))</f>
        <v>0</v>
      </c>
      <c r="M51" s="0" t="str">
        <f aca="false">IF(L51&lt;&gt;0,MAX(M$39:M50)+1,"")</f>
        <v/>
      </c>
    </row>
    <row r="52" customFormat="false" ht="15" hidden="false" customHeight="false" outlineLevel="0" collapsed="false">
      <c r="K52" s="48" t="s">
        <v>339</v>
      </c>
      <c r="L52" s="0" t="n">
        <f aca="false">IF($L$1="",0,N(INDEX(給与データ!$Q$6:$Q$105,$L$1)))</f>
        <v>0</v>
      </c>
      <c r="M52" s="0" t="str">
        <f aca="false">IF(L52&lt;&gt;0,MAX(M$39:M51)+1,"")</f>
        <v/>
      </c>
    </row>
    <row r="53" customFormat="false" ht="15" hidden="false" customHeight="false" outlineLevel="0" collapsed="false">
      <c r="K53" s="48" t="s">
        <v>340</v>
      </c>
      <c r="L53" s="0" t="n">
        <f aca="false">IF($L$1="",0,N(INDEX(給与データ!$R$6:$R$105,$L$1)))</f>
        <v>0</v>
      </c>
      <c r="M53" s="0" t="str">
        <f aca="false">IF(L53&lt;&gt;0,MAX(M$39:M52)+1,"")</f>
        <v/>
      </c>
    </row>
    <row r="54" customFormat="false" ht="15" hidden="false" customHeight="false" outlineLevel="0" collapsed="false">
      <c r="K54" s="48" t="s">
        <v>341</v>
      </c>
      <c r="L54" s="0" t="n">
        <f aca="false">IF($L$1="",0,N(INDEX(給与データ!$S$6:$S$105,$L$1)))</f>
        <v>0</v>
      </c>
      <c r="M54" s="0" t="str">
        <f aca="false">IF(L54&lt;&gt;0,MAX(M$39:M53)+1,"")</f>
        <v/>
      </c>
    </row>
    <row r="55" customFormat="false" ht="15" hidden="false" customHeight="false" outlineLevel="0" collapsed="false">
      <c r="K55" s="48" t="s">
        <v>342</v>
      </c>
      <c r="L55" s="0" t="n">
        <f aca="false">IF($L$1="",0,N(INDEX(給与データ!$T$6:$T$105,$L$1)))</f>
        <v>0</v>
      </c>
      <c r="M55" s="0" t="str">
        <f aca="false">IF(L55&lt;&gt;0,MAX(M$39:M54)+1,"")</f>
        <v/>
      </c>
    </row>
    <row r="56" customFormat="false" ht="15" hidden="false" customHeight="false" outlineLevel="0" collapsed="false">
      <c r="K56" s="48" t="s">
        <v>343</v>
      </c>
      <c r="L56" s="0" t="n">
        <f aca="false">IF($L$1="",0,N(INDEX(給与データ!$U$6:$U$105,$L$1)))</f>
        <v>0</v>
      </c>
      <c r="M56" s="0" t="str">
        <f aca="false">IF(L56&lt;&gt;0,MAX(M$39:M55)+1,"")</f>
        <v/>
      </c>
    </row>
    <row r="57" customFormat="false" ht="15" hidden="false" customHeight="false" outlineLevel="0" collapsed="false">
      <c r="K57" s="48" t="s">
        <v>344</v>
      </c>
      <c r="L57" s="0" t="n">
        <f aca="false">IF($L$1="",0,N(INDEX(給与データ!$W$6:$W$105,$L$1)))</f>
        <v>2100</v>
      </c>
      <c r="M57" s="0" t="n">
        <f aca="false">IF(L57&lt;&gt;0,MAX(M$39:M56)+1,"")</f>
        <v>3</v>
      </c>
    </row>
    <row r="58" customFormat="false" ht="15" hidden="false" customHeight="false" outlineLevel="0" collapsed="false">
      <c r="K58" s="48" t="s">
        <v>345</v>
      </c>
      <c r="L58" s="0" t="n">
        <f aca="false">IF($L$1="",0,N(INDEX(給与データ!$X$6:$X$105,$L$1)))</f>
        <v>0</v>
      </c>
      <c r="M58" s="0" t="str">
        <f aca="false">IF(L58&lt;&gt;0,MAX(M$39:M57)+1,"")</f>
        <v/>
      </c>
    </row>
  </sheetData>
  <mergeCells count="15">
    <mergeCell ref="B3:D3"/>
    <mergeCell ref="B4:D4"/>
    <mergeCell ref="F4:G4"/>
    <mergeCell ref="B5:D5"/>
    <mergeCell ref="B7:F7"/>
    <mergeCell ref="A14:A19"/>
    <mergeCell ref="A21:A26"/>
    <mergeCell ref="A28:I31"/>
    <mergeCell ref="A33:A38"/>
    <mergeCell ref="A40:E40"/>
    <mergeCell ref="A41:C41"/>
    <mergeCell ref="A42:C42"/>
    <mergeCell ref="A43:C43"/>
    <mergeCell ref="A44:C44"/>
    <mergeCell ref="A45:I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Z1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421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22"/>
    <col collapsed="false" customWidth="true" hidden="false" outlineLevel="0" max="5" min="4" style="0" width="11"/>
    <col collapsed="false" customWidth="true" hidden="false" outlineLevel="0" max="11" min="6" style="0" width="10"/>
    <col collapsed="false" customWidth="true" hidden="false" outlineLevel="0" max="12" min="12" style="0" width="11"/>
    <col collapsed="false" customWidth="true" hidden="false" outlineLevel="0" max="15" min="13" style="0" width="10"/>
    <col collapsed="false" customWidth="true" hidden="false" outlineLevel="0" max="16" min="16" style="0" width="11"/>
    <col collapsed="false" customWidth="true" hidden="false" outlineLevel="0" max="19" min="17" style="0" width="10"/>
    <col collapsed="false" customWidth="true" hidden="false" outlineLevel="0" max="20" min="20" style="0" width="11"/>
    <col collapsed="false" customWidth="true" hidden="false" outlineLevel="0" max="21" min="21" style="0" width="10"/>
    <col collapsed="false" customWidth="true" hidden="false" outlineLevel="0" max="22" min="22" style="0" width="9"/>
    <col collapsed="false" customWidth="true" hidden="false" outlineLevel="0" max="24" min="23" style="0" width="11"/>
    <col collapsed="false" customWidth="true" hidden="false" outlineLevel="0" max="25" min="25" style="0" width="13"/>
    <col collapsed="false" customWidth="true" hidden="false" outlineLevel="0" max="26" min="26" style="0" width="12"/>
    <col collapsed="false" customWidth="true" hidden="false" outlineLevel="0" max="27" min="27" style="0" width="9"/>
    <col collapsed="false" customWidth="true" hidden="false" outlineLevel="0" max="31" min="28" style="0" width="10"/>
    <col collapsed="false" customWidth="true" hidden="false" outlineLevel="0" max="32" min="32" style="0" width="11"/>
    <col collapsed="false" customWidth="true" hidden="false" outlineLevel="0" max="33" min="33" style="0" width="20"/>
    <col collapsed="false" customWidth="true" hidden="false" outlineLevel="0" max="35" min="34" style="0" width="10"/>
    <col collapsed="false" customWidth="true" hidden="false" outlineLevel="0" max="36" min="36" style="0" width="12"/>
    <col collapsed="false" customWidth="true" hidden="false" outlineLevel="0" max="37" min="37" style="0" width="11"/>
    <col collapsed="false" customWidth="true" hidden="false" outlineLevel="0" max="38" min="38" style="0" width="12"/>
    <col collapsed="false" customWidth="true" hidden="false" outlineLevel="0" max="40" min="39" style="0" width="10"/>
    <col collapsed="false" customWidth="true" hidden="false" outlineLevel="0" max="41" min="41" style="0" width="11"/>
    <col collapsed="false" customWidth="true" hidden="false" outlineLevel="0" max="43" min="42" style="0" width="10"/>
    <col collapsed="false" customWidth="true" hidden="false" outlineLevel="0" max="47" min="44" style="0" width="11"/>
    <col collapsed="false" customWidth="true" hidden="false" outlineLevel="0" max="48" min="48" style="0" width="10"/>
    <col collapsed="false" customWidth="true" hidden="false" outlineLevel="0" max="49" min="49" style="0" width="11"/>
    <col collapsed="false" customWidth="true" hidden="false" outlineLevel="0" max="50" min="50" style="0" width="13"/>
    <col collapsed="false" customWidth="true" hidden="false" outlineLevel="0" max="52" min="51" style="0" width="16"/>
  </cols>
  <sheetData>
    <row r="1" customFormat="false" ht="19.4" hidden="false" customHeight="false" outlineLevel="0" collapsed="false">
      <c r="A1" s="16" t="s">
        <v>346</v>
      </c>
    </row>
    <row r="2" customFormat="false" ht="17.35" hidden="false" customHeight="false" outlineLevel="0" collapsed="false">
      <c r="A2" s="37" t="s">
        <v>347</v>
      </c>
      <c r="B2" s="78" t="n">
        <v>0.08</v>
      </c>
      <c r="C2" s="5" t="s">
        <v>348</v>
      </c>
    </row>
    <row r="3" customFormat="false" ht="17.35" hidden="false" customHeight="false" outlineLevel="0" collapsed="false">
      <c r="A3" s="37" t="s">
        <v>349</v>
      </c>
      <c r="B3" s="26" t="s">
        <v>350</v>
      </c>
      <c r="C3" s="79" t="s">
        <v>351</v>
      </c>
    </row>
    <row r="4" customFormat="false" ht="17.35" hidden="false" customHeight="true" outlineLevel="0" collapsed="false">
      <c r="A4" s="17" t="s">
        <v>352</v>
      </c>
      <c r="B4" s="17"/>
      <c r="C4" s="17"/>
      <c r="D4" s="17"/>
      <c r="E4" s="18" t="s">
        <v>353</v>
      </c>
      <c r="F4" s="18"/>
      <c r="G4" s="18"/>
      <c r="H4" s="18"/>
      <c r="I4" s="18"/>
      <c r="J4" s="18"/>
      <c r="K4" s="18"/>
      <c r="L4" s="18"/>
      <c r="M4" s="18"/>
      <c r="N4" s="18"/>
      <c r="O4" s="18"/>
      <c r="P4" s="18"/>
      <c r="Q4" s="18"/>
      <c r="R4" s="18"/>
      <c r="S4" s="18"/>
      <c r="T4" s="18"/>
      <c r="U4" s="18"/>
      <c r="V4" s="18" t="s">
        <v>354</v>
      </c>
      <c r="W4" s="18"/>
      <c r="X4" s="18"/>
      <c r="Y4" s="18"/>
      <c r="Z4" s="18" t="s">
        <v>355</v>
      </c>
      <c r="AA4" s="18"/>
      <c r="AB4" s="18" t="s">
        <v>356</v>
      </c>
      <c r="AC4" s="18"/>
      <c r="AD4" s="18"/>
      <c r="AE4" s="18"/>
      <c r="AF4" s="18"/>
      <c r="AH4" s="20" t="s">
        <v>357</v>
      </c>
      <c r="AI4" s="20"/>
      <c r="AJ4" s="20"/>
      <c r="AK4" s="20"/>
      <c r="AL4" s="20"/>
      <c r="AM4" s="20"/>
      <c r="AN4" s="20"/>
      <c r="AO4" s="20"/>
      <c r="AP4" s="20"/>
      <c r="AQ4" s="20"/>
      <c r="AR4" s="20"/>
      <c r="AS4" s="20"/>
      <c r="AT4" s="20"/>
      <c r="AU4" s="20"/>
      <c r="AV4" s="20"/>
      <c r="AW4" s="20"/>
      <c r="AX4" s="80" t="s">
        <v>358</v>
      </c>
      <c r="AY4" s="80"/>
    </row>
    <row r="5" customFormat="false" ht="48" hidden="false" customHeight="true" outlineLevel="0" collapsed="false">
      <c r="A5" s="19" t="s">
        <v>359</v>
      </c>
      <c r="B5" s="19" t="s">
        <v>360</v>
      </c>
      <c r="C5" s="19" t="s">
        <v>361</v>
      </c>
      <c r="D5" s="19" t="s">
        <v>362</v>
      </c>
      <c r="E5" s="19" t="s">
        <v>311</v>
      </c>
      <c r="F5" s="19" t="s">
        <v>319</v>
      </c>
      <c r="G5" s="19" t="s">
        <v>322</v>
      </c>
      <c r="H5" s="19" t="s">
        <v>325</v>
      </c>
      <c r="I5" s="19" t="s">
        <v>328</v>
      </c>
      <c r="J5" s="19" t="s">
        <v>330</v>
      </c>
      <c r="K5" s="19" t="s">
        <v>363</v>
      </c>
      <c r="L5" s="19" t="s">
        <v>333</v>
      </c>
      <c r="M5" s="19" t="s">
        <v>335</v>
      </c>
      <c r="N5" s="19" t="s">
        <v>336</v>
      </c>
      <c r="O5" s="19" t="s">
        <v>337</v>
      </c>
      <c r="P5" s="19" t="s">
        <v>338</v>
      </c>
      <c r="Q5" s="19" t="s">
        <v>339</v>
      </c>
      <c r="R5" s="19" t="s">
        <v>340</v>
      </c>
      <c r="S5" s="19" t="s">
        <v>341</v>
      </c>
      <c r="T5" s="19" t="s">
        <v>342</v>
      </c>
      <c r="U5" s="19" t="s">
        <v>343</v>
      </c>
      <c r="V5" s="19" t="s">
        <v>364</v>
      </c>
      <c r="W5" s="19" t="s">
        <v>365</v>
      </c>
      <c r="X5" s="19" t="s">
        <v>366</v>
      </c>
      <c r="Y5" s="81" t="s">
        <v>367</v>
      </c>
      <c r="Z5" s="19" t="s">
        <v>368</v>
      </c>
      <c r="AA5" s="19" t="s">
        <v>369</v>
      </c>
      <c r="AB5" s="19" t="s">
        <v>312</v>
      </c>
      <c r="AC5" s="19" t="s">
        <v>316</v>
      </c>
      <c r="AD5" s="19" t="s">
        <v>334</v>
      </c>
      <c r="AE5" s="19" t="s">
        <v>313</v>
      </c>
      <c r="AF5" s="19" t="s">
        <v>317</v>
      </c>
      <c r="AG5" s="3" t="s">
        <v>110</v>
      </c>
      <c r="AH5" s="21" t="s">
        <v>315</v>
      </c>
      <c r="AI5" s="21" t="s">
        <v>370</v>
      </c>
      <c r="AJ5" s="21" t="s">
        <v>371</v>
      </c>
      <c r="AK5" s="21" t="s">
        <v>298</v>
      </c>
      <c r="AL5" s="21" t="s">
        <v>299</v>
      </c>
      <c r="AM5" s="21" t="s">
        <v>320</v>
      </c>
      <c r="AN5" s="21" t="s">
        <v>323</v>
      </c>
      <c r="AO5" s="21" t="s">
        <v>326</v>
      </c>
      <c r="AP5" s="21" t="s">
        <v>329</v>
      </c>
      <c r="AQ5" s="21" t="s">
        <v>331</v>
      </c>
      <c r="AR5" s="21" t="s">
        <v>300</v>
      </c>
      <c r="AS5" s="21" t="s">
        <v>296</v>
      </c>
      <c r="AT5" s="21" t="s">
        <v>372</v>
      </c>
      <c r="AU5" s="21" t="s">
        <v>301</v>
      </c>
      <c r="AV5" s="21" t="s">
        <v>373</v>
      </c>
      <c r="AW5" s="21" t="s">
        <v>290</v>
      </c>
      <c r="AX5" s="11" t="s">
        <v>374</v>
      </c>
      <c r="AY5" s="11" t="s">
        <v>324</v>
      </c>
      <c r="AZ5" s="21" t="s">
        <v>162</v>
      </c>
    </row>
    <row r="6" customFormat="false" ht="15" hidden="false" customHeight="false" outlineLevel="0" collapsed="false">
      <c r="A6" s="26" t="s">
        <v>282</v>
      </c>
      <c r="B6" s="82" t="s">
        <v>375</v>
      </c>
      <c r="C6" s="83" t="s">
        <v>376</v>
      </c>
      <c r="D6" s="65" t="n">
        <v>46296</v>
      </c>
      <c r="E6" s="27" t="n">
        <v>328900</v>
      </c>
      <c r="F6" s="27"/>
      <c r="G6" s="27"/>
      <c r="H6" s="27"/>
      <c r="I6" s="27"/>
      <c r="J6" s="27"/>
      <c r="K6" s="84"/>
      <c r="L6" s="27"/>
      <c r="M6" s="27"/>
      <c r="N6" s="27"/>
      <c r="O6" s="27"/>
      <c r="P6" s="27"/>
      <c r="Q6" s="27"/>
      <c r="R6" s="27"/>
      <c r="S6" s="27"/>
      <c r="T6" s="27"/>
      <c r="U6" s="27"/>
      <c r="V6" s="26" t="n">
        <v>1</v>
      </c>
      <c r="W6" s="27" t="n">
        <v>2100</v>
      </c>
      <c r="X6" s="27"/>
      <c r="Y6" s="27"/>
      <c r="Z6" s="27" t="n">
        <v>380000</v>
      </c>
      <c r="AA6" s="26" t="s">
        <v>377</v>
      </c>
      <c r="AB6" s="27" t="n">
        <v>7710</v>
      </c>
      <c r="AC6" s="27" t="n">
        <v>31400</v>
      </c>
      <c r="AD6" s="27" t="n">
        <v>1233</v>
      </c>
      <c r="AE6" s="27" t="n">
        <v>3200</v>
      </c>
      <c r="AF6" s="27" t="n">
        <v>33</v>
      </c>
      <c r="AG6" s="82" t="s">
        <v>378</v>
      </c>
      <c r="AH6" s="85" t="n">
        <f aca="false">IF(A6="","",ROUNDDOWN((N(E6)+N(F6)+N(I6)+N(J6))*IF(K6="",$B$2,K6),0))</f>
        <v>26312</v>
      </c>
      <c r="AI6" s="85" t="n">
        <f aca="false">IF(A6="","",N(W6)+N(X6))</f>
        <v>2100</v>
      </c>
      <c r="AJ6" s="85" t="n">
        <f aca="false">IF(A6="","",SUM(E6:U6)-N(K6)+AH6+AI6)</f>
        <v>357312</v>
      </c>
      <c r="AK6" s="85" t="n">
        <f aca="false">IF(A6="","",N(W6))</f>
        <v>2100</v>
      </c>
      <c r="AL6" s="85" t="n">
        <f aca="false">IF(A6="","",AJ6-AK6)</f>
        <v>355212</v>
      </c>
      <c r="AM6" s="85" t="n">
        <f aca="false">IF(A6="","",ROUNDDOWN(N(Z6)*設定!$B$13/1000,0))</f>
        <v>19706</v>
      </c>
      <c r="AN6" s="85" t="n">
        <f aca="false">IF(A6="","",ROUNDDOWN(N(Z6)*設定!$B$15/1000,0))</f>
        <v>437</v>
      </c>
      <c r="AO6" s="85" t="n">
        <f aca="false">IF(A6="","",ROUNDDOWN(N(Z6)*設定!$B$10/1000,0))</f>
        <v>34770</v>
      </c>
      <c r="AP6" s="85" t="n">
        <f aca="false">IF(A6="","",ROUNDDOWN(N(Z6)*設定!$B$11/1000,0))</f>
        <v>2850</v>
      </c>
      <c r="AQ6" s="85" t="n">
        <f aca="false">IF(A6="","",IF(AA6="Y",ROUNDDOWN(N(Z6)*設定!$B$14/1000,0),0))</f>
        <v>3002</v>
      </c>
      <c r="AR6" s="85" t="n">
        <f aca="false">IF(A6="","",SUM(AM6:AQ6))</f>
        <v>60765</v>
      </c>
      <c r="AS6" s="85" t="n">
        <f aca="false">IF(A6="","",N(AB6)+N(AC6)+AR6+N(AD6))</f>
        <v>101108</v>
      </c>
      <c r="AT6" s="85" t="n">
        <f aca="false">IF(A6="","",AJ6-AS6)</f>
        <v>256204</v>
      </c>
      <c r="AU6" s="85" t="n">
        <f aca="false">IF(A6="","",AL6-AR6)</f>
        <v>294447</v>
      </c>
      <c r="AV6" s="85" t="n">
        <f aca="false">IF(A6="","",N(AE6)+N(AF6))</f>
        <v>3233</v>
      </c>
      <c r="AW6" s="85" t="n">
        <f aca="false">IF(A6="","",AT6-AV6)</f>
        <v>252971</v>
      </c>
      <c r="AX6" s="86" t="n">
        <f aca="false">IF(A6="","",IF(N(V6)&lt;=1,AI6,IF(AI6&gt;0,ROUNDDOWN(AI6/N(V6),0),IF($B$3="Y",ROUNDDOWN(N(Y6)/N(V6),0),0))))</f>
        <v>2100</v>
      </c>
      <c r="AY6" s="87" t="n">
        <f aca="false">IF(A6="","",AJ6-AI6+AX6)</f>
        <v>357312</v>
      </c>
      <c r="AZ6" s="88" t="str">
        <f aca="false">IF(A6="","",A6&amp;"|"&amp;TEXT(D6,"yyyymm"))</f>
        <v>0000001|202610</v>
      </c>
    </row>
    <row r="7" customFormat="false" ht="15" hidden="false" customHeight="false" outlineLevel="0" collapsed="false">
      <c r="A7" s="26" t="s">
        <v>379</v>
      </c>
      <c r="B7" s="82" t="s">
        <v>380</v>
      </c>
      <c r="C7" s="83" t="s">
        <v>376</v>
      </c>
      <c r="D7" s="65" t="n">
        <v>46296</v>
      </c>
      <c r="E7" s="27" t="n">
        <v>250000</v>
      </c>
      <c r="F7" s="27"/>
      <c r="G7" s="27"/>
      <c r="H7" s="27"/>
      <c r="I7" s="27"/>
      <c r="J7" s="27"/>
      <c r="K7" s="84"/>
      <c r="L7" s="27"/>
      <c r="M7" s="27"/>
      <c r="N7" s="27"/>
      <c r="O7" s="27"/>
      <c r="P7" s="27"/>
      <c r="Q7" s="27"/>
      <c r="R7" s="27"/>
      <c r="S7" s="27"/>
      <c r="T7" s="27"/>
      <c r="U7" s="27"/>
      <c r="V7" s="26" t="n">
        <v>3</v>
      </c>
      <c r="W7" s="27" t="n">
        <v>30000</v>
      </c>
      <c r="X7" s="27"/>
      <c r="Y7" s="27" t="n">
        <v>30000</v>
      </c>
      <c r="Z7" s="27" t="n">
        <v>260000</v>
      </c>
      <c r="AA7" s="26" t="s">
        <v>350</v>
      </c>
      <c r="AB7" s="27" t="n">
        <v>4000</v>
      </c>
      <c r="AC7" s="27" t="n">
        <v>15000</v>
      </c>
      <c r="AD7" s="27" t="n">
        <v>1000</v>
      </c>
      <c r="AE7" s="27"/>
      <c r="AF7" s="27"/>
      <c r="AG7" s="82" t="s">
        <v>381</v>
      </c>
      <c r="AH7" s="85" t="n">
        <f aca="false">IF(A7="","",ROUNDDOWN((N(E7)+N(F7)+N(I7)+N(J7))*IF(K7="",$B$2,K7),0))</f>
        <v>20000</v>
      </c>
      <c r="AI7" s="85" t="n">
        <f aca="false">IF(A7="","",N(W7)+N(X7))</f>
        <v>30000</v>
      </c>
      <c r="AJ7" s="85" t="n">
        <f aca="false">IF(A7="","",SUM(E7:U7)-N(K7)+AH7+AI7)</f>
        <v>300000</v>
      </c>
      <c r="AK7" s="85" t="n">
        <f aca="false">IF(A7="","",N(W7))</f>
        <v>30000</v>
      </c>
      <c r="AL7" s="85" t="n">
        <f aca="false">IF(A7="","",AJ7-AK7)</f>
        <v>270000</v>
      </c>
      <c r="AM7" s="85" t="n">
        <f aca="false">IF(A7="","",ROUNDDOWN(N(Z7)*設定!$B$13/1000,0))</f>
        <v>13483</v>
      </c>
      <c r="AN7" s="85" t="n">
        <f aca="false">IF(A7="","",ROUNDDOWN(N(Z7)*設定!$B$15/1000,0))</f>
        <v>299</v>
      </c>
      <c r="AO7" s="85" t="n">
        <f aca="false">IF(A7="","",ROUNDDOWN(N(Z7)*設定!$B$10/1000,0))</f>
        <v>23790</v>
      </c>
      <c r="AP7" s="85" t="n">
        <f aca="false">IF(A7="","",ROUNDDOWN(N(Z7)*設定!$B$11/1000,0))</f>
        <v>1950</v>
      </c>
      <c r="AQ7" s="85" t="n">
        <f aca="false">IF(A7="","",IF(AA7="Y",ROUNDDOWN(N(Z7)*設定!$B$14/1000,0),0))</f>
        <v>0</v>
      </c>
      <c r="AR7" s="85" t="n">
        <f aca="false">IF(A7="","",SUM(AM7:AQ7))</f>
        <v>39522</v>
      </c>
      <c r="AS7" s="85" t="n">
        <f aca="false">IF(A7="","",N(AB7)+N(AC7)+AR7+N(AD7))</f>
        <v>59522</v>
      </c>
      <c r="AT7" s="85" t="n">
        <f aca="false">IF(A7="","",AJ7-AS7)</f>
        <v>240478</v>
      </c>
      <c r="AU7" s="85" t="n">
        <f aca="false">IF(A7="","",AL7-AR7)</f>
        <v>230478</v>
      </c>
      <c r="AV7" s="85" t="n">
        <f aca="false">IF(A7="","",N(AE7)+N(AF7))</f>
        <v>0</v>
      </c>
      <c r="AW7" s="85" t="n">
        <f aca="false">IF(A7="","",AT7-AV7)</f>
        <v>240478</v>
      </c>
      <c r="AX7" s="86" t="n">
        <f aca="false">IF(A7="","",IF(N(V7)&lt;=1,AI7,IF(AI7&gt;0,ROUNDDOWN(AI7/N(V7),0),IF($B$3="Y",ROUNDDOWN(N(Y7)/N(V7),0),0))))</f>
        <v>10000</v>
      </c>
      <c r="AY7" s="87" t="n">
        <f aca="false">IF(A7="","",AJ7-AI7+AX7)</f>
        <v>280000</v>
      </c>
      <c r="AZ7" s="88" t="str">
        <f aca="false">IF(A7="","",A7&amp;"|"&amp;TEXT(D7,"yyyymm"))</f>
        <v>0000002|202610</v>
      </c>
    </row>
    <row r="8" customFormat="false" ht="15" hidden="false" customHeight="false" outlineLevel="0" collapsed="false">
      <c r="A8" s="26" t="s">
        <v>379</v>
      </c>
      <c r="B8" s="82" t="s">
        <v>380</v>
      </c>
      <c r="C8" s="83" t="s">
        <v>376</v>
      </c>
      <c r="D8" s="65" t="n">
        <v>46327</v>
      </c>
      <c r="E8" s="27" t="n">
        <v>250000</v>
      </c>
      <c r="F8" s="27"/>
      <c r="G8" s="27"/>
      <c r="H8" s="27"/>
      <c r="I8" s="27"/>
      <c r="J8" s="27"/>
      <c r="K8" s="84"/>
      <c r="L8" s="27"/>
      <c r="M8" s="27"/>
      <c r="N8" s="27"/>
      <c r="O8" s="27"/>
      <c r="P8" s="27"/>
      <c r="Q8" s="27"/>
      <c r="R8" s="27"/>
      <c r="S8" s="27"/>
      <c r="T8" s="27"/>
      <c r="U8" s="27"/>
      <c r="V8" s="26" t="n">
        <v>3</v>
      </c>
      <c r="W8" s="27" t="n">
        <v>0</v>
      </c>
      <c r="X8" s="27"/>
      <c r="Y8" s="27" t="n">
        <v>30000</v>
      </c>
      <c r="Z8" s="27" t="n">
        <v>260000</v>
      </c>
      <c r="AA8" s="26" t="s">
        <v>350</v>
      </c>
      <c r="AB8" s="27" t="n">
        <v>4000</v>
      </c>
      <c r="AC8" s="27" t="n">
        <v>15000</v>
      </c>
      <c r="AD8" s="27" t="n">
        <v>1000</v>
      </c>
      <c r="AE8" s="27"/>
      <c r="AF8" s="27"/>
      <c r="AG8" s="82" t="s">
        <v>382</v>
      </c>
      <c r="AH8" s="85" t="n">
        <f aca="false">IF(A8="","",ROUNDDOWN((N(E8)+N(F8)+N(I8)+N(J8))*IF(K8="",$B$2,K8),0))</f>
        <v>20000</v>
      </c>
      <c r="AI8" s="85" t="n">
        <f aca="false">IF(A8="","",N(W8)+N(X8))</f>
        <v>0</v>
      </c>
      <c r="AJ8" s="85" t="n">
        <f aca="false">IF(A8="","",SUM(E8:U8)-N(K8)+AH8+AI8)</f>
        <v>270000</v>
      </c>
      <c r="AK8" s="85" t="n">
        <f aca="false">IF(A8="","",N(W8))</f>
        <v>0</v>
      </c>
      <c r="AL8" s="85" t="n">
        <f aca="false">IF(A8="","",AJ8-AK8)</f>
        <v>270000</v>
      </c>
      <c r="AM8" s="85" t="n">
        <f aca="false">IF(A8="","",ROUNDDOWN(N(Z8)*設定!$B$13/1000,0))</f>
        <v>13483</v>
      </c>
      <c r="AN8" s="85" t="n">
        <f aca="false">IF(A8="","",ROUNDDOWN(N(Z8)*設定!$B$15/1000,0))</f>
        <v>299</v>
      </c>
      <c r="AO8" s="85" t="n">
        <f aca="false">IF(A8="","",ROUNDDOWN(N(Z8)*設定!$B$10/1000,0))</f>
        <v>23790</v>
      </c>
      <c r="AP8" s="85" t="n">
        <f aca="false">IF(A8="","",ROUNDDOWN(N(Z8)*設定!$B$11/1000,0))</f>
        <v>1950</v>
      </c>
      <c r="AQ8" s="85" t="n">
        <f aca="false">IF(A8="","",IF(AA8="Y",ROUNDDOWN(N(Z8)*設定!$B$14/1000,0),0))</f>
        <v>0</v>
      </c>
      <c r="AR8" s="85" t="n">
        <f aca="false">IF(A8="","",SUM(AM8:AQ8))</f>
        <v>39522</v>
      </c>
      <c r="AS8" s="85" t="n">
        <f aca="false">IF(A8="","",N(AB8)+N(AC8)+AR8+N(AD8))</f>
        <v>59522</v>
      </c>
      <c r="AT8" s="85" t="n">
        <f aca="false">IF(A8="","",AJ8-AS8)</f>
        <v>210478</v>
      </c>
      <c r="AU8" s="85" t="n">
        <f aca="false">IF(A8="","",AL8-AR8)</f>
        <v>230478</v>
      </c>
      <c r="AV8" s="85" t="n">
        <f aca="false">IF(A8="","",N(AE8)+N(AF8))</f>
        <v>0</v>
      </c>
      <c r="AW8" s="85" t="n">
        <f aca="false">IF(A8="","",AT8-AV8)</f>
        <v>210478</v>
      </c>
      <c r="AX8" s="86" t="n">
        <f aca="false">IF(A8="","",IF(N(V8)&lt;=1,AI8,IF(AI8&gt;0,ROUNDDOWN(AI8/N(V8),0),IF($B$3="Y",ROUNDDOWN(N(Y8)/N(V8),0),0))))</f>
        <v>0</v>
      </c>
      <c r="AY8" s="87" t="n">
        <f aca="false">IF(A8="","",AJ8-AI8+AX8)</f>
        <v>270000</v>
      </c>
      <c r="AZ8" s="88" t="str">
        <f aca="false">IF(A8="","",A8&amp;"|"&amp;TEXT(D8,"yyyymm"))</f>
        <v>0000002|202611</v>
      </c>
    </row>
    <row r="9" customFormat="false" ht="15" hidden="false" customHeight="false" outlineLevel="0" collapsed="false">
      <c r="A9" s="26"/>
      <c r="B9" s="82"/>
      <c r="C9" s="82"/>
      <c r="D9" s="65"/>
      <c r="E9" s="27"/>
      <c r="F9" s="27"/>
      <c r="G9" s="27"/>
      <c r="H9" s="27"/>
      <c r="I9" s="27"/>
      <c r="J9" s="27"/>
      <c r="K9" s="84"/>
      <c r="L9" s="27"/>
      <c r="M9" s="27"/>
      <c r="N9" s="27"/>
      <c r="O9" s="27"/>
      <c r="P9" s="27"/>
      <c r="Q9" s="27"/>
      <c r="R9" s="27"/>
      <c r="S9" s="27"/>
      <c r="T9" s="27"/>
      <c r="U9" s="27"/>
      <c r="V9" s="26"/>
      <c r="W9" s="27"/>
      <c r="X9" s="27"/>
      <c r="Y9" s="27"/>
      <c r="Z9" s="27"/>
      <c r="AA9" s="26"/>
      <c r="AB9" s="27"/>
      <c r="AC9" s="27"/>
      <c r="AD9" s="27"/>
      <c r="AE9" s="27"/>
      <c r="AF9" s="27"/>
      <c r="AG9" s="82"/>
      <c r="AH9" s="85" t="str">
        <f aca="false">IF(A9="","",ROUNDDOWN((N(E9)+N(F9)+N(I9)+N(J9))*IF(K9="",$B$2,K9),0))</f>
        <v/>
      </c>
      <c r="AI9" s="85" t="str">
        <f aca="false">IF(A9="","",N(W9)+N(X9))</f>
        <v/>
      </c>
      <c r="AJ9" s="85" t="str">
        <f aca="false">IF(A9="","",SUM(E9:U9)-N(K9)+AH9+AI9)</f>
        <v/>
      </c>
      <c r="AK9" s="85" t="str">
        <f aca="false">IF(A9="","",N(W9))</f>
        <v/>
      </c>
      <c r="AL9" s="85" t="str">
        <f aca="false">IF(A9="","",AJ9-AK9)</f>
        <v/>
      </c>
      <c r="AM9" s="85" t="str">
        <f aca="false">IF(A9="","",ROUNDDOWN(N(Z9)*設定!$B$13/1000,0))</f>
        <v/>
      </c>
      <c r="AN9" s="85" t="str">
        <f aca="false">IF(A9="","",ROUNDDOWN(N(Z9)*設定!$B$15/1000,0))</f>
        <v/>
      </c>
      <c r="AO9" s="85" t="str">
        <f aca="false">IF(A9="","",ROUNDDOWN(N(Z9)*設定!$B$10/1000,0))</f>
        <v/>
      </c>
      <c r="AP9" s="85" t="str">
        <f aca="false">IF(A9="","",ROUNDDOWN(N(Z9)*設定!$B$11/1000,0))</f>
        <v/>
      </c>
      <c r="AQ9" s="85" t="str">
        <f aca="false">IF(A9="","",IF(AA9="Y",ROUNDDOWN(N(Z9)*設定!$B$14/1000,0),0))</f>
        <v/>
      </c>
      <c r="AR9" s="85" t="str">
        <f aca="false">IF(A9="","",SUM(AM9:AQ9))</f>
        <v/>
      </c>
      <c r="AS9" s="85" t="str">
        <f aca="false">IF(A9="","",N(AB9)+N(AC9)+AR9+N(AD9))</f>
        <v/>
      </c>
      <c r="AT9" s="85" t="str">
        <f aca="false">IF(A9="","",AJ9-AS9)</f>
        <v/>
      </c>
      <c r="AU9" s="85" t="str">
        <f aca="false">IF(A9="","",AL9-AR9)</f>
        <v/>
      </c>
      <c r="AV9" s="85" t="str">
        <f aca="false">IF(A9="","",N(AE9)+N(AF9))</f>
        <v/>
      </c>
      <c r="AW9" s="85" t="str">
        <f aca="false">IF(A9="","",AT9-AV9)</f>
        <v/>
      </c>
      <c r="AX9" s="86" t="str">
        <f aca="false">IF(A9="","",IF(N(V9)&lt;=1,AI9,IF(AI9&gt;0,ROUNDDOWN(AI9/N(V9),0),IF($B$3="Y",ROUNDDOWN(N(Y9)/N(V9),0),0))))</f>
        <v/>
      </c>
      <c r="AY9" s="87" t="str">
        <f aca="false">IF(A9="","",AJ9-AI9+AX9)</f>
        <v/>
      </c>
      <c r="AZ9" s="88" t="str">
        <f aca="false">IF(A9="","",A9&amp;"|"&amp;TEXT(D9,"yyyymm"))</f>
        <v/>
      </c>
    </row>
    <row r="10" customFormat="false" ht="15" hidden="false" customHeight="false" outlineLevel="0" collapsed="false">
      <c r="A10" s="26"/>
      <c r="B10" s="82"/>
      <c r="C10" s="82"/>
      <c r="D10" s="65"/>
      <c r="E10" s="27"/>
      <c r="F10" s="27"/>
      <c r="G10" s="27"/>
      <c r="H10" s="27"/>
      <c r="I10" s="27"/>
      <c r="J10" s="27"/>
      <c r="K10" s="84"/>
      <c r="L10" s="27"/>
      <c r="M10" s="27"/>
      <c r="N10" s="27"/>
      <c r="O10" s="27"/>
      <c r="P10" s="27"/>
      <c r="Q10" s="27"/>
      <c r="R10" s="27"/>
      <c r="S10" s="27"/>
      <c r="T10" s="27"/>
      <c r="U10" s="27"/>
      <c r="V10" s="26"/>
      <c r="W10" s="27"/>
      <c r="X10" s="27"/>
      <c r="Y10" s="27"/>
      <c r="Z10" s="27"/>
      <c r="AA10" s="26"/>
      <c r="AB10" s="27"/>
      <c r="AC10" s="27"/>
      <c r="AD10" s="27"/>
      <c r="AE10" s="27"/>
      <c r="AF10" s="27"/>
      <c r="AG10" s="82"/>
      <c r="AH10" s="85" t="str">
        <f aca="false">IF(A10="","",ROUNDDOWN((N(E10)+N(F10)+N(I10)+N(J10))*IF(K10="",$B$2,K10),0))</f>
        <v/>
      </c>
      <c r="AI10" s="85" t="str">
        <f aca="false">IF(A10="","",N(W10)+N(X10))</f>
        <v/>
      </c>
      <c r="AJ10" s="85" t="str">
        <f aca="false">IF(A10="","",SUM(E10:U10)-N(K10)+AH10+AI10)</f>
        <v/>
      </c>
      <c r="AK10" s="85" t="str">
        <f aca="false">IF(A10="","",N(W10))</f>
        <v/>
      </c>
      <c r="AL10" s="85" t="str">
        <f aca="false">IF(A10="","",AJ10-AK10)</f>
        <v/>
      </c>
      <c r="AM10" s="85" t="str">
        <f aca="false">IF(A10="","",ROUNDDOWN(N(Z10)*設定!$B$13/1000,0))</f>
        <v/>
      </c>
      <c r="AN10" s="85" t="str">
        <f aca="false">IF(A10="","",ROUNDDOWN(N(Z10)*設定!$B$15/1000,0))</f>
        <v/>
      </c>
      <c r="AO10" s="85" t="str">
        <f aca="false">IF(A10="","",ROUNDDOWN(N(Z10)*設定!$B$10/1000,0))</f>
        <v/>
      </c>
      <c r="AP10" s="85" t="str">
        <f aca="false">IF(A10="","",ROUNDDOWN(N(Z10)*設定!$B$11/1000,0))</f>
        <v/>
      </c>
      <c r="AQ10" s="85" t="str">
        <f aca="false">IF(A10="","",IF(AA10="Y",ROUNDDOWN(N(Z10)*設定!$B$14/1000,0),0))</f>
        <v/>
      </c>
      <c r="AR10" s="85" t="str">
        <f aca="false">IF(A10="","",SUM(AM10:AQ10))</f>
        <v/>
      </c>
      <c r="AS10" s="85" t="str">
        <f aca="false">IF(A10="","",N(AB10)+N(AC10)+AR10+N(AD10))</f>
        <v/>
      </c>
      <c r="AT10" s="85" t="str">
        <f aca="false">IF(A10="","",AJ10-AS10)</f>
        <v/>
      </c>
      <c r="AU10" s="85" t="str">
        <f aca="false">IF(A10="","",AL10-AR10)</f>
        <v/>
      </c>
      <c r="AV10" s="85" t="str">
        <f aca="false">IF(A10="","",N(AE10)+N(AF10))</f>
        <v/>
      </c>
      <c r="AW10" s="85" t="str">
        <f aca="false">IF(A10="","",AT10-AV10)</f>
        <v/>
      </c>
      <c r="AX10" s="86" t="str">
        <f aca="false">IF(A10="","",IF(N(V10)&lt;=1,AI10,IF(AI10&gt;0,ROUNDDOWN(AI10/N(V10),0),IF($B$3="Y",ROUNDDOWN(N(Y10)/N(V10),0),0))))</f>
        <v/>
      </c>
      <c r="AY10" s="87" t="str">
        <f aca="false">IF(A10="","",AJ10-AI10+AX10)</f>
        <v/>
      </c>
      <c r="AZ10" s="88" t="str">
        <f aca="false">IF(A10="","",A10&amp;"|"&amp;TEXT(D10,"yyyymm"))</f>
        <v/>
      </c>
    </row>
    <row r="11" customFormat="false" ht="15" hidden="false" customHeight="false" outlineLevel="0" collapsed="false">
      <c r="A11" s="26"/>
      <c r="B11" s="82"/>
      <c r="C11" s="82"/>
      <c r="D11" s="65"/>
      <c r="E11" s="27"/>
      <c r="F11" s="27"/>
      <c r="G11" s="27"/>
      <c r="H11" s="27"/>
      <c r="I11" s="27"/>
      <c r="J11" s="27"/>
      <c r="K11" s="84"/>
      <c r="L11" s="27"/>
      <c r="M11" s="27"/>
      <c r="N11" s="27"/>
      <c r="O11" s="27"/>
      <c r="P11" s="27"/>
      <c r="Q11" s="27"/>
      <c r="R11" s="27"/>
      <c r="S11" s="27"/>
      <c r="T11" s="27"/>
      <c r="U11" s="27"/>
      <c r="V11" s="26"/>
      <c r="W11" s="27"/>
      <c r="X11" s="27"/>
      <c r="Y11" s="27"/>
      <c r="Z11" s="27"/>
      <c r="AA11" s="26"/>
      <c r="AB11" s="27"/>
      <c r="AC11" s="27"/>
      <c r="AD11" s="27"/>
      <c r="AE11" s="27"/>
      <c r="AF11" s="27"/>
      <c r="AG11" s="82"/>
      <c r="AH11" s="85" t="str">
        <f aca="false">IF(A11="","",ROUNDDOWN((N(E11)+N(F11)+N(I11)+N(J11))*IF(K11="",$B$2,K11),0))</f>
        <v/>
      </c>
      <c r="AI11" s="85" t="str">
        <f aca="false">IF(A11="","",N(W11)+N(X11))</f>
        <v/>
      </c>
      <c r="AJ11" s="85" t="str">
        <f aca="false">IF(A11="","",SUM(E11:U11)-N(K11)+AH11+AI11)</f>
        <v/>
      </c>
      <c r="AK11" s="85" t="str">
        <f aca="false">IF(A11="","",N(W11))</f>
        <v/>
      </c>
      <c r="AL11" s="85" t="str">
        <f aca="false">IF(A11="","",AJ11-AK11)</f>
        <v/>
      </c>
      <c r="AM11" s="85" t="str">
        <f aca="false">IF(A11="","",ROUNDDOWN(N(Z11)*設定!$B$13/1000,0))</f>
        <v/>
      </c>
      <c r="AN11" s="85" t="str">
        <f aca="false">IF(A11="","",ROUNDDOWN(N(Z11)*設定!$B$15/1000,0))</f>
        <v/>
      </c>
      <c r="AO11" s="85" t="str">
        <f aca="false">IF(A11="","",ROUNDDOWN(N(Z11)*設定!$B$10/1000,0))</f>
        <v/>
      </c>
      <c r="AP11" s="85" t="str">
        <f aca="false">IF(A11="","",ROUNDDOWN(N(Z11)*設定!$B$11/1000,0))</f>
        <v/>
      </c>
      <c r="AQ11" s="85" t="str">
        <f aca="false">IF(A11="","",IF(AA11="Y",ROUNDDOWN(N(Z11)*設定!$B$14/1000,0),0))</f>
        <v/>
      </c>
      <c r="AR11" s="85" t="str">
        <f aca="false">IF(A11="","",SUM(AM11:AQ11))</f>
        <v/>
      </c>
      <c r="AS11" s="85" t="str">
        <f aca="false">IF(A11="","",N(AB11)+N(AC11)+AR11+N(AD11))</f>
        <v/>
      </c>
      <c r="AT11" s="85" t="str">
        <f aca="false">IF(A11="","",AJ11-AS11)</f>
        <v/>
      </c>
      <c r="AU11" s="85" t="str">
        <f aca="false">IF(A11="","",AL11-AR11)</f>
        <v/>
      </c>
      <c r="AV11" s="85" t="str">
        <f aca="false">IF(A11="","",N(AE11)+N(AF11))</f>
        <v/>
      </c>
      <c r="AW11" s="85" t="str">
        <f aca="false">IF(A11="","",AT11-AV11)</f>
        <v/>
      </c>
      <c r="AX11" s="86" t="str">
        <f aca="false">IF(A11="","",IF(N(V11)&lt;=1,AI11,IF(AI11&gt;0,ROUNDDOWN(AI11/N(V11),0),IF($B$3="Y",ROUNDDOWN(N(Y11)/N(V11),0),0))))</f>
        <v/>
      </c>
      <c r="AY11" s="87" t="str">
        <f aca="false">IF(A11="","",AJ11-AI11+AX11)</f>
        <v/>
      </c>
      <c r="AZ11" s="88" t="str">
        <f aca="false">IF(A11="","",A11&amp;"|"&amp;TEXT(D11,"yyyymm"))</f>
        <v/>
      </c>
    </row>
    <row r="12" customFormat="false" ht="15" hidden="false" customHeight="false" outlineLevel="0" collapsed="false">
      <c r="A12" s="26"/>
      <c r="B12" s="82"/>
      <c r="C12" s="82"/>
      <c r="D12" s="65"/>
      <c r="E12" s="27"/>
      <c r="F12" s="27"/>
      <c r="G12" s="27"/>
      <c r="H12" s="27"/>
      <c r="I12" s="27"/>
      <c r="J12" s="27"/>
      <c r="K12" s="84"/>
      <c r="L12" s="27"/>
      <c r="M12" s="27"/>
      <c r="N12" s="27"/>
      <c r="O12" s="27"/>
      <c r="P12" s="27"/>
      <c r="Q12" s="27"/>
      <c r="R12" s="27"/>
      <c r="S12" s="27"/>
      <c r="T12" s="27"/>
      <c r="U12" s="27"/>
      <c r="V12" s="26"/>
      <c r="W12" s="27"/>
      <c r="X12" s="27"/>
      <c r="Y12" s="27"/>
      <c r="Z12" s="27"/>
      <c r="AA12" s="26"/>
      <c r="AB12" s="27"/>
      <c r="AC12" s="27"/>
      <c r="AD12" s="27"/>
      <c r="AE12" s="27"/>
      <c r="AF12" s="27"/>
      <c r="AG12" s="82"/>
      <c r="AH12" s="85" t="str">
        <f aca="false">IF(A12="","",ROUNDDOWN((N(E12)+N(F12)+N(I12)+N(J12))*IF(K12="",$B$2,K12),0))</f>
        <v/>
      </c>
      <c r="AI12" s="85" t="str">
        <f aca="false">IF(A12="","",N(W12)+N(X12))</f>
        <v/>
      </c>
      <c r="AJ12" s="85" t="str">
        <f aca="false">IF(A12="","",SUM(E12:U12)-N(K12)+AH12+AI12)</f>
        <v/>
      </c>
      <c r="AK12" s="85" t="str">
        <f aca="false">IF(A12="","",N(W12))</f>
        <v/>
      </c>
      <c r="AL12" s="85" t="str">
        <f aca="false">IF(A12="","",AJ12-AK12)</f>
        <v/>
      </c>
      <c r="AM12" s="85" t="str">
        <f aca="false">IF(A12="","",ROUNDDOWN(N(Z12)*設定!$B$13/1000,0))</f>
        <v/>
      </c>
      <c r="AN12" s="85" t="str">
        <f aca="false">IF(A12="","",ROUNDDOWN(N(Z12)*設定!$B$15/1000,0))</f>
        <v/>
      </c>
      <c r="AO12" s="85" t="str">
        <f aca="false">IF(A12="","",ROUNDDOWN(N(Z12)*設定!$B$10/1000,0))</f>
        <v/>
      </c>
      <c r="AP12" s="85" t="str">
        <f aca="false">IF(A12="","",ROUNDDOWN(N(Z12)*設定!$B$11/1000,0))</f>
        <v/>
      </c>
      <c r="AQ12" s="85" t="str">
        <f aca="false">IF(A12="","",IF(AA12="Y",ROUNDDOWN(N(Z12)*設定!$B$14/1000,0),0))</f>
        <v/>
      </c>
      <c r="AR12" s="85" t="str">
        <f aca="false">IF(A12="","",SUM(AM12:AQ12))</f>
        <v/>
      </c>
      <c r="AS12" s="85" t="str">
        <f aca="false">IF(A12="","",N(AB12)+N(AC12)+AR12+N(AD12))</f>
        <v/>
      </c>
      <c r="AT12" s="85" t="str">
        <f aca="false">IF(A12="","",AJ12-AS12)</f>
        <v/>
      </c>
      <c r="AU12" s="85" t="str">
        <f aca="false">IF(A12="","",AL12-AR12)</f>
        <v/>
      </c>
      <c r="AV12" s="85" t="str">
        <f aca="false">IF(A12="","",N(AE12)+N(AF12))</f>
        <v/>
      </c>
      <c r="AW12" s="85" t="str">
        <f aca="false">IF(A12="","",AT12-AV12)</f>
        <v/>
      </c>
      <c r="AX12" s="86" t="str">
        <f aca="false">IF(A12="","",IF(N(V12)&lt;=1,AI12,IF(AI12&gt;0,ROUNDDOWN(AI12/N(V12),0),IF($B$3="Y",ROUNDDOWN(N(Y12)/N(V12),0),0))))</f>
        <v/>
      </c>
      <c r="AY12" s="87" t="str">
        <f aca="false">IF(A12="","",AJ12-AI12+AX12)</f>
        <v/>
      </c>
      <c r="AZ12" s="88" t="str">
        <f aca="false">IF(A12="","",A12&amp;"|"&amp;TEXT(D12,"yyyymm"))</f>
        <v/>
      </c>
    </row>
    <row r="13" customFormat="false" ht="15" hidden="false" customHeight="false" outlineLevel="0" collapsed="false">
      <c r="A13" s="26"/>
      <c r="B13" s="82"/>
      <c r="C13" s="82"/>
      <c r="D13" s="65"/>
      <c r="E13" s="27"/>
      <c r="F13" s="27"/>
      <c r="G13" s="27"/>
      <c r="H13" s="27"/>
      <c r="I13" s="27"/>
      <c r="J13" s="27"/>
      <c r="K13" s="84"/>
      <c r="L13" s="27"/>
      <c r="M13" s="27"/>
      <c r="N13" s="27"/>
      <c r="O13" s="27"/>
      <c r="P13" s="27"/>
      <c r="Q13" s="27"/>
      <c r="R13" s="27"/>
      <c r="S13" s="27"/>
      <c r="T13" s="27"/>
      <c r="U13" s="27"/>
      <c r="V13" s="26"/>
      <c r="W13" s="27"/>
      <c r="X13" s="27"/>
      <c r="Y13" s="27"/>
      <c r="Z13" s="27"/>
      <c r="AA13" s="26"/>
      <c r="AB13" s="27"/>
      <c r="AC13" s="27"/>
      <c r="AD13" s="27"/>
      <c r="AE13" s="27"/>
      <c r="AF13" s="27"/>
      <c r="AG13" s="82"/>
      <c r="AH13" s="85" t="str">
        <f aca="false">IF(A13="","",ROUNDDOWN((N(E13)+N(F13)+N(I13)+N(J13))*IF(K13="",$B$2,K13),0))</f>
        <v/>
      </c>
      <c r="AI13" s="85" t="str">
        <f aca="false">IF(A13="","",N(W13)+N(X13))</f>
        <v/>
      </c>
      <c r="AJ13" s="85" t="str">
        <f aca="false">IF(A13="","",SUM(E13:U13)-N(K13)+AH13+AI13)</f>
        <v/>
      </c>
      <c r="AK13" s="85" t="str">
        <f aca="false">IF(A13="","",N(W13))</f>
        <v/>
      </c>
      <c r="AL13" s="85" t="str">
        <f aca="false">IF(A13="","",AJ13-AK13)</f>
        <v/>
      </c>
      <c r="AM13" s="85" t="str">
        <f aca="false">IF(A13="","",ROUNDDOWN(N(Z13)*設定!$B$13/1000,0))</f>
        <v/>
      </c>
      <c r="AN13" s="85" t="str">
        <f aca="false">IF(A13="","",ROUNDDOWN(N(Z13)*設定!$B$15/1000,0))</f>
        <v/>
      </c>
      <c r="AO13" s="85" t="str">
        <f aca="false">IF(A13="","",ROUNDDOWN(N(Z13)*設定!$B$10/1000,0))</f>
        <v/>
      </c>
      <c r="AP13" s="85" t="str">
        <f aca="false">IF(A13="","",ROUNDDOWN(N(Z13)*設定!$B$11/1000,0))</f>
        <v/>
      </c>
      <c r="AQ13" s="85" t="str">
        <f aca="false">IF(A13="","",IF(AA13="Y",ROUNDDOWN(N(Z13)*設定!$B$14/1000,0),0))</f>
        <v/>
      </c>
      <c r="AR13" s="85" t="str">
        <f aca="false">IF(A13="","",SUM(AM13:AQ13))</f>
        <v/>
      </c>
      <c r="AS13" s="85" t="str">
        <f aca="false">IF(A13="","",N(AB13)+N(AC13)+AR13+N(AD13))</f>
        <v/>
      </c>
      <c r="AT13" s="85" t="str">
        <f aca="false">IF(A13="","",AJ13-AS13)</f>
        <v/>
      </c>
      <c r="AU13" s="85" t="str">
        <f aca="false">IF(A13="","",AL13-AR13)</f>
        <v/>
      </c>
      <c r="AV13" s="85" t="str">
        <f aca="false">IF(A13="","",N(AE13)+N(AF13))</f>
        <v/>
      </c>
      <c r="AW13" s="85" t="str">
        <f aca="false">IF(A13="","",AT13-AV13)</f>
        <v/>
      </c>
      <c r="AX13" s="86" t="str">
        <f aca="false">IF(A13="","",IF(N(V13)&lt;=1,AI13,IF(AI13&gt;0,ROUNDDOWN(AI13/N(V13),0),IF($B$3="Y",ROUNDDOWN(N(Y13)/N(V13),0),0))))</f>
        <v/>
      </c>
      <c r="AY13" s="87" t="str">
        <f aca="false">IF(A13="","",AJ13-AI13+AX13)</f>
        <v/>
      </c>
      <c r="AZ13" s="88" t="str">
        <f aca="false">IF(A13="","",A13&amp;"|"&amp;TEXT(D13,"yyyymm"))</f>
        <v/>
      </c>
    </row>
    <row r="14" customFormat="false" ht="15" hidden="false" customHeight="false" outlineLevel="0" collapsed="false">
      <c r="A14" s="26"/>
      <c r="B14" s="82"/>
      <c r="C14" s="82"/>
      <c r="D14" s="65"/>
      <c r="E14" s="27"/>
      <c r="F14" s="27"/>
      <c r="G14" s="27"/>
      <c r="H14" s="27"/>
      <c r="I14" s="27"/>
      <c r="J14" s="27"/>
      <c r="K14" s="84"/>
      <c r="L14" s="27"/>
      <c r="M14" s="27"/>
      <c r="N14" s="27"/>
      <c r="O14" s="27"/>
      <c r="P14" s="27"/>
      <c r="Q14" s="27"/>
      <c r="R14" s="27"/>
      <c r="S14" s="27"/>
      <c r="T14" s="27"/>
      <c r="U14" s="27"/>
      <c r="V14" s="26"/>
      <c r="W14" s="27"/>
      <c r="X14" s="27"/>
      <c r="Y14" s="27"/>
      <c r="Z14" s="27"/>
      <c r="AA14" s="26"/>
      <c r="AB14" s="27"/>
      <c r="AC14" s="27"/>
      <c r="AD14" s="27"/>
      <c r="AE14" s="27"/>
      <c r="AF14" s="27"/>
      <c r="AG14" s="82"/>
      <c r="AH14" s="85" t="str">
        <f aca="false">IF(A14="","",ROUNDDOWN((N(E14)+N(F14)+N(I14)+N(J14))*IF(K14="",$B$2,K14),0))</f>
        <v/>
      </c>
      <c r="AI14" s="85" t="str">
        <f aca="false">IF(A14="","",N(W14)+N(X14))</f>
        <v/>
      </c>
      <c r="AJ14" s="85" t="str">
        <f aca="false">IF(A14="","",SUM(E14:U14)-N(K14)+AH14+AI14)</f>
        <v/>
      </c>
      <c r="AK14" s="85" t="str">
        <f aca="false">IF(A14="","",N(W14))</f>
        <v/>
      </c>
      <c r="AL14" s="85" t="str">
        <f aca="false">IF(A14="","",AJ14-AK14)</f>
        <v/>
      </c>
      <c r="AM14" s="85" t="str">
        <f aca="false">IF(A14="","",ROUNDDOWN(N(Z14)*設定!$B$13/1000,0))</f>
        <v/>
      </c>
      <c r="AN14" s="85" t="str">
        <f aca="false">IF(A14="","",ROUNDDOWN(N(Z14)*設定!$B$15/1000,0))</f>
        <v/>
      </c>
      <c r="AO14" s="85" t="str">
        <f aca="false">IF(A14="","",ROUNDDOWN(N(Z14)*設定!$B$10/1000,0))</f>
        <v/>
      </c>
      <c r="AP14" s="85" t="str">
        <f aca="false">IF(A14="","",ROUNDDOWN(N(Z14)*設定!$B$11/1000,0))</f>
        <v/>
      </c>
      <c r="AQ14" s="85" t="str">
        <f aca="false">IF(A14="","",IF(AA14="Y",ROUNDDOWN(N(Z14)*設定!$B$14/1000,0),0))</f>
        <v/>
      </c>
      <c r="AR14" s="85" t="str">
        <f aca="false">IF(A14="","",SUM(AM14:AQ14))</f>
        <v/>
      </c>
      <c r="AS14" s="85" t="str">
        <f aca="false">IF(A14="","",N(AB14)+N(AC14)+AR14+N(AD14))</f>
        <v/>
      </c>
      <c r="AT14" s="85" t="str">
        <f aca="false">IF(A14="","",AJ14-AS14)</f>
        <v/>
      </c>
      <c r="AU14" s="85" t="str">
        <f aca="false">IF(A14="","",AL14-AR14)</f>
        <v/>
      </c>
      <c r="AV14" s="85" t="str">
        <f aca="false">IF(A14="","",N(AE14)+N(AF14))</f>
        <v/>
      </c>
      <c r="AW14" s="85" t="str">
        <f aca="false">IF(A14="","",AT14-AV14)</f>
        <v/>
      </c>
      <c r="AX14" s="86" t="str">
        <f aca="false">IF(A14="","",IF(N(V14)&lt;=1,AI14,IF(AI14&gt;0,ROUNDDOWN(AI14/N(V14),0),IF($B$3="Y",ROUNDDOWN(N(Y14)/N(V14),0),0))))</f>
        <v/>
      </c>
      <c r="AY14" s="87" t="str">
        <f aca="false">IF(A14="","",AJ14-AI14+AX14)</f>
        <v/>
      </c>
      <c r="AZ14" s="88" t="str">
        <f aca="false">IF(A14="","",A14&amp;"|"&amp;TEXT(D14,"yyyymm"))</f>
        <v/>
      </c>
    </row>
    <row r="15" customFormat="false" ht="15" hidden="false" customHeight="false" outlineLevel="0" collapsed="false">
      <c r="A15" s="26"/>
      <c r="B15" s="82"/>
      <c r="C15" s="82"/>
      <c r="D15" s="65"/>
      <c r="E15" s="27"/>
      <c r="F15" s="27"/>
      <c r="G15" s="27"/>
      <c r="H15" s="27"/>
      <c r="I15" s="27"/>
      <c r="J15" s="27"/>
      <c r="K15" s="84"/>
      <c r="L15" s="27"/>
      <c r="M15" s="27"/>
      <c r="N15" s="27"/>
      <c r="O15" s="27"/>
      <c r="P15" s="27"/>
      <c r="Q15" s="27"/>
      <c r="R15" s="27"/>
      <c r="S15" s="27"/>
      <c r="T15" s="27"/>
      <c r="U15" s="27"/>
      <c r="V15" s="26"/>
      <c r="W15" s="27"/>
      <c r="X15" s="27"/>
      <c r="Y15" s="27"/>
      <c r="Z15" s="27"/>
      <c r="AA15" s="26"/>
      <c r="AB15" s="27"/>
      <c r="AC15" s="27"/>
      <c r="AD15" s="27"/>
      <c r="AE15" s="27"/>
      <c r="AF15" s="27"/>
      <c r="AG15" s="82"/>
      <c r="AH15" s="85" t="str">
        <f aca="false">IF(A15="","",ROUNDDOWN((N(E15)+N(F15)+N(I15)+N(J15))*IF(K15="",$B$2,K15),0))</f>
        <v/>
      </c>
      <c r="AI15" s="85" t="str">
        <f aca="false">IF(A15="","",N(W15)+N(X15))</f>
        <v/>
      </c>
      <c r="AJ15" s="85" t="str">
        <f aca="false">IF(A15="","",SUM(E15:U15)-N(K15)+AH15+AI15)</f>
        <v/>
      </c>
      <c r="AK15" s="85" t="str">
        <f aca="false">IF(A15="","",N(W15))</f>
        <v/>
      </c>
      <c r="AL15" s="85" t="str">
        <f aca="false">IF(A15="","",AJ15-AK15)</f>
        <v/>
      </c>
      <c r="AM15" s="85" t="str">
        <f aca="false">IF(A15="","",ROUNDDOWN(N(Z15)*設定!$B$13/1000,0))</f>
        <v/>
      </c>
      <c r="AN15" s="85" t="str">
        <f aca="false">IF(A15="","",ROUNDDOWN(N(Z15)*設定!$B$15/1000,0))</f>
        <v/>
      </c>
      <c r="AO15" s="85" t="str">
        <f aca="false">IF(A15="","",ROUNDDOWN(N(Z15)*設定!$B$10/1000,0))</f>
        <v/>
      </c>
      <c r="AP15" s="85" t="str">
        <f aca="false">IF(A15="","",ROUNDDOWN(N(Z15)*設定!$B$11/1000,0))</f>
        <v/>
      </c>
      <c r="AQ15" s="85" t="str">
        <f aca="false">IF(A15="","",IF(AA15="Y",ROUNDDOWN(N(Z15)*設定!$B$14/1000,0),0))</f>
        <v/>
      </c>
      <c r="AR15" s="85" t="str">
        <f aca="false">IF(A15="","",SUM(AM15:AQ15))</f>
        <v/>
      </c>
      <c r="AS15" s="85" t="str">
        <f aca="false">IF(A15="","",N(AB15)+N(AC15)+AR15+N(AD15))</f>
        <v/>
      </c>
      <c r="AT15" s="85" t="str">
        <f aca="false">IF(A15="","",AJ15-AS15)</f>
        <v/>
      </c>
      <c r="AU15" s="85" t="str">
        <f aca="false">IF(A15="","",AL15-AR15)</f>
        <v/>
      </c>
      <c r="AV15" s="85" t="str">
        <f aca="false">IF(A15="","",N(AE15)+N(AF15))</f>
        <v/>
      </c>
      <c r="AW15" s="85" t="str">
        <f aca="false">IF(A15="","",AT15-AV15)</f>
        <v/>
      </c>
      <c r="AX15" s="86" t="str">
        <f aca="false">IF(A15="","",IF(N(V15)&lt;=1,AI15,IF(AI15&gt;0,ROUNDDOWN(AI15/N(V15),0),IF($B$3="Y",ROUNDDOWN(N(Y15)/N(V15),0),0))))</f>
        <v/>
      </c>
      <c r="AY15" s="87" t="str">
        <f aca="false">IF(A15="","",AJ15-AI15+AX15)</f>
        <v/>
      </c>
      <c r="AZ15" s="88" t="str">
        <f aca="false">IF(A15="","",A15&amp;"|"&amp;TEXT(D15,"yyyymm"))</f>
        <v/>
      </c>
    </row>
    <row r="16" customFormat="false" ht="15" hidden="false" customHeight="false" outlineLevel="0" collapsed="false">
      <c r="A16" s="26"/>
      <c r="B16" s="82"/>
      <c r="C16" s="82"/>
      <c r="D16" s="65"/>
      <c r="E16" s="27"/>
      <c r="F16" s="27"/>
      <c r="G16" s="27"/>
      <c r="H16" s="27"/>
      <c r="I16" s="27"/>
      <c r="J16" s="27"/>
      <c r="K16" s="84"/>
      <c r="L16" s="27"/>
      <c r="M16" s="27"/>
      <c r="N16" s="27"/>
      <c r="O16" s="27"/>
      <c r="P16" s="27"/>
      <c r="Q16" s="27"/>
      <c r="R16" s="27"/>
      <c r="S16" s="27"/>
      <c r="T16" s="27"/>
      <c r="U16" s="27"/>
      <c r="V16" s="26"/>
      <c r="W16" s="27"/>
      <c r="X16" s="27"/>
      <c r="Y16" s="27"/>
      <c r="Z16" s="27"/>
      <c r="AA16" s="26"/>
      <c r="AB16" s="27"/>
      <c r="AC16" s="27"/>
      <c r="AD16" s="27"/>
      <c r="AE16" s="27"/>
      <c r="AF16" s="27"/>
      <c r="AG16" s="82"/>
      <c r="AH16" s="85" t="str">
        <f aca="false">IF(A16="","",ROUNDDOWN((N(E16)+N(F16)+N(I16)+N(J16))*IF(K16="",$B$2,K16),0))</f>
        <v/>
      </c>
      <c r="AI16" s="85" t="str">
        <f aca="false">IF(A16="","",N(W16)+N(X16))</f>
        <v/>
      </c>
      <c r="AJ16" s="85" t="str">
        <f aca="false">IF(A16="","",SUM(E16:U16)-N(K16)+AH16+AI16)</f>
        <v/>
      </c>
      <c r="AK16" s="85" t="str">
        <f aca="false">IF(A16="","",N(W16))</f>
        <v/>
      </c>
      <c r="AL16" s="85" t="str">
        <f aca="false">IF(A16="","",AJ16-AK16)</f>
        <v/>
      </c>
      <c r="AM16" s="85" t="str">
        <f aca="false">IF(A16="","",ROUNDDOWN(N(Z16)*設定!$B$13/1000,0))</f>
        <v/>
      </c>
      <c r="AN16" s="85" t="str">
        <f aca="false">IF(A16="","",ROUNDDOWN(N(Z16)*設定!$B$15/1000,0))</f>
        <v/>
      </c>
      <c r="AO16" s="85" t="str">
        <f aca="false">IF(A16="","",ROUNDDOWN(N(Z16)*設定!$B$10/1000,0))</f>
        <v/>
      </c>
      <c r="AP16" s="85" t="str">
        <f aca="false">IF(A16="","",ROUNDDOWN(N(Z16)*設定!$B$11/1000,0))</f>
        <v/>
      </c>
      <c r="AQ16" s="85" t="str">
        <f aca="false">IF(A16="","",IF(AA16="Y",ROUNDDOWN(N(Z16)*設定!$B$14/1000,0),0))</f>
        <v/>
      </c>
      <c r="AR16" s="85" t="str">
        <f aca="false">IF(A16="","",SUM(AM16:AQ16))</f>
        <v/>
      </c>
      <c r="AS16" s="85" t="str">
        <f aca="false">IF(A16="","",N(AB16)+N(AC16)+AR16+N(AD16))</f>
        <v/>
      </c>
      <c r="AT16" s="85" t="str">
        <f aca="false">IF(A16="","",AJ16-AS16)</f>
        <v/>
      </c>
      <c r="AU16" s="85" t="str">
        <f aca="false">IF(A16="","",AL16-AR16)</f>
        <v/>
      </c>
      <c r="AV16" s="85" t="str">
        <f aca="false">IF(A16="","",N(AE16)+N(AF16))</f>
        <v/>
      </c>
      <c r="AW16" s="85" t="str">
        <f aca="false">IF(A16="","",AT16-AV16)</f>
        <v/>
      </c>
      <c r="AX16" s="86" t="str">
        <f aca="false">IF(A16="","",IF(N(V16)&lt;=1,AI16,IF(AI16&gt;0,ROUNDDOWN(AI16/N(V16),0),IF($B$3="Y",ROUNDDOWN(N(Y16)/N(V16),0),0))))</f>
        <v/>
      </c>
      <c r="AY16" s="87" t="str">
        <f aca="false">IF(A16="","",AJ16-AI16+AX16)</f>
        <v/>
      </c>
      <c r="AZ16" s="88" t="str">
        <f aca="false">IF(A16="","",A16&amp;"|"&amp;TEXT(D16,"yyyymm"))</f>
        <v/>
      </c>
    </row>
    <row r="17" customFormat="false" ht="15" hidden="false" customHeight="false" outlineLevel="0" collapsed="false">
      <c r="A17" s="26"/>
      <c r="B17" s="82"/>
      <c r="C17" s="82"/>
      <c r="D17" s="65"/>
      <c r="E17" s="27"/>
      <c r="F17" s="27"/>
      <c r="G17" s="27"/>
      <c r="H17" s="27"/>
      <c r="I17" s="27"/>
      <c r="J17" s="27"/>
      <c r="K17" s="84"/>
      <c r="L17" s="27"/>
      <c r="M17" s="27"/>
      <c r="N17" s="27"/>
      <c r="O17" s="27"/>
      <c r="P17" s="27"/>
      <c r="Q17" s="27"/>
      <c r="R17" s="27"/>
      <c r="S17" s="27"/>
      <c r="T17" s="27"/>
      <c r="U17" s="27"/>
      <c r="V17" s="26"/>
      <c r="W17" s="27"/>
      <c r="X17" s="27"/>
      <c r="Y17" s="27"/>
      <c r="Z17" s="27"/>
      <c r="AA17" s="26"/>
      <c r="AB17" s="27"/>
      <c r="AC17" s="27"/>
      <c r="AD17" s="27"/>
      <c r="AE17" s="27"/>
      <c r="AF17" s="27"/>
      <c r="AG17" s="82"/>
      <c r="AH17" s="85" t="str">
        <f aca="false">IF(A17="","",ROUNDDOWN((N(E17)+N(F17)+N(I17)+N(J17))*IF(K17="",$B$2,K17),0))</f>
        <v/>
      </c>
      <c r="AI17" s="85" t="str">
        <f aca="false">IF(A17="","",N(W17)+N(X17))</f>
        <v/>
      </c>
      <c r="AJ17" s="85" t="str">
        <f aca="false">IF(A17="","",SUM(E17:U17)-N(K17)+AH17+AI17)</f>
        <v/>
      </c>
      <c r="AK17" s="85" t="str">
        <f aca="false">IF(A17="","",N(W17))</f>
        <v/>
      </c>
      <c r="AL17" s="85" t="str">
        <f aca="false">IF(A17="","",AJ17-AK17)</f>
        <v/>
      </c>
      <c r="AM17" s="85" t="str">
        <f aca="false">IF(A17="","",ROUNDDOWN(N(Z17)*設定!$B$13/1000,0))</f>
        <v/>
      </c>
      <c r="AN17" s="85" t="str">
        <f aca="false">IF(A17="","",ROUNDDOWN(N(Z17)*設定!$B$15/1000,0))</f>
        <v/>
      </c>
      <c r="AO17" s="85" t="str">
        <f aca="false">IF(A17="","",ROUNDDOWN(N(Z17)*設定!$B$10/1000,0))</f>
        <v/>
      </c>
      <c r="AP17" s="85" t="str">
        <f aca="false">IF(A17="","",ROUNDDOWN(N(Z17)*設定!$B$11/1000,0))</f>
        <v/>
      </c>
      <c r="AQ17" s="85" t="str">
        <f aca="false">IF(A17="","",IF(AA17="Y",ROUNDDOWN(N(Z17)*設定!$B$14/1000,0),0))</f>
        <v/>
      </c>
      <c r="AR17" s="85" t="str">
        <f aca="false">IF(A17="","",SUM(AM17:AQ17))</f>
        <v/>
      </c>
      <c r="AS17" s="85" t="str">
        <f aca="false">IF(A17="","",N(AB17)+N(AC17)+AR17+N(AD17))</f>
        <v/>
      </c>
      <c r="AT17" s="85" t="str">
        <f aca="false">IF(A17="","",AJ17-AS17)</f>
        <v/>
      </c>
      <c r="AU17" s="85" t="str">
        <f aca="false">IF(A17="","",AL17-AR17)</f>
        <v/>
      </c>
      <c r="AV17" s="85" t="str">
        <f aca="false">IF(A17="","",N(AE17)+N(AF17))</f>
        <v/>
      </c>
      <c r="AW17" s="85" t="str">
        <f aca="false">IF(A17="","",AT17-AV17)</f>
        <v/>
      </c>
      <c r="AX17" s="86" t="str">
        <f aca="false">IF(A17="","",IF(N(V17)&lt;=1,AI17,IF(AI17&gt;0,ROUNDDOWN(AI17/N(V17),0),IF($B$3="Y",ROUNDDOWN(N(Y17)/N(V17),0),0))))</f>
        <v/>
      </c>
      <c r="AY17" s="87" t="str">
        <f aca="false">IF(A17="","",AJ17-AI17+AX17)</f>
        <v/>
      </c>
      <c r="AZ17" s="88" t="str">
        <f aca="false">IF(A17="","",A17&amp;"|"&amp;TEXT(D17,"yyyymm"))</f>
        <v/>
      </c>
    </row>
    <row r="18" customFormat="false" ht="15" hidden="false" customHeight="false" outlineLevel="0" collapsed="false">
      <c r="A18" s="26"/>
      <c r="B18" s="82"/>
      <c r="C18" s="82"/>
      <c r="D18" s="65"/>
      <c r="E18" s="27"/>
      <c r="F18" s="27"/>
      <c r="G18" s="27"/>
      <c r="H18" s="27"/>
      <c r="I18" s="27"/>
      <c r="J18" s="27"/>
      <c r="K18" s="84"/>
      <c r="L18" s="27"/>
      <c r="M18" s="27"/>
      <c r="N18" s="27"/>
      <c r="O18" s="27"/>
      <c r="P18" s="27"/>
      <c r="Q18" s="27"/>
      <c r="R18" s="27"/>
      <c r="S18" s="27"/>
      <c r="T18" s="27"/>
      <c r="U18" s="27"/>
      <c r="V18" s="26"/>
      <c r="W18" s="27"/>
      <c r="X18" s="27"/>
      <c r="Y18" s="27"/>
      <c r="Z18" s="27"/>
      <c r="AA18" s="26"/>
      <c r="AB18" s="27"/>
      <c r="AC18" s="27"/>
      <c r="AD18" s="27"/>
      <c r="AE18" s="27"/>
      <c r="AF18" s="27"/>
      <c r="AG18" s="82"/>
      <c r="AH18" s="85" t="str">
        <f aca="false">IF(A18="","",ROUNDDOWN((N(E18)+N(F18)+N(I18)+N(J18))*IF(K18="",$B$2,K18),0))</f>
        <v/>
      </c>
      <c r="AI18" s="85" t="str">
        <f aca="false">IF(A18="","",N(W18)+N(X18))</f>
        <v/>
      </c>
      <c r="AJ18" s="85" t="str">
        <f aca="false">IF(A18="","",SUM(E18:U18)-N(K18)+AH18+AI18)</f>
        <v/>
      </c>
      <c r="AK18" s="85" t="str">
        <f aca="false">IF(A18="","",N(W18))</f>
        <v/>
      </c>
      <c r="AL18" s="85" t="str">
        <f aca="false">IF(A18="","",AJ18-AK18)</f>
        <v/>
      </c>
      <c r="AM18" s="85" t="str">
        <f aca="false">IF(A18="","",ROUNDDOWN(N(Z18)*設定!$B$13/1000,0))</f>
        <v/>
      </c>
      <c r="AN18" s="85" t="str">
        <f aca="false">IF(A18="","",ROUNDDOWN(N(Z18)*設定!$B$15/1000,0))</f>
        <v/>
      </c>
      <c r="AO18" s="85" t="str">
        <f aca="false">IF(A18="","",ROUNDDOWN(N(Z18)*設定!$B$10/1000,0))</f>
        <v/>
      </c>
      <c r="AP18" s="85" t="str">
        <f aca="false">IF(A18="","",ROUNDDOWN(N(Z18)*設定!$B$11/1000,0))</f>
        <v/>
      </c>
      <c r="AQ18" s="85" t="str">
        <f aca="false">IF(A18="","",IF(AA18="Y",ROUNDDOWN(N(Z18)*設定!$B$14/1000,0),0))</f>
        <v/>
      </c>
      <c r="AR18" s="85" t="str">
        <f aca="false">IF(A18="","",SUM(AM18:AQ18))</f>
        <v/>
      </c>
      <c r="AS18" s="85" t="str">
        <f aca="false">IF(A18="","",N(AB18)+N(AC18)+AR18+N(AD18))</f>
        <v/>
      </c>
      <c r="AT18" s="85" t="str">
        <f aca="false">IF(A18="","",AJ18-AS18)</f>
        <v/>
      </c>
      <c r="AU18" s="85" t="str">
        <f aca="false">IF(A18="","",AL18-AR18)</f>
        <v/>
      </c>
      <c r="AV18" s="85" t="str">
        <f aca="false">IF(A18="","",N(AE18)+N(AF18))</f>
        <v/>
      </c>
      <c r="AW18" s="85" t="str">
        <f aca="false">IF(A18="","",AT18-AV18)</f>
        <v/>
      </c>
      <c r="AX18" s="86" t="str">
        <f aca="false">IF(A18="","",IF(N(V18)&lt;=1,AI18,IF(AI18&gt;0,ROUNDDOWN(AI18/N(V18),0),IF($B$3="Y",ROUNDDOWN(N(Y18)/N(V18),0),0))))</f>
        <v/>
      </c>
      <c r="AY18" s="87" t="str">
        <f aca="false">IF(A18="","",AJ18-AI18+AX18)</f>
        <v/>
      </c>
      <c r="AZ18" s="88" t="str">
        <f aca="false">IF(A18="","",A18&amp;"|"&amp;TEXT(D18,"yyyymm"))</f>
        <v/>
      </c>
    </row>
    <row r="19" customFormat="false" ht="15" hidden="false" customHeight="false" outlineLevel="0" collapsed="false">
      <c r="A19" s="26"/>
      <c r="B19" s="82"/>
      <c r="C19" s="82"/>
      <c r="D19" s="65"/>
      <c r="E19" s="27"/>
      <c r="F19" s="27"/>
      <c r="G19" s="27"/>
      <c r="H19" s="27"/>
      <c r="I19" s="27"/>
      <c r="J19" s="27"/>
      <c r="K19" s="84"/>
      <c r="L19" s="27"/>
      <c r="M19" s="27"/>
      <c r="N19" s="27"/>
      <c r="O19" s="27"/>
      <c r="P19" s="27"/>
      <c r="Q19" s="27"/>
      <c r="R19" s="27"/>
      <c r="S19" s="27"/>
      <c r="T19" s="27"/>
      <c r="U19" s="27"/>
      <c r="V19" s="26"/>
      <c r="W19" s="27"/>
      <c r="X19" s="27"/>
      <c r="Y19" s="27"/>
      <c r="Z19" s="27"/>
      <c r="AA19" s="26"/>
      <c r="AB19" s="27"/>
      <c r="AC19" s="27"/>
      <c r="AD19" s="27"/>
      <c r="AE19" s="27"/>
      <c r="AF19" s="27"/>
      <c r="AG19" s="82"/>
      <c r="AH19" s="85" t="str">
        <f aca="false">IF(A19="","",ROUNDDOWN((N(E19)+N(F19)+N(I19)+N(J19))*IF(K19="",$B$2,K19),0))</f>
        <v/>
      </c>
      <c r="AI19" s="85" t="str">
        <f aca="false">IF(A19="","",N(W19)+N(X19))</f>
        <v/>
      </c>
      <c r="AJ19" s="85" t="str">
        <f aca="false">IF(A19="","",SUM(E19:U19)-N(K19)+AH19+AI19)</f>
        <v/>
      </c>
      <c r="AK19" s="85" t="str">
        <f aca="false">IF(A19="","",N(W19))</f>
        <v/>
      </c>
      <c r="AL19" s="85" t="str">
        <f aca="false">IF(A19="","",AJ19-AK19)</f>
        <v/>
      </c>
      <c r="AM19" s="85" t="str">
        <f aca="false">IF(A19="","",ROUNDDOWN(N(Z19)*設定!$B$13/1000,0))</f>
        <v/>
      </c>
      <c r="AN19" s="85" t="str">
        <f aca="false">IF(A19="","",ROUNDDOWN(N(Z19)*設定!$B$15/1000,0))</f>
        <v/>
      </c>
      <c r="AO19" s="85" t="str">
        <f aca="false">IF(A19="","",ROUNDDOWN(N(Z19)*設定!$B$10/1000,0))</f>
        <v/>
      </c>
      <c r="AP19" s="85" t="str">
        <f aca="false">IF(A19="","",ROUNDDOWN(N(Z19)*設定!$B$11/1000,0))</f>
        <v/>
      </c>
      <c r="AQ19" s="85" t="str">
        <f aca="false">IF(A19="","",IF(AA19="Y",ROUNDDOWN(N(Z19)*設定!$B$14/1000,0),0))</f>
        <v/>
      </c>
      <c r="AR19" s="85" t="str">
        <f aca="false">IF(A19="","",SUM(AM19:AQ19))</f>
        <v/>
      </c>
      <c r="AS19" s="85" t="str">
        <f aca="false">IF(A19="","",N(AB19)+N(AC19)+AR19+N(AD19))</f>
        <v/>
      </c>
      <c r="AT19" s="85" t="str">
        <f aca="false">IF(A19="","",AJ19-AS19)</f>
        <v/>
      </c>
      <c r="AU19" s="85" t="str">
        <f aca="false">IF(A19="","",AL19-AR19)</f>
        <v/>
      </c>
      <c r="AV19" s="85" t="str">
        <f aca="false">IF(A19="","",N(AE19)+N(AF19))</f>
        <v/>
      </c>
      <c r="AW19" s="85" t="str">
        <f aca="false">IF(A19="","",AT19-AV19)</f>
        <v/>
      </c>
      <c r="AX19" s="86" t="str">
        <f aca="false">IF(A19="","",IF(N(V19)&lt;=1,AI19,IF(AI19&gt;0,ROUNDDOWN(AI19/N(V19),0),IF($B$3="Y",ROUNDDOWN(N(Y19)/N(V19),0),0))))</f>
        <v/>
      </c>
      <c r="AY19" s="87" t="str">
        <f aca="false">IF(A19="","",AJ19-AI19+AX19)</f>
        <v/>
      </c>
      <c r="AZ19" s="88" t="str">
        <f aca="false">IF(A19="","",A19&amp;"|"&amp;TEXT(D19,"yyyymm"))</f>
        <v/>
      </c>
    </row>
    <row r="20" customFormat="false" ht="15" hidden="false" customHeight="false" outlineLevel="0" collapsed="false">
      <c r="A20" s="26"/>
      <c r="B20" s="82"/>
      <c r="C20" s="82"/>
      <c r="D20" s="65"/>
      <c r="E20" s="27"/>
      <c r="F20" s="27"/>
      <c r="G20" s="27"/>
      <c r="H20" s="27"/>
      <c r="I20" s="27"/>
      <c r="J20" s="27"/>
      <c r="K20" s="84"/>
      <c r="L20" s="27"/>
      <c r="M20" s="27"/>
      <c r="N20" s="27"/>
      <c r="O20" s="27"/>
      <c r="P20" s="27"/>
      <c r="Q20" s="27"/>
      <c r="R20" s="27"/>
      <c r="S20" s="27"/>
      <c r="T20" s="27"/>
      <c r="U20" s="27"/>
      <c r="V20" s="26"/>
      <c r="W20" s="27"/>
      <c r="X20" s="27"/>
      <c r="Y20" s="27"/>
      <c r="Z20" s="27"/>
      <c r="AA20" s="26"/>
      <c r="AB20" s="27"/>
      <c r="AC20" s="27"/>
      <c r="AD20" s="27"/>
      <c r="AE20" s="27"/>
      <c r="AF20" s="27"/>
      <c r="AG20" s="82"/>
      <c r="AH20" s="85" t="str">
        <f aca="false">IF(A20="","",ROUNDDOWN((N(E20)+N(F20)+N(I20)+N(J20))*IF(K20="",$B$2,K20),0))</f>
        <v/>
      </c>
      <c r="AI20" s="85" t="str">
        <f aca="false">IF(A20="","",N(W20)+N(X20))</f>
        <v/>
      </c>
      <c r="AJ20" s="85" t="str">
        <f aca="false">IF(A20="","",SUM(E20:U20)-N(K20)+AH20+AI20)</f>
        <v/>
      </c>
      <c r="AK20" s="85" t="str">
        <f aca="false">IF(A20="","",N(W20))</f>
        <v/>
      </c>
      <c r="AL20" s="85" t="str">
        <f aca="false">IF(A20="","",AJ20-AK20)</f>
        <v/>
      </c>
      <c r="AM20" s="85" t="str">
        <f aca="false">IF(A20="","",ROUNDDOWN(N(Z20)*設定!$B$13/1000,0))</f>
        <v/>
      </c>
      <c r="AN20" s="85" t="str">
        <f aca="false">IF(A20="","",ROUNDDOWN(N(Z20)*設定!$B$15/1000,0))</f>
        <v/>
      </c>
      <c r="AO20" s="85" t="str">
        <f aca="false">IF(A20="","",ROUNDDOWN(N(Z20)*設定!$B$10/1000,0))</f>
        <v/>
      </c>
      <c r="AP20" s="85" t="str">
        <f aca="false">IF(A20="","",ROUNDDOWN(N(Z20)*設定!$B$11/1000,0))</f>
        <v/>
      </c>
      <c r="AQ20" s="85" t="str">
        <f aca="false">IF(A20="","",IF(AA20="Y",ROUNDDOWN(N(Z20)*設定!$B$14/1000,0),0))</f>
        <v/>
      </c>
      <c r="AR20" s="85" t="str">
        <f aca="false">IF(A20="","",SUM(AM20:AQ20))</f>
        <v/>
      </c>
      <c r="AS20" s="85" t="str">
        <f aca="false">IF(A20="","",N(AB20)+N(AC20)+AR20+N(AD20))</f>
        <v/>
      </c>
      <c r="AT20" s="85" t="str">
        <f aca="false">IF(A20="","",AJ20-AS20)</f>
        <v/>
      </c>
      <c r="AU20" s="85" t="str">
        <f aca="false">IF(A20="","",AL20-AR20)</f>
        <v/>
      </c>
      <c r="AV20" s="85" t="str">
        <f aca="false">IF(A20="","",N(AE20)+N(AF20))</f>
        <v/>
      </c>
      <c r="AW20" s="85" t="str">
        <f aca="false">IF(A20="","",AT20-AV20)</f>
        <v/>
      </c>
      <c r="AX20" s="86" t="str">
        <f aca="false">IF(A20="","",IF(N(V20)&lt;=1,AI20,IF(AI20&gt;0,ROUNDDOWN(AI20/N(V20),0),IF($B$3="Y",ROUNDDOWN(N(Y20)/N(V20),0),0))))</f>
        <v/>
      </c>
      <c r="AY20" s="87" t="str">
        <f aca="false">IF(A20="","",AJ20-AI20+AX20)</f>
        <v/>
      </c>
      <c r="AZ20" s="88" t="str">
        <f aca="false">IF(A20="","",A20&amp;"|"&amp;TEXT(D20,"yyyymm"))</f>
        <v/>
      </c>
    </row>
    <row r="21" customFormat="false" ht="15" hidden="false" customHeight="false" outlineLevel="0" collapsed="false">
      <c r="A21" s="26"/>
      <c r="B21" s="82"/>
      <c r="C21" s="82"/>
      <c r="D21" s="65"/>
      <c r="E21" s="27"/>
      <c r="F21" s="27"/>
      <c r="G21" s="27"/>
      <c r="H21" s="27"/>
      <c r="I21" s="27"/>
      <c r="J21" s="27"/>
      <c r="K21" s="84"/>
      <c r="L21" s="27"/>
      <c r="M21" s="27"/>
      <c r="N21" s="27"/>
      <c r="O21" s="27"/>
      <c r="P21" s="27"/>
      <c r="Q21" s="27"/>
      <c r="R21" s="27"/>
      <c r="S21" s="27"/>
      <c r="T21" s="27"/>
      <c r="U21" s="27"/>
      <c r="V21" s="26"/>
      <c r="W21" s="27"/>
      <c r="X21" s="27"/>
      <c r="Y21" s="27"/>
      <c r="Z21" s="27"/>
      <c r="AA21" s="26"/>
      <c r="AB21" s="27"/>
      <c r="AC21" s="27"/>
      <c r="AD21" s="27"/>
      <c r="AE21" s="27"/>
      <c r="AF21" s="27"/>
      <c r="AG21" s="82"/>
      <c r="AH21" s="85" t="str">
        <f aca="false">IF(A21="","",ROUNDDOWN((N(E21)+N(F21)+N(I21)+N(J21))*IF(K21="",$B$2,K21),0))</f>
        <v/>
      </c>
      <c r="AI21" s="85" t="str">
        <f aca="false">IF(A21="","",N(W21)+N(X21))</f>
        <v/>
      </c>
      <c r="AJ21" s="85" t="str">
        <f aca="false">IF(A21="","",SUM(E21:U21)-N(K21)+AH21+AI21)</f>
        <v/>
      </c>
      <c r="AK21" s="85" t="str">
        <f aca="false">IF(A21="","",N(W21))</f>
        <v/>
      </c>
      <c r="AL21" s="85" t="str">
        <f aca="false">IF(A21="","",AJ21-AK21)</f>
        <v/>
      </c>
      <c r="AM21" s="85" t="str">
        <f aca="false">IF(A21="","",ROUNDDOWN(N(Z21)*設定!$B$13/1000,0))</f>
        <v/>
      </c>
      <c r="AN21" s="85" t="str">
        <f aca="false">IF(A21="","",ROUNDDOWN(N(Z21)*設定!$B$15/1000,0))</f>
        <v/>
      </c>
      <c r="AO21" s="85" t="str">
        <f aca="false">IF(A21="","",ROUNDDOWN(N(Z21)*設定!$B$10/1000,0))</f>
        <v/>
      </c>
      <c r="AP21" s="85" t="str">
        <f aca="false">IF(A21="","",ROUNDDOWN(N(Z21)*設定!$B$11/1000,0))</f>
        <v/>
      </c>
      <c r="AQ21" s="85" t="str">
        <f aca="false">IF(A21="","",IF(AA21="Y",ROUNDDOWN(N(Z21)*設定!$B$14/1000,0),0))</f>
        <v/>
      </c>
      <c r="AR21" s="85" t="str">
        <f aca="false">IF(A21="","",SUM(AM21:AQ21))</f>
        <v/>
      </c>
      <c r="AS21" s="85" t="str">
        <f aca="false">IF(A21="","",N(AB21)+N(AC21)+AR21+N(AD21))</f>
        <v/>
      </c>
      <c r="AT21" s="85" t="str">
        <f aca="false">IF(A21="","",AJ21-AS21)</f>
        <v/>
      </c>
      <c r="AU21" s="85" t="str">
        <f aca="false">IF(A21="","",AL21-AR21)</f>
        <v/>
      </c>
      <c r="AV21" s="85" t="str">
        <f aca="false">IF(A21="","",N(AE21)+N(AF21))</f>
        <v/>
      </c>
      <c r="AW21" s="85" t="str">
        <f aca="false">IF(A21="","",AT21-AV21)</f>
        <v/>
      </c>
      <c r="AX21" s="86" t="str">
        <f aca="false">IF(A21="","",IF(N(V21)&lt;=1,AI21,IF(AI21&gt;0,ROUNDDOWN(AI21/N(V21),0),IF($B$3="Y",ROUNDDOWN(N(Y21)/N(V21),0),0))))</f>
        <v/>
      </c>
      <c r="AY21" s="87" t="str">
        <f aca="false">IF(A21="","",AJ21-AI21+AX21)</f>
        <v/>
      </c>
      <c r="AZ21" s="88" t="str">
        <f aca="false">IF(A21="","",A21&amp;"|"&amp;TEXT(D21,"yyyymm"))</f>
        <v/>
      </c>
    </row>
    <row r="22" customFormat="false" ht="15" hidden="false" customHeight="false" outlineLevel="0" collapsed="false">
      <c r="A22" s="26"/>
      <c r="B22" s="82"/>
      <c r="C22" s="82"/>
      <c r="D22" s="65"/>
      <c r="E22" s="27"/>
      <c r="F22" s="27"/>
      <c r="G22" s="27"/>
      <c r="H22" s="27"/>
      <c r="I22" s="27"/>
      <c r="J22" s="27"/>
      <c r="K22" s="84"/>
      <c r="L22" s="27"/>
      <c r="M22" s="27"/>
      <c r="N22" s="27"/>
      <c r="O22" s="27"/>
      <c r="P22" s="27"/>
      <c r="Q22" s="27"/>
      <c r="R22" s="27"/>
      <c r="S22" s="27"/>
      <c r="T22" s="27"/>
      <c r="U22" s="27"/>
      <c r="V22" s="26"/>
      <c r="W22" s="27"/>
      <c r="X22" s="27"/>
      <c r="Y22" s="27"/>
      <c r="Z22" s="27"/>
      <c r="AA22" s="26"/>
      <c r="AB22" s="27"/>
      <c r="AC22" s="27"/>
      <c r="AD22" s="27"/>
      <c r="AE22" s="27"/>
      <c r="AF22" s="27"/>
      <c r="AG22" s="82"/>
      <c r="AH22" s="85" t="str">
        <f aca="false">IF(A22="","",ROUNDDOWN((N(E22)+N(F22)+N(I22)+N(J22))*IF(K22="",$B$2,K22),0))</f>
        <v/>
      </c>
      <c r="AI22" s="85" t="str">
        <f aca="false">IF(A22="","",N(W22)+N(X22))</f>
        <v/>
      </c>
      <c r="AJ22" s="85" t="str">
        <f aca="false">IF(A22="","",SUM(E22:U22)-N(K22)+AH22+AI22)</f>
        <v/>
      </c>
      <c r="AK22" s="85" t="str">
        <f aca="false">IF(A22="","",N(W22))</f>
        <v/>
      </c>
      <c r="AL22" s="85" t="str">
        <f aca="false">IF(A22="","",AJ22-AK22)</f>
        <v/>
      </c>
      <c r="AM22" s="85" t="str">
        <f aca="false">IF(A22="","",ROUNDDOWN(N(Z22)*設定!$B$13/1000,0))</f>
        <v/>
      </c>
      <c r="AN22" s="85" t="str">
        <f aca="false">IF(A22="","",ROUNDDOWN(N(Z22)*設定!$B$15/1000,0))</f>
        <v/>
      </c>
      <c r="AO22" s="85" t="str">
        <f aca="false">IF(A22="","",ROUNDDOWN(N(Z22)*設定!$B$10/1000,0))</f>
        <v/>
      </c>
      <c r="AP22" s="85" t="str">
        <f aca="false">IF(A22="","",ROUNDDOWN(N(Z22)*設定!$B$11/1000,0))</f>
        <v/>
      </c>
      <c r="AQ22" s="85" t="str">
        <f aca="false">IF(A22="","",IF(AA22="Y",ROUNDDOWN(N(Z22)*設定!$B$14/1000,0),0))</f>
        <v/>
      </c>
      <c r="AR22" s="85" t="str">
        <f aca="false">IF(A22="","",SUM(AM22:AQ22))</f>
        <v/>
      </c>
      <c r="AS22" s="85" t="str">
        <f aca="false">IF(A22="","",N(AB22)+N(AC22)+AR22+N(AD22))</f>
        <v/>
      </c>
      <c r="AT22" s="85" t="str">
        <f aca="false">IF(A22="","",AJ22-AS22)</f>
        <v/>
      </c>
      <c r="AU22" s="85" t="str">
        <f aca="false">IF(A22="","",AL22-AR22)</f>
        <v/>
      </c>
      <c r="AV22" s="85" t="str">
        <f aca="false">IF(A22="","",N(AE22)+N(AF22))</f>
        <v/>
      </c>
      <c r="AW22" s="85" t="str">
        <f aca="false">IF(A22="","",AT22-AV22)</f>
        <v/>
      </c>
      <c r="AX22" s="86" t="str">
        <f aca="false">IF(A22="","",IF(N(V22)&lt;=1,AI22,IF(AI22&gt;0,ROUNDDOWN(AI22/N(V22),0),IF($B$3="Y",ROUNDDOWN(N(Y22)/N(V22),0),0))))</f>
        <v/>
      </c>
      <c r="AY22" s="87" t="str">
        <f aca="false">IF(A22="","",AJ22-AI22+AX22)</f>
        <v/>
      </c>
      <c r="AZ22" s="88" t="str">
        <f aca="false">IF(A22="","",A22&amp;"|"&amp;TEXT(D22,"yyyymm"))</f>
        <v/>
      </c>
    </row>
    <row r="23" customFormat="false" ht="15" hidden="false" customHeight="false" outlineLevel="0" collapsed="false">
      <c r="A23" s="26"/>
      <c r="B23" s="82"/>
      <c r="C23" s="82"/>
      <c r="D23" s="65"/>
      <c r="E23" s="27"/>
      <c r="F23" s="27"/>
      <c r="G23" s="27"/>
      <c r="H23" s="27"/>
      <c r="I23" s="27"/>
      <c r="J23" s="27"/>
      <c r="K23" s="84"/>
      <c r="L23" s="27"/>
      <c r="M23" s="27"/>
      <c r="N23" s="27"/>
      <c r="O23" s="27"/>
      <c r="P23" s="27"/>
      <c r="Q23" s="27"/>
      <c r="R23" s="27"/>
      <c r="S23" s="27"/>
      <c r="T23" s="27"/>
      <c r="U23" s="27"/>
      <c r="V23" s="26"/>
      <c r="W23" s="27"/>
      <c r="X23" s="27"/>
      <c r="Y23" s="27"/>
      <c r="Z23" s="27"/>
      <c r="AA23" s="26"/>
      <c r="AB23" s="27"/>
      <c r="AC23" s="27"/>
      <c r="AD23" s="27"/>
      <c r="AE23" s="27"/>
      <c r="AF23" s="27"/>
      <c r="AG23" s="82"/>
      <c r="AH23" s="85" t="str">
        <f aca="false">IF(A23="","",ROUNDDOWN((N(E23)+N(F23)+N(I23)+N(J23))*IF(K23="",$B$2,K23),0))</f>
        <v/>
      </c>
      <c r="AI23" s="85" t="str">
        <f aca="false">IF(A23="","",N(W23)+N(X23))</f>
        <v/>
      </c>
      <c r="AJ23" s="85" t="str">
        <f aca="false">IF(A23="","",SUM(E23:U23)-N(K23)+AH23+AI23)</f>
        <v/>
      </c>
      <c r="AK23" s="85" t="str">
        <f aca="false">IF(A23="","",N(W23))</f>
        <v/>
      </c>
      <c r="AL23" s="85" t="str">
        <f aca="false">IF(A23="","",AJ23-AK23)</f>
        <v/>
      </c>
      <c r="AM23" s="85" t="str">
        <f aca="false">IF(A23="","",ROUNDDOWN(N(Z23)*設定!$B$13/1000,0))</f>
        <v/>
      </c>
      <c r="AN23" s="85" t="str">
        <f aca="false">IF(A23="","",ROUNDDOWN(N(Z23)*設定!$B$15/1000,0))</f>
        <v/>
      </c>
      <c r="AO23" s="85" t="str">
        <f aca="false">IF(A23="","",ROUNDDOWN(N(Z23)*設定!$B$10/1000,0))</f>
        <v/>
      </c>
      <c r="AP23" s="85" t="str">
        <f aca="false">IF(A23="","",ROUNDDOWN(N(Z23)*設定!$B$11/1000,0))</f>
        <v/>
      </c>
      <c r="AQ23" s="85" t="str">
        <f aca="false">IF(A23="","",IF(AA23="Y",ROUNDDOWN(N(Z23)*設定!$B$14/1000,0),0))</f>
        <v/>
      </c>
      <c r="AR23" s="85" t="str">
        <f aca="false">IF(A23="","",SUM(AM23:AQ23))</f>
        <v/>
      </c>
      <c r="AS23" s="85" t="str">
        <f aca="false">IF(A23="","",N(AB23)+N(AC23)+AR23+N(AD23))</f>
        <v/>
      </c>
      <c r="AT23" s="85" t="str">
        <f aca="false">IF(A23="","",AJ23-AS23)</f>
        <v/>
      </c>
      <c r="AU23" s="85" t="str">
        <f aca="false">IF(A23="","",AL23-AR23)</f>
        <v/>
      </c>
      <c r="AV23" s="85" t="str">
        <f aca="false">IF(A23="","",N(AE23)+N(AF23))</f>
        <v/>
      </c>
      <c r="AW23" s="85" t="str">
        <f aca="false">IF(A23="","",AT23-AV23)</f>
        <v/>
      </c>
      <c r="AX23" s="86" t="str">
        <f aca="false">IF(A23="","",IF(N(V23)&lt;=1,AI23,IF(AI23&gt;0,ROUNDDOWN(AI23/N(V23),0),IF($B$3="Y",ROUNDDOWN(N(Y23)/N(V23),0),0))))</f>
        <v/>
      </c>
      <c r="AY23" s="87" t="str">
        <f aca="false">IF(A23="","",AJ23-AI23+AX23)</f>
        <v/>
      </c>
      <c r="AZ23" s="88" t="str">
        <f aca="false">IF(A23="","",A23&amp;"|"&amp;TEXT(D23,"yyyymm"))</f>
        <v/>
      </c>
    </row>
    <row r="24" customFormat="false" ht="15" hidden="false" customHeight="false" outlineLevel="0" collapsed="false">
      <c r="A24" s="26"/>
      <c r="B24" s="82"/>
      <c r="C24" s="82"/>
      <c r="D24" s="65"/>
      <c r="E24" s="27"/>
      <c r="F24" s="27"/>
      <c r="G24" s="27"/>
      <c r="H24" s="27"/>
      <c r="I24" s="27"/>
      <c r="J24" s="27"/>
      <c r="K24" s="84"/>
      <c r="L24" s="27"/>
      <c r="M24" s="27"/>
      <c r="N24" s="27"/>
      <c r="O24" s="27"/>
      <c r="P24" s="27"/>
      <c r="Q24" s="27"/>
      <c r="R24" s="27"/>
      <c r="S24" s="27"/>
      <c r="T24" s="27"/>
      <c r="U24" s="27"/>
      <c r="V24" s="26"/>
      <c r="W24" s="27"/>
      <c r="X24" s="27"/>
      <c r="Y24" s="27"/>
      <c r="Z24" s="27"/>
      <c r="AA24" s="26"/>
      <c r="AB24" s="27"/>
      <c r="AC24" s="27"/>
      <c r="AD24" s="27"/>
      <c r="AE24" s="27"/>
      <c r="AF24" s="27"/>
      <c r="AG24" s="82"/>
      <c r="AH24" s="85" t="str">
        <f aca="false">IF(A24="","",ROUNDDOWN((N(E24)+N(F24)+N(I24)+N(J24))*IF(K24="",$B$2,K24),0))</f>
        <v/>
      </c>
      <c r="AI24" s="85" t="str">
        <f aca="false">IF(A24="","",N(W24)+N(X24))</f>
        <v/>
      </c>
      <c r="AJ24" s="85" t="str">
        <f aca="false">IF(A24="","",SUM(E24:U24)-N(K24)+AH24+AI24)</f>
        <v/>
      </c>
      <c r="AK24" s="85" t="str">
        <f aca="false">IF(A24="","",N(W24))</f>
        <v/>
      </c>
      <c r="AL24" s="85" t="str">
        <f aca="false">IF(A24="","",AJ24-AK24)</f>
        <v/>
      </c>
      <c r="AM24" s="85" t="str">
        <f aca="false">IF(A24="","",ROUNDDOWN(N(Z24)*設定!$B$13/1000,0))</f>
        <v/>
      </c>
      <c r="AN24" s="85" t="str">
        <f aca="false">IF(A24="","",ROUNDDOWN(N(Z24)*設定!$B$15/1000,0))</f>
        <v/>
      </c>
      <c r="AO24" s="85" t="str">
        <f aca="false">IF(A24="","",ROUNDDOWN(N(Z24)*設定!$B$10/1000,0))</f>
        <v/>
      </c>
      <c r="AP24" s="85" t="str">
        <f aca="false">IF(A24="","",ROUNDDOWN(N(Z24)*設定!$B$11/1000,0))</f>
        <v/>
      </c>
      <c r="AQ24" s="85" t="str">
        <f aca="false">IF(A24="","",IF(AA24="Y",ROUNDDOWN(N(Z24)*設定!$B$14/1000,0),0))</f>
        <v/>
      </c>
      <c r="AR24" s="85" t="str">
        <f aca="false">IF(A24="","",SUM(AM24:AQ24))</f>
        <v/>
      </c>
      <c r="AS24" s="85" t="str">
        <f aca="false">IF(A24="","",N(AB24)+N(AC24)+AR24+N(AD24))</f>
        <v/>
      </c>
      <c r="AT24" s="85" t="str">
        <f aca="false">IF(A24="","",AJ24-AS24)</f>
        <v/>
      </c>
      <c r="AU24" s="85" t="str">
        <f aca="false">IF(A24="","",AL24-AR24)</f>
        <v/>
      </c>
      <c r="AV24" s="85" t="str">
        <f aca="false">IF(A24="","",N(AE24)+N(AF24))</f>
        <v/>
      </c>
      <c r="AW24" s="85" t="str">
        <f aca="false">IF(A24="","",AT24-AV24)</f>
        <v/>
      </c>
      <c r="AX24" s="86" t="str">
        <f aca="false">IF(A24="","",IF(N(V24)&lt;=1,AI24,IF(AI24&gt;0,ROUNDDOWN(AI24/N(V24),0),IF($B$3="Y",ROUNDDOWN(N(Y24)/N(V24),0),0))))</f>
        <v/>
      </c>
      <c r="AY24" s="87" t="str">
        <f aca="false">IF(A24="","",AJ24-AI24+AX24)</f>
        <v/>
      </c>
      <c r="AZ24" s="88" t="str">
        <f aca="false">IF(A24="","",A24&amp;"|"&amp;TEXT(D24,"yyyymm"))</f>
        <v/>
      </c>
    </row>
    <row r="25" customFormat="false" ht="15" hidden="false" customHeight="false" outlineLevel="0" collapsed="false">
      <c r="A25" s="26"/>
      <c r="B25" s="82"/>
      <c r="C25" s="82"/>
      <c r="D25" s="65"/>
      <c r="E25" s="27"/>
      <c r="F25" s="27"/>
      <c r="G25" s="27"/>
      <c r="H25" s="27"/>
      <c r="I25" s="27"/>
      <c r="J25" s="27"/>
      <c r="K25" s="84"/>
      <c r="L25" s="27"/>
      <c r="M25" s="27"/>
      <c r="N25" s="27"/>
      <c r="O25" s="27"/>
      <c r="P25" s="27"/>
      <c r="Q25" s="27"/>
      <c r="R25" s="27"/>
      <c r="S25" s="27"/>
      <c r="T25" s="27"/>
      <c r="U25" s="27"/>
      <c r="V25" s="26"/>
      <c r="W25" s="27"/>
      <c r="X25" s="27"/>
      <c r="Y25" s="27"/>
      <c r="Z25" s="27"/>
      <c r="AA25" s="26"/>
      <c r="AB25" s="27"/>
      <c r="AC25" s="27"/>
      <c r="AD25" s="27"/>
      <c r="AE25" s="27"/>
      <c r="AF25" s="27"/>
      <c r="AG25" s="82"/>
      <c r="AH25" s="85" t="str">
        <f aca="false">IF(A25="","",ROUNDDOWN((N(E25)+N(F25)+N(I25)+N(J25))*IF(K25="",$B$2,K25),0))</f>
        <v/>
      </c>
      <c r="AI25" s="85" t="str">
        <f aca="false">IF(A25="","",N(W25)+N(X25))</f>
        <v/>
      </c>
      <c r="AJ25" s="85" t="str">
        <f aca="false">IF(A25="","",SUM(E25:U25)-N(K25)+AH25+AI25)</f>
        <v/>
      </c>
      <c r="AK25" s="85" t="str">
        <f aca="false">IF(A25="","",N(W25))</f>
        <v/>
      </c>
      <c r="AL25" s="85" t="str">
        <f aca="false">IF(A25="","",AJ25-AK25)</f>
        <v/>
      </c>
      <c r="AM25" s="85" t="str">
        <f aca="false">IF(A25="","",ROUNDDOWN(N(Z25)*設定!$B$13/1000,0))</f>
        <v/>
      </c>
      <c r="AN25" s="85" t="str">
        <f aca="false">IF(A25="","",ROUNDDOWN(N(Z25)*設定!$B$15/1000,0))</f>
        <v/>
      </c>
      <c r="AO25" s="85" t="str">
        <f aca="false">IF(A25="","",ROUNDDOWN(N(Z25)*設定!$B$10/1000,0))</f>
        <v/>
      </c>
      <c r="AP25" s="85" t="str">
        <f aca="false">IF(A25="","",ROUNDDOWN(N(Z25)*設定!$B$11/1000,0))</f>
        <v/>
      </c>
      <c r="AQ25" s="85" t="str">
        <f aca="false">IF(A25="","",IF(AA25="Y",ROUNDDOWN(N(Z25)*設定!$B$14/1000,0),0))</f>
        <v/>
      </c>
      <c r="AR25" s="85" t="str">
        <f aca="false">IF(A25="","",SUM(AM25:AQ25))</f>
        <v/>
      </c>
      <c r="AS25" s="85" t="str">
        <f aca="false">IF(A25="","",N(AB25)+N(AC25)+AR25+N(AD25))</f>
        <v/>
      </c>
      <c r="AT25" s="85" t="str">
        <f aca="false">IF(A25="","",AJ25-AS25)</f>
        <v/>
      </c>
      <c r="AU25" s="85" t="str">
        <f aca="false">IF(A25="","",AL25-AR25)</f>
        <v/>
      </c>
      <c r="AV25" s="85" t="str">
        <f aca="false">IF(A25="","",N(AE25)+N(AF25))</f>
        <v/>
      </c>
      <c r="AW25" s="85" t="str">
        <f aca="false">IF(A25="","",AT25-AV25)</f>
        <v/>
      </c>
      <c r="AX25" s="86" t="str">
        <f aca="false">IF(A25="","",IF(N(V25)&lt;=1,AI25,IF(AI25&gt;0,ROUNDDOWN(AI25/N(V25),0),IF($B$3="Y",ROUNDDOWN(N(Y25)/N(V25),0),0))))</f>
        <v/>
      </c>
      <c r="AY25" s="87" t="str">
        <f aca="false">IF(A25="","",AJ25-AI25+AX25)</f>
        <v/>
      </c>
      <c r="AZ25" s="88" t="str">
        <f aca="false">IF(A25="","",A25&amp;"|"&amp;TEXT(D25,"yyyymm"))</f>
        <v/>
      </c>
    </row>
    <row r="26" customFormat="false" ht="15" hidden="false" customHeight="false" outlineLevel="0" collapsed="false">
      <c r="A26" s="26"/>
      <c r="B26" s="82"/>
      <c r="C26" s="82"/>
      <c r="D26" s="65"/>
      <c r="E26" s="27"/>
      <c r="F26" s="27"/>
      <c r="G26" s="27"/>
      <c r="H26" s="27"/>
      <c r="I26" s="27"/>
      <c r="J26" s="27"/>
      <c r="K26" s="84"/>
      <c r="L26" s="27"/>
      <c r="M26" s="27"/>
      <c r="N26" s="27"/>
      <c r="O26" s="27"/>
      <c r="P26" s="27"/>
      <c r="Q26" s="27"/>
      <c r="R26" s="27"/>
      <c r="S26" s="27"/>
      <c r="T26" s="27"/>
      <c r="U26" s="27"/>
      <c r="V26" s="26"/>
      <c r="W26" s="27"/>
      <c r="X26" s="27"/>
      <c r="Y26" s="27"/>
      <c r="Z26" s="27"/>
      <c r="AA26" s="26"/>
      <c r="AB26" s="27"/>
      <c r="AC26" s="27"/>
      <c r="AD26" s="27"/>
      <c r="AE26" s="27"/>
      <c r="AF26" s="27"/>
      <c r="AG26" s="82"/>
      <c r="AH26" s="85" t="str">
        <f aca="false">IF(A26="","",ROUNDDOWN((N(E26)+N(F26)+N(I26)+N(J26))*IF(K26="",$B$2,K26),0))</f>
        <v/>
      </c>
      <c r="AI26" s="85" t="str">
        <f aca="false">IF(A26="","",N(W26)+N(X26))</f>
        <v/>
      </c>
      <c r="AJ26" s="85" t="str">
        <f aca="false">IF(A26="","",SUM(E26:U26)-N(K26)+AH26+AI26)</f>
        <v/>
      </c>
      <c r="AK26" s="85" t="str">
        <f aca="false">IF(A26="","",N(W26))</f>
        <v/>
      </c>
      <c r="AL26" s="85" t="str">
        <f aca="false">IF(A26="","",AJ26-AK26)</f>
        <v/>
      </c>
      <c r="AM26" s="85" t="str">
        <f aca="false">IF(A26="","",ROUNDDOWN(N(Z26)*設定!$B$13/1000,0))</f>
        <v/>
      </c>
      <c r="AN26" s="85" t="str">
        <f aca="false">IF(A26="","",ROUNDDOWN(N(Z26)*設定!$B$15/1000,0))</f>
        <v/>
      </c>
      <c r="AO26" s="85" t="str">
        <f aca="false">IF(A26="","",ROUNDDOWN(N(Z26)*設定!$B$10/1000,0))</f>
        <v/>
      </c>
      <c r="AP26" s="85" t="str">
        <f aca="false">IF(A26="","",ROUNDDOWN(N(Z26)*設定!$B$11/1000,0))</f>
        <v/>
      </c>
      <c r="AQ26" s="85" t="str">
        <f aca="false">IF(A26="","",IF(AA26="Y",ROUNDDOWN(N(Z26)*設定!$B$14/1000,0),0))</f>
        <v/>
      </c>
      <c r="AR26" s="85" t="str">
        <f aca="false">IF(A26="","",SUM(AM26:AQ26))</f>
        <v/>
      </c>
      <c r="AS26" s="85" t="str">
        <f aca="false">IF(A26="","",N(AB26)+N(AC26)+AR26+N(AD26))</f>
        <v/>
      </c>
      <c r="AT26" s="85" t="str">
        <f aca="false">IF(A26="","",AJ26-AS26)</f>
        <v/>
      </c>
      <c r="AU26" s="85" t="str">
        <f aca="false">IF(A26="","",AL26-AR26)</f>
        <v/>
      </c>
      <c r="AV26" s="85" t="str">
        <f aca="false">IF(A26="","",N(AE26)+N(AF26))</f>
        <v/>
      </c>
      <c r="AW26" s="85" t="str">
        <f aca="false">IF(A26="","",AT26-AV26)</f>
        <v/>
      </c>
      <c r="AX26" s="86" t="str">
        <f aca="false">IF(A26="","",IF(N(V26)&lt;=1,AI26,IF(AI26&gt;0,ROUNDDOWN(AI26/N(V26),0),IF($B$3="Y",ROUNDDOWN(N(Y26)/N(V26),0),0))))</f>
        <v/>
      </c>
      <c r="AY26" s="87" t="str">
        <f aca="false">IF(A26="","",AJ26-AI26+AX26)</f>
        <v/>
      </c>
      <c r="AZ26" s="88" t="str">
        <f aca="false">IF(A26="","",A26&amp;"|"&amp;TEXT(D26,"yyyymm"))</f>
        <v/>
      </c>
    </row>
    <row r="27" customFormat="false" ht="15" hidden="false" customHeight="false" outlineLevel="0" collapsed="false">
      <c r="A27" s="26"/>
      <c r="B27" s="82"/>
      <c r="C27" s="82"/>
      <c r="D27" s="65"/>
      <c r="E27" s="27"/>
      <c r="F27" s="27"/>
      <c r="G27" s="27"/>
      <c r="H27" s="27"/>
      <c r="I27" s="27"/>
      <c r="J27" s="27"/>
      <c r="K27" s="84"/>
      <c r="L27" s="27"/>
      <c r="M27" s="27"/>
      <c r="N27" s="27"/>
      <c r="O27" s="27"/>
      <c r="P27" s="27"/>
      <c r="Q27" s="27"/>
      <c r="R27" s="27"/>
      <c r="S27" s="27"/>
      <c r="T27" s="27"/>
      <c r="U27" s="27"/>
      <c r="V27" s="26"/>
      <c r="W27" s="27"/>
      <c r="X27" s="27"/>
      <c r="Y27" s="27"/>
      <c r="Z27" s="27"/>
      <c r="AA27" s="26"/>
      <c r="AB27" s="27"/>
      <c r="AC27" s="27"/>
      <c r="AD27" s="27"/>
      <c r="AE27" s="27"/>
      <c r="AF27" s="27"/>
      <c r="AG27" s="82"/>
      <c r="AH27" s="85" t="str">
        <f aca="false">IF(A27="","",ROUNDDOWN((N(E27)+N(F27)+N(I27)+N(J27))*IF(K27="",$B$2,K27),0))</f>
        <v/>
      </c>
      <c r="AI27" s="85" t="str">
        <f aca="false">IF(A27="","",N(W27)+N(X27))</f>
        <v/>
      </c>
      <c r="AJ27" s="85" t="str">
        <f aca="false">IF(A27="","",SUM(E27:U27)-N(K27)+AH27+AI27)</f>
        <v/>
      </c>
      <c r="AK27" s="85" t="str">
        <f aca="false">IF(A27="","",N(W27))</f>
        <v/>
      </c>
      <c r="AL27" s="85" t="str">
        <f aca="false">IF(A27="","",AJ27-AK27)</f>
        <v/>
      </c>
      <c r="AM27" s="85" t="str">
        <f aca="false">IF(A27="","",ROUNDDOWN(N(Z27)*設定!$B$13/1000,0))</f>
        <v/>
      </c>
      <c r="AN27" s="85" t="str">
        <f aca="false">IF(A27="","",ROUNDDOWN(N(Z27)*設定!$B$15/1000,0))</f>
        <v/>
      </c>
      <c r="AO27" s="85" t="str">
        <f aca="false">IF(A27="","",ROUNDDOWN(N(Z27)*設定!$B$10/1000,0))</f>
        <v/>
      </c>
      <c r="AP27" s="85" t="str">
        <f aca="false">IF(A27="","",ROUNDDOWN(N(Z27)*設定!$B$11/1000,0))</f>
        <v/>
      </c>
      <c r="AQ27" s="85" t="str">
        <f aca="false">IF(A27="","",IF(AA27="Y",ROUNDDOWN(N(Z27)*設定!$B$14/1000,0),0))</f>
        <v/>
      </c>
      <c r="AR27" s="85" t="str">
        <f aca="false">IF(A27="","",SUM(AM27:AQ27))</f>
        <v/>
      </c>
      <c r="AS27" s="85" t="str">
        <f aca="false">IF(A27="","",N(AB27)+N(AC27)+AR27+N(AD27))</f>
        <v/>
      </c>
      <c r="AT27" s="85" t="str">
        <f aca="false">IF(A27="","",AJ27-AS27)</f>
        <v/>
      </c>
      <c r="AU27" s="85" t="str">
        <f aca="false">IF(A27="","",AL27-AR27)</f>
        <v/>
      </c>
      <c r="AV27" s="85" t="str">
        <f aca="false">IF(A27="","",N(AE27)+N(AF27))</f>
        <v/>
      </c>
      <c r="AW27" s="85" t="str">
        <f aca="false">IF(A27="","",AT27-AV27)</f>
        <v/>
      </c>
      <c r="AX27" s="86" t="str">
        <f aca="false">IF(A27="","",IF(N(V27)&lt;=1,AI27,IF(AI27&gt;0,ROUNDDOWN(AI27/N(V27),0),IF($B$3="Y",ROUNDDOWN(N(Y27)/N(V27),0),0))))</f>
        <v/>
      </c>
      <c r="AY27" s="87" t="str">
        <f aca="false">IF(A27="","",AJ27-AI27+AX27)</f>
        <v/>
      </c>
      <c r="AZ27" s="88" t="str">
        <f aca="false">IF(A27="","",A27&amp;"|"&amp;TEXT(D27,"yyyymm"))</f>
        <v/>
      </c>
    </row>
    <row r="28" customFormat="false" ht="15" hidden="false" customHeight="false" outlineLevel="0" collapsed="false">
      <c r="A28" s="26"/>
      <c r="B28" s="82"/>
      <c r="C28" s="82"/>
      <c r="D28" s="65"/>
      <c r="E28" s="27"/>
      <c r="F28" s="27"/>
      <c r="G28" s="27"/>
      <c r="H28" s="27"/>
      <c r="I28" s="27"/>
      <c r="J28" s="27"/>
      <c r="K28" s="84"/>
      <c r="L28" s="27"/>
      <c r="M28" s="27"/>
      <c r="N28" s="27"/>
      <c r="O28" s="27"/>
      <c r="P28" s="27"/>
      <c r="Q28" s="27"/>
      <c r="R28" s="27"/>
      <c r="S28" s="27"/>
      <c r="T28" s="27"/>
      <c r="U28" s="27"/>
      <c r="V28" s="26"/>
      <c r="W28" s="27"/>
      <c r="X28" s="27"/>
      <c r="Y28" s="27"/>
      <c r="Z28" s="27"/>
      <c r="AA28" s="26"/>
      <c r="AB28" s="27"/>
      <c r="AC28" s="27"/>
      <c r="AD28" s="27"/>
      <c r="AE28" s="27"/>
      <c r="AF28" s="27"/>
      <c r="AG28" s="82"/>
      <c r="AH28" s="85" t="str">
        <f aca="false">IF(A28="","",ROUNDDOWN((N(E28)+N(F28)+N(I28)+N(J28))*IF(K28="",$B$2,K28),0))</f>
        <v/>
      </c>
      <c r="AI28" s="85" t="str">
        <f aca="false">IF(A28="","",N(W28)+N(X28))</f>
        <v/>
      </c>
      <c r="AJ28" s="85" t="str">
        <f aca="false">IF(A28="","",SUM(E28:U28)-N(K28)+AH28+AI28)</f>
        <v/>
      </c>
      <c r="AK28" s="85" t="str">
        <f aca="false">IF(A28="","",N(W28))</f>
        <v/>
      </c>
      <c r="AL28" s="85" t="str">
        <f aca="false">IF(A28="","",AJ28-AK28)</f>
        <v/>
      </c>
      <c r="AM28" s="85" t="str">
        <f aca="false">IF(A28="","",ROUNDDOWN(N(Z28)*設定!$B$13/1000,0))</f>
        <v/>
      </c>
      <c r="AN28" s="85" t="str">
        <f aca="false">IF(A28="","",ROUNDDOWN(N(Z28)*設定!$B$15/1000,0))</f>
        <v/>
      </c>
      <c r="AO28" s="85" t="str">
        <f aca="false">IF(A28="","",ROUNDDOWN(N(Z28)*設定!$B$10/1000,0))</f>
        <v/>
      </c>
      <c r="AP28" s="85" t="str">
        <f aca="false">IF(A28="","",ROUNDDOWN(N(Z28)*設定!$B$11/1000,0))</f>
        <v/>
      </c>
      <c r="AQ28" s="85" t="str">
        <f aca="false">IF(A28="","",IF(AA28="Y",ROUNDDOWN(N(Z28)*設定!$B$14/1000,0),0))</f>
        <v/>
      </c>
      <c r="AR28" s="85" t="str">
        <f aca="false">IF(A28="","",SUM(AM28:AQ28))</f>
        <v/>
      </c>
      <c r="AS28" s="85" t="str">
        <f aca="false">IF(A28="","",N(AB28)+N(AC28)+AR28+N(AD28))</f>
        <v/>
      </c>
      <c r="AT28" s="85" t="str">
        <f aca="false">IF(A28="","",AJ28-AS28)</f>
        <v/>
      </c>
      <c r="AU28" s="85" t="str">
        <f aca="false">IF(A28="","",AL28-AR28)</f>
        <v/>
      </c>
      <c r="AV28" s="85" t="str">
        <f aca="false">IF(A28="","",N(AE28)+N(AF28))</f>
        <v/>
      </c>
      <c r="AW28" s="85" t="str">
        <f aca="false">IF(A28="","",AT28-AV28)</f>
        <v/>
      </c>
      <c r="AX28" s="86" t="str">
        <f aca="false">IF(A28="","",IF(N(V28)&lt;=1,AI28,IF(AI28&gt;0,ROUNDDOWN(AI28/N(V28),0),IF($B$3="Y",ROUNDDOWN(N(Y28)/N(V28),0),0))))</f>
        <v/>
      </c>
      <c r="AY28" s="87" t="str">
        <f aca="false">IF(A28="","",AJ28-AI28+AX28)</f>
        <v/>
      </c>
      <c r="AZ28" s="88" t="str">
        <f aca="false">IF(A28="","",A28&amp;"|"&amp;TEXT(D28,"yyyymm"))</f>
        <v/>
      </c>
    </row>
    <row r="29" customFormat="false" ht="15" hidden="false" customHeight="false" outlineLevel="0" collapsed="false">
      <c r="A29" s="26"/>
      <c r="B29" s="82"/>
      <c r="C29" s="82"/>
      <c r="D29" s="65"/>
      <c r="E29" s="27"/>
      <c r="F29" s="27"/>
      <c r="G29" s="27"/>
      <c r="H29" s="27"/>
      <c r="I29" s="27"/>
      <c r="J29" s="27"/>
      <c r="K29" s="84"/>
      <c r="L29" s="27"/>
      <c r="M29" s="27"/>
      <c r="N29" s="27"/>
      <c r="O29" s="27"/>
      <c r="P29" s="27"/>
      <c r="Q29" s="27"/>
      <c r="R29" s="27"/>
      <c r="S29" s="27"/>
      <c r="T29" s="27"/>
      <c r="U29" s="27"/>
      <c r="V29" s="26"/>
      <c r="W29" s="27"/>
      <c r="X29" s="27"/>
      <c r="Y29" s="27"/>
      <c r="Z29" s="27"/>
      <c r="AA29" s="26"/>
      <c r="AB29" s="27"/>
      <c r="AC29" s="27"/>
      <c r="AD29" s="27"/>
      <c r="AE29" s="27"/>
      <c r="AF29" s="27"/>
      <c r="AG29" s="82"/>
      <c r="AH29" s="85" t="str">
        <f aca="false">IF(A29="","",ROUNDDOWN((N(E29)+N(F29)+N(I29)+N(J29))*IF(K29="",$B$2,K29),0))</f>
        <v/>
      </c>
      <c r="AI29" s="85" t="str">
        <f aca="false">IF(A29="","",N(W29)+N(X29))</f>
        <v/>
      </c>
      <c r="AJ29" s="85" t="str">
        <f aca="false">IF(A29="","",SUM(E29:U29)-N(K29)+AH29+AI29)</f>
        <v/>
      </c>
      <c r="AK29" s="85" t="str">
        <f aca="false">IF(A29="","",N(W29))</f>
        <v/>
      </c>
      <c r="AL29" s="85" t="str">
        <f aca="false">IF(A29="","",AJ29-AK29)</f>
        <v/>
      </c>
      <c r="AM29" s="85" t="str">
        <f aca="false">IF(A29="","",ROUNDDOWN(N(Z29)*設定!$B$13/1000,0))</f>
        <v/>
      </c>
      <c r="AN29" s="85" t="str">
        <f aca="false">IF(A29="","",ROUNDDOWN(N(Z29)*設定!$B$15/1000,0))</f>
        <v/>
      </c>
      <c r="AO29" s="85" t="str">
        <f aca="false">IF(A29="","",ROUNDDOWN(N(Z29)*設定!$B$10/1000,0))</f>
        <v/>
      </c>
      <c r="AP29" s="85" t="str">
        <f aca="false">IF(A29="","",ROUNDDOWN(N(Z29)*設定!$B$11/1000,0))</f>
        <v/>
      </c>
      <c r="AQ29" s="85" t="str">
        <f aca="false">IF(A29="","",IF(AA29="Y",ROUNDDOWN(N(Z29)*設定!$B$14/1000,0),0))</f>
        <v/>
      </c>
      <c r="AR29" s="85" t="str">
        <f aca="false">IF(A29="","",SUM(AM29:AQ29))</f>
        <v/>
      </c>
      <c r="AS29" s="85" t="str">
        <f aca="false">IF(A29="","",N(AB29)+N(AC29)+AR29+N(AD29))</f>
        <v/>
      </c>
      <c r="AT29" s="85" t="str">
        <f aca="false">IF(A29="","",AJ29-AS29)</f>
        <v/>
      </c>
      <c r="AU29" s="85" t="str">
        <f aca="false">IF(A29="","",AL29-AR29)</f>
        <v/>
      </c>
      <c r="AV29" s="85" t="str">
        <f aca="false">IF(A29="","",N(AE29)+N(AF29))</f>
        <v/>
      </c>
      <c r="AW29" s="85" t="str">
        <f aca="false">IF(A29="","",AT29-AV29)</f>
        <v/>
      </c>
      <c r="AX29" s="86" t="str">
        <f aca="false">IF(A29="","",IF(N(V29)&lt;=1,AI29,IF(AI29&gt;0,ROUNDDOWN(AI29/N(V29),0),IF($B$3="Y",ROUNDDOWN(N(Y29)/N(V29),0),0))))</f>
        <v/>
      </c>
      <c r="AY29" s="87" t="str">
        <f aca="false">IF(A29="","",AJ29-AI29+AX29)</f>
        <v/>
      </c>
      <c r="AZ29" s="88" t="str">
        <f aca="false">IF(A29="","",A29&amp;"|"&amp;TEXT(D29,"yyyymm"))</f>
        <v/>
      </c>
    </row>
    <row r="30" customFormat="false" ht="15" hidden="false" customHeight="false" outlineLevel="0" collapsed="false">
      <c r="A30" s="26"/>
      <c r="B30" s="82"/>
      <c r="C30" s="82"/>
      <c r="D30" s="65"/>
      <c r="E30" s="27"/>
      <c r="F30" s="27"/>
      <c r="G30" s="27"/>
      <c r="H30" s="27"/>
      <c r="I30" s="27"/>
      <c r="J30" s="27"/>
      <c r="K30" s="84"/>
      <c r="L30" s="27"/>
      <c r="M30" s="27"/>
      <c r="N30" s="27"/>
      <c r="O30" s="27"/>
      <c r="P30" s="27"/>
      <c r="Q30" s="27"/>
      <c r="R30" s="27"/>
      <c r="S30" s="27"/>
      <c r="T30" s="27"/>
      <c r="U30" s="27"/>
      <c r="V30" s="26"/>
      <c r="W30" s="27"/>
      <c r="X30" s="27"/>
      <c r="Y30" s="27"/>
      <c r="Z30" s="27"/>
      <c r="AA30" s="26"/>
      <c r="AB30" s="27"/>
      <c r="AC30" s="27"/>
      <c r="AD30" s="27"/>
      <c r="AE30" s="27"/>
      <c r="AF30" s="27"/>
      <c r="AG30" s="82"/>
      <c r="AH30" s="85" t="str">
        <f aca="false">IF(A30="","",ROUNDDOWN((N(E30)+N(F30)+N(I30)+N(J30))*IF(K30="",$B$2,K30),0))</f>
        <v/>
      </c>
      <c r="AI30" s="85" t="str">
        <f aca="false">IF(A30="","",N(W30)+N(X30))</f>
        <v/>
      </c>
      <c r="AJ30" s="85" t="str">
        <f aca="false">IF(A30="","",SUM(E30:U30)-N(K30)+AH30+AI30)</f>
        <v/>
      </c>
      <c r="AK30" s="85" t="str">
        <f aca="false">IF(A30="","",N(W30))</f>
        <v/>
      </c>
      <c r="AL30" s="85" t="str">
        <f aca="false">IF(A30="","",AJ30-AK30)</f>
        <v/>
      </c>
      <c r="AM30" s="85" t="str">
        <f aca="false">IF(A30="","",ROUNDDOWN(N(Z30)*設定!$B$13/1000,0))</f>
        <v/>
      </c>
      <c r="AN30" s="85" t="str">
        <f aca="false">IF(A30="","",ROUNDDOWN(N(Z30)*設定!$B$15/1000,0))</f>
        <v/>
      </c>
      <c r="AO30" s="85" t="str">
        <f aca="false">IF(A30="","",ROUNDDOWN(N(Z30)*設定!$B$10/1000,0))</f>
        <v/>
      </c>
      <c r="AP30" s="85" t="str">
        <f aca="false">IF(A30="","",ROUNDDOWN(N(Z30)*設定!$B$11/1000,0))</f>
        <v/>
      </c>
      <c r="AQ30" s="85" t="str">
        <f aca="false">IF(A30="","",IF(AA30="Y",ROUNDDOWN(N(Z30)*設定!$B$14/1000,0),0))</f>
        <v/>
      </c>
      <c r="AR30" s="85" t="str">
        <f aca="false">IF(A30="","",SUM(AM30:AQ30))</f>
        <v/>
      </c>
      <c r="AS30" s="85" t="str">
        <f aca="false">IF(A30="","",N(AB30)+N(AC30)+AR30+N(AD30))</f>
        <v/>
      </c>
      <c r="AT30" s="85" t="str">
        <f aca="false">IF(A30="","",AJ30-AS30)</f>
        <v/>
      </c>
      <c r="AU30" s="85" t="str">
        <f aca="false">IF(A30="","",AL30-AR30)</f>
        <v/>
      </c>
      <c r="AV30" s="85" t="str">
        <f aca="false">IF(A30="","",N(AE30)+N(AF30))</f>
        <v/>
      </c>
      <c r="AW30" s="85" t="str">
        <f aca="false">IF(A30="","",AT30-AV30)</f>
        <v/>
      </c>
      <c r="AX30" s="86" t="str">
        <f aca="false">IF(A30="","",IF(N(V30)&lt;=1,AI30,IF(AI30&gt;0,ROUNDDOWN(AI30/N(V30),0),IF($B$3="Y",ROUNDDOWN(N(Y30)/N(V30),0),0))))</f>
        <v/>
      </c>
      <c r="AY30" s="87" t="str">
        <f aca="false">IF(A30="","",AJ30-AI30+AX30)</f>
        <v/>
      </c>
      <c r="AZ30" s="88" t="str">
        <f aca="false">IF(A30="","",A30&amp;"|"&amp;TEXT(D30,"yyyymm"))</f>
        <v/>
      </c>
    </row>
    <row r="31" customFormat="false" ht="15" hidden="false" customHeight="false" outlineLevel="0" collapsed="false">
      <c r="A31" s="26"/>
      <c r="B31" s="82"/>
      <c r="C31" s="82"/>
      <c r="D31" s="65"/>
      <c r="E31" s="27"/>
      <c r="F31" s="27"/>
      <c r="G31" s="27"/>
      <c r="H31" s="27"/>
      <c r="I31" s="27"/>
      <c r="J31" s="27"/>
      <c r="K31" s="84"/>
      <c r="L31" s="27"/>
      <c r="M31" s="27"/>
      <c r="N31" s="27"/>
      <c r="O31" s="27"/>
      <c r="P31" s="27"/>
      <c r="Q31" s="27"/>
      <c r="R31" s="27"/>
      <c r="S31" s="27"/>
      <c r="T31" s="27"/>
      <c r="U31" s="27"/>
      <c r="V31" s="26"/>
      <c r="W31" s="27"/>
      <c r="X31" s="27"/>
      <c r="Y31" s="27"/>
      <c r="Z31" s="27"/>
      <c r="AA31" s="26"/>
      <c r="AB31" s="27"/>
      <c r="AC31" s="27"/>
      <c r="AD31" s="27"/>
      <c r="AE31" s="27"/>
      <c r="AF31" s="27"/>
      <c r="AG31" s="82"/>
      <c r="AH31" s="85" t="str">
        <f aca="false">IF(A31="","",ROUNDDOWN((N(E31)+N(F31)+N(I31)+N(J31))*IF(K31="",$B$2,K31),0))</f>
        <v/>
      </c>
      <c r="AI31" s="85" t="str">
        <f aca="false">IF(A31="","",N(W31)+N(X31))</f>
        <v/>
      </c>
      <c r="AJ31" s="85" t="str">
        <f aca="false">IF(A31="","",SUM(E31:U31)-N(K31)+AH31+AI31)</f>
        <v/>
      </c>
      <c r="AK31" s="85" t="str">
        <f aca="false">IF(A31="","",N(W31))</f>
        <v/>
      </c>
      <c r="AL31" s="85" t="str">
        <f aca="false">IF(A31="","",AJ31-AK31)</f>
        <v/>
      </c>
      <c r="AM31" s="85" t="str">
        <f aca="false">IF(A31="","",ROUNDDOWN(N(Z31)*設定!$B$13/1000,0))</f>
        <v/>
      </c>
      <c r="AN31" s="85" t="str">
        <f aca="false">IF(A31="","",ROUNDDOWN(N(Z31)*設定!$B$15/1000,0))</f>
        <v/>
      </c>
      <c r="AO31" s="85" t="str">
        <f aca="false">IF(A31="","",ROUNDDOWN(N(Z31)*設定!$B$10/1000,0))</f>
        <v/>
      </c>
      <c r="AP31" s="85" t="str">
        <f aca="false">IF(A31="","",ROUNDDOWN(N(Z31)*設定!$B$11/1000,0))</f>
        <v/>
      </c>
      <c r="AQ31" s="85" t="str">
        <f aca="false">IF(A31="","",IF(AA31="Y",ROUNDDOWN(N(Z31)*設定!$B$14/1000,0),0))</f>
        <v/>
      </c>
      <c r="AR31" s="85" t="str">
        <f aca="false">IF(A31="","",SUM(AM31:AQ31))</f>
        <v/>
      </c>
      <c r="AS31" s="85" t="str">
        <f aca="false">IF(A31="","",N(AB31)+N(AC31)+AR31+N(AD31))</f>
        <v/>
      </c>
      <c r="AT31" s="85" t="str">
        <f aca="false">IF(A31="","",AJ31-AS31)</f>
        <v/>
      </c>
      <c r="AU31" s="85" t="str">
        <f aca="false">IF(A31="","",AL31-AR31)</f>
        <v/>
      </c>
      <c r="AV31" s="85" t="str">
        <f aca="false">IF(A31="","",N(AE31)+N(AF31))</f>
        <v/>
      </c>
      <c r="AW31" s="85" t="str">
        <f aca="false">IF(A31="","",AT31-AV31)</f>
        <v/>
      </c>
      <c r="AX31" s="86" t="str">
        <f aca="false">IF(A31="","",IF(N(V31)&lt;=1,AI31,IF(AI31&gt;0,ROUNDDOWN(AI31/N(V31),0),IF($B$3="Y",ROUNDDOWN(N(Y31)/N(V31),0),0))))</f>
        <v/>
      </c>
      <c r="AY31" s="87" t="str">
        <f aca="false">IF(A31="","",AJ31-AI31+AX31)</f>
        <v/>
      </c>
      <c r="AZ31" s="88" t="str">
        <f aca="false">IF(A31="","",A31&amp;"|"&amp;TEXT(D31,"yyyymm"))</f>
        <v/>
      </c>
    </row>
    <row r="32" customFormat="false" ht="15" hidden="false" customHeight="false" outlineLevel="0" collapsed="false">
      <c r="A32" s="26"/>
      <c r="B32" s="82"/>
      <c r="C32" s="82"/>
      <c r="D32" s="65"/>
      <c r="E32" s="27"/>
      <c r="F32" s="27"/>
      <c r="G32" s="27"/>
      <c r="H32" s="27"/>
      <c r="I32" s="27"/>
      <c r="J32" s="27"/>
      <c r="K32" s="84"/>
      <c r="L32" s="27"/>
      <c r="M32" s="27"/>
      <c r="N32" s="27"/>
      <c r="O32" s="27"/>
      <c r="P32" s="27"/>
      <c r="Q32" s="27"/>
      <c r="R32" s="27"/>
      <c r="S32" s="27"/>
      <c r="T32" s="27"/>
      <c r="U32" s="27"/>
      <c r="V32" s="26"/>
      <c r="W32" s="27"/>
      <c r="X32" s="27"/>
      <c r="Y32" s="27"/>
      <c r="Z32" s="27"/>
      <c r="AA32" s="26"/>
      <c r="AB32" s="27"/>
      <c r="AC32" s="27"/>
      <c r="AD32" s="27"/>
      <c r="AE32" s="27"/>
      <c r="AF32" s="27"/>
      <c r="AG32" s="82"/>
      <c r="AH32" s="85" t="str">
        <f aca="false">IF(A32="","",ROUNDDOWN((N(E32)+N(F32)+N(I32)+N(J32))*IF(K32="",$B$2,K32),0))</f>
        <v/>
      </c>
      <c r="AI32" s="85" t="str">
        <f aca="false">IF(A32="","",N(W32)+N(X32))</f>
        <v/>
      </c>
      <c r="AJ32" s="85" t="str">
        <f aca="false">IF(A32="","",SUM(E32:U32)-N(K32)+AH32+AI32)</f>
        <v/>
      </c>
      <c r="AK32" s="85" t="str">
        <f aca="false">IF(A32="","",N(W32))</f>
        <v/>
      </c>
      <c r="AL32" s="85" t="str">
        <f aca="false">IF(A32="","",AJ32-AK32)</f>
        <v/>
      </c>
      <c r="AM32" s="85" t="str">
        <f aca="false">IF(A32="","",ROUNDDOWN(N(Z32)*設定!$B$13/1000,0))</f>
        <v/>
      </c>
      <c r="AN32" s="85" t="str">
        <f aca="false">IF(A32="","",ROUNDDOWN(N(Z32)*設定!$B$15/1000,0))</f>
        <v/>
      </c>
      <c r="AO32" s="85" t="str">
        <f aca="false">IF(A32="","",ROUNDDOWN(N(Z32)*設定!$B$10/1000,0))</f>
        <v/>
      </c>
      <c r="AP32" s="85" t="str">
        <f aca="false">IF(A32="","",ROUNDDOWN(N(Z32)*設定!$B$11/1000,0))</f>
        <v/>
      </c>
      <c r="AQ32" s="85" t="str">
        <f aca="false">IF(A32="","",IF(AA32="Y",ROUNDDOWN(N(Z32)*設定!$B$14/1000,0),0))</f>
        <v/>
      </c>
      <c r="AR32" s="85" t="str">
        <f aca="false">IF(A32="","",SUM(AM32:AQ32))</f>
        <v/>
      </c>
      <c r="AS32" s="85" t="str">
        <f aca="false">IF(A32="","",N(AB32)+N(AC32)+AR32+N(AD32))</f>
        <v/>
      </c>
      <c r="AT32" s="85" t="str">
        <f aca="false">IF(A32="","",AJ32-AS32)</f>
        <v/>
      </c>
      <c r="AU32" s="85" t="str">
        <f aca="false">IF(A32="","",AL32-AR32)</f>
        <v/>
      </c>
      <c r="AV32" s="85" t="str">
        <f aca="false">IF(A32="","",N(AE32)+N(AF32))</f>
        <v/>
      </c>
      <c r="AW32" s="85" t="str">
        <f aca="false">IF(A32="","",AT32-AV32)</f>
        <v/>
      </c>
      <c r="AX32" s="86" t="str">
        <f aca="false">IF(A32="","",IF(N(V32)&lt;=1,AI32,IF(AI32&gt;0,ROUNDDOWN(AI32/N(V32),0),IF($B$3="Y",ROUNDDOWN(N(Y32)/N(V32),0),0))))</f>
        <v/>
      </c>
      <c r="AY32" s="87" t="str">
        <f aca="false">IF(A32="","",AJ32-AI32+AX32)</f>
        <v/>
      </c>
      <c r="AZ32" s="88" t="str">
        <f aca="false">IF(A32="","",A32&amp;"|"&amp;TEXT(D32,"yyyymm"))</f>
        <v/>
      </c>
    </row>
    <row r="33" customFormat="false" ht="15" hidden="false" customHeight="false" outlineLevel="0" collapsed="false">
      <c r="A33" s="26"/>
      <c r="B33" s="82"/>
      <c r="C33" s="82"/>
      <c r="D33" s="65"/>
      <c r="E33" s="27"/>
      <c r="F33" s="27"/>
      <c r="G33" s="27"/>
      <c r="H33" s="27"/>
      <c r="I33" s="27"/>
      <c r="J33" s="27"/>
      <c r="K33" s="84"/>
      <c r="L33" s="27"/>
      <c r="M33" s="27"/>
      <c r="N33" s="27"/>
      <c r="O33" s="27"/>
      <c r="P33" s="27"/>
      <c r="Q33" s="27"/>
      <c r="R33" s="27"/>
      <c r="S33" s="27"/>
      <c r="T33" s="27"/>
      <c r="U33" s="27"/>
      <c r="V33" s="26"/>
      <c r="W33" s="27"/>
      <c r="X33" s="27"/>
      <c r="Y33" s="27"/>
      <c r="Z33" s="27"/>
      <c r="AA33" s="26"/>
      <c r="AB33" s="27"/>
      <c r="AC33" s="27"/>
      <c r="AD33" s="27"/>
      <c r="AE33" s="27"/>
      <c r="AF33" s="27"/>
      <c r="AG33" s="82"/>
      <c r="AH33" s="85" t="str">
        <f aca="false">IF(A33="","",ROUNDDOWN((N(E33)+N(F33)+N(I33)+N(J33))*IF(K33="",$B$2,K33),0))</f>
        <v/>
      </c>
      <c r="AI33" s="85" t="str">
        <f aca="false">IF(A33="","",N(W33)+N(X33))</f>
        <v/>
      </c>
      <c r="AJ33" s="85" t="str">
        <f aca="false">IF(A33="","",SUM(E33:U33)-N(K33)+AH33+AI33)</f>
        <v/>
      </c>
      <c r="AK33" s="85" t="str">
        <f aca="false">IF(A33="","",N(W33))</f>
        <v/>
      </c>
      <c r="AL33" s="85" t="str">
        <f aca="false">IF(A33="","",AJ33-AK33)</f>
        <v/>
      </c>
      <c r="AM33" s="85" t="str">
        <f aca="false">IF(A33="","",ROUNDDOWN(N(Z33)*設定!$B$13/1000,0))</f>
        <v/>
      </c>
      <c r="AN33" s="85" t="str">
        <f aca="false">IF(A33="","",ROUNDDOWN(N(Z33)*設定!$B$15/1000,0))</f>
        <v/>
      </c>
      <c r="AO33" s="85" t="str">
        <f aca="false">IF(A33="","",ROUNDDOWN(N(Z33)*設定!$B$10/1000,0))</f>
        <v/>
      </c>
      <c r="AP33" s="85" t="str">
        <f aca="false">IF(A33="","",ROUNDDOWN(N(Z33)*設定!$B$11/1000,0))</f>
        <v/>
      </c>
      <c r="AQ33" s="85" t="str">
        <f aca="false">IF(A33="","",IF(AA33="Y",ROUNDDOWN(N(Z33)*設定!$B$14/1000,0),0))</f>
        <v/>
      </c>
      <c r="AR33" s="85" t="str">
        <f aca="false">IF(A33="","",SUM(AM33:AQ33))</f>
        <v/>
      </c>
      <c r="AS33" s="85" t="str">
        <f aca="false">IF(A33="","",N(AB33)+N(AC33)+AR33+N(AD33))</f>
        <v/>
      </c>
      <c r="AT33" s="85" t="str">
        <f aca="false">IF(A33="","",AJ33-AS33)</f>
        <v/>
      </c>
      <c r="AU33" s="85" t="str">
        <f aca="false">IF(A33="","",AL33-AR33)</f>
        <v/>
      </c>
      <c r="AV33" s="85" t="str">
        <f aca="false">IF(A33="","",N(AE33)+N(AF33))</f>
        <v/>
      </c>
      <c r="AW33" s="85" t="str">
        <f aca="false">IF(A33="","",AT33-AV33)</f>
        <v/>
      </c>
      <c r="AX33" s="86" t="str">
        <f aca="false">IF(A33="","",IF(N(V33)&lt;=1,AI33,IF(AI33&gt;0,ROUNDDOWN(AI33/N(V33),0),IF($B$3="Y",ROUNDDOWN(N(Y33)/N(V33),0),0))))</f>
        <v/>
      </c>
      <c r="AY33" s="87" t="str">
        <f aca="false">IF(A33="","",AJ33-AI33+AX33)</f>
        <v/>
      </c>
      <c r="AZ33" s="88" t="str">
        <f aca="false">IF(A33="","",A33&amp;"|"&amp;TEXT(D33,"yyyymm"))</f>
        <v/>
      </c>
    </row>
    <row r="34" customFormat="false" ht="15" hidden="false" customHeight="false" outlineLevel="0" collapsed="false">
      <c r="A34" s="26"/>
      <c r="B34" s="82"/>
      <c r="C34" s="82"/>
      <c r="D34" s="65"/>
      <c r="E34" s="27"/>
      <c r="F34" s="27"/>
      <c r="G34" s="27"/>
      <c r="H34" s="27"/>
      <c r="I34" s="27"/>
      <c r="J34" s="27"/>
      <c r="K34" s="84"/>
      <c r="L34" s="27"/>
      <c r="M34" s="27"/>
      <c r="N34" s="27"/>
      <c r="O34" s="27"/>
      <c r="P34" s="27"/>
      <c r="Q34" s="27"/>
      <c r="R34" s="27"/>
      <c r="S34" s="27"/>
      <c r="T34" s="27"/>
      <c r="U34" s="27"/>
      <c r="V34" s="26"/>
      <c r="W34" s="27"/>
      <c r="X34" s="27"/>
      <c r="Y34" s="27"/>
      <c r="Z34" s="27"/>
      <c r="AA34" s="26"/>
      <c r="AB34" s="27"/>
      <c r="AC34" s="27"/>
      <c r="AD34" s="27"/>
      <c r="AE34" s="27"/>
      <c r="AF34" s="27"/>
      <c r="AG34" s="82"/>
      <c r="AH34" s="85" t="str">
        <f aca="false">IF(A34="","",ROUNDDOWN((N(E34)+N(F34)+N(I34)+N(J34))*IF(K34="",$B$2,K34),0))</f>
        <v/>
      </c>
      <c r="AI34" s="85" t="str">
        <f aca="false">IF(A34="","",N(W34)+N(X34))</f>
        <v/>
      </c>
      <c r="AJ34" s="85" t="str">
        <f aca="false">IF(A34="","",SUM(E34:U34)-N(K34)+AH34+AI34)</f>
        <v/>
      </c>
      <c r="AK34" s="85" t="str">
        <f aca="false">IF(A34="","",N(W34))</f>
        <v/>
      </c>
      <c r="AL34" s="85" t="str">
        <f aca="false">IF(A34="","",AJ34-AK34)</f>
        <v/>
      </c>
      <c r="AM34" s="85" t="str">
        <f aca="false">IF(A34="","",ROUNDDOWN(N(Z34)*設定!$B$13/1000,0))</f>
        <v/>
      </c>
      <c r="AN34" s="85" t="str">
        <f aca="false">IF(A34="","",ROUNDDOWN(N(Z34)*設定!$B$15/1000,0))</f>
        <v/>
      </c>
      <c r="AO34" s="85" t="str">
        <f aca="false">IF(A34="","",ROUNDDOWN(N(Z34)*設定!$B$10/1000,0))</f>
        <v/>
      </c>
      <c r="AP34" s="85" t="str">
        <f aca="false">IF(A34="","",ROUNDDOWN(N(Z34)*設定!$B$11/1000,0))</f>
        <v/>
      </c>
      <c r="AQ34" s="85" t="str">
        <f aca="false">IF(A34="","",IF(AA34="Y",ROUNDDOWN(N(Z34)*設定!$B$14/1000,0),0))</f>
        <v/>
      </c>
      <c r="AR34" s="85" t="str">
        <f aca="false">IF(A34="","",SUM(AM34:AQ34))</f>
        <v/>
      </c>
      <c r="AS34" s="85" t="str">
        <f aca="false">IF(A34="","",N(AB34)+N(AC34)+AR34+N(AD34))</f>
        <v/>
      </c>
      <c r="AT34" s="85" t="str">
        <f aca="false">IF(A34="","",AJ34-AS34)</f>
        <v/>
      </c>
      <c r="AU34" s="85" t="str">
        <f aca="false">IF(A34="","",AL34-AR34)</f>
        <v/>
      </c>
      <c r="AV34" s="85" t="str">
        <f aca="false">IF(A34="","",N(AE34)+N(AF34))</f>
        <v/>
      </c>
      <c r="AW34" s="85" t="str">
        <f aca="false">IF(A34="","",AT34-AV34)</f>
        <v/>
      </c>
      <c r="AX34" s="86" t="str">
        <f aca="false">IF(A34="","",IF(N(V34)&lt;=1,AI34,IF(AI34&gt;0,ROUNDDOWN(AI34/N(V34),0),IF($B$3="Y",ROUNDDOWN(N(Y34)/N(V34),0),0))))</f>
        <v/>
      </c>
      <c r="AY34" s="87" t="str">
        <f aca="false">IF(A34="","",AJ34-AI34+AX34)</f>
        <v/>
      </c>
      <c r="AZ34" s="88" t="str">
        <f aca="false">IF(A34="","",A34&amp;"|"&amp;TEXT(D34,"yyyymm"))</f>
        <v/>
      </c>
    </row>
    <row r="35" customFormat="false" ht="15" hidden="false" customHeight="false" outlineLevel="0" collapsed="false">
      <c r="A35" s="26"/>
      <c r="B35" s="82"/>
      <c r="C35" s="82"/>
      <c r="D35" s="65"/>
      <c r="E35" s="27"/>
      <c r="F35" s="27"/>
      <c r="G35" s="27"/>
      <c r="H35" s="27"/>
      <c r="I35" s="27"/>
      <c r="J35" s="27"/>
      <c r="K35" s="84"/>
      <c r="L35" s="27"/>
      <c r="M35" s="27"/>
      <c r="N35" s="27"/>
      <c r="O35" s="27"/>
      <c r="P35" s="27"/>
      <c r="Q35" s="27"/>
      <c r="R35" s="27"/>
      <c r="S35" s="27"/>
      <c r="T35" s="27"/>
      <c r="U35" s="27"/>
      <c r="V35" s="26"/>
      <c r="W35" s="27"/>
      <c r="X35" s="27"/>
      <c r="Y35" s="27"/>
      <c r="Z35" s="27"/>
      <c r="AA35" s="26"/>
      <c r="AB35" s="27"/>
      <c r="AC35" s="27"/>
      <c r="AD35" s="27"/>
      <c r="AE35" s="27"/>
      <c r="AF35" s="27"/>
      <c r="AG35" s="82"/>
      <c r="AH35" s="85" t="str">
        <f aca="false">IF(A35="","",ROUNDDOWN((N(E35)+N(F35)+N(I35)+N(J35))*IF(K35="",$B$2,K35),0))</f>
        <v/>
      </c>
      <c r="AI35" s="85" t="str">
        <f aca="false">IF(A35="","",N(W35)+N(X35))</f>
        <v/>
      </c>
      <c r="AJ35" s="85" t="str">
        <f aca="false">IF(A35="","",SUM(E35:U35)-N(K35)+AH35+AI35)</f>
        <v/>
      </c>
      <c r="AK35" s="85" t="str">
        <f aca="false">IF(A35="","",N(W35))</f>
        <v/>
      </c>
      <c r="AL35" s="85" t="str">
        <f aca="false">IF(A35="","",AJ35-AK35)</f>
        <v/>
      </c>
      <c r="AM35" s="85" t="str">
        <f aca="false">IF(A35="","",ROUNDDOWN(N(Z35)*設定!$B$13/1000,0))</f>
        <v/>
      </c>
      <c r="AN35" s="85" t="str">
        <f aca="false">IF(A35="","",ROUNDDOWN(N(Z35)*設定!$B$15/1000,0))</f>
        <v/>
      </c>
      <c r="AO35" s="85" t="str">
        <f aca="false">IF(A35="","",ROUNDDOWN(N(Z35)*設定!$B$10/1000,0))</f>
        <v/>
      </c>
      <c r="AP35" s="85" t="str">
        <f aca="false">IF(A35="","",ROUNDDOWN(N(Z35)*設定!$B$11/1000,0))</f>
        <v/>
      </c>
      <c r="AQ35" s="85" t="str">
        <f aca="false">IF(A35="","",IF(AA35="Y",ROUNDDOWN(N(Z35)*設定!$B$14/1000,0),0))</f>
        <v/>
      </c>
      <c r="AR35" s="85" t="str">
        <f aca="false">IF(A35="","",SUM(AM35:AQ35))</f>
        <v/>
      </c>
      <c r="AS35" s="85" t="str">
        <f aca="false">IF(A35="","",N(AB35)+N(AC35)+AR35+N(AD35))</f>
        <v/>
      </c>
      <c r="AT35" s="85" t="str">
        <f aca="false">IF(A35="","",AJ35-AS35)</f>
        <v/>
      </c>
      <c r="AU35" s="85" t="str">
        <f aca="false">IF(A35="","",AL35-AR35)</f>
        <v/>
      </c>
      <c r="AV35" s="85" t="str">
        <f aca="false">IF(A35="","",N(AE35)+N(AF35))</f>
        <v/>
      </c>
      <c r="AW35" s="85" t="str">
        <f aca="false">IF(A35="","",AT35-AV35)</f>
        <v/>
      </c>
      <c r="AX35" s="86" t="str">
        <f aca="false">IF(A35="","",IF(N(V35)&lt;=1,AI35,IF(AI35&gt;0,ROUNDDOWN(AI35/N(V35),0),IF($B$3="Y",ROUNDDOWN(N(Y35)/N(V35),0),0))))</f>
        <v/>
      </c>
      <c r="AY35" s="87" t="str">
        <f aca="false">IF(A35="","",AJ35-AI35+AX35)</f>
        <v/>
      </c>
      <c r="AZ35" s="88" t="str">
        <f aca="false">IF(A35="","",A35&amp;"|"&amp;TEXT(D35,"yyyymm"))</f>
        <v/>
      </c>
    </row>
    <row r="36" customFormat="false" ht="15" hidden="false" customHeight="false" outlineLevel="0" collapsed="false">
      <c r="A36" s="26"/>
      <c r="B36" s="82"/>
      <c r="C36" s="82"/>
      <c r="D36" s="65"/>
      <c r="E36" s="27"/>
      <c r="F36" s="27"/>
      <c r="G36" s="27"/>
      <c r="H36" s="27"/>
      <c r="I36" s="27"/>
      <c r="J36" s="27"/>
      <c r="K36" s="84"/>
      <c r="L36" s="27"/>
      <c r="M36" s="27"/>
      <c r="N36" s="27"/>
      <c r="O36" s="27"/>
      <c r="P36" s="27"/>
      <c r="Q36" s="27"/>
      <c r="R36" s="27"/>
      <c r="S36" s="27"/>
      <c r="T36" s="27"/>
      <c r="U36" s="27"/>
      <c r="V36" s="26"/>
      <c r="W36" s="27"/>
      <c r="X36" s="27"/>
      <c r="Y36" s="27"/>
      <c r="Z36" s="27"/>
      <c r="AA36" s="26"/>
      <c r="AB36" s="27"/>
      <c r="AC36" s="27"/>
      <c r="AD36" s="27"/>
      <c r="AE36" s="27"/>
      <c r="AF36" s="27"/>
      <c r="AG36" s="82"/>
      <c r="AH36" s="85" t="str">
        <f aca="false">IF(A36="","",ROUNDDOWN((N(E36)+N(F36)+N(I36)+N(J36))*IF(K36="",$B$2,K36),0))</f>
        <v/>
      </c>
      <c r="AI36" s="85" t="str">
        <f aca="false">IF(A36="","",N(W36)+N(X36))</f>
        <v/>
      </c>
      <c r="AJ36" s="85" t="str">
        <f aca="false">IF(A36="","",SUM(E36:U36)-N(K36)+AH36+AI36)</f>
        <v/>
      </c>
      <c r="AK36" s="85" t="str">
        <f aca="false">IF(A36="","",N(W36))</f>
        <v/>
      </c>
      <c r="AL36" s="85" t="str">
        <f aca="false">IF(A36="","",AJ36-AK36)</f>
        <v/>
      </c>
      <c r="AM36" s="85" t="str">
        <f aca="false">IF(A36="","",ROUNDDOWN(N(Z36)*設定!$B$13/1000,0))</f>
        <v/>
      </c>
      <c r="AN36" s="85" t="str">
        <f aca="false">IF(A36="","",ROUNDDOWN(N(Z36)*設定!$B$15/1000,0))</f>
        <v/>
      </c>
      <c r="AO36" s="85" t="str">
        <f aca="false">IF(A36="","",ROUNDDOWN(N(Z36)*設定!$B$10/1000,0))</f>
        <v/>
      </c>
      <c r="AP36" s="85" t="str">
        <f aca="false">IF(A36="","",ROUNDDOWN(N(Z36)*設定!$B$11/1000,0))</f>
        <v/>
      </c>
      <c r="AQ36" s="85" t="str">
        <f aca="false">IF(A36="","",IF(AA36="Y",ROUNDDOWN(N(Z36)*設定!$B$14/1000,0),0))</f>
        <v/>
      </c>
      <c r="AR36" s="85" t="str">
        <f aca="false">IF(A36="","",SUM(AM36:AQ36))</f>
        <v/>
      </c>
      <c r="AS36" s="85" t="str">
        <f aca="false">IF(A36="","",N(AB36)+N(AC36)+AR36+N(AD36))</f>
        <v/>
      </c>
      <c r="AT36" s="85" t="str">
        <f aca="false">IF(A36="","",AJ36-AS36)</f>
        <v/>
      </c>
      <c r="AU36" s="85" t="str">
        <f aca="false">IF(A36="","",AL36-AR36)</f>
        <v/>
      </c>
      <c r="AV36" s="85" t="str">
        <f aca="false">IF(A36="","",N(AE36)+N(AF36))</f>
        <v/>
      </c>
      <c r="AW36" s="85" t="str">
        <f aca="false">IF(A36="","",AT36-AV36)</f>
        <v/>
      </c>
      <c r="AX36" s="86" t="str">
        <f aca="false">IF(A36="","",IF(N(V36)&lt;=1,AI36,IF(AI36&gt;0,ROUNDDOWN(AI36/N(V36),0),IF($B$3="Y",ROUNDDOWN(N(Y36)/N(V36),0),0))))</f>
        <v/>
      </c>
      <c r="AY36" s="87" t="str">
        <f aca="false">IF(A36="","",AJ36-AI36+AX36)</f>
        <v/>
      </c>
      <c r="AZ36" s="88" t="str">
        <f aca="false">IF(A36="","",A36&amp;"|"&amp;TEXT(D36,"yyyymm"))</f>
        <v/>
      </c>
    </row>
    <row r="37" customFormat="false" ht="15" hidden="false" customHeight="false" outlineLevel="0" collapsed="false">
      <c r="A37" s="26"/>
      <c r="B37" s="82"/>
      <c r="C37" s="82"/>
      <c r="D37" s="65"/>
      <c r="E37" s="27"/>
      <c r="F37" s="27"/>
      <c r="G37" s="27"/>
      <c r="H37" s="27"/>
      <c r="I37" s="27"/>
      <c r="J37" s="27"/>
      <c r="K37" s="84"/>
      <c r="L37" s="27"/>
      <c r="M37" s="27"/>
      <c r="N37" s="27"/>
      <c r="O37" s="27"/>
      <c r="P37" s="27"/>
      <c r="Q37" s="27"/>
      <c r="R37" s="27"/>
      <c r="S37" s="27"/>
      <c r="T37" s="27"/>
      <c r="U37" s="27"/>
      <c r="V37" s="26"/>
      <c r="W37" s="27"/>
      <c r="X37" s="27"/>
      <c r="Y37" s="27"/>
      <c r="Z37" s="27"/>
      <c r="AA37" s="26"/>
      <c r="AB37" s="27"/>
      <c r="AC37" s="27"/>
      <c r="AD37" s="27"/>
      <c r="AE37" s="27"/>
      <c r="AF37" s="27"/>
      <c r="AG37" s="82"/>
      <c r="AH37" s="85" t="str">
        <f aca="false">IF(A37="","",ROUNDDOWN((N(E37)+N(F37)+N(I37)+N(J37))*IF(K37="",$B$2,K37),0))</f>
        <v/>
      </c>
      <c r="AI37" s="85" t="str">
        <f aca="false">IF(A37="","",N(W37)+N(X37))</f>
        <v/>
      </c>
      <c r="AJ37" s="85" t="str">
        <f aca="false">IF(A37="","",SUM(E37:U37)-N(K37)+AH37+AI37)</f>
        <v/>
      </c>
      <c r="AK37" s="85" t="str">
        <f aca="false">IF(A37="","",N(W37))</f>
        <v/>
      </c>
      <c r="AL37" s="85" t="str">
        <f aca="false">IF(A37="","",AJ37-AK37)</f>
        <v/>
      </c>
      <c r="AM37" s="85" t="str">
        <f aca="false">IF(A37="","",ROUNDDOWN(N(Z37)*設定!$B$13/1000,0))</f>
        <v/>
      </c>
      <c r="AN37" s="85" t="str">
        <f aca="false">IF(A37="","",ROUNDDOWN(N(Z37)*設定!$B$15/1000,0))</f>
        <v/>
      </c>
      <c r="AO37" s="85" t="str">
        <f aca="false">IF(A37="","",ROUNDDOWN(N(Z37)*設定!$B$10/1000,0))</f>
        <v/>
      </c>
      <c r="AP37" s="85" t="str">
        <f aca="false">IF(A37="","",ROUNDDOWN(N(Z37)*設定!$B$11/1000,0))</f>
        <v/>
      </c>
      <c r="AQ37" s="85" t="str">
        <f aca="false">IF(A37="","",IF(AA37="Y",ROUNDDOWN(N(Z37)*設定!$B$14/1000,0),0))</f>
        <v/>
      </c>
      <c r="AR37" s="85" t="str">
        <f aca="false">IF(A37="","",SUM(AM37:AQ37))</f>
        <v/>
      </c>
      <c r="AS37" s="85" t="str">
        <f aca="false">IF(A37="","",N(AB37)+N(AC37)+AR37+N(AD37))</f>
        <v/>
      </c>
      <c r="AT37" s="85" t="str">
        <f aca="false">IF(A37="","",AJ37-AS37)</f>
        <v/>
      </c>
      <c r="AU37" s="85" t="str">
        <f aca="false">IF(A37="","",AL37-AR37)</f>
        <v/>
      </c>
      <c r="AV37" s="85" t="str">
        <f aca="false">IF(A37="","",N(AE37)+N(AF37))</f>
        <v/>
      </c>
      <c r="AW37" s="85" t="str">
        <f aca="false">IF(A37="","",AT37-AV37)</f>
        <v/>
      </c>
      <c r="AX37" s="86" t="str">
        <f aca="false">IF(A37="","",IF(N(V37)&lt;=1,AI37,IF(AI37&gt;0,ROUNDDOWN(AI37/N(V37),0),IF($B$3="Y",ROUNDDOWN(N(Y37)/N(V37),0),0))))</f>
        <v/>
      </c>
      <c r="AY37" s="87" t="str">
        <f aca="false">IF(A37="","",AJ37-AI37+AX37)</f>
        <v/>
      </c>
      <c r="AZ37" s="88" t="str">
        <f aca="false">IF(A37="","",A37&amp;"|"&amp;TEXT(D37,"yyyymm"))</f>
        <v/>
      </c>
    </row>
    <row r="38" customFormat="false" ht="15" hidden="false" customHeight="false" outlineLevel="0" collapsed="false">
      <c r="A38" s="26"/>
      <c r="B38" s="82"/>
      <c r="C38" s="82"/>
      <c r="D38" s="65"/>
      <c r="E38" s="27"/>
      <c r="F38" s="27"/>
      <c r="G38" s="27"/>
      <c r="H38" s="27"/>
      <c r="I38" s="27"/>
      <c r="J38" s="27"/>
      <c r="K38" s="84"/>
      <c r="L38" s="27"/>
      <c r="M38" s="27"/>
      <c r="N38" s="27"/>
      <c r="O38" s="27"/>
      <c r="P38" s="27"/>
      <c r="Q38" s="27"/>
      <c r="R38" s="27"/>
      <c r="S38" s="27"/>
      <c r="T38" s="27"/>
      <c r="U38" s="27"/>
      <c r="V38" s="26"/>
      <c r="W38" s="27"/>
      <c r="X38" s="27"/>
      <c r="Y38" s="27"/>
      <c r="Z38" s="27"/>
      <c r="AA38" s="26"/>
      <c r="AB38" s="27"/>
      <c r="AC38" s="27"/>
      <c r="AD38" s="27"/>
      <c r="AE38" s="27"/>
      <c r="AF38" s="27"/>
      <c r="AG38" s="82"/>
      <c r="AH38" s="85" t="str">
        <f aca="false">IF(A38="","",ROUNDDOWN((N(E38)+N(F38)+N(I38)+N(J38))*IF(K38="",$B$2,K38),0))</f>
        <v/>
      </c>
      <c r="AI38" s="85" t="str">
        <f aca="false">IF(A38="","",N(W38)+N(X38))</f>
        <v/>
      </c>
      <c r="AJ38" s="85" t="str">
        <f aca="false">IF(A38="","",SUM(E38:U38)-N(K38)+AH38+AI38)</f>
        <v/>
      </c>
      <c r="AK38" s="85" t="str">
        <f aca="false">IF(A38="","",N(W38))</f>
        <v/>
      </c>
      <c r="AL38" s="85" t="str">
        <f aca="false">IF(A38="","",AJ38-AK38)</f>
        <v/>
      </c>
      <c r="AM38" s="85" t="str">
        <f aca="false">IF(A38="","",ROUNDDOWN(N(Z38)*設定!$B$13/1000,0))</f>
        <v/>
      </c>
      <c r="AN38" s="85" t="str">
        <f aca="false">IF(A38="","",ROUNDDOWN(N(Z38)*設定!$B$15/1000,0))</f>
        <v/>
      </c>
      <c r="AO38" s="85" t="str">
        <f aca="false">IF(A38="","",ROUNDDOWN(N(Z38)*設定!$B$10/1000,0))</f>
        <v/>
      </c>
      <c r="AP38" s="85" t="str">
        <f aca="false">IF(A38="","",ROUNDDOWN(N(Z38)*設定!$B$11/1000,0))</f>
        <v/>
      </c>
      <c r="AQ38" s="85" t="str">
        <f aca="false">IF(A38="","",IF(AA38="Y",ROUNDDOWN(N(Z38)*設定!$B$14/1000,0),0))</f>
        <v/>
      </c>
      <c r="AR38" s="85" t="str">
        <f aca="false">IF(A38="","",SUM(AM38:AQ38))</f>
        <v/>
      </c>
      <c r="AS38" s="85" t="str">
        <f aca="false">IF(A38="","",N(AB38)+N(AC38)+AR38+N(AD38))</f>
        <v/>
      </c>
      <c r="AT38" s="85" t="str">
        <f aca="false">IF(A38="","",AJ38-AS38)</f>
        <v/>
      </c>
      <c r="AU38" s="85" t="str">
        <f aca="false">IF(A38="","",AL38-AR38)</f>
        <v/>
      </c>
      <c r="AV38" s="85" t="str">
        <f aca="false">IF(A38="","",N(AE38)+N(AF38))</f>
        <v/>
      </c>
      <c r="AW38" s="85" t="str">
        <f aca="false">IF(A38="","",AT38-AV38)</f>
        <v/>
      </c>
      <c r="AX38" s="86" t="str">
        <f aca="false">IF(A38="","",IF(N(V38)&lt;=1,AI38,IF(AI38&gt;0,ROUNDDOWN(AI38/N(V38),0),IF($B$3="Y",ROUNDDOWN(N(Y38)/N(V38),0),0))))</f>
        <v/>
      </c>
      <c r="AY38" s="87" t="str">
        <f aca="false">IF(A38="","",AJ38-AI38+AX38)</f>
        <v/>
      </c>
      <c r="AZ38" s="88" t="str">
        <f aca="false">IF(A38="","",A38&amp;"|"&amp;TEXT(D38,"yyyymm"))</f>
        <v/>
      </c>
    </row>
    <row r="39" customFormat="false" ht="15" hidden="false" customHeight="false" outlineLevel="0" collapsed="false">
      <c r="A39" s="26"/>
      <c r="B39" s="82"/>
      <c r="C39" s="82"/>
      <c r="D39" s="65"/>
      <c r="E39" s="27"/>
      <c r="F39" s="27"/>
      <c r="G39" s="27"/>
      <c r="H39" s="27"/>
      <c r="I39" s="27"/>
      <c r="J39" s="27"/>
      <c r="K39" s="84"/>
      <c r="L39" s="27"/>
      <c r="M39" s="27"/>
      <c r="N39" s="27"/>
      <c r="O39" s="27"/>
      <c r="P39" s="27"/>
      <c r="Q39" s="27"/>
      <c r="R39" s="27"/>
      <c r="S39" s="27"/>
      <c r="T39" s="27"/>
      <c r="U39" s="27"/>
      <c r="V39" s="26"/>
      <c r="W39" s="27"/>
      <c r="X39" s="27"/>
      <c r="Y39" s="27"/>
      <c r="Z39" s="27"/>
      <c r="AA39" s="26"/>
      <c r="AB39" s="27"/>
      <c r="AC39" s="27"/>
      <c r="AD39" s="27"/>
      <c r="AE39" s="27"/>
      <c r="AF39" s="27"/>
      <c r="AG39" s="82"/>
      <c r="AH39" s="85" t="str">
        <f aca="false">IF(A39="","",ROUNDDOWN((N(E39)+N(F39)+N(I39)+N(J39))*IF(K39="",$B$2,K39),0))</f>
        <v/>
      </c>
      <c r="AI39" s="85" t="str">
        <f aca="false">IF(A39="","",N(W39)+N(X39))</f>
        <v/>
      </c>
      <c r="AJ39" s="85" t="str">
        <f aca="false">IF(A39="","",SUM(E39:U39)-N(K39)+AH39+AI39)</f>
        <v/>
      </c>
      <c r="AK39" s="85" t="str">
        <f aca="false">IF(A39="","",N(W39))</f>
        <v/>
      </c>
      <c r="AL39" s="85" t="str">
        <f aca="false">IF(A39="","",AJ39-AK39)</f>
        <v/>
      </c>
      <c r="AM39" s="85" t="str">
        <f aca="false">IF(A39="","",ROUNDDOWN(N(Z39)*設定!$B$13/1000,0))</f>
        <v/>
      </c>
      <c r="AN39" s="85" t="str">
        <f aca="false">IF(A39="","",ROUNDDOWN(N(Z39)*設定!$B$15/1000,0))</f>
        <v/>
      </c>
      <c r="AO39" s="85" t="str">
        <f aca="false">IF(A39="","",ROUNDDOWN(N(Z39)*設定!$B$10/1000,0))</f>
        <v/>
      </c>
      <c r="AP39" s="85" t="str">
        <f aca="false">IF(A39="","",ROUNDDOWN(N(Z39)*設定!$B$11/1000,0))</f>
        <v/>
      </c>
      <c r="AQ39" s="85" t="str">
        <f aca="false">IF(A39="","",IF(AA39="Y",ROUNDDOWN(N(Z39)*設定!$B$14/1000,0),0))</f>
        <v/>
      </c>
      <c r="AR39" s="85" t="str">
        <f aca="false">IF(A39="","",SUM(AM39:AQ39))</f>
        <v/>
      </c>
      <c r="AS39" s="85" t="str">
        <f aca="false">IF(A39="","",N(AB39)+N(AC39)+AR39+N(AD39))</f>
        <v/>
      </c>
      <c r="AT39" s="85" t="str">
        <f aca="false">IF(A39="","",AJ39-AS39)</f>
        <v/>
      </c>
      <c r="AU39" s="85" t="str">
        <f aca="false">IF(A39="","",AL39-AR39)</f>
        <v/>
      </c>
      <c r="AV39" s="85" t="str">
        <f aca="false">IF(A39="","",N(AE39)+N(AF39))</f>
        <v/>
      </c>
      <c r="AW39" s="85" t="str">
        <f aca="false">IF(A39="","",AT39-AV39)</f>
        <v/>
      </c>
      <c r="AX39" s="86" t="str">
        <f aca="false">IF(A39="","",IF(N(V39)&lt;=1,AI39,IF(AI39&gt;0,ROUNDDOWN(AI39/N(V39),0),IF($B$3="Y",ROUNDDOWN(N(Y39)/N(V39),0),0))))</f>
        <v/>
      </c>
      <c r="AY39" s="87" t="str">
        <f aca="false">IF(A39="","",AJ39-AI39+AX39)</f>
        <v/>
      </c>
      <c r="AZ39" s="88" t="str">
        <f aca="false">IF(A39="","",A39&amp;"|"&amp;TEXT(D39,"yyyymm"))</f>
        <v/>
      </c>
    </row>
    <row r="40" customFormat="false" ht="15" hidden="false" customHeight="false" outlineLevel="0" collapsed="false">
      <c r="A40" s="26"/>
      <c r="B40" s="82"/>
      <c r="C40" s="82"/>
      <c r="D40" s="65"/>
      <c r="E40" s="27"/>
      <c r="F40" s="27"/>
      <c r="G40" s="27"/>
      <c r="H40" s="27"/>
      <c r="I40" s="27"/>
      <c r="J40" s="27"/>
      <c r="K40" s="84"/>
      <c r="L40" s="27"/>
      <c r="M40" s="27"/>
      <c r="N40" s="27"/>
      <c r="O40" s="27"/>
      <c r="P40" s="27"/>
      <c r="Q40" s="27"/>
      <c r="R40" s="27"/>
      <c r="S40" s="27"/>
      <c r="T40" s="27"/>
      <c r="U40" s="27"/>
      <c r="V40" s="26"/>
      <c r="W40" s="27"/>
      <c r="X40" s="27"/>
      <c r="Y40" s="27"/>
      <c r="Z40" s="27"/>
      <c r="AA40" s="26"/>
      <c r="AB40" s="27"/>
      <c r="AC40" s="27"/>
      <c r="AD40" s="27"/>
      <c r="AE40" s="27"/>
      <c r="AF40" s="27"/>
      <c r="AG40" s="82"/>
      <c r="AH40" s="85" t="str">
        <f aca="false">IF(A40="","",ROUNDDOWN((N(E40)+N(F40)+N(I40)+N(J40))*IF(K40="",$B$2,K40),0))</f>
        <v/>
      </c>
      <c r="AI40" s="85" t="str">
        <f aca="false">IF(A40="","",N(W40)+N(X40))</f>
        <v/>
      </c>
      <c r="AJ40" s="85" t="str">
        <f aca="false">IF(A40="","",SUM(E40:U40)-N(K40)+AH40+AI40)</f>
        <v/>
      </c>
      <c r="AK40" s="85" t="str">
        <f aca="false">IF(A40="","",N(W40))</f>
        <v/>
      </c>
      <c r="AL40" s="85" t="str">
        <f aca="false">IF(A40="","",AJ40-AK40)</f>
        <v/>
      </c>
      <c r="AM40" s="85" t="str">
        <f aca="false">IF(A40="","",ROUNDDOWN(N(Z40)*設定!$B$13/1000,0))</f>
        <v/>
      </c>
      <c r="AN40" s="85" t="str">
        <f aca="false">IF(A40="","",ROUNDDOWN(N(Z40)*設定!$B$15/1000,0))</f>
        <v/>
      </c>
      <c r="AO40" s="85" t="str">
        <f aca="false">IF(A40="","",ROUNDDOWN(N(Z40)*設定!$B$10/1000,0))</f>
        <v/>
      </c>
      <c r="AP40" s="85" t="str">
        <f aca="false">IF(A40="","",ROUNDDOWN(N(Z40)*設定!$B$11/1000,0))</f>
        <v/>
      </c>
      <c r="AQ40" s="85" t="str">
        <f aca="false">IF(A40="","",IF(AA40="Y",ROUNDDOWN(N(Z40)*設定!$B$14/1000,0),0))</f>
        <v/>
      </c>
      <c r="AR40" s="85" t="str">
        <f aca="false">IF(A40="","",SUM(AM40:AQ40))</f>
        <v/>
      </c>
      <c r="AS40" s="85" t="str">
        <f aca="false">IF(A40="","",N(AB40)+N(AC40)+AR40+N(AD40))</f>
        <v/>
      </c>
      <c r="AT40" s="85" t="str">
        <f aca="false">IF(A40="","",AJ40-AS40)</f>
        <v/>
      </c>
      <c r="AU40" s="85" t="str">
        <f aca="false">IF(A40="","",AL40-AR40)</f>
        <v/>
      </c>
      <c r="AV40" s="85" t="str">
        <f aca="false">IF(A40="","",N(AE40)+N(AF40))</f>
        <v/>
      </c>
      <c r="AW40" s="85" t="str">
        <f aca="false">IF(A40="","",AT40-AV40)</f>
        <v/>
      </c>
      <c r="AX40" s="86" t="str">
        <f aca="false">IF(A40="","",IF(N(V40)&lt;=1,AI40,IF(AI40&gt;0,ROUNDDOWN(AI40/N(V40),0),IF($B$3="Y",ROUNDDOWN(N(Y40)/N(V40),0),0))))</f>
        <v/>
      </c>
      <c r="AY40" s="87" t="str">
        <f aca="false">IF(A40="","",AJ40-AI40+AX40)</f>
        <v/>
      </c>
      <c r="AZ40" s="88" t="str">
        <f aca="false">IF(A40="","",A40&amp;"|"&amp;TEXT(D40,"yyyymm"))</f>
        <v/>
      </c>
    </row>
    <row r="41" customFormat="false" ht="15" hidden="false" customHeight="false" outlineLevel="0" collapsed="false">
      <c r="A41" s="26"/>
      <c r="B41" s="82"/>
      <c r="C41" s="82"/>
      <c r="D41" s="65"/>
      <c r="E41" s="27"/>
      <c r="F41" s="27"/>
      <c r="G41" s="27"/>
      <c r="H41" s="27"/>
      <c r="I41" s="27"/>
      <c r="J41" s="27"/>
      <c r="K41" s="84"/>
      <c r="L41" s="27"/>
      <c r="M41" s="27"/>
      <c r="N41" s="27"/>
      <c r="O41" s="27"/>
      <c r="P41" s="27"/>
      <c r="Q41" s="27"/>
      <c r="R41" s="27"/>
      <c r="S41" s="27"/>
      <c r="T41" s="27"/>
      <c r="U41" s="27"/>
      <c r="V41" s="26"/>
      <c r="W41" s="27"/>
      <c r="X41" s="27"/>
      <c r="Y41" s="27"/>
      <c r="Z41" s="27"/>
      <c r="AA41" s="26"/>
      <c r="AB41" s="27"/>
      <c r="AC41" s="27"/>
      <c r="AD41" s="27"/>
      <c r="AE41" s="27"/>
      <c r="AF41" s="27"/>
      <c r="AG41" s="82"/>
      <c r="AH41" s="85" t="str">
        <f aca="false">IF(A41="","",ROUNDDOWN((N(E41)+N(F41)+N(I41)+N(J41))*IF(K41="",$B$2,K41),0))</f>
        <v/>
      </c>
      <c r="AI41" s="85" t="str">
        <f aca="false">IF(A41="","",N(W41)+N(X41))</f>
        <v/>
      </c>
      <c r="AJ41" s="85" t="str">
        <f aca="false">IF(A41="","",SUM(E41:U41)-N(K41)+AH41+AI41)</f>
        <v/>
      </c>
      <c r="AK41" s="85" t="str">
        <f aca="false">IF(A41="","",N(W41))</f>
        <v/>
      </c>
      <c r="AL41" s="85" t="str">
        <f aca="false">IF(A41="","",AJ41-AK41)</f>
        <v/>
      </c>
      <c r="AM41" s="85" t="str">
        <f aca="false">IF(A41="","",ROUNDDOWN(N(Z41)*設定!$B$13/1000,0))</f>
        <v/>
      </c>
      <c r="AN41" s="85" t="str">
        <f aca="false">IF(A41="","",ROUNDDOWN(N(Z41)*設定!$B$15/1000,0))</f>
        <v/>
      </c>
      <c r="AO41" s="85" t="str">
        <f aca="false">IF(A41="","",ROUNDDOWN(N(Z41)*設定!$B$10/1000,0))</f>
        <v/>
      </c>
      <c r="AP41" s="85" t="str">
        <f aca="false">IF(A41="","",ROUNDDOWN(N(Z41)*設定!$B$11/1000,0))</f>
        <v/>
      </c>
      <c r="AQ41" s="85" t="str">
        <f aca="false">IF(A41="","",IF(AA41="Y",ROUNDDOWN(N(Z41)*設定!$B$14/1000,0),0))</f>
        <v/>
      </c>
      <c r="AR41" s="85" t="str">
        <f aca="false">IF(A41="","",SUM(AM41:AQ41))</f>
        <v/>
      </c>
      <c r="AS41" s="85" t="str">
        <f aca="false">IF(A41="","",N(AB41)+N(AC41)+AR41+N(AD41))</f>
        <v/>
      </c>
      <c r="AT41" s="85" t="str">
        <f aca="false">IF(A41="","",AJ41-AS41)</f>
        <v/>
      </c>
      <c r="AU41" s="85" t="str">
        <f aca="false">IF(A41="","",AL41-AR41)</f>
        <v/>
      </c>
      <c r="AV41" s="85" t="str">
        <f aca="false">IF(A41="","",N(AE41)+N(AF41))</f>
        <v/>
      </c>
      <c r="AW41" s="85" t="str">
        <f aca="false">IF(A41="","",AT41-AV41)</f>
        <v/>
      </c>
      <c r="AX41" s="86" t="str">
        <f aca="false">IF(A41="","",IF(N(V41)&lt;=1,AI41,IF(AI41&gt;0,ROUNDDOWN(AI41/N(V41),0),IF($B$3="Y",ROUNDDOWN(N(Y41)/N(V41),0),0))))</f>
        <v/>
      </c>
      <c r="AY41" s="87" t="str">
        <f aca="false">IF(A41="","",AJ41-AI41+AX41)</f>
        <v/>
      </c>
      <c r="AZ41" s="88" t="str">
        <f aca="false">IF(A41="","",A41&amp;"|"&amp;TEXT(D41,"yyyymm"))</f>
        <v/>
      </c>
    </row>
    <row r="42" customFormat="false" ht="15" hidden="false" customHeight="false" outlineLevel="0" collapsed="false">
      <c r="A42" s="26"/>
      <c r="B42" s="82"/>
      <c r="C42" s="82"/>
      <c r="D42" s="65"/>
      <c r="E42" s="27"/>
      <c r="F42" s="27"/>
      <c r="G42" s="27"/>
      <c r="H42" s="27"/>
      <c r="I42" s="27"/>
      <c r="J42" s="27"/>
      <c r="K42" s="84"/>
      <c r="L42" s="27"/>
      <c r="M42" s="27"/>
      <c r="N42" s="27"/>
      <c r="O42" s="27"/>
      <c r="P42" s="27"/>
      <c r="Q42" s="27"/>
      <c r="R42" s="27"/>
      <c r="S42" s="27"/>
      <c r="T42" s="27"/>
      <c r="U42" s="27"/>
      <c r="V42" s="26"/>
      <c r="W42" s="27"/>
      <c r="X42" s="27"/>
      <c r="Y42" s="27"/>
      <c r="Z42" s="27"/>
      <c r="AA42" s="26"/>
      <c r="AB42" s="27"/>
      <c r="AC42" s="27"/>
      <c r="AD42" s="27"/>
      <c r="AE42" s="27"/>
      <c r="AF42" s="27"/>
      <c r="AG42" s="82"/>
      <c r="AH42" s="85" t="str">
        <f aca="false">IF(A42="","",ROUNDDOWN((N(E42)+N(F42)+N(I42)+N(J42))*IF(K42="",$B$2,K42),0))</f>
        <v/>
      </c>
      <c r="AI42" s="85" t="str">
        <f aca="false">IF(A42="","",N(W42)+N(X42))</f>
        <v/>
      </c>
      <c r="AJ42" s="85" t="str">
        <f aca="false">IF(A42="","",SUM(E42:U42)-N(K42)+AH42+AI42)</f>
        <v/>
      </c>
      <c r="AK42" s="85" t="str">
        <f aca="false">IF(A42="","",N(W42))</f>
        <v/>
      </c>
      <c r="AL42" s="85" t="str">
        <f aca="false">IF(A42="","",AJ42-AK42)</f>
        <v/>
      </c>
      <c r="AM42" s="85" t="str">
        <f aca="false">IF(A42="","",ROUNDDOWN(N(Z42)*設定!$B$13/1000,0))</f>
        <v/>
      </c>
      <c r="AN42" s="85" t="str">
        <f aca="false">IF(A42="","",ROUNDDOWN(N(Z42)*設定!$B$15/1000,0))</f>
        <v/>
      </c>
      <c r="AO42" s="85" t="str">
        <f aca="false">IF(A42="","",ROUNDDOWN(N(Z42)*設定!$B$10/1000,0))</f>
        <v/>
      </c>
      <c r="AP42" s="85" t="str">
        <f aca="false">IF(A42="","",ROUNDDOWN(N(Z42)*設定!$B$11/1000,0))</f>
        <v/>
      </c>
      <c r="AQ42" s="85" t="str">
        <f aca="false">IF(A42="","",IF(AA42="Y",ROUNDDOWN(N(Z42)*設定!$B$14/1000,0),0))</f>
        <v/>
      </c>
      <c r="AR42" s="85" t="str">
        <f aca="false">IF(A42="","",SUM(AM42:AQ42))</f>
        <v/>
      </c>
      <c r="AS42" s="85" t="str">
        <f aca="false">IF(A42="","",N(AB42)+N(AC42)+AR42+N(AD42))</f>
        <v/>
      </c>
      <c r="AT42" s="85" t="str">
        <f aca="false">IF(A42="","",AJ42-AS42)</f>
        <v/>
      </c>
      <c r="AU42" s="85" t="str">
        <f aca="false">IF(A42="","",AL42-AR42)</f>
        <v/>
      </c>
      <c r="AV42" s="85" t="str">
        <f aca="false">IF(A42="","",N(AE42)+N(AF42))</f>
        <v/>
      </c>
      <c r="AW42" s="85" t="str">
        <f aca="false">IF(A42="","",AT42-AV42)</f>
        <v/>
      </c>
      <c r="AX42" s="86" t="str">
        <f aca="false">IF(A42="","",IF(N(V42)&lt;=1,AI42,IF(AI42&gt;0,ROUNDDOWN(AI42/N(V42),0),IF($B$3="Y",ROUNDDOWN(N(Y42)/N(V42),0),0))))</f>
        <v/>
      </c>
      <c r="AY42" s="87" t="str">
        <f aca="false">IF(A42="","",AJ42-AI42+AX42)</f>
        <v/>
      </c>
      <c r="AZ42" s="88" t="str">
        <f aca="false">IF(A42="","",A42&amp;"|"&amp;TEXT(D42,"yyyymm"))</f>
        <v/>
      </c>
    </row>
    <row r="43" customFormat="false" ht="15" hidden="false" customHeight="false" outlineLevel="0" collapsed="false">
      <c r="A43" s="26"/>
      <c r="B43" s="82"/>
      <c r="C43" s="82"/>
      <c r="D43" s="65"/>
      <c r="E43" s="27"/>
      <c r="F43" s="27"/>
      <c r="G43" s="27"/>
      <c r="H43" s="27"/>
      <c r="I43" s="27"/>
      <c r="J43" s="27"/>
      <c r="K43" s="84"/>
      <c r="L43" s="27"/>
      <c r="M43" s="27"/>
      <c r="N43" s="27"/>
      <c r="O43" s="27"/>
      <c r="P43" s="27"/>
      <c r="Q43" s="27"/>
      <c r="R43" s="27"/>
      <c r="S43" s="27"/>
      <c r="T43" s="27"/>
      <c r="U43" s="27"/>
      <c r="V43" s="26"/>
      <c r="W43" s="27"/>
      <c r="X43" s="27"/>
      <c r="Y43" s="27"/>
      <c r="Z43" s="27"/>
      <c r="AA43" s="26"/>
      <c r="AB43" s="27"/>
      <c r="AC43" s="27"/>
      <c r="AD43" s="27"/>
      <c r="AE43" s="27"/>
      <c r="AF43" s="27"/>
      <c r="AG43" s="82"/>
      <c r="AH43" s="85" t="str">
        <f aca="false">IF(A43="","",ROUNDDOWN((N(E43)+N(F43)+N(I43)+N(J43))*IF(K43="",$B$2,K43),0))</f>
        <v/>
      </c>
      <c r="AI43" s="85" t="str">
        <f aca="false">IF(A43="","",N(W43)+N(X43))</f>
        <v/>
      </c>
      <c r="AJ43" s="85" t="str">
        <f aca="false">IF(A43="","",SUM(E43:U43)-N(K43)+AH43+AI43)</f>
        <v/>
      </c>
      <c r="AK43" s="85" t="str">
        <f aca="false">IF(A43="","",N(W43))</f>
        <v/>
      </c>
      <c r="AL43" s="85" t="str">
        <f aca="false">IF(A43="","",AJ43-AK43)</f>
        <v/>
      </c>
      <c r="AM43" s="85" t="str">
        <f aca="false">IF(A43="","",ROUNDDOWN(N(Z43)*設定!$B$13/1000,0))</f>
        <v/>
      </c>
      <c r="AN43" s="85" t="str">
        <f aca="false">IF(A43="","",ROUNDDOWN(N(Z43)*設定!$B$15/1000,0))</f>
        <v/>
      </c>
      <c r="AO43" s="85" t="str">
        <f aca="false">IF(A43="","",ROUNDDOWN(N(Z43)*設定!$B$10/1000,0))</f>
        <v/>
      </c>
      <c r="AP43" s="85" t="str">
        <f aca="false">IF(A43="","",ROUNDDOWN(N(Z43)*設定!$B$11/1000,0))</f>
        <v/>
      </c>
      <c r="AQ43" s="85" t="str">
        <f aca="false">IF(A43="","",IF(AA43="Y",ROUNDDOWN(N(Z43)*設定!$B$14/1000,0),0))</f>
        <v/>
      </c>
      <c r="AR43" s="85" t="str">
        <f aca="false">IF(A43="","",SUM(AM43:AQ43))</f>
        <v/>
      </c>
      <c r="AS43" s="85" t="str">
        <f aca="false">IF(A43="","",N(AB43)+N(AC43)+AR43+N(AD43))</f>
        <v/>
      </c>
      <c r="AT43" s="85" t="str">
        <f aca="false">IF(A43="","",AJ43-AS43)</f>
        <v/>
      </c>
      <c r="AU43" s="85" t="str">
        <f aca="false">IF(A43="","",AL43-AR43)</f>
        <v/>
      </c>
      <c r="AV43" s="85" t="str">
        <f aca="false">IF(A43="","",N(AE43)+N(AF43))</f>
        <v/>
      </c>
      <c r="AW43" s="85" t="str">
        <f aca="false">IF(A43="","",AT43-AV43)</f>
        <v/>
      </c>
      <c r="AX43" s="86" t="str">
        <f aca="false">IF(A43="","",IF(N(V43)&lt;=1,AI43,IF(AI43&gt;0,ROUNDDOWN(AI43/N(V43),0),IF($B$3="Y",ROUNDDOWN(N(Y43)/N(V43),0),0))))</f>
        <v/>
      </c>
      <c r="AY43" s="87" t="str">
        <f aca="false">IF(A43="","",AJ43-AI43+AX43)</f>
        <v/>
      </c>
      <c r="AZ43" s="88" t="str">
        <f aca="false">IF(A43="","",A43&amp;"|"&amp;TEXT(D43,"yyyymm"))</f>
        <v/>
      </c>
    </row>
    <row r="44" customFormat="false" ht="15" hidden="false" customHeight="false" outlineLevel="0" collapsed="false">
      <c r="A44" s="26"/>
      <c r="B44" s="82"/>
      <c r="C44" s="82"/>
      <c r="D44" s="65"/>
      <c r="E44" s="27"/>
      <c r="F44" s="27"/>
      <c r="G44" s="27"/>
      <c r="H44" s="27"/>
      <c r="I44" s="27"/>
      <c r="J44" s="27"/>
      <c r="K44" s="84"/>
      <c r="L44" s="27"/>
      <c r="M44" s="27"/>
      <c r="N44" s="27"/>
      <c r="O44" s="27"/>
      <c r="P44" s="27"/>
      <c r="Q44" s="27"/>
      <c r="R44" s="27"/>
      <c r="S44" s="27"/>
      <c r="T44" s="27"/>
      <c r="U44" s="27"/>
      <c r="V44" s="26"/>
      <c r="W44" s="27"/>
      <c r="X44" s="27"/>
      <c r="Y44" s="27"/>
      <c r="Z44" s="27"/>
      <c r="AA44" s="26"/>
      <c r="AB44" s="27"/>
      <c r="AC44" s="27"/>
      <c r="AD44" s="27"/>
      <c r="AE44" s="27"/>
      <c r="AF44" s="27"/>
      <c r="AG44" s="82"/>
      <c r="AH44" s="85" t="str">
        <f aca="false">IF(A44="","",ROUNDDOWN((N(E44)+N(F44)+N(I44)+N(J44))*IF(K44="",$B$2,K44),0))</f>
        <v/>
      </c>
      <c r="AI44" s="85" t="str">
        <f aca="false">IF(A44="","",N(W44)+N(X44))</f>
        <v/>
      </c>
      <c r="AJ44" s="85" t="str">
        <f aca="false">IF(A44="","",SUM(E44:U44)-N(K44)+AH44+AI44)</f>
        <v/>
      </c>
      <c r="AK44" s="85" t="str">
        <f aca="false">IF(A44="","",N(W44))</f>
        <v/>
      </c>
      <c r="AL44" s="85" t="str">
        <f aca="false">IF(A44="","",AJ44-AK44)</f>
        <v/>
      </c>
      <c r="AM44" s="85" t="str">
        <f aca="false">IF(A44="","",ROUNDDOWN(N(Z44)*設定!$B$13/1000,0))</f>
        <v/>
      </c>
      <c r="AN44" s="85" t="str">
        <f aca="false">IF(A44="","",ROUNDDOWN(N(Z44)*設定!$B$15/1000,0))</f>
        <v/>
      </c>
      <c r="AO44" s="85" t="str">
        <f aca="false">IF(A44="","",ROUNDDOWN(N(Z44)*設定!$B$10/1000,0))</f>
        <v/>
      </c>
      <c r="AP44" s="85" t="str">
        <f aca="false">IF(A44="","",ROUNDDOWN(N(Z44)*設定!$B$11/1000,0))</f>
        <v/>
      </c>
      <c r="AQ44" s="85" t="str">
        <f aca="false">IF(A44="","",IF(AA44="Y",ROUNDDOWN(N(Z44)*設定!$B$14/1000,0),0))</f>
        <v/>
      </c>
      <c r="AR44" s="85" t="str">
        <f aca="false">IF(A44="","",SUM(AM44:AQ44))</f>
        <v/>
      </c>
      <c r="AS44" s="85" t="str">
        <f aca="false">IF(A44="","",N(AB44)+N(AC44)+AR44+N(AD44))</f>
        <v/>
      </c>
      <c r="AT44" s="85" t="str">
        <f aca="false">IF(A44="","",AJ44-AS44)</f>
        <v/>
      </c>
      <c r="AU44" s="85" t="str">
        <f aca="false">IF(A44="","",AL44-AR44)</f>
        <v/>
      </c>
      <c r="AV44" s="85" t="str">
        <f aca="false">IF(A44="","",N(AE44)+N(AF44))</f>
        <v/>
      </c>
      <c r="AW44" s="85" t="str">
        <f aca="false">IF(A44="","",AT44-AV44)</f>
        <v/>
      </c>
      <c r="AX44" s="86" t="str">
        <f aca="false">IF(A44="","",IF(N(V44)&lt;=1,AI44,IF(AI44&gt;0,ROUNDDOWN(AI44/N(V44),0),IF($B$3="Y",ROUNDDOWN(N(Y44)/N(V44),0),0))))</f>
        <v/>
      </c>
      <c r="AY44" s="87" t="str">
        <f aca="false">IF(A44="","",AJ44-AI44+AX44)</f>
        <v/>
      </c>
      <c r="AZ44" s="88" t="str">
        <f aca="false">IF(A44="","",A44&amp;"|"&amp;TEXT(D44,"yyyymm"))</f>
        <v/>
      </c>
    </row>
    <row r="45" customFormat="false" ht="15" hidden="false" customHeight="false" outlineLevel="0" collapsed="false">
      <c r="A45" s="26"/>
      <c r="B45" s="82"/>
      <c r="C45" s="82"/>
      <c r="D45" s="65"/>
      <c r="E45" s="27"/>
      <c r="F45" s="27"/>
      <c r="G45" s="27"/>
      <c r="H45" s="27"/>
      <c r="I45" s="27"/>
      <c r="J45" s="27"/>
      <c r="K45" s="84"/>
      <c r="L45" s="27"/>
      <c r="M45" s="27"/>
      <c r="N45" s="27"/>
      <c r="O45" s="27"/>
      <c r="P45" s="27"/>
      <c r="Q45" s="27"/>
      <c r="R45" s="27"/>
      <c r="S45" s="27"/>
      <c r="T45" s="27"/>
      <c r="U45" s="27"/>
      <c r="V45" s="26"/>
      <c r="W45" s="27"/>
      <c r="X45" s="27"/>
      <c r="Y45" s="27"/>
      <c r="Z45" s="27"/>
      <c r="AA45" s="26"/>
      <c r="AB45" s="27"/>
      <c r="AC45" s="27"/>
      <c r="AD45" s="27"/>
      <c r="AE45" s="27"/>
      <c r="AF45" s="27"/>
      <c r="AG45" s="82"/>
      <c r="AH45" s="85" t="str">
        <f aca="false">IF(A45="","",ROUNDDOWN((N(E45)+N(F45)+N(I45)+N(J45))*IF(K45="",$B$2,K45),0))</f>
        <v/>
      </c>
      <c r="AI45" s="85" t="str">
        <f aca="false">IF(A45="","",N(W45)+N(X45))</f>
        <v/>
      </c>
      <c r="AJ45" s="85" t="str">
        <f aca="false">IF(A45="","",SUM(E45:U45)-N(K45)+AH45+AI45)</f>
        <v/>
      </c>
      <c r="AK45" s="85" t="str">
        <f aca="false">IF(A45="","",N(W45))</f>
        <v/>
      </c>
      <c r="AL45" s="85" t="str">
        <f aca="false">IF(A45="","",AJ45-AK45)</f>
        <v/>
      </c>
      <c r="AM45" s="85" t="str">
        <f aca="false">IF(A45="","",ROUNDDOWN(N(Z45)*設定!$B$13/1000,0))</f>
        <v/>
      </c>
      <c r="AN45" s="85" t="str">
        <f aca="false">IF(A45="","",ROUNDDOWN(N(Z45)*設定!$B$15/1000,0))</f>
        <v/>
      </c>
      <c r="AO45" s="85" t="str">
        <f aca="false">IF(A45="","",ROUNDDOWN(N(Z45)*設定!$B$10/1000,0))</f>
        <v/>
      </c>
      <c r="AP45" s="85" t="str">
        <f aca="false">IF(A45="","",ROUNDDOWN(N(Z45)*設定!$B$11/1000,0))</f>
        <v/>
      </c>
      <c r="AQ45" s="85" t="str">
        <f aca="false">IF(A45="","",IF(AA45="Y",ROUNDDOWN(N(Z45)*設定!$B$14/1000,0),0))</f>
        <v/>
      </c>
      <c r="AR45" s="85" t="str">
        <f aca="false">IF(A45="","",SUM(AM45:AQ45))</f>
        <v/>
      </c>
      <c r="AS45" s="85" t="str">
        <f aca="false">IF(A45="","",N(AB45)+N(AC45)+AR45+N(AD45))</f>
        <v/>
      </c>
      <c r="AT45" s="85" t="str">
        <f aca="false">IF(A45="","",AJ45-AS45)</f>
        <v/>
      </c>
      <c r="AU45" s="85" t="str">
        <f aca="false">IF(A45="","",AL45-AR45)</f>
        <v/>
      </c>
      <c r="AV45" s="85" t="str">
        <f aca="false">IF(A45="","",N(AE45)+N(AF45))</f>
        <v/>
      </c>
      <c r="AW45" s="85" t="str">
        <f aca="false">IF(A45="","",AT45-AV45)</f>
        <v/>
      </c>
      <c r="AX45" s="86" t="str">
        <f aca="false">IF(A45="","",IF(N(V45)&lt;=1,AI45,IF(AI45&gt;0,ROUNDDOWN(AI45/N(V45),0),IF($B$3="Y",ROUNDDOWN(N(Y45)/N(V45),0),0))))</f>
        <v/>
      </c>
      <c r="AY45" s="87" t="str">
        <f aca="false">IF(A45="","",AJ45-AI45+AX45)</f>
        <v/>
      </c>
      <c r="AZ45" s="88" t="str">
        <f aca="false">IF(A45="","",A45&amp;"|"&amp;TEXT(D45,"yyyymm"))</f>
        <v/>
      </c>
    </row>
    <row r="46" customFormat="false" ht="15" hidden="false" customHeight="false" outlineLevel="0" collapsed="false">
      <c r="A46" s="26"/>
      <c r="B46" s="82"/>
      <c r="C46" s="82"/>
      <c r="D46" s="65"/>
      <c r="E46" s="27"/>
      <c r="F46" s="27"/>
      <c r="G46" s="27"/>
      <c r="H46" s="27"/>
      <c r="I46" s="27"/>
      <c r="J46" s="27"/>
      <c r="K46" s="84"/>
      <c r="L46" s="27"/>
      <c r="M46" s="27"/>
      <c r="N46" s="27"/>
      <c r="O46" s="27"/>
      <c r="P46" s="27"/>
      <c r="Q46" s="27"/>
      <c r="R46" s="27"/>
      <c r="S46" s="27"/>
      <c r="T46" s="27"/>
      <c r="U46" s="27"/>
      <c r="V46" s="26"/>
      <c r="W46" s="27"/>
      <c r="X46" s="27"/>
      <c r="Y46" s="27"/>
      <c r="Z46" s="27"/>
      <c r="AA46" s="26"/>
      <c r="AB46" s="27"/>
      <c r="AC46" s="27"/>
      <c r="AD46" s="27"/>
      <c r="AE46" s="27"/>
      <c r="AF46" s="27"/>
      <c r="AG46" s="82"/>
      <c r="AH46" s="85" t="str">
        <f aca="false">IF(A46="","",ROUNDDOWN((N(E46)+N(F46)+N(I46)+N(J46))*IF(K46="",$B$2,K46),0))</f>
        <v/>
      </c>
      <c r="AI46" s="85" t="str">
        <f aca="false">IF(A46="","",N(W46)+N(X46))</f>
        <v/>
      </c>
      <c r="AJ46" s="85" t="str">
        <f aca="false">IF(A46="","",SUM(E46:U46)-N(K46)+AH46+AI46)</f>
        <v/>
      </c>
      <c r="AK46" s="85" t="str">
        <f aca="false">IF(A46="","",N(W46))</f>
        <v/>
      </c>
      <c r="AL46" s="85" t="str">
        <f aca="false">IF(A46="","",AJ46-AK46)</f>
        <v/>
      </c>
      <c r="AM46" s="85" t="str">
        <f aca="false">IF(A46="","",ROUNDDOWN(N(Z46)*設定!$B$13/1000,0))</f>
        <v/>
      </c>
      <c r="AN46" s="85" t="str">
        <f aca="false">IF(A46="","",ROUNDDOWN(N(Z46)*設定!$B$15/1000,0))</f>
        <v/>
      </c>
      <c r="AO46" s="85" t="str">
        <f aca="false">IF(A46="","",ROUNDDOWN(N(Z46)*設定!$B$10/1000,0))</f>
        <v/>
      </c>
      <c r="AP46" s="85" t="str">
        <f aca="false">IF(A46="","",ROUNDDOWN(N(Z46)*設定!$B$11/1000,0))</f>
        <v/>
      </c>
      <c r="AQ46" s="85" t="str">
        <f aca="false">IF(A46="","",IF(AA46="Y",ROUNDDOWN(N(Z46)*設定!$B$14/1000,0),0))</f>
        <v/>
      </c>
      <c r="AR46" s="85" t="str">
        <f aca="false">IF(A46="","",SUM(AM46:AQ46))</f>
        <v/>
      </c>
      <c r="AS46" s="85" t="str">
        <f aca="false">IF(A46="","",N(AB46)+N(AC46)+AR46+N(AD46))</f>
        <v/>
      </c>
      <c r="AT46" s="85" t="str">
        <f aca="false">IF(A46="","",AJ46-AS46)</f>
        <v/>
      </c>
      <c r="AU46" s="85" t="str">
        <f aca="false">IF(A46="","",AL46-AR46)</f>
        <v/>
      </c>
      <c r="AV46" s="85" t="str">
        <f aca="false">IF(A46="","",N(AE46)+N(AF46))</f>
        <v/>
      </c>
      <c r="AW46" s="85" t="str">
        <f aca="false">IF(A46="","",AT46-AV46)</f>
        <v/>
      </c>
      <c r="AX46" s="86" t="str">
        <f aca="false">IF(A46="","",IF(N(V46)&lt;=1,AI46,IF(AI46&gt;0,ROUNDDOWN(AI46/N(V46),0),IF($B$3="Y",ROUNDDOWN(N(Y46)/N(V46),0),0))))</f>
        <v/>
      </c>
      <c r="AY46" s="87" t="str">
        <f aca="false">IF(A46="","",AJ46-AI46+AX46)</f>
        <v/>
      </c>
      <c r="AZ46" s="88" t="str">
        <f aca="false">IF(A46="","",A46&amp;"|"&amp;TEXT(D46,"yyyymm"))</f>
        <v/>
      </c>
    </row>
    <row r="47" customFormat="false" ht="15" hidden="false" customHeight="false" outlineLevel="0" collapsed="false">
      <c r="A47" s="26"/>
      <c r="B47" s="82"/>
      <c r="C47" s="82"/>
      <c r="D47" s="65"/>
      <c r="E47" s="27"/>
      <c r="F47" s="27"/>
      <c r="G47" s="27"/>
      <c r="H47" s="27"/>
      <c r="I47" s="27"/>
      <c r="J47" s="27"/>
      <c r="K47" s="84"/>
      <c r="L47" s="27"/>
      <c r="M47" s="27"/>
      <c r="N47" s="27"/>
      <c r="O47" s="27"/>
      <c r="P47" s="27"/>
      <c r="Q47" s="27"/>
      <c r="R47" s="27"/>
      <c r="S47" s="27"/>
      <c r="T47" s="27"/>
      <c r="U47" s="27"/>
      <c r="V47" s="26"/>
      <c r="W47" s="27"/>
      <c r="X47" s="27"/>
      <c r="Y47" s="27"/>
      <c r="Z47" s="27"/>
      <c r="AA47" s="26"/>
      <c r="AB47" s="27"/>
      <c r="AC47" s="27"/>
      <c r="AD47" s="27"/>
      <c r="AE47" s="27"/>
      <c r="AF47" s="27"/>
      <c r="AG47" s="82"/>
      <c r="AH47" s="85" t="str">
        <f aca="false">IF(A47="","",ROUNDDOWN((N(E47)+N(F47)+N(I47)+N(J47))*IF(K47="",$B$2,K47),0))</f>
        <v/>
      </c>
      <c r="AI47" s="85" t="str">
        <f aca="false">IF(A47="","",N(W47)+N(X47))</f>
        <v/>
      </c>
      <c r="AJ47" s="85" t="str">
        <f aca="false">IF(A47="","",SUM(E47:U47)-N(K47)+AH47+AI47)</f>
        <v/>
      </c>
      <c r="AK47" s="85" t="str">
        <f aca="false">IF(A47="","",N(W47))</f>
        <v/>
      </c>
      <c r="AL47" s="85" t="str">
        <f aca="false">IF(A47="","",AJ47-AK47)</f>
        <v/>
      </c>
      <c r="AM47" s="85" t="str">
        <f aca="false">IF(A47="","",ROUNDDOWN(N(Z47)*設定!$B$13/1000,0))</f>
        <v/>
      </c>
      <c r="AN47" s="85" t="str">
        <f aca="false">IF(A47="","",ROUNDDOWN(N(Z47)*設定!$B$15/1000,0))</f>
        <v/>
      </c>
      <c r="AO47" s="85" t="str">
        <f aca="false">IF(A47="","",ROUNDDOWN(N(Z47)*設定!$B$10/1000,0))</f>
        <v/>
      </c>
      <c r="AP47" s="85" t="str">
        <f aca="false">IF(A47="","",ROUNDDOWN(N(Z47)*設定!$B$11/1000,0))</f>
        <v/>
      </c>
      <c r="AQ47" s="85" t="str">
        <f aca="false">IF(A47="","",IF(AA47="Y",ROUNDDOWN(N(Z47)*設定!$B$14/1000,0),0))</f>
        <v/>
      </c>
      <c r="AR47" s="85" t="str">
        <f aca="false">IF(A47="","",SUM(AM47:AQ47))</f>
        <v/>
      </c>
      <c r="AS47" s="85" t="str">
        <f aca="false">IF(A47="","",N(AB47)+N(AC47)+AR47+N(AD47))</f>
        <v/>
      </c>
      <c r="AT47" s="85" t="str">
        <f aca="false">IF(A47="","",AJ47-AS47)</f>
        <v/>
      </c>
      <c r="AU47" s="85" t="str">
        <f aca="false">IF(A47="","",AL47-AR47)</f>
        <v/>
      </c>
      <c r="AV47" s="85" t="str">
        <f aca="false">IF(A47="","",N(AE47)+N(AF47))</f>
        <v/>
      </c>
      <c r="AW47" s="85" t="str">
        <f aca="false">IF(A47="","",AT47-AV47)</f>
        <v/>
      </c>
      <c r="AX47" s="86" t="str">
        <f aca="false">IF(A47="","",IF(N(V47)&lt;=1,AI47,IF(AI47&gt;0,ROUNDDOWN(AI47/N(V47),0),IF($B$3="Y",ROUNDDOWN(N(Y47)/N(V47),0),0))))</f>
        <v/>
      </c>
      <c r="AY47" s="87" t="str">
        <f aca="false">IF(A47="","",AJ47-AI47+AX47)</f>
        <v/>
      </c>
      <c r="AZ47" s="88" t="str">
        <f aca="false">IF(A47="","",A47&amp;"|"&amp;TEXT(D47,"yyyymm"))</f>
        <v/>
      </c>
    </row>
    <row r="48" customFormat="false" ht="15" hidden="false" customHeight="false" outlineLevel="0" collapsed="false">
      <c r="A48" s="26"/>
      <c r="B48" s="82"/>
      <c r="C48" s="82"/>
      <c r="D48" s="65"/>
      <c r="E48" s="27"/>
      <c r="F48" s="27"/>
      <c r="G48" s="27"/>
      <c r="H48" s="27"/>
      <c r="I48" s="27"/>
      <c r="J48" s="27"/>
      <c r="K48" s="84"/>
      <c r="L48" s="27"/>
      <c r="M48" s="27"/>
      <c r="N48" s="27"/>
      <c r="O48" s="27"/>
      <c r="P48" s="27"/>
      <c r="Q48" s="27"/>
      <c r="R48" s="27"/>
      <c r="S48" s="27"/>
      <c r="T48" s="27"/>
      <c r="U48" s="27"/>
      <c r="V48" s="26"/>
      <c r="W48" s="27"/>
      <c r="X48" s="27"/>
      <c r="Y48" s="27"/>
      <c r="Z48" s="27"/>
      <c r="AA48" s="26"/>
      <c r="AB48" s="27"/>
      <c r="AC48" s="27"/>
      <c r="AD48" s="27"/>
      <c r="AE48" s="27"/>
      <c r="AF48" s="27"/>
      <c r="AG48" s="82"/>
      <c r="AH48" s="85" t="str">
        <f aca="false">IF(A48="","",ROUNDDOWN((N(E48)+N(F48)+N(I48)+N(J48))*IF(K48="",$B$2,K48),0))</f>
        <v/>
      </c>
      <c r="AI48" s="85" t="str">
        <f aca="false">IF(A48="","",N(W48)+N(X48))</f>
        <v/>
      </c>
      <c r="AJ48" s="85" t="str">
        <f aca="false">IF(A48="","",SUM(E48:U48)-N(K48)+AH48+AI48)</f>
        <v/>
      </c>
      <c r="AK48" s="85" t="str">
        <f aca="false">IF(A48="","",N(W48))</f>
        <v/>
      </c>
      <c r="AL48" s="85" t="str">
        <f aca="false">IF(A48="","",AJ48-AK48)</f>
        <v/>
      </c>
      <c r="AM48" s="85" t="str">
        <f aca="false">IF(A48="","",ROUNDDOWN(N(Z48)*設定!$B$13/1000,0))</f>
        <v/>
      </c>
      <c r="AN48" s="85" t="str">
        <f aca="false">IF(A48="","",ROUNDDOWN(N(Z48)*設定!$B$15/1000,0))</f>
        <v/>
      </c>
      <c r="AO48" s="85" t="str">
        <f aca="false">IF(A48="","",ROUNDDOWN(N(Z48)*設定!$B$10/1000,0))</f>
        <v/>
      </c>
      <c r="AP48" s="85" t="str">
        <f aca="false">IF(A48="","",ROUNDDOWN(N(Z48)*設定!$B$11/1000,0))</f>
        <v/>
      </c>
      <c r="AQ48" s="85" t="str">
        <f aca="false">IF(A48="","",IF(AA48="Y",ROUNDDOWN(N(Z48)*設定!$B$14/1000,0),0))</f>
        <v/>
      </c>
      <c r="AR48" s="85" t="str">
        <f aca="false">IF(A48="","",SUM(AM48:AQ48))</f>
        <v/>
      </c>
      <c r="AS48" s="85" t="str">
        <f aca="false">IF(A48="","",N(AB48)+N(AC48)+AR48+N(AD48))</f>
        <v/>
      </c>
      <c r="AT48" s="85" t="str">
        <f aca="false">IF(A48="","",AJ48-AS48)</f>
        <v/>
      </c>
      <c r="AU48" s="85" t="str">
        <f aca="false">IF(A48="","",AL48-AR48)</f>
        <v/>
      </c>
      <c r="AV48" s="85" t="str">
        <f aca="false">IF(A48="","",N(AE48)+N(AF48))</f>
        <v/>
      </c>
      <c r="AW48" s="85" t="str">
        <f aca="false">IF(A48="","",AT48-AV48)</f>
        <v/>
      </c>
      <c r="AX48" s="86" t="str">
        <f aca="false">IF(A48="","",IF(N(V48)&lt;=1,AI48,IF(AI48&gt;0,ROUNDDOWN(AI48/N(V48),0),IF($B$3="Y",ROUNDDOWN(N(Y48)/N(V48),0),0))))</f>
        <v/>
      </c>
      <c r="AY48" s="87" t="str">
        <f aca="false">IF(A48="","",AJ48-AI48+AX48)</f>
        <v/>
      </c>
      <c r="AZ48" s="88" t="str">
        <f aca="false">IF(A48="","",A48&amp;"|"&amp;TEXT(D48,"yyyymm"))</f>
        <v/>
      </c>
    </row>
    <row r="49" customFormat="false" ht="15" hidden="false" customHeight="false" outlineLevel="0" collapsed="false">
      <c r="A49" s="26"/>
      <c r="B49" s="82"/>
      <c r="C49" s="82"/>
      <c r="D49" s="65"/>
      <c r="E49" s="27"/>
      <c r="F49" s="27"/>
      <c r="G49" s="27"/>
      <c r="H49" s="27"/>
      <c r="I49" s="27"/>
      <c r="J49" s="27"/>
      <c r="K49" s="84"/>
      <c r="L49" s="27"/>
      <c r="M49" s="27"/>
      <c r="N49" s="27"/>
      <c r="O49" s="27"/>
      <c r="P49" s="27"/>
      <c r="Q49" s="27"/>
      <c r="R49" s="27"/>
      <c r="S49" s="27"/>
      <c r="T49" s="27"/>
      <c r="U49" s="27"/>
      <c r="V49" s="26"/>
      <c r="W49" s="27"/>
      <c r="X49" s="27"/>
      <c r="Y49" s="27"/>
      <c r="Z49" s="27"/>
      <c r="AA49" s="26"/>
      <c r="AB49" s="27"/>
      <c r="AC49" s="27"/>
      <c r="AD49" s="27"/>
      <c r="AE49" s="27"/>
      <c r="AF49" s="27"/>
      <c r="AG49" s="82"/>
      <c r="AH49" s="85" t="str">
        <f aca="false">IF(A49="","",ROUNDDOWN((N(E49)+N(F49)+N(I49)+N(J49))*IF(K49="",$B$2,K49),0))</f>
        <v/>
      </c>
      <c r="AI49" s="85" t="str">
        <f aca="false">IF(A49="","",N(W49)+N(X49))</f>
        <v/>
      </c>
      <c r="AJ49" s="85" t="str">
        <f aca="false">IF(A49="","",SUM(E49:U49)-N(K49)+AH49+AI49)</f>
        <v/>
      </c>
      <c r="AK49" s="85" t="str">
        <f aca="false">IF(A49="","",N(W49))</f>
        <v/>
      </c>
      <c r="AL49" s="85" t="str">
        <f aca="false">IF(A49="","",AJ49-AK49)</f>
        <v/>
      </c>
      <c r="AM49" s="85" t="str">
        <f aca="false">IF(A49="","",ROUNDDOWN(N(Z49)*設定!$B$13/1000,0))</f>
        <v/>
      </c>
      <c r="AN49" s="85" t="str">
        <f aca="false">IF(A49="","",ROUNDDOWN(N(Z49)*設定!$B$15/1000,0))</f>
        <v/>
      </c>
      <c r="AO49" s="85" t="str">
        <f aca="false">IF(A49="","",ROUNDDOWN(N(Z49)*設定!$B$10/1000,0))</f>
        <v/>
      </c>
      <c r="AP49" s="85" t="str">
        <f aca="false">IF(A49="","",ROUNDDOWN(N(Z49)*設定!$B$11/1000,0))</f>
        <v/>
      </c>
      <c r="AQ49" s="85" t="str">
        <f aca="false">IF(A49="","",IF(AA49="Y",ROUNDDOWN(N(Z49)*設定!$B$14/1000,0),0))</f>
        <v/>
      </c>
      <c r="AR49" s="85" t="str">
        <f aca="false">IF(A49="","",SUM(AM49:AQ49))</f>
        <v/>
      </c>
      <c r="AS49" s="85" t="str">
        <f aca="false">IF(A49="","",N(AB49)+N(AC49)+AR49+N(AD49))</f>
        <v/>
      </c>
      <c r="AT49" s="85" t="str">
        <f aca="false">IF(A49="","",AJ49-AS49)</f>
        <v/>
      </c>
      <c r="AU49" s="85" t="str">
        <f aca="false">IF(A49="","",AL49-AR49)</f>
        <v/>
      </c>
      <c r="AV49" s="85" t="str">
        <f aca="false">IF(A49="","",N(AE49)+N(AF49))</f>
        <v/>
      </c>
      <c r="AW49" s="85" t="str">
        <f aca="false">IF(A49="","",AT49-AV49)</f>
        <v/>
      </c>
      <c r="AX49" s="86" t="str">
        <f aca="false">IF(A49="","",IF(N(V49)&lt;=1,AI49,IF(AI49&gt;0,ROUNDDOWN(AI49/N(V49),0),IF($B$3="Y",ROUNDDOWN(N(Y49)/N(V49),0),0))))</f>
        <v/>
      </c>
      <c r="AY49" s="87" t="str">
        <f aca="false">IF(A49="","",AJ49-AI49+AX49)</f>
        <v/>
      </c>
      <c r="AZ49" s="88" t="str">
        <f aca="false">IF(A49="","",A49&amp;"|"&amp;TEXT(D49,"yyyymm"))</f>
        <v/>
      </c>
    </row>
    <row r="50" customFormat="false" ht="15" hidden="false" customHeight="false" outlineLevel="0" collapsed="false">
      <c r="A50" s="26"/>
      <c r="B50" s="82"/>
      <c r="C50" s="82"/>
      <c r="D50" s="65"/>
      <c r="E50" s="27"/>
      <c r="F50" s="27"/>
      <c r="G50" s="27"/>
      <c r="H50" s="27"/>
      <c r="I50" s="27"/>
      <c r="J50" s="27"/>
      <c r="K50" s="84"/>
      <c r="L50" s="27"/>
      <c r="M50" s="27"/>
      <c r="N50" s="27"/>
      <c r="O50" s="27"/>
      <c r="P50" s="27"/>
      <c r="Q50" s="27"/>
      <c r="R50" s="27"/>
      <c r="S50" s="27"/>
      <c r="T50" s="27"/>
      <c r="U50" s="27"/>
      <c r="V50" s="26"/>
      <c r="W50" s="27"/>
      <c r="X50" s="27"/>
      <c r="Y50" s="27"/>
      <c r="Z50" s="27"/>
      <c r="AA50" s="26"/>
      <c r="AB50" s="27"/>
      <c r="AC50" s="27"/>
      <c r="AD50" s="27"/>
      <c r="AE50" s="27"/>
      <c r="AF50" s="27"/>
      <c r="AG50" s="82"/>
      <c r="AH50" s="85" t="str">
        <f aca="false">IF(A50="","",ROUNDDOWN((N(E50)+N(F50)+N(I50)+N(J50))*IF(K50="",$B$2,K50),0))</f>
        <v/>
      </c>
      <c r="AI50" s="85" t="str">
        <f aca="false">IF(A50="","",N(W50)+N(X50))</f>
        <v/>
      </c>
      <c r="AJ50" s="85" t="str">
        <f aca="false">IF(A50="","",SUM(E50:U50)-N(K50)+AH50+AI50)</f>
        <v/>
      </c>
      <c r="AK50" s="85" t="str">
        <f aca="false">IF(A50="","",N(W50))</f>
        <v/>
      </c>
      <c r="AL50" s="85" t="str">
        <f aca="false">IF(A50="","",AJ50-AK50)</f>
        <v/>
      </c>
      <c r="AM50" s="85" t="str">
        <f aca="false">IF(A50="","",ROUNDDOWN(N(Z50)*設定!$B$13/1000,0))</f>
        <v/>
      </c>
      <c r="AN50" s="85" t="str">
        <f aca="false">IF(A50="","",ROUNDDOWN(N(Z50)*設定!$B$15/1000,0))</f>
        <v/>
      </c>
      <c r="AO50" s="85" t="str">
        <f aca="false">IF(A50="","",ROUNDDOWN(N(Z50)*設定!$B$10/1000,0))</f>
        <v/>
      </c>
      <c r="AP50" s="85" t="str">
        <f aca="false">IF(A50="","",ROUNDDOWN(N(Z50)*設定!$B$11/1000,0))</f>
        <v/>
      </c>
      <c r="AQ50" s="85" t="str">
        <f aca="false">IF(A50="","",IF(AA50="Y",ROUNDDOWN(N(Z50)*設定!$B$14/1000,0),0))</f>
        <v/>
      </c>
      <c r="AR50" s="85" t="str">
        <f aca="false">IF(A50="","",SUM(AM50:AQ50))</f>
        <v/>
      </c>
      <c r="AS50" s="85" t="str">
        <f aca="false">IF(A50="","",N(AB50)+N(AC50)+AR50+N(AD50))</f>
        <v/>
      </c>
      <c r="AT50" s="85" t="str">
        <f aca="false">IF(A50="","",AJ50-AS50)</f>
        <v/>
      </c>
      <c r="AU50" s="85" t="str">
        <f aca="false">IF(A50="","",AL50-AR50)</f>
        <v/>
      </c>
      <c r="AV50" s="85" t="str">
        <f aca="false">IF(A50="","",N(AE50)+N(AF50))</f>
        <v/>
      </c>
      <c r="AW50" s="85" t="str">
        <f aca="false">IF(A50="","",AT50-AV50)</f>
        <v/>
      </c>
      <c r="AX50" s="86" t="str">
        <f aca="false">IF(A50="","",IF(N(V50)&lt;=1,AI50,IF(AI50&gt;0,ROUNDDOWN(AI50/N(V50),0),IF($B$3="Y",ROUNDDOWN(N(Y50)/N(V50),0),0))))</f>
        <v/>
      </c>
      <c r="AY50" s="87" t="str">
        <f aca="false">IF(A50="","",AJ50-AI50+AX50)</f>
        <v/>
      </c>
      <c r="AZ50" s="88" t="str">
        <f aca="false">IF(A50="","",A50&amp;"|"&amp;TEXT(D50,"yyyymm"))</f>
        <v/>
      </c>
    </row>
    <row r="51" customFormat="false" ht="15" hidden="false" customHeight="false" outlineLevel="0" collapsed="false">
      <c r="A51" s="26"/>
      <c r="B51" s="82"/>
      <c r="C51" s="82"/>
      <c r="D51" s="65"/>
      <c r="E51" s="27"/>
      <c r="F51" s="27"/>
      <c r="G51" s="27"/>
      <c r="H51" s="27"/>
      <c r="I51" s="27"/>
      <c r="J51" s="27"/>
      <c r="K51" s="84"/>
      <c r="L51" s="27"/>
      <c r="M51" s="27"/>
      <c r="N51" s="27"/>
      <c r="O51" s="27"/>
      <c r="P51" s="27"/>
      <c r="Q51" s="27"/>
      <c r="R51" s="27"/>
      <c r="S51" s="27"/>
      <c r="T51" s="27"/>
      <c r="U51" s="27"/>
      <c r="V51" s="26"/>
      <c r="W51" s="27"/>
      <c r="X51" s="27"/>
      <c r="Y51" s="27"/>
      <c r="Z51" s="27"/>
      <c r="AA51" s="26"/>
      <c r="AB51" s="27"/>
      <c r="AC51" s="27"/>
      <c r="AD51" s="27"/>
      <c r="AE51" s="27"/>
      <c r="AF51" s="27"/>
      <c r="AG51" s="82"/>
      <c r="AH51" s="85" t="str">
        <f aca="false">IF(A51="","",ROUNDDOWN((N(E51)+N(F51)+N(I51)+N(J51))*IF(K51="",$B$2,K51),0))</f>
        <v/>
      </c>
      <c r="AI51" s="85" t="str">
        <f aca="false">IF(A51="","",N(W51)+N(X51))</f>
        <v/>
      </c>
      <c r="AJ51" s="85" t="str">
        <f aca="false">IF(A51="","",SUM(E51:U51)-N(K51)+AH51+AI51)</f>
        <v/>
      </c>
      <c r="AK51" s="85" t="str">
        <f aca="false">IF(A51="","",N(W51))</f>
        <v/>
      </c>
      <c r="AL51" s="85" t="str">
        <f aca="false">IF(A51="","",AJ51-AK51)</f>
        <v/>
      </c>
      <c r="AM51" s="85" t="str">
        <f aca="false">IF(A51="","",ROUNDDOWN(N(Z51)*設定!$B$13/1000,0))</f>
        <v/>
      </c>
      <c r="AN51" s="85" t="str">
        <f aca="false">IF(A51="","",ROUNDDOWN(N(Z51)*設定!$B$15/1000,0))</f>
        <v/>
      </c>
      <c r="AO51" s="85" t="str">
        <f aca="false">IF(A51="","",ROUNDDOWN(N(Z51)*設定!$B$10/1000,0))</f>
        <v/>
      </c>
      <c r="AP51" s="85" t="str">
        <f aca="false">IF(A51="","",ROUNDDOWN(N(Z51)*設定!$B$11/1000,0))</f>
        <v/>
      </c>
      <c r="AQ51" s="85" t="str">
        <f aca="false">IF(A51="","",IF(AA51="Y",ROUNDDOWN(N(Z51)*設定!$B$14/1000,0),0))</f>
        <v/>
      </c>
      <c r="AR51" s="85" t="str">
        <f aca="false">IF(A51="","",SUM(AM51:AQ51))</f>
        <v/>
      </c>
      <c r="AS51" s="85" t="str">
        <f aca="false">IF(A51="","",N(AB51)+N(AC51)+AR51+N(AD51))</f>
        <v/>
      </c>
      <c r="AT51" s="85" t="str">
        <f aca="false">IF(A51="","",AJ51-AS51)</f>
        <v/>
      </c>
      <c r="AU51" s="85" t="str">
        <f aca="false">IF(A51="","",AL51-AR51)</f>
        <v/>
      </c>
      <c r="AV51" s="85" t="str">
        <f aca="false">IF(A51="","",N(AE51)+N(AF51))</f>
        <v/>
      </c>
      <c r="AW51" s="85" t="str">
        <f aca="false">IF(A51="","",AT51-AV51)</f>
        <v/>
      </c>
      <c r="AX51" s="86" t="str">
        <f aca="false">IF(A51="","",IF(N(V51)&lt;=1,AI51,IF(AI51&gt;0,ROUNDDOWN(AI51/N(V51),0),IF($B$3="Y",ROUNDDOWN(N(Y51)/N(V51),0),0))))</f>
        <v/>
      </c>
      <c r="AY51" s="87" t="str">
        <f aca="false">IF(A51="","",AJ51-AI51+AX51)</f>
        <v/>
      </c>
      <c r="AZ51" s="88" t="str">
        <f aca="false">IF(A51="","",A51&amp;"|"&amp;TEXT(D51,"yyyymm"))</f>
        <v/>
      </c>
    </row>
    <row r="52" customFormat="false" ht="15" hidden="false" customHeight="false" outlineLevel="0" collapsed="false">
      <c r="A52" s="26"/>
      <c r="B52" s="82"/>
      <c r="C52" s="82"/>
      <c r="D52" s="65"/>
      <c r="E52" s="27"/>
      <c r="F52" s="27"/>
      <c r="G52" s="27"/>
      <c r="H52" s="27"/>
      <c r="I52" s="27"/>
      <c r="J52" s="27"/>
      <c r="K52" s="84"/>
      <c r="L52" s="27"/>
      <c r="M52" s="27"/>
      <c r="N52" s="27"/>
      <c r="O52" s="27"/>
      <c r="P52" s="27"/>
      <c r="Q52" s="27"/>
      <c r="R52" s="27"/>
      <c r="S52" s="27"/>
      <c r="T52" s="27"/>
      <c r="U52" s="27"/>
      <c r="V52" s="26"/>
      <c r="W52" s="27"/>
      <c r="X52" s="27"/>
      <c r="Y52" s="27"/>
      <c r="Z52" s="27"/>
      <c r="AA52" s="26"/>
      <c r="AB52" s="27"/>
      <c r="AC52" s="27"/>
      <c r="AD52" s="27"/>
      <c r="AE52" s="27"/>
      <c r="AF52" s="27"/>
      <c r="AG52" s="82"/>
      <c r="AH52" s="85" t="str">
        <f aca="false">IF(A52="","",ROUNDDOWN((N(E52)+N(F52)+N(I52)+N(J52))*IF(K52="",$B$2,K52),0))</f>
        <v/>
      </c>
      <c r="AI52" s="85" t="str">
        <f aca="false">IF(A52="","",N(W52)+N(X52))</f>
        <v/>
      </c>
      <c r="AJ52" s="85" t="str">
        <f aca="false">IF(A52="","",SUM(E52:U52)-N(K52)+AH52+AI52)</f>
        <v/>
      </c>
      <c r="AK52" s="85" t="str">
        <f aca="false">IF(A52="","",N(W52))</f>
        <v/>
      </c>
      <c r="AL52" s="85" t="str">
        <f aca="false">IF(A52="","",AJ52-AK52)</f>
        <v/>
      </c>
      <c r="AM52" s="85" t="str">
        <f aca="false">IF(A52="","",ROUNDDOWN(N(Z52)*設定!$B$13/1000,0))</f>
        <v/>
      </c>
      <c r="AN52" s="85" t="str">
        <f aca="false">IF(A52="","",ROUNDDOWN(N(Z52)*設定!$B$15/1000,0))</f>
        <v/>
      </c>
      <c r="AO52" s="85" t="str">
        <f aca="false">IF(A52="","",ROUNDDOWN(N(Z52)*設定!$B$10/1000,0))</f>
        <v/>
      </c>
      <c r="AP52" s="85" t="str">
        <f aca="false">IF(A52="","",ROUNDDOWN(N(Z52)*設定!$B$11/1000,0))</f>
        <v/>
      </c>
      <c r="AQ52" s="85" t="str">
        <f aca="false">IF(A52="","",IF(AA52="Y",ROUNDDOWN(N(Z52)*設定!$B$14/1000,0),0))</f>
        <v/>
      </c>
      <c r="AR52" s="85" t="str">
        <f aca="false">IF(A52="","",SUM(AM52:AQ52))</f>
        <v/>
      </c>
      <c r="AS52" s="85" t="str">
        <f aca="false">IF(A52="","",N(AB52)+N(AC52)+AR52+N(AD52))</f>
        <v/>
      </c>
      <c r="AT52" s="85" t="str">
        <f aca="false">IF(A52="","",AJ52-AS52)</f>
        <v/>
      </c>
      <c r="AU52" s="85" t="str">
        <f aca="false">IF(A52="","",AL52-AR52)</f>
        <v/>
      </c>
      <c r="AV52" s="85" t="str">
        <f aca="false">IF(A52="","",N(AE52)+N(AF52))</f>
        <v/>
      </c>
      <c r="AW52" s="85" t="str">
        <f aca="false">IF(A52="","",AT52-AV52)</f>
        <v/>
      </c>
      <c r="AX52" s="86" t="str">
        <f aca="false">IF(A52="","",IF(N(V52)&lt;=1,AI52,IF(AI52&gt;0,ROUNDDOWN(AI52/N(V52),0),IF($B$3="Y",ROUNDDOWN(N(Y52)/N(V52),0),0))))</f>
        <v/>
      </c>
      <c r="AY52" s="87" t="str">
        <f aca="false">IF(A52="","",AJ52-AI52+AX52)</f>
        <v/>
      </c>
      <c r="AZ52" s="88" t="str">
        <f aca="false">IF(A52="","",A52&amp;"|"&amp;TEXT(D52,"yyyymm"))</f>
        <v/>
      </c>
    </row>
    <row r="53" customFormat="false" ht="15" hidden="false" customHeight="false" outlineLevel="0" collapsed="false">
      <c r="A53" s="26"/>
      <c r="B53" s="82"/>
      <c r="C53" s="82"/>
      <c r="D53" s="65"/>
      <c r="E53" s="27"/>
      <c r="F53" s="27"/>
      <c r="G53" s="27"/>
      <c r="H53" s="27"/>
      <c r="I53" s="27"/>
      <c r="J53" s="27"/>
      <c r="K53" s="84"/>
      <c r="L53" s="27"/>
      <c r="M53" s="27"/>
      <c r="N53" s="27"/>
      <c r="O53" s="27"/>
      <c r="P53" s="27"/>
      <c r="Q53" s="27"/>
      <c r="R53" s="27"/>
      <c r="S53" s="27"/>
      <c r="T53" s="27"/>
      <c r="U53" s="27"/>
      <c r="V53" s="26"/>
      <c r="W53" s="27"/>
      <c r="X53" s="27"/>
      <c r="Y53" s="27"/>
      <c r="Z53" s="27"/>
      <c r="AA53" s="26"/>
      <c r="AB53" s="27"/>
      <c r="AC53" s="27"/>
      <c r="AD53" s="27"/>
      <c r="AE53" s="27"/>
      <c r="AF53" s="27"/>
      <c r="AG53" s="82"/>
      <c r="AH53" s="85" t="str">
        <f aca="false">IF(A53="","",ROUNDDOWN((N(E53)+N(F53)+N(I53)+N(J53))*IF(K53="",$B$2,K53),0))</f>
        <v/>
      </c>
      <c r="AI53" s="85" t="str">
        <f aca="false">IF(A53="","",N(W53)+N(X53))</f>
        <v/>
      </c>
      <c r="AJ53" s="85" t="str">
        <f aca="false">IF(A53="","",SUM(E53:U53)-N(K53)+AH53+AI53)</f>
        <v/>
      </c>
      <c r="AK53" s="85" t="str">
        <f aca="false">IF(A53="","",N(W53))</f>
        <v/>
      </c>
      <c r="AL53" s="85" t="str">
        <f aca="false">IF(A53="","",AJ53-AK53)</f>
        <v/>
      </c>
      <c r="AM53" s="85" t="str">
        <f aca="false">IF(A53="","",ROUNDDOWN(N(Z53)*設定!$B$13/1000,0))</f>
        <v/>
      </c>
      <c r="AN53" s="85" t="str">
        <f aca="false">IF(A53="","",ROUNDDOWN(N(Z53)*設定!$B$15/1000,0))</f>
        <v/>
      </c>
      <c r="AO53" s="85" t="str">
        <f aca="false">IF(A53="","",ROUNDDOWN(N(Z53)*設定!$B$10/1000,0))</f>
        <v/>
      </c>
      <c r="AP53" s="85" t="str">
        <f aca="false">IF(A53="","",ROUNDDOWN(N(Z53)*設定!$B$11/1000,0))</f>
        <v/>
      </c>
      <c r="AQ53" s="85" t="str">
        <f aca="false">IF(A53="","",IF(AA53="Y",ROUNDDOWN(N(Z53)*設定!$B$14/1000,0),0))</f>
        <v/>
      </c>
      <c r="AR53" s="85" t="str">
        <f aca="false">IF(A53="","",SUM(AM53:AQ53))</f>
        <v/>
      </c>
      <c r="AS53" s="85" t="str">
        <f aca="false">IF(A53="","",N(AB53)+N(AC53)+AR53+N(AD53))</f>
        <v/>
      </c>
      <c r="AT53" s="85" t="str">
        <f aca="false">IF(A53="","",AJ53-AS53)</f>
        <v/>
      </c>
      <c r="AU53" s="85" t="str">
        <f aca="false">IF(A53="","",AL53-AR53)</f>
        <v/>
      </c>
      <c r="AV53" s="85" t="str">
        <f aca="false">IF(A53="","",N(AE53)+N(AF53))</f>
        <v/>
      </c>
      <c r="AW53" s="85" t="str">
        <f aca="false">IF(A53="","",AT53-AV53)</f>
        <v/>
      </c>
      <c r="AX53" s="86" t="str">
        <f aca="false">IF(A53="","",IF(N(V53)&lt;=1,AI53,IF(AI53&gt;0,ROUNDDOWN(AI53/N(V53),0),IF($B$3="Y",ROUNDDOWN(N(Y53)/N(V53),0),0))))</f>
        <v/>
      </c>
      <c r="AY53" s="87" t="str">
        <f aca="false">IF(A53="","",AJ53-AI53+AX53)</f>
        <v/>
      </c>
      <c r="AZ53" s="88" t="str">
        <f aca="false">IF(A53="","",A53&amp;"|"&amp;TEXT(D53,"yyyymm"))</f>
        <v/>
      </c>
    </row>
    <row r="54" customFormat="false" ht="15" hidden="false" customHeight="false" outlineLevel="0" collapsed="false">
      <c r="A54" s="26"/>
      <c r="B54" s="82"/>
      <c r="C54" s="82"/>
      <c r="D54" s="65"/>
      <c r="E54" s="27"/>
      <c r="F54" s="27"/>
      <c r="G54" s="27"/>
      <c r="H54" s="27"/>
      <c r="I54" s="27"/>
      <c r="J54" s="27"/>
      <c r="K54" s="84"/>
      <c r="L54" s="27"/>
      <c r="M54" s="27"/>
      <c r="N54" s="27"/>
      <c r="O54" s="27"/>
      <c r="P54" s="27"/>
      <c r="Q54" s="27"/>
      <c r="R54" s="27"/>
      <c r="S54" s="27"/>
      <c r="T54" s="27"/>
      <c r="U54" s="27"/>
      <c r="V54" s="26"/>
      <c r="W54" s="27"/>
      <c r="X54" s="27"/>
      <c r="Y54" s="27"/>
      <c r="Z54" s="27"/>
      <c r="AA54" s="26"/>
      <c r="AB54" s="27"/>
      <c r="AC54" s="27"/>
      <c r="AD54" s="27"/>
      <c r="AE54" s="27"/>
      <c r="AF54" s="27"/>
      <c r="AG54" s="82"/>
      <c r="AH54" s="85" t="str">
        <f aca="false">IF(A54="","",ROUNDDOWN((N(E54)+N(F54)+N(I54)+N(J54))*IF(K54="",$B$2,K54),0))</f>
        <v/>
      </c>
      <c r="AI54" s="85" t="str">
        <f aca="false">IF(A54="","",N(W54)+N(X54))</f>
        <v/>
      </c>
      <c r="AJ54" s="85" t="str">
        <f aca="false">IF(A54="","",SUM(E54:U54)-N(K54)+AH54+AI54)</f>
        <v/>
      </c>
      <c r="AK54" s="85" t="str">
        <f aca="false">IF(A54="","",N(W54))</f>
        <v/>
      </c>
      <c r="AL54" s="85" t="str">
        <f aca="false">IF(A54="","",AJ54-AK54)</f>
        <v/>
      </c>
      <c r="AM54" s="85" t="str">
        <f aca="false">IF(A54="","",ROUNDDOWN(N(Z54)*設定!$B$13/1000,0))</f>
        <v/>
      </c>
      <c r="AN54" s="85" t="str">
        <f aca="false">IF(A54="","",ROUNDDOWN(N(Z54)*設定!$B$15/1000,0))</f>
        <v/>
      </c>
      <c r="AO54" s="85" t="str">
        <f aca="false">IF(A54="","",ROUNDDOWN(N(Z54)*設定!$B$10/1000,0))</f>
        <v/>
      </c>
      <c r="AP54" s="85" t="str">
        <f aca="false">IF(A54="","",ROUNDDOWN(N(Z54)*設定!$B$11/1000,0))</f>
        <v/>
      </c>
      <c r="AQ54" s="85" t="str">
        <f aca="false">IF(A54="","",IF(AA54="Y",ROUNDDOWN(N(Z54)*設定!$B$14/1000,0),0))</f>
        <v/>
      </c>
      <c r="AR54" s="85" t="str">
        <f aca="false">IF(A54="","",SUM(AM54:AQ54))</f>
        <v/>
      </c>
      <c r="AS54" s="85" t="str">
        <f aca="false">IF(A54="","",N(AB54)+N(AC54)+AR54+N(AD54))</f>
        <v/>
      </c>
      <c r="AT54" s="85" t="str">
        <f aca="false">IF(A54="","",AJ54-AS54)</f>
        <v/>
      </c>
      <c r="AU54" s="85" t="str">
        <f aca="false">IF(A54="","",AL54-AR54)</f>
        <v/>
      </c>
      <c r="AV54" s="85" t="str">
        <f aca="false">IF(A54="","",N(AE54)+N(AF54))</f>
        <v/>
      </c>
      <c r="AW54" s="85" t="str">
        <f aca="false">IF(A54="","",AT54-AV54)</f>
        <v/>
      </c>
      <c r="AX54" s="86" t="str">
        <f aca="false">IF(A54="","",IF(N(V54)&lt;=1,AI54,IF(AI54&gt;0,ROUNDDOWN(AI54/N(V54),0),IF($B$3="Y",ROUNDDOWN(N(Y54)/N(V54),0),0))))</f>
        <v/>
      </c>
      <c r="AY54" s="87" t="str">
        <f aca="false">IF(A54="","",AJ54-AI54+AX54)</f>
        <v/>
      </c>
      <c r="AZ54" s="88" t="str">
        <f aca="false">IF(A54="","",A54&amp;"|"&amp;TEXT(D54,"yyyymm"))</f>
        <v/>
      </c>
    </row>
    <row r="55" customFormat="false" ht="15" hidden="false" customHeight="false" outlineLevel="0" collapsed="false">
      <c r="A55" s="26"/>
      <c r="B55" s="82"/>
      <c r="C55" s="82"/>
      <c r="D55" s="65"/>
      <c r="E55" s="27"/>
      <c r="F55" s="27"/>
      <c r="G55" s="27"/>
      <c r="H55" s="27"/>
      <c r="I55" s="27"/>
      <c r="J55" s="27"/>
      <c r="K55" s="84"/>
      <c r="L55" s="27"/>
      <c r="M55" s="27"/>
      <c r="N55" s="27"/>
      <c r="O55" s="27"/>
      <c r="P55" s="27"/>
      <c r="Q55" s="27"/>
      <c r="R55" s="27"/>
      <c r="S55" s="27"/>
      <c r="T55" s="27"/>
      <c r="U55" s="27"/>
      <c r="V55" s="26"/>
      <c r="W55" s="27"/>
      <c r="X55" s="27"/>
      <c r="Y55" s="27"/>
      <c r="Z55" s="27"/>
      <c r="AA55" s="26"/>
      <c r="AB55" s="27"/>
      <c r="AC55" s="27"/>
      <c r="AD55" s="27"/>
      <c r="AE55" s="27"/>
      <c r="AF55" s="27"/>
      <c r="AG55" s="82"/>
      <c r="AH55" s="85" t="str">
        <f aca="false">IF(A55="","",ROUNDDOWN((N(E55)+N(F55)+N(I55)+N(J55))*IF(K55="",$B$2,K55),0))</f>
        <v/>
      </c>
      <c r="AI55" s="85" t="str">
        <f aca="false">IF(A55="","",N(W55)+N(X55))</f>
        <v/>
      </c>
      <c r="AJ55" s="85" t="str">
        <f aca="false">IF(A55="","",SUM(E55:U55)-N(K55)+AH55+AI55)</f>
        <v/>
      </c>
      <c r="AK55" s="85" t="str">
        <f aca="false">IF(A55="","",N(W55))</f>
        <v/>
      </c>
      <c r="AL55" s="85" t="str">
        <f aca="false">IF(A55="","",AJ55-AK55)</f>
        <v/>
      </c>
      <c r="AM55" s="85" t="str">
        <f aca="false">IF(A55="","",ROUNDDOWN(N(Z55)*設定!$B$13/1000,0))</f>
        <v/>
      </c>
      <c r="AN55" s="85" t="str">
        <f aca="false">IF(A55="","",ROUNDDOWN(N(Z55)*設定!$B$15/1000,0))</f>
        <v/>
      </c>
      <c r="AO55" s="85" t="str">
        <f aca="false">IF(A55="","",ROUNDDOWN(N(Z55)*設定!$B$10/1000,0))</f>
        <v/>
      </c>
      <c r="AP55" s="85" t="str">
        <f aca="false">IF(A55="","",ROUNDDOWN(N(Z55)*設定!$B$11/1000,0))</f>
        <v/>
      </c>
      <c r="AQ55" s="85" t="str">
        <f aca="false">IF(A55="","",IF(AA55="Y",ROUNDDOWN(N(Z55)*設定!$B$14/1000,0),0))</f>
        <v/>
      </c>
      <c r="AR55" s="85" t="str">
        <f aca="false">IF(A55="","",SUM(AM55:AQ55))</f>
        <v/>
      </c>
      <c r="AS55" s="85" t="str">
        <f aca="false">IF(A55="","",N(AB55)+N(AC55)+AR55+N(AD55))</f>
        <v/>
      </c>
      <c r="AT55" s="85" t="str">
        <f aca="false">IF(A55="","",AJ55-AS55)</f>
        <v/>
      </c>
      <c r="AU55" s="85" t="str">
        <f aca="false">IF(A55="","",AL55-AR55)</f>
        <v/>
      </c>
      <c r="AV55" s="85" t="str">
        <f aca="false">IF(A55="","",N(AE55)+N(AF55))</f>
        <v/>
      </c>
      <c r="AW55" s="85" t="str">
        <f aca="false">IF(A55="","",AT55-AV55)</f>
        <v/>
      </c>
      <c r="AX55" s="86" t="str">
        <f aca="false">IF(A55="","",IF(N(V55)&lt;=1,AI55,IF(AI55&gt;0,ROUNDDOWN(AI55/N(V55),0),IF($B$3="Y",ROUNDDOWN(N(Y55)/N(V55),0),0))))</f>
        <v/>
      </c>
      <c r="AY55" s="87" t="str">
        <f aca="false">IF(A55="","",AJ55-AI55+AX55)</f>
        <v/>
      </c>
      <c r="AZ55" s="88" t="str">
        <f aca="false">IF(A55="","",A55&amp;"|"&amp;TEXT(D55,"yyyymm"))</f>
        <v/>
      </c>
    </row>
    <row r="56" customFormat="false" ht="15" hidden="false" customHeight="false" outlineLevel="0" collapsed="false">
      <c r="A56" s="26"/>
      <c r="B56" s="82"/>
      <c r="C56" s="82"/>
      <c r="D56" s="65"/>
      <c r="E56" s="27"/>
      <c r="F56" s="27"/>
      <c r="G56" s="27"/>
      <c r="H56" s="27"/>
      <c r="I56" s="27"/>
      <c r="J56" s="27"/>
      <c r="K56" s="84"/>
      <c r="L56" s="27"/>
      <c r="M56" s="27"/>
      <c r="N56" s="27"/>
      <c r="O56" s="27"/>
      <c r="P56" s="27"/>
      <c r="Q56" s="27"/>
      <c r="R56" s="27"/>
      <c r="S56" s="27"/>
      <c r="T56" s="27"/>
      <c r="U56" s="27"/>
      <c r="V56" s="26"/>
      <c r="W56" s="27"/>
      <c r="X56" s="27"/>
      <c r="Y56" s="27"/>
      <c r="Z56" s="27"/>
      <c r="AA56" s="26"/>
      <c r="AB56" s="27"/>
      <c r="AC56" s="27"/>
      <c r="AD56" s="27"/>
      <c r="AE56" s="27"/>
      <c r="AF56" s="27"/>
      <c r="AG56" s="82"/>
      <c r="AH56" s="85" t="str">
        <f aca="false">IF(A56="","",ROUNDDOWN((N(E56)+N(F56)+N(I56)+N(J56))*IF(K56="",$B$2,K56),0))</f>
        <v/>
      </c>
      <c r="AI56" s="85" t="str">
        <f aca="false">IF(A56="","",N(W56)+N(X56))</f>
        <v/>
      </c>
      <c r="AJ56" s="85" t="str">
        <f aca="false">IF(A56="","",SUM(E56:U56)-N(K56)+AH56+AI56)</f>
        <v/>
      </c>
      <c r="AK56" s="85" t="str">
        <f aca="false">IF(A56="","",N(W56))</f>
        <v/>
      </c>
      <c r="AL56" s="85" t="str">
        <f aca="false">IF(A56="","",AJ56-AK56)</f>
        <v/>
      </c>
      <c r="AM56" s="85" t="str">
        <f aca="false">IF(A56="","",ROUNDDOWN(N(Z56)*設定!$B$13/1000,0))</f>
        <v/>
      </c>
      <c r="AN56" s="85" t="str">
        <f aca="false">IF(A56="","",ROUNDDOWN(N(Z56)*設定!$B$15/1000,0))</f>
        <v/>
      </c>
      <c r="AO56" s="85" t="str">
        <f aca="false">IF(A56="","",ROUNDDOWN(N(Z56)*設定!$B$10/1000,0))</f>
        <v/>
      </c>
      <c r="AP56" s="85" t="str">
        <f aca="false">IF(A56="","",ROUNDDOWN(N(Z56)*設定!$B$11/1000,0))</f>
        <v/>
      </c>
      <c r="AQ56" s="85" t="str">
        <f aca="false">IF(A56="","",IF(AA56="Y",ROUNDDOWN(N(Z56)*設定!$B$14/1000,0),0))</f>
        <v/>
      </c>
      <c r="AR56" s="85" t="str">
        <f aca="false">IF(A56="","",SUM(AM56:AQ56))</f>
        <v/>
      </c>
      <c r="AS56" s="85" t="str">
        <f aca="false">IF(A56="","",N(AB56)+N(AC56)+AR56+N(AD56))</f>
        <v/>
      </c>
      <c r="AT56" s="85" t="str">
        <f aca="false">IF(A56="","",AJ56-AS56)</f>
        <v/>
      </c>
      <c r="AU56" s="85" t="str">
        <f aca="false">IF(A56="","",AL56-AR56)</f>
        <v/>
      </c>
      <c r="AV56" s="85" t="str">
        <f aca="false">IF(A56="","",N(AE56)+N(AF56))</f>
        <v/>
      </c>
      <c r="AW56" s="85" t="str">
        <f aca="false">IF(A56="","",AT56-AV56)</f>
        <v/>
      </c>
      <c r="AX56" s="86" t="str">
        <f aca="false">IF(A56="","",IF(N(V56)&lt;=1,AI56,IF(AI56&gt;0,ROUNDDOWN(AI56/N(V56),0),IF($B$3="Y",ROUNDDOWN(N(Y56)/N(V56),0),0))))</f>
        <v/>
      </c>
      <c r="AY56" s="87" t="str">
        <f aca="false">IF(A56="","",AJ56-AI56+AX56)</f>
        <v/>
      </c>
      <c r="AZ56" s="88" t="str">
        <f aca="false">IF(A56="","",A56&amp;"|"&amp;TEXT(D56,"yyyymm"))</f>
        <v/>
      </c>
    </row>
    <row r="57" customFormat="false" ht="15" hidden="false" customHeight="false" outlineLevel="0" collapsed="false">
      <c r="A57" s="26"/>
      <c r="B57" s="82"/>
      <c r="C57" s="82"/>
      <c r="D57" s="65"/>
      <c r="E57" s="27"/>
      <c r="F57" s="27"/>
      <c r="G57" s="27"/>
      <c r="H57" s="27"/>
      <c r="I57" s="27"/>
      <c r="J57" s="27"/>
      <c r="K57" s="84"/>
      <c r="L57" s="27"/>
      <c r="M57" s="27"/>
      <c r="N57" s="27"/>
      <c r="O57" s="27"/>
      <c r="P57" s="27"/>
      <c r="Q57" s="27"/>
      <c r="R57" s="27"/>
      <c r="S57" s="27"/>
      <c r="T57" s="27"/>
      <c r="U57" s="27"/>
      <c r="V57" s="26"/>
      <c r="W57" s="27"/>
      <c r="X57" s="27"/>
      <c r="Y57" s="27"/>
      <c r="Z57" s="27"/>
      <c r="AA57" s="26"/>
      <c r="AB57" s="27"/>
      <c r="AC57" s="27"/>
      <c r="AD57" s="27"/>
      <c r="AE57" s="27"/>
      <c r="AF57" s="27"/>
      <c r="AG57" s="82"/>
      <c r="AH57" s="85" t="str">
        <f aca="false">IF(A57="","",ROUNDDOWN((N(E57)+N(F57)+N(I57)+N(J57))*IF(K57="",$B$2,K57),0))</f>
        <v/>
      </c>
      <c r="AI57" s="85" t="str">
        <f aca="false">IF(A57="","",N(W57)+N(X57))</f>
        <v/>
      </c>
      <c r="AJ57" s="85" t="str">
        <f aca="false">IF(A57="","",SUM(E57:U57)-N(K57)+AH57+AI57)</f>
        <v/>
      </c>
      <c r="AK57" s="85" t="str">
        <f aca="false">IF(A57="","",N(W57))</f>
        <v/>
      </c>
      <c r="AL57" s="85" t="str">
        <f aca="false">IF(A57="","",AJ57-AK57)</f>
        <v/>
      </c>
      <c r="AM57" s="85" t="str">
        <f aca="false">IF(A57="","",ROUNDDOWN(N(Z57)*設定!$B$13/1000,0))</f>
        <v/>
      </c>
      <c r="AN57" s="85" t="str">
        <f aca="false">IF(A57="","",ROUNDDOWN(N(Z57)*設定!$B$15/1000,0))</f>
        <v/>
      </c>
      <c r="AO57" s="85" t="str">
        <f aca="false">IF(A57="","",ROUNDDOWN(N(Z57)*設定!$B$10/1000,0))</f>
        <v/>
      </c>
      <c r="AP57" s="85" t="str">
        <f aca="false">IF(A57="","",ROUNDDOWN(N(Z57)*設定!$B$11/1000,0))</f>
        <v/>
      </c>
      <c r="AQ57" s="85" t="str">
        <f aca="false">IF(A57="","",IF(AA57="Y",ROUNDDOWN(N(Z57)*設定!$B$14/1000,0),0))</f>
        <v/>
      </c>
      <c r="AR57" s="85" t="str">
        <f aca="false">IF(A57="","",SUM(AM57:AQ57))</f>
        <v/>
      </c>
      <c r="AS57" s="85" t="str">
        <f aca="false">IF(A57="","",N(AB57)+N(AC57)+AR57+N(AD57))</f>
        <v/>
      </c>
      <c r="AT57" s="85" t="str">
        <f aca="false">IF(A57="","",AJ57-AS57)</f>
        <v/>
      </c>
      <c r="AU57" s="85" t="str">
        <f aca="false">IF(A57="","",AL57-AR57)</f>
        <v/>
      </c>
      <c r="AV57" s="85" t="str">
        <f aca="false">IF(A57="","",N(AE57)+N(AF57))</f>
        <v/>
      </c>
      <c r="AW57" s="85" t="str">
        <f aca="false">IF(A57="","",AT57-AV57)</f>
        <v/>
      </c>
      <c r="AX57" s="86" t="str">
        <f aca="false">IF(A57="","",IF(N(V57)&lt;=1,AI57,IF(AI57&gt;0,ROUNDDOWN(AI57/N(V57),0),IF($B$3="Y",ROUNDDOWN(N(Y57)/N(V57),0),0))))</f>
        <v/>
      </c>
      <c r="AY57" s="87" t="str">
        <f aca="false">IF(A57="","",AJ57-AI57+AX57)</f>
        <v/>
      </c>
      <c r="AZ57" s="88" t="str">
        <f aca="false">IF(A57="","",A57&amp;"|"&amp;TEXT(D57,"yyyymm"))</f>
        <v/>
      </c>
    </row>
    <row r="58" customFormat="false" ht="15" hidden="false" customHeight="false" outlineLevel="0" collapsed="false">
      <c r="A58" s="26"/>
      <c r="B58" s="82"/>
      <c r="C58" s="82"/>
      <c r="D58" s="65"/>
      <c r="E58" s="27"/>
      <c r="F58" s="27"/>
      <c r="G58" s="27"/>
      <c r="H58" s="27"/>
      <c r="I58" s="27"/>
      <c r="J58" s="27"/>
      <c r="K58" s="84"/>
      <c r="L58" s="27"/>
      <c r="M58" s="27"/>
      <c r="N58" s="27"/>
      <c r="O58" s="27"/>
      <c r="P58" s="27"/>
      <c r="Q58" s="27"/>
      <c r="R58" s="27"/>
      <c r="S58" s="27"/>
      <c r="T58" s="27"/>
      <c r="U58" s="27"/>
      <c r="V58" s="26"/>
      <c r="W58" s="27"/>
      <c r="X58" s="27"/>
      <c r="Y58" s="27"/>
      <c r="Z58" s="27"/>
      <c r="AA58" s="26"/>
      <c r="AB58" s="27"/>
      <c r="AC58" s="27"/>
      <c r="AD58" s="27"/>
      <c r="AE58" s="27"/>
      <c r="AF58" s="27"/>
      <c r="AG58" s="82"/>
      <c r="AH58" s="85" t="str">
        <f aca="false">IF(A58="","",ROUNDDOWN((N(E58)+N(F58)+N(I58)+N(J58))*IF(K58="",$B$2,K58),0))</f>
        <v/>
      </c>
      <c r="AI58" s="85" t="str">
        <f aca="false">IF(A58="","",N(W58)+N(X58))</f>
        <v/>
      </c>
      <c r="AJ58" s="85" t="str">
        <f aca="false">IF(A58="","",SUM(E58:U58)-N(K58)+AH58+AI58)</f>
        <v/>
      </c>
      <c r="AK58" s="85" t="str">
        <f aca="false">IF(A58="","",N(W58))</f>
        <v/>
      </c>
      <c r="AL58" s="85" t="str">
        <f aca="false">IF(A58="","",AJ58-AK58)</f>
        <v/>
      </c>
      <c r="AM58" s="85" t="str">
        <f aca="false">IF(A58="","",ROUNDDOWN(N(Z58)*設定!$B$13/1000,0))</f>
        <v/>
      </c>
      <c r="AN58" s="85" t="str">
        <f aca="false">IF(A58="","",ROUNDDOWN(N(Z58)*設定!$B$15/1000,0))</f>
        <v/>
      </c>
      <c r="AO58" s="85" t="str">
        <f aca="false">IF(A58="","",ROUNDDOWN(N(Z58)*設定!$B$10/1000,0))</f>
        <v/>
      </c>
      <c r="AP58" s="85" t="str">
        <f aca="false">IF(A58="","",ROUNDDOWN(N(Z58)*設定!$B$11/1000,0))</f>
        <v/>
      </c>
      <c r="AQ58" s="85" t="str">
        <f aca="false">IF(A58="","",IF(AA58="Y",ROUNDDOWN(N(Z58)*設定!$B$14/1000,0),0))</f>
        <v/>
      </c>
      <c r="AR58" s="85" t="str">
        <f aca="false">IF(A58="","",SUM(AM58:AQ58))</f>
        <v/>
      </c>
      <c r="AS58" s="85" t="str">
        <f aca="false">IF(A58="","",N(AB58)+N(AC58)+AR58+N(AD58))</f>
        <v/>
      </c>
      <c r="AT58" s="85" t="str">
        <f aca="false">IF(A58="","",AJ58-AS58)</f>
        <v/>
      </c>
      <c r="AU58" s="85" t="str">
        <f aca="false">IF(A58="","",AL58-AR58)</f>
        <v/>
      </c>
      <c r="AV58" s="85" t="str">
        <f aca="false">IF(A58="","",N(AE58)+N(AF58))</f>
        <v/>
      </c>
      <c r="AW58" s="85" t="str">
        <f aca="false">IF(A58="","",AT58-AV58)</f>
        <v/>
      </c>
      <c r="AX58" s="86" t="str">
        <f aca="false">IF(A58="","",IF(N(V58)&lt;=1,AI58,IF(AI58&gt;0,ROUNDDOWN(AI58/N(V58),0),IF($B$3="Y",ROUNDDOWN(N(Y58)/N(V58),0),0))))</f>
        <v/>
      </c>
      <c r="AY58" s="87" t="str">
        <f aca="false">IF(A58="","",AJ58-AI58+AX58)</f>
        <v/>
      </c>
      <c r="AZ58" s="88" t="str">
        <f aca="false">IF(A58="","",A58&amp;"|"&amp;TEXT(D58,"yyyymm"))</f>
        <v/>
      </c>
    </row>
    <row r="59" customFormat="false" ht="15" hidden="false" customHeight="false" outlineLevel="0" collapsed="false">
      <c r="A59" s="26"/>
      <c r="B59" s="82"/>
      <c r="C59" s="82"/>
      <c r="D59" s="65"/>
      <c r="E59" s="27"/>
      <c r="F59" s="27"/>
      <c r="G59" s="27"/>
      <c r="H59" s="27"/>
      <c r="I59" s="27"/>
      <c r="J59" s="27"/>
      <c r="K59" s="84"/>
      <c r="L59" s="27"/>
      <c r="M59" s="27"/>
      <c r="N59" s="27"/>
      <c r="O59" s="27"/>
      <c r="P59" s="27"/>
      <c r="Q59" s="27"/>
      <c r="R59" s="27"/>
      <c r="S59" s="27"/>
      <c r="T59" s="27"/>
      <c r="U59" s="27"/>
      <c r="V59" s="26"/>
      <c r="W59" s="27"/>
      <c r="X59" s="27"/>
      <c r="Y59" s="27"/>
      <c r="Z59" s="27"/>
      <c r="AA59" s="26"/>
      <c r="AB59" s="27"/>
      <c r="AC59" s="27"/>
      <c r="AD59" s="27"/>
      <c r="AE59" s="27"/>
      <c r="AF59" s="27"/>
      <c r="AG59" s="82"/>
      <c r="AH59" s="85" t="str">
        <f aca="false">IF(A59="","",ROUNDDOWN((N(E59)+N(F59)+N(I59)+N(J59))*IF(K59="",$B$2,K59),0))</f>
        <v/>
      </c>
      <c r="AI59" s="85" t="str">
        <f aca="false">IF(A59="","",N(W59)+N(X59))</f>
        <v/>
      </c>
      <c r="AJ59" s="85" t="str">
        <f aca="false">IF(A59="","",SUM(E59:U59)-N(K59)+AH59+AI59)</f>
        <v/>
      </c>
      <c r="AK59" s="85" t="str">
        <f aca="false">IF(A59="","",N(W59))</f>
        <v/>
      </c>
      <c r="AL59" s="85" t="str">
        <f aca="false">IF(A59="","",AJ59-AK59)</f>
        <v/>
      </c>
      <c r="AM59" s="85" t="str">
        <f aca="false">IF(A59="","",ROUNDDOWN(N(Z59)*設定!$B$13/1000,0))</f>
        <v/>
      </c>
      <c r="AN59" s="85" t="str">
        <f aca="false">IF(A59="","",ROUNDDOWN(N(Z59)*設定!$B$15/1000,0))</f>
        <v/>
      </c>
      <c r="AO59" s="85" t="str">
        <f aca="false">IF(A59="","",ROUNDDOWN(N(Z59)*設定!$B$10/1000,0))</f>
        <v/>
      </c>
      <c r="AP59" s="85" t="str">
        <f aca="false">IF(A59="","",ROUNDDOWN(N(Z59)*設定!$B$11/1000,0))</f>
        <v/>
      </c>
      <c r="AQ59" s="85" t="str">
        <f aca="false">IF(A59="","",IF(AA59="Y",ROUNDDOWN(N(Z59)*設定!$B$14/1000,0),0))</f>
        <v/>
      </c>
      <c r="AR59" s="85" t="str">
        <f aca="false">IF(A59="","",SUM(AM59:AQ59))</f>
        <v/>
      </c>
      <c r="AS59" s="85" t="str">
        <f aca="false">IF(A59="","",N(AB59)+N(AC59)+AR59+N(AD59))</f>
        <v/>
      </c>
      <c r="AT59" s="85" t="str">
        <f aca="false">IF(A59="","",AJ59-AS59)</f>
        <v/>
      </c>
      <c r="AU59" s="85" t="str">
        <f aca="false">IF(A59="","",AL59-AR59)</f>
        <v/>
      </c>
      <c r="AV59" s="85" t="str">
        <f aca="false">IF(A59="","",N(AE59)+N(AF59))</f>
        <v/>
      </c>
      <c r="AW59" s="85" t="str">
        <f aca="false">IF(A59="","",AT59-AV59)</f>
        <v/>
      </c>
      <c r="AX59" s="86" t="str">
        <f aca="false">IF(A59="","",IF(N(V59)&lt;=1,AI59,IF(AI59&gt;0,ROUNDDOWN(AI59/N(V59),0),IF($B$3="Y",ROUNDDOWN(N(Y59)/N(V59),0),0))))</f>
        <v/>
      </c>
      <c r="AY59" s="87" t="str">
        <f aca="false">IF(A59="","",AJ59-AI59+AX59)</f>
        <v/>
      </c>
      <c r="AZ59" s="88" t="str">
        <f aca="false">IF(A59="","",A59&amp;"|"&amp;TEXT(D59,"yyyymm"))</f>
        <v/>
      </c>
    </row>
    <row r="60" customFormat="false" ht="15" hidden="false" customHeight="false" outlineLevel="0" collapsed="false">
      <c r="A60" s="26"/>
      <c r="B60" s="82"/>
      <c r="C60" s="82"/>
      <c r="D60" s="65"/>
      <c r="E60" s="27"/>
      <c r="F60" s="27"/>
      <c r="G60" s="27"/>
      <c r="H60" s="27"/>
      <c r="I60" s="27"/>
      <c r="J60" s="27"/>
      <c r="K60" s="84"/>
      <c r="L60" s="27"/>
      <c r="M60" s="27"/>
      <c r="N60" s="27"/>
      <c r="O60" s="27"/>
      <c r="P60" s="27"/>
      <c r="Q60" s="27"/>
      <c r="R60" s="27"/>
      <c r="S60" s="27"/>
      <c r="T60" s="27"/>
      <c r="U60" s="27"/>
      <c r="V60" s="26"/>
      <c r="W60" s="27"/>
      <c r="X60" s="27"/>
      <c r="Y60" s="27"/>
      <c r="Z60" s="27"/>
      <c r="AA60" s="26"/>
      <c r="AB60" s="27"/>
      <c r="AC60" s="27"/>
      <c r="AD60" s="27"/>
      <c r="AE60" s="27"/>
      <c r="AF60" s="27"/>
      <c r="AG60" s="82"/>
      <c r="AH60" s="85" t="str">
        <f aca="false">IF(A60="","",ROUNDDOWN((N(E60)+N(F60)+N(I60)+N(J60))*IF(K60="",$B$2,K60),0))</f>
        <v/>
      </c>
      <c r="AI60" s="85" t="str">
        <f aca="false">IF(A60="","",N(W60)+N(X60))</f>
        <v/>
      </c>
      <c r="AJ60" s="85" t="str">
        <f aca="false">IF(A60="","",SUM(E60:U60)-N(K60)+AH60+AI60)</f>
        <v/>
      </c>
      <c r="AK60" s="85" t="str">
        <f aca="false">IF(A60="","",N(W60))</f>
        <v/>
      </c>
      <c r="AL60" s="85" t="str">
        <f aca="false">IF(A60="","",AJ60-AK60)</f>
        <v/>
      </c>
      <c r="AM60" s="85" t="str">
        <f aca="false">IF(A60="","",ROUNDDOWN(N(Z60)*設定!$B$13/1000,0))</f>
        <v/>
      </c>
      <c r="AN60" s="85" t="str">
        <f aca="false">IF(A60="","",ROUNDDOWN(N(Z60)*設定!$B$15/1000,0))</f>
        <v/>
      </c>
      <c r="AO60" s="85" t="str">
        <f aca="false">IF(A60="","",ROUNDDOWN(N(Z60)*設定!$B$10/1000,0))</f>
        <v/>
      </c>
      <c r="AP60" s="85" t="str">
        <f aca="false">IF(A60="","",ROUNDDOWN(N(Z60)*設定!$B$11/1000,0))</f>
        <v/>
      </c>
      <c r="AQ60" s="85" t="str">
        <f aca="false">IF(A60="","",IF(AA60="Y",ROUNDDOWN(N(Z60)*設定!$B$14/1000,0),0))</f>
        <v/>
      </c>
      <c r="AR60" s="85" t="str">
        <f aca="false">IF(A60="","",SUM(AM60:AQ60))</f>
        <v/>
      </c>
      <c r="AS60" s="85" t="str">
        <f aca="false">IF(A60="","",N(AB60)+N(AC60)+AR60+N(AD60))</f>
        <v/>
      </c>
      <c r="AT60" s="85" t="str">
        <f aca="false">IF(A60="","",AJ60-AS60)</f>
        <v/>
      </c>
      <c r="AU60" s="85" t="str">
        <f aca="false">IF(A60="","",AL60-AR60)</f>
        <v/>
      </c>
      <c r="AV60" s="85" t="str">
        <f aca="false">IF(A60="","",N(AE60)+N(AF60))</f>
        <v/>
      </c>
      <c r="AW60" s="85" t="str">
        <f aca="false">IF(A60="","",AT60-AV60)</f>
        <v/>
      </c>
      <c r="AX60" s="86" t="str">
        <f aca="false">IF(A60="","",IF(N(V60)&lt;=1,AI60,IF(AI60&gt;0,ROUNDDOWN(AI60/N(V60),0),IF($B$3="Y",ROUNDDOWN(N(Y60)/N(V60),0),0))))</f>
        <v/>
      </c>
      <c r="AY60" s="87" t="str">
        <f aca="false">IF(A60="","",AJ60-AI60+AX60)</f>
        <v/>
      </c>
      <c r="AZ60" s="88" t="str">
        <f aca="false">IF(A60="","",A60&amp;"|"&amp;TEXT(D60,"yyyymm"))</f>
        <v/>
      </c>
    </row>
    <row r="61" customFormat="false" ht="15" hidden="false" customHeight="false" outlineLevel="0" collapsed="false">
      <c r="A61" s="26"/>
      <c r="B61" s="82"/>
      <c r="C61" s="82"/>
      <c r="D61" s="65"/>
      <c r="E61" s="27"/>
      <c r="F61" s="27"/>
      <c r="G61" s="27"/>
      <c r="H61" s="27"/>
      <c r="I61" s="27"/>
      <c r="J61" s="27"/>
      <c r="K61" s="84"/>
      <c r="L61" s="27"/>
      <c r="M61" s="27"/>
      <c r="N61" s="27"/>
      <c r="O61" s="27"/>
      <c r="P61" s="27"/>
      <c r="Q61" s="27"/>
      <c r="R61" s="27"/>
      <c r="S61" s="27"/>
      <c r="T61" s="27"/>
      <c r="U61" s="27"/>
      <c r="V61" s="26"/>
      <c r="W61" s="27"/>
      <c r="X61" s="27"/>
      <c r="Y61" s="27"/>
      <c r="Z61" s="27"/>
      <c r="AA61" s="26"/>
      <c r="AB61" s="27"/>
      <c r="AC61" s="27"/>
      <c r="AD61" s="27"/>
      <c r="AE61" s="27"/>
      <c r="AF61" s="27"/>
      <c r="AG61" s="82"/>
      <c r="AH61" s="85" t="str">
        <f aca="false">IF(A61="","",ROUNDDOWN((N(E61)+N(F61)+N(I61)+N(J61))*IF(K61="",$B$2,K61),0))</f>
        <v/>
      </c>
      <c r="AI61" s="85" t="str">
        <f aca="false">IF(A61="","",N(W61)+N(X61))</f>
        <v/>
      </c>
      <c r="AJ61" s="85" t="str">
        <f aca="false">IF(A61="","",SUM(E61:U61)-N(K61)+AH61+AI61)</f>
        <v/>
      </c>
      <c r="AK61" s="85" t="str">
        <f aca="false">IF(A61="","",N(W61))</f>
        <v/>
      </c>
      <c r="AL61" s="85" t="str">
        <f aca="false">IF(A61="","",AJ61-AK61)</f>
        <v/>
      </c>
      <c r="AM61" s="85" t="str">
        <f aca="false">IF(A61="","",ROUNDDOWN(N(Z61)*設定!$B$13/1000,0))</f>
        <v/>
      </c>
      <c r="AN61" s="85" t="str">
        <f aca="false">IF(A61="","",ROUNDDOWN(N(Z61)*設定!$B$15/1000,0))</f>
        <v/>
      </c>
      <c r="AO61" s="85" t="str">
        <f aca="false">IF(A61="","",ROUNDDOWN(N(Z61)*設定!$B$10/1000,0))</f>
        <v/>
      </c>
      <c r="AP61" s="85" t="str">
        <f aca="false">IF(A61="","",ROUNDDOWN(N(Z61)*設定!$B$11/1000,0))</f>
        <v/>
      </c>
      <c r="AQ61" s="85" t="str">
        <f aca="false">IF(A61="","",IF(AA61="Y",ROUNDDOWN(N(Z61)*設定!$B$14/1000,0),0))</f>
        <v/>
      </c>
      <c r="AR61" s="85" t="str">
        <f aca="false">IF(A61="","",SUM(AM61:AQ61))</f>
        <v/>
      </c>
      <c r="AS61" s="85" t="str">
        <f aca="false">IF(A61="","",N(AB61)+N(AC61)+AR61+N(AD61))</f>
        <v/>
      </c>
      <c r="AT61" s="85" t="str">
        <f aca="false">IF(A61="","",AJ61-AS61)</f>
        <v/>
      </c>
      <c r="AU61" s="85" t="str">
        <f aca="false">IF(A61="","",AL61-AR61)</f>
        <v/>
      </c>
      <c r="AV61" s="85" t="str">
        <f aca="false">IF(A61="","",N(AE61)+N(AF61))</f>
        <v/>
      </c>
      <c r="AW61" s="85" t="str">
        <f aca="false">IF(A61="","",AT61-AV61)</f>
        <v/>
      </c>
      <c r="AX61" s="86" t="str">
        <f aca="false">IF(A61="","",IF(N(V61)&lt;=1,AI61,IF(AI61&gt;0,ROUNDDOWN(AI61/N(V61),0),IF($B$3="Y",ROUNDDOWN(N(Y61)/N(V61),0),0))))</f>
        <v/>
      </c>
      <c r="AY61" s="87" t="str">
        <f aca="false">IF(A61="","",AJ61-AI61+AX61)</f>
        <v/>
      </c>
      <c r="AZ61" s="88" t="str">
        <f aca="false">IF(A61="","",A61&amp;"|"&amp;TEXT(D61,"yyyymm"))</f>
        <v/>
      </c>
    </row>
    <row r="62" customFormat="false" ht="15" hidden="false" customHeight="false" outlineLevel="0" collapsed="false">
      <c r="A62" s="26"/>
      <c r="B62" s="82"/>
      <c r="C62" s="82"/>
      <c r="D62" s="65"/>
      <c r="E62" s="27"/>
      <c r="F62" s="27"/>
      <c r="G62" s="27"/>
      <c r="H62" s="27"/>
      <c r="I62" s="27"/>
      <c r="J62" s="27"/>
      <c r="K62" s="84"/>
      <c r="L62" s="27"/>
      <c r="M62" s="27"/>
      <c r="N62" s="27"/>
      <c r="O62" s="27"/>
      <c r="P62" s="27"/>
      <c r="Q62" s="27"/>
      <c r="R62" s="27"/>
      <c r="S62" s="27"/>
      <c r="T62" s="27"/>
      <c r="U62" s="27"/>
      <c r="V62" s="26"/>
      <c r="W62" s="27"/>
      <c r="X62" s="27"/>
      <c r="Y62" s="27"/>
      <c r="Z62" s="27"/>
      <c r="AA62" s="26"/>
      <c r="AB62" s="27"/>
      <c r="AC62" s="27"/>
      <c r="AD62" s="27"/>
      <c r="AE62" s="27"/>
      <c r="AF62" s="27"/>
      <c r="AG62" s="82"/>
      <c r="AH62" s="85" t="str">
        <f aca="false">IF(A62="","",ROUNDDOWN((N(E62)+N(F62)+N(I62)+N(J62))*IF(K62="",$B$2,K62),0))</f>
        <v/>
      </c>
      <c r="AI62" s="85" t="str">
        <f aca="false">IF(A62="","",N(W62)+N(X62))</f>
        <v/>
      </c>
      <c r="AJ62" s="85" t="str">
        <f aca="false">IF(A62="","",SUM(E62:U62)-N(K62)+AH62+AI62)</f>
        <v/>
      </c>
      <c r="AK62" s="85" t="str">
        <f aca="false">IF(A62="","",N(W62))</f>
        <v/>
      </c>
      <c r="AL62" s="85" t="str">
        <f aca="false">IF(A62="","",AJ62-AK62)</f>
        <v/>
      </c>
      <c r="AM62" s="85" t="str">
        <f aca="false">IF(A62="","",ROUNDDOWN(N(Z62)*設定!$B$13/1000,0))</f>
        <v/>
      </c>
      <c r="AN62" s="85" t="str">
        <f aca="false">IF(A62="","",ROUNDDOWN(N(Z62)*設定!$B$15/1000,0))</f>
        <v/>
      </c>
      <c r="AO62" s="85" t="str">
        <f aca="false">IF(A62="","",ROUNDDOWN(N(Z62)*設定!$B$10/1000,0))</f>
        <v/>
      </c>
      <c r="AP62" s="85" t="str">
        <f aca="false">IF(A62="","",ROUNDDOWN(N(Z62)*設定!$B$11/1000,0))</f>
        <v/>
      </c>
      <c r="AQ62" s="85" t="str">
        <f aca="false">IF(A62="","",IF(AA62="Y",ROUNDDOWN(N(Z62)*設定!$B$14/1000,0),0))</f>
        <v/>
      </c>
      <c r="AR62" s="85" t="str">
        <f aca="false">IF(A62="","",SUM(AM62:AQ62))</f>
        <v/>
      </c>
      <c r="AS62" s="85" t="str">
        <f aca="false">IF(A62="","",N(AB62)+N(AC62)+AR62+N(AD62))</f>
        <v/>
      </c>
      <c r="AT62" s="85" t="str">
        <f aca="false">IF(A62="","",AJ62-AS62)</f>
        <v/>
      </c>
      <c r="AU62" s="85" t="str">
        <f aca="false">IF(A62="","",AL62-AR62)</f>
        <v/>
      </c>
      <c r="AV62" s="85" t="str">
        <f aca="false">IF(A62="","",N(AE62)+N(AF62))</f>
        <v/>
      </c>
      <c r="AW62" s="85" t="str">
        <f aca="false">IF(A62="","",AT62-AV62)</f>
        <v/>
      </c>
      <c r="AX62" s="86" t="str">
        <f aca="false">IF(A62="","",IF(N(V62)&lt;=1,AI62,IF(AI62&gt;0,ROUNDDOWN(AI62/N(V62),0),IF($B$3="Y",ROUNDDOWN(N(Y62)/N(V62),0),0))))</f>
        <v/>
      </c>
      <c r="AY62" s="87" t="str">
        <f aca="false">IF(A62="","",AJ62-AI62+AX62)</f>
        <v/>
      </c>
      <c r="AZ62" s="88" t="str">
        <f aca="false">IF(A62="","",A62&amp;"|"&amp;TEXT(D62,"yyyymm"))</f>
        <v/>
      </c>
    </row>
    <row r="63" customFormat="false" ht="15" hidden="false" customHeight="false" outlineLevel="0" collapsed="false">
      <c r="A63" s="26"/>
      <c r="B63" s="82"/>
      <c r="C63" s="82"/>
      <c r="D63" s="65"/>
      <c r="E63" s="27"/>
      <c r="F63" s="27"/>
      <c r="G63" s="27"/>
      <c r="H63" s="27"/>
      <c r="I63" s="27"/>
      <c r="J63" s="27"/>
      <c r="K63" s="84"/>
      <c r="L63" s="27"/>
      <c r="M63" s="27"/>
      <c r="N63" s="27"/>
      <c r="O63" s="27"/>
      <c r="P63" s="27"/>
      <c r="Q63" s="27"/>
      <c r="R63" s="27"/>
      <c r="S63" s="27"/>
      <c r="T63" s="27"/>
      <c r="U63" s="27"/>
      <c r="V63" s="26"/>
      <c r="W63" s="27"/>
      <c r="X63" s="27"/>
      <c r="Y63" s="27"/>
      <c r="Z63" s="27"/>
      <c r="AA63" s="26"/>
      <c r="AB63" s="27"/>
      <c r="AC63" s="27"/>
      <c r="AD63" s="27"/>
      <c r="AE63" s="27"/>
      <c r="AF63" s="27"/>
      <c r="AG63" s="82"/>
      <c r="AH63" s="85" t="str">
        <f aca="false">IF(A63="","",ROUNDDOWN((N(E63)+N(F63)+N(I63)+N(J63))*IF(K63="",$B$2,K63),0))</f>
        <v/>
      </c>
      <c r="AI63" s="85" t="str">
        <f aca="false">IF(A63="","",N(W63)+N(X63))</f>
        <v/>
      </c>
      <c r="AJ63" s="85" t="str">
        <f aca="false">IF(A63="","",SUM(E63:U63)-N(K63)+AH63+AI63)</f>
        <v/>
      </c>
      <c r="AK63" s="85" t="str">
        <f aca="false">IF(A63="","",N(W63))</f>
        <v/>
      </c>
      <c r="AL63" s="85" t="str">
        <f aca="false">IF(A63="","",AJ63-AK63)</f>
        <v/>
      </c>
      <c r="AM63" s="85" t="str">
        <f aca="false">IF(A63="","",ROUNDDOWN(N(Z63)*設定!$B$13/1000,0))</f>
        <v/>
      </c>
      <c r="AN63" s="85" t="str">
        <f aca="false">IF(A63="","",ROUNDDOWN(N(Z63)*設定!$B$15/1000,0))</f>
        <v/>
      </c>
      <c r="AO63" s="85" t="str">
        <f aca="false">IF(A63="","",ROUNDDOWN(N(Z63)*設定!$B$10/1000,0))</f>
        <v/>
      </c>
      <c r="AP63" s="85" t="str">
        <f aca="false">IF(A63="","",ROUNDDOWN(N(Z63)*設定!$B$11/1000,0))</f>
        <v/>
      </c>
      <c r="AQ63" s="85" t="str">
        <f aca="false">IF(A63="","",IF(AA63="Y",ROUNDDOWN(N(Z63)*設定!$B$14/1000,0),0))</f>
        <v/>
      </c>
      <c r="AR63" s="85" t="str">
        <f aca="false">IF(A63="","",SUM(AM63:AQ63))</f>
        <v/>
      </c>
      <c r="AS63" s="85" t="str">
        <f aca="false">IF(A63="","",N(AB63)+N(AC63)+AR63+N(AD63))</f>
        <v/>
      </c>
      <c r="AT63" s="85" t="str">
        <f aca="false">IF(A63="","",AJ63-AS63)</f>
        <v/>
      </c>
      <c r="AU63" s="85" t="str">
        <f aca="false">IF(A63="","",AL63-AR63)</f>
        <v/>
      </c>
      <c r="AV63" s="85" t="str">
        <f aca="false">IF(A63="","",N(AE63)+N(AF63))</f>
        <v/>
      </c>
      <c r="AW63" s="85" t="str">
        <f aca="false">IF(A63="","",AT63-AV63)</f>
        <v/>
      </c>
      <c r="AX63" s="86" t="str">
        <f aca="false">IF(A63="","",IF(N(V63)&lt;=1,AI63,IF(AI63&gt;0,ROUNDDOWN(AI63/N(V63),0),IF($B$3="Y",ROUNDDOWN(N(Y63)/N(V63),0),0))))</f>
        <v/>
      </c>
      <c r="AY63" s="87" t="str">
        <f aca="false">IF(A63="","",AJ63-AI63+AX63)</f>
        <v/>
      </c>
      <c r="AZ63" s="88" t="str">
        <f aca="false">IF(A63="","",A63&amp;"|"&amp;TEXT(D63,"yyyymm"))</f>
        <v/>
      </c>
    </row>
    <row r="64" customFormat="false" ht="15" hidden="false" customHeight="false" outlineLevel="0" collapsed="false">
      <c r="A64" s="26"/>
      <c r="B64" s="82"/>
      <c r="C64" s="82"/>
      <c r="D64" s="65"/>
      <c r="E64" s="27"/>
      <c r="F64" s="27"/>
      <c r="G64" s="27"/>
      <c r="H64" s="27"/>
      <c r="I64" s="27"/>
      <c r="J64" s="27"/>
      <c r="K64" s="84"/>
      <c r="L64" s="27"/>
      <c r="M64" s="27"/>
      <c r="N64" s="27"/>
      <c r="O64" s="27"/>
      <c r="P64" s="27"/>
      <c r="Q64" s="27"/>
      <c r="R64" s="27"/>
      <c r="S64" s="27"/>
      <c r="T64" s="27"/>
      <c r="U64" s="27"/>
      <c r="V64" s="26"/>
      <c r="W64" s="27"/>
      <c r="X64" s="27"/>
      <c r="Y64" s="27"/>
      <c r="Z64" s="27"/>
      <c r="AA64" s="26"/>
      <c r="AB64" s="27"/>
      <c r="AC64" s="27"/>
      <c r="AD64" s="27"/>
      <c r="AE64" s="27"/>
      <c r="AF64" s="27"/>
      <c r="AG64" s="82"/>
      <c r="AH64" s="85" t="str">
        <f aca="false">IF(A64="","",ROUNDDOWN((N(E64)+N(F64)+N(I64)+N(J64))*IF(K64="",$B$2,K64),0))</f>
        <v/>
      </c>
      <c r="AI64" s="85" t="str">
        <f aca="false">IF(A64="","",N(W64)+N(X64))</f>
        <v/>
      </c>
      <c r="AJ64" s="85" t="str">
        <f aca="false">IF(A64="","",SUM(E64:U64)-N(K64)+AH64+AI64)</f>
        <v/>
      </c>
      <c r="AK64" s="85" t="str">
        <f aca="false">IF(A64="","",N(W64))</f>
        <v/>
      </c>
      <c r="AL64" s="85" t="str">
        <f aca="false">IF(A64="","",AJ64-AK64)</f>
        <v/>
      </c>
      <c r="AM64" s="85" t="str">
        <f aca="false">IF(A64="","",ROUNDDOWN(N(Z64)*設定!$B$13/1000,0))</f>
        <v/>
      </c>
      <c r="AN64" s="85" t="str">
        <f aca="false">IF(A64="","",ROUNDDOWN(N(Z64)*設定!$B$15/1000,0))</f>
        <v/>
      </c>
      <c r="AO64" s="85" t="str">
        <f aca="false">IF(A64="","",ROUNDDOWN(N(Z64)*設定!$B$10/1000,0))</f>
        <v/>
      </c>
      <c r="AP64" s="85" t="str">
        <f aca="false">IF(A64="","",ROUNDDOWN(N(Z64)*設定!$B$11/1000,0))</f>
        <v/>
      </c>
      <c r="AQ64" s="85" t="str">
        <f aca="false">IF(A64="","",IF(AA64="Y",ROUNDDOWN(N(Z64)*設定!$B$14/1000,0),0))</f>
        <v/>
      </c>
      <c r="AR64" s="85" t="str">
        <f aca="false">IF(A64="","",SUM(AM64:AQ64))</f>
        <v/>
      </c>
      <c r="AS64" s="85" t="str">
        <f aca="false">IF(A64="","",N(AB64)+N(AC64)+AR64+N(AD64))</f>
        <v/>
      </c>
      <c r="AT64" s="85" t="str">
        <f aca="false">IF(A64="","",AJ64-AS64)</f>
        <v/>
      </c>
      <c r="AU64" s="85" t="str">
        <f aca="false">IF(A64="","",AL64-AR64)</f>
        <v/>
      </c>
      <c r="AV64" s="85" t="str">
        <f aca="false">IF(A64="","",N(AE64)+N(AF64))</f>
        <v/>
      </c>
      <c r="AW64" s="85" t="str">
        <f aca="false">IF(A64="","",AT64-AV64)</f>
        <v/>
      </c>
      <c r="AX64" s="86" t="str">
        <f aca="false">IF(A64="","",IF(N(V64)&lt;=1,AI64,IF(AI64&gt;0,ROUNDDOWN(AI64/N(V64),0),IF($B$3="Y",ROUNDDOWN(N(Y64)/N(V64),0),0))))</f>
        <v/>
      </c>
      <c r="AY64" s="87" t="str">
        <f aca="false">IF(A64="","",AJ64-AI64+AX64)</f>
        <v/>
      </c>
      <c r="AZ64" s="88" t="str">
        <f aca="false">IF(A64="","",A64&amp;"|"&amp;TEXT(D64,"yyyymm"))</f>
        <v/>
      </c>
    </row>
    <row r="65" customFormat="false" ht="15" hidden="false" customHeight="false" outlineLevel="0" collapsed="false">
      <c r="A65" s="26"/>
      <c r="B65" s="82"/>
      <c r="C65" s="82"/>
      <c r="D65" s="65"/>
      <c r="E65" s="27"/>
      <c r="F65" s="27"/>
      <c r="G65" s="27"/>
      <c r="H65" s="27"/>
      <c r="I65" s="27"/>
      <c r="J65" s="27"/>
      <c r="K65" s="84"/>
      <c r="L65" s="27"/>
      <c r="M65" s="27"/>
      <c r="N65" s="27"/>
      <c r="O65" s="27"/>
      <c r="P65" s="27"/>
      <c r="Q65" s="27"/>
      <c r="R65" s="27"/>
      <c r="S65" s="27"/>
      <c r="T65" s="27"/>
      <c r="U65" s="27"/>
      <c r="V65" s="26"/>
      <c r="W65" s="27"/>
      <c r="X65" s="27"/>
      <c r="Y65" s="27"/>
      <c r="Z65" s="27"/>
      <c r="AA65" s="26"/>
      <c r="AB65" s="27"/>
      <c r="AC65" s="27"/>
      <c r="AD65" s="27"/>
      <c r="AE65" s="27"/>
      <c r="AF65" s="27"/>
      <c r="AG65" s="82"/>
      <c r="AH65" s="85" t="str">
        <f aca="false">IF(A65="","",ROUNDDOWN((N(E65)+N(F65)+N(I65)+N(J65))*IF(K65="",$B$2,K65),0))</f>
        <v/>
      </c>
      <c r="AI65" s="85" t="str">
        <f aca="false">IF(A65="","",N(W65)+N(X65))</f>
        <v/>
      </c>
      <c r="AJ65" s="85" t="str">
        <f aca="false">IF(A65="","",SUM(E65:U65)-N(K65)+AH65+AI65)</f>
        <v/>
      </c>
      <c r="AK65" s="85" t="str">
        <f aca="false">IF(A65="","",N(W65))</f>
        <v/>
      </c>
      <c r="AL65" s="85" t="str">
        <f aca="false">IF(A65="","",AJ65-AK65)</f>
        <v/>
      </c>
      <c r="AM65" s="85" t="str">
        <f aca="false">IF(A65="","",ROUNDDOWN(N(Z65)*設定!$B$13/1000,0))</f>
        <v/>
      </c>
      <c r="AN65" s="85" t="str">
        <f aca="false">IF(A65="","",ROUNDDOWN(N(Z65)*設定!$B$15/1000,0))</f>
        <v/>
      </c>
      <c r="AO65" s="85" t="str">
        <f aca="false">IF(A65="","",ROUNDDOWN(N(Z65)*設定!$B$10/1000,0))</f>
        <v/>
      </c>
      <c r="AP65" s="85" t="str">
        <f aca="false">IF(A65="","",ROUNDDOWN(N(Z65)*設定!$B$11/1000,0))</f>
        <v/>
      </c>
      <c r="AQ65" s="85" t="str">
        <f aca="false">IF(A65="","",IF(AA65="Y",ROUNDDOWN(N(Z65)*設定!$B$14/1000,0),0))</f>
        <v/>
      </c>
      <c r="AR65" s="85" t="str">
        <f aca="false">IF(A65="","",SUM(AM65:AQ65))</f>
        <v/>
      </c>
      <c r="AS65" s="85" t="str">
        <f aca="false">IF(A65="","",N(AB65)+N(AC65)+AR65+N(AD65))</f>
        <v/>
      </c>
      <c r="AT65" s="85" t="str">
        <f aca="false">IF(A65="","",AJ65-AS65)</f>
        <v/>
      </c>
      <c r="AU65" s="85" t="str">
        <f aca="false">IF(A65="","",AL65-AR65)</f>
        <v/>
      </c>
      <c r="AV65" s="85" t="str">
        <f aca="false">IF(A65="","",N(AE65)+N(AF65))</f>
        <v/>
      </c>
      <c r="AW65" s="85" t="str">
        <f aca="false">IF(A65="","",AT65-AV65)</f>
        <v/>
      </c>
      <c r="AX65" s="86" t="str">
        <f aca="false">IF(A65="","",IF(N(V65)&lt;=1,AI65,IF(AI65&gt;0,ROUNDDOWN(AI65/N(V65),0),IF($B$3="Y",ROUNDDOWN(N(Y65)/N(V65),0),0))))</f>
        <v/>
      </c>
      <c r="AY65" s="87" t="str">
        <f aca="false">IF(A65="","",AJ65-AI65+AX65)</f>
        <v/>
      </c>
      <c r="AZ65" s="88" t="str">
        <f aca="false">IF(A65="","",A65&amp;"|"&amp;TEXT(D65,"yyyymm"))</f>
        <v/>
      </c>
    </row>
    <row r="66" customFormat="false" ht="15" hidden="false" customHeight="false" outlineLevel="0" collapsed="false">
      <c r="A66" s="26"/>
      <c r="B66" s="82"/>
      <c r="C66" s="82"/>
      <c r="D66" s="65"/>
      <c r="E66" s="27"/>
      <c r="F66" s="27"/>
      <c r="G66" s="27"/>
      <c r="H66" s="27"/>
      <c r="I66" s="27"/>
      <c r="J66" s="27"/>
      <c r="K66" s="84"/>
      <c r="L66" s="27"/>
      <c r="M66" s="27"/>
      <c r="N66" s="27"/>
      <c r="O66" s="27"/>
      <c r="P66" s="27"/>
      <c r="Q66" s="27"/>
      <c r="R66" s="27"/>
      <c r="S66" s="27"/>
      <c r="T66" s="27"/>
      <c r="U66" s="27"/>
      <c r="V66" s="26"/>
      <c r="W66" s="27"/>
      <c r="X66" s="27"/>
      <c r="Y66" s="27"/>
      <c r="Z66" s="27"/>
      <c r="AA66" s="26"/>
      <c r="AB66" s="27"/>
      <c r="AC66" s="27"/>
      <c r="AD66" s="27"/>
      <c r="AE66" s="27"/>
      <c r="AF66" s="27"/>
      <c r="AG66" s="82"/>
      <c r="AH66" s="85" t="str">
        <f aca="false">IF(A66="","",ROUNDDOWN((N(E66)+N(F66)+N(I66)+N(J66))*IF(K66="",$B$2,K66),0))</f>
        <v/>
      </c>
      <c r="AI66" s="85" t="str">
        <f aca="false">IF(A66="","",N(W66)+N(X66))</f>
        <v/>
      </c>
      <c r="AJ66" s="85" t="str">
        <f aca="false">IF(A66="","",SUM(E66:U66)-N(K66)+AH66+AI66)</f>
        <v/>
      </c>
      <c r="AK66" s="85" t="str">
        <f aca="false">IF(A66="","",N(W66))</f>
        <v/>
      </c>
      <c r="AL66" s="85" t="str">
        <f aca="false">IF(A66="","",AJ66-AK66)</f>
        <v/>
      </c>
      <c r="AM66" s="85" t="str">
        <f aca="false">IF(A66="","",ROUNDDOWN(N(Z66)*設定!$B$13/1000,0))</f>
        <v/>
      </c>
      <c r="AN66" s="85" t="str">
        <f aca="false">IF(A66="","",ROUNDDOWN(N(Z66)*設定!$B$15/1000,0))</f>
        <v/>
      </c>
      <c r="AO66" s="85" t="str">
        <f aca="false">IF(A66="","",ROUNDDOWN(N(Z66)*設定!$B$10/1000,0))</f>
        <v/>
      </c>
      <c r="AP66" s="85" t="str">
        <f aca="false">IF(A66="","",ROUNDDOWN(N(Z66)*設定!$B$11/1000,0))</f>
        <v/>
      </c>
      <c r="AQ66" s="85" t="str">
        <f aca="false">IF(A66="","",IF(AA66="Y",ROUNDDOWN(N(Z66)*設定!$B$14/1000,0),0))</f>
        <v/>
      </c>
      <c r="AR66" s="85" t="str">
        <f aca="false">IF(A66="","",SUM(AM66:AQ66))</f>
        <v/>
      </c>
      <c r="AS66" s="85" t="str">
        <f aca="false">IF(A66="","",N(AB66)+N(AC66)+AR66+N(AD66))</f>
        <v/>
      </c>
      <c r="AT66" s="85" t="str">
        <f aca="false">IF(A66="","",AJ66-AS66)</f>
        <v/>
      </c>
      <c r="AU66" s="85" t="str">
        <f aca="false">IF(A66="","",AL66-AR66)</f>
        <v/>
      </c>
      <c r="AV66" s="85" t="str">
        <f aca="false">IF(A66="","",N(AE66)+N(AF66))</f>
        <v/>
      </c>
      <c r="AW66" s="85" t="str">
        <f aca="false">IF(A66="","",AT66-AV66)</f>
        <v/>
      </c>
      <c r="AX66" s="86" t="str">
        <f aca="false">IF(A66="","",IF(N(V66)&lt;=1,AI66,IF(AI66&gt;0,ROUNDDOWN(AI66/N(V66),0),IF($B$3="Y",ROUNDDOWN(N(Y66)/N(V66),0),0))))</f>
        <v/>
      </c>
      <c r="AY66" s="87" t="str">
        <f aca="false">IF(A66="","",AJ66-AI66+AX66)</f>
        <v/>
      </c>
      <c r="AZ66" s="88" t="str">
        <f aca="false">IF(A66="","",A66&amp;"|"&amp;TEXT(D66,"yyyymm"))</f>
        <v/>
      </c>
    </row>
    <row r="67" customFormat="false" ht="15" hidden="false" customHeight="false" outlineLevel="0" collapsed="false">
      <c r="A67" s="26"/>
      <c r="B67" s="82"/>
      <c r="C67" s="82"/>
      <c r="D67" s="65"/>
      <c r="E67" s="27"/>
      <c r="F67" s="27"/>
      <c r="G67" s="27"/>
      <c r="H67" s="27"/>
      <c r="I67" s="27"/>
      <c r="J67" s="27"/>
      <c r="K67" s="84"/>
      <c r="L67" s="27"/>
      <c r="M67" s="27"/>
      <c r="N67" s="27"/>
      <c r="O67" s="27"/>
      <c r="P67" s="27"/>
      <c r="Q67" s="27"/>
      <c r="R67" s="27"/>
      <c r="S67" s="27"/>
      <c r="T67" s="27"/>
      <c r="U67" s="27"/>
      <c r="V67" s="26"/>
      <c r="W67" s="27"/>
      <c r="X67" s="27"/>
      <c r="Y67" s="27"/>
      <c r="Z67" s="27"/>
      <c r="AA67" s="26"/>
      <c r="AB67" s="27"/>
      <c r="AC67" s="27"/>
      <c r="AD67" s="27"/>
      <c r="AE67" s="27"/>
      <c r="AF67" s="27"/>
      <c r="AG67" s="82"/>
      <c r="AH67" s="85" t="str">
        <f aca="false">IF(A67="","",ROUNDDOWN((N(E67)+N(F67)+N(I67)+N(J67))*IF(K67="",$B$2,K67),0))</f>
        <v/>
      </c>
      <c r="AI67" s="85" t="str">
        <f aca="false">IF(A67="","",N(W67)+N(X67))</f>
        <v/>
      </c>
      <c r="AJ67" s="85" t="str">
        <f aca="false">IF(A67="","",SUM(E67:U67)-N(K67)+AH67+AI67)</f>
        <v/>
      </c>
      <c r="AK67" s="85" t="str">
        <f aca="false">IF(A67="","",N(W67))</f>
        <v/>
      </c>
      <c r="AL67" s="85" t="str">
        <f aca="false">IF(A67="","",AJ67-AK67)</f>
        <v/>
      </c>
      <c r="AM67" s="85" t="str">
        <f aca="false">IF(A67="","",ROUNDDOWN(N(Z67)*設定!$B$13/1000,0))</f>
        <v/>
      </c>
      <c r="AN67" s="85" t="str">
        <f aca="false">IF(A67="","",ROUNDDOWN(N(Z67)*設定!$B$15/1000,0))</f>
        <v/>
      </c>
      <c r="AO67" s="85" t="str">
        <f aca="false">IF(A67="","",ROUNDDOWN(N(Z67)*設定!$B$10/1000,0))</f>
        <v/>
      </c>
      <c r="AP67" s="85" t="str">
        <f aca="false">IF(A67="","",ROUNDDOWN(N(Z67)*設定!$B$11/1000,0))</f>
        <v/>
      </c>
      <c r="AQ67" s="85" t="str">
        <f aca="false">IF(A67="","",IF(AA67="Y",ROUNDDOWN(N(Z67)*設定!$B$14/1000,0),0))</f>
        <v/>
      </c>
      <c r="AR67" s="85" t="str">
        <f aca="false">IF(A67="","",SUM(AM67:AQ67))</f>
        <v/>
      </c>
      <c r="AS67" s="85" t="str">
        <f aca="false">IF(A67="","",N(AB67)+N(AC67)+AR67+N(AD67))</f>
        <v/>
      </c>
      <c r="AT67" s="85" t="str">
        <f aca="false">IF(A67="","",AJ67-AS67)</f>
        <v/>
      </c>
      <c r="AU67" s="85" t="str">
        <f aca="false">IF(A67="","",AL67-AR67)</f>
        <v/>
      </c>
      <c r="AV67" s="85" t="str">
        <f aca="false">IF(A67="","",N(AE67)+N(AF67))</f>
        <v/>
      </c>
      <c r="AW67" s="85" t="str">
        <f aca="false">IF(A67="","",AT67-AV67)</f>
        <v/>
      </c>
      <c r="AX67" s="86" t="str">
        <f aca="false">IF(A67="","",IF(N(V67)&lt;=1,AI67,IF(AI67&gt;0,ROUNDDOWN(AI67/N(V67),0),IF($B$3="Y",ROUNDDOWN(N(Y67)/N(V67),0),0))))</f>
        <v/>
      </c>
      <c r="AY67" s="87" t="str">
        <f aca="false">IF(A67="","",AJ67-AI67+AX67)</f>
        <v/>
      </c>
      <c r="AZ67" s="88" t="str">
        <f aca="false">IF(A67="","",A67&amp;"|"&amp;TEXT(D67,"yyyymm"))</f>
        <v/>
      </c>
    </row>
    <row r="68" customFormat="false" ht="15" hidden="false" customHeight="false" outlineLevel="0" collapsed="false">
      <c r="A68" s="26"/>
      <c r="B68" s="82"/>
      <c r="C68" s="82"/>
      <c r="D68" s="65"/>
      <c r="E68" s="27"/>
      <c r="F68" s="27"/>
      <c r="G68" s="27"/>
      <c r="H68" s="27"/>
      <c r="I68" s="27"/>
      <c r="J68" s="27"/>
      <c r="K68" s="84"/>
      <c r="L68" s="27"/>
      <c r="M68" s="27"/>
      <c r="N68" s="27"/>
      <c r="O68" s="27"/>
      <c r="P68" s="27"/>
      <c r="Q68" s="27"/>
      <c r="R68" s="27"/>
      <c r="S68" s="27"/>
      <c r="T68" s="27"/>
      <c r="U68" s="27"/>
      <c r="V68" s="26"/>
      <c r="W68" s="27"/>
      <c r="X68" s="27"/>
      <c r="Y68" s="27"/>
      <c r="Z68" s="27"/>
      <c r="AA68" s="26"/>
      <c r="AB68" s="27"/>
      <c r="AC68" s="27"/>
      <c r="AD68" s="27"/>
      <c r="AE68" s="27"/>
      <c r="AF68" s="27"/>
      <c r="AG68" s="82"/>
      <c r="AH68" s="85" t="str">
        <f aca="false">IF(A68="","",ROUNDDOWN((N(E68)+N(F68)+N(I68)+N(J68))*IF(K68="",$B$2,K68),0))</f>
        <v/>
      </c>
      <c r="AI68" s="85" t="str">
        <f aca="false">IF(A68="","",N(W68)+N(X68))</f>
        <v/>
      </c>
      <c r="AJ68" s="85" t="str">
        <f aca="false">IF(A68="","",SUM(E68:U68)-N(K68)+AH68+AI68)</f>
        <v/>
      </c>
      <c r="AK68" s="85" t="str">
        <f aca="false">IF(A68="","",N(W68))</f>
        <v/>
      </c>
      <c r="AL68" s="85" t="str">
        <f aca="false">IF(A68="","",AJ68-AK68)</f>
        <v/>
      </c>
      <c r="AM68" s="85" t="str">
        <f aca="false">IF(A68="","",ROUNDDOWN(N(Z68)*設定!$B$13/1000,0))</f>
        <v/>
      </c>
      <c r="AN68" s="85" t="str">
        <f aca="false">IF(A68="","",ROUNDDOWN(N(Z68)*設定!$B$15/1000,0))</f>
        <v/>
      </c>
      <c r="AO68" s="85" t="str">
        <f aca="false">IF(A68="","",ROUNDDOWN(N(Z68)*設定!$B$10/1000,0))</f>
        <v/>
      </c>
      <c r="AP68" s="85" t="str">
        <f aca="false">IF(A68="","",ROUNDDOWN(N(Z68)*設定!$B$11/1000,0))</f>
        <v/>
      </c>
      <c r="AQ68" s="85" t="str">
        <f aca="false">IF(A68="","",IF(AA68="Y",ROUNDDOWN(N(Z68)*設定!$B$14/1000,0),0))</f>
        <v/>
      </c>
      <c r="AR68" s="85" t="str">
        <f aca="false">IF(A68="","",SUM(AM68:AQ68))</f>
        <v/>
      </c>
      <c r="AS68" s="85" t="str">
        <f aca="false">IF(A68="","",N(AB68)+N(AC68)+AR68+N(AD68))</f>
        <v/>
      </c>
      <c r="AT68" s="85" t="str">
        <f aca="false">IF(A68="","",AJ68-AS68)</f>
        <v/>
      </c>
      <c r="AU68" s="85" t="str">
        <f aca="false">IF(A68="","",AL68-AR68)</f>
        <v/>
      </c>
      <c r="AV68" s="85" t="str">
        <f aca="false">IF(A68="","",N(AE68)+N(AF68))</f>
        <v/>
      </c>
      <c r="AW68" s="85" t="str">
        <f aca="false">IF(A68="","",AT68-AV68)</f>
        <v/>
      </c>
      <c r="AX68" s="86" t="str">
        <f aca="false">IF(A68="","",IF(N(V68)&lt;=1,AI68,IF(AI68&gt;0,ROUNDDOWN(AI68/N(V68),0),IF($B$3="Y",ROUNDDOWN(N(Y68)/N(V68),0),0))))</f>
        <v/>
      </c>
      <c r="AY68" s="87" t="str">
        <f aca="false">IF(A68="","",AJ68-AI68+AX68)</f>
        <v/>
      </c>
      <c r="AZ68" s="88" t="str">
        <f aca="false">IF(A68="","",A68&amp;"|"&amp;TEXT(D68,"yyyymm"))</f>
        <v/>
      </c>
    </row>
    <row r="69" customFormat="false" ht="15" hidden="false" customHeight="false" outlineLevel="0" collapsed="false">
      <c r="A69" s="26"/>
      <c r="B69" s="82"/>
      <c r="C69" s="82"/>
      <c r="D69" s="65"/>
      <c r="E69" s="27"/>
      <c r="F69" s="27"/>
      <c r="G69" s="27"/>
      <c r="H69" s="27"/>
      <c r="I69" s="27"/>
      <c r="J69" s="27"/>
      <c r="K69" s="84"/>
      <c r="L69" s="27"/>
      <c r="M69" s="27"/>
      <c r="N69" s="27"/>
      <c r="O69" s="27"/>
      <c r="P69" s="27"/>
      <c r="Q69" s="27"/>
      <c r="R69" s="27"/>
      <c r="S69" s="27"/>
      <c r="T69" s="27"/>
      <c r="U69" s="27"/>
      <c r="V69" s="26"/>
      <c r="W69" s="27"/>
      <c r="X69" s="27"/>
      <c r="Y69" s="27"/>
      <c r="Z69" s="27"/>
      <c r="AA69" s="26"/>
      <c r="AB69" s="27"/>
      <c r="AC69" s="27"/>
      <c r="AD69" s="27"/>
      <c r="AE69" s="27"/>
      <c r="AF69" s="27"/>
      <c r="AG69" s="82"/>
      <c r="AH69" s="85" t="str">
        <f aca="false">IF(A69="","",ROUNDDOWN((N(E69)+N(F69)+N(I69)+N(J69))*IF(K69="",$B$2,K69),0))</f>
        <v/>
      </c>
      <c r="AI69" s="85" t="str">
        <f aca="false">IF(A69="","",N(W69)+N(X69))</f>
        <v/>
      </c>
      <c r="AJ69" s="85" t="str">
        <f aca="false">IF(A69="","",SUM(E69:U69)-N(K69)+AH69+AI69)</f>
        <v/>
      </c>
      <c r="AK69" s="85" t="str">
        <f aca="false">IF(A69="","",N(W69))</f>
        <v/>
      </c>
      <c r="AL69" s="85" t="str">
        <f aca="false">IF(A69="","",AJ69-AK69)</f>
        <v/>
      </c>
      <c r="AM69" s="85" t="str">
        <f aca="false">IF(A69="","",ROUNDDOWN(N(Z69)*設定!$B$13/1000,0))</f>
        <v/>
      </c>
      <c r="AN69" s="85" t="str">
        <f aca="false">IF(A69="","",ROUNDDOWN(N(Z69)*設定!$B$15/1000,0))</f>
        <v/>
      </c>
      <c r="AO69" s="85" t="str">
        <f aca="false">IF(A69="","",ROUNDDOWN(N(Z69)*設定!$B$10/1000,0))</f>
        <v/>
      </c>
      <c r="AP69" s="85" t="str">
        <f aca="false">IF(A69="","",ROUNDDOWN(N(Z69)*設定!$B$11/1000,0))</f>
        <v/>
      </c>
      <c r="AQ69" s="85" t="str">
        <f aca="false">IF(A69="","",IF(AA69="Y",ROUNDDOWN(N(Z69)*設定!$B$14/1000,0),0))</f>
        <v/>
      </c>
      <c r="AR69" s="85" t="str">
        <f aca="false">IF(A69="","",SUM(AM69:AQ69))</f>
        <v/>
      </c>
      <c r="AS69" s="85" t="str">
        <f aca="false">IF(A69="","",N(AB69)+N(AC69)+AR69+N(AD69))</f>
        <v/>
      </c>
      <c r="AT69" s="85" t="str">
        <f aca="false">IF(A69="","",AJ69-AS69)</f>
        <v/>
      </c>
      <c r="AU69" s="85" t="str">
        <f aca="false">IF(A69="","",AL69-AR69)</f>
        <v/>
      </c>
      <c r="AV69" s="85" t="str">
        <f aca="false">IF(A69="","",N(AE69)+N(AF69))</f>
        <v/>
      </c>
      <c r="AW69" s="85" t="str">
        <f aca="false">IF(A69="","",AT69-AV69)</f>
        <v/>
      </c>
      <c r="AX69" s="86" t="str">
        <f aca="false">IF(A69="","",IF(N(V69)&lt;=1,AI69,IF(AI69&gt;0,ROUNDDOWN(AI69/N(V69),0),IF($B$3="Y",ROUNDDOWN(N(Y69)/N(V69),0),0))))</f>
        <v/>
      </c>
      <c r="AY69" s="87" t="str">
        <f aca="false">IF(A69="","",AJ69-AI69+AX69)</f>
        <v/>
      </c>
      <c r="AZ69" s="88" t="str">
        <f aca="false">IF(A69="","",A69&amp;"|"&amp;TEXT(D69,"yyyymm"))</f>
        <v/>
      </c>
    </row>
    <row r="70" customFormat="false" ht="15" hidden="false" customHeight="false" outlineLevel="0" collapsed="false">
      <c r="A70" s="26"/>
      <c r="B70" s="82"/>
      <c r="C70" s="82"/>
      <c r="D70" s="65"/>
      <c r="E70" s="27"/>
      <c r="F70" s="27"/>
      <c r="G70" s="27"/>
      <c r="H70" s="27"/>
      <c r="I70" s="27"/>
      <c r="J70" s="27"/>
      <c r="K70" s="84"/>
      <c r="L70" s="27"/>
      <c r="M70" s="27"/>
      <c r="N70" s="27"/>
      <c r="O70" s="27"/>
      <c r="P70" s="27"/>
      <c r="Q70" s="27"/>
      <c r="R70" s="27"/>
      <c r="S70" s="27"/>
      <c r="T70" s="27"/>
      <c r="U70" s="27"/>
      <c r="V70" s="26"/>
      <c r="W70" s="27"/>
      <c r="X70" s="27"/>
      <c r="Y70" s="27"/>
      <c r="Z70" s="27"/>
      <c r="AA70" s="26"/>
      <c r="AB70" s="27"/>
      <c r="AC70" s="27"/>
      <c r="AD70" s="27"/>
      <c r="AE70" s="27"/>
      <c r="AF70" s="27"/>
      <c r="AG70" s="82"/>
      <c r="AH70" s="85" t="str">
        <f aca="false">IF(A70="","",ROUNDDOWN((N(E70)+N(F70)+N(I70)+N(J70))*IF(K70="",$B$2,K70),0))</f>
        <v/>
      </c>
      <c r="AI70" s="85" t="str">
        <f aca="false">IF(A70="","",N(W70)+N(X70))</f>
        <v/>
      </c>
      <c r="AJ70" s="85" t="str">
        <f aca="false">IF(A70="","",SUM(E70:U70)-N(K70)+AH70+AI70)</f>
        <v/>
      </c>
      <c r="AK70" s="85" t="str">
        <f aca="false">IF(A70="","",N(W70))</f>
        <v/>
      </c>
      <c r="AL70" s="85" t="str">
        <f aca="false">IF(A70="","",AJ70-AK70)</f>
        <v/>
      </c>
      <c r="AM70" s="85" t="str">
        <f aca="false">IF(A70="","",ROUNDDOWN(N(Z70)*設定!$B$13/1000,0))</f>
        <v/>
      </c>
      <c r="AN70" s="85" t="str">
        <f aca="false">IF(A70="","",ROUNDDOWN(N(Z70)*設定!$B$15/1000,0))</f>
        <v/>
      </c>
      <c r="AO70" s="85" t="str">
        <f aca="false">IF(A70="","",ROUNDDOWN(N(Z70)*設定!$B$10/1000,0))</f>
        <v/>
      </c>
      <c r="AP70" s="85" t="str">
        <f aca="false">IF(A70="","",ROUNDDOWN(N(Z70)*設定!$B$11/1000,0))</f>
        <v/>
      </c>
      <c r="AQ70" s="85" t="str">
        <f aca="false">IF(A70="","",IF(AA70="Y",ROUNDDOWN(N(Z70)*設定!$B$14/1000,0),0))</f>
        <v/>
      </c>
      <c r="AR70" s="85" t="str">
        <f aca="false">IF(A70="","",SUM(AM70:AQ70))</f>
        <v/>
      </c>
      <c r="AS70" s="85" t="str">
        <f aca="false">IF(A70="","",N(AB70)+N(AC70)+AR70+N(AD70))</f>
        <v/>
      </c>
      <c r="AT70" s="85" t="str">
        <f aca="false">IF(A70="","",AJ70-AS70)</f>
        <v/>
      </c>
      <c r="AU70" s="85" t="str">
        <f aca="false">IF(A70="","",AL70-AR70)</f>
        <v/>
      </c>
      <c r="AV70" s="85" t="str">
        <f aca="false">IF(A70="","",N(AE70)+N(AF70))</f>
        <v/>
      </c>
      <c r="AW70" s="85" t="str">
        <f aca="false">IF(A70="","",AT70-AV70)</f>
        <v/>
      </c>
      <c r="AX70" s="86" t="str">
        <f aca="false">IF(A70="","",IF(N(V70)&lt;=1,AI70,IF(AI70&gt;0,ROUNDDOWN(AI70/N(V70),0),IF($B$3="Y",ROUNDDOWN(N(Y70)/N(V70),0),0))))</f>
        <v/>
      </c>
      <c r="AY70" s="87" t="str">
        <f aca="false">IF(A70="","",AJ70-AI70+AX70)</f>
        <v/>
      </c>
      <c r="AZ70" s="88" t="str">
        <f aca="false">IF(A70="","",A70&amp;"|"&amp;TEXT(D70,"yyyymm"))</f>
        <v/>
      </c>
    </row>
    <row r="71" customFormat="false" ht="15" hidden="false" customHeight="false" outlineLevel="0" collapsed="false">
      <c r="A71" s="26"/>
      <c r="B71" s="82"/>
      <c r="C71" s="82"/>
      <c r="D71" s="65"/>
      <c r="E71" s="27"/>
      <c r="F71" s="27"/>
      <c r="G71" s="27"/>
      <c r="H71" s="27"/>
      <c r="I71" s="27"/>
      <c r="J71" s="27"/>
      <c r="K71" s="84"/>
      <c r="L71" s="27"/>
      <c r="M71" s="27"/>
      <c r="N71" s="27"/>
      <c r="O71" s="27"/>
      <c r="P71" s="27"/>
      <c r="Q71" s="27"/>
      <c r="R71" s="27"/>
      <c r="S71" s="27"/>
      <c r="T71" s="27"/>
      <c r="U71" s="27"/>
      <c r="V71" s="26"/>
      <c r="W71" s="27"/>
      <c r="X71" s="27"/>
      <c r="Y71" s="27"/>
      <c r="Z71" s="27"/>
      <c r="AA71" s="26"/>
      <c r="AB71" s="27"/>
      <c r="AC71" s="27"/>
      <c r="AD71" s="27"/>
      <c r="AE71" s="27"/>
      <c r="AF71" s="27"/>
      <c r="AG71" s="82"/>
      <c r="AH71" s="85" t="str">
        <f aca="false">IF(A71="","",ROUNDDOWN((N(E71)+N(F71)+N(I71)+N(J71))*IF(K71="",$B$2,K71),0))</f>
        <v/>
      </c>
      <c r="AI71" s="85" t="str">
        <f aca="false">IF(A71="","",N(W71)+N(X71))</f>
        <v/>
      </c>
      <c r="AJ71" s="85" t="str">
        <f aca="false">IF(A71="","",SUM(E71:U71)-N(K71)+AH71+AI71)</f>
        <v/>
      </c>
      <c r="AK71" s="85" t="str">
        <f aca="false">IF(A71="","",N(W71))</f>
        <v/>
      </c>
      <c r="AL71" s="85" t="str">
        <f aca="false">IF(A71="","",AJ71-AK71)</f>
        <v/>
      </c>
      <c r="AM71" s="85" t="str">
        <f aca="false">IF(A71="","",ROUNDDOWN(N(Z71)*設定!$B$13/1000,0))</f>
        <v/>
      </c>
      <c r="AN71" s="85" t="str">
        <f aca="false">IF(A71="","",ROUNDDOWN(N(Z71)*設定!$B$15/1000,0))</f>
        <v/>
      </c>
      <c r="AO71" s="85" t="str">
        <f aca="false">IF(A71="","",ROUNDDOWN(N(Z71)*設定!$B$10/1000,0))</f>
        <v/>
      </c>
      <c r="AP71" s="85" t="str">
        <f aca="false">IF(A71="","",ROUNDDOWN(N(Z71)*設定!$B$11/1000,0))</f>
        <v/>
      </c>
      <c r="AQ71" s="85" t="str">
        <f aca="false">IF(A71="","",IF(AA71="Y",ROUNDDOWN(N(Z71)*設定!$B$14/1000,0),0))</f>
        <v/>
      </c>
      <c r="AR71" s="85" t="str">
        <f aca="false">IF(A71="","",SUM(AM71:AQ71))</f>
        <v/>
      </c>
      <c r="AS71" s="85" t="str">
        <f aca="false">IF(A71="","",N(AB71)+N(AC71)+AR71+N(AD71))</f>
        <v/>
      </c>
      <c r="AT71" s="85" t="str">
        <f aca="false">IF(A71="","",AJ71-AS71)</f>
        <v/>
      </c>
      <c r="AU71" s="85" t="str">
        <f aca="false">IF(A71="","",AL71-AR71)</f>
        <v/>
      </c>
      <c r="AV71" s="85" t="str">
        <f aca="false">IF(A71="","",N(AE71)+N(AF71))</f>
        <v/>
      </c>
      <c r="AW71" s="85" t="str">
        <f aca="false">IF(A71="","",AT71-AV71)</f>
        <v/>
      </c>
      <c r="AX71" s="86" t="str">
        <f aca="false">IF(A71="","",IF(N(V71)&lt;=1,AI71,IF(AI71&gt;0,ROUNDDOWN(AI71/N(V71),0),IF($B$3="Y",ROUNDDOWN(N(Y71)/N(V71),0),0))))</f>
        <v/>
      </c>
      <c r="AY71" s="87" t="str">
        <f aca="false">IF(A71="","",AJ71-AI71+AX71)</f>
        <v/>
      </c>
      <c r="AZ71" s="88" t="str">
        <f aca="false">IF(A71="","",A71&amp;"|"&amp;TEXT(D71,"yyyymm"))</f>
        <v/>
      </c>
    </row>
    <row r="72" customFormat="false" ht="15" hidden="false" customHeight="false" outlineLevel="0" collapsed="false">
      <c r="A72" s="26"/>
      <c r="B72" s="82"/>
      <c r="C72" s="82"/>
      <c r="D72" s="65"/>
      <c r="E72" s="27"/>
      <c r="F72" s="27"/>
      <c r="G72" s="27"/>
      <c r="H72" s="27"/>
      <c r="I72" s="27"/>
      <c r="J72" s="27"/>
      <c r="K72" s="84"/>
      <c r="L72" s="27"/>
      <c r="M72" s="27"/>
      <c r="N72" s="27"/>
      <c r="O72" s="27"/>
      <c r="P72" s="27"/>
      <c r="Q72" s="27"/>
      <c r="R72" s="27"/>
      <c r="S72" s="27"/>
      <c r="T72" s="27"/>
      <c r="U72" s="27"/>
      <c r="V72" s="26"/>
      <c r="W72" s="27"/>
      <c r="X72" s="27"/>
      <c r="Y72" s="27"/>
      <c r="Z72" s="27"/>
      <c r="AA72" s="26"/>
      <c r="AB72" s="27"/>
      <c r="AC72" s="27"/>
      <c r="AD72" s="27"/>
      <c r="AE72" s="27"/>
      <c r="AF72" s="27"/>
      <c r="AG72" s="82"/>
      <c r="AH72" s="85" t="str">
        <f aca="false">IF(A72="","",ROUNDDOWN((N(E72)+N(F72)+N(I72)+N(J72))*IF(K72="",$B$2,K72),0))</f>
        <v/>
      </c>
      <c r="AI72" s="85" t="str">
        <f aca="false">IF(A72="","",N(W72)+N(X72))</f>
        <v/>
      </c>
      <c r="AJ72" s="85" t="str">
        <f aca="false">IF(A72="","",SUM(E72:U72)-N(K72)+AH72+AI72)</f>
        <v/>
      </c>
      <c r="AK72" s="85" t="str">
        <f aca="false">IF(A72="","",N(W72))</f>
        <v/>
      </c>
      <c r="AL72" s="85" t="str">
        <f aca="false">IF(A72="","",AJ72-AK72)</f>
        <v/>
      </c>
      <c r="AM72" s="85" t="str">
        <f aca="false">IF(A72="","",ROUNDDOWN(N(Z72)*設定!$B$13/1000,0))</f>
        <v/>
      </c>
      <c r="AN72" s="85" t="str">
        <f aca="false">IF(A72="","",ROUNDDOWN(N(Z72)*設定!$B$15/1000,0))</f>
        <v/>
      </c>
      <c r="AO72" s="85" t="str">
        <f aca="false">IF(A72="","",ROUNDDOWN(N(Z72)*設定!$B$10/1000,0))</f>
        <v/>
      </c>
      <c r="AP72" s="85" t="str">
        <f aca="false">IF(A72="","",ROUNDDOWN(N(Z72)*設定!$B$11/1000,0))</f>
        <v/>
      </c>
      <c r="AQ72" s="85" t="str">
        <f aca="false">IF(A72="","",IF(AA72="Y",ROUNDDOWN(N(Z72)*設定!$B$14/1000,0),0))</f>
        <v/>
      </c>
      <c r="AR72" s="85" t="str">
        <f aca="false">IF(A72="","",SUM(AM72:AQ72))</f>
        <v/>
      </c>
      <c r="AS72" s="85" t="str">
        <f aca="false">IF(A72="","",N(AB72)+N(AC72)+AR72+N(AD72))</f>
        <v/>
      </c>
      <c r="AT72" s="85" t="str">
        <f aca="false">IF(A72="","",AJ72-AS72)</f>
        <v/>
      </c>
      <c r="AU72" s="85" t="str">
        <f aca="false">IF(A72="","",AL72-AR72)</f>
        <v/>
      </c>
      <c r="AV72" s="85" t="str">
        <f aca="false">IF(A72="","",N(AE72)+N(AF72))</f>
        <v/>
      </c>
      <c r="AW72" s="85" t="str">
        <f aca="false">IF(A72="","",AT72-AV72)</f>
        <v/>
      </c>
      <c r="AX72" s="86" t="str">
        <f aca="false">IF(A72="","",IF(N(V72)&lt;=1,AI72,IF(AI72&gt;0,ROUNDDOWN(AI72/N(V72),0),IF($B$3="Y",ROUNDDOWN(N(Y72)/N(V72),0),0))))</f>
        <v/>
      </c>
      <c r="AY72" s="87" t="str">
        <f aca="false">IF(A72="","",AJ72-AI72+AX72)</f>
        <v/>
      </c>
      <c r="AZ72" s="88" t="str">
        <f aca="false">IF(A72="","",A72&amp;"|"&amp;TEXT(D72,"yyyymm"))</f>
        <v/>
      </c>
    </row>
    <row r="73" customFormat="false" ht="15" hidden="false" customHeight="false" outlineLevel="0" collapsed="false">
      <c r="A73" s="26"/>
      <c r="B73" s="82"/>
      <c r="C73" s="82"/>
      <c r="D73" s="65"/>
      <c r="E73" s="27"/>
      <c r="F73" s="27"/>
      <c r="G73" s="27"/>
      <c r="H73" s="27"/>
      <c r="I73" s="27"/>
      <c r="J73" s="27"/>
      <c r="K73" s="84"/>
      <c r="L73" s="27"/>
      <c r="M73" s="27"/>
      <c r="N73" s="27"/>
      <c r="O73" s="27"/>
      <c r="P73" s="27"/>
      <c r="Q73" s="27"/>
      <c r="R73" s="27"/>
      <c r="S73" s="27"/>
      <c r="T73" s="27"/>
      <c r="U73" s="27"/>
      <c r="V73" s="26"/>
      <c r="W73" s="27"/>
      <c r="X73" s="27"/>
      <c r="Y73" s="27"/>
      <c r="Z73" s="27"/>
      <c r="AA73" s="26"/>
      <c r="AB73" s="27"/>
      <c r="AC73" s="27"/>
      <c r="AD73" s="27"/>
      <c r="AE73" s="27"/>
      <c r="AF73" s="27"/>
      <c r="AG73" s="82"/>
      <c r="AH73" s="85" t="str">
        <f aca="false">IF(A73="","",ROUNDDOWN((N(E73)+N(F73)+N(I73)+N(J73))*IF(K73="",$B$2,K73),0))</f>
        <v/>
      </c>
      <c r="AI73" s="85" t="str">
        <f aca="false">IF(A73="","",N(W73)+N(X73))</f>
        <v/>
      </c>
      <c r="AJ73" s="85" t="str">
        <f aca="false">IF(A73="","",SUM(E73:U73)-N(K73)+AH73+AI73)</f>
        <v/>
      </c>
      <c r="AK73" s="85" t="str">
        <f aca="false">IF(A73="","",N(W73))</f>
        <v/>
      </c>
      <c r="AL73" s="85" t="str">
        <f aca="false">IF(A73="","",AJ73-AK73)</f>
        <v/>
      </c>
      <c r="AM73" s="85" t="str">
        <f aca="false">IF(A73="","",ROUNDDOWN(N(Z73)*設定!$B$13/1000,0))</f>
        <v/>
      </c>
      <c r="AN73" s="85" t="str">
        <f aca="false">IF(A73="","",ROUNDDOWN(N(Z73)*設定!$B$15/1000,0))</f>
        <v/>
      </c>
      <c r="AO73" s="85" t="str">
        <f aca="false">IF(A73="","",ROUNDDOWN(N(Z73)*設定!$B$10/1000,0))</f>
        <v/>
      </c>
      <c r="AP73" s="85" t="str">
        <f aca="false">IF(A73="","",ROUNDDOWN(N(Z73)*設定!$B$11/1000,0))</f>
        <v/>
      </c>
      <c r="AQ73" s="85" t="str">
        <f aca="false">IF(A73="","",IF(AA73="Y",ROUNDDOWN(N(Z73)*設定!$B$14/1000,0),0))</f>
        <v/>
      </c>
      <c r="AR73" s="85" t="str">
        <f aca="false">IF(A73="","",SUM(AM73:AQ73))</f>
        <v/>
      </c>
      <c r="AS73" s="85" t="str">
        <f aca="false">IF(A73="","",N(AB73)+N(AC73)+AR73+N(AD73))</f>
        <v/>
      </c>
      <c r="AT73" s="85" t="str">
        <f aca="false">IF(A73="","",AJ73-AS73)</f>
        <v/>
      </c>
      <c r="AU73" s="85" t="str">
        <f aca="false">IF(A73="","",AL73-AR73)</f>
        <v/>
      </c>
      <c r="AV73" s="85" t="str">
        <f aca="false">IF(A73="","",N(AE73)+N(AF73))</f>
        <v/>
      </c>
      <c r="AW73" s="85" t="str">
        <f aca="false">IF(A73="","",AT73-AV73)</f>
        <v/>
      </c>
      <c r="AX73" s="86" t="str">
        <f aca="false">IF(A73="","",IF(N(V73)&lt;=1,AI73,IF(AI73&gt;0,ROUNDDOWN(AI73/N(V73),0),IF($B$3="Y",ROUNDDOWN(N(Y73)/N(V73),0),0))))</f>
        <v/>
      </c>
      <c r="AY73" s="87" t="str">
        <f aca="false">IF(A73="","",AJ73-AI73+AX73)</f>
        <v/>
      </c>
      <c r="AZ73" s="88" t="str">
        <f aca="false">IF(A73="","",A73&amp;"|"&amp;TEXT(D73,"yyyymm"))</f>
        <v/>
      </c>
    </row>
    <row r="74" customFormat="false" ht="15" hidden="false" customHeight="false" outlineLevel="0" collapsed="false">
      <c r="A74" s="26"/>
      <c r="B74" s="82"/>
      <c r="C74" s="82"/>
      <c r="D74" s="65"/>
      <c r="E74" s="27"/>
      <c r="F74" s="27"/>
      <c r="G74" s="27"/>
      <c r="H74" s="27"/>
      <c r="I74" s="27"/>
      <c r="J74" s="27"/>
      <c r="K74" s="84"/>
      <c r="L74" s="27"/>
      <c r="M74" s="27"/>
      <c r="N74" s="27"/>
      <c r="O74" s="27"/>
      <c r="P74" s="27"/>
      <c r="Q74" s="27"/>
      <c r="R74" s="27"/>
      <c r="S74" s="27"/>
      <c r="T74" s="27"/>
      <c r="U74" s="27"/>
      <c r="V74" s="26"/>
      <c r="W74" s="27"/>
      <c r="X74" s="27"/>
      <c r="Y74" s="27"/>
      <c r="Z74" s="27"/>
      <c r="AA74" s="26"/>
      <c r="AB74" s="27"/>
      <c r="AC74" s="27"/>
      <c r="AD74" s="27"/>
      <c r="AE74" s="27"/>
      <c r="AF74" s="27"/>
      <c r="AG74" s="82"/>
      <c r="AH74" s="85" t="str">
        <f aca="false">IF(A74="","",ROUNDDOWN((N(E74)+N(F74)+N(I74)+N(J74))*IF(K74="",$B$2,K74),0))</f>
        <v/>
      </c>
      <c r="AI74" s="85" t="str">
        <f aca="false">IF(A74="","",N(W74)+N(X74))</f>
        <v/>
      </c>
      <c r="AJ74" s="85" t="str">
        <f aca="false">IF(A74="","",SUM(E74:U74)-N(K74)+AH74+AI74)</f>
        <v/>
      </c>
      <c r="AK74" s="85" t="str">
        <f aca="false">IF(A74="","",N(W74))</f>
        <v/>
      </c>
      <c r="AL74" s="85" t="str">
        <f aca="false">IF(A74="","",AJ74-AK74)</f>
        <v/>
      </c>
      <c r="AM74" s="85" t="str">
        <f aca="false">IF(A74="","",ROUNDDOWN(N(Z74)*設定!$B$13/1000,0))</f>
        <v/>
      </c>
      <c r="AN74" s="85" t="str">
        <f aca="false">IF(A74="","",ROUNDDOWN(N(Z74)*設定!$B$15/1000,0))</f>
        <v/>
      </c>
      <c r="AO74" s="85" t="str">
        <f aca="false">IF(A74="","",ROUNDDOWN(N(Z74)*設定!$B$10/1000,0))</f>
        <v/>
      </c>
      <c r="AP74" s="85" t="str">
        <f aca="false">IF(A74="","",ROUNDDOWN(N(Z74)*設定!$B$11/1000,0))</f>
        <v/>
      </c>
      <c r="AQ74" s="85" t="str">
        <f aca="false">IF(A74="","",IF(AA74="Y",ROUNDDOWN(N(Z74)*設定!$B$14/1000,0),0))</f>
        <v/>
      </c>
      <c r="AR74" s="85" t="str">
        <f aca="false">IF(A74="","",SUM(AM74:AQ74))</f>
        <v/>
      </c>
      <c r="AS74" s="85" t="str">
        <f aca="false">IF(A74="","",N(AB74)+N(AC74)+AR74+N(AD74))</f>
        <v/>
      </c>
      <c r="AT74" s="85" t="str">
        <f aca="false">IF(A74="","",AJ74-AS74)</f>
        <v/>
      </c>
      <c r="AU74" s="85" t="str">
        <f aca="false">IF(A74="","",AL74-AR74)</f>
        <v/>
      </c>
      <c r="AV74" s="85" t="str">
        <f aca="false">IF(A74="","",N(AE74)+N(AF74))</f>
        <v/>
      </c>
      <c r="AW74" s="85" t="str">
        <f aca="false">IF(A74="","",AT74-AV74)</f>
        <v/>
      </c>
      <c r="AX74" s="86" t="str">
        <f aca="false">IF(A74="","",IF(N(V74)&lt;=1,AI74,IF(AI74&gt;0,ROUNDDOWN(AI74/N(V74),0),IF($B$3="Y",ROUNDDOWN(N(Y74)/N(V74),0),0))))</f>
        <v/>
      </c>
      <c r="AY74" s="87" t="str">
        <f aca="false">IF(A74="","",AJ74-AI74+AX74)</f>
        <v/>
      </c>
      <c r="AZ74" s="88" t="str">
        <f aca="false">IF(A74="","",A74&amp;"|"&amp;TEXT(D74,"yyyymm"))</f>
        <v/>
      </c>
    </row>
    <row r="75" customFormat="false" ht="15" hidden="false" customHeight="false" outlineLevel="0" collapsed="false">
      <c r="A75" s="26"/>
      <c r="B75" s="82"/>
      <c r="C75" s="82"/>
      <c r="D75" s="65"/>
      <c r="E75" s="27"/>
      <c r="F75" s="27"/>
      <c r="G75" s="27"/>
      <c r="H75" s="27"/>
      <c r="I75" s="27"/>
      <c r="J75" s="27"/>
      <c r="K75" s="84"/>
      <c r="L75" s="27"/>
      <c r="M75" s="27"/>
      <c r="N75" s="27"/>
      <c r="O75" s="27"/>
      <c r="P75" s="27"/>
      <c r="Q75" s="27"/>
      <c r="R75" s="27"/>
      <c r="S75" s="27"/>
      <c r="T75" s="27"/>
      <c r="U75" s="27"/>
      <c r="V75" s="26"/>
      <c r="W75" s="27"/>
      <c r="X75" s="27"/>
      <c r="Y75" s="27"/>
      <c r="Z75" s="27"/>
      <c r="AA75" s="26"/>
      <c r="AB75" s="27"/>
      <c r="AC75" s="27"/>
      <c r="AD75" s="27"/>
      <c r="AE75" s="27"/>
      <c r="AF75" s="27"/>
      <c r="AG75" s="82"/>
      <c r="AH75" s="85" t="str">
        <f aca="false">IF(A75="","",ROUNDDOWN((N(E75)+N(F75)+N(I75)+N(J75))*IF(K75="",$B$2,K75),0))</f>
        <v/>
      </c>
      <c r="AI75" s="85" t="str">
        <f aca="false">IF(A75="","",N(W75)+N(X75))</f>
        <v/>
      </c>
      <c r="AJ75" s="85" t="str">
        <f aca="false">IF(A75="","",SUM(E75:U75)-N(K75)+AH75+AI75)</f>
        <v/>
      </c>
      <c r="AK75" s="85" t="str">
        <f aca="false">IF(A75="","",N(W75))</f>
        <v/>
      </c>
      <c r="AL75" s="85" t="str">
        <f aca="false">IF(A75="","",AJ75-AK75)</f>
        <v/>
      </c>
      <c r="AM75" s="85" t="str">
        <f aca="false">IF(A75="","",ROUNDDOWN(N(Z75)*設定!$B$13/1000,0))</f>
        <v/>
      </c>
      <c r="AN75" s="85" t="str">
        <f aca="false">IF(A75="","",ROUNDDOWN(N(Z75)*設定!$B$15/1000,0))</f>
        <v/>
      </c>
      <c r="AO75" s="85" t="str">
        <f aca="false">IF(A75="","",ROUNDDOWN(N(Z75)*設定!$B$10/1000,0))</f>
        <v/>
      </c>
      <c r="AP75" s="85" t="str">
        <f aca="false">IF(A75="","",ROUNDDOWN(N(Z75)*設定!$B$11/1000,0))</f>
        <v/>
      </c>
      <c r="AQ75" s="85" t="str">
        <f aca="false">IF(A75="","",IF(AA75="Y",ROUNDDOWN(N(Z75)*設定!$B$14/1000,0),0))</f>
        <v/>
      </c>
      <c r="AR75" s="85" t="str">
        <f aca="false">IF(A75="","",SUM(AM75:AQ75))</f>
        <v/>
      </c>
      <c r="AS75" s="85" t="str">
        <f aca="false">IF(A75="","",N(AB75)+N(AC75)+AR75+N(AD75))</f>
        <v/>
      </c>
      <c r="AT75" s="85" t="str">
        <f aca="false">IF(A75="","",AJ75-AS75)</f>
        <v/>
      </c>
      <c r="AU75" s="85" t="str">
        <f aca="false">IF(A75="","",AL75-AR75)</f>
        <v/>
      </c>
      <c r="AV75" s="85" t="str">
        <f aca="false">IF(A75="","",N(AE75)+N(AF75))</f>
        <v/>
      </c>
      <c r="AW75" s="85" t="str">
        <f aca="false">IF(A75="","",AT75-AV75)</f>
        <v/>
      </c>
      <c r="AX75" s="86" t="str">
        <f aca="false">IF(A75="","",IF(N(V75)&lt;=1,AI75,IF(AI75&gt;0,ROUNDDOWN(AI75/N(V75),0),IF($B$3="Y",ROUNDDOWN(N(Y75)/N(V75),0),0))))</f>
        <v/>
      </c>
      <c r="AY75" s="87" t="str">
        <f aca="false">IF(A75="","",AJ75-AI75+AX75)</f>
        <v/>
      </c>
      <c r="AZ75" s="88" t="str">
        <f aca="false">IF(A75="","",A75&amp;"|"&amp;TEXT(D75,"yyyymm"))</f>
        <v/>
      </c>
    </row>
    <row r="76" customFormat="false" ht="15" hidden="false" customHeight="false" outlineLevel="0" collapsed="false">
      <c r="A76" s="26"/>
      <c r="B76" s="82"/>
      <c r="C76" s="82"/>
      <c r="D76" s="65"/>
      <c r="E76" s="27"/>
      <c r="F76" s="27"/>
      <c r="G76" s="27"/>
      <c r="H76" s="27"/>
      <c r="I76" s="27"/>
      <c r="J76" s="27"/>
      <c r="K76" s="84"/>
      <c r="L76" s="27"/>
      <c r="M76" s="27"/>
      <c r="N76" s="27"/>
      <c r="O76" s="27"/>
      <c r="P76" s="27"/>
      <c r="Q76" s="27"/>
      <c r="R76" s="27"/>
      <c r="S76" s="27"/>
      <c r="T76" s="27"/>
      <c r="U76" s="27"/>
      <c r="V76" s="26"/>
      <c r="W76" s="27"/>
      <c r="X76" s="27"/>
      <c r="Y76" s="27"/>
      <c r="Z76" s="27"/>
      <c r="AA76" s="26"/>
      <c r="AB76" s="27"/>
      <c r="AC76" s="27"/>
      <c r="AD76" s="27"/>
      <c r="AE76" s="27"/>
      <c r="AF76" s="27"/>
      <c r="AG76" s="82"/>
      <c r="AH76" s="85" t="str">
        <f aca="false">IF(A76="","",ROUNDDOWN((N(E76)+N(F76)+N(I76)+N(J76))*IF(K76="",$B$2,K76),0))</f>
        <v/>
      </c>
      <c r="AI76" s="85" t="str">
        <f aca="false">IF(A76="","",N(W76)+N(X76))</f>
        <v/>
      </c>
      <c r="AJ76" s="85" t="str">
        <f aca="false">IF(A76="","",SUM(E76:U76)-N(K76)+AH76+AI76)</f>
        <v/>
      </c>
      <c r="AK76" s="85" t="str">
        <f aca="false">IF(A76="","",N(W76))</f>
        <v/>
      </c>
      <c r="AL76" s="85" t="str">
        <f aca="false">IF(A76="","",AJ76-AK76)</f>
        <v/>
      </c>
      <c r="AM76" s="85" t="str">
        <f aca="false">IF(A76="","",ROUNDDOWN(N(Z76)*設定!$B$13/1000,0))</f>
        <v/>
      </c>
      <c r="AN76" s="85" t="str">
        <f aca="false">IF(A76="","",ROUNDDOWN(N(Z76)*設定!$B$15/1000,0))</f>
        <v/>
      </c>
      <c r="AO76" s="85" t="str">
        <f aca="false">IF(A76="","",ROUNDDOWN(N(Z76)*設定!$B$10/1000,0))</f>
        <v/>
      </c>
      <c r="AP76" s="85" t="str">
        <f aca="false">IF(A76="","",ROUNDDOWN(N(Z76)*設定!$B$11/1000,0))</f>
        <v/>
      </c>
      <c r="AQ76" s="85" t="str">
        <f aca="false">IF(A76="","",IF(AA76="Y",ROUNDDOWN(N(Z76)*設定!$B$14/1000,0),0))</f>
        <v/>
      </c>
      <c r="AR76" s="85" t="str">
        <f aca="false">IF(A76="","",SUM(AM76:AQ76))</f>
        <v/>
      </c>
      <c r="AS76" s="85" t="str">
        <f aca="false">IF(A76="","",N(AB76)+N(AC76)+AR76+N(AD76))</f>
        <v/>
      </c>
      <c r="AT76" s="85" t="str">
        <f aca="false">IF(A76="","",AJ76-AS76)</f>
        <v/>
      </c>
      <c r="AU76" s="85" t="str">
        <f aca="false">IF(A76="","",AL76-AR76)</f>
        <v/>
      </c>
      <c r="AV76" s="85" t="str">
        <f aca="false">IF(A76="","",N(AE76)+N(AF76))</f>
        <v/>
      </c>
      <c r="AW76" s="85" t="str">
        <f aca="false">IF(A76="","",AT76-AV76)</f>
        <v/>
      </c>
      <c r="AX76" s="86" t="str">
        <f aca="false">IF(A76="","",IF(N(V76)&lt;=1,AI76,IF(AI76&gt;0,ROUNDDOWN(AI76/N(V76),0),IF($B$3="Y",ROUNDDOWN(N(Y76)/N(V76),0),0))))</f>
        <v/>
      </c>
      <c r="AY76" s="87" t="str">
        <f aca="false">IF(A76="","",AJ76-AI76+AX76)</f>
        <v/>
      </c>
      <c r="AZ76" s="88" t="str">
        <f aca="false">IF(A76="","",A76&amp;"|"&amp;TEXT(D76,"yyyymm"))</f>
        <v/>
      </c>
    </row>
    <row r="77" customFormat="false" ht="15" hidden="false" customHeight="false" outlineLevel="0" collapsed="false">
      <c r="A77" s="26"/>
      <c r="B77" s="82"/>
      <c r="C77" s="82"/>
      <c r="D77" s="65"/>
      <c r="E77" s="27"/>
      <c r="F77" s="27"/>
      <c r="G77" s="27"/>
      <c r="H77" s="27"/>
      <c r="I77" s="27"/>
      <c r="J77" s="27"/>
      <c r="K77" s="84"/>
      <c r="L77" s="27"/>
      <c r="M77" s="27"/>
      <c r="N77" s="27"/>
      <c r="O77" s="27"/>
      <c r="P77" s="27"/>
      <c r="Q77" s="27"/>
      <c r="R77" s="27"/>
      <c r="S77" s="27"/>
      <c r="T77" s="27"/>
      <c r="U77" s="27"/>
      <c r="V77" s="26"/>
      <c r="W77" s="27"/>
      <c r="X77" s="27"/>
      <c r="Y77" s="27"/>
      <c r="Z77" s="27"/>
      <c r="AA77" s="26"/>
      <c r="AB77" s="27"/>
      <c r="AC77" s="27"/>
      <c r="AD77" s="27"/>
      <c r="AE77" s="27"/>
      <c r="AF77" s="27"/>
      <c r="AG77" s="82"/>
      <c r="AH77" s="85" t="str">
        <f aca="false">IF(A77="","",ROUNDDOWN((N(E77)+N(F77)+N(I77)+N(J77))*IF(K77="",$B$2,K77),0))</f>
        <v/>
      </c>
      <c r="AI77" s="85" t="str">
        <f aca="false">IF(A77="","",N(W77)+N(X77))</f>
        <v/>
      </c>
      <c r="AJ77" s="85" t="str">
        <f aca="false">IF(A77="","",SUM(E77:U77)-N(K77)+AH77+AI77)</f>
        <v/>
      </c>
      <c r="AK77" s="85" t="str">
        <f aca="false">IF(A77="","",N(W77))</f>
        <v/>
      </c>
      <c r="AL77" s="85" t="str">
        <f aca="false">IF(A77="","",AJ77-AK77)</f>
        <v/>
      </c>
      <c r="AM77" s="85" t="str">
        <f aca="false">IF(A77="","",ROUNDDOWN(N(Z77)*設定!$B$13/1000,0))</f>
        <v/>
      </c>
      <c r="AN77" s="85" t="str">
        <f aca="false">IF(A77="","",ROUNDDOWN(N(Z77)*設定!$B$15/1000,0))</f>
        <v/>
      </c>
      <c r="AO77" s="85" t="str">
        <f aca="false">IF(A77="","",ROUNDDOWN(N(Z77)*設定!$B$10/1000,0))</f>
        <v/>
      </c>
      <c r="AP77" s="85" t="str">
        <f aca="false">IF(A77="","",ROUNDDOWN(N(Z77)*設定!$B$11/1000,0))</f>
        <v/>
      </c>
      <c r="AQ77" s="85" t="str">
        <f aca="false">IF(A77="","",IF(AA77="Y",ROUNDDOWN(N(Z77)*設定!$B$14/1000,0),0))</f>
        <v/>
      </c>
      <c r="AR77" s="85" t="str">
        <f aca="false">IF(A77="","",SUM(AM77:AQ77))</f>
        <v/>
      </c>
      <c r="AS77" s="85" t="str">
        <f aca="false">IF(A77="","",N(AB77)+N(AC77)+AR77+N(AD77))</f>
        <v/>
      </c>
      <c r="AT77" s="85" t="str">
        <f aca="false">IF(A77="","",AJ77-AS77)</f>
        <v/>
      </c>
      <c r="AU77" s="85" t="str">
        <f aca="false">IF(A77="","",AL77-AR77)</f>
        <v/>
      </c>
      <c r="AV77" s="85" t="str">
        <f aca="false">IF(A77="","",N(AE77)+N(AF77))</f>
        <v/>
      </c>
      <c r="AW77" s="85" t="str">
        <f aca="false">IF(A77="","",AT77-AV77)</f>
        <v/>
      </c>
      <c r="AX77" s="86" t="str">
        <f aca="false">IF(A77="","",IF(N(V77)&lt;=1,AI77,IF(AI77&gt;0,ROUNDDOWN(AI77/N(V77),0),IF($B$3="Y",ROUNDDOWN(N(Y77)/N(V77),0),0))))</f>
        <v/>
      </c>
      <c r="AY77" s="87" t="str">
        <f aca="false">IF(A77="","",AJ77-AI77+AX77)</f>
        <v/>
      </c>
      <c r="AZ77" s="88" t="str">
        <f aca="false">IF(A77="","",A77&amp;"|"&amp;TEXT(D77,"yyyymm"))</f>
        <v/>
      </c>
    </row>
    <row r="78" customFormat="false" ht="15" hidden="false" customHeight="false" outlineLevel="0" collapsed="false">
      <c r="A78" s="26"/>
      <c r="B78" s="82"/>
      <c r="C78" s="82"/>
      <c r="D78" s="65"/>
      <c r="E78" s="27"/>
      <c r="F78" s="27"/>
      <c r="G78" s="27"/>
      <c r="H78" s="27"/>
      <c r="I78" s="27"/>
      <c r="J78" s="27"/>
      <c r="K78" s="84"/>
      <c r="L78" s="27"/>
      <c r="M78" s="27"/>
      <c r="N78" s="27"/>
      <c r="O78" s="27"/>
      <c r="P78" s="27"/>
      <c r="Q78" s="27"/>
      <c r="R78" s="27"/>
      <c r="S78" s="27"/>
      <c r="T78" s="27"/>
      <c r="U78" s="27"/>
      <c r="V78" s="26"/>
      <c r="W78" s="27"/>
      <c r="X78" s="27"/>
      <c r="Y78" s="27"/>
      <c r="Z78" s="27"/>
      <c r="AA78" s="26"/>
      <c r="AB78" s="27"/>
      <c r="AC78" s="27"/>
      <c r="AD78" s="27"/>
      <c r="AE78" s="27"/>
      <c r="AF78" s="27"/>
      <c r="AG78" s="82"/>
      <c r="AH78" s="85" t="str">
        <f aca="false">IF(A78="","",ROUNDDOWN((N(E78)+N(F78)+N(I78)+N(J78))*IF(K78="",$B$2,K78),0))</f>
        <v/>
      </c>
      <c r="AI78" s="85" t="str">
        <f aca="false">IF(A78="","",N(W78)+N(X78))</f>
        <v/>
      </c>
      <c r="AJ78" s="85" t="str">
        <f aca="false">IF(A78="","",SUM(E78:U78)-N(K78)+AH78+AI78)</f>
        <v/>
      </c>
      <c r="AK78" s="85" t="str">
        <f aca="false">IF(A78="","",N(W78))</f>
        <v/>
      </c>
      <c r="AL78" s="85" t="str">
        <f aca="false">IF(A78="","",AJ78-AK78)</f>
        <v/>
      </c>
      <c r="AM78" s="85" t="str">
        <f aca="false">IF(A78="","",ROUNDDOWN(N(Z78)*設定!$B$13/1000,0))</f>
        <v/>
      </c>
      <c r="AN78" s="85" t="str">
        <f aca="false">IF(A78="","",ROUNDDOWN(N(Z78)*設定!$B$15/1000,0))</f>
        <v/>
      </c>
      <c r="AO78" s="85" t="str">
        <f aca="false">IF(A78="","",ROUNDDOWN(N(Z78)*設定!$B$10/1000,0))</f>
        <v/>
      </c>
      <c r="AP78" s="85" t="str">
        <f aca="false">IF(A78="","",ROUNDDOWN(N(Z78)*設定!$B$11/1000,0))</f>
        <v/>
      </c>
      <c r="AQ78" s="85" t="str">
        <f aca="false">IF(A78="","",IF(AA78="Y",ROUNDDOWN(N(Z78)*設定!$B$14/1000,0),0))</f>
        <v/>
      </c>
      <c r="AR78" s="85" t="str">
        <f aca="false">IF(A78="","",SUM(AM78:AQ78))</f>
        <v/>
      </c>
      <c r="AS78" s="85" t="str">
        <f aca="false">IF(A78="","",N(AB78)+N(AC78)+AR78+N(AD78))</f>
        <v/>
      </c>
      <c r="AT78" s="85" t="str">
        <f aca="false">IF(A78="","",AJ78-AS78)</f>
        <v/>
      </c>
      <c r="AU78" s="85" t="str">
        <f aca="false">IF(A78="","",AL78-AR78)</f>
        <v/>
      </c>
      <c r="AV78" s="85" t="str">
        <f aca="false">IF(A78="","",N(AE78)+N(AF78))</f>
        <v/>
      </c>
      <c r="AW78" s="85" t="str">
        <f aca="false">IF(A78="","",AT78-AV78)</f>
        <v/>
      </c>
      <c r="AX78" s="86" t="str">
        <f aca="false">IF(A78="","",IF(N(V78)&lt;=1,AI78,IF(AI78&gt;0,ROUNDDOWN(AI78/N(V78),0),IF($B$3="Y",ROUNDDOWN(N(Y78)/N(V78),0),0))))</f>
        <v/>
      </c>
      <c r="AY78" s="87" t="str">
        <f aca="false">IF(A78="","",AJ78-AI78+AX78)</f>
        <v/>
      </c>
      <c r="AZ78" s="88" t="str">
        <f aca="false">IF(A78="","",A78&amp;"|"&amp;TEXT(D78,"yyyymm"))</f>
        <v/>
      </c>
    </row>
    <row r="79" customFormat="false" ht="15" hidden="false" customHeight="false" outlineLevel="0" collapsed="false">
      <c r="A79" s="26"/>
      <c r="B79" s="82"/>
      <c r="C79" s="82"/>
      <c r="D79" s="65"/>
      <c r="E79" s="27"/>
      <c r="F79" s="27"/>
      <c r="G79" s="27"/>
      <c r="H79" s="27"/>
      <c r="I79" s="27"/>
      <c r="J79" s="27"/>
      <c r="K79" s="84"/>
      <c r="L79" s="27"/>
      <c r="M79" s="27"/>
      <c r="N79" s="27"/>
      <c r="O79" s="27"/>
      <c r="P79" s="27"/>
      <c r="Q79" s="27"/>
      <c r="R79" s="27"/>
      <c r="S79" s="27"/>
      <c r="T79" s="27"/>
      <c r="U79" s="27"/>
      <c r="V79" s="26"/>
      <c r="W79" s="27"/>
      <c r="X79" s="27"/>
      <c r="Y79" s="27"/>
      <c r="Z79" s="27"/>
      <c r="AA79" s="26"/>
      <c r="AB79" s="27"/>
      <c r="AC79" s="27"/>
      <c r="AD79" s="27"/>
      <c r="AE79" s="27"/>
      <c r="AF79" s="27"/>
      <c r="AG79" s="82"/>
      <c r="AH79" s="85" t="str">
        <f aca="false">IF(A79="","",ROUNDDOWN((N(E79)+N(F79)+N(I79)+N(J79))*IF(K79="",$B$2,K79),0))</f>
        <v/>
      </c>
      <c r="AI79" s="85" t="str">
        <f aca="false">IF(A79="","",N(W79)+N(X79))</f>
        <v/>
      </c>
      <c r="AJ79" s="85" t="str">
        <f aca="false">IF(A79="","",SUM(E79:U79)-N(K79)+AH79+AI79)</f>
        <v/>
      </c>
      <c r="AK79" s="85" t="str">
        <f aca="false">IF(A79="","",N(W79))</f>
        <v/>
      </c>
      <c r="AL79" s="85" t="str">
        <f aca="false">IF(A79="","",AJ79-AK79)</f>
        <v/>
      </c>
      <c r="AM79" s="85" t="str">
        <f aca="false">IF(A79="","",ROUNDDOWN(N(Z79)*設定!$B$13/1000,0))</f>
        <v/>
      </c>
      <c r="AN79" s="85" t="str">
        <f aca="false">IF(A79="","",ROUNDDOWN(N(Z79)*設定!$B$15/1000,0))</f>
        <v/>
      </c>
      <c r="AO79" s="85" t="str">
        <f aca="false">IF(A79="","",ROUNDDOWN(N(Z79)*設定!$B$10/1000,0))</f>
        <v/>
      </c>
      <c r="AP79" s="85" t="str">
        <f aca="false">IF(A79="","",ROUNDDOWN(N(Z79)*設定!$B$11/1000,0))</f>
        <v/>
      </c>
      <c r="AQ79" s="85" t="str">
        <f aca="false">IF(A79="","",IF(AA79="Y",ROUNDDOWN(N(Z79)*設定!$B$14/1000,0),0))</f>
        <v/>
      </c>
      <c r="AR79" s="85" t="str">
        <f aca="false">IF(A79="","",SUM(AM79:AQ79))</f>
        <v/>
      </c>
      <c r="AS79" s="85" t="str">
        <f aca="false">IF(A79="","",N(AB79)+N(AC79)+AR79+N(AD79))</f>
        <v/>
      </c>
      <c r="AT79" s="85" t="str">
        <f aca="false">IF(A79="","",AJ79-AS79)</f>
        <v/>
      </c>
      <c r="AU79" s="85" t="str">
        <f aca="false">IF(A79="","",AL79-AR79)</f>
        <v/>
      </c>
      <c r="AV79" s="85" t="str">
        <f aca="false">IF(A79="","",N(AE79)+N(AF79))</f>
        <v/>
      </c>
      <c r="AW79" s="85" t="str">
        <f aca="false">IF(A79="","",AT79-AV79)</f>
        <v/>
      </c>
      <c r="AX79" s="86" t="str">
        <f aca="false">IF(A79="","",IF(N(V79)&lt;=1,AI79,IF(AI79&gt;0,ROUNDDOWN(AI79/N(V79),0),IF($B$3="Y",ROUNDDOWN(N(Y79)/N(V79),0),0))))</f>
        <v/>
      </c>
      <c r="AY79" s="87" t="str">
        <f aca="false">IF(A79="","",AJ79-AI79+AX79)</f>
        <v/>
      </c>
      <c r="AZ79" s="88" t="str">
        <f aca="false">IF(A79="","",A79&amp;"|"&amp;TEXT(D79,"yyyymm"))</f>
        <v/>
      </c>
    </row>
    <row r="80" customFormat="false" ht="15" hidden="false" customHeight="false" outlineLevel="0" collapsed="false">
      <c r="A80" s="26"/>
      <c r="B80" s="82"/>
      <c r="C80" s="82"/>
      <c r="D80" s="65"/>
      <c r="E80" s="27"/>
      <c r="F80" s="27"/>
      <c r="G80" s="27"/>
      <c r="H80" s="27"/>
      <c r="I80" s="27"/>
      <c r="J80" s="27"/>
      <c r="K80" s="84"/>
      <c r="L80" s="27"/>
      <c r="M80" s="27"/>
      <c r="N80" s="27"/>
      <c r="O80" s="27"/>
      <c r="P80" s="27"/>
      <c r="Q80" s="27"/>
      <c r="R80" s="27"/>
      <c r="S80" s="27"/>
      <c r="T80" s="27"/>
      <c r="U80" s="27"/>
      <c r="V80" s="26"/>
      <c r="W80" s="27"/>
      <c r="X80" s="27"/>
      <c r="Y80" s="27"/>
      <c r="Z80" s="27"/>
      <c r="AA80" s="26"/>
      <c r="AB80" s="27"/>
      <c r="AC80" s="27"/>
      <c r="AD80" s="27"/>
      <c r="AE80" s="27"/>
      <c r="AF80" s="27"/>
      <c r="AG80" s="82"/>
      <c r="AH80" s="85" t="str">
        <f aca="false">IF(A80="","",ROUNDDOWN((N(E80)+N(F80)+N(I80)+N(J80))*IF(K80="",$B$2,K80),0))</f>
        <v/>
      </c>
      <c r="AI80" s="85" t="str">
        <f aca="false">IF(A80="","",N(W80)+N(X80))</f>
        <v/>
      </c>
      <c r="AJ80" s="85" t="str">
        <f aca="false">IF(A80="","",SUM(E80:U80)-N(K80)+AH80+AI80)</f>
        <v/>
      </c>
      <c r="AK80" s="85" t="str">
        <f aca="false">IF(A80="","",N(W80))</f>
        <v/>
      </c>
      <c r="AL80" s="85" t="str">
        <f aca="false">IF(A80="","",AJ80-AK80)</f>
        <v/>
      </c>
      <c r="AM80" s="85" t="str">
        <f aca="false">IF(A80="","",ROUNDDOWN(N(Z80)*設定!$B$13/1000,0))</f>
        <v/>
      </c>
      <c r="AN80" s="85" t="str">
        <f aca="false">IF(A80="","",ROUNDDOWN(N(Z80)*設定!$B$15/1000,0))</f>
        <v/>
      </c>
      <c r="AO80" s="85" t="str">
        <f aca="false">IF(A80="","",ROUNDDOWN(N(Z80)*設定!$B$10/1000,0))</f>
        <v/>
      </c>
      <c r="AP80" s="85" t="str">
        <f aca="false">IF(A80="","",ROUNDDOWN(N(Z80)*設定!$B$11/1000,0))</f>
        <v/>
      </c>
      <c r="AQ80" s="85" t="str">
        <f aca="false">IF(A80="","",IF(AA80="Y",ROUNDDOWN(N(Z80)*設定!$B$14/1000,0),0))</f>
        <v/>
      </c>
      <c r="AR80" s="85" t="str">
        <f aca="false">IF(A80="","",SUM(AM80:AQ80))</f>
        <v/>
      </c>
      <c r="AS80" s="85" t="str">
        <f aca="false">IF(A80="","",N(AB80)+N(AC80)+AR80+N(AD80))</f>
        <v/>
      </c>
      <c r="AT80" s="85" t="str">
        <f aca="false">IF(A80="","",AJ80-AS80)</f>
        <v/>
      </c>
      <c r="AU80" s="85" t="str">
        <f aca="false">IF(A80="","",AL80-AR80)</f>
        <v/>
      </c>
      <c r="AV80" s="85" t="str">
        <f aca="false">IF(A80="","",N(AE80)+N(AF80))</f>
        <v/>
      </c>
      <c r="AW80" s="85" t="str">
        <f aca="false">IF(A80="","",AT80-AV80)</f>
        <v/>
      </c>
      <c r="AX80" s="86" t="str">
        <f aca="false">IF(A80="","",IF(N(V80)&lt;=1,AI80,IF(AI80&gt;0,ROUNDDOWN(AI80/N(V80),0),IF($B$3="Y",ROUNDDOWN(N(Y80)/N(V80),0),0))))</f>
        <v/>
      </c>
      <c r="AY80" s="87" t="str">
        <f aca="false">IF(A80="","",AJ80-AI80+AX80)</f>
        <v/>
      </c>
      <c r="AZ80" s="88" t="str">
        <f aca="false">IF(A80="","",A80&amp;"|"&amp;TEXT(D80,"yyyymm"))</f>
        <v/>
      </c>
    </row>
    <row r="81" customFormat="false" ht="15" hidden="false" customHeight="false" outlineLevel="0" collapsed="false">
      <c r="A81" s="26"/>
      <c r="B81" s="82"/>
      <c r="C81" s="82"/>
      <c r="D81" s="65"/>
      <c r="E81" s="27"/>
      <c r="F81" s="27"/>
      <c r="G81" s="27"/>
      <c r="H81" s="27"/>
      <c r="I81" s="27"/>
      <c r="J81" s="27"/>
      <c r="K81" s="84"/>
      <c r="L81" s="27"/>
      <c r="M81" s="27"/>
      <c r="N81" s="27"/>
      <c r="O81" s="27"/>
      <c r="P81" s="27"/>
      <c r="Q81" s="27"/>
      <c r="R81" s="27"/>
      <c r="S81" s="27"/>
      <c r="T81" s="27"/>
      <c r="U81" s="27"/>
      <c r="V81" s="26"/>
      <c r="W81" s="27"/>
      <c r="X81" s="27"/>
      <c r="Y81" s="27"/>
      <c r="Z81" s="27"/>
      <c r="AA81" s="26"/>
      <c r="AB81" s="27"/>
      <c r="AC81" s="27"/>
      <c r="AD81" s="27"/>
      <c r="AE81" s="27"/>
      <c r="AF81" s="27"/>
      <c r="AG81" s="82"/>
      <c r="AH81" s="85" t="str">
        <f aca="false">IF(A81="","",ROUNDDOWN((N(E81)+N(F81)+N(I81)+N(J81))*IF(K81="",$B$2,K81),0))</f>
        <v/>
      </c>
      <c r="AI81" s="85" t="str">
        <f aca="false">IF(A81="","",N(W81)+N(X81))</f>
        <v/>
      </c>
      <c r="AJ81" s="85" t="str">
        <f aca="false">IF(A81="","",SUM(E81:U81)-N(K81)+AH81+AI81)</f>
        <v/>
      </c>
      <c r="AK81" s="85" t="str">
        <f aca="false">IF(A81="","",N(W81))</f>
        <v/>
      </c>
      <c r="AL81" s="85" t="str">
        <f aca="false">IF(A81="","",AJ81-AK81)</f>
        <v/>
      </c>
      <c r="AM81" s="85" t="str">
        <f aca="false">IF(A81="","",ROUNDDOWN(N(Z81)*設定!$B$13/1000,0))</f>
        <v/>
      </c>
      <c r="AN81" s="85" t="str">
        <f aca="false">IF(A81="","",ROUNDDOWN(N(Z81)*設定!$B$15/1000,0))</f>
        <v/>
      </c>
      <c r="AO81" s="85" t="str">
        <f aca="false">IF(A81="","",ROUNDDOWN(N(Z81)*設定!$B$10/1000,0))</f>
        <v/>
      </c>
      <c r="AP81" s="85" t="str">
        <f aca="false">IF(A81="","",ROUNDDOWN(N(Z81)*設定!$B$11/1000,0))</f>
        <v/>
      </c>
      <c r="AQ81" s="85" t="str">
        <f aca="false">IF(A81="","",IF(AA81="Y",ROUNDDOWN(N(Z81)*設定!$B$14/1000,0),0))</f>
        <v/>
      </c>
      <c r="AR81" s="85" t="str">
        <f aca="false">IF(A81="","",SUM(AM81:AQ81))</f>
        <v/>
      </c>
      <c r="AS81" s="85" t="str">
        <f aca="false">IF(A81="","",N(AB81)+N(AC81)+AR81+N(AD81))</f>
        <v/>
      </c>
      <c r="AT81" s="85" t="str">
        <f aca="false">IF(A81="","",AJ81-AS81)</f>
        <v/>
      </c>
      <c r="AU81" s="85" t="str">
        <f aca="false">IF(A81="","",AL81-AR81)</f>
        <v/>
      </c>
      <c r="AV81" s="85" t="str">
        <f aca="false">IF(A81="","",N(AE81)+N(AF81))</f>
        <v/>
      </c>
      <c r="AW81" s="85" t="str">
        <f aca="false">IF(A81="","",AT81-AV81)</f>
        <v/>
      </c>
      <c r="AX81" s="86" t="str">
        <f aca="false">IF(A81="","",IF(N(V81)&lt;=1,AI81,IF(AI81&gt;0,ROUNDDOWN(AI81/N(V81),0),IF($B$3="Y",ROUNDDOWN(N(Y81)/N(V81),0),0))))</f>
        <v/>
      </c>
      <c r="AY81" s="87" t="str">
        <f aca="false">IF(A81="","",AJ81-AI81+AX81)</f>
        <v/>
      </c>
      <c r="AZ81" s="88" t="str">
        <f aca="false">IF(A81="","",A81&amp;"|"&amp;TEXT(D81,"yyyymm"))</f>
        <v/>
      </c>
    </row>
    <row r="82" customFormat="false" ht="15" hidden="false" customHeight="false" outlineLevel="0" collapsed="false">
      <c r="A82" s="26"/>
      <c r="B82" s="82"/>
      <c r="C82" s="82"/>
      <c r="D82" s="65"/>
      <c r="E82" s="27"/>
      <c r="F82" s="27"/>
      <c r="G82" s="27"/>
      <c r="H82" s="27"/>
      <c r="I82" s="27"/>
      <c r="J82" s="27"/>
      <c r="K82" s="84"/>
      <c r="L82" s="27"/>
      <c r="M82" s="27"/>
      <c r="N82" s="27"/>
      <c r="O82" s="27"/>
      <c r="P82" s="27"/>
      <c r="Q82" s="27"/>
      <c r="R82" s="27"/>
      <c r="S82" s="27"/>
      <c r="T82" s="27"/>
      <c r="U82" s="27"/>
      <c r="V82" s="26"/>
      <c r="W82" s="27"/>
      <c r="X82" s="27"/>
      <c r="Y82" s="27"/>
      <c r="Z82" s="27"/>
      <c r="AA82" s="26"/>
      <c r="AB82" s="27"/>
      <c r="AC82" s="27"/>
      <c r="AD82" s="27"/>
      <c r="AE82" s="27"/>
      <c r="AF82" s="27"/>
      <c r="AG82" s="82"/>
      <c r="AH82" s="85" t="str">
        <f aca="false">IF(A82="","",ROUNDDOWN((N(E82)+N(F82)+N(I82)+N(J82))*IF(K82="",$B$2,K82),0))</f>
        <v/>
      </c>
      <c r="AI82" s="85" t="str">
        <f aca="false">IF(A82="","",N(W82)+N(X82))</f>
        <v/>
      </c>
      <c r="AJ82" s="85" t="str">
        <f aca="false">IF(A82="","",SUM(E82:U82)-N(K82)+AH82+AI82)</f>
        <v/>
      </c>
      <c r="AK82" s="85" t="str">
        <f aca="false">IF(A82="","",N(W82))</f>
        <v/>
      </c>
      <c r="AL82" s="85" t="str">
        <f aca="false">IF(A82="","",AJ82-AK82)</f>
        <v/>
      </c>
      <c r="AM82" s="85" t="str">
        <f aca="false">IF(A82="","",ROUNDDOWN(N(Z82)*設定!$B$13/1000,0))</f>
        <v/>
      </c>
      <c r="AN82" s="85" t="str">
        <f aca="false">IF(A82="","",ROUNDDOWN(N(Z82)*設定!$B$15/1000,0))</f>
        <v/>
      </c>
      <c r="AO82" s="85" t="str">
        <f aca="false">IF(A82="","",ROUNDDOWN(N(Z82)*設定!$B$10/1000,0))</f>
        <v/>
      </c>
      <c r="AP82" s="85" t="str">
        <f aca="false">IF(A82="","",ROUNDDOWN(N(Z82)*設定!$B$11/1000,0))</f>
        <v/>
      </c>
      <c r="AQ82" s="85" t="str">
        <f aca="false">IF(A82="","",IF(AA82="Y",ROUNDDOWN(N(Z82)*設定!$B$14/1000,0),0))</f>
        <v/>
      </c>
      <c r="AR82" s="85" t="str">
        <f aca="false">IF(A82="","",SUM(AM82:AQ82))</f>
        <v/>
      </c>
      <c r="AS82" s="85" t="str">
        <f aca="false">IF(A82="","",N(AB82)+N(AC82)+AR82+N(AD82))</f>
        <v/>
      </c>
      <c r="AT82" s="85" t="str">
        <f aca="false">IF(A82="","",AJ82-AS82)</f>
        <v/>
      </c>
      <c r="AU82" s="85" t="str">
        <f aca="false">IF(A82="","",AL82-AR82)</f>
        <v/>
      </c>
      <c r="AV82" s="85" t="str">
        <f aca="false">IF(A82="","",N(AE82)+N(AF82))</f>
        <v/>
      </c>
      <c r="AW82" s="85" t="str">
        <f aca="false">IF(A82="","",AT82-AV82)</f>
        <v/>
      </c>
      <c r="AX82" s="86" t="str">
        <f aca="false">IF(A82="","",IF(N(V82)&lt;=1,AI82,IF(AI82&gt;0,ROUNDDOWN(AI82/N(V82),0),IF($B$3="Y",ROUNDDOWN(N(Y82)/N(V82),0),0))))</f>
        <v/>
      </c>
      <c r="AY82" s="87" t="str">
        <f aca="false">IF(A82="","",AJ82-AI82+AX82)</f>
        <v/>
      </c>
      <c r="AZ82" s="88" t="str">
        <f aca="false">IF(A82="","",A82&amp;"|"&amp;TEXT(D82,"yyyymm"))</f>
        <v/>
      </c>
    </row>
    <row r="83" customFormat="false" ht="15" hidden="false" customHeight="false" outlineLevel="0" collapsed="false">
      <c r="A83" s="26"/>
      <c r="B83" s="82"/>
      <c r="C83" s="82"/>
      <c r="D83" s="65"/>
      <c r="E83" s="27"/>
      <c r="F83" s="27"/>
      <c r="G83" s="27"/>
      <c r="H83" s="27"/>
      <c r="I83" s="27"/>
      <c r="J83" s="27"/>
      <c r="K83" s="84"/>
      <c r="L83" s="27"/>
      <c r="M83" s="27"/>
      <c r="N83" s="27"/>
      <c r="O83" s="27"/>
      <c r="P83" s="27"/>
      <c r="Q83" s="27"/>
      <c r="R83" s="27"/>
      <c r="S83" s="27"/>
      <c r="T83" s="27"/>
      <c r="U83" s="27"/>
      <c r="V83" s="26"/>
      <c r="W83" s="27"/>
      <c r="X83" s="27"/>
      <c r="Y83" s="27"/>
      <c r="Z83" s="27"/>
      <c r="AA83" s="26"/>
      <c r="AB83" s="27"/>
      <c r="AC83" s="27"/>
      <c r="AD83" s="27"/>
      <c r="AE83" s="27"/>
      <c r="AF83" s="27"/>
      <c r="AG83" s="82"/>
      <c r="AH83" s="85" t="str">
        <f aca="false">IF(A83="","",ROUNDDOWN((N(E83)+N(F83)+N(I83)+N(J83))*IF(K83="",$B$2,K83),0))</f>
        <v/>
      </c>
      <c r="AI83" s="85" t="str">
        <f aca="false">IF(A83="","",N(W83)+N(X83))</f>
        <v/>
      </c>
      <c r="AJ83" s="85" t="str">
        <f aca="false">IF(A83="","",SUM(E83:U83)-N(K83)+AH83+AI83)</f>
        <v/>
      </c>
      <c r="AK83" s="85" t="str">
        <f aca="false">IF(A83="","",N(W83))</f>
        <v/>
      </c>
      <c r="AL83" s="85" t="str">
        <f aca="false">IF(A83="","",AJ83-AK83)</f>
        <v/>
      </c>
      <c r="AM83" s="85" t="str">
        <f aca="false">IF(A83="","",ROUNDDOWN(N(Z83)*設定!$B$13/1000,0))</f>
        <v/>
      </c>
      <c r="AN83" s="85" t="str">
        <f aca="false">IF(A83="","",ROUNDDOWN(N(Z83)*設定!$B$15/1000,0))</f>
        <v/>
      </c>
      <c r="AO83" s="85" t="str">
        <f aca="false">IF(A83="","",ROUNDDOWN(N(Z83)*設定!$B$10/1000,0))</f>
        <v/>
      </c>
      <c r="AP83" s="85" t="str">
        <f aca="false">IF(A83="","",ROUNDDOWN(N(Z83)*設定!$B$11/1000,0))</f>
        <v/>
      </c>
      <c r="AQ83" s="85" t="str">
        <f aca="false">IF(A83="","",IF(AA83="Y",ROUNDDOWN(N(Z83)*設定!$B$14/1000,0),0))</f>
        <v/>
      </c>
      <c r="AR83" s="85" t="str">
        <f aca="false">IF(A83="","",SUM(AM83:AQ83))</f>
        <v/>
      </c>
      <c r="AS83" s="85" t="str">
        <f aca="false">IF(A83="","",N(AB83)+N(AC83)+AR83+N(AD83))</f>
        <v/>
      </c>
      <c r="AT83" s="85" t="str">
        <f aca="false">IF(A83="","",AJ83-AS83)</f>
        <v/>
      </c>
      <c r="AU83" s="85" t="str">
        <f aca="false">IF(A83="","",AL83-AR83)</f>
        <v/>
      </c>
      <c r="AV83" s="85" t="str">
        <f aca="false">IF(A83="","",N(AE83)+N(AF83))</f>
        <v/>
      </c>
      <c r="AW83" s="85" t="str">
        <f aca="false">IF(A83="","",AT83-AV83)</f>
        <v/>
      </c>
      <c r="AX83" s="86" t="str">
        <f aca="false">IF(A83="","",IF(N(V83)&lt;=1,AI83,IF(AI83&gt;0,ROUNDDOWN(AI83/N(V83),0),IF($B$3="Y",ROUNDDOWN(N(Y83)/N(V83),0),0))))</f>
        <v/>
      </c>
      <c r="AY83" s="87" t="str">
        <f aca="false">IF(A83="","",AJ83-AI83+AX83)</f>
        <v/>
      </c>
      <c r="AZ83" s="88" t="str">
        <f aca="false">IF(A83="","",A83&amp;"|"&amp;TEXT(D83,"yyyymm"))</f>
        <v/>
      </c>
    </row>
    <row r="84" customFormat="false" ht="15" hidden="false" customHeight="false" outlineLevel="0" collapsed="false">
      <c r="A84" s="26"/>
      <c r="B84" s="82"/>
      <c r="C84" s="82"/>
      <c r="D84" s="65"/>
      <c r="E84" s="27"/>
      <c r="F84" s="27"/>
      <c r="G84" s="27"/>
      <c r="H84" s="27"/>
      <c r="I84" s="27"/>
      <c r="J84" s="27"/>
      <c r="K84" s="84"/>
      <c r="L84" s="27"/>
      <c r="M84" s="27"/>
      <c r="N84" s="27"/>
      <c r="O84" s="27"/>
      <c r="P84" s="27"/>
      <c r="Q84" s="27"/>
      <c r="R84" s="27"/>
      <c r="S84" s="27"/>
      <c r="T84" s="27"/>
      <c r="U84" s="27"/>
      <c r="V84" s="26"/>
      <c r="W84" s="27"/>
      <c r="X84" s="27"/>
      <c r="Y84" s="27"/>
      <c r="Z84" s="27"/>
      <c r="AA84" s="26"/>
      <c r="AB84" s="27"/>
      <c r="AC84" s="27"/>
      <c r="AD84" s="27"/>
      <c r="AE84" s="27"/>
      <c r="AF84" s="27"/>
      <c r="AG84" s="82"/>
      <c r="AH84" s="85" t="str">
        <f aca="false">IF(A84="","",ROUNDDOWN((N(E84)+N(F84)+N(I84)+N(J84))*IF(K84="",$B$2,K84),0))</f>
        <v/>
      </c>
      <c r="AI84" s="85" t="str">
        <f aca="false">IF(A84="","",N(W84)+N(X84))</f>
        <v/>
      </c>
      <c r="AJ84" s="85" t="str">
        <f aca="false">IF(A84="","",SUM(E84:U84)-N(K84)+AH84+AI84)</f>
        <v/>
      </c>
      <c r="AK84" s="85" t="str">
        <f aca="false">IF(A84="","",N(W84))</f>
        <v/>
      </c>
      <c r="AL84" s="85" t="str">
        <f aca="false">IF(A84="","",AJ84-AK84)</f>
        <v/>
      </c>
      <c r="AM84" s="85" t="str">
        <f aca="false">IF(A84="","",ROUNDDOWN(N(Z84)*設定!$B$13/1000,0))</f>
        <v/>
      </c>
      <c r="AN84" s="85" t="str">
        <f aca="false">IF(A84="","",ROUNDDOWN(N(Z84)*設定!$B$15/1000,0))</f>
        <v/>
      </c>
      <c r="AO84" s="85" t="str">
        <f aca="false">IF(A84="","",ROUNDDOWN(N(Z84)*設定!$B$10/1000,0))</f>
        <v/>
      </c>
      <c r="AP84" s="85" t="str">
        <f aca="false">IF(A84="","",ROUNDDOWN(N(Z84)*設定!$B$11/1000,0))</f>
        <v/>
      </c>
      <c r="AQ84" s="85" t="str">
        <f aca="false">IF(A84="","",IF(AA84="Y",ROUNDDOWN(N(Z84)*設定!$B$14/1000,0),0))</f>
        <v/>
      </c>
      <c r="AR84" s="85" t="str">
        <f aca="false">IF(A84="","",SUM(AM84:AQ84))</f>
        <v/>
      </c>
      <c r="AS84" s="85" t="str">
        <f aca="false">IF(A84="","",N(AB84)+N(AC84)+AR84+N(AD84))</f>
        <v/>
      </c>
      <c r="AT84" s="85" t="str">
        <f aca="false">IF(A84="","",AJ84-AS84)</f>
        <v/>
      </c>
      <c r="AU84" s="85" t="str">
        <f aca="false">IF(A84="","",AL84-AR84)</f>
        <v/>
      </c>
      <c r="AV84" s="85" t="str">
        <f aca="false">IF(A84="","",N(AE84)+N(AF84))</f>
        <v/>
      </c>
      <c r="AW84" s="85" t="str">
        <f aca="false">IF(A84="","",AT84-AV84)</f>
        <v/>
      </c>
      <c r="AX84" s="86" t="str">
        <f aca="false">IF(A84="","",IF(N(V84)&lt;=1,AI84,IF(AI84&gt;0,ROUNDDOWN(AI84/N(V84),0),IF($B$3="Y",ROUNDDOWN(N(Y84)/N(V84),0),0))))</f>
        <v/>
      </c>
      <c r="AY84" s="87" t="str">
        <f aca="false">IF(A84="","",AJ84-AI84+AX84)</f>
        <v/>
      </c>
      <c r="AZ84" s="88" t="str">
        <f aca="false">IF(A84="","",A84&amp;"|"&amp;TEXT(D84,"yyyymm"))</f>
        <v/>
      </c>
    </row>
    <row r="85" customFormat="false" ht="15" hidden="false" customHeight="false" outlineLevel="0" collapsed="false">
      <c r="A85" s="26"/>
      <c r="B85" s="82"/>
      <c r="C85" s="82"/>
      <c r="D85" s="65"/>
      <c r="E85" s="27"/>
      <c r="F85" s="27"/>
      <c r="G85" s="27"/>
      <c r="H85" s="27"/>
      <c r="I85" s="27"/>
      <c r="J85" s="27"/>
      <c r="K85" s="84"/>
      <c r="L85" s="27"/>
      <c r="M85" s="27"/>
      <c r="N85" s="27"/>
      <c r="O85" s="27"/>
      <c r="P85" s="27"/>
      <c r="Q85" s="27"/>
      <c r="R85" s="27"/>
      <c r="S85" s="27"/>
      <c r="T85" s="27"/>
      <c r="U85" s="27"/>
      <c r="V85" s="26"/>
      <c r="W85" s="27"/>
      <c r="X85" s="27"/>
      <c r="Y85" s="27"/>
      <c r="Z85" s="27"/>
      <c r="AA85" s="26"/>
      <c r="AB85" s="27"/>
      <c r="AC85" s="27"/>
      <c r="AD85" s="27"/>
      <c r="AE85" s="27"/>
      <c r="AF85" s="27"/>
      <c r="AG85" s="82"/>
      <c r="AH85" s="85" t="str">
        <f aca="false">IF(A85="","",ROUNDDOWN((N(E85)+N(F85)+N(I85)+N(J85))*IF(K85="",$B$2,K85),0))</f>
        <v/>
      </c>
      <c r="AI85" s="85" t="str">
        <f aca="false">IF(A85="","",N(W85)+N(X85))</f>
        <v/>
      </c>
      <c r="AJ85" s="85" t="str">
        <f aca="false">IF(A85="","",SUM(E85:U85)-N(K85)+AH85+AI85)</f>
        <v/>
      </c>
      <c r="AK85" s="85" t="str">
        <f aca="false">IF(A85="","",N(W85))</f>
        <v/>
      </c>
      <c r="AL85" s="85" t="str">
        <f aca="false">IF(A85="","",AJ85-AK85)</f>
        <v/>
      </c>
      <c r="AM85" s="85" t="str">
        <f aca="false">IF(A85="","",ROUNDDOWN(N(Z85)*設定!$B$13/1000,0))</f>
        <v/>
      </c>
      <c r="AN85" s="85" t="str">
        <f aca="false">IF(A85="","",ROUNDDOWN(N(Z85)*設定!$B$15/1000,0))</f>
        <v/>
      </c>
      <c r="AO85" s="85" t="str">
        <f aca="false">IF(A85="","",ROUNDDOWN(N(Z85)*設定!$B$10/1000,0))</f>
        <v/>
      </c>
      <c r="AP85" s="85" t="str">
        <f aca="false">IF(A85="","",ROUNDDOWN(N(Z85)*設定!$B$11/1000,0))</f>
        <v/>
      </c>
      <c r="AQ85" s="85" t="str">
        <f aca="false">IF(A85="","",IF(AA85="Y",ROUNDDOWN(N(Z85)*設定!$B$14/1000,0),0))</f>
        <v/>
      </c>
      <c r="AR85" s="85" t="str">
        <f aca="false">IF(A85="","",SUM(AM85:AQ85))</f>
        <v/>
      </c>
      <c r="AS85" s="85" t="str">
        <f aca="false">IF(A85="","",N(AB85)+N(AC85)+AR85+N(AD85))</f>
        <v/>
      </c>
      <c r="AT85" s="85" t="str">
        <f aca="false">IF(A85="","",AJ85-AS85)</f>
        <v/>
      </c>
      <c r="AU85" s="85" t="str">
        <f aca="false">IF(A85="","",AL85-AR85)</f>
        <v/>
      </c>
      <c r="AV85" s="85" t="str">
        <f aca="false">IF(A85="","",N(AE85)+N(AF85))</f>
        <v/>
      </c>
      <c r="AW85" s="85" t="str">
        <f aca="false">IF(A85="","",AT85-AV85)</f>
        <v/>
      </c>
      <c r="AX85" s="86" t="str">
        <f aca="false">IF(A85="","",IF(N(V85)&lt;=1,AI85,IF(AI85&gt;0,ROUNDDOWN(AI85/N(V85),0),IF($B$3="Y",ROUNDDOWN(N(Y85)/N(V85),0),0))))</f>
        <v/>
      </c>
      <c r="AY85" s="87" t="str">
        <f aca="false">IF(A85="","",AJ85-AI85+AX85)</f>
        <v/>
      </c>
      <c r="AZ85" s="88" t="str">
        <f aca="false">IF(A85="","",A85&amp;"|"&amp;TEXT(D85,"yyyymm"))</f>
        <v/>
      </c>
    </row>
    <row r="86" customFormat="false" ht="15" hidden="false" customHeight="false" outlineLevel="0" collapsed="false">
      <c r="A86" s="26"/>
      <c r="B86" s="82"/>
      <c r="C86" s="82"/>
      <c r="D86" s="65"/>
      <c r="E86" s="27"/>
      <c r="F86" s="27"/>
      <c r="G86" s="27"/>
      <c r="H86" s="27"/>
      <c r="I86" s="27"/>
      <c r="J86" s="27"/>
      <c r="K86" s="84"/>
      <c r="L86" s="27"/>
      <c r="M86" s="27"/>
      <c r="N86" s="27"/>
      <c r="O86" s="27"/>
      <c r="P86" s="27"/>
      <c r="Q86" s="27"/>
      <c r="R86" s="27"/>
      <c r="S86" s="27"/>
      <c r="T86" s="27"/>
      <c r="U86" s="27"/>
      <c r="V86" s="26"/>
      <c r="W86" s="27"/>
      <c r="X86" s="27"/>
      <c r="Y86" s="27"/>
      <c r="Z86" s="27"/>
      <c r="AA86" s="26"/>
      <c r="AB86" s="27"/>
      <c r="AC86" s="27"/>
      <c r="AD86" s="27"/>
      <c r="AE86" s="27"/>
      <c r="AF86" s="27"/>
      <c r="AG86" s="82"/>
      <c r="AH86" s="85" t="str">
        <f aca="false">IF(A86="","",ROUNDDOWN((N(E86)+N(F86)+N(I86)+N(J86))*IF(K86="",$B$2,K86),0))</f>
        <v/>
      </c>
      <c r="AI86" s="85" t="str">
        <f aca="false">IF(A86="","",N(W86)+N(X86))</f>
        <v/>
      </c>
      <c r="AJ86" s="85" t="str">
        <f aca="false">IF(A86="","",SUM(E86:U86)-N(K86)+AH86+AI86)</f>
        <v/>
      </c>
      <c r="AK86" s="85" t="str">
        <f aca="false">IF(A86="","",N(W86))</f>
        <v/>
      </c>
      <c r="AL86" s="85" t="str">
        <f aca="false">IF(A86="","",AJ86-AK86)</f>
        <v/>
      </c>
      <c r="AM86" s="85" t="str">
        <f aca="false">IF(A86="","",ROUNDDOWN(N(Z86)*設定!$B$13/1000,0))</f>
        <v/>
      </c>
      <c r="AN86" s="85" t="str">
        <f aca="false">IF(A86="","",ROUNDDOWN(N(Z86)*設定!$B$15/1000,0))</f>
        <v/>
      </c>
      <c r="AO86" s="85" t="str">
        <f aca="false">IF(A86="","",ROUNDDOWN(N(Z86)*設定!$B$10/1000,0))</f>
        <v/>
      </c>
      <c r="AP86" s="85" t="str">
        <f aca="false">IF(A86="","",ROUNDDOWN(N(Z86)*設定!$B$11/1000,0))</f>
        <v/>
      </c>
      <c r="AQ86" s="85" t="str">
        <f aca="false">IF(A86="","",IF(AA86="Y",ROUNDDOWN(N(Z86)*設定!$B$14/1000,0),0))</f>
        <v/>
      </c>
      <c r="AR86" s="85" t="str">
        <f aca="false">IF(A86="","",SUM(AM86:AQ86))</f>
        <v/>
      </c>
      <c r="AS86" s="85" t="str">
        <f aca="false">IF(A86="","",N(AB86)+N(AC86)+AR86+N(AD86))</f>
        <v/>
      </c>
      <c r="AT86" s="85" t="str">
        <f aca="false">IF(A86="","",AJ86-AS86)</f>
        <v/>
      </c>
      <c r="AU86" s="85" t="str">
        <f aca="false">IF(A86="","",AL86-AR86)</f>
        <v/>
      </c>
      <c r="AV86" s="85" t="str">
        <f aca="false">IF(A86="","",N(AE86)+N(AF86))</f>
        <v/>
      </c>
      <c r="AW86" s="85" t="str">
        <f aca="false">IF(A86="","",AT86-AV86)</f>
        <v/>
      </c>
      <c r="AX86" s="86" t="str">
        <f aca="false">IF(A86="","",IF(N(V86)&lt;=1,AI86,IF(AI86&gt;0,ROUNDDOWN(AI86/N(V86),0),IF($B$3="Y",ROUNDDOWN(N(Y86)/N(V86),0),0))))</f>
        <v/>
      </c>
      <c r="AY86" s="87" t="str">
        <f aca="false">IF(A86="","",AJ86-AI86+AX86)</f>
        <v/>
      </c>
      <c r="AZ86" s="88" t="str">
        <f aca="false">IF(A86="","",A86&amp;"|"&amp;TEXT(D86,"yyyymm"))</f>
        <v/>
      </c>
    </row>
    <row r="87" customFormat="false" ht="15" hidden="false" customHeight="false" outlineLevel="0" collapsed="false">
      <c r="A87" s="26"/>
      <c r="B87" s="82"/>
      <c r="C87" s="82"/>
      <c r="D87" s="65"/>
      <c r="E87" s="27"/>
      <c r="F87" s="27"/>
      <c r="G87" s="27"/>
      <c r="H87" s="27"/>
      <c r="I87" s="27"/>
      <c r="J87" s="27"/>
      <c r="K87" s="84"/>
      <c r="L87" s="27"/>
      <c r="M87" s="27"/>
      <c r="N87" s="27"/>
      <c r="O87" s="27"/>
      <c r="P87" s="27"/>
      <c r="Q87" s="27"/>
      <c r="R87" s="27"/>
      <c r="S87" s="27"/>
      <c r="T87" s="27"/>
      <c r="U87" s="27"/>
      <c r="V87" s="26"/>
      <c r="W87" s="27"/>
      <c r="X87" s="27"/>
      <c r="Y87" s="27"/>
      <c r="Z87" s="27"/>
      <c r="AA87" s="26"/>
      <c r="AB87" s="27"/>
      <c r="AC87" s="27"/>
      <c r="AD87" s="27"/>
      <c r="AE87" s="27"/>
      <c r="AF87" s="27"/>
      <c r="AG87" s="82"/>
      <c r="AH87" s="85" t="str">
        <f aca="false">IF(A87="","",ROUNDDOWN((N(E87)+N(F87)+N(I87)+N(J87))*IF(K87="",$B$2,K87),0))</f>
        <v/>
      </c>
      <c r="AI87" s="85" t="str">
        <f aca="false">IF(A87="","",N(W87)+N(X87))</f>
        <v/>
      </c>
      <c r="AJ87" s="85" t="str">
        <f aca="false">IF(A87="","",SUM(E87:U87)-N(K87)+AH87+AI87)</f>
        <v/>
      </c>
      <c r="AK87" s="85" t="str">
        <f aca="false">IF(A87="","",N(W87))</f>
        <v/>
      </c>
      <c r="AL87" s="85" t="str">
        <f aca="false">IF(A87="","",AJ87-AK87)</f>
        <v/>
      </c>
      <c r="AM87" s="85" t="str">
        <f aca="false">IF(A87="","",ROUNDDOWN(N(Z87)*設定!$B$13/1000,0))</f>
        <v/>
      </c>
      <c r="AN87" s="85" t="str">
        <f aca="false">IF(A87="","",ROUNDDOWN(N(Z87)*設定!$B$15/1000,0))</f>
        <v/>
      </c>
      <c r="AO87" s="85" t="str">
        <f aca="false">IF(A87="","",ROUNDDOWN(N(Z87)*設定!$B$10/1000,0))</f>
        <v/>
      </c>
      <c r="AP87" s="85" t="str">
        <f aca="false">IF(A87="","",ROUNDDOWN(N(Z87)*設定!$B$11/1000,0))</f>
        <v/>
      </c>
      <c r="AQ87" s="85" t="str">
        <f aca="false">IF(A87="","",IF(AA87="Y",ROUNDDOWN(N(Z87)*設定!$B$14/1000,0),0))</f>
        <v/>
      </c>
      <c r="AR87" s="85" t="str">
        <f aca="false">IF(A87="","",SUM(AM87:AQ87))</f>
        <v/>
      </c>
      <c r="AS87" s="85" t="str">
        <f aca="false">IF(A87="","",N(AB87)+N(AC87)+AR87+N(AD87))</f>
        <v/>
      </c>
      <c r="AT87" s="85" t="str">
        <f aca="false">IF(A87="","",AJ87-AS87)</f>
        <v/>
      </c>
      <c r="AU87" s="85" t="str">
        <f aca="false">IF(A87="","",AL87-AR87)</f>
        <v/>
      </c>
      <c r="AV87" s="85" t="str">
        <f aca="false">IF(A87="","",N(AE87)+N(AF87))</f>
        <v/>
      </c>
      <c r="AW87" s="85" t="str">
        <f aca="false">IF(A87="","",AT87-AV87)</f>
        <v/>
      </c>
      <c r="AX87" s="86" t="str">
        <f aca="false">IF(A87="","",IF(N(V87)&lt;=1,AI87,IF(AI87&gt;0,ROUNDDOWN(AI87/N(V87),0),IF($B$3="Y",ROUNDDOWN(N(Y87)/N(V87),0),0))))</f>
        <v/>
      </c>
      <c r="AY87" s="87" t="str">
        <f aca="false">IF(A87="","",AJ87-AI87+AX87)</f>
        <v/>
      </c>
      <c r="AZ87" s="88" t="str">
        <f aca="false">IF(A87="","",A87&amp;"|"&amp;TEXT(D87,"yyyymm"))</f>
        <v/>
      </c>
    </row>
    <row r="88" customFormat="false" ht="15" hidden="false" customHeight="false" outlineLevel="0" collapsed="false">
      <c r="A88" s="26"/>
      <c r="B88" s="82"/>
      <c r="C88" s="82"/>
      <c r="D88" s="65"/>
      <c r="E88" s="27"/>
      <c r="F88" s="27"/>
      <c r="G88" s="27"/>
      <c r="H88" s="27"/>
      <c r="I88" s="27"/>
      <c r="J88" s="27"/>
      <c r="K88" s="84"/>
      <c r="L88" s="27"/>
      <c r="M88" s="27"/>
      <c r="N88" s="27"/>
      <c r="O88" s="27"/>
      <c r="P88" s="27"/>
      <c r="Q88" s="27"/>
      <c r="R88" s="27"/>
      <c r="S88" s="27"/>
      <c r="T88" s="27"/>
      <c r="U88" s="27"/>
      <c r="V88" s="26"/>
      <c r="W88" s="27"/>
      <c r="X88" s="27"/>
      <c r="Y88" s="27"/>
      <c r="Z88" s="27"/>
      <c r="AA88" s="26"/>
      <c r="AB88" s="27"/>
      <c r="AC88" s="27"/>
      <c r="AD88" s="27"/>
      <c r="AE88" s="27"/>
      <c r="AF88" s="27"/>
      <c r="AG88" s="82"/>
      <c r="AH88" s="85" t="str">
        <f aca="false">IF(A88="","",ROUNDDOWN((N(E88)+N(F88)+N(I88)+N(J88))*IF(K88="",$B$2,K88),0))</f>
        <v/>
      </c>
      <c r="AI88" s="85" t="str">
        <f aca="false">IF(A88="","",N(W88)+N(X88))</f>
        <v/>
      </c>
      <c r="AJ88" s="85" t="str">
        <f aca="false">IF(A88="","",SUM(E88:U88)-N(K88)+AH88+AI88)</f>
        <v/>
      </c>
      <c r="AK88" s="85" t="str">
        <f aca="false">IF(A88="","",N(W88))</f>
        <v/>
      </c>
      <c r="AL88" s="85" t="str">
        <f aca="false">IF(A88="","",AJ88-AK88)</f>
        <v/>
      </c>
      <c r="AM88" s="85" t="str">
        <f aca="false">IF(A88="","",ROUNDDOWN(N(Z88)*設定!$B$13/1000,0))</f>
        <v/>
      </c>
      <c r="AN88" s="85" t="str">
        <f aca="false">IF(A88="","",ROUNDDOWN(N(Z88)*設定!$B$15/1000,0))</f>
        <v/>
      </c>
      <c r="AO88" s="85" t="str">
        <f aca="false">IF(A88="","",ROUNDDOWN(N(Z88)*設定!$B$10/1000,0))</f>
        <v/>
      </c>
      <c r="AP88" s="85" t="str">
        <f aca="false">IF(A88="","",ROUNDDOWN(N(Z88)*設定!$B$11/1000,0))</f>
        <v/>
      </c>
      <c r="AQ88" s="85" t="str">
        <f aca="false">IF(A88="","",IF(AA88="Y",ROUNDDOWN(N(Z88)*設定!$B$14/1000,0),0))</f>
        <v/>
      </c>
      <c r="AR88" s="85" t="str">
        <f aca="false">IF(A88="","",SUM(AM88:AQ88))</f>
        <v/>
      </c>
      <c r="AS88" s="85" t="str">
        <f aca="false">IF(A88="","",N(AB88)+N(AC88)+AR88+N(AD88))</f>
        <v/>
      </c>
      <c r="AT88" s="85" t="str">
        <f aca="false">IF(A88="","",AJ88-AS88)</f>
        <v/>
      </c>
      <c r="AU88" s="85" t="str">
        <f aca="false">IF(A88="","",AL88-AR88)</f>
        <v/>
      </c>
      <c r="AV88" s="85" t="str">
        <f aca="false">IF(A88="","",N(AE88)+N(AF88))</f>
        <v/>
      </c>
      <c r="AW88" s="85" t="str">
        <f aca="false">IF(A88="","",AT88-AV88)</f>
        <v/>
      </c>
      <c r="AX88" s="86" t="str">
        <f aca="false">IF(A88="","",IF(N(V88)&lt;=1,AI88,IF(AI88&gt;0,ROUNDDOWN(AI88/N(V88),0),IF($B$3="Y",ROUNDDOWN(N(Y88)/N(V88),0),0))))</f>
        <v/>
      </c>
      <c r="AY88" s="87" t="str">
        <f aca="false">IF(A88="","",AJ88-AI88+AX88)</f>
        <v/>
      </c>
      <c r="AZ88" s="88" t="str">
        <f aca="false">IF(A88="","",A88&amp;"|"&amp;TEXT(D88,"yyyymm"))</f>
        <v/>
      </c>
    </row>
    <row r="89" customFormat="false" ht="15" hidden="false" customHeight="false" outlineLevel="0" collapsed="false">
      <c r="A89" s="26"/>
      <c r="B89" s="82"/>
      <c r="C89" s="82"/>
      <c r="D89" s="65"/>
      <c r="E89" s="27"/>
      <c r="F89" s="27"/>
      <c r="G89" s="27"/>
      <c r="H89" s="27"/>
      <c r="I89" s="27"/>
      <c r="J89" s="27"/>
      <c r="K89" s="84"/>
      <c r="L89" s="27"/>
      <c r="M89" s="27"/>
      <c r="N89" s="27"/>
      <c r="O89" s="27"/>
      <c r="P89" s="27"/>
      <c r="Q89" s="27"/>
      <c r="R89" s="27"/>
      <c r="S89" s="27"/>
      <c r="T89" s="27"/>
      <c r="U89" s="27"/>
      <c r="V89" s="26"/>
      <c r="W89" s="27"/>
      <c r="X89" s="27"/>
      <c r="Y89" s="27"/>
      <c r="Z89" s="27"/>
      <c r="AA89" s="26"/>
      <c r="AB89" s="27"/>
      <c r="AC89" s="27"/>
      <c r="AD89" s="27"/>
      <c r="AE89" s="27"/>
      <c r="AF89" s="27"/>
      <c r="AG89" s="82"/>
      <c r="AH89" s="85" t="str">
        <f aca="false">IF(A89="","",ROUNDDOWN((N(E89)+N(F89)+N(I89)+N(J89))*IF(K89="",$B$2,K89),0))</f>
        <v/>
      </c>
      <c r="AI89" s="85" t="str">
        <f aca="false">IF(A89="","",N(W89)+N(X89))</f>
        <v/>
      </c>
      <c r="AJ89" s="85" t="str">
        <f aca="false">IF(A89="","",SUM(E89:U89)-N(K89)+AH89+AI89)</f>
        <v/>
      </c>
      <c r="AK89" s="85" t="str">
        <f aca="false">IF(A89="","",N(W89))</f>
        <v/>
      </c>
      <c r="AL89" s="85" t="str">
        <f aca="false">IF(A89="","",AJ89-AK89)</f>
        <v/>
      </c>
      <c r="AM89" s="85" t="str">
        <f aca="false">IF(A89="","",ROUNDDOWN(N(Z89)*設定!$B$13/1000,0))</f>
        <v/>
      </c>
      <c r="AN89" s="85" t="str">
        <f aca="false">IF(A89="","",ROUNDDOWN(N(Z89)*設定!$B$15/1000,0))</f>
        <v/>
      </c>
      <c r="AO89" s="85" t="str">
        <f aca="false">IF(A89="","",ROUNDDOWN(N(Z89)*設定!$B$10/1000,0))</f>
        <v/>
      </c>
      <c r="AP89" s="85" t="str">
        <f aca="false">IF(A89="","",ROUNDDOWN(N(Z89)*設定!$B$11/1000,0))</f>
        <v/>
      </c>
      <c r="AQ89" s="85" t="str">
        <f aca="false">IF(A89="","",IF(AA89="Y",ROUNDDOWN(N(Z89)*設定!$B$14/1000,0),0))</f>
        <v/>
      </c>
      <c r="AR89" s="85" t="str">
        <f aca="false">IF(A89="","",SUM(AM89:AQ89))</f>
        <v/>
      </c>
      <c r="AS89" s="85" t="str">
        <f aca="false">IF(A89="","",N(AB89)+N(AC89)+AR89+N(AD89))</f>
        <v/>
      </c>
      <c r="AT89" s="85" t="str">
        <f aca="false">IF(A89="","",AJ89-AS89)</f>
        <v/>
      </c>
      <c r="AU89" s="85" t="str">
        <f aca="false">IF(A89="","",AL89-AR89)</f>
        <v/>
      </c>
      <c r="AV89" s="85" t="str">
        <f aca="false">IF(A89="","",N(AE89)+N(AF89))</f>
        <v/>
      </c>
      <c r="AW89" s="85" t="str">
        <f aca="false">IF(A89="","",AT89-AV89)</f>
        <v/>
      </c>
      <c r="AX89" s="86" t="str">
        <f aca="false">IF(A89="","",IF(N(V89)&lt;=1,AI89,IF(AI89&gt;0,ROUNDDOWN(AI89/N(V89),0),IF($B$3="Y",ROUNDDOWN(N(Y89)/N(V89),0),0))))</f>
        <v/>
      </c>
      <c r="AY89" s="87" t="str">
        <f aca="false">IF(A89="","",AJ89-AI89+AX89)</f>
        <v/>
      </c>
      <c r="AZ89" s="88" t="str">
        <f aca="false">IF(A89="","",A89&amp;"|"&amp;TEXT(D89,"yyyymm"))</f>
        <v/>
      </c>
    </row>
    <row r="90" customFormat="false" ht="15" hidden="false" customHeight="false" outlineLevel="0" collapsed="false">
      <c r="A90" s="26"/>
      <c r="B90" s="82"/>
      <c r="C90" s="82"/>
      <c r="D90" s="65"/>
      <c r="E90" s="27"/>
      <c r="F90" s="27"/>
      <c r="G90" s="27"/>
      <c r="H90" s="27"/>
      <c r="I90" s="27"/>
      <c r="J90" s="27"/>
      <c r="K90" s="84"/>
      <c r="L90" s="27"/>
      <c r="M90" s="27"/>
      <c r="N90" s="27"/>
      <c r="O90" s="27"/>
      <c r="P90" s="27"/>
      <c r="Q90" s="27"/>
      <c r="R90" s="27"/>
      <c r="S90" s="27"/>
      <c r="T90" s="27"/>
      <c r="U90" s="27"/>
      <c r="V90" s="26"/>
      <c r="W90" s="27"/>
      <c r="X90" s="27"/>
      <c r="Y90" s="27"/>
      <c r="Z90" s="27"/>
      <c r="AA90" s="26"/>
      <c r="AB90" s="27"/>
      <c r="AC90" s="27"/>
      <c r="AD90" s="27"/>
      <c r="AE90" s="27"/>
      <c r="AF90" s="27"/>
      <c r="AG90" s="82"/>
      <c r="AH90" s="85" t="str">
        <f aca="false">IF(A90="","",ROUNDDOWN((N(E90)+N(F90)+N(I90)+N(J90))*IF(K90="",$B$2,K90),0))</f>
        <v/>
      </c>
      <c r="AI90" s="85" t="str">
        <f aca="false">IF(A90="","",N(W90)+N(X90))</f>
        <v/>
      </c>
      <c r="AJ90" s="85" t="str">
        <f aca="false">IF(A90="","",SUM(E90:U90)-N(K90)+AH90+AI90)</f>
        <v/>
      </c>
      <c r="AK90" s="85" t="str">
        <f aca="false">IF(A90="","",N(W90))</f>
        <v/>
      </c>
      <c r="AL90" s="85" t="str">
        <f aca="false">IF(A90="","",AJ90-AK90)</f>
        <v/>
      </c>
      <c r="AM90" s="85" t="str">
        <f aca="false">IF(A90="","",ROUNDDOWN(N(Z90)*設定!$B$13/1000,0))</f>
        <v/>
      </c>
      <c r="AN90" s="85" t="str">
        <f aca="false">IF(A90="","",ROUNDDOWN(N(Z90)*設定!$B$15/1000,0))</f>
        <v/>
      </c>
      <c r="AO90" s="85" t="str">
        <f aca="false">IF(A90="","",ROUNDDOWN(N(Z90)*設定!$B$10/1000,0))</f>
        <v/>
      </c>
      <c r="AP90" s="85" t="str">
        <f aca="false">IF(A90="","",ROUNDDOWN(N(Z90)*設定!$B$11/1000,0))</f>
        <v/>
      </c>
      <c r="AQ90" s="85" t="str">
        <f aca="false">IF(A90="","",IF(AA90="Y",ROUNDDOWN(N(Z90)*設定!$B$14/1000,0),0))</f>
        <v/>
      </c>
      <c r="AR90" s="85" t="str">
        <f aca="false">IF(A90="","",SUM(AM90:AQ90))</f>
        <v/>
      </c>
      <c r="AS90" s="85" t="str">
        <f aca="false">IF(A90="","",N(AB90)+N(AC90)+AR90+N(AD90))</f>
        <v/>
      </c>
      <c r="AT90" s="85" t="str">
        <f aca="false">IF(A90="","",AJ90-AS90)</f>
        <v/>
      </c>
      <c r="AU90" s="85" t="str">
        <f aca="false">IF(A90="","",AL90-AR90)</f>
        <v/>
      </c>
      <c r="AV90" s="85" t="str">
        <f aca="false">IF(A90="","",N(AE90)+N(AF90))</f>
        <v/>
      </c>
      <c r="AW90" s="85" t="str">
        <f aca="false">IF(A90="","",AT90-AV90)</f>
        <v/>
      </c>
      <c r="AX90" s="86" t="str">
        <f aca="false">IF(A90="","",IF(N(V90)&lt;=1,AI90,IF(AI90&gt;0,ROUNDDOWN(AI90/N(V90),0),IF($B$3="Y",ROUNDDOWN(N(Y90)/N(V90),0),0))))</f>
        <v/>
      </c>
      <c r="AY90" s="87" t="str">
        <f aca="false">IF(A90="","",AJ90-AI90+AX90)</f>
        <v/>
      </c>
      <c r="AZ90" s="88" t="str">
        <f aca="false">IF(A90="","",A90&amp;"|"&amp;TEXT(D90,"yyyymm"))</f>
        <v/>
      </c>
    </row>
    <row r="91" customFormat="false" ht="15" hidden="false" customHeight="false" outlineLevel="0" collapsed="false">
      <c r="A91" s="26"/>
      <c r="B91" s="82"/>
      <c r="C91" s="82"/>
      <c r="D91" s="65"/>
      <c r="E91" s="27"/>
      <c r="F91" s="27"/>
      <c r="G91" s="27"/>
      <c r="H91" s="27"/>
      <c r="I91" s="27"/>
      <c r="J91" s="27"/>
      <c r="K91" s="84"/>
      <c r="L91" s="27"/>
      <c r="M91" s="27"/>
      <c r="N91" s="27"/>
      <c r="O91" s="27"/>
      <c r="P91" s="27"/>
      <c r="Q91" s="27"/>
      <c r="R91" s="27"/>
      <c r="S91" s="27"/>
      <c r="T91" s="27"/>
      <c r="U91" s="27"/>
      <c r="V91" s="26"/>
      <c r="W91" s="27"/>
      <c r="X91" s="27"/>
      <c r="Y91" s="27"/>
      <c r="Z91" s="27"/>
      <c r="AA91" s="26"/>
      <c r="AB91" s="27"/>
      <c r="AC91" s="27"/>
      <c r="AD91" s="27"/>
      <c r="AE91" s="27"/>
      <c r="AF91" s="27"/>
      <c r="AG91" s="82"/>
      <c r="AH91" s="85" t="str">
        <f aca="false">IF(A91="","",ROUNDDOWN((N(E91)+N(F91)+N(I91)+N(J91))*IF(K91="",$B$2,K91),0))</f>
        <v/>
      </c>
      <c r="AI91" s="85" t="str">
        <f aca="false">IF(A91="","",N(W91)+N(X91))</f>
        <v/>
      </c>
      <c r="AJ91" s="85" t="str">
        <f aca="false">IF(A91="","",SUM(E91:U91)-N(K91)+AH91+AI91)</f>
        <v/>
      </c>
      <c r="AK91" s="85" t="str">
        <f aca="false">IF(A91="","",N(W91))</f>
        <v/>
      </c>
      <c r="AL91" s="85" t="str">
        <f aca="false">IF(A91="","",AJ91-AK91)</f>
        <v/>
      </c>
      <c r="AM91" s="85" t="str">
        <f aca="false">IF(A91="","",ROUNDDOWN(N(Z91)*設定!$B$13/1000,0))</f>
        <v/>
      </c>
      <c r="AN91" s="85" t="str">
        <f aca="false">IF(A91="","",ROUNDDOWN(N(Z91)*設定!$B$15/1000,0))</f>
        <v/>
      </c>
      <c r="AO91" s="85" t="str">
        <f aca="false">IF(A91="","",ROUNDDOWN(N(Z91)*設定!$B$10/1000,0))</f>
        <v/>
      </c>
      <c r="AP91" s="85" t="str">
        <f aca="false">IF(A91="","",ROUNDDOWN(N(Z91)*設定!$B$11/1000,0))</f>
        <v/>
      </c>
      <c r="AQ91" s="85" t="str">
        <f aca="false">IF(A91="","",IF(AA91="Y",ROUNDDOWN(N(Z91)*設定!$B$14/1000,0),0))</f>
        <v/>
      </c>
      <c r="AR91" s="85" t="str">
        <f aca="false">IF(A91="","",SUM(AM91:AQ91))</f>
        <v/>
      </c>
      <c r="AS91" s="85" t="str">
        <f aca="false">IF(A91="","",N(AB91)+N(AC91)+AR91+N(AD91))</f>
        <v/>
      </c>
      <c r="AT91" s="85" t="str">
        <f aca="false">IF(A91="","",AJ91-AS91)</f>
        <v/>
      </c>
      <c r="AU91" s="85" t="str">
        <f aca="false">IF(A91="","",AL91-AR91)</f>
        <v/>
      </c>
      <c r="AV91" s="85" t="str">
        <f aca="false">IF(A91="","",N(AE91)+N(AF91))</f>
        <v/>
      </c>
      <c r="AW91" s="85" t="str">
        <f aca="false">IF(A91="","",AT91-AV91)</f>
        <v/>
      </c>
      <c r="AX91" s="86" t="str">
        <f aca="false">IF(A91="","",IF(N(V91)&lt;=1,AI91,IF(AI91&gt;0,ROUNDDOWN(AI91/N(V91),0),IF($B$3="Y",ROUNDDOWN(N(Y91)/N(V91),0),0))))</f>
        <v/>
      </c>
      <c r="AY91" s="87" t="str">
        <f aca="false">IF(A91="","",AJ91-AI91+AX91)</f>
        <v/>
      </c>
      <c r="AZ91" s="88" t="str">
        <f aca="false">IF(A91="","",A91&amp;"|"&amp;TEXT(D91,"yyyymm"))</f>
        <v/>
      </c>
    </row>
    <row r="92" customFormat="false" ht="15" hidden="false" customHeight="false" outlineLevel="0" collapsed="false">
      <c r="A92" s="26"/>
      <c r="B92" s="82"/>
      <c r="C92" s="82"/>
      <c r="D92" s="65"/>
      <c r="E92" s="27"/>
      <c r="F92" s="27"/>
      <c r="G92" s="27"/>
      <c r="H92" s="27"/>
      <c r="I92" s="27"/>
      <c r="J92" s="27"/>
      <c r="K92" s="84"/>
      <c r="L92" s="27"/>
      <c r="M92" s="27"/>
      <c r="N92" s="27"/>
      <c r="O92" s="27"/>
      <c r="P92" s="27"/>
      <c r="Q92" s="27"/>
      <c r="R92" s="27"/>
      <c r="S92" s="27"/>
      <c r="T92" s="27"/>
      <c r="U92" s="27"/>
      <c r="V92" s="26"/>
      <c r="W92" s="27"/>
      <c r="X92" s="27"/>
      <c r="Y92" s="27"/>
      <c r="Z92" s="27"/>
      <c r="AA92" s="26"/>
      <c r="AB92" s="27"/>
      <c r="AC92" s="27"/>
      <c r="AD92" s="27"/>
      <c r="AE92" s="27"/>
      <c r="AF92" s="27"/>
      <c r="AG92" s="82"/>
      <c r="AH92" s="85" t="str">
        <f aca="false">IF(A92="","",ROUNDDOWN((N(E92)+N(F92)+N(I92)+N(J92))*IF(K92="",$B$2,K92),0))</f>
        <v/>
      </c>
      <c r="AI92" s="85" t="str">
        <f aca="false">IF(A92="","",N(W92)+N(X92))</f>
        <v/>
      </c>
      <c r="AJ92" s="85" t="str">
        <f aca="false">IF(A92="","",SUM(E92:U92)-N(K92)+AH92+AI92)</f>
        <v/>
      </c>
      <c r="AK92" s="85" t="str">
        <f aca="false">IF(A92="","",N(W92))</f>
        <v/>
      </c>
      <c r="AL92" s="85" t="str">
        <f aca="false">IF(A92="","",AJ92-AK92)</f>
        <v/>
      </c>
      <c r="AM92" s="85" t="str">
        <f aca="false">IF(A92="","",ROUNDDOWN(N(Z92)*設定!$B$13/1000,0))</f>
        <v/>
      </c>
      <c r="AN92" s="85" t="str">
        <f aca="false">IF(A92="","",ROUNDDOWN(N(Z92)*設定!$B$15/1000,0))</f>
        <v/>
      </c>
      <c r="AO92" s="85" t="str">
        <f aca="false">IF(A92="","",ROUNDDOWN(N(Z92)*設定!$B$10/1000,0))</f>
        <v/>
      </c>
      <c r="AP92" s="85" t="str">
        <f aca="false">IF(A92="","",ROUNDDOWN(N(Z92)*設定!$B$11/1000,0))</f>
        <v/>
      </c>
      <c r="AQ92" s="85" t="str">
        <f aca="false">IF(A92="","",IF(AA92="Y",ROUNDDOWN(N(Z92)*設定!$B$14/1000,0),0))</f>
        <v/>
      </c>
      <c r="AR92" s="85" t="str">
        <f aca="false">IF(A92="","",SUM(AM92:AQ92))</f>
        <v/>
      </c>
      <c r="AS92" s="85" t="str">
        <f aca="false">IF(A92="","",N(AB92)+N(AC92)+AR92+N(AD92))</f>
        <v/>
      </c>
      <c r="AT92" s="85" t="str">
        <f aca="false">IF(A92="","",AJ92-AS92)</f>
        <v/>
      </c>
      <c r="AU92" s="85" t="str">
        <f aca="false">IF(A92="","",AL92-AR92)</f>
        <v/>
      </c>
      <c r="AV92" s="85" t="str">
        <f aca="false">IF(A92="","",N(AE92)+N(AF92))</f>
        <v/>
      </c>
      <c r="AW92" s="85" t="str">
        <f aca="false">IF(A92="","",AT92-AV92)</f>
        <v/>
      </c>
      <c r="AX92" s="86" t="str">
        <f aca="false">IF(A92="","",IF(N(V92)&lt;=1,AI92,IF(AI92&gt;0,ROUNDDOWN(AI92/N(V92),0),IF($B$3="Y",ROUNDDOWN(N(Y92)/N(V92),0),0))))</f>
        <v/>
      </c>
      <c r="AY92" s="87" t="str">
        <f aca="false">IF(A92="","",AJ92-AI92+AX92)</f>
        <v/>
      </c>
      <c r="AZ92" s="88" t="str">
        <f aca="false">IF(A92="","",A92&amp;"|"&amp;TEXT(D92,"yyyymm"))</f>
        <v/>
      </c>
    </row>
    <row r="93" customFormat="false" ht="15" hidden="false" customHeight="false" outlineLevel="0" collapsed="false">
      <c r="A93" s="26"/>
      <c r="B93" s="82"/>
      <c r="C93" s="82"/>
      <c r="D93" s="65"/>
      <c r="E93" s="27"/>
      <c r="F93" s="27"/>
      <c r="G93" s="27"/>
      <c r="H93" s="27"/>
      <c r="I93" s="27"/>
      <c r="J93" s="27"/>
      <c r="K93" s="84"/>
      <c r="L93" s="27"/>
      <c r="M93" s="27"/>
      <c r="N93" s="27"/>
      <c r="O93" s="27"/>
      <c r="P93" s="27"/>
      <c r="Q93" s="27"/>
      <c r="R93" s="27"/>
      <c r="S93" s="27"/>
      <c r="T93" s="27"/>
      <c r="U93" s="27"/>
      <c r="V93" s="26"/>
      <c r="W93" s="27"/>
      <c r="X93" s="27"/>
      <c r="Y93" s="27"/>
      <c r="Z93" s="27"/>
      <c r="AA93" s="26"/>
      <c r="AB93" s="27"/>
      <c r="AC93" s="27"/>
      <c r="AD93" s="27"/>
      <c r="AE93" s="27"/>
      <c r="AF93" s="27"/>
      <c r="AG93" s="82"/>
      <c r="AH93" s="85" t="str">
        <f aca="false">IF(A93="","",ROUNDDOWN((N(E93)+N(F93)+N(I93)+N(J93))*IF(K93="",$B$2,K93),0))</f>
        <v/>
      </c>
      <c r="AI93" s="85" t="str">
        <f aca="false">IF(A93="","",N(W93)+N(X93))</f>
        <v/>
      </c>
      <c r="AJ93" s="85" t="str">
        <f aca="false">IF(A93="","",SUM(E93:U93)-N(K93)+AH93+AI93)</f>
        <v/>
      </c>
      <c r="AK93" s="85" t="str">
        <f aca="false">IF(A93="","",N(W93))</f>
        <v/>
      </c>
      <c r="AL93" s="85" t="str">
        <f aca="false">IF(A93="","",AJ93-AK93)</f>
        <v/>
      </c>
      <c r="AM93" s="85" t="str">
        <f aca="false">IF(A93="","",ROUNDDOWN(N(Z93)*設定!$B$13/1000,0))</f>
        <v/>
      </c>
      <c r="AN93" s="85" t="str">
        <f aca="false">IF(A93="","",ROUNDDOWN(N(Z93)*設定!$B$15/1000,0))</f>
        <v/>
      </c>
      <c r="AO93" s="85" t="str">
        <f aca="false">IF(A93="","",ROUNDDOWN(N(Z93)*設定!$B$10/1000,0))</f>
        <v/>
      </c>
      <c r="AP93" s="85" t="str">
        <f aca="false">IF(A93="","",ROUNDDOWN(N(Z93)*設定!$B$11/1000,0))</f>
        <v/>
      </c>
      <c r="AQ93" s="85" t="str">
        <f aca="false">IF(A93="","",IF(AA93="Y",ROUNDDOWN(N(Z93)*設定!$B$14/1000,0),0))</f>
        <v/>
      </c>
      <c r="AR93" s="85" t="str">
        <f aca="false">IF(A93="","",SUM(AM93:AQ93))</f>
        <v/>
      </c>
      <c r="AS93" s="85" t="str">
        <f aca="false">IF(A93="","",N(AB93)+N(AC93)+AR93+N(AD93))</f>
        <v/>
      </c>
      <c r="AT93" s="85" t="str">
        <f aca="false">IF(A93="","",AJ93-AS93)</f>
        <v/>
      </c>
      <c r="AU93" s="85" t="str">
        <f aca="false">IF(A93="","",AL93-AR93)</f>
        <v/>
      </c>
      <c r="AV93" s="85" t="str">
        <f aca="false">IF(A93="","",N(AE93)+N(AF93))</f>
        <v/>
      </c>
      <c r="AW93" s="85" t="str">
        <f aca="false">IF(A93="","",AT93-AV93)</f>
        <v/>
      </c>
      <c r="AX93" s="86" t="str">
        <f aca="false">IF(A93="","",IF(N(V93)&lt;=1,AI93,IF(AI93&gt;0,ROUNDDOWN(AI93/N(V93),0),IF($B$3="Y",ROUNDDOWN(N(Y93)/N(V93),0),0))))</f>
        <v/>
      </c>
      <c r="AY93" s="87" t="str">
        <f aca="false">IF(A93="","",AJ93-AI93+AX93)</f>
        <v/>
      </c>
      <c r="AZ93" s="88" t="str">
        <f aca="false">IF(A93="","",A93&amp;"|"&amp;TEXT(D93,"yyyymm"))</f>
        <v/>
      </c>
    </row>
    <row r="94" customFormat="false" ht="15" hidden="false" customHeight="false" outlineLevel="0" collapsed="false">
      <c r="A94" s="26"/>
      <c r="B94" s="82"/>
      <c r="C94" s="82"/>
      <c r="D94" s="65"/>
      <c r="E94" s="27"/>
      <c r="F94" s="27"/>
      <c r="G94" s="27"/>
      <c r="H94" s="27"/>
      <c r="I94" s="27"/>
      <c r="J94" s="27"/>
      <c r="K94" s="84"/>
      <c r="L94" s="27"/>
      <c r="M94" s="27"/>
      <c r="N94" s="27"/>
      <c r="O94" s="27"/>
      <c r="P94" s="27"/>
      <c r="Q94" s="27"/>
      <c r="R94" s="27"/>
      <c r="S94" s="27"/>
      <c r="T94" s="27"/>
      <c r="U94" s="27"/>
      <c r="V94" s="26"/>
      <c r="W94" s="27"/>
      <c r="X94" s="27"/>
      <c r="Y94" s="27"/>
      <c r="Z94" s="27"/>
      <c r="AA94" s="26"/>
      <c r="AB94" s="27"/>
      <c r="AC94" s="27"/>
      <c r="AD94" s="27"/>
      <c r="AE94" s="27"/>
      <c r="AF94" s="27"/>
      <c r="AG94" s="82"/>
      <c r="AH94" s="85" t="str">
        <f aca="false">IF(A94="","",ROUNDDOWN((N(E94)+N(F94)+N(I94)+N(J94))*IF(K94="",$B$2,K94),0))</f>
        <v/>
      </c>
      <c r="AI94" s="85" t="str">
        <f aca="false">IF(A94="","",N(W94)+N(X94))</f>
        <v/>
      </c>
      <c r="AJ94" s="85" t="str">
        <f aca="false">IF(A94="","",SUM(E94:U94)-N(K94)+AH94+AI94)</f>
        <v/>
      </c>
      <c r="AK94" s="85" t="str">
        <f aca="false">IF(A94="","",N(W94))</f>
        <v/>
      </c>
      <c r="AL94" s="85" t="str">
        <f aca="false">IF(A94="","",AJ94-AK94)</f>
        <v/>
      </c>
      <c r="AM94" s="85" t="str">
        <f aca="false">IF(A94="","",ROUNDDOWN(N(Z94)*設定!$B$13/1000,0))</f>
        <v/>
      </c>
      <c r="AN94" s="85" t="str">
        <f aca="false">IF(A94="","",ROUNDDOWN(N(Z94)*設定!$B$15/1000,0))</f>
        <v/>
      </c>
      <c r="AO94" s="85" t="str">
        <f aca="false">IF(A94="","",ROUNDDOWN(N(Z94)*設定!$B$10/1000,0))</f>
        <v/>
      </c>
      <c r="AP94" s="85" t="str">
        <f aca="false">IF(A94="","",ROUNDDOWN(N(Z94)*設定!$B$11/1000,0))</f>
        <v/>
      </c>
      <c r="AQ94" s="85" t="str">
        <f aca="false">IF(A94="","",IF(AA94="Y",ROUNDDOWN(N(Z94)*設定!$B$14/1000,0),0))</f>
        <v/>
      </c>
      <c r="AR94" s="85" t="str">
        <f aca="false">IF(A94="","",SUM(AM94:AQ94))</f>
        <v/>
      </c>
      <c r="AS94" s="85" t="str">
        <f aca="false">IF(A94="","",N(AB94)+N(AC94)+AR94+N(AD94))</f>
        <v/>
      </c>
      <c r="AT94" s="85" t="str">
        <f aca="false">IF(A94="","",AJ94-AS94)</f>
        <v/>
      </c>
      <c r="AU94" s="85" t="str">
        <f aca="false">IF(A94="","",AL94-AR94)</f>
        <v/>
      </c>
      <c r="AV94" s="85" t="str">
        <f aca="false">IF(A94="","",N(AE94)+N(AF94))</f>
        <v/>
      </c>
      <c r="AW94" s="85" t="str">
        <f aca="false">IF(A94="","",AT94-AV94)</f>
        <v/>
      </c>
      <c r="AX94" s="86" t="str">
        <f aca="false">IF(A94="","",IF(N(V94)&lt;=1,AI94,IF(AI94&gt;0,ROUNDDOWN(AI94/N(V94),0),IF($B$3="Y",ROUNDDOWN(N(Y94)/N(V94),0),0))))</f>
        <v/>
      </c>
      <c r="AY94" s="87" t="str">
        <f aca="false">IF(A94="","",AJ94-AI94+AX94)</f>
        <v/>
      </c>
      <c r="AZ94" s="88" t="str">
        <f aca="false">IF(A94="","",A94&amp;"|"&amp;TEXT(D94,"yyyymm"))</f>
        <v/>
      </c>
    </row>
    <row r="95" customFormat="false" ht="15" hidden="false" customHeight="false" outlineLevel="0" collapsed="false">
      <c r="A95" s="26"/>
      <c r="B95" s="82"/>
      <c r="C95" s="82"/>
      <c r="D95" s="65"/>
      <c r="E95" s="27"/>
      <c r="F95" s="27"/>
      <c r="G95" s="27"/>
      <c r="H95" s="27"/>
      <c r="I95" s="27"/>
      <c r="J95" s="27"/>
      <c r="K95" s="84"/>
      <c r="L95" s="27"/>
      <c r="M95" s="27"/>
      <c r="N95" s="27"/>
      <c r="O95" s="27"/>
      <c r="P95" s="27"/>
      <c r="Q95" s="27"/>
      <c r="R95" s="27"/>
      <c r="S95" s="27"/>
      <c r="T95" s="27"/>
      <c r="U95" s="27"/>
      <c r="V95" s="26"/>
      <c r="W95" s="27"/>
      <c r="X95" s="27"/>
      <c r="Y95" s="27"/>
      <c r="Z95" s="27"/>
      <c r="AA95" s="26"/>
      <c r="AB95" s="27"/>
      <c r="AC95" s="27"/>
      <c r="AD95" s="27"/>
      <c r="AE95" s="27"/>
      <c r="AF95" s="27"/>
      <c r="AG95" s="82"/>
      <c r="AH95" s="85" t="str">
        <f aca="false">IF(A95="","",ROUNDDOWN((N(E95)+N(F95)+N(I95)+N(J95))*IF(K95="",$B$2,K95),0))</f>
        <v/>
      </c>
      <c r="AI95" s="85" t="str">
        <f aca="false">IF(A95="","",N(W95)+N(X95))</f>
        <v/>
      </c>
      <c r="AJ95" s="85" t="str">
        <f aca="false">IF(A95="","",SUM(E95:U95)-N(K95)+AH95+AI95)</f>
        <v/>
      </c>
      <c r="AK95" s="85" t="str">
        <f aca="false">IF(A95="","",N(W95))</f>
        <v/>
      </c>
      <c r="AL95" s="85" t="str">
        <f aca="false">IF(A95="","",AJ95-AK95)</f>
        <v/>
      </c>
      <c r="AM95" s="85" t="str">
        <f aca="false">IF(A95="","",ROUNDDOWN(N(Z95)*設定!$B$13/1000,0))</f>
        <v/>
      </c>
      <c r="AN95" s="85" t="str">
        <f aca="false">IF(A95="","",ROUNDDOWN(N(Z95)*設定!$B$15/1000,0))</f>
        <v/>
      </c>
      <c r="AO95" s="85" t="str">
        <f aca="false">IF(A95="","",ROUNDDOWN(N(Z95)*設定!$B$10/1000,0))</f>
        <v/>
      </c>
      <c r="AP95" s="85" t="str">
        <f aca="false">IF(A95="","",ROUNDDOWN(N(Z95)*設定!$B$11/1000,0))</f>
        <v/>
      </c>
      <c r="AQ95" s="85" t="str">
        <f aca="false">IF(A95="","",IF(AA95="Y",ROUNDDOWN(N(Z95)*設定!$B$14/1000,0),0))</f>
        <v/>
      </c>
      <c r="AR95" s="85" t="str">
        <f aca="false">IF(A95="","",SUM(AM95:AQ95))</f>
        <v/>
      </c>
      <c r="AS95" s="85" t="str">
        <f aca="false">IF(A95="","",N(AB95)+N(AC95)+AR95+N(AD95))</f>
        <v/>
      </c>
      <c r="AT95" s="85" t="str">
        <f aca="false">IF(A95="","",AJ95-AS95)</f>
        <v/>
      </c>
      <c r="AU95" s="85" t="str">
        <f aca="false">IF(A95="","",AL95-AR95)</f>
        <v/>
      </c>
      <c r="AV95" s="85" t="str">
        <f aca="false">IF(A95="","",N(AE95)+N(AF95))</f>
        <v/>
      </c>
      <c r="AW95" s="85" t="str">
        <f aca="false">IF(A95="","",AT95-AV95)</f>
        <v/>
      </c>
      <c r="AX95" s="86" t="str">
        <f aca="false">IF(A95="","",IF(N(V95)&lt;=1,AI95,IF(AI95&gt;0,ROUNDDOWN(AI95/N(V95),0),IF($B$3="Y",ROUNDDOWN(N(Y95)/N(V95),0),0))))</f>
        <v/>
      </c>
      <c r="AY95" s="87" t="str">
        <f aca="false">IF(A95="","",AJ95-AI95+AX95)</f>
        <v/>
      </c>
      <c r="AZ95" s="88" t="str">
        <f aca="false">IF(A95="","",A95&amp;"|"&amp;TEXT(D95,"yyyymm"))</f>
        <v/>
      </c>
    </row>
    <row r="96" customFormat="false" ht="15" hidden="false" customHeight="false" outlineLevel="0" collapsed="false">
      <c r="A96" s="26"/>
      <c r="B96" s="82"/>
      <c r="C96" s="82"/>
      <c r="D96" s="65"/>
      <c r="E96" s="27"/>
      <c r="F96" s="27"/>
      <c r="G96" s="27"/>
      <c r="H96" s="27"/>
      <c r="I96" s="27"/>
      <c r="J96" s="27"/>
      <c r="K96" s="84"/>
      <c r="L96" s="27"/>
      <c r="M96" s="27"/>
      <c r="N96" s="27"/>
      <c r="O96" s="27"/>
      <c r="P96" s="27"/>
      <c r="Q96" s="27"/>
      <c r="R96" s="27"/>
      <c r="S96" s="27"/>
      <c r="T96" s="27"/>
      <c r="U96" s="27"/>
      <c r="V96" s="26"/>
      <c r="W96" s="27"/>
      <c r="X96" s="27"/>
      <c r="Y96" s="27"/>
      <c r="Z96" s="27"/>
      <c r="AA96" s="26"/>
      <c r="AB96" s="27"/>
      <c r="AC96" s="27"/>
      <c r="AD96" s="27"/>
      <c r="AE96" s="27"/>
      <c r="AF96" s="27"/>
      <c r="AG96" s="82"/>
      <c r="AH96" s="85" t="str">
        <f aca="false">IF(A96="","",ROUNDDOWN((N(E96)+N(F96)+N(I96)+N(J96))*IF(K96="",$B$2,K96),0))</f>
        <v/>
      </c>
      <c r="AI96" s="85" t="str">
        <f aca="false">IF(A96="","",N(W96)+N(X96))</f>
        <v/>
      </c>
      <c r="AJ96" s="85" t="str">
        <f aca="false">IF(A96="","",SUM(E96:U96)-N(K96)+AH96+AI96)</f>
        <v/>
      </c>
      <c r="AK96" s="85" t="str">
        <f aca="false">IF(A96="","",N(W96))</f>
        <v/>
      </c>
      <c r="AL96" s="85" t="str">
        <f aca="false">IF(A96="","",AJ96-AK96)</f>
        <v/>
      </c>
      <c r="AM96" s="85" t="str">
        <f aca="false">IF(A96="","",ROUNDDOWN(N(Z96)*設定!$B$13/1000,0))</f>
        <v/>
      </c>
      <c r="AN96" s="85" t="str">
        <f aca="false">IF(A96="","",ROUNDDOWN(N(Z96)*設定!$B$15/1000,0))</f>
        <v/>
      </c>
      <c r="AO96" s="85" t="str">
        <f aca="false">IF(A96="","",ROUNDDOWN(N(Z96)*設定!$B$10/1000,0))</f>
        <v/>
      </c>
      <c r="AP96" s="85" t="str">
        <f aca="false">IF(A96="","",ROUNDDOWN(N(Z96)*設定!$B$11/1000,0))</f>
        <v/>
      </c>
      <c r="AQ96" s="85" t="str">
        <f aca="false">IF(A96="","",IF(AA96="Y",ROUNDDOWN(N(Z96)*設定!$B$14/1000,0),0))</f>
        <v/>
      </c>
      <c r="AR96" s="85" t="str">
        <f aca="false">IF(A96="","",SUM(AM96:AQ96))</f>
        <v/>
      </c>
      <c r="AS96" s="85" t="str">
        <f aca="false">IF(A96="","",N(AB96)+N(AC96)+AR96+N(AD96))</f>
        <v/>
      </c>
      <c r="AT96" s="85" t="str">
        <f aca="false">IF(A96="","",AJ96-AS96)</f>
        <v/>
      </c>
      <c r="AU96" s="85" t="str">
        <f aca="false">IF(A96="","",AL96-AR96)</f>
        <v/>
      </c>
      <c r="AV96" s="85" t="str">
        <f aca="false">IF(A96="","",N(AE96)+N(AF96))</f>
        <v/>
      </c>
      <c r="AW96" s="85" t="str">
        <f aca="false">IF(A96="","",AT96-AV96)</f>
        <v/>
      </c>
      <c r="AX96" s="86" t="str">
        <f aca="false">IF(A96="","",IF(N(V96)&lt;=1,AI96,IF(AI96&gt;0,ROUNDDOWN(AI96/N(V96),0),IF($B$3="Y",ROUNDDOWN(N(Y96)/N(V96),0),0))))</f>
        <v/>
      </c>
      <c r="AY96" s="87" t="str">
        <f aca="false">IF(A96="","",AJ96-AI96+AX96)</f>
        <v/>
      </c>
      <c r="AZ96" s="88" t="str">
        <f aca="false">IF(A96="","",A96&amp;"|"&amp;TEXT(D96,"yyyymm"))</f>
        <v/>
      </c>
    </row>
    <row r="97" customFormat="false" ht="15" hidden="false" customHeight="false" outlineLevel="0" collapsed="false">
      <c r="A97" s="26"/>
      <c r="B97" s="82"/>
      <c r="C97" s="82"/>
      <c r="D97" s="65"/>
      <c r="E97" s="27"/>
      <c r="F97" s="27"/>
      <c r="G97" s="27"/>
      <c r="H97" s="27"/>
      <c r="I97" s="27"/>
      <c r="J97" s="27"/>
      <c r="K97" s="84"/>
      <c r="L97" s="27"/>
      <c r="M97" s="27"/>
      <c r="N97" s="27"/>
      <c r="O97" s="27"/>
      <c r="P97" s="27"/>
      <c r="Q97" s="27"/>
      <c r="R97" s="27"/>
      <c r="S97" s="27"/>
      <c r="T97" s="27"/>
      <c r="U97" s="27"/>
      <c r="V97" s="26"/>
      <c r="W97" s="27"/>
      <c r="X97" s="27"/>
      <c r="Y97" s="27"/>
      <c r="Z97" s="27"/>
      <c r="AA97" s="26"/>
      <c r="AB97" s="27"/>
      <c r="AC97" s="27"/>
      <c r="AD97" s="27"/>
      <c r="AE97" s="27"/>
      <c r="AF97" s="27"/>
      <c r="AG97" s="82"/>
      <c r="AH97" s="85" t="str">
        <f aca="false">IF(A97="","",ROUNDDOWN((N(E97)+N(F97)+N(I97)+N(J97))*IF(K97="",$B$2,K97),0))</f>
        <v/>
      </c>
      <c r="AI97" s="85" t="str">
        <f aca="false">IF(A97="","",N(W97)+N(X97))</f>
        <v/>
      </c>
      <c r="AJ97" s="85" t="str">
        <f aca="false">IF(A97="","",SUM(E97:U97)-N(K97)+AH97+AI97)</f>
        <v/>
      </c>
      <c r="AK97" s="85" t="str">
        <f aca="false">IF(A97="","",N(W97))</f>
        <v/>
      </c>
      <c r="AL97" s="85" t="str">
        <f aca="false">IF(A97="","",AJ97-AK97)</f>
        <v/>
      </c>
      <c r="AM97" s="85" t="str">
        <f aca="false">IF(A97="","",ROUNDDOWN(N(Z97)*設定!$B$13/1000,0))</f>
        <v/>
      </c>
      <c r="AN97" s="85" t="str">
        <f aca="false">IF(A97="","",ROUNDDOWN(N(Z97)*設定!$B$15/1000,0))</f>
        <v/>
      </c>
      <c r="AO97" s="85" t="str">
        <f aca="false">IF(A97="","",ROUNDDOWN(N(Z97)*設定!$B$10/1000,0))</f>
        <v/>
      </c>
      <c r="AP97" s="85" t="str">
        <f aca="false">IF(A97="","",ROUNDDOWN(N(Z97)*設定!$B$11/1000,0))</f>
        <v/>
      </c>
      <c r="AQ97" s="85" t="str">
        <f aca="false">IF(A97="","",IF(AA97="Y",ROUNDDOWN(N(Z97)*設定!$B$14/1000,0),0))</f>
        <v/>
      </c>
      <c r="AR97" s="85" t="str">
        <f aca="false">IF(A97="","",SUM(AM97:AQ97))</f>
        <v/>
      </c>
      <c r="AS97" s="85" t="str">
        <f aca="false">IF(A97="","",N(AB97)+N(AC97)+AR97+N(AD97))</f>
        <v/>
      </c>
      <c r="AT97" s="85" t="str">
        <f aca="false">IF(A97="","",AJ97-AS97)</f>
        <v/>
      </c>
      <c r="AU97" s="85" t="str">
        <f aca="false">IF(A97="","",AL97-AR97)</f>
        <v/>
      </c>
      <c r="AV97" s="85" t="str">
        <f aca="false">IF(A97="","",N(AE97)+N(AF97))</f>
        <v/>
      </c>
      <c r="AW97" s="85" t="str">
        <f aca="false">IF(A97="","",AT97-AV97)</f>
        <v/>
      </c>
      <c r="AX97" s="86" t="str">
        <f aca="false">IF(A97="","",IF(N(V97)&lt;=1,AI97,IF(AI97&gt;0,ROUNDDOWN(AI97/N(V97),0),IF($B$3="Y",ROUNDDOWN(N(Y97)/N(V97),0),0))))</f>
        <v/>
      </c>
      <c r="AY97" s="87" t="str">
        <f aca="false">IF(A97="","",AJ97-AI97+AX97)</f>
        <v/>
      </c>
      <c r="AZ97" s="88" t="str">
        <f aca="false">IF(A97="","",A97&amp;"|"&amp;TEXT(D97,"yyyymm"))</f>
        <v/>
      </c>
    </row>
    <row r="98" customFormat="false" ht="15" hidden="false" customHeight="false" outlineLevel="0" collapsed="false">
      <c r="A98" s="26"/>
      <c r="B98" s="82"/>
      <c r="C98" s="82"/>
      <c r="D98" s="65"/>
      <c r="E98" s="27"/>
      <c r="F98" s="27"/>
      <c r="G98" s="27"/>
      <c r="H98" s="27"/>
      <c r="I98" s="27"/>
      <c r="J98" s="27"/>
      <c r="K98" s="84"/>
      <c r="L98" s="27"/>
      <c r="M98" s="27"/>
      <c r="N98" s="27"/>
      <c r="O98" s="27"/>
      <c r="P98" s="27"/>
      <c r="Q98" s="27"/>
      <c r="R98" s="27"/>
      <c r="S98" s="27"/>
      <c r="T98" s="27"/>
      <c r="U98" s="27"/>
      <c r="V98" s="26"/>
      <c r="W98" s="27"/>
      <c r="X98" s="27"/>
      <c r="Y98" s="27"/>
      <c r="Z98" s="27"/>
      <c r="AA98" s="26"/>
      <c r="AB98" s="27"/>
      <c r="AC98" s="27"/>
      <c r="AD98" s="27"/>
      <c r="AE98" s="27"/>
      <c r="AF98" s="27"/>
      <c r="AG98" s="82"/>
      <c r="AH98" s="85" t="str">
        <f aca="false">IF(A98="","",ROUNDDOWN((N(E98)+N(F98)+N(I98)+N(J98))*IF(K98="",$B$2,K98),0))</f>
        <v/>
      </c>
      <c r="AI98" s="85" t="str">
        <f aca="false">IF(A98="","",N(W98)+N(X98))</f>
        <v/>
      </c>
      <c r="AJ98" s="85" t="str">
        <f aca="false">IF(A98="","",SUM(E98:U98)-N(K98)+AH98+AI98)</f>
        <v/>
      </c>
      <c r="AK98" s="85" t="str">
        <f aca="false">IF(A98="","",N(W98))</f>
        <v/>
      </c>
      <c r="AL98" s="85" t="str">
        <f aca="false">IF(A98="","",AJ98-AK98)</f>
        <v/>
      </c>
      <c r="AM98" s="85" t="str">
        <f aca="false">IF(A98="","",ROUNDDOWN(N(Z98)*設定!$B$13/1000,0))</f>
        <v/>
      </c>
      <c r="AN98" s="85" t="str">
        <f aca="false">IF(A98="","",ROUNDDOWN(N(Z98)*設定!$B$15/1000,0))</f>
        <v/>
      </c>
      <c r="AO98" s="85" t="str">
        <f aca="false">IF(A98="","",ROUNDDOWN(N(Z98)*設定!$B$10/1000,0))</f>
        <v/>
      </c>
      <c r="AP98" s="85" t="str">
        <f aca="false">IF(A98="","",ROUNDDOWN(N(Z98)*設定!$B$11/1000,0))</f>
        <v/>
      </c>
      <c r="AQ98" s="85" t="str">
        <f aca="false">IF(A98="","",IF(AA98="Y",ROUNDDOWN(N(Z98)*設定!$B$14/1000,0),0))</f>
        <v/>
      </c>
      <c r="AR98" s="85" t="str">
        <f aca="false">IF(A98="","",SUM(AM98:AQ98))</f>
        <v/>
      </c>
      <c r="AS98" s="85" t="str">
        <f aca="false">IF(A98="","",N(AB98)+N(AC98)+AR98+N(AD98))</f>
        <v/>
      </c>
      <c r="AT98" s="85" t="str">
        <f aca="false">IF(A98="","",AJ98-AS98)</f>
        <v/>
      </c>
      <c r="AU98" s="85" t="str">
        <f aca="false">IF(A98="","",AL98-AR98)</f>
        <v/>
      </c>
      <c r="AV98" s="85" t="str">
        <f aca="false">IF(A98="","",N(AE98)+N(AF98))</f>
        <v/>
      </c>
      <c r="AW98" s="85" t="str">
        <f aca="false">IF(A98="","",AT98-AV98)</f>
        <v/>
      </c>
      <c r="AX98" s="86" t="str">
        <f aca="false">IF(A98="","",IF(N(V98)&lt;=1,AI98,IF(AI98&gt;0,ROUNDDOWN(AI98/N(V98),0),IF($B$3="Y",ROUNDDOWN(N(Y98)/N(V98),0),0))))</f>
        <v/>
      </c>
      <c r="AY98" s="87" t="str">
        <f aca="false">IF(A98="","",AJ98-AI98+AX98)</f>
        <v/>
      </c>
      <c r="AZ98" s="88" t="str">
        <f aca="false">IF(A98="","",A98&amp;"|"&amp;TEXT(D98,"yyyymm"))</f>
        <v/>
      </c>
    </row>
    <row r="99" customFormat="false" ht="15" hidden="false" customHeight="false" outlineLevel="0" collapsed="false">
      <c r="A99" s="26"/>
      <c r="B99" s="82"/>
      <c r="C99" s="82"/>
      <c r="D99" s="65"/>
      <c r="E99" s="27"/>
      <c r="F99" s="27"/>
      <c r="G99" s="27"/>
      <c r="H99" s="27"/>
      <c r="I99" s="27"/>
      <c r="J99" s="27"/>
      <c r="K99" s="84"/>
      <c r="L99" s="27"/>
      <c r="M99" s="27"/>
      <c r="N99" s="27"/>
      <c r="O99" s="27"/>
      <c r="P99" s="27"/>
      <c r="Q99" s="27"/>
      <c r="R99" s="27"/>
      <c r="S99" s="27"/>
      <c r="T99" s="27"/>
      <c r="U99" s="27"/>
      <c r="V99" s="26"/>
      <c r="W99" s="27"/>
      <c r="X99" s="27"/>
      <c r="Y99" s="27"/>
      <c r="Z99" s="27"/>
      <c r="AA99" s="26"/>
      <c r="AB99" s="27"/>
      <c r="AC99" s="27"/>
      <c r="AD99" s="27"/>
      <c r="AE99" s="27"/>
      <c r="AF99" s="27"/>
      <c r="AG99" s="82"/>
      <c r="AH99" s="85" t="str">
        <f aca="false">IF(A99="","",ROUNDDOWN((N(E99)+N(F99)+N(I99)+N(J99))*IF(K99="",$B$2,K99),0))</f>
        <v/>
      </c>
      <c r="AI99" s="85" t="str">
        <f aca="false">IF(A99="","",N(W99)+N(X99))</f>
        <v/>
      </c>
      <c r="AJ99" s="85" t="str">
        <f aca="false">IF(A99="","",SUM(E99:U99)-N(K99)+AH99+AI99)</f>
        <v/>
      </c>
      <c r="AK99" s="85" t="str">
        <f aca="false">IF(A99="","",N(W99))</f>
        <v/>
      </c>
      <c r="AL99" s="85" t="str">
        <f aca="false">IF(A99="","",AJ99-AK99)</f>
        <v/>
      </c>
      <c r="AM99" s="85" t="str">
        <f aca="false">IF(A99="","",ROUNDDOWN(N(Z99)*設定!$B$13/1000,0))</f>
        <v/>
      </c>
      <c r="AN99" s="85" t="str">
        <f aca="false">IF(A99="","",ROUNDDOWN(N(Z99)*設定!$B$15/1000,0))</f>
        <v/>
      </c>
      <c r="AO99" s="85" t="str">
        <f aca="false">IF(A99="","",ROUNDDOWN(N(Z99)*設定!$B$10/1000,0))</f>
        <v/>
      </c>
      <c r="AP99" s="85" t="str">
        <f aca="false">IF(A99="","",ROUNDDOWN(N(Z99)*設定!$B$11/1000,0))</f>
        <v/>
      </c>
      <c r="AQ99" s="85" t="str">
        <f aca="false">IF(A99="","",IF(AA99="Y",ROUNDDOWN(N(Z99)*設定!$B$14/1000,0),0))</f>
        <v/>
      </c>
      <c r="AR99" s="85" t="str">
        <f aca="false">IF(A99="","",SUM(AM99:AQ99))</f>
        <v/>
      </c>
      <c r="AS99" s="85" t="str">
        <f aca="false">IF(A99="","",N(AB99)+N(AC99)+AR99+N(AD99))</f>
        <v/>
      </c>
      <c r="AT99" s="85" t="str">
        <f aca="false">IF(A99="","",AJ99-AS99)</f>
        <v/>
      </c>
      <c r="AU99" s="85" t="str">
        <f aca="false">IF(A99="","",AL99-AR99)</f>
        <v/>
      </c>
      <c r="AV99" s="85" t="str">
        <f aca="false">IF(A99="","",N(AE99)+N(AF99))</f>
        <v/>
      </c>
      <c r="AW99" s="85" t="str">
        <f aca="false">IF(A99="","",AT99-AV99)</f>
        <v/>
      </c>
      <c r="AX99" s="86" t="str">
        <f aca="false">IF(A99="","",IF(N(V99)&lt;=1,AI99,IF(AI99&gt;0,ROUNDDOWN(AI99/N(V99),0),IF($B$3="Y",ROUNDDOWN(N(Y99)/N(V99),0),0))))</f>
        <v/>
      </c>
      <c r="AY99" s="87" t="str">
        <f aca="false">IF(A99="","",AJ99-AI99+AX99)</f>
        <v/>
      </c>
      <c r="AZ99" s="88" t="str">
        <f aca="false">IF(A99="","",A99&amp;"|"&amp;TEXT(D99,"yyyymm"))</f>
        <v/>
      </c>
    </row>
    <row r="100" customFormat="false" ht="15" hidden="false" customHeight="false" outlineLevel="0" collapsed="false">
      <c r="A100" s="26"/>
      <c r="B100" s="82"/>
      <c r="C100" s="82"/>
      <c r="D100" s="65"/>
      <c r="E100" s="27"/>
      <c r="F100" s="27"/>
      <c r="G100" s="27"/>
      <c r="H100" s="27"/>
      <c r="I100" s="27"/>
      <c r="J100" s="27"/>
      <c r="K100" s="84"/>
      <c r="L100" s="27"/>
      <c r="M100" s="27"/>
      <c r="N100" s="27"/>
      <c r="O100" s="27"/>
      <c r="P100" s="27"/>
      <c r="Q100" s="27"/>
      <c r="R100" s="27"/>
      <c r="S100" s="27"/>
      <c r="T100" s="27"/>
      <c r="U100" s="27"/>
      <c r="V100" s="26"/>
      <c r="W100" s="27"/>
      <c r="X100" s="27"/>
      <c r="Y100" s="27"/>
      <c r="Z100" s="27"/>
      <c r="AA100" s="26"/>
      <c r="AB100" s="27"/>
      <c r="AC100" s="27"/>
      <c r="AD100" s="27"/>
      <c r="AE100" s="27"/>
      <c r="AF100" s="27"/>
      <c r="AG100" s="82"/>
      <c r="AH100" s="85" t="str">
        <f aca="false">IF(A100="","",ROUNDDOWN((N(E100)+N(F100)+N(I100)+N(J100))*IF(K100="",$B$2,K100),0))</f>
        <v/>
      </c>
      <c r="AI100" s="85" t="str">
        <f aca="false">IF(A100="","",N(W100)+N(X100))</f>
        <v/>
      </c>
      <c r="AJ100" s="85" t="str">
        <f aca="false">IF(A100="","",SUM(E100:U100)-N(K100)+AH100+AI100)</f>
        <v/>
      </c>
      <c r="AK100" s="85" t="str">
        <f aca="false">IF(A100="","",N(W100))</f>
        <v/>
      </c>
      <c r="AL100" s="85" t="str">
        <f aca="false">IF(A100="","",AJ100-AK100)</f>
        <v/>
      </c>
      <c r="AM100" s="85" t="str">
        <f aca="false">IF(A100="","",ROUNDDOWN(N(Z100)*設定!$B$13/1000,0))</f>
        <v/>
      </c>
      <c r="AN100" s="85" t="str">
        <f aca="false">IF(A100="","",ROUNDDOWN(N(Z100)*設定!$B$15/1000,0))</f>
        <v/>
      </c>
      <c r="AO100" s="85" t="str">
        <f aca="false">IF(A100="","",ROUNDDOWN(N(Z100)*設定!$B$10/1000,0))</f>
        <v/>
      </c>
      <c r="AP100" s="85" t="str">
        <f aca="false">IF(A100="","",ROUNDDOWN(N(Z100)*設定!$B$11/1000,0))</f>
        <v/>
      </c>
      <c r="AQ100" s="85" t="str">
        <f aca="false">IF(A100="","",IF(AA100="Y",ROUNDDOWN(N(Z100)*設定!$B$14/1000,0),0))</f>
        <v/>
      </c>
      <c r="AR100" s="85" t="str">
        <f aca="false">IF(A100="","",SUM(AM100:AQ100))</f>
        <v/>
      </c>
      <c r="AS100" s="85" t="str">
        <f aca="false">IF(A100="","",N(AB100)+N(AC100)+AR100+N(AD100))</f>
        <v/>
      </c>
      <c r="AT100" s="85" t="str">
        <f aca="false">IF(A100="","",AJ100-AS100)</f>
        <v/>
      </c>
      <c r="AU100" s="85" t="str">
        <f aca="false">IF(A100="","",AL100-AR100)</f>
        <v/>
      </c>
      <c r="AV100" s="85" t="str">
        <f aca="false">IF(A100="","",N(AE100)+N(AF100))</f>
        <v/>
      </c>
      <c r="AW100" s="85" t="str">
        <f aca="false">IF(A100="","",AT100-AV100)</f>
        <v/>
      </c>
      <c r="AX100" s="86" t="str">
        <f aca="false">IF(A100="","",IF(N(V100)&lt;=1,AI100,IF(AI100&gt;0,ROUNDDOWN(AI100/N(V100),0),IF($B$3="Y",ROUNDDOWN(N(Y100)/N(V100),0),0))))</f>
        <v/>
      </c>
      <c r="AY100" s="87" t="str">
        <f aca="false">IF(A100="","",AJ100-AI100+AX100)</f>
        <v/>
      </c>
      <c r="AZ100" s="88" t="str">
        <f aca="false">IF(A100="","",A100&amp;"|"&amp;TEXT(D100,"yyyymm"))</f>
        <v/>
      </c>
    </row>
    <row r="101" customFormat="false" ht="15" hidden="false" customHeight="false" outlineLevel="0" collapsed="false">
      <c r="A101" s="26"/>
      <c r="B101" s="82"/>
      <c r="C101" s="82"/>
      <c r="D101" s="65"/>
      <c r="E101" s="27"/>
      <c r="F101" s="27"/>
      <c r="G101" s="27"/>
      <c r="H101" s="27"/>
      <c r="I101" s="27"/>
      <c r="J101" s="27"/>
      <c r="K101" s="84"/>
      <c r="L101" s="27"/>
      <c r="M101" s="27"/>
      <c r="N101" s="27"/>
      <c r="O101" s="27"/>
      <c r="P101" s="27"/>
      <c r="Q101" s="27"/>
      <c r="R101" s="27"/>
      <c r="S101" s="27"/>
      <c r="T101" s="27"/>
      <c r="U101" s="27"/>
      <c r="V101" s="26"/>
      <c r="W101" s="27"/>
      <c r="X101" s="27"/>
      <c r="Y101" s="27"/>
      <c r="Z101" s="27"/>
      <c r="AA101" s="26"/>
      <c r="AB101" s="27"/>
      <c r="AC101" s="27"/>
      <c r="AD101" s="27"/>
      <c r="AE101" s="27"/>
      <c r="AF101" s="27"/>
      <c r="AG101" s="82"/>
      <c r="AH101" s="85" t="str">
        <f aca="false">IF(A101="","",ROUNDDOWN((N(E101)+N(F101)+N(I101)+N(J101))*IF(K101="",$B$2,K101),0))</f>
        <v/>
      </c>
      <c r="AI101" s="85" t="str">
        <f aca="false">IF(A101="","",N(W101)+N(X101))</f>
        <v/>
      </c>
      <c r="AJ101" s="85" t="str">
        <f aca="false">IF(A101="","",SUM(E101:U101)-N(K101)+AH101+AI101)</f>
        <v/>
      </c>
      <c r="AK101" s="85" t="str">
        <f aca="false">IF(A101="","",N(W101))</f>
        <v/>
      </c>
      <c r="AL101" s="85" t="str">
        <f aca="false">IF(A101="","",AJ101-AK101)</f>
        <v/>
      </c>
      <c r="AM101" s="85" t="str">
        <f aca="false">IF(A101="","",ROUNDDOWN(N(Z101)*設定!$B$13/1000,0))</f>
        <v/>
      </c>
      <c r="AN101" s="85" t="str">
        <f aca="false">IF(A101="","",ROUNDDOWN(N(Z101)*設定!$B$15/1000,0))</f>
        <v/>
      </c>
      <c r="AO101" s="85" t="str">
        <f aca="false">IF(A101="","",ROUNDDOWN(N(Z101)*設定!$B$10/1000,0))</f>
        <v/>
      </c>
      <c r="AP101" s="85" t="str">
        <f aca="false">IF(A101="","",ROUNDDOWN(N(Z101)*設定!$B$11/1000,0))</f>
        <v/>
      </c>
      <c r="AQ101" s="85" t="str">
        <f aca="false">IF(A101="","",IF(AA101="Y",ROUNDDOWN(N(Z101)*設定!$B$14/1000,0),0))</f>
        <v/>
      </c>
      <c r="AR101" s="85" t="str">
        <f aca="false">IF(A101="","",SUM(AM101:AQ101))</f>
        <v/>
      </c>
      <c r="AS101" s="85" t="str">
        <f aca="false">IF(A101="","",N(AB101)+N(AC101)+AR101+N(AD101))</f>
        <v/>
      </c>
      <c r="AT101" s="85" t="str">
        <f aca="false">IF(A101="","",AJ101-AS101)</f>
        <v/>
      </c>
      <c r="AU101" s="85" t="str">
        <f aca="false">IF(A101="","",AL101-AR101)</f>
        <v/>
      </c>
      <c r="AV101" s="85" t="str">
        <f aca="false">IF(A101="","",N(AE101)+N(AF101))</f>
        <v/>
      </c>
      <c r="AW101" s="85" t="str">
        <f aca="false">IF(A101="","",AT101-AV101)</f>
        <v/>
      </c>
      <c r="AX101" s="86" t="str">
        <f aca="false">IF(A101="","",IF(N(V101)&lt;=1,AI101,IF(AI101&gt;0,ROUNDDOWN(AI101/N(V101),0),IF($B$3="Y",ROUNDDOWN(N(Y101)/N(V101),0),0))))</f>
        <v/>
      </c>
      <c r="AY101" s="87" t="str">
        <f aca="false">IF(A101="","",AJ101-AI101+AX101)</f>
        <v/>
      </c>
      <c r="AZ101" s="88" t="str">
        <f aca="false">IF(A101="","",A101&amp;"|"&amp;TEXT(D101,"yyyymm"))</f>
        <v/>
      </c>
    </row>
    <row r="102" customFormat="false" ht="15" hidden="false" customHeight="false" outlineLevel="0" collapsed="false">
      <c r="A102" s="26"/>
      <c r="B102" s="82"/>
      <c r="C102" s="82"/>
      <c r="D102" s="65"/>
      <c r="E102" s="27"/>
      <c r="F102" s="27"/>
      <c r="G102" s="27"/>
      <c r="H102" s="27"/>
      <c r="I102" s="27"/>
      <c r="J102" s="27"/>
      <c r="K102" s="84"/>
      <c r="L102" s="27"/>
      <c r="M102" s="27"/>
      <c r="N102" s="27"/>
      <c r="O102" s="27"/>
      <c r="P102" s="27"/>
      <c r="Q102" s="27"/>
      <c r="R102" s="27"/>
      <c r="S102" s="27"/>
      <c r="T102" s="27"/>
      <c r="U102" s="27"/>
      <c r="V102" s="26"/>
      <c r="W102" s="27"/>
      <c r="X102" s="27"/>
      <c r="Y102" s="27"/>
      <c r="Z102" s="27"/>
      <c r="AA102" s="26"/>
      <c r="AB102" s="27"/>
      <c r="AC102" s="27"/>
      <c r="AD102" s="27"/>
      <c r="AE102" s="27"/>
      <c r="AF102" s="27"/>
      <c r="AG102" s="82"/>
      <c r="AH102" s="85" t="str">
        <f aca="false">IF(A102="","",ROUNDDOWN((N(E102)+N(F102)+N(I102)+N(J102))*IF(K102="",$B$2,K102),0))</f>
        <v/>
      </c>
      <c r="AI102" s="85" t="str">
        <f aca="false">IF(A102="","",N(W102)+N(X102))</f>
        <v/>
      </c>
      <c r="AJ102" s="85" t="str">
        <f aca="false">IF(A102="","",SUM(E102:U102)-N(K102)+AH102+AI102)</f>
        <v/>
      </c>
      <c r="AK102" s="85" t="str">
        <f aca="false">IF(A102="","",N(W102))</f>
        <v/>
      </c>
      <c r="AL102" s="85" t="str">
        <f aca="false">IF(A102="","",AJ102-AK102)</f>
        <v/>
      </c>
      <c r="AM102" s="85" t="str">
        <f aca="false">IF(A102="","",ROUNDDOWN(N(Z102)*設定!$B$13/1000,0))</f>
        <v/>
      </c>
      <c r="AN102" s="85" t="str">
        <f aca="false">IF(A102="","",ROUNDDOWN(N(Z102)*設定!$B$15/1000,0))</f>
        <v/>
      </c>
      <c r="AO102" s="85" t="str">
        <f aca="false">IF(A102="","",ROUNDDOWN(N(Z102)*設定!$B$10/1000,0))</f>
        <v/>
      </c>
      <c r="AP102" s="85" t="str">
        <f aca="false">IF(A102="","",ROUNDDOWN(N(Z102)*設定!$B$11/1000,0))</f>
        <v/>
      </c>
      <c r="AQ102" s="85" t="str">
        <f aca="false">IF(A102="","",IF(AA102="Y",ROUNDDOWN(N(Z102)*設定!$B$14/1000,0),0))</f>
        <v/>
      </c>
      <c r="AR102" s="85" t="str">
        <f aca="false">IF(A102="","",SUM(AM102:AQ102))</f>
        <v/>
      </c>
      <c r="AS102" s="85" t="str">
        <f aca="false">IF(A102="","",N(AB102)+N(AC102)+AR102+N(AD102))</f>
        <v/>
      </c>
      <c r="AT102" s="85" t="str">
        <f aca="false">IF(A102="","",AJ102-AS102)</f>
        <v/>
      </c>
      <c r="AU102" s="85" t="str">
        <f aca="false">IF(A102="","",AL102-AR102)</f>
        <v/>
      </c>
      <c r="AV102" s="85" t="str">
        <f aca="false">IF(A102="","",N(AE102)+N(AF102))</f>
        <v/>
      </c>
      <c r="AW102" s="85" t="str">
        <f aca="false">IF(A102="","",AT102-AV102)</f>
        <v/>
      </c>
      <c r="AX102" s="86" t="str">
        <f aca="false">IF(A102="","",IF(N(V102)&lt;=1,AI102,IF(AI102&gt;0,ROUNDDOWN(AI102/N(V102),0),IF($B$3="Y",ROUNDDOWN(N(Y102)/N(V102),0),0))))</f>
        <v/>
      </c>
      <c r="AY102" s="87" t="str">
        <f aca="false">IF(A102="","",AJ102-AI102+AX102)</f>
        <v/>
      </c>
      <c r="AZ102" s="88" t="str">
        <f aca="false">IF(A102="","",A102&amp;"|"&amp;TEXT(D102,"yyyymm"))</f>
        <v/>
      </c>
    </row>
    <row r="103" customFormat="false" ht="15" hidden="false" customHeight="false" outlineLevel="0" collapsed="false">
      <c r="A103" s="26"/>
      <c r="B103" s="82"/>
      <c r="C103" s="82"/>
      <c r="D103" s="65"/>
      <c r="E103" s="27"/>
      <c r="F103" s="27"/>
      <c r="G103" s="27"/>
      <c r="H103" s="27"/>
      <c r="I103" s="27"/>
      <c r="J103" s="27"/>
      <c r="K103" s="84"/>
      <c r="L103" s="27"/>
      <c r="M103" s="27"/>
      <c r="N103" s="27"/>
      <c r="O103" s="27"/>
      <c r="P103" s="27"/>
      <c r="Q103" s="27"/>
      <c r="R103" s="27"/>
      <c r="S103" s="27"/>
      <c r="T103" s="27"/>
      <c r="U103" s="27"/>
      <c r="V103" s="26"/>
      <c r="W103" s="27"/>
      <c r="X103" s="27"/>
      <c r="Y103" s="27"/>
      <c r="Z103" s="27"/>
      <c r="AA103" s="26"/>
      <c r="AB103" s="27"/>
      <c r="AC103" s="27"/>
      <c r="AD103" s="27"/>
      <c r="AE103" s="27"/>
      <c r="AF103" s="27"/>
      <c r="AG103" s="82"/>
      <c r="AH103" s="85" t="str">
        <f aca="false">IF(A103="","",ROUNDDOWN((N(E103)+N(F103)+N(I103)+N(J103))*IF(K103="",$B$2,K103),0))</f>
        <v/>
      </c>
      <c r="AI103" s="85" t="str">
        <f aca="false">IF(A103="","",N(W103)+N(X103))</f>
        <v/>
      </c>
      <c r="AJ103" s="85" t="str">
        <f aca="false">IF(A103="","",SUM(E103:U103)-N(K103)+AH103+AI103)</f>
        <v/>
      </c>
      <c r="AK103" s="85" t="str">
        <f aca="false">IF(A103="","",N(W103))</f>
        <v/>
      </c>
      <c r="AL103" s="85" t="str">
        <f aca="false">IF(A103="","",AJ103-AK103)</f>
        <v/>
      </c>
      <c r="AM103" s="85" t="str">
        <f aca="false">IF(A103="","",ROUNDDOWN(N(Z103)*設定!$B$13/1000,0))</f>
        <v/>
      </c>
      <c r="AN103" s="85" t="str">
        <f aca="false">IF(A103="","",ROUNDDOWN(N(Z103)*設定!$B$15/1000,0))</f>
        <v/>
      </c>
      <c r="AO103" s="85" t="str">
        <f aca="false">IF(A103="","",ROUNDDOWN(N(Z103)*設定!$B$10/1000,0))</f>
        <v/>
      </c>
      <c r="AP103" s="85" t="str">
        <f aca="false">IF(A103="","",ROUNDDOWN(N(Z103)*設定!$B$11/1000,0))</f>
        <v/>
      </c>
      <c r="AQ103" s="85" t="str">
        <f aca="false">IF(A103="","",IF(AA103="Y",ROUNDDOWN(N(Z103)*設定!$B$14/1000,0),0))</f>
        <v/>
      </c>
      <c r="AR103" s="85" t="str">
        <f aca="false">IF(A103="","",SUM(AM103:AQ103))</f>
        <v/>
      </c>
      <c r="AS103" s="85" t="str">
        <f aca="false">IF(A103="","",N(AB103)+N(AC103)+AR103+N(AD103))</f>
        <v/>
      </c>
      <c r="AT103" s="85" t="str">
        <f aca="false">IF(A103="","",AJ103-AS103)</f>
        <v/>
      </c>
      <c r="AU103" s="85" t="str">
        <f aca="false">IF(A103="","",AL103-AR103)</f>
        <v/>
      </c>
      <c r="AV103" s="85" t="str">
        <f aca="false">IF(A103="","",N(AE103)+N(AF103))</f>
        <v/>
      </c>
      <c r="AW103" s="85" t="str">
        <f aca="false">IF(A103="","",AT103-AV103)</f>
        <v/>
      </c>
      <c r="AX103" s="86" t="str">
        <f aca="false">IF(A103="","",IF(N(V103)&lt;=1,AI103,IF(AI103&gt;0,ROUNDDOWN(AI103/N(V103),0),IF($B$3="Y",ROUNDDOWN(N(Y103)/N(V103),0),0))))</f>
        <v/>
      </c>
      <c r="AY103" s="87" t="str">
        <f aca="false">IF(A103="","",AJ103-AI103+AX103)</f>
        <v/>
      </c>
      <c r="AZ103" s="88" t="str">
        <f aca="false">IF(A103="","",A103&amp;"|"&amp;TEXT(D103,"yyyymm"))</f>
        <v/>
      </c>
    </row>
    <row r="104" customFormat="false" ht="15" hidden="false" customHeight="false" outlineLevel="0" collapsed="false">
      <c r="A104" s="26"/>
      <c r="B104" s="82"/>
      <c r="C104" s="82"/>
      <c r="D104" s="65"/>
      <c r="E104" s="27"/>
      <c r="F104" s="27"/>
      <c r="G104" s="27"/>
      <c r="H104" s="27"/>
      <c r="I104" s="27"/>
      <c r="J104" s="27"/>
      <c r="K104" s="84"/>
      <c r="L104" s="27"/>
      <c r="M104" s="27"/>
      <c r="N104" s="27"/>
      <c r="O104" s="27"/>
      <c r="P104" s="27"/>
      <c r="Q104" s="27"/>
      <c r="R104" s="27"/>
      <c r="S104" s="27"/>
      <c r="T104" s="27"/>
      <c r="U104" s="27"/>
      <c r="V104" s="26"/>
      <c r="W104" s="27"/>
      <c r="X104" s="27"/>
      <c r="Y104" s="27"/>
      <c r="Z104" s="27"/>
      <c r="AA104" s="26"/>
      <c r="AB104" s="27"/>
      <c r="AC104" s="27"/>
      <c r="AD104" s="27"/>
      <c r="AE104" s="27"/>
      <c r="AF104" s="27"/>
      <c r="AG104" s="82"/>
      <c r="AH104" s="85" t="str">
        <f aca="false">IF(A104="","",ROUNDDOWN((N(E104)+N(F104)+N(I104)+N(J104))*IF(K104="",$B$2,K104),0))</f>
        <v/>
      </c>
      <c r="AI104" s="85" t="str">
        <f aca="false">IF(A104="","",N(W104)+N(X104))</f>
        <v/>
      </c>
      <c r="AJ104" s="85" t="str">
        <f aca="false">IF(A104="","",SUM(E104:U104)-N(K104)+AH104+AI104)</f>
        <v/>
      </c>
      <c r="AK104" s="85" t="str">
        <f aca="false">IF(A104="","",N(W104))</f>
        <v/>
      </c>
      <c r="AL104" s="85" t="str">
        <f aca="false">IF(A104="","",AJ104-AK104)</f>
        <v/>
      </c>
      <c r="AM104" s="85" t="str">
        <f aca="false">IF(A104="","",ROUNDDOWN(N(Z104)*設定!$B$13/1000,0))</f>
        <v/>
      </c>
      <c r="AN104" s="85" t="str">
        <f aca="false">IF(A104="","",ROUNDDOWN(N(Z104)*設定!$B$15/1000,0))</f>
        <v/>
      </c>
      <c r="AO104" s="85" t="str">
        <f aca="false">IF(A104="","",ROUNDDOWN(N(Z104)*設定!$B$10/1000,0))</f>
        <v/>
      </c>
      <c r="AP104" s="85" t="str">
        <f aca="false">IF(A104="","",ROUNDDOWN(N(Z104)*設定!$B$11/1000,0))</f>
        <v/>
      </c>
      <c r="AQ104" s="85" t="str">
        <f aca="false">IF(A104="","",IF(AA104="Y",ROUNDDOWN(N(Z104)*設定!$B$14/1000,0),0))</f>
        <v/>
      </c>
      <c r="AR104" s="85" t="str">
        <f aca="false">IF(A104="","",SUM(AM104:AQ104))</f>
        <v/>
      </c>
      <c r="AS104" s="85" t="str">
        <f aca="false">IF(A104="","",N(AB104)+N(AC104)+AR104+N(AD104))</f>
        <v/>
      </c>
      <c r="AT104" s="85" t="str">
        <f aca="false">IF(A104="","",AJ104-AS104)</f>
        <v/>
      </c>
      <c r="AU104" s="85" t="str">
        <f aca="false">IF(A104="","",AL104-AR104)</f>
        <v/>
      </c>
      <c r="AV104" s="85" t="str">
        <f aca="false">IF(A104="","",N(AE104)+N(AF104))</f>
        <v/>
      </c>
      <c r="AW104" s="85" t="str">
        <f aca="false">IF(A104="","",AT104-AV104)</f>
        <v/>
      </c>
      <c r="AX104" s="86" t="str">
        <f aca="false">IF(A104="","",IF(N(V104)&lt;=1,AI104,IF(AI104&gt;0,ROUNDDOWN(AI104/N(V104),0),IF($B$3="Y",ROUNDDOWN(N(Y104)/N(V104),0),0))))</f>
        <v/>
      </c>
      <c r="AY104" s="87" t="str">
        <f aca="false">IF(A104="","",AJ104-AI104+AX104)</f>
        <v/>
      </c>
      <c r="AZ104" s="88" t="str">
        <f aca="false">IF(A104="","",A104&amp;"|"&amp;TEXT(D104,"yyyymm"))</f>
        <v/>
      </c>
    </row>
    <row r="105" customFormat="false" ht="15" hidden="false" customHeight="false" outlineLevel="0" collapsed="false">
      <c r="A105" s="26"/>
      <c r="B105" s="82"/>
      <c r="C105" s="82"/>
      <c r="D105" s="65"/>
      <c r="E105" s="27"/>
      <c r="F105" s="27"/>
      <c r="G105" s="27"/>
      <c r="H105" s="27"/>
      <c r="I105" s="27"/>
      <c r="J105" s="27"/>
      <c r="K105" s="84"/>
      <c r="L105" s="27"/>
      <c r="M105" s="27"/>
      <c r="N105" s="27"/>
      <c r="O105" s="27"/>
      <c r="P105" s="27"/>
      <c r="Q105" s="27"/>
      <c r="R105" s="27"/>
      <c r="S105" s="27"/>
      <c r="T105" s="27"/>
      <c r="U105" s="27"/>
      <c r="V105" s="26"/>
      <c r="W105" s="27"/>
      <c r="X105" s="27"/>
      <c r="Y105" s="27"/>
      <c r="Z105" s="27"/>
      <c r="AA105" s="26"/>
      <c r="AB105" s="27"/>
      <c r="AC105" s="27"/>
      <c r="AD105" s="27"/>
      <c r="AE105" s="27"/>
      <c r="AF105" s="27"/>
      <c r="AG105" s="82"/>
      <c r="AH105" s="85" t="str">
        <f aca="false">IF(A105="","",ROUNDDOWN((N(E105)+N(F105)+N(I105)+N(J105))*IF(K105="",$B$2,K105),0))</f>
        <v/>
      </c>
      <c r="AI105" s="85" t="str">
        <f aca="false">IF(A105="","",N(W105)+N(X105))</f>
        <v/>
      </c>
      <c r="AJ105" s="85" t="str">
        <f aca="false">IF(A105="","",SUM(E105:U105)-N(K105)+AH105+AI105)</f>
        <v/>
      </c>
      <c r="AK105" s="85" t="str">
        <f aca="false">IF(A105="","",N(W105))</f>
        <v/>
      </c>
      <c r="AL105" s="85" t="str">
        <f aca="false">IF(A105="","",AJ105-AK105)</f>
        <v/>
      </c>
      <c r="AM105" s="85" t="str">
        <f aca="false">IF(A105="","",ROUNDDOWN(N(Z105)*設定!$B$13/1000,0))</f>
        <v/>
      </c>
      <c r="AN105" s="85" t="str">
        <f aca="false">IF(A105="","",ROUNDDOWN(N(Z105)*設定!$B$15/1000,0))</f>
        <v/>
      </c>
      <c r="AO105" s="85" t="str">
        <f aca="false">IF(A105="","",ROUNDDOWN(N(Z105)*設定!$B$10/1000,0))</f>
        <v/>
      </c>
      <c r="AP105" s="85" t="str">
        <f aca="false">IF(A105="","",ROUNDDOWN(N(Z105)*設定!$B$11/1000,0))</f>
        <v/>
      </c>
      <c r="AQ105" s="85" t="str">
        <f aca="false">IF(A105="","",IF(AA105="Y",ROUNDDOWN(N(Z105)*設定!$B$14/1000,0),0))</f>
        <v/>
      </c>
      <c r="AR105" s="85" t="str">
        <f aca="false">IF(A105="","",SUM(AM105:AQ105))</f>
        <v/>
      </c>
      <c r="AS105" s="85" t="str">
        <f aca="false">IF(A105="","",N(AB105)+N(AC105)+AR105+N(AD105))</f>
        <v/>
      </c>
      <c r="AT105" s="85" t="str">
        <f aca="false">IF(A105="","",AJ105-AS105)</f>
        <v/>
      </c>
      <c r="AU105" s="85" t="str">
        <f aca="false">IF(A105="","",AL105-AR105)</f>
        <v/>
      </c>
      <c r="AV105" s="85" t="str">
        <f aca="false">IF(A105="","",N(AE105)+N(AF105))</f>
        <v/>
      </c>
      <c r="AW105" s="85" t="str">
        <f aca="false">IF(A105="","",AT105-AV105)</f>
        <v/>
      </c>
      <c r="AX105" s="86" t="str">
        <f aca="false">IF(A105="","",IF(N(V105)&lt;=1,AI105,IF(AI105&gt;0,ROUNDDOWN(AI105/N(V105),0),IF($B$3="Y",ROUNDDOWN(N(Y105)/N(V105),0),0))))</f>
        <v/>
      </c>
      <c r="AY105" s="87" t="str">
        <f aca="false">IF(A105="","",AJ105-AI105+AX105)</f>
        <v/>
      </c>
      <c r="AZ105" s="88" t="str">
        <f aca="false">IF(A105="","",A105&amp;"|"&amp;TEXT(D105,"yyyymm"))</f>
        <v/>
      </c>
    </row>
  </sheetData>
  <mergeCells count="7">
    <mergeCell ref="A4:D4"/>
    <mergeCell ref="E4:U4"/>
    <mergeCell ref="V4:Y4"/>
    <mergeCell ref="Z4:AA4"/>
    <mergeCell ref="AB4:AF4"/>
    <mergeCell ref="AH4:AW4"/>
    <mergeCell ref="AX4:AY4"/>
  </mergeCells>
  <dataValidations count="3">
    <dataValidation allowBlank="false" errorStyle="stop" operator="between" showDropDown="false" showErrorMessage="false" showInputMessage="false" sqref="B3" type="list">
      <formula1>"Y,N"</formula1>
      <formula2>0</formula2>
    </dataValidation>
    <dataValidation allowBlank="true" errorStyle="stop" operator="between" showDropDown="false" showErrorMessage="false" showInputMessage="false" sqref="AA6:AA105" type="list">
      <formula1>"Y,N"</formula1>
      <formula2>0</formula2>
    </dataValidation>
    <dataValidation allowBlank="true" errorStyle="stop" operator="between" showDropDown="false" showErrorMessage="false" showInputMessage="false" sqref="V6:V105" type="whole">
      <formula1>1</formula1>
      <formula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J10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34"/>
    <col collapsed="false" customWidth="true" hidden="false" outlineLevel="0" max="4" min="4" style="0" width="22"/>
    <col collapsed="false" customWidth="true" hidden="false" outlineLevel="0" max="5" min="5" style="0" width="24"/>
    <col collapsed="false" customWidth="true" hidden="false" outlineLevel="0" max="6" min="6" style="0" width="20"/>
    <col collapsed="false" customWidth="true" hidden="false" outlineLevel="0" max="7" min="7" style="0" width="12"/>
    <col collapsed="false" customWidth="true" hidden="false" outlineLevel="0" max="8" min="8" style="0" width="44"/>
    <col collapsed="false" customWidth="true" hidden="false" outlineLevel="0" max="9" min="9" style="0" width="3"/>
    <col collapsed="false" customWidth="true" hidden="false" outlineLevel="0" max="10" min="10" style="0" width="50"/>
  </cols>
  <sheetData>
    <row r="1" customFormat="false" ht="17.35" hidden="false" customHeight="false" outlineLevel="0" collapsed="false">
      <c r="A1" s="16" t="s">
        <v>383</v>
      </c>
    </row>
    <row r="2" customFormat="false" ht="17.35" hidden="false" customHeight="false" outlineLevel="0" collapsed="false">
      <c r="A2" s="2" t="s">
        <v>384</v>
      </c>
    </row>
    <row r="3" customFormat="false" ht="17.35" hidden="false" customHeight="false" outlineLevel="0" collapsed="false">
      <c r="A3" s="89" t="s">
        <v>385</v>
      </c>
    </row>
    <row r="4" customFormat="false" ht="26.85" hidden="false" customHeight="false" outlineLevel="0" collapsed="false">
      <c r="A4" s="6" t="s">
        <v>386</v>
      </c>
      <c r="B4" s="84" t="n">
        <v>0.1</v>
      </c>
      <c r="C4" s="15" t="s">
        <v>387</v>
      </c>
    </row>
    <row r="5" customFormat="false" ht="26.85" hidden="false" customHeight="false" outlineLevel="0" collapsed="false">
      <c r="A5" s="6" t="s">
        <v>388</v>
      </c>
      <c r="B5" s="84" t="n">
        <v>0.1</v>
      </c>
      <c r="C5" s="15" t="s">
        <v>389</v>
      </c>
    </row>
    <row r="6" customFormat="false" ht="26.85" hidden="false" customHeight="false" outlineLevel="0" collapsed="false">
      <c r="A6" s="6" t="s">
        <v>390</v>
      </c>
      <c r="B6" s="90" t="s">
        <v>391</v>
      </c>
      <c r="C6" s="15" t="s">
        <v>392</v>
      </c>
    </row>
    <row r="7" customFormat="false" ht="17.35" hidden="false" customHeight="false" outlineLevel="0" collapsed="false"/>
    <row r="8" customFormat="false" ht="17.35" hidden="false" customHeight="false" outlineLevel="0" collapsed="false">
      <c r="A8" s="89" t="s">
        <v>393</v>
      </c>
    </row>
    <row r="9" customFormat="false" ht="17.35" hidden="false" customHeight="false" outlineLevel="0" collapsed="false">
      <c r="A9" s="3" t="s">
        <v>394</v>
      </c>
      <c r="B9" s="3" t="s">
        <v>395</v>
      </c>
      <c r="C9" s="3" t="s">
        <v>396</v>
      </c>
      <c r="D9" s="3" t="s">
        <v>397</v>
      </c>
      <c r="E9" s="3" t="s">
        <v>110</v>
      </c>
    </row>
    <row r="10" customFormat="false" ht="17.35" hidden="false" customHeight="false" outlineLevel="0" collapsed="false">
      <c r="A10" s="6" t="s">
        <v>398</v>
      </c>
      <c r="B10" s="91" t="n">
        <v>91.5</v>
      </c>
      <c r="C10" s="92" t="n">
        <v>91.5</v>
      </c>
      <c r="D10" s="6" t="s">
        <v>80</v>
      </c>
      <c r="E10" s="15"/>
    </row>
    <row r="11" customFormat="false" ht="17.35" hidden="false" customHeight="false" outlineLevel="0" collapsed="false">
      <c r="A11" s="6" t="s">
        <v>399</v>
      </c>
      <c r="B11" s="91" t="n">
        <v>7.5</v>
      </c>
      <c r="C11" s="92" t="n">
        <v>7.5</v>
      </c>
      <c r="D11" s="6" t="s">
        <v>80</v>
      </c>
      <c r="E11" s="15"/>
    </row>
    <row r="12" customFormat="false" ht="17.35" hidden="false" customHeight="false" outlineLevel="0" collapsed="false">
      <c r="A12" s="6" t="s">
        <v>93</v>
      </c>
      <c r="B12" s="93" t="s">
        <v>400</v>
      </c>
      <c r="C12" s="92" t="n">
        <v>0.0869</v>
      </c>
      <c r="D12" s="6" t="s">
        <v>80</v>
      </c>
      <c r="E12" s="15"/>
    </row>
    <row r="13" customFormat="false" ht="17.35" hidden="false" customHeight="false" outlineLevel="0" collapsed="false">
      <c r="A13" s="6" t="s">
        <v>81</v>
      </c>
      <c r="B13" s="91" t="n">
        <v>51.86</v>
      </c>
      <c r="C13" s="92" t="n">
        <v>51.91</v>
      </c>
      <c r="D13" s="6" t="s">
        <v>81</v>
      </c>
      <c r="E13" s="15"/>
    </row>
    <row r="14" customFormat="false" ht="17.35" hidden="false" customHeight="false" outlineLevel="0" collapsed="false">
      <c r="A14" s="6" t="s">
        <v>82</v>
      </c>
      <c r="B14" s="91" t="n">
        <v>7.9</v>
      </c>
      <c r="C14" s="92" t="n">
        <v>7.9</v>
      </c>
      <c r="D14" s="6" t="s">
        <v>82</v>
      </c>
      <c r="E14" s="15"/>
    </row>
    <row r="15" customFormat="false" ht="17.35" hidden="false" customHeight="false" outlineLevel="0" collapsed="false">
      <c r="A15" s="6" t="s">
        <v>401</v>
      </c>
      <c r="B15" s="91" t="n">
        <v>1.15</v>
      </c>
      <c r="C15" s="92" t="n">
        <v>1.15</v>
      </c>
      <c r="D15" s="6" t="s">
        <v>402</v>
      </c>
      <c r="E15" s="15"/>
    </row>
    <row r="16" customFormat="false" ht="39.55" hidden="false" customHeight="false" outlineLevel="0" collapsed="false">
      <c r="A16" s="6" t="s">
        <v>403</v>
      </c>
      <c r="B16" s="93" t="s">
        <v>400</v>
      </c>
      <c r="C16" s="92" t="n">
        <v>39.9</v>
      </c>
      <c r="D16" s="6" t="s">
        <v>404</v>
      </c>
      <c r="E16" s="15" t="s">
        <v>405</v>
      </c>
    </row>
    <row r="17" customFormat="false" ht="39.55" hidden="false" customHeight="false" outlineLevel="0" collapsed="false">
      <c r="A17" s="6" t="s">
        <v>406</v>
      </c>
      <c r="B17" s="93" t="s">
        <v>400</v>
      </c>
      <c r="C17" s="92" t="n">
        <v>0.82</v>
      </c>
      <c r="D17" s="6" t="s">
        <v>407</v>
      </c>
      <c r="E17" s="15" t="s">
        <v>405</v>
      </c>
    </row>
    <row r="18" customFormat="false" ht="17.35" hidden="false" customHeight="false" outlineLevel="0" collapsed="false">
      <c r="A18" s="89" t="s">
        <v>408</v>
      </c>
    </row>
    <row r="19" customFormat="false" ht="17.35" hidden="false" customHeight="false" outlineLevel="0" collapsed="false">
      <c r="A19" s="3" t="s">
        <v>409</v>
      </c>
      <c r="B19" s="3" t="s">
        <v>410</v>
      </c>
      <c r="C19" s="3" t="s">
        <v>394</v>
      </c>
      <c r="D19" s="3" t="s">
        <v>411</v>
      </c>
      <c r="E19" s="3" t="s">
        <v>412</v>
      </c>
    </row>
    <row r="20" customFormat="false" ht="17.35" hidden="false" customHeight="false" outlineLevel="0" collapsed="false">
      <c r="A20" s="45" t="s">
        <v>165</v>
      </c>
      <c r="B20" s="94" t="n">
        <v>46113</v>
      </c>
      <c r="C20" s="95" t="s">
        <v>413</v>
      </c>
      <c r="D20" s="95"/>
      <c r="E20" s="95" t="n">
        <v>2</v>
      </c>
      <c r="F20" s="5" t="s">
        <v>414</v>
      </c>
    </row>
    <row r="21" customFormat="false" ht="17.35" hidden="false" customHeight="false" outlineLevel="0" collapsed="false">
      <c r="A21" s="45" t="s">
        <v>215</v>
      </c>
      <c r="B21" s="94" t="n">
        <v>46173</v>
      </c>
      <c r="C21" s="95" t="s">
        <v>413</v>
      </c>
      <c r="D21" s="45" t="s">
        <v>165</v>
      </c>
      <c r="E21" s="95" t="n">
        <v>67</v>
      </c>
    </row>
    <row r="22" customFormat="false" ht="17.35" hidden="false" customHeight="false" outlineLevel="0" collapsed="false">
      <c r="A22" s="45" t="s">
        <v>217</v>
      </c>
      <c r="B22" s="94" t="n">
        <v>46203</v>
      </c>
      <c r="C22" s="95" t="s">
        <v>413</v>
      </c>
      <c r="D22" s="45" t="s">
        <v>215</v>
      </c>
      <c r="E22" s="95" t="n">
        <v>132</v>
      </c>
    </row>
    <row r="23" customFormat="false" ht="17.35" hidden="false" customHeight="false" outlineLevel="0" collapsed="false">
      <c r="A23" s="45" t="s">
        <v>218</v>
      </c>
      <c r="B23" s="94" t="n">
        <v>46203</v>
      </c>
      <c r="C23" s="95" t="s">
        <v>415</v>
      </c>
      <c r="D23" s="95"/>
      <c r="E23" s="95" t="n">
        <v>197</v>
      </c>
    </row>
    <row r="24" customFormat="false" ht="17.35" hidden="false" customHeight="false" outlineLevel="0" collapsed="false">
      <c r="A24" s="45" t="s">
        <v>220</v>
      </c>
      <c r="B24" s="94" t="n">
        <v>46234</v>
      </c>
      <c r="C24" s="95" t="s">
        <v>413</v>
      </c>
      <c r="D24" s="45" t="s">
        <v>217</v>
      </c>
      <c r="E24" s="95" t="n">
        <v>262</v>
      </c>
    </row>
    <row r="25" customFormat="false" ht="17.35" hidden="false" customHeight="false" outlineLevel="0" collapsed="false">
      <c r="A25" s="45" t="s">
        <v>221</v>
      </c>
      <c r="B25" s="94" t="n">
        <v>46265</v>
      </c>
      <c r="C25" s="95" t="s">
        <v>413</v>
      </c>
      <c r="D25" s="45" t="s">
        <v>220</v>
      </c>
      <c r="E25" s="95" t="n">
        <v>327</v>
      </c>
    </row>
    <row r="26" customFormat="false" ht="17.35" hidden="false" customHeight="false" outlineLevel="0" collapsed="false">
      <c r="A26" s="45" t="s">
        <v>222</v>
      </c>
      <c r="B26" s="94" t="n">
        <v>46295</v>
      </c>
      <c r="C26" s="95" t="s">
        <v>413</v>
      </c>
      <c r="D26" s="45" t="s">
        <v>221</v>
      </c>
      <c r="E26" s="95" t="n">
        <v>392</v>
      </c>
    </row>
    <row r="27" customFormat="false" ht="17.35" hidden="false" customHeight="false" outlineLevel="0" collapsed="false">
      <c r="A27" s="45" t="s">
        <v>223</v>
      </c>
      <c r="B27" s="94" t="n">
        <v>46326</v>
      </c>
      <c r="C27" s="95" t="s">
        <v>413</v>
      </c>
      <c r="D27" s="45" t="s">
        <v>222</v>
      </c>
      <c r="E27" s="95" t="n">
        <v>457</v>
      </c>
    </row>
    <row r="28" customFormat="false" ht="17.35" hidden="false" customHeight="false" outlineLevel="0" collapsed="false">
      <c r="A28" s="45" t="s">
        <v>224</v>
      </c>
      <c r="B28" s="94" t="n">
        <v>46356</v>
      </c>
      <c r="C28" s="95" t="s">
        <v>413</v>
      </c>
      <c r="D28" s="45" t="s">
        <v>223</v>
      </c>
      <c r="E28" s="95" t="n">
        <v>522</v>
      </c>
    </row>
    <row r="29" customFormat="false" ht="17.35" hidden="false" customHeight="false" outlineLevel="0" collapsed="false">
      <c r="A29" s="45" t="s">
        <v>225</v>
      </c>
      <c r="B29" s="94" t="n">
        <v>46387</v>
      </c>
      <c r="C29" s="95" t="s">
        <v>415</v>
      </c>
      <c r="D29" s="95"/>
      <c r="E29" s="95" t="n">
        <v>587</v>
      </c>
    </row>
    <row r="30" customFormat="false" ht="17.35" hidden="false" customHeight="false" outlineLevel="0" collapsed="false">
      <c r="A30" s="45" t="s">
        <v>226</v>
      </c>
      <c r="B30" s="94" t="n">
        <v>46387</v>
      </c>
      <c r="C30" s="95" t="s">
        <v>413</v>
      </c>
      <c r="D30" s="45" t="s">
        <v>224</v>
      </c>
      <c r="E30" s="95" t="n">
        <v>652</v>
      </c>
    </row>
    <row r="31" customFormat="false" ht="17.35" hidden="false" customHeight="false" outlineLevel="0" collapsed="false">
      <c r="A31" s="45" t="s">
        <v>227</v>
      </c>
      <c r="B31" s="94" t="n">
        <v>46418</v>
      </c>
      <c r="C31" s="95" t="s">
        <v>413</v>
      </c>
      <c r="D31" s="45" t="s">
        <v>226</v>
      </c>
      <c r="E31" s="95" t="n">
        <v>717</v>
      </c>
    </row>
    <row r="32" customFormat="false" ht="17.35" hidden="false" customHeight="false" outlineLevel="0" collapsed="false">
      <c r="A32" s="45" t="s">
        <v>228</v>
      </c>
      <c r="B32" s="94" t="n">
        <v>46446</v>
      </c>
      <c r="C32" s="95" t="s">
        <v>413</v>
      </c>
      <c r="D32" s="45" t="s">
        <v>227</v>
      </c>
      <c r="E32" s="95" t="n">
        <v>782</v>
      </c>
    </row>
    <row r="33" customFormat="false" ht="17.35" hidden="false" customHeight="false" outlineLevel="0" collapsed="false">
      <c r="A33" s="45" t="s">
        <v>229</v>
      </c>
      <c r="B33" s="94" t="n">
        <v>46477</v>
      </c>
      <c r="C33" s="95" t="s">
        <v>415</v>
      </c>
      <c r="D33" s="95"/>
      <c r="E33" s="95" t="n">
        <v>847</v>
      </c>
    </row>
    <row r="34" customFormat="false" ht="17.35" hidden="false" customHeight="false" outlineLevel="0" collapsed="false">
      <c r="A34" s="45" t="s">
        <v>230</v>
      </c>
      <c r="B34" s="94" t="n">
        <v>46477</v>
      </c>
      <c r="C34" s="95" t="s">
        <v>413</v>
      </c>
      <c r="D34" s="45" t="s">
        <v>228</v>
      </c>
      <c r="E34" s="95" t="n">
        <v>912</v>
      </c>
    </row>
    <row r="35" customFormat="false" ht="17.35" hidden="false" customHeight="false" outlineLevel="0" collapsed="false"/>
    <row r="36" customFormat="false" ht="17.35" hidden="false" customHeight="false" outlineLevel="0" collapsed="false"/>
    <row r="37" customFormat="false" ht="17.35" hidden="false" customHeight="false" outlineLevel="0" collapsed="false">
      <c r="A37" s="89" t="s">
        <v>416</v>
      </c>
    </row>
    <row r="38" customFormat="false" ht="17.35" hidden="false" customHeight="false" outlineLevel="0" collapsed="false">
      <c r="A38" s="3" t="s">
        <v>259</v>
      </c>
      <c r="B38" s="3" t="s">
        <v>260</v>
      </c>
      <c r="C38" s="3" t="s">
        <v>262</v>
      </c>
      <c r="D38" s="3" t="s">
        <v>263</v>
      </c>
      <c r="E38" s="3" t="s">
        <v>110</v>
      </c>
    </row>
    <row r="39" customFormat="false" ht="17.35" hidden="false" customHeight="false" outlineLevel="0" collapsed="false">
      <c r="A39" s="6" t="s">
        <v>417</v>
      </c>
      <c r="B39" s="96" t="s">
        <v>418</v>
      </c>
      <c r="C39" s="96" t="s">
        <v>419</v>
      </c>
      <c r="D39" s="97" t="s">
        <v>420</v>
      </c>
      <c r="E39" s="6" t="s">
        <v>421</v>
      </c>
    </row>
    <row r="40" customFormat="false" ht="26.85" hidden="false" customHeight="false" outlineLevel="0" collapsed="false">
      <c r="A40" s="6" t="s">
        <v>422</v>
      </c>
      <c r="B40" s="97"/>
      <c r="C40" s="97"/>
      <c r="D40" s="97"/>
      <c r="E40" s="6" t="s">
        <v>423</v>
      </c>
    </row>
    <row r="41" customFormat="false" ht="26.85" hidden="false" customHeight="false" outlineLevel="0" collapsed="false">
      <c r="A41" s="6" t="s">
        <v>424</v>
      </c>
      <c r="B41" s="97"/>
      <c r="C41" s="97"/>
      <c r="D41" s="97"/>
      <c r="E41" s="6" t="s">
        <v>423</v>
      </c>
    </row>
    <row r="42" customFormat="false" ht="26.85" hidden="false" customHeight="false" outlineLevel="0" collapsed="false">
      <c r="A42" s="6" t="s">
        <v>425</v>
      </c>
      <c r="B42" s="97"/>
      <c r="C42" s="97"/>
      <c r="D42" s="97"/>
      <c r="E42" s="6" t="s">
        <v>423</v>
      </c>
    </row>
    <row r="43" customFormat="false" ht="17.35" hidden="false" customHeight="false" outlineLevel="0" collapsed="false"/>
    <row r="44" customFormat="false" ht="17.35" hidden="false" customHeight="false" outlineLevel="0" collapsed="false">
      <c r="A44" s="89" t="s">
        <v>426</v>
      </c>
    </row>
    <row r="45" customFormat="false" ht="17.35" hidden="false" customHeight="false" outlineLevel="0" collapsed="false">
      <c r="A45" s="98" t="s">
        <v>427</v>
      </c>
      <c r="B45" s="3" t="s">
        <v>428</v>
      </c>
      <c r="C45" s="3" t="s">
        <v>429</v>
      </c>
      <c r="D45" s="3" t="s">
        <v>265</v>
      </c>
      <c r="E45" s="3" t="s">
        <v>266</v>
      </c>
      <c r="F45" s="3" t="s">
        <v>110</v>
      </c>
    </row>
    <row r="46" customFormat="false" ht="17.35" hidden="false" customHeight="false" outlineLevel="0" collapsed="false">
      <c r="A46" s="95" t="n">
        <v>1</v>
      </c>
      <c r="B46" s="95" t="n">
        <v>1</v>
      </c>
      <c r="C46" s="6" t="s">
        <v>430</v>
      </c>
      <c r="D46" s="30" t="s">
        <v>431</v>
      </c>
      <c r="E46" s="97" t="s">
        <v>432</v>
      </c>
      <c r="F46" s="15" t="s">
        <v>421</v>
      </c>
    </row>
    <row r="47" customFormat="false" ht="17.35" hidden="false" customHeight="false" outlineLevel="0" collapsed="false">
      <c r="A47" s="95" t="n">
        <v>2</v>
      </c>
      <c r="B47" s="95" t="n">
        <v>1</v>
      </c>
      <c r="C47" s="6" t="s">
        <v>433</v>
      </c>
      <c r="D47" s="30" t="s">
        <v>434</v>
      </c>
      <c r="E47" s="97" t="s">
        <v>435</v>
      </c>
      <c r="F47" s="15" t="s">
        <v>421</v>
      </c>
    </row>
    <row r="48" customFormat="false" ht="17.35" hidden="false" customHeight="false" outlineLevel="0" collapsed="false">
      <c r="A48" s="95" t="n">
        <v>3</v>
      </c>
      <c r="B48" s="95" t="n">
        <v>1</v>
      </c>
      <c r="C48" s="6" t="s">
        <v>436</v>
      </c>
      <c r="D48" s="30" t="s">
        <v>437</v>
      </c>
      <c r="E48" s="97" t="s">
        <v>438</v>
      </c>
      <c r="F48" s="15" t="s">
        <v>421</v>
      </c>
    </row>
    <row r="49" customFormat="false" ht="17.35" hidden="false" customHeight="false" outlineLevel="0" collapsed="false">
      <c r="A49" s="95" t="n">
        <v>4</v>
      </c>
      <c r="B49" s="95" t="n">
        <v>1</v>
      </c>
      <c r="C49" s="6" t="s">
        <v>439</v>
      </c>
      <c r="D49" s="30" t="s">
        <v>440</v>
      </c>
      <c r="E49" s="97" t="s">
        <v>441</v>
      </c>
      <c r="F49" s="15" t="s">
        <v>421</v>
      </c>
    </row>
    <row r="50" customFormat="false" ht="17.35" hidden="false" customHeight="false" outlineLevel="0" collapsed="false">
      <c r="A50" s="95" t="n">
        <v>5</v>
      </c>
      <c r="B50" s="95" t="n">
        <v>1</v>
      </c>
      <c r="C50" s="6" t="s">
        <v>442</v>
      </c>
      <c r="D50" s="30" t="s">
        <v>443</v>
      </c>
      <c r="E50" s="97" t="s">
        <v>444</v>
      </c>
      <c r="F50" s="15" t="s">
        <v>421</v>
      </c>
    </row>
    <row r="51" customFormat="false" ht="26.85" hidden="false" customHeight="false" outlineLevel="0" collapsed="false">
      <c r="A51" s="95" t="n">
        <v>6</v>
      </c>
      <c r="B51" s="95" t="n">
        <v>2</v>
      </c>
      <c r="C51" s="6" t="s">
        <v>445</v>
      </c>
      <c r="D51" s="30"/>
      <c r="E51" s="97"/>
      <c r="F51" s="15" t="s">
        <v>446</v>
      </c>
    </row>
    <row r="52" customFormat="false" ht="26.85" hidden="false" customHeight="false" outlineLevel="0" collapsed="false">
      <c r="A52" s="95" t="n">
        <v>7</v>
      </c>
      <c r="B52" s="95" t="n">
        <v>2</v>
      </c>
      <c r="C52" s="6" t="s">
        <v>447</v>
      </c>
      <c r="D52" s="30"/>
      <c r="E52" s="97"/>
      <c r="F52" s="15" t="s">
        <v>446</v>
      </c>
    </row>
    <row r="53" customFormat="false" ht="26.85" hidden="false" customHeight="false" outlineLevel="0" collapsed="false">
      <c r="A53" s="95" t="n">
        <v>8</v>
      </c>
      <c r="B53" s="95" t="n">
        <v>3</v>
      </c>
      <c r="C53" s="6" t="s">
        <v>448</v>
      </c>
      <c r="D53" s="30"/>
      <c r="E53" s="97"/>
      <c r="F53" s="15" t="s">
        <v>446</v>
      </c>
    </row>
    <row r="54" customFormat="false" ht="26.85" hidden="false" customHeight="false" outlineLevel="0" collapsed="false">
      <c r="A54" s="95" t="n">
        <v>9</v>
      </c>
      <c r="B54" s="95" t="n">
        <v>3</v>
      </c>
      <c r="C54" s="6" t="s">
        <v>449</v>
      </c>
      <c r="D54" s="30"/>
      <c r="E54" s="97"/>
      <c r="F54" s="15" t="s">
        <v>446</v>
      </c>
    </row>
    <row r="55" customFormat="false" ht="26.85" hidden="false" customHeight="false" outlineLevel="0" collapsed="false">
      <c r="A55" s="95" t="n">
        <v>10</v>
      </c>
      <c r="B55" s="95" t="n">
        <v>4</v>
      </c>
      <c r="C55" s="6" t="s">
        <v>450</v>
      </c>
      <c r="D55" s="30"/>
      <c r="E55" s="97"/>
      <c r="F55" s="15" t="s">
        <v>446</v>
      </c>
    </row>
    <row r="56" customFormat="false" ht="26.85" hidden="false" customHeight="false" outlineLevel="0" collapsed="false">
      <c r="A56" s="95" t="n">
        <v>11</v>
      </c>
      <c r="B56" s="95" t="n">
        <v>4</v>
      </c>
      <c r="C56" s="6" t="s">
        <v>451</v>
      </c>
      <c r="D56" s="30"/>
      <c r="E56" s="97"/>
      <c r="F56" s="15" t="s">
        <v>446</v>
      </c>
    </row>
    <row r="57" customFormat="false" ht="17.35" hidden="false" customHeight="false" outlineLevel="0" collapsed="false"/>
    <row r="58" customFormat="false" ht="17.35" hidden="false" customHeight="false" outlineLevel="0" collapsed="false">
      <c r="A58" s="89" t="s">
        <v>452</v>
      </c>
    </row>
    <row r="59" customFormat="false" ht="17.35" hidden="false" customHeight="false" outlineLevel="0" collapsed="false">
      <c r="A59" s="2" t="s">
        <v>453</v>
      </c>
      <c r="J59" s="89" t="s">
        <v>454</v>
      </c>
    </row>
    <row r="60" customFormat="false" ht="17.35" hidden="false" customHeight="false" outlineLevel="0" collapsed="false">
      <c r="A60" s="98" t="s">
        <v>427</v>
      </c>
      <c r="B60" s="3" t="s">
        <v>74</v>
      </c>
      <c r="C60" s="3" t="s">
        <v>455</v>
      </c>
      <c r="D60" s="3" t="s">
        <v>456</v>
      </c>
      <c r="E60" s="3" t="s">
        <v>98</v>
      </c>
      <c r="F60" s="3" t="s">
        <v>457</v>
      </c>
      <c r="G60" s="3" t="s">
        <v>161</v>
      </c>
      <c r="H60" s="3" t="s">
        <v>110</v>
      </c>
      <c r="J60" s="99" t="s">
        <v>458</v>
      </c>
    </row>
    <row r="61" customFormat="false" ht="17.35" hidden="false" customHeight="false" outlineLevel="0" collapsed="false">
      <c r="A61" s="95" t="n">
        <v>1</v>
      </c>
      <c r="B61" s="6" t="s">
        <v>166</v>
      </c>
      <c r="C61" s="95" t="s">
        <v>459</v>
      </c>
      <c r="D61" s="26" t="s">
        <v>350</v>
      </c>
      <c r="E61" s="90" t="s">
        <v>460</v>
      </c>
      <c r="F61" s="26" t="s">
        <v>377</v>
      </c>
      <c r="G61" s="100" t="s">
        <v>461</v>
      </c>
      <c r="H61" s="15" t="s">
        <v>462</v>
      </c>
      <c r="J61" s="99" t="s">
        <v>463</v>
      </c>
    </row>
    <row r="62" customFormat="false" ht="17.35" hidden="false" customHeight="false" outlineLevel="0" collapsed="false">
      <c r="A62" s="95" t="n">
        <v>2</v>
      </c>
      <c r="B62" s="6" t="s">
        <v>169</v>
      </c>
      <c r="C62" s="95" t="s">
        <v>459</v>
      </c>
      <c r="D62" s="26" t="s">
        <v>377</v>
      </c>
      <c r="E62" s="90" t="s">
        <v>460</v>
      </c>
      <c r="F62" s="26" t="s">
        <v>377</v>
      </c>
      <c r="G62" s="100" t="s">
        <v>461</v>
      </c>
      <c r="H62" s="15"/>
      <c r="J62" s="99" t="s">
        <v>464</v>
      </c>
    </row>
    <row r="63" customFormat="false" ht="17.35" hidden="false" customHeight="false" outlineLevel="0" collapsed="false">
      <c r="A63" s="95" t="n">
        <v>3</v>
      </c>
      <c r="B63" s="6" t="s">
        <v>170</v>
      </c>
      <c r="C63" s="95" t="s">
        <v>459</v>
      </c>
      <c r="D63" s="26" t="s">
        <v>350</v>
      </c>
      <c r="E63" s="90" t="s">
        <v>460</v>
      </c>
      <c r="F63" s="26" t="s">
        <v>377</v>
      </c>
      <c r="G63" s="100" t="s">
        <v>461</v>
      </c>
      <c r="H63" s="15" t="s">
        <v>462</v>
      </c>
    </row>
    <row r="64" customFormat="false" ht="17.35" hidden="false" customHeight="false" outlineLevel="0" collapsed="false">
      <c r="A64" s="95" t="n">
        <v>4</v>
      </c>
      <c r="B64" s="6" t="s">
        <v>171</v>
      </c>
      <c r="C64" s="95" t="s">
        <v>459</v>
      </c>
      <c r="D64" s="26" t="s">
        <v>377</v>
      </c>
      <c r="E64" s="90" t="s">
        <v>460</v>
      </c>
      <c r="F64" s="26" t="s">
        <v>377</v>
      </c>
      <c r="G64" s="100" t="s">
        <v>461</v>
      </c>
      <c r="H64" s="15"/>
    </row>
    <row r="65" customFormat="false" ht="17.35" hidden="false" customHeight="false" outlineLevel="0" collapsed="false">
      <c r="A65" s="95" t="n">
        <v>5</v>
      </c>
      <c r="B65" s="6" t="s">
        <v>172</v>
      </c>
      <c r="C65" s="95" t="s">
        <v>459</v>
      </c>
      <c r="D65" s="26" t="s">
        <v>350</v>
      </c>
      <c r="E65" s="90" t="s">
        <v>460</v>
      </c>
      <c r="F65" s="26" t="s">
        <v>377</v>
      </c>
      <c r="G65" s="100" t="s">
        <v>461</v>
      </c>
      <c r="H65" s="15" t="s">
        <v>462</v>
      </c>
    </row>
    <row r="66" customFormat="false" ht="17.35" hidden="false" customHeight="false" outlineLevel="0" collapsed="false">
      <c r="A66" s="95" t="n">
        <v>6</v>
      </c>
      <c r="B66" s="6" t="s">
        <v>173</v>
      </c>
      <c r="C66" s="95" t="s">
        <v>459</v>
      </c>
      <c r="D66" s="26" t="s">
        <v>377</v>
      </c>
      <c r="E66" s="90" t="s">
        <v>460</v>
      </c>
      <c r="F66" s="26" t="s">
        <v>377</v>
      </c>
      <c r="G66" s="100" t="s">
        <v>461</v>
      </c>
      <c r="H66" s="15"/>
    </row>
    <row r="67" customFormat="false" ht="17.35" hidden="false" customHeight="false" outlineLevel="0" collapsed="false">
      <c r="A67" s="95" t="n">
        <v>7</v>
      </c>
      <c r="B67" s="6" t="s">
        <v>174</v>
      </c>
      <c r="C67" s="95" t="s">
        <v>459</v>
      </c>
      <c r="D67" s="26" t="s">
        <v>377</v>
      </c>
      <c r="E67" s="90" t="s">
        <v>460</v>
      </c>
      <c r="F67" s="26" t="s">
        <v>377</v>
      </c>
      <c r="G67" s="100" t="s">
        <v>461</v>
      </c>
      <c r="H67" s="15"/>
    </row>
    <row r="68" customFormat="false" ht="17.35" hidden="false" customHeight="false" outlineLevel="0" collapsed="false">
      <c r="A68" s="95" t="n">
        <v>8</v>
      </c>
      <c r="B68" s="6" t="s">
        <v>175</v>
      </c>
      <c r="C68" s="95" t="s">
        <v>459</v>
      </c>
      <c r="D68" s="26" t="s">
        <v>377</v>
      </c>
      <c r="E68" s="90" t="s">
        <v>460</v>
      </c>
      <c r="F68" s="26" t="s">
        <v>377</v>
      </c>
      <c r="G68" s="100" t="s">
        <v>461</v>
      </c>
      <c r="H68" s="15"/>
    </row>
    <row r="69" customFormat="false" ht="17.35" hidden="false" customHeight="false" outlineLevel="0" collapsed="false">
      <c r="A69" s="95" t="n">
        <v>9</v>
      </c>
      <c r="B69" s="6" t="s">
        <v>176</v>
      </c>
      <c r="C69" s="95" t="s">
        <v>459</v>
      </c>
      <c r="D69" s="26" t="s">
        <v>377</v>
      </c>
      <c r="E69" s="90" t="s">
        <v>460</v>
      </c>
      <c r="F69" s="26" t="s">
        <v>377</v>
      </c>
      <c r="G69" s="100" t="s">
        <v>461</v>
      </c>
      <c r="H69" s="15"/>
    </row>
    <row r="70" customFormat="false" ht="17.35" hidden="false" customHeight="false" outlineLevel="0" collapsed="false">
      <c r="A70" s="95" t="n">
        <v>10</v>
      </c>
      <c r="B70" s="6" t="s">
        <v>177</v>
      </c>
      <c r="C70" s="95" t="s">
        <v>459</v>
      </c>
      <c r="D70" s="26" t="s">
        <v>350</v>
      </c>
      <c r="E70" s="90" t="s">
        <v>460</v>
      </c>
      <c r="F70" s="26" t="s">
        <v>377</v>
      </c>
      <c r="G70" s="100" t="s">
        <v>461</v>
      </c>
      <c r="H70" s="15" t="s">
        <v>462</v>
      </c>
    </row>
    <row r="71" customFormat="false" ht="17.35" hidden="false" customHeight="false" outlineLevel="0" collapsed="false">
      <c r="A71" s="95" t="n">
        <v>11</v>
      </c>
      <c r="B71" s="6" t="s">
        <v>178</v>
      </c>
      <c r="C71" s="95" t="s">
        <v>459</v>
      </c>
      <c r="D71" s="26" t="s">
        <v>377</v>
      </c>
      <c r="E71" s="90" t="s">
        <v>460</v>
      </c>
      <c r="F71" s="26" t="s">
        <v>377</v>
      </c>
      <c r="G71" s="100" t="s">
        <v>461</v>
      </c>
      <c r="H71" s="15"/>
    </row>
    <row r="72" customFormat="false" ht="17.35" hidden="false" customHeight="false" outlineLevel="0" collapsed="false">
      <c r="A72" s="95" t="n">
        <v>12</v>
      </c>
      <c r="B72" s="6" t="s">
        <v>179</v>
      </c>
      <c r="C72" s="95" t="s">
        <v>459</v>
      </c>
      <c r="D72" s="26" t="s">
        <v>377</v>
      </c>
      <c r="E72" s="90" t="s">
        <v>460</v>
      </c>
      <c r="F72" s="26" t="s">
        <v>377</v>
      </c>
      <c r="G72" s="100" t="s">
        <v>461</v>
      </c>
      <c r="H72" s="15"/>
    </row>
    <row r="73" customFormat="false" ht="17.35" hidden="false" customHeight="false" outlineLevel="0" collapsed="false">
      <c r="A73" s="95" t="n">
        <v>13</v>
      </c>
      <c r="B73" s="6" t="s">
        <v>180</v>
      </c>
      <c r="C73" s="95" t="s">
        <v>465</v>
      </c>
      <c r="D73" s="26" t="s">
        <v>377</v>
      </c>
      <c r="E73" s="90" t="s">
        <v>460</v>
      </c>
      <c r="F73" s="26" t="s">
        <v>350</v>
      </c>
      <c r="G73" s="100" t="s">
        <v>466</v>
      </c>
      <c r="H73" s="15"/>
    </row>
    <row r="74" customFormat="false" ht="17.35" hidden="false" customHeight="false" outlineLevel="0" collapsed="false">
      <c r="A74" s="95" t="n">
        <v>14</v>
      </c>
      <c r="B74" s="6" t="s">
        <v>182</v>
      </c>
      <c r="C74" s="95" t="s">
        <v>465</v>
      </c>
      <c r="D74" s="26" t="s">
        <v>377</v>
      </c>
      <c r="E74" s="90" t="s">
        <v>460</v>
      </c>
      <c r="F74" s="26" t="s">
        <v>377</v>
      </c>
      <c r="G74" s="100" t="s">
        <v>466</v>
      </c>
      <c r="H74" s="15"/>
    </row>
    <row r="75" customFormat="false" ht="17.35" hidden="false" customHeight="false" outlineLevel="0" collapsed="false">
      <c r="A75" s="95" t="n">
        <v>15</v>
      </c>
      <c r="B75" s="6" t="s">
        <v>183</v>
      </c>
      <c r="C75" s="95" t="s">
        <v>465</v>
      </c>
      <c r="D75" s="26" t="s">
        <v>377</v>
      </c>
      <c r="E75" s="90" t="s">
        <v>460</v>
      </c>
      <c r="F75" s="26" t="s">
        <v>350</v>
      </c>
      <c r="G75" s="100" t="s">
        <v>466</v>
      </c>
      <c r="H75" s="15"/>
    </row>
    <row r="76" customFormat="false" ht="17.35" hidden="false" customHeight="false" outlineLevel="0" collapsed="false">
      <c r="A76" s="95" t="n">
        <v>16</v>
      </c>
      <c r="B76" s="6" t="s">
        <v>184</v>
      </c>
      <c r="C76" s="95" t="s">
        <v>465</v>
      </c>
      <c r="D76" s="26" t="s">
        <v>377</v>
      </c>
      <c r="E76" s="90" t="s">
        <v>460</v>
      </c>
      <c r="F76" s="26" t="s">
        <v>350</v>
      </c>
      <c r="G76" s="100" t="s">
        <v>466</v>
      </c>
      <c r="H76" s="15"/>
    </row>
    <row r="77" customFormat="false" ht="17.35" hidden="false" customHeight="false" outlineLevel="0" collapsed="false">
      <c r="A77" s="95" t="n">
        <v>17</v>
      </c>
      <c r="B77" s="6" t="s">
        <v>185</v>
      </c>
      <c r="C77" s="95" t="s">
        <v>465</v>
      </c>
      <c r="D77" s="26" t="s">
        <v>377</v>
      </c>
      <c r="E77" s="90" t="s">
        <v>460</v>
      </c>
      <c r="F77" s="26" t="s">
        <v>350</v>
      </c>
      <c r="G77" s="100" t="s">
        <v>466</v>
      </c>
      <c r="H77" s="15"/>
    </row>
    <row r="78" customFormat="false" ht="17.35" hidden="false" customHeight="false" outlineLevel="0" collapsed="false">
      <c r="A78" s="95" t="n">
        <v>18</v>
      </c>
      <c r="B78" s="6" t="s">
        <v>186</v>
      </c>
      <c r="C78" s="95" t="s">
        <v>465</v>
      </c>
      <c r="D78" s="26" t="s">
        <v>377</v>
      </c>
      <c r="E78" s="90" t="s">
        <v>460</v>
      </c>
      <c r="F78" s="26" t="s">
        <v>350</v>
      </c>
      <c r="G78" s="100" t="s">
        <v>466</v>
      </c>
      <c r="H78" s="15"/>
    </row>
    <row r="79" customFormat="false" ht="17.35" hidden="false" customHeight="false" outlineLevel="0" collapsed="false">
      <c r="A79" s="95" t="n">
        <v>19</v>
      </c>
      <c r="B79" s="6" t="s">
        <v>187</v>
      </c>
      <c r="C79" s="95" t="s">
        <v>465</v>
      </c>
      <c r="D79" s="26" t="s">
        <v>377</v>
      </c>
      <c r="E79" s="90" t="s">
        <v>460</v>
      </c>
      <c r="F79" s="26" t="s">
        <v>350</v>
      </c>
      <c r="G79" s="100" t="s">
        <v>466</v>
      </c>
      <c r="H79" s="15"/>
    </row>
    <row r="80" customFormat="false" ht="17.35" hidden="false" customHeight="false" outlineLevel="0" collapsed="false">
      <c r="A80" s="95" t="n">
        <v>20</v>
      </c>
      <c r="B80" s="6" t="s">
        <v>188</v>
      </c>
      <c r="C80" s="95" t="s">
        <v>465</v>
      </c>
      <c r="D80" s="26" t="s">
        <v>377</v>
      </c>
      <c r="E80" s="90" t="s">
        <v>460</v>
      </c>
      <c r="F80" s="26" t="s">
        <v>350</v>
      </c>
      <c r="G80" s="100" t="s">
        <v>466</v>
      </c>
      <c r="H80" s="15"/>
    </row>
    <row r="81" customFormat="false" ht="17.35" hidden="false" customHeight="false" outlineLevel="0" collapsed="false">
      <c r="A81" s="95" t="n">
        <v>21</v>
      </c>
      <c r="B81" s="6" t="s">
        <v>189</v>
      </c>
      <c r="C81" s="95" t="s">
        <v>465</v>
      </c>
      <c r="D81" s="26" t="s">
        <v>377</v>
      </c>
      <c r="E81" s="90" t="s">
        <v>460</v>
      </c>
      <c r="F81" s="26" t="s">
        <v>377</v>
      </c>
      <c r="G81" s="100" t="s">
        <v>466</v>
      </c>
      <c r="H81" s="15"/>
    </row>
    <row r="82" customFormat="false" ht="26.85" hidden="false" customHeight="false" outlineLevel="0" collapsed="false">
      <c r="A82" s="95" t="n">
        <v>22</v>
      </c>
      <c r="B82" s="6" t="s">
        <v>190</v>
      </c>
      <c r="C82" s="95" t="s">
        <v>465</v>
      </c>
      <c r="D82" s="26" t="s">
        <v>377</v>
      </c>
      <c r="E82" s="90" t="s">
        <v>460</v>
      </c>
      <c r="F82" s="26" t="s">
        <v>377</v>
      </c>
      <c r="G82" s="100" t="s">
        <v>466</v>
      </c>
      <c r="H82" s="15"/>
    </row>
    <row r="83" customFormat="false" ht="17.35" hidden="false" customHeight="false" outlineLevel="0" collapsed="false">
      <c r="A83" s="95" t="n">
        <v>23</v>
      </c>
      <c r="B83" s="6" t="s">
        <v>191</v>
      </c>
      <c r="C83" s="95" t="s">
        <v>465</v>
      </c>
      <c r="D83" s="26" t="s">
        <v>377</v>
      </c>
      <c r="E83" s="90" t="s">
        <v>460</v>
      </c>
      <c r="F83" s="26" t="s">
        <v>377</v>
      </c>
      <c r="G83" s="100" t="s">
        <v>466</v>
      </c>
      <c r="H83" s="15"/>
    </row>
    <row r="84" customFormat="false" ht="17.35" hidden="false" customHeight="false" outlineLevel="0" collapsed="false">
      <c r="A84" s="95" t="n">
        <v>24</v>
      </c>
      <c r="B84" s="6" t="s">
        <v>192</v>
      </c>
      <c r="C84" s="95" t="s">
        <v>465</v>
      </c>
      <c r="D84" s="26" t="s">
        <v>377</v>
      </c>
      <c r="E84" s="90" t="s">
        <v>460</v>
      </c>
      <c r="F84" s="26" t="s">
        <v>377</v>
      </c>
      <c r="G84" s="100" t="s">
        <v>466</v>
      </c>
      <c r="H84" s="15"/>
    </row>
    <row r="85" customFormat="false" ht="17.35" hidden="false" customHeight="false" outlineLevel="0" collapsed="false">
      <c r="A85" s="95" t="n">
        <v>25</v>
      </c>
      <c r="B85" s="6" t="s">
        <v>193</v>
      </c>
      <c r="C85" s="95" t="s">
        <v>465</v>
      </c>
      <c r="D85" s="26" t="s">
        <v>377</v>
      </c>
      <c r="E85" s="90" t="s">
        <v>460</v>
      </c>
      <c r="F85" s="26" t="s">
        <v>350</v>
      </c>
      <c r="G85" s="100" t="s">
        <v>466</v>
      </c>
      <c r="H85" s="15"/>
    </row>
    <row r="86" customFormat="false" ht="17.35" hidden="false" customHeight="false" outlineLevel="0" collapsed="false">
      <c r="A86" s="95" t="n">
        <v>26</v>
      </c>
      <c r="B86" s="6" t="s">
        <v>194</v>
      </c>
      <c r="C86" s="95" t="s">
        <v>465</v>
      </c>
      <c r="D86" s="26" t="s">
        <v>377</v>
      </c>
      <c r="E86" s="90" t="s">
        <v>460</v>
      </c>
      <c r="F86" s="26" t="s">
        <v>350</v>
      </c>
      <c r="G86" s="100" t="s">
        <v>466</v>
      </c>
      <c r="H86" s="15"/>
    </row>
    <row r="87" customFormat="false" ht="17.35" hidden="false" customHeight="false" outlineLevel="0" collapsed="false">
      <c r="A87" s="95" t="n">
        <v>27</v>
      </c>
      <c r="B87" s="6" t="s">
        <v>195</v>
      </c>
      <c r="C87" s="95" t="s">
        <v>465</v>
      </c>
      <c r="D87" s="26" t="s">
        <v>377</v>
      </c>
      <c r="E87" s="90" t="s">
        <v>460</v>
      </c>
      <c r="F87" s="26" t="s">
        <v>350</v>
      </c>
      <c r="G87" s="100" t="s">
        <v>466</v>
      </c>
      <c r="H87" s="15"/>
    </row>
    <row r="88" customFormat="false" ht="17.35" hidden="false" customHeight="false" outlineLevel="0" collapsed="false">
      <c r="A88" s="95" t="n">
        <v>28</v>
      </c>
      <c r="B88" s="6" t="s">
        <v>196</v>
      </c>
      <c r="C88" s="95" t="s">
        <v>465</v>
      </c>
      <c r="D88" s="26" t="s">
        <v>377</v>
      </c>
      <c r="E88" s="90" t="s">
        <v>460</v>
      </c>
      <c r="F88" s="26" t="s">
        <v>350</v>
      </c>
      <c r="G88" s="100" t="s">
        <v>466</v>
      </c>
      <c r="H88" s="15"/>
    </row>
    <row r="89" customFormat="false" ht="17.35" hidden="false" customHeight="false" outlineLevel="0" collapsed="false">
      <c r="A89" s="95" t="n">
        <v>29</v>
      </c>
      <c r="B89" s="6" t="s">
        <v>197</v>
      </c>
      <c r="C89" s="95" t="s">
        <v>465</v>
      </c>
      <c r="D89" s="26" t="s">
        <v>377</v>
      </c>
      <c r="E89" s="90" t="s">
        <v>460</v>
      </c>
      <c r="F89" s="26" t="s">
        <v>377</v>
      </c>
      <c r="G89" s="100" t="s">
        <v>466</v>
      </c>
      <c r="H89" s="15"/>
    </row>
    <row r="90" customFormat="false" ht="26.85" hidden="false" customHeight="false" outlineLevel="0" collapsed="false">
      <c r="A90" s="95" t="n">
        <v>30</v>
      </c>
      <c r="B90" s="6" t="s">
        <v>219</v>
      </c>
      <c r="C90" s="95" t="s">
        <v>465</v>
      </c>
      <c r="D90" s="26" t="s">
        <v>377</v>
      </c>
      <c r="E90" s="90" t="s">
        <v>460</v>
      </c>
      <c r="F90" s="26" t="s">
        <v>350</v>
      </c>
      <c r="G90" s="100" t="s">
        <v>466</v>
      </c>
      <c r="H90" s="15"/>
    </row>
    <row r="91" customFormat="false" ht="17.35" hidden="false" customHeight="false" outlineLevel="0" collapsed="false">
      <c r="A91" s="95" t="n">
        <v>31</v>
      </c>
      <c r="B91" s="6" t="s">
        <v>199</v>
      </c>
      <c r="C91" s="95" t="s">
        <v>465</v>
      </c>
      <c r="D91" s="26" t="s">
        <v>377</v>
      </c>
      <c r="E91" s="90" t="s">
        <v>460</v>
      </c>
      <c r="F91" s="26" t="s">
        <v>377</v>
      </c>
      <c r="G91" s="100" t="s">
        <v>466</v>
      </c>
      <c r="H91" s="15"/>
    </row>
    <row r="92" customFormat="false" ht="17.35" hidden="false" customHeight="false" outlineLevel="0" collapsed="false">
      <c r="A92" s="95" t="n">
        <v>32</v>
      </c>
      <c r="B92" s="6" t="s">
        <v>200</v>
      </c>
      <c r="C92" s="95" t="s">
        <v>465</v>
      </c>
      <c r="D92" s="26" t="s">
        <v>377</v>
      </c>
      <c r="E92" s="90" t="s">
        <v>460</v>
      </c>
      <c r="F92" s="26" t="s">
        <v>377</v>
      </c>
      <c r="G92" s="100" t="s">
        <v>466</v>
      </c>
      <c r="H92" s="15"/>
    </row>
    <row r="93" customFormat="false" ht="17.35" hidden="false" customHeight="false" outlineLevel="0" collapsed="false">
      <c r="A93" s="95" t="n">
        <v>33</v>
      </c>
      <c r="B93" s="6" t="s">
        <v>201</v>
      </c>
      <c r="C93" s="95" t="s">
        <v>465</v>
      </c>
      <c r="D93" s="26" t="s">
        <v>377</v>
      </c>
      <c r="E93" s="90" t="s">
        <v>460</v>
      </c>
      <c r="F93" s="26" t="s">
        <v>377</v>
      </c>
      <c r="G93" s="100" t="s">
        <v>466</v>
      </c>
      <c r="H93" s="15"/>
    </row>
    <row r="94" customFormat="false" ht="17.35" hidden="false" customHeight="false" outlineLevel="0" collapsed="false">
      <c r="A94" s="95" t="n">
        <v>34</v>
      </c>
      <c r="B94" s="6" t="s">
        <v>202</v>
      </c>
      <c r="C94" s="95" t="s">
        <v>465</v>
      </c>
      <c r="D94" s="26" t="s">
        <v>377</v>
      </c>
      <c r="E94" s="90" t="s">
        <v>460</v>
      </c>
      <c r="F94" s="26" t="s">
        <v>377</v>
      </c>
      <c r="G94" s="100" t="s">
        <v>466</v>
      </c>
      <c r="H94" s="15"/>
    </row>
    <row r="95" customFormat="false" ht="17.35" hidden="false" customHeight="false" outlineLevel="0" collapsed="false">
      <c r="A95" s="95" t="n">
        <v>35</v>
      </c>
      <c r="B95" s="6" t="s">
        <v>203</v>
      </c>
      <c r="C95" s="95" t="s">
        <v>465</v>
      </c>
      <c r="D95" s="26" t="s">
        <v>377</v>
      </c>
      <c r="E95" s="90" t="s">
        <v>460</v>
      </c>
      <c r="F95" s="26" t="s">
        <v>350</v>
      </c>
      <c r="G95" s="100" t="s">
        <v>466</v>
      </c>
      <c r="H95" s="15"/>
    </row>
    <row r="96" customFormat="false" ht="17.35" hidden="false" customHeight="false" outlineLevel="0" collapsed="false">
      <c r="A96" s="95" t="n">
        <v>36</v>
      </c>
      <c r="B96" s="6" t="s">
        <v>204</v>
      </c>
      <c r="C96" s="95" t="s">
        <v>465</v>
      </c>
      <c r="D96" s="26" t="s">
        <v>350</v>
      </c>
      <c r="E96" s="90" t="s">
        <v>460</v>
      </c>
      <c r="F96" s="26" t="s">
        <v>377</v>
      </c>
      <c r="G96" s="100" t="s">
        <v>466</v>
      </c>
      <c r="H96" s="15" t="s">
        <v>462</v>
      </c>
    </row>
    <row r="97" customFormat="false" ht="17.35" hidden="false" customHeight="false" outlineLevel="0" collapsed="false">
      <c r="A97" s="95" t="n">
        <v>37</v>
      </c>
      <c r="B97" s="6" t="s">
        <v>205</v>
      </c>
      <c r="C97" s="95" t="s">
        <v>465</v>
      </c>
      <c r="D97" s="26" t="s">
        <v>350</v>
      </c>
      <c r="E97" s="90" t="s">
        <v>460</v>
      </c>
      <c r="F97" s="26" t="s">
        <v>377</v>
      </c>
      <c r="G97" s="100" t="s">
        <v>466</v>
      </c>
      <c r="H97" s="15" t="s">
        <v>467</v>
      </c>
    </row>
    <row r="98" customFormat="false" ht="26.85" hidden="false" customHeight="false" outlineLevel="0" collapsed="false">
      <c r="A98" s="95" t="n">
        <v>38</v>
      </c>
      <c r="B98" s="6" t="s">
        <v>206</v>
      </c>
      <c r="C98" s="95" t="s">
        <v>465</v>
      </c>
      <c r="D98" s="26" t="s">
        <v>377</v>
      </c>
      <c r="E98" s="90" t="s">
        <v>460</v>
      </c>
      <c r="F98" s="26" t="s">
        <v>350</v>
      </c>
      <c r="G98" s="100" t="s">
        <v>466</v>
      </c>
      <c r="H98" s="15"/>
    </row>
    <row r="99" customFormat="false" ht="17.35" hidden="false" customHeight="false" outlineLevel="0" collapsed="false">
      <c r="A99" s="95" t="n">
        <v>39</v>
      </c>
      <c r="B99" s="6" t="s">
        <v>207</v>
      </c>
      <c r="C99" s="95" t="s">
        <v>465</v>
      </c>
      <c r="D99" s="26" t="s">
        <v>377</v>
      </c>
      <c r="E99" s="90" t="s">
        <v>460</v>
      </c>
      <c r="F99" s="26" t="s">
        <v>377</v>
      </c>
      <c r="G99" s="100" t="s">
        <v>466</v>
      </c>
      <c r="H99" s="15"/>
    </row>
    <row r="100" customFormat="false" ht="17.35" hidden="false" customHeight="false" outlineLevel="0" collapsed="false">
      <c r="A100" s="95" t="n">
        <v>40</v>
      </c>
      <c r="B100" s="6" t="s">
        <v>208</v>
      </c>
      <c r="C100" s="95" t="s">
        <v>468</v>
      </c>
      <c r="D100" s="26" t="s">
        <v>377</v>
      </c>
      <c r="E100" s="90" t="s">
        <v>460</v>
      </c>
      <c r="F100" s="26" t="s">
        <v>377</v>
      </c>
      <c r="G100" s="100" t="s">
        <v>466</v>
      </c>
      <c r="H100" s="15"/>
    </row>
    <row r="101" customFormat="false" ht="17.35" hidden="false" customHeight="false" outlineLevel="0" collapsed="false">
      <c r="A101" s="95" t="n">
        <v>41</v>
      </c>
      <c r="B101" s="6" t="s">
        <v>209</v>
      </c>
      <c r="C101" s="95" t="s">
        <v>468</v>
      </c>
      <c r="D101" s="26" t="s">
        <v>377</v>
      </c>
      <c r="E101" s="90" t="s">
        <v>460</v>
      </c>
      <c r="F101" s="26" t="s">
        <v>377</v>
      </c>
      <c r="G101" s="100" t="s">
        <v>466</v>
      </c>
      <c r="H101" s="15"/>
    </row>
    <row r="102" customFormat="false" ht="17.35" hidden="false" customHeight="false" outlineLevel="0" collapsed="false">
      <c r="A102" s="95" t="n">
        <v>42</v>
      </c>
      <c r="B102" s="6" t="s">
        <v>210</v>
      </c>
      <c r="C102" s="95" t="s">
        <v>469</v>
      </c>
      <c r="D102" s="26" t="s">
        <v>377</v>
      </c>
      <c r="E102" s="90" t="s">
        <v>460</v>
      </c>
      <c r="F102" s="26" t="s">
        <v>377</v>
      </c>
      <c r="G102" s="100" t="s">
        <v>466</v>
      </c>
      <c r="H102" s="15"/>
    </row>
    <row r="103" customFormat="false" ht="17.35" hidden="false" customHeight="false" outlineLevel="0" collapsed="false">
      <c r="A103" s="95" t="n">
        <v>43</v>
      </c>
      <c r="B103" s="6" t="s">
        <v>211</v>
      </c>
      <c r="C103" s="95" t="s">
        <v>469</v>
      </c>
      <c r="D103" s="26" t="s">
        <v>377</v>
      </c>
      <c r="E103" s="90" t="s">
        <v>460</v>
      </c>
      <c r="F103" s="26" t="s">
        <v>350</v>
      </c>
      <c r="G103" s="100" t="s">
        <v>466</v>
      </c>
      <c r="H103" s="15"/>
    </row>
    <row r="104" customFormat="false" ht="17.35" hidden="false" customHeight="false" outlineLevel="0" collapsed="false">
      <c r="A104" s="95" t="n">
        <v>44</v>
      </c>
      <c r="B104" s="6" t="s">
        <v>212</v>
      </c>
      <c r="C104" s="95" t="s">
        <v>469</v>
      </c>
      <c r="D104" s="26" t="s">
        <v>377</v>
      </c>
      <c r="E104" s="90" t="s">
        <v>460</v>
      </c>
      <c r="F104" s="26" t="s">
        <v>377</v>
      </c>
      <c r="G104" s="100" t="s">
        <v>466</v>
      </c>
      <c r="H104" s="15"/>
    </row>
    <row r="105" customFormat="false" ht="17.35" hidden="false" customHeight="false" outlineLevel="0" collapsed="false">
      <c r="A105" s="95" t="n">
        <v>45</v>
      </c>
      <c r="B105" s="6" t="s">
        <v>213</v>
      </c>
      <c r="C105" s="95" t="s">
        <v>469</v>
      </c>
      <c r="D105" s="26" t="s">
        <v>377</v>
      </c>
      <c r="E105" s="90" t="s">
        <v>460</v>
      </c>
      <c r="F105" s="26" t="s">
        <v>350</v>
      </c>
      <c r="G105" s="100" t="s">
        <v>466</v>
      </c>
      <c r="H105" s="15"/>
    </row>
    <row r="106" customFormat="false" ht="17.35" hidden="false" customHeight="false" outlineLevel="0" collapsed="false">
      <c r="A106" s="95" t="n">
        <v>46</v>
      </c>
      <c r="B106" s="6" t="s">
        <v>214</v>
      </c>
      <c r="C106" s="95" t="s">
        <v>470</v>
      </c>
      <c r="D106" s="26" t="s">
        <v>350</v>
      </c>
      <c r="E106" s="90" t="s">
        <v>460</v>
      </c>
      <c r="F106" s="26" t="s">
        <v>377</v>
      </c>
      <c r="G106" s="100" t="s">
        <v>466</v>
      </c>
      <c r="H106" s="15" t="s">
        <v>471</v>
      </c>
    </row>
  </sheetData>
  <dataValidations count="5">
    <dataValidation allowBlank="false" errorStyle="stop" operator="between" showDropDown="false" showErrorMessage="false" showInputMessage="false" sqref="B6" type="list">
      <formula1>"入金確認済のみ,受領済以降すべて"</formula1>
      <formula2>0</formula2>
    </dataValidation>
    <dataValidation allowBlank="false" errorStyle="stop" operator="between" showDropDown="false" showErrorMessage="false" showInputMessage="false" sqref="D61:D106" type="list">
      <formula1>"Y,N"</formula1>
      <formula2>0</formula2>
    </dataValidation>
    <dataValidation allowBlank="false" errorStyle="stop" operator="between" showDropDown="false" showErrorMessage="false" showInputMessage="false" sqref="E61:E106" type="list">
      <formula1>"合算,掛金・負担金別,経理区分別"</formula1>
      <formula2>0</formula2>
    </dataValidation>
    <dataValidation allowBlank="false" errorStyle="stop" operator="between" showDropDown="false" showErrorMessage="false" showInputMessage="false" sqref="F61:F106" type="list">
      <formula1>"Y,N"</formula1>
      <formula2>0</formula2>
    </dataValidation>
    <dataValidation allowBlank="false" errorStyle="stop" operator="between" showDropDown="false" showErrorMessage="false" showInputMessage="false" sqref="G61:G106" type="list">
      <formula1>"市局型,外郭型"</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S5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3" min="3" style="0" width="11"/>
    <col collapsed="false" customWidth="true" hidden="false" outlineLevel="0" max="4" min="4" style="0" width="22"/>
    <col collapsed="false" customWidth="true" hidden="false" outlineLevel="0" max="5" min="5" style="0" width="8"/>
    <col collapsed="false" customWidth="true" hidden="false" outlineLevel="0" max="6" min="6" style="0" width="12"/>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5"/>
    <col collapsed="false" customWidth="true" hidden="false" outlineLevel="0" max="12" min="12" style="0" width="8"/>
    <col collapsed="false" customWidth="true" hidden="false" outlineLevel="0" max="16" min="13" style="0" width="6"/>
    <col collapsed="false" customWidth="true" hidden="false" outlineLevel="0" max="17" min="17" style="0" width="12"/>
    <col collapsed="false" customWidth="true" hidden="false" outlineLevel="0" max="18" min="18" style="0" width="11"/>
    <col collapsed="false" customWidth="true" hidden="false" outlineLevel="0" max="19" min="19" style="0" width="30"/>
  </cols>
  <sheetData>
    <row r="1" customFormat="false" ht="17.35" hidden="false" customHeight="false" outlineLevel="0" collapsed="false">
      <c r="A1" s="101" t="s">
        <v>472</v>
      </c>
    </row>
    <row r="2" customFormat="false" ht="17.35" hidden="false" customHeight="false" outlineLevel="0" collapsed="false">
      <c r="A2" s="102" t="s">
        <v>473</v>
      </c>
    </row>
    <row r="3" customFormat="false" ht="17.35" hidden="false" customHeight="false" outlineLevel="0" collapsed="false"/>
    <row r="4" customFormat="false" ht="17.35" hidden="false" customHeight="false" outlineLevel="0" collapsed="false"/>
    <row r="5" customFormat="false" ht="15" hidden="false" customHeight="false" outlineLevel="0" collapsed="false">
      <c r="A5" s="21" t="s">
        <v>74</v>
      </c>
      <c r="B5" s="21" t="s">
        <v>243</v>
      </c>
      <c r="C5" s="21" t="s">
        <v>41</v>
      </c>
      <c r="D5" s="21" t="s">
        <v>474</v>
      </c>
      <c r="E5" s="21" t="s">
        <v>260</v>
      </c>
      <c r="F5" s="21" t="s">
        <v>265</v>
      </c>
      <c r="G5" s="21" t="s">
        <v>266</v>
      </c>
      <c r="H5" s="21" t="s">
        <v>267</v>
      </c>
      <c r="I5" s="21" t="s">
        <v>262</v>
      </c>
      <c r="J5" s="21" t="s">
        <v>263</v>
      </c>
      <c r="K5" s="21" t="s">
        <v>475</v>
      </c>
      <c r="L5" s="21" t="s">
        <v>476</v>
      </c>
      <c r="M5" s="21" t="s">
        <v>477</v>
      </c>
      <c r="N5" s="21" t="s">
        <v>273</v>
      </c>
      <c r="O5" s="21" t="s">
        <v>478</v>
      </c>
      <c r="P5" s="21" t="s">
        <v>479</v>
      </c>
      <c r="Q5" s="21" t="s">
        <v>480</v>
      </c>
      <c r="R5" s="21" t="s">
        <v>268</v>
      </c>
      <c r="S5" s="21" t="s">
        <v>269</v>
      </c>
    </row>
    <row r="6" customFormat="false" ht="15" hidden="false" customHeight="false" outlineLevel="0" collapsed="false">
      <c r="A6" s="5" t="str">
        <f aca="false">設定!B61</f>
        <v>市長部局</v>
      </c>
      <c r="B6" s="5" t="n">
        <f aca="false">IFERROR(MATCH(ホーム!$C$4&amp;"|"&amp;A6,報告入力!$CM$7:$CM$696,0),"")</f>
        <v>323</v>
      </c>
      <c r="C6" s="5" t="str">
        <f aca="false">IF(B6="","",INDEX(報告入力!$C$7:$C$696,B6))</f>
        <v>未受領</v>
      </c>
      <c r="D6" s="5" t="str">
        <f aca="false">設定!$A$39</f>
        <v>長期（厚生年金保険経理）</v>
      </c>
      <c r="E6" s="5" t="str">
        <f aca="false">設定!$B$39&amp;""</f>
        <v>130</v>
      </c>
      <c r="F6" s="5" t="str">
        <f aca="false">設定!$D$46&amp;""</f>
        <v>6102102000</v>
      </c>
      <c r="G6" s="5" t="str">
        <f aca="false">設定!$E$46&amp;""</f>
        <v>標月額保険料</v>
      </c>
      <c r="H6" s="5" t="n">
        <f aca="false">IF(B6="",0,N(INDEX(報告入力!$AY$7:$AY$696,B6)))</f>
        <v>233913712</v>
      </c>
      <c r="I6" s="5" t="str">
        <f aca="false">設定!$C$39&amp;""</f>
        <v>1104001001</v>
      </c>
      <c r="J6" s="5" t="str">
        <f aca="false">設定!$D$39&amp;""</f>
        <v>普広銀市役所</v>
      </c>
      <c r="K6" s="5" t="n">
        <f aca="false">IF(AND(H6&lt;&gt;0,IF(設定!$B$6="入金確認済のみ",C6="入金確認済",OR(C6="入金確認済",C6="受領済"))),1,0)</f>
        <v>0</v>
      </c>
      <c r="L6" s="5" t="str">
        <f aca="false">1&amp;"|"&amp;1</f>
        <v>1|1</v>
      </c>
      <c r="M6" s="5" t="n">
        <f aca="false">IF(L6="",0,0)+K6</f>
        <v>0</v>
      </c>
      <c r="N6" s="5" t="n">
        <f aca="false">IF(AND(K6=1,M6=1),1,0)</f>
        <v>0</v>
      </c>
      <c r="O6" s="5" t="str">
        <f aca="false">IF(K6=1,MAX($O$5:O5)+1,"")</f>
        <v/>
      </c>
      <c r="P6" s="5" t="str">
        <f aca="false">IF(K6=1,SUM($N$6:N6),"")</f>
        <v/>
      </c>
      <c r="Q6" s="5" t="str">
        <f aca="false">IF(K6=1,SUMIFS($H$6:$H$511,$L$6:$L$511,L6,$K$6:$K$511,1),"")</f>
        <v/>
      </c>
      <c r="R6" s="103" t="str">
        <f aca="false">IF(B6="","",IF(INDEX(報告入力!$AB$7:$AB$696,B6)="","",INDEX(報告入力!$AB$7:$AB$696,B6)))</f>
        <v/>
      </c>
      <c r="S6" s="5" t="str">
        <f aca="false">設定!$C$46</f>
        <v>長期：厚生年金保険料（組合員負担分）</v>
      </c>
    </row>
    <row r="7" customFormat="false" ht="15" hidden="false" customHeight="false" outlineLevel="0" collapsed="false">
      <c r="A7" s="5" t="str">
        <f aca="false">設定!B61</f>
        <v>市長部局</v>
      </c>
      <c r="B7" s="5" t="n">
        <f aca="false">IFERROR(MATCH(ホーム!$C$4&amp;"|"&amp;A7,報告入力!$CM$7:$CM$696,0),"")</f>
        <v>323</v>
      </c>
      <c r="C7" s="5" t="str">
        <f aca="false">IF(B7="","",INDEX(報告入力!$C$7:$C$696,B7))</f>
        <v>未受領</v>
      </c>
      <c r="D7" s="5" t="str">
        <f aca="false">設定!$A$39</f>
        <v>長期（厚生年金保険経理）</v>
      </c>
      <c r="E7" s="5" t="str">
        <f aca="false">設定!$B$39&amp;""</f>
        <v>130</v>
      </c>
      <c r="F7" s="5" t="str">
        <f aca="false">設定!$D$47&amp;""</f>
        <v>2109001014</v>
      </c>
      <c r="G7" s="5" t="str">
        <f aca="false">設定!$E$47&amp;""</f>
        <v>退職標報掛金</v>
      </c>
      <c r="H7" s="5" t="n">
        <f aca="false">IF(B7="",0,N(INDEX(報告入力!$AZ$7:$AZ$696,B7)))</f>
        <v>19178131</v>
      </c>
      <c r="I7" s="5" t="str">
        <f aca="false">設定!$C$39&amp;""</f>
        <v>1104001001</v>
      </c>
      <c r="J7" s="5" t="str">
        <f aca="false">設定!$D$39&amp;""</f>
        <v>普広銀市役所</v>
      </c>
      <c r="K7" s="5" t="n">
        <f aca="false">IF(AND(H7&lt;&gt;0,IF(設定!$B$6="入金確認済のみ",C7="入金確認済",OR(C7="入金確認済",C7="受領済"))),1,0)</f>
        <v>0</v>
      </c>
      <c r="L7" s="5" t="str">
        <f aca="false">1&amp;"|"&amp;1</f>
        <v>1|1</v>
      </c>
      <c r="M7" s="5" t="n">
        <f aca="false">IF(L7=L6,M6,0)+K7</f>
        <v>0</v>
      </c>
      <c r="N7" s="5" t="n">
        <f aca="false">IF(AND(K7=1,M7=1),1,0)</f>
        <v>0</v>
      </c>
      <c r="O7" s="5" t="str">
        <f aca="false">IF(K7=1,MAX($O$5:O6)+1,"")</f>
        <v/>
      </c>
      <c r="P7" s="5" t="str">
        <f aca="false">IF(K7=1,SUM($N$6:N7),"")</f>
        <v/>
      </c>
      <c r="Q7" s="5" t="str">
        <f aca="false">IF(K7=1,SUMIFS($H$6:$H$511,$L$6:$L$511,L7,$K$6:$K$511,1),"")</f>
        <v/>
      </c>
      <c r="R7" s="103" t="str">
        <f aca="false">IF(B7="","",IF(INDEX(報告入力!$AB$7:$AB$696,B7)="","",INDEX(報告入力!$AB$7:$AB$696,B7)))</f>
        <v/>
      </c>
      <c r="S7" s="5" t="str">
        <f aca="false">設定!$C$47</f>
        <v>長期：退職等年金掛金</v>
      </c>
    </row>
    <row r="8" customFormat="false" ht="15" hidden="false" customHeight="false" outlineLevel="0" collapsed="false">
      <c r="A8" s="5" t="str">
        <f aca="false">設定!B61</f>
        <v>市長部局</v>
      </c>
      <c r="B8" s="5" t="n">
        <f aca="false">IFERROR(MATCH(ホーム!$C$4&amp;"|"&amp;A8,報告入力!$CM$7:$CM$696,0),"")</f>
        <v>323</v>
      </c>
      <c r="C8" s="5" t="str">
        <f aca="false">IF(B8="","",INDEX(報告入力!$C$7:$C$696,B8))</f>
        <v>未受領</v>
      </c>
      <c r="D8" s="5" t="str">
        <f aca="false">設定!$A$39</f>
        <v>長期（厚生年金保険経理）</v>
      </c>
      <c r="E8" s="5" t="str">
        <f aca="false">設定!$B$39&amp;""</f>
        <v>130</v>
      </c>
      <c r="F8" s="5" t="str">
        <f aca="false">設定!$D$48&amp;""</f>
        <v>6101002000</v>
      </c>
      <c r="G8" s="5" t="str">
        <f aca="false">設定!$E$48&amp;""</f>
        <v>負担地方公共</v>
      </c>
      <c r="H8" s="5" t="n">
        <f aca="false">IF(B8="",0,N(INDEX(報告入力!$BA$7:$BA$696,B8)))</f>
        <v>339986672</v>
      </c>
      <c r="I8" s="5" t="str">
        <f aca="false">設定!$C$39&amp;""</f>
        <v>1104001001</v>
      </c>
      <c r="J8" s="5" t="str">
        <f aca="false">設定!$D$39&amp;""</f>
        <v>普広銀市役所</v>
      </c>
      <c r="K8" s="5" t="n">
        <f aca="false">IF(AND(H8&lt;&gt;0,IF(設定!$B$6="入金確認済のみ",C8="入金確認済",OR(C8="入金確認済",C8="受領済"))),1,0)</f>
        <v>0</v>
      </c>
      <c r="L8" s="5" t="str">
        <f aca="false">1&amp;"|"&amp;1</f>
        <v>1|1</v>
      </c>
      <c r="M8" s="5" t="n">
        <f aca="false">IF(L8=L7,M7,0)+K8</f>
        <v>0</v>
      </c>
      <c r="N8" s="5" t="n">
        <f aca="false">IF(AND(K8=1,M8=1),1,0)</f>
        <v>0</v>
      </c>
      <c r="O8" s="5" t="str">
        <f aca="false">IF(K8=1,MAX($O$5:O7)+1,"")</f>
        <v/>
      </c>
      <c r="P8" s="5" t="str">
        <f aca="false">IF(K8=1,SUM($N$6:N8),"")</f>
        <v/>
      </c>
      <c r="Q8" s="5" t="str">
        <f aca="false">IF(K8=1,SUMIFS($H$6:$H$511,$L$6:$L$511,L8,$K$6:$K$511,1),"")</f>
        <v/>
      </c>
      <c r="R8" s="103" t="str">
        <f aca="false">IF(B8="","",IF(INDEX(報告入力!$AB$7:$AB$696,B8)="","",INDEX(報告入力!$AB$7:$AB$696,B8)))</f>
        <v/>
      </c>
      <c r="S8" s="5" t="str">
        <f aca="false">設定!$C$48</f>
        <v>長期：厚生年金保険料（事業主負担分）</v>
      </c>
    </row>
    <row r="9" customFormat="false" ht="15" hidden="false" customHeight="false" outlineLevel="0" collapsed="false">
      <c r="A9" s="5" t="str">
        <f aca="false">設定!B61</f>
        <v>市長部局</v>
      </c>
      <c r="B9" s="5" t="n">
        <f aca="false">IFERROR(MATCH(ホーム!$C$4&amp;"|"&amp;A9,報告入力!$CM$7:$CM$696,0),"")</f>
        <v>323</v>
      </c>
      <c r="C9" s="5" t="str">
        <f aca="false">IF(B9="","",INDEX(報告入力!$C$7:$C$696,B9))</f>
        <v>未受領</v>
      </c>
      <c r="D9" s="5" t="str">
        <f aca="false">設定!$A$39</f>
        <v>長期（厚生年金保険経理）</v>
      </c>
      <c r="E9" s="5" t="str">
        <f aca="false">設定!$B$39&amp;""</f>
        <v>130</v>
      </c>
      <c r="F9" s="5" t="str">
        <f aca="false">設定!$D$49&amp;""</f>
        <v>2109001015</v>
      </c>
      <c r="G9" s="5" t="str">
        <f aca="false">設定!$E$49&amp;""</f>
        <v>退職負担地方</v>
      </c>
      <c r="H9" s="5" t="n">
        <f aca="false">IF(B9="",0,N(INDEX(報告入力!$BB$7:$BB$696,B9)))</f>
        <v>18646418</v>
      </c>
      <c r="I9" s="5" t="str">
        <f aca="false">設定!$C$39&amp;""</f>
        <v>1104001001</v>
      </c>
      <c r="J9" s="5" t="str">
        <f aca="false">設定!$D$39&amp;""</f>
        <v>普広銀市役所</v>
      </c>
      <c r="K9" s="5" t="n">
        <f aca="false">IF(AND(H9&lt;&gt;0,IF(設定!$B$6="入金確認済のみ",C9="入金確認済",OR(C9="入金確認済",C9="受領済"))),1,0)</f>
        <v>0</v>
      </c>
      <c r="L9" s="5" t="str">
        <f aca="false">1&amp;"|"&amp;1</f>
        <v>1|1</v>
      </c>
      <c r="M9" s="5" t="n">
        <f aca="false">IF(L9=L8,M8,0)+K9</f>
        <v>0</v>
      </c>
      <c r="N9" s="5" t="n">
        <f aca="false">IF(AND(K9=1,M9=1),1,0)</f>
        <v>0</v>
      </c>
      <c r="O9" s="5" t="str">
        <f aca="false">IF(K9=1,MAX($O$5:O8)+1,"")</f>
        <v/>
      </c>
      <c r="P9" s="5" t="str">
        <f aca="false">IF(K9=1,SUM($N$6:N9),"")</f>
        <v/>
      </c>
      <c r="Q9" s="5" t="str">
        <f aca="false">IF(K9=1,SUMIFS($H$6:$H$511,$L$6:$L$511,L9,$K$6:$K$511,1),"")</f>
        <v/>
      </c>
      <c r="R9" s="103" t="str">
        <f aca="false">IF(B9="","",IF(INDEX(報告入力!$AB$7:$AB$696,B9)="","",INDEX(報告入力!$AB$7:$AB$696,B9)))</f>
        <v/>
      </c>
      <c r="S9" s="5" t="str">
        <f aca="false">設定!$C$49</f>
        <v>長期：退職等年金負担金</v>
      </c>
    </row>
    <row r="10" customFormat="false" ht="15" hidden="false" customHeight="false" outlineLevel="0" collapsed="false">
      <c r="A10" s="5" t="str">
        <f aca="false">設定!B61</f>
        <v>市長部局</v>
      </c>
      <c r="B10" s="5" t="n">
        <f aca="false">IFERROR(MATCH(ホーム!$C$4&amp;"|"&amp;A10,報告入力!$CM$7:$CM$696,0),"")</f>
        <v>323</v>
      </c>
      <c r="C10" s="5" t="str">
        <f aca="false">IF(B10="","",INDEX(報告入力!$C$7:$C$696,B10))</f>
        <v>未受領</v>
      </c>
      <c r="D10" s="5" t="str">
        <f aca="false">設定!$A$39</f>
        <v>長期（厚生年金保険経理）</v>
      </c>
      <c r="E10" s="5" t="str">
        <f aca="false">設定!$B$39&amp;""</f>
        <v>130</v>
      </c>
      <c r="F10" s="5" t="str">
        <f aca="false">設定!$D$50&amp;""</f>
        <v>2109001017</v>
      </c>
      <c r="G10" s="5" t="str">
        <f aca="false">設定!$E$50&amp;""</f>
        <v>経過的負担金</v>
      </c>
      <c r="H10" s="5" t="n">
        <f aca="false">IF(B10="",0,N(INDEX(報告入力!$BC$7:$BC$696,B10)))</f>
        <v>245153</v>
      </c>
      <c r="I10" s="5" t="str">
        <f aca="false">設定!$C$39&amp;""</f>
        <v>1104001001</v>
      </c>
      <c r="J10" s="5" t="str">
        <f aca="false">設定!$D$39&amp;""</f>
        <v>普広銀市役所</v>
      </c>
      <c r="K10" s="5" t="n">
        <f aca="false">IF(AND(H10&lt;&gt;0,IF(設定!$B$6="入金確認済のみ",C10="入金確認済",OR(C10="入金確認済",C10="受領済"))),1,0)</f>
        <v>0</v>
      </c>
      <c r="L10" s="5" t="str">
        <f aca="false">1&amp;"|"&amp;1</f>
        <v>1|1</v>
      </c>
      <c r="M10" s="5" t="n">
        <f aca="false">IF(L10=L9,M9,0)+K10</f>
        <v>0</v>
      </c>
      <c r="N10" s="5" t="n">
        <f aca="false">IF(AND(K10=1,M10=1),1,0)</f>
        <v>0</v>
      </c>
      <c r="O10" s="5" t="str">
        <f aca="false">IF(K10=1,MAX($O$5:O9)+1,"")</f>
        <v/>
      </c>
      <c r="P10" s="5" t="str">
        <f aca="false">IF(K10=1,SUM($N$6:N10),"")</f>
        <v/>
      </c>
      <c r="Q10" s="5" t="str">
        <f aca="false">IF(K10=1,SUMIFS($H$6:$H$511,$L$6:$L$511,L10,$K$6:$K$511,1),"")</f>
        <v/>
      </c>
      <c r="R10" s="103" t="str">
        <f aca="false">IF(B10="","",IF(INDEX(報告入力!$AB$7:$AB$696,B10)="","",INDEX(報告入力!$AB$7:$AB$696,B10)))</f>
        <v/>
      </c>
      <c r="S10" s="5" t="str">
        <f aca="false">設定!$C$50</f>
        <v>長期：経過的長期</v>
      </c>
    </row>
    <row r="11" customFormat="false" ht="15" hidden="false" customHeight="false" outlineLevel="0" collapsed="false">
      <c r="A11" s="5" t="str">
        <f aca="false">設定!B62</f>
        <v>下水道局</v>
      </c>
      <c r="B11" s="5" t="n">
        <f aca="false">IFERROR(MATCH(ホーム!$C$4&amp;"|"&amp;A11,報告入力!$CM$7:$CM$696,0),"")</f>
        <v>324</v>
      </c>
      <c r="C11" s="5" t="str">
        <f aca="false">IF(B11="","",INDEX(報告入力!$C$7:$C$696,B11))</f>
        <v>未受領</v>
      </c>
      <c r="D11" s="5" t="str">
        <f aca="false">設定!$A$39</f>
        <v>長期（厚生年金保険経理）</v>
      </c>
      <c r="E11" s="5" t="str">
        <f aca="false">設定!$B$39&amp;""</f>
        <v>130</v>
      </c>
      <c r="F11" s="5" t="str">
        <f aca="false">設定!$D$46&amp;""</f>
        <v>6102102000</v>
      </c>
      <c r="G11" s="5" t="str">
        <f aca="false">設定!$E$46&amp;""</f>
        <v>標月額保険料</v>
      </c>
      <c r="H11" s="5" t="n">
        <f aca="false">IF(B11="",0,N(INDEX(報告入力!$AY$7:$AY$696,B11)))</f>
        <v>16602675</v>
      </c>
      <c r="I11" s="5" t="str">
        <f aca="false">設定!$C$39&amp;""</f>
        <v>1104001001</v>
      </c>
      <c r="J11" s="5" t="str">
        <f aca="false">設定!$D$39&amp;""</f>
        <v>普広銀市役所</v>
      </c>
      <c r="K11" s="5" t="n">
        <f aca="false">IF(AND(H11&lt;&gt;0,IF(設定!$B$6="入金確認済のみ",C11="入金確認済",OR(C11="入金確認済",C11="受領済"))),1,0)</f>
        <v>0</v>
      </c>
      <c r="L11" s="5" t="str">
        <f aca="false">1&amp;"|"&amp;2</f>
        <v>1|2</v>
      </c>
      <c r="M11" s="5" t="n">
        <f aca="false">IF(L11=L10,M10,0)+K11</f>
        <v>0</v>
      </c>
      <c r="N11" s="5" t="n">
        <f aca="false">IF(AND(K11=1,M11=1),1,0)</f>
        <v>0</v>
      </c>
      <c r="O11" s="5" t="str">
        <f aca="false">IF(K11=1,MAX($O$5:O10)+1,"")</f>
        <v/>
      </c>
      <c r="P11" s="5" t="str">
        <f aca="false">IF(K11=1,SUM($N$6:N11),"")</f>
        <v/>
      </c>
      <c r="Q11" s="5" t="str">
        <f aca="false">IF(K11=1,SUMIFS($H$6:$H$511,$L$6:$L$511,L11,$K$6:$K$511,1),"")</f>
        <v/>
      </c>
      <c r="R11" s="103" t="str">
        <f aca="false">IF(B11="","",IF(INDEX(報告入力!$AB$7:$AB$696,B11)="","",INDEX(報告入力!$AB$7:$AB$696,B11)))</f>
        <v/>
      </c>
      <c r="S11" s="5" t="str">
        <f aca="false">設定!$C$46</f>
        <v>長期：厚生年金保険料（組合員負担分）</v>
      </c>
    </row>
    <row r="12" customFormat="false" ht="15" hidden="false" customHeight="false" outlineLevel="0" collapsed="false">
      <c r="A12" s="5" t="str">
        <f aca="false">設定!B62</f>
        <v>下水道局</v>
      </c>
      <c r="B12" s="5" t="n">
        <f aca="false">IFERROR(MATCH(ホーム!$C$4&amp;"|"&amp;A12,報告入力!$CM$7:$CM$696,0),"")</f>
        <v>324</v>
      </c>
      <c r="C12" s="5" t="str">
        <f aca="false">IF(B12="","",INDEX(報告入力!$C$7:$C$696,B12))</f>
        <v>未受領</v>
      </c>
      <c r="D12" s="5" t="str">
        <f aca="false">設定!$A$39</f>
        <v>長期（厚生年金保険経理）</v>
      </c>
      <c r="E12" s="5" t="str">
        <f aca="false">設定!$B$39&amp;""</f>
        <v>130</v>
      </c>
      <c r="F12" s="5" t="str">
        <f aca="false">設定!$D$47&amp;""</f>
        <v>2109001014</v>
      </c>
      <c r="G12" s="5" t="str">
        <f aca="false">設定!$E$47&amp;""</f>
        <v>退職標報掛金</v>
      </c>
      <c r="H12" s="5" t="n">
        <f aca="false">IF(B12="",0,N(INDEX(報告入力!$AZ$7:$AZ$696,B12)))</f>
        <v>1360875</v>
      </c>
      <c r="I12" s="5" t="str">
        <f aca="false">設定!$C$39&amp;""</f>
        <v>1104001001</v>
      </c>
      <c r="J12" s="5" t="str">
        <f aca="false">設定!$D$39&amp;""</f>
        <v>普広銀市役所</v>
      </c>
      <c r="K12" s="5" t="n">
        <f aca="false">IF(AND(H12&lt;&gt;0,IF(設定!$B$6="入金確認済のみ",C12="入金確認済",OR(C12="入金確認済",C12="受領済"))),1,0)</f>
        <v>0</v>
      </c>
      <c r="L12" s="5" t="str">
        <f aca="false">1&amp;"|"&amp;2</f>
        <v>1|2</v>
      </c>
      <c r="M12" s="5" t="n">
        <f aca="false">IF(L12=L11,M11,0)+K12</f>
        <v>0</v>
      </c>
      <c r="N12" s="5" t="n">
        <f aca="false">IF(AND(K12=1,M12=1),1,0)</f>
        <v>0</v>
      </c>
      <c r="O12" s="5" t="str">
        <f aca="false">IF(K12=1,MAX($O$5:O11)+1,"")</f>
        <v/>
      </c>
      <c r="P12" s="5" t="str">
        <f aca="false">IF(K12=1,SUM($N$6:N12),"")</f>
        <v/>
      </c>
      <c r="Q12" s="5" t="str">
        <f aca="false">IF(K12=1,SUMIFS($H$6:$H$511,$L$6:$L$511,L12,$K$6:$K$511,1),"")</f>
        <v/>
      </c>
      <c r="R12" s="103" t="str">
        <f aca="false">IF(B12="","",IF(INDEX(報告入力!$AB$7:$AB$696,B12)="","",INDEX(報告入力!$AB$7:$AB$696,B12)))</f>
        <v/>
      </c>
      <c r="S12" s="5" t="str">
        <f aca="false">設定!$C$47</f>
        <v>長期：退職等年金掛金</v>
      </c>
    </row>
    <row r="13" customFormat="false" ht="15" hidden="false" customHeight="false" outlineLevel="0" collapsed="false">
      <c r="A13" s="5" t="str">
        <f aca="false">設定!B62</f>
        <v>下水道局</v>
      </c>
      <c r="B13" s="5" t="n">
        <f aca="false">IFERROR(MATCH(ホーム!$C$4&amp;"|"&amp;A13,報告入力!$CM$7:$CM$696,0),"")</f>
        <v>324</v>
      </c>
      <c r="C13" s="5" t="str">
        <f aca="false">IF(B13="","",INDEX(報告入力!$C$7:$C$696,B13))</f>
        <v>未受領</v>
      </c>
      <c r="D13" s="5" t="str">
        <f aca="false">設定!$A$39</f>
        <v>長期（厚生年金保険経理）</v>
      </c>
      <c r="E13" s="5" t="str">
        <f aca="false">設定!$B$39&amp;""</f>
        <v>130</v>
      </c>
      <c r="F13" s="5" t="str">
        <f aca="false">設定!$D$48&amp;""</f>
        <v>6101002000</v>
      </c>
      <c r="G13" s="5" t="str">
        <f aca="false">設定!$E$48&amp;""</f>
        <v>負担地方公共</v>
      </c>
      <c r="H13" s="5" t="n">
        <f aca="false">IF(B13="",0,N(INDEX(報告入力!$BA$7:$BA$696,B13)))</f>
        <v>24157652</v>
      </c>
      <c r="I13" s="5" t="str">
        <f aca="false">設定!$C$39&amp;""</f>
        <v>1104001001</v>
      </c>
      <c r="J13" s="5" t="str">
        <f aca="false">設定!$D$39&amp;""</f>
        <v>普広銀市役所</v>
      </c>
      <c r="K13" s="5" t="n">
        <f aca="false">IF(AND(H13&lt;&gt;0,IF(設定!$B$6="入金確認済のみ",C13="入金確認済",OR(C13="入金確認済",C13="受領済"))),1,0)</f>
        <v>0</v>
      </c>
      <c r="L13" s="5" t="str">
        <f aca="false">1&amp;"|"&amp;2</f>
        <v>1|2</v>
      </c>
      <c r="M13" s="5" t="n">
        <f aca="false">IF(L13=L12,M12,0)+K13</f>
        <v>0</v>
      </c>
      <c r="N13" s="5" t="n">
        <f aca="false">IF(AND(K13=1,M13=1),1,0)</f>
        <v>0</v>
      </c>
      <c r="O13" s="5" t="str">
        <f aca="false">IF(K13=1,MAX($O$5:O12)+1,"")</f>
        <v/>
      </c>
      <c r="P13" s="5" t="str">
        <f aca="false">IF(K13=1,SUM($N$6:N13),"")</f>
        <v/>
      </c>
      <c r="Q13" s="5" t="str">
        <f aca="false">IF(K13=1,SUMIFS($H$6:$H$511,$L$6:$L$511,L13,$K$6:$K$511,1),"")</f>
        <v/>
      </c>
      <c r="R13" s="103" t="str">
        <f aca="false">IF(B13="","",IF(INDEX(報告入力!$AB$7:$AB$696,B13)="","",INDEX(報告入力!$AB$7:$AB$696,B13)))</f>
        <v/>
      </c>
      <c r="S13" s="5" t="str">
        <f aca="false">設定!$C$48</f>
        <v>長期：厚生年金保険料（事業主負担分）</v>
      </c>
    </row>
    <row r="14" customFormat="false" ht="15" hidden="false" customHeight="false" outlineLevel="0" collapsed="false">
      <c r="A14" s="5" t="str">
        <f aca="false">設定!B62</f>
        <v>下水道局</v>
      </c>
      <c r="B14" s="5" t="n">
        <f aca="false">IFERROR(MATCH(ホーム!$C$4&amp;"|"&amp;A14,報告入力!$CM$7:$CM$696,0),"")</f>
        <v>324</v>
      </c>
      <c r="C14" s="5" t="str">
        <f aca="false">IF(B14="","",INDEX(報告入力!$C$7:$C$696,B14))</f>
        <v>未受領</v>
      </c>
      <c r="D14" s="5" t="str">
        <f aca="false">設定!$A$39</f>
        <v>長期（厚生年金保険経理）</v>
      </c>
      <c r="E14" s="5" t="str">
        <f aca="false">設定!$B$39&amp;""</f>
        <v>130</v>
      </c>
      <c r="F14" s="5" t="str">
        <f aca="false">設定!$D$49&amp;""</f>
        <v>2109001015</v>
      </c>
      <c r="G14" s="5" t="str">
        <f aca="false">設定!$E$49&amp;""</f>
        <v>退職負担地方</v>
      </c>
      <c r="H14" s="5" t="n">
        <f aca="false">IF(B14="",0,N(INDEX(報告入力!$BB$7:$BB$696,B14)))</f>
        <v>1359399</v>
      </c>
      <c r="I14" s="5" t="str">
        <f aca="false">設定!$C$39&amp;""</f>
        <v>1104001001</v>
      </c>
      <c r="J14" s="5" t="str">
        <f aca="false">設定!$D$39&amp;""</f>
        <v>普広銀市役所</v>
      </c>
      <c r="K14" s="5" t="n">
        <f aca="false">IF(AND(H14&lt;&gt;0,IF(設定!$B$6="入金確認済のみ",C14="入金確認済",OR(C14="入金確認済",C14="受領済"))),1,0)</f>
        <v>0</v>
      </c>
      <c r="L14" s="5" t="str">
        <f aca="false">1&amp;"|"&amp;2</f>
        <v>1|2</v>
      </c>
      <c r="M14" s="5" t="n">
        <f aca="false">IF(L14=L13,M13,0)+K14</f>
        <v>0</v>
      </c>
      <c r="N14" s="5" t="n">
        <f aca="false">IF(AND(K14=1,M14=1),1,0)</f>
        <v>0</v>
      </c>
      <c r="O14" s="5" t="str">
        <f aca="false">IF(K14=1,MAX($O$5:O13)+1,"")</f>
        <v/>
      </c>
      <c r="P14" s="5" t="str">
        <f aca="false">IF(K14=1,SUM($N$6:N14),"")</f>
        <v/>
      </c>
      <c r="Q14" s="5" t="str">
        <f aca="false">IF(K14=1,SUMIFS($H$6:$H$511,$L$6:$L$511,L14,$K$6:$K$511,1),"")</f>
        <v/>
      </c>
      <c r="R14" s="103" t="str">
        <f aca="false">IF(B14="","",IF(INDEX(報告入力!$AB$7:$AB$696,B14)="","",INDEX(報告入力!$AB$7:$AB$696,B14)))</f>
        <v/>
      </c>
      <c r="S14" s="5" t="str">
        <f aca="false">設定!$C$49</f>
        <v>長期：退職等年金負担金</v>
      </c>
    </row>
    <row r="15" customFormat="false" ht="15" hidden="false" customHeight="false" outlineLevel="0" collapsed="false">
      <c r="A15" s="5" t="str">
        <f aca="false">設定!B62</f>
        <v>下水道局</v>
      </c>
      <c r="B15" s="5" t="n">
        <f aca="false">IFERROR(MATCH(ホーム!$C$4&amp;"|"&amp;A15,報告入力!$CM$7:$CM$696,0),"")</f>
        <v>324</v>
      </c>
      <c r="C15" s="5" t="str">
        <f aca="false">IF(B15="","",INDEX(報告入力!$C$7:$C$696,B15))</f>
        <v>未受領</v>
      </c>
      <c r="D15" s="5" t="str">
        <f aca="false">設定!$A$39</f>
        <v>長期（厚生年金保険経理）</v>
      </c>
      <c r="E15" s="5" t="str">
        <f aca="false">設定!$B$39&amp;""</f>
        <v>130</v>
      </c>
      <c r="F15" s="5" t="str">
        <f aca="false">設定!$D$50&amp;""</f>
        <v>2109001017</v>
      </c>
      <c r="G15" s="5" t="str">
        <f aca="false">設定!$E$50&amp;""</f>
        <v>経過的負担金</v>
      </c>
      <c r="H15" s="5" t="n">
        <f aca="false">IF(B15="",0,N(INDEX(報告入力!$BC$7:$BC$696,B15)))</f>
        <v>17126</v>
      </c>
      <c r="I15" s="5" t="str">
        <f aca="false">設定!$C$39&amp;""</f>
        <v>1104001001</v>
      </c>
      <c r="J15" s="5" t="str">
        <f aca="false">設定!$D$39&amp;""</f>
        <v>普広銀市役所</v>
      </c>
      <c r="K15" s="5" t="n">
        <f aca="false">IF(AND(H15&lt;&gt;0,IF(設定!$B$6="入金確認済のみ",C15="入金確認済",OR(C15="入金確認済",C15="受領済"))),1,0)</f>
        <v>0</v>
      </c>
      <c r="L15" s="5" t="str">
        <f aca="false">1&amp;"|"&amp;2</f>
        <v>1|2</v>
      </c>
      <c r="M15" s="5" t="n">
        <f aca="false">IF(L15=L14,M14,0)+K15</f>
        <v>0</v>
      </c>
      <c r="N15" s="5" t="n">
        <f aca="false">IF(AND(K15=1,M15=1),1,0)</f>
        <v>0</v>
      </c>
      <c r="O15" s="5" t="str">
        <f aca="false">IF(K15=1,MAX($O$5:O14)+1,"")</f>
        <v/>
      </c>
      <c r="P15" s="5" t="str">
        <f aca="false">IF(K15=1,SUM($N$6:N15),"")</f>
        <v/>
      </c>
      <c r="Q15" s="5" t="str">
        <f aca="false">IF(K15=1,SUMIFS($H$6:$H$511,$L$6:$L$511,L15,$K$6:$K$511,1),"")</f>
        <v/>
      </c>
      <c r="R15" s="103" t="str">
        <f aca="false">IF(B15="","",IF(INDEX(報告入力!$AB$7:$AB$696,B15)="","",INDEX(報告入力!$AB$7:$AB$696,B15)))</f>
        <v/>
      </c>
      <c r="S15" s="5" t="str">
        <f aca="false">設定!$C$50</f>
        <v>長期：経過的長期</v>
      </c>
    </row>
    <row r="16" customFormat="false" ht="15" hidden="false" customHeight="false" outlineLevel="0" collapsed="false">
      <c r="A16" s="5" t="str">
        <f aca="false">設定!B63</f>
        <v>消防局</v>
      </c>
      <c r="B16" s="5" t="n">
        <f aca="false">IFERROR(MATCH(ホーム!$C$4&amp;"|"&amp;A16,報告入力!$CM$7:$CM$696,0),"")</f>
        <v>325</v>
      </c>
      <c r="C16" s="5" t="str">
        <f aca="false">IF(B16="","",INDEX(報告入力!$C$7:$C$696,B16))</f>
        <v>未受領</v>
      </c>
      <c r="D16" s="5" t="str">
        <f aca="false">設定!$A$39</f>
        <v>長期（厚生年金保険経理）</v>
      </c>
      <c r="E16" s="5" t="str">
        <f aca="false">設定!$B$39&amp;""</f>
        <v>130</v>
      </c>
      <c r="F16" s="5" t="str">
        <f aca="false">設定!$D$46&amp;""</f>
        <v>6102102000</v>
      </c>
      <c r="G16" s="5" t="str">
        <f aca="false">設定!$E$46&amp;""</f>
        <v>標月額保険料</v>
      </c>
      <c r="H16" s="5" t="n">
        <f aca="false">IF(B16="",0,N(INDEX(報告入力!$AY$7:$AY$696,B16)))</f>
        <v>53818470</v>
      </c>
      <c r="I16" s="5" t="str">
        <f aca="false">設定!$C$39&amp;""</f>
        <v>1104001001</v>
      </c>
      <c r="J16" s="5" t="str">
        <f aca="false">設定!$D$39&amp;""</f>
        <v>普広銀市役所</v>
      </c>
      <c r="K16" s="5" t="n">
        <f aca="false">IF(AND(H16&lt;&gt;0,IF(設定!$B$6="入金確認済のみ",C16="入金確認済",OR(C16="入金確認済",C16="受領済"))),1,0)</f>
        <v>0</v>
      </c>
      <c r="L16" s="5" t="str">
        <f aca="false">1&amp;"|"&amp;3</f>
        <v>1|3</v>
      </c>
      <c r="M16" s="5" t="n">
        <f aca="false">IF(L16=L15,M15,0)+K16</f>
        <v>0</v>
      </c>
      <c r="N16" s="5" t="n">
        <f aca="false">IF(AND(K16=1,M16=1),1,0)</f>
        <v>0</v>
      </c>
      <c r="O16" s="5" t="str">
        <f aca="false">IF(K16=1,MAX($O$5:O15)+1,"")</f>
        <v/>
      </c>
      <c r="P16" s="5" t="str">
        <f aca="false">IF(K16=1,SUM($N$6:N16),"")</f>
        <v/>
      </c>
      <c r="Q16" s="5" t="str">
        <f aca="false">IF(K16=1,SUMIFS($H$6:$H$511,$L$6:$L$511,L16,$K$6:$K$511,1),"")</f>
        <v/>
      </c>
      <c r="R16" s="103" t="str">
        <f aca="false">IF(B16="","",IF(INDEX(報告入力!$AB$7:$AB$696,B16)="","",INDEX(報告入力!$AB$7:$AB$696,B16)))</f>
        <v/>
      </c>
      <c r="S16" s="5" t="str">
        <f aca="false">設定!$C$46</f>
        <v>長期：厚生年金保険料（組合員負担分）</v>
      </c>
    </row>
    <row r="17" customFormat="false" ht="15" hidden="false" customHeight="false" outlineLevel="0" collapsed="false">
      <c r="A17" s="5" t="str">
        <f aca="false">設定!B63</f>
        <v>消防局</v>
      </c>
      <c r="B17" s="5" t="n">
        <f aca="false">IFERROR(MATCH(ホーム!$C$4&amp;"|"&amp;A17,報告入力!$CM$7:$CM$696,0),"")</f>
        <v>325</v>
      </c>
      <c r="C17" s="5" t="str">
        <f aca="false">IF(B17="","",INDEX(報告入力!$C$7:$C$696,B17))</f>
        <v>未受領</v>
      </c>
      <c r="D17" s="5" t="str">
        <f aca="false">設定!$A$39</f>
        <v>長期（厚生年金保険経理）</v>
      </c>
      <c r="E17" s="5" t="str">
        <f aca="false">設定!$B$39&amp;""</f>
        <v>130</v>
      </c>
      <c r="F17" s="5" t="str">
        <f aca="false">設定!$D$47&amp;""</f>
        <v>2109001014</v>
      </c>
      <c r="G17" s="5" t="str">
        <f aca="false">設定!$E$47&amp;""</f>
        <v>退職標報掛金</v>
      </c>
      <c r="H17" s="5" t="n">
        <f aca="false">IF(B17="",0,N(INDEX(報告入力!$AZ$7:$AZ$696,B17)))</f>
        <v>4405650</v>
      </c>
      <c r="I17" s="5" t="str">
        <f aca="false">設定!$C$39&amp;""</f>
        <v>1104001001</v>
      </c>
      <c r="J17" s="5" t="str">
        <f aca="false">設定!$D$39&amp;""</f>
        <v>普広銀市役所</v>
      </c>
      <c r="K17" s="5" t="n">
        <f aca="false">IF(AND(H17&lt;&gt;0,IF(設定!$B$6="入金確認済のみ",C17="入金確認済",OR(C17="入金確認済",C17="受領済"))),1,0)</f>
        <v>0</v>
      </c>
      <c r="L17" s="5" t="str">
        <f aca="false">1&amp;"|"&amp;3</f>
        <v>1|3</v>
      </c>
      <c r="M17" s="5" t="n">
        <f aca="false">IF(L17=L16,M16,0)+K17</f>
        <v>0</v>
      </c>
      <c r="N17" s="5" t="n">
        <f aca="false">IF(AND(K17=1,M17=1),1,0)</f>
        <v>0</v>
      </c>
      <c r="O17" s="5" t="str">
        <f aca="false">IF(K17=1,MAX($O$5:O16)+1,"")</f>
        <v/>
      </c>
      <c r="P17" s="5" t="str">
        <f aca="false">IF(K17=1,SUM($N$6:N17),"")</f>
        <v/>
      </c>
      <c r="Q17" s="5" t="str">
        <f aca="false">IF(K17=1,SUMIFS($H$6:$H$511,$L$6:$L$511,L17,$K$6:$K$511,1),"")</f>
        <v/>
      </c>
      <c r="R17" s="103" t="str">
        <f aca="false">IF(B17="","",IF(INDEX(報告入力!$AB$7:$AB$696,B17)="","",INDEX(報告入力!$AB$7:$AB$696,B17)))</f>
        <v/>
      </c>
      <c r="S17" s="5" t="str">
        <f aca="false">設定!$C$47</f>
        <v>長期：退職等年金掛金</v>
      </c>
    </row>
    <row r="18" customFormat="false" ht="15" hidden="false" customHeight="false" outlineLevel="0" collapsed="false">
      <c r="A18" s="5" t="str">
        <f aca="false">設定!B63</f>
        <v>消防局</v>
      </c>
      <c r="B18" s="5" t="n">
        <f aca="false">IFERROR(MATCH(ホーム!$C$4&amp;"|"&amp;A18,報告入力!$CM$7:$CM$696,0),"")</f>
        <v>325</v>
      </c>
      <c r="C18" s="5" t="str">
        <f aca="false">IF(B18="","",INDEX(報告入力!$C$7:$C$696,B18))</f>
        <v>未受領</v>
      </c>
      <c r="D18" s="5" t="str">
        <f aca="false">設定!$A$39</f>
        <v>長期（厚生年金保険経理）</v>
      </c>
      <c r="E18" s="5" t="str">
        <f aca="false">設定!$B$39&amp;""</f>
        <v>130</v>
      </c>
      <c r="F18" s="5" t="str">
        <f aca="false">設定!$D$48&amp;""</f>
        <v>6101002000</v>
      </c>
      <c r="G18" s="5" t="str">
        <f aca="false">設定!$E$48&amp;""</f>
        <v>負担地方公共</v>
      </c>
      <c r="H18" s="5" t="n">
        <f aca="false">IF(B18="",0,N(INDEX(報告入力!$BA$7:$BA$696,B18)))</f>
        <v>78389280</v>
      </c>
      <c r="I18" s="5" t="str">
        <f aca="false">設定!$C$39&amp;""</f>
        <v>1104001001</v>
      </c>
      <c r="J18" s="5" t="str">
        <f aca="false">設定!$D$39&amp;""</f>
        <v>普広銀市役所</v>
      </c>
      <c r="K18" s="5" t="n">
        <f aca="false">IF(AND(H18&lt;&gt;0,IF(設定!$B$6="入金確認済のみ",C18="入金確認済",OR(C18="入金確認済",C18="受領済"))),1,0)</f>
        <v>0</v>
      </c>
      <c r="L18" s="5" t="str">
        <f aca="false">1&amp;"|"&amp;3</f>
        <v>1|3</v>
      </c>
      <c r="M18" s="5" t="n">
        <f aca="false">IF(L18=L17,M17,0)+K18</f>
        <v>0</v>
      </c>
      <c r="N18" s="5" t="n">
        <f aca="false">IF(AND(K18=1,M18=1),1,0)</f>
        <v>0</v>
      </c>
      <c r="O18" s="5" t="str">
        <f aca="false">IF(K18=1,MAX($O$5:O17)+1,"")</f>
        <v/>
      </c>
      <c r="P18" s="5" t="str">
        <f aca="false">IF(K18=1,SUM($N$6:N18),"")</f>
        <v/>
      </c>
      <c r="Q18" s="5" t="str">
        <f aca="false">IF(K18=1,SUMIFS($H$6:$H$511,$L$6:$L$511,L18,$K$6:$K$511,1),"")</f>
        <v/>
      </c>
      <c r="R18" s="103" t="str">
        <f aca="false">IF(B18="","",IF(INDEX(報告入力!$AB$7:$AB$696,B18)="","",INDEX(報告入力!$AB$7:$AB$696,B18)))</f>
        <v/>
      </c>
      <c r="S18" s="5" t="str">
        <f aca="false">設定!$C$48</f>
        <v>長期：厚生年金保険料（事業主負担分）</v>
      </c>
    </row>
    <row r="19" customFormat="false" ht="15" hidden="false" customHeight="false" outlineLevel="0" collapsed="false">
      <c r="A19" s="5" t="str">
        <f aca="false">設定!B63</f>
        <v>消防局</v>
      </c>
      <c r="B19" s="5" t="n">
        <f aca="false">IFERROR(MATCH(ホーム!$C$4&amp;"|"&amp;A19,報告入力!$CM$7:$CM$696,0),"")</f>
        <v>325</v>
      </c>
      <c r="C19" s="5" t="str">
        <f aca="false">IF(B19="","",INDEX(報告入力!$C$7:$C$696,B19))</f>
        <v>未受領</v>
      </c>
      <c r="D19" s="5" t="str">
        <f aca="false">設定!$A$39</f>
        <v>長期（厚生年金保険経理）</v>
      </c>
      <c r="E19" s="5" t="str">
        <f aca="false">設定!$B$39&amp;""</f>
        <v>130</v>
      </c>
      <c r="F19" s="5" t="str">
        <f aca="false">設定!$D$49&amp;""</f>
        <v>2109001015</v>
      </c>
      <c r="G19" s="5" t="str">
        <f aca="false">設定!$E$49&amp;""</f>
        <v>退職負担地方</v>
      </c>
      <c r="H19" s="5" t="n">
        <f aca="false">IF(B19="",0,N(INDEX(報告入力!$BB$7:$BB$696,B19)))</f>
        <v>4404675</v>
      </c>
      <c r="I19" s="5" t="str">
        <f aca="false">設定!$C$39&amp;""</f>
        <v>1104001001</v>
      </c>
      <c r="J19" s="5" t="str">
        <f aca="false">設定!$D$39&amp;""</f>
        <v>普広銀市役所</v>
      </c>
      <c r="K19" s="5" t="n">
        <f aca="false">IF(AND(H19&lt;&gt;0,IF(設定!$B$6="入金確認済のみ",C19="入金確認済",OR(C19="入金確認済",C19="受領済"))),1,0)</f>
        <v>0</v>
      </c>
      <c r="L19" s="5" t="str">
        <f aca="false">1&amp;"|"&amp;3</f>
        <v>1|3</v>
      </c>
      <c r="M19" s="5" t="n">
        <f aca="false">IF(L19=L18,M18,0)+K19</f>
        <v>0</v>
      </c>
      <c r="N19" s="5" t="n">
        <f aca="false">IF(AND(K19=1,M19=1),1,0)</f>
        <v>0</v>
      </c>
      <c r="O19" s="5" t="str">
        <f aca="false">IF(K19=1,MAX($O$5:O18)+1,"")</f>
        <v/>
      </c>
      <c r="P19" s="5" t="str">
        <f aca="false">IF(K19=1,SUM($N$6:N19),"")</f>
        <v/>
      </c>
      <c r="Q19" s="5" t="str">
        <f aca="false">IF(K19=1,SUMIFS($H$6:$H$511,$L$6:$L$511,L19,$K$6:$K$511,1),"")</f>
        <v/>
      </c>
      <c r="R19" s="103" t="str">
        <f aca="false">IF(B19="","",IF(INDEX(報告入力!$AB$7:$AB$696,B19)="","",INDEX(報告入力!$AB$7:$AB$696,B19)))</f>
        <v/>
      </c>
      <c r="S19" s="5" t="str">
        <f aca="false">設定!$C$49</f>
        <v>長期：退職等年金負担金</v>
      </c>
    </row>
    <row r="20" customFormat="false" ht="15" hidden="false" customHeight="false" outlineLevel="0" collapsed="false">
      <c r="A20" s="5" t="str">
        <f aca="false">設定!B63</f>
        <v>消防局</v>
      </c>
      <c r="B20" s="5" t="n">
        <f aca="false">IFERROR(MATCH(ホーム!$C$4&amp;"|"&amp;A20,報告入力!$CM$7:$CM$696,0),"")</f>
        <v>325</v>
      </c>
      <c r="C20" s="5" t="str">
        <f aca="false">IF(B20="","",INDEX(報告入力!$C$7:$C$696,B20))</f>
        <v>未受領</v>
      </c>
      <c r="D20" s="5" t="str">
        <f aca="false">設定!$A$39</f>
        <v>長期（厚生年金保険経理）</v>
      </c>
      <c r="E20" s="5" t="str">
        <f aca="false">設定!$B$39&amp;""</f>
        <v>130</v>
      </c>
      <c r="F20" s="5" t="str">
        <f aca="false">設定!$D$50&amp;""</f>
        <v>2109001017</v>
      </c>
      <c r="G20" s="5" t="str">
        <f aca="false">設定!$E$50&amp;""</f>
        <v>経過的負担金</v>
      </c>
      <c r="H20" s="5" t="n">
        <f aca="false">IF(B20="",0,N(INDEX(報告入力!$BC$7:$BC$696,B20)))</f>
        <v>55545</v>
      </c>
      <c r="I20" s="5" t="str">
        <f aca="false">設定!$C$39&amp;""</f>
        <v>1104001001</v>
      </c>
      <c r="J20" s="5" t="str">
        <f aca="false">設定!$D$39&amp;""</f>
        <v>普広銀市役所</v>
      </c>
      <c r="K20" s="5" t="n">
        <f aca="false">IF(AND(H20&lt;&gt;0,IF(設定!$B$6="入金確認済のみ",C20="入金確認済",OR(C20="入金確認済",C20="受領済"))),1,0)</f>
        <v>0</v>
      </c>
      <c r="L20" s="5" t="str">
        <f aca="false">1&amp;"|"&amp;3</f>
        <v>1|3</v>
      </c>
      <c r="M20" s="5" t="n">
        <f aca="false">IF(L20=L19,M19,0)+K20</f>
        <v>0</v>
      </c>
      <c r="N20" s="5" t="n">
        <f aca="false">IF(AND(K20=1,M20=1),1,0)</f>
        <v>0</v>
      </c>
      <c r="O20" s="5" t="str">
        <f aca="false">IF(K20=1,MAX($O$5:O19)+1,"")</f>
        <v/>
      </c>
      <c r="P20" s="5" t="str">
        <f aca="false">IF(K20=1,SUM($N$6:N20),"")</f>
        <v/>
      </c>
      <c r="Q20" s="5" t="str">
        <f aca="false">IF(K20=1,SUMIFS($H$6:$H$511,$L$6:$L$511,L20,$K$6:$K$511,1),"")</f>
        <v/>
      </c>
      <c r="R20" s="103" t="str">
        <f aca="false">IF(B20="","",IF(INDEX(報告入力!$AB$7:$AB$696,B20)="","",INDEX(報告入力!$AB$7:$AB$696,B20)))</f>
        <v/>
      </c>
      <c r="S20" s="5" t="str">
        <f aca="false">設定!$C$50</f>
        <v>長期：経過的長期</v>
      </c>
    </row>
    <row r="21" customFormat="false" ht="15" hidden="false" customHeight="false" outlineLevel="0" collapsed="false">
      <c r="A21" s="5" t="str">
        <f aca="false">設定!B64</f>
        <v>議会事務局</v>
      </c>
      <c r="B21" s="5" t="n">
        <f aca="false">IFERROR(MATCH(ホーム!$C$4&amp;"|"&amp;A21,報告入力!$CM$7:$CM$696,0),"")</f>
        <v>326</v>
      </c>
      <c r="C21" s="5" t="str">
        <f aca="false">IF(B21="","",INDEX(報告入力!$C$7:$C$696,B21))</f>
        <v>未受領</v>
      </c>
      <c r="D21" s="5" t="str">
        <f aca="false">設定!$A$39</f>
        <v>長期（厚生年金保険経理）</v>
      </c>
      <c r="E21" s="5" t="str">
        <f aca="false">設定!$B$39&amp;""</f>
        <v>130</v>
      </c>
      <c r="F21" s="5" t="str">
        <f aca="false">設定!$D$46&amp;""</f>
        <v>6102102000</v>
      </c>
      <c r="G21" s="5" t="str">
        <f aca="false">設定!$E$46&amp;""</f>
        <v>標月額保険料</v>
      </c>
      <c r="H21" s="5" t="n">
        <f aca="false">IF(B21="",0,N(INDEX(報告入力!$AY$7:$AY$696,B21)))</f>
        <v>1740330</v>
      </c>
      <c r="I21" s="5" t="str">
        <f aca="false">設定!$C$39&amp;""</f>
        <v>1104001001</v>
      </c>
      <c r="J21" s="5" t="str">
        <f aca="false">設定!$D$39&amp;""</f>
        <v>普広銀市役所</v>
      </c>
      <c r="K21" s="5" t="n">
        <f aca="false">IF(AND(H21&lt;&gt;0,IF(設定!$B$6="入金確認済のみ",C21="入金確認済",OR(C21="入金確認済",C21="受領済"))),1,0)</f>
        <v>0</v>
      </c>
      <c r="L21" s="5" t="str">
        <f aca="false">1&amp;"|"&amp;4</f>
        <v>1|4</v>
      </c>
      <c r="M21" s="5" t="n">
        <f aca="false">IF(L21=L20,M20,0)+K21</f>
        <v>0</v>
      </c>
      <c r="N21" s="5" t="n">
        <f aca="false">IF(AND(K21=1,M21=1),1,0)</f>
        <v>0</v>
      </c>
      <c r="O21" s="5" t="str">
        <f aca="false">IF(K21=1,MAX($O$5:O20)+1,"")</f>
        <v/>
      </c>
      <c r="P21" s="5" t="str">
        <f aca="false">IF(K21=1,SUM($N$6:N21),"")</f>
        <v/>
      </c>
      <c r="Q21" s="5" t="str">
        <f aca="false">IF(K21=1,SUMIFS($H$6:$H$511,$L$6:$L$511,L21,$K$6:$K$511,1),"")</f>
        <v/>
      </c>
      <c r="R21" s="103" t="str">
        <f aca="false">IF(B21="","",IF(INDEX(報告入力!$AB$7:$AB$696,B21)="","",INDEX(報告入力!$AB$7:$AB$696,B21)))</f>
        <v/>
      </c>
      <c r="S21" s="5" t="str">
        <f aca="false">設定!$C$46</f>
        <v>長期：厚生年金保険料（組合員負担分）</v>
      </c>
    </row>
    <row r="22" customFormat="false" ht="15" hidden="false" customHeight="false" outlineLevel="0" collapsed="false">
      <c r="A22" s="5" t="str">
        <f aca="false">設定!B64</f>
        <v>議会事務局</v>
      </c>
      <c r="B22" s="5" t="n">
        <f aca="false">IFERROR(MATCH(ホーム!$C$4&amp;"|"&amp;A22,報告入力!$CM$7:$CM$696,0),"")</f>
        <v>326</v>
      </c>
      <c r="C22" s="5" t="str">
        <f aca="false">IF(B22="","",INDEX(報告入力!$C$7:$C$696,B22))</f>
        <v>未受領</v>
      </c>
      <c r="D22" s="5" t="str">
        <f aca="false">設定!$A$39</f>
        <v>長期（厚生年金保険経理）</v>
      </c>
      <c r="E22" s="5" t="str">
        <f aca="false">設定!$B$39&amp;""</f>
        <v>130</v>
      </c>
      <c r="F22" s="5" t="str">
        <f aca="false">設定!$D$47&amp;""</f>
        <v>2109001014</v>
      </c>
      <c r="G22" s="5" t="str">
        <f aca="false">設定!$E$47&amp;""</f>
        <v>退職標報掛金</v>
      </c>
      <c r="H22" s="5" t="n">
        <f aca="false">IF(B22="",0,N(INDEX(報告入力!$AZ$7:$AZ$696,B22)))</f>
        <v>142650</v>
      </c>
      <c r="I22" s="5" t="str">
        <f aca="false">設定!$C$39&amp;""</f>
        <v>1104001001</v>
      </c>
      <c r="J22" s="5" t="str">
        <f aca="false">設定!$D$39&amp;""</f>
        <v>普広銀市役所</v>
      </c>
      <c r="K22" s="5" t="n">
        <f aca="false">IF(AND(H22&lt;&gt;0,IF(設定!$B$6="入金確認済のみ",C22="入金確認済",OR(C22="入金確認済",C22="受領済"))),1,0)</f>
        <v>0</v>
      </c>
      <c r="L22" s="5" t="str">
        <f aca="false">1&amp;"|"&amp;4</f>
        <v>1|4</v>
      </c>
      <c r="M22" s="5" t="n">
        <f aca="false">IF(L22=L21,M21,0)+K22</f>
        <v>0</v>
      </c>
      <c r="N22" s="5" t="n">
        <f aca="false">IF(AND(K22=1,M22=1),1,0)</f>
        <v>0</v>
      </c>
      <c r="O22" s="5" t="str">
        <f aca="false">IF(K22=1,MAX($O$5:O21)+1,"")</f>
        <v/>
      </c>
      <c r="P22" s="5" t="str">
        <f aca="false">IF(K22=1,SUM($N$6:N22),"")</f>
        <v/>
      </c>
      <c r="Q22" s="5" t="str">
        <f aca="false">IF(K22=1,SUMIFS($H$6:$H$511,$L$6:$L$511,L22,$K$6:$K$511,1),"")</f>
        <v/>
      </c>
      <c r="R22" s="103" t="str">
        <f aca="false">IF(B22="","",IF(INDEX(報告入力!$AB$7:$AB$696,B22)="","",INDEX(報告入力!$AB$7:$AB$696,B22)))</f>
        <v/>
      </c>
      <c r="S22" s="5" t="str">
        <f aca="false">設定!$C$47</f>
        <v>長期：退職等年金掛金</v>
      </c>
    </row>
    <row r="23" customFormat="false" ht="15" hidden="false" customHeight="false" outlineLevel="0" collapsed="false">
      <c r="A23" s="5" t="str">
        <f aca="false">設定!B64</f>
        <v>議会事務局</v>
      </c>
      <c r="B23" s="5" t="n">
        <f aca="false">IFERROR(MATCH(ホーム!$C$4&amp;"|"&amp;A23,報告入力!$CM$7:$CM$696,0),"")</f>
        <v>326</v>
      </c>
      <c r="C23" s="5" t="str">
        <f aca="false">IF(B23="","",INDEX(報告入力!$C$7:$C$696,B23))</f>
        <v>未受領</v>
      </c>
      <c r="D23" s="5" t="str">
        <f aca="false">設定!$A$39</f>
        <v>長期（厚生年金保険経理）</v>
      </c>
      <c r="E23" s="5" t="str">
        <f aca="false">設定!$B$39&amp;""</f>
        <v>130</v>
      </c>
      <c r="F23" s="5" t="str">
        <f aca="false">設定!$D$48&amp;""</f>
        <v>6101002000</v>
      </c>
      <c r="G23" s="5" t="str">
        <f aca="false">設定!$E$48&amp;""</f>
        <v>負担地方公共</v>
      </c>
      <c r="H23" s="5" t="n">
        <f aca="false">IF(B23="",0,N(INDEX(報告入力!$BA$7:$BA$696,B23)))</f>
        <v>2539620</v>
      </c>
      <c r="I23" s="5" t="str">
        <f aca="false">設定!$C$39&amp;""</f>
        <v>1104001001</v>
      </c>
      <c r="J23" s="5" t="str">
        <f aca="false">設定!$D$39&amp;""</f>
        <v>普広銀市役所</v>
      </c>
      <c r="K23" s="5" t="n">
        <f aca="false">IF(AND(H23&lt;&gt;0,IF(設定!$B$6="入金確認済のみ",C23="入金確認済",OR(C23="入金確認済",C23="受領済"))),1,0)</f>
        <v>0</v>
      </c>
      <c r="L23" s="5" t="str">
        <f aca="false">1&amp;"|"&amp;4</f>
        <v>1|4</v>
      </c>
      <c r="M23" s="5" t="n">
        <f aca="false">IF(L23=L22,M22,0)+K23</f>
        <v>0</v>
      </c>
      <c r="N23" s="5" t="n">
        <f aca="false">IF(AND(K23=1,M23=1),1,0)</f>
        <v>0</v>
      </c>
      <c r="O23" s="5" t="str">
        <f aca="false">IF(K23=1,MAX($O$5:O22)+1,"")</f>
        <v/>
      </c>
      <c r="P23" s="5" t="str">
        <f aca="false">IF(K23=1,SUM($N$6:N23),"")</f>
        <v/>
      </c>
      <c r="Q23" s="5" t="str">
        <f aca="false">IF(K23=1,SUMIFS($H$6:$H$511,$L$6:$L$511,L23,$K$6:$K$511,1),"")</f>
        <v/>
      </c>
      <c r="R23" s="103" t="str">
        <f aca="false">IF(B23="","",IF(INDEX(報告入力!$AB$7:$AB$696,B23)="","",INDEX(報告入力!$AB$7:$AB$696,B23)))</f>
        <v/>
      </c>
      <c r="S23" s="5" t="str">
        <f aca="false">設定!$C$48</f>
        <v>長期：厚生年金保険料（事業主負担分）</v>
      </c>
    </row>
    <row r="24" customFormat="false" ht="15" hidden="false" customHeight="false" outlineLevel="0" collapsed="false">
      <c r="A24" s="5" t="str">
        <f aca="false">設定!B64</f>
        <v>議会事務局</v>
      </c>
      <c r="B24" s="5" t="n">
        <f aca="false">IFERROR(MATCH(ホーム!$C$4&amp;"|"&amp;A24,報告入力!$CM$7:$CM$696,0),"")</f>
        <v>326</v>
      </c>
      <c r="C24" s="5" t="str">
        <f aca="false">IF(B24="","",INDEX(報告入力!$C$7:$C$696,B24))</f>
        <v>未受領</v>
      </c>
      <c r="D24" s="5" t="str">
        <f aca="false">設定!$A$39</f>
        <v>長期（厚生年金保険経理）</v>
      </c>
      <c r="E24" s="5" t="str">
        <f aca="false">設定!$B$39&amp;""</f>
        <v>130</v>
      </c>
      <c r="F24" s="5" t="str">
        <f aca="false">設定!$D$49&amp;""</f>
        <v>2109001015</v>
      </c>
      <c r="G24" s="5" t="str">
        <f aca="false">設定!$E$49&amp;""</f>
        <v>退職負担地方</v>
      </c>
      <c r="H24" s="5" t="n">
        <f aca="false">IF(B24="",0,N(INDEX(報告入力!$BB$7:$BB$696,B24)))</f>
        <v>142650</v>
      </c>
      <c r="I24" s="5" t="str">
        <f aca="false">設定!$C$39&amp;""</f>
        <v>1104001001</v>
      </c>
      <c r="J24" s="5" t="str">
        <f aca="false">設定!$D$39&amp;""</f>
        <v>普広銀市役所</v>
      </c>
      <c r="K24" s="5" t="n">
        <f aca="false">IF(AND(H24&lt;&gt;0,IF(設定!$B$6="入金確認済のみ",C24="入金確認済",OR(C24="入金確認済",C24="受領済"))),1,0)</f>
        <v>0</v>
      </c>
      <c r="L24" s="5" t="str">
        <f aca="false">1&amp;"|"&amp;4</f>
        <v>1|4</v>
      </c>
      <c r="M24" s="5" t="n">
        <f aca="false">IF(L24=L23,M23,0)+K24</f>
        <v>0</v>
      </c>
      <c r="N24" s="5" t="n">
        <f aca="false">IF(AND(K24=1,M24=1),1,0)</f>
        <v>0</v>
      </c>
      <c r="O24" s="5" t="str">
        <f aca="false">IF(K24=1,MAX($O$5:O23)+1,"")</f>
        <v/>
      </c>
      <c r="P24" s="5" t="str">
        <f aca="false">IF(K24=1,SUM($N$6:N24),"")</f>
        <v/>
      </c>
      <c r="Q24" s="5" t="str">
        <f aca="false">IF(K24=1,SUMIFS($H$6:$H$511,$L$6:$L$511,L24,$K$6:$K$511,1),"")</f>
        <v/>
      </c>
      <c r="R24" s="103" t="str">
        <f aca="false">IF(B24="","",IF(INDEX(報告入力!$AB$7:$AB$696,B24)="","",INDEX(報告入力!$AB$7:$AB$696,B24)))</f>
        <v/>
      </c>
      <c r="S24" s="5" t="str">
        <f aca="false">設定!$C$49</f>
        <v>長期：退職等年金負担金</v>
      </c>
    </row>
    <row r="25" customFormat="false" ht="15" hidden="false" customHeight="false" outlineLevel="0" collapsed="false">
      <c r="A25" s="5" t="str">
        <f aca="false">設定!B64</f>
        <v>議会事務局</v>
      </c>
      <c r="B25" s="5" t="n">
        <f aca="false">IFERROR(MATCH(ホーム!$C$4&amp;"|"&amp;A25,報告入力!$CM$7:$CM$696,0),"")</f>
        <v>326</v>
      </c>
      <c r="C25" s="5" t="str">
        <f aca="false">IF(B25="","",INDEX(報告入力!$C$7:$C$696,B25))</f>
        <v>未受領</v>
      </c>
      <c r="D25" s="5" t="str">
        <f aca="false">設定!$A$39</f>
        <v>長期（厚生年金保険経理）</v>
      </c>
      <c r="E25" s="5" t="str">
        <f aca="false">設定!$B$39&amp;""</f>
        <v>130</v>
      </c>
      <c r="F25" s="5" t="str">
        <f aca="false">設定!$D$50&amp;""</f>
        <v>2109001017</v>
      </c>
      <c r="G25" s="5" t="str">
        <f aca="false">設定!$E$50&amp;""</f>
        <v>経過的負担金</v>
      </c>
      <c r="H25" s="5" t="n">
        <f aca="false">IF(B25="",0,N(INDEX(報告入力!$BC$7:$BC$696,B25)))</f>
        <v>1808</v>
      </c>
      <c r="I25" s="5" t="str">
        <f aca="false">設定!$C$39&amp;""</f>
        <v>1104001001</v>
      </c>
      <c r="J25" s="5" t="str">
        <f aca="false">設定!$D$39&amp;""</f>
        <v>普広銀市役所</v>
      </c>
      <c r="K25" s="5" t="n">
        <f aca="false">IF(AND(H25&lt;&gt;0,IF(設定!$B$6="入金確認済のみ",C25="入金確認済",OR(C25="入金確認済",C25="受領済"))),1,0)</f>
        <v>0</v>
      </c>
      <c r="L25" s="5" t="str">
        <f aca="false">1&amp;"|"&amp;4</f>
        <v>1|4</v>
      </c>
      <c r="M25" s="5" t="n">
        <f aca="false">IF(L25=L24,M24,0)+K25</f>
        <v>0</v>
      </c>
      <c r="N25" s="5" t="n">
        <f aca="false">IF(AND(K25=1,M25=1),1,0)</f>
        <v>0</v>
      </c>
      <c r="O25" s="5" t="str">
        <f aca="false">IF(K25=1,MAX($O$5:O24)+1,"")</f>
        <v/>
      </c>
      <c r="P25" s="5" t="str">
        <f aca="false">IF(K25=1,SUM($N$6:N25),"")</f>
        <v/>
      </c>
      <c r="Q25" s="5" t="str">
        <f aca="false">IF(K25=1,SUMIFS($H$6:$H$511,$L$6:$L$511,L25,$K$6:$K$511,1),"")</f>
        <v/>
      </c>
      <c r="R25" s="103" t="str">
        <f aca="false">IF(B25="","",IF(INDEX(報告入力!$AB$7:$AB$696,B25)="","",INDEX(報告入力!$AB$7:$AB$696,B25)))</f>
        <v/>
      </c>
      <c r="S25" s="5" t="str">
        <f aca="false">設定!$C$50</f>
        <v>長期：経過的長期</v>
      </c>
    </row>
    <row r="26" customFormat="false" ht="15" hidden="false" customHeight="false" outlineLevel="0" collapsed="false">
      <c r="A26" s="5" t="str">
        <f aca="false">設定!B65</f>
        <v>教育委員会（総務課）</v>
      </c>
      <c r="B26" s="5" t="n">
        <f aca="false">IFERROR(MATCH(ホーム!$C$4&amp;"|"&amp;A26,報告入力!$CM$7:$CM$696,0),"")</f>
        <v>327</v>
      </c>
      <c r="C26" s="5" t="str">
        <f aca="false">IF(B26="","",INDEX(報告入力!$C$7:$C$696,B26))</f>
        <v>未受領</v>
      </c>
      <c r="D26" s="5" t="str">
        <f aca="false">設定!$A$39</f>
        <v>長期（厚生年金保険経理）</v>
      </c>
      <c r="E26" s="5" t="str">
        <f aca="false">設定!$B$39&amp;""</f>
        <v>130</v>
      </c>
      <c r="F26" s="5" t="str">
        <f aca="false">設定!$D$46&amp;""</f>
        <v>6102102000</v>
      </c>
      <c r="G26" s="5" t="str">
        <f aca="false">設定!$E$46&amp;""</f>
        <v>標月額保険料</v>
      </c>
      <c r="H26" s="5" t="n">
        <f aca="false">IF(B26="",0,N(INDEX(報告入力!$AY$7:$AY$696,B26)))</f>
        <v>24178326</v>
      </c>
      <c r="I26" s="5" t="str">
        <f aca="false">設定!$C$39&amp;""</f>
        <v>1104001001</v>
      </c>
      <c r="J26" s="5" t="str">
        <f aca="false">設定!$D$39&amp;""</f>
        <v>普広銀市役所</v>
      </c>
      <c r="K26" s="5" t="n">
        <f aca="false">IF(AND(H26&lt;&gt;0,IF(設定!$B$6="入金確認済のみ",C26="入金確認済",OR(C26="入金確認済",C26="受領済"))),1,0)</f>
        <v>0</v>
      </c>
      <c r="L26" s="5" t="str">
        <f aca="false">1&amp;"|"&amp;5</f>
        <v>1|5</v>
      </c>
      <c r="M26" s="5" t="n">
        <f aca="false">IF(L26=L25,M25,0)+K26</f>
        <v>0</v>
      </c>
      <c r="N26" s="5" t="n">
        <f aca="false">IF(AND(K26=1,M26=1),1,0)</f>
        <v>0</v>
      </c>
      <c r="O26" s="5" t="str">
        <f aca="false">IF(K26=1,MAX($O$5:O25)+1,"")</f>
        <v/>
      </c>
      <c r="P26" s="5" t="str">
        <f aca="false">IF(K26=1,SUM($N$6:N26),"")</f>
        <v/>
      </c>
      <c r="Q26" s="5" t="str">
        <f aca="false">IF(K26=1,SUMIFS($H$6:$H$511,$L$6:$L$511,L26,$K$6:$K$511,1),"")</f>
        <v/>
      </c>
      <c r="R26" s="103" t="str">
        <f aca="false">IF(B26="","",IF(INDEX(報告入力!$AB$7:$AB$696,B26)="","",INDEX(報告入力!$AB$7:$AB$696,B26)))</f>
        <v/>
      </c>
      <c r="S26" s="5" t="str">
        <f aca="false">設定!$C$46</f>
        <v>長期：厚生年金保険料（組合員負担分）</v>
      </c>
    </row>
    <row r="27" customFormat="false" ht="15" hidden="false" customHeight="false" outlineLevel="0" collapsed="false">
      <c r="A27" s="5" t="str">
        <f aca="false">設定!B65</f>
        <v>教育委員会（総務課）</v>
      </c>
      <c r="B27" s="5" t="n">
        <f aca="false">IFERROR(MATCH(ホーム!$C$4&amp;"|"&amp;A27,報告入力!$CM$7:$CM$696,0),"")</f>
        <v>327</v>
      </c>
      <c r="C27" s="5" t="str">
        <f aca="false">IF(B27="","",INDEX(報告入力!$C$7:$C$696,B27))</f>
        <v>未受領</v>
      </c>
      <c r="D27" s="5" t="str">
        <f aca="false">設定!$A$39</f>
        <v>長期（厚生年金保険経理）</v>
      </c>
      <c r="E27" s="5" t="str">
        <f aca="false">設定!$B$39&amp;""</f>
        <v>130</v>
      </c>
      <c r="F27" s="5" t="str">
        <f aca="false">設定!$D$47&amp;""</f>
        <v>2109001014</v>
      </c>
      <c r="G27" s="5" t="str">
        <f aca="false">設定!$E$47&amp;""</f>
        <v>退職標報掛金</v>
      </c>
      <c r="H27" s="5" t="n">
        <f aca="false">IF(B27="",0,N(INDEX(報告入力!$AZ$7:$AZ$696,B27)))</f>
        <v>1981830</v>
      </c>
      <c r="I27" s="5" t="str">
        <f aca="false">設定!$C$39&amp;""</f>
        <v>1104001001</v>
      </c>
      <c r="J27" s="5" t="str">
        <f aca="false">設定!$D$39&amp;""</f>
        <v>普広銀市役所</v>
      </c>
      <c r="K27" s="5" t="n">
        <f aca="false">IF(AND(H27&lt;&gt;0,IF(設定!$B$6="入金確認済のみ",C27="入金確認済",OR(C27="入金確認済",C27="受領済"))),1,0)</f>
        <v>0</v>
      </c>
      <c r="L27" s="5" t="str">
        <f aca="false">1&amp;"|"&amp;5</f>
        <v>1|5</v>
      </c>
      <c r="M27" s="5" t="n">
        <f aca="false">IF(L27=L26,M26,0)+K27</f>
        <v>0</v>
      </c>
      <c r="N27" s="5" t="n">
        <f aca="false">IF(AND(K27=1,M27=1),1,0)</f>
        <v>0</v>
      </c>
      <c r="O27" s="5" t="str">
        <f aca="false">IF(K27=1,MAX($O$5:O26)+1,"")</f>
        <v/>
      </c>
      <c r="P27" s="5" t="str">
        <f aca="false">IF(K27=1,SUM($N$6:N27),"")</f>
        <v/>
      </c>
      <c r="Q27" s="5" t="str">
        <f aca="false">IF(K27=1,SUMIFS($H$6:$H$511,$L$6:$L$511,L27,$K$6:$K$511,1),"")</f>
        <v/>
      </c>
      <c r="R27" s="103" t="str">
        <f aca="false">IF(B27="","",IF(INDEX(報告入力!$AB$7:$AB$696,B27)="","",INDEX(報告入力!$AB$7:$AB$696,B27)))</f>
        <v/>
      </c>
      <c r="S27" s="5" t="str">
        <f aca="false">設定!$C$47</f>
        <v>長期：退職等年金掛金</v>
      </c>
    </row>
    <row r="28" customFormat="false" ht="15" hidden="false" customHeight="false" outlineLevel="0" collapsed="false">
      <c r="A28" s="5" t="str">
        <f aca="false">設定!B65</f>
        <v>教育委員会（総務課）</v>
      </c>
      <c r="B28" s="5" t="n">
        <f aca="false">IFERROR(MATCH(ホーム!$C$4&amp;"|"&amp;A28,報告入力!$CM$7:$CM$696,0),"")</f>
        <v>327</v>
      </c>
      <c r="C28" s="5" t="str">
        <f aca="false">IF(B28="","",INDEX(報告入力!$C$7:$C$696,B28))</f>
        <v>未受領</v>
      </c>
      <c r="D28" s="5" t="str">
        <f aca="false">設定!$A$39</f>
        <v>長期（厚生年金保険経理）</v>
      </c>
      <c r="E28" s="5" t="str">
        <f aca="false">設定!$B$39&amp;""</f>
        <v>130</v>
      </c>
      <c r="F28" s="5" t="str">
        <f aca="false">設定!$D$48&amp;""</f>
        <v>6101002000</v>
      </c>
      <c r="G28" s="5" t="str">
        <f aca="false">設定!$E$48&amp;""</f>
        <v>負担地方公共</v>
      </c>
      <c r="H28" s="5" t="n">
        <f aca="false">IF(B28="",0,N(INDEX(報告入力!$BA$7:$BA$696,B28)))</f>
        <v>35265535</v>
      </c>
      <c r="I28" s="5" t="str">
        <f aca="false">設定!$C$39&amp;""</f>
        <v>1104001001</v>
      </c>
      <c r="J28" s="5" t="str">
        <f aca="false">設定!$D$39&amp;""</f>
        <v>普広銀市役所</v>
      </c>
      <c r="K28" s="5" t="n">
        <f aca="false">IF(AND(H28&lt;&gt;0,IF(設定!$B$6="入金確認済のみ",C28="入金確認済",OR(C28="入金確認済",C28="受領済"))),1,0)</f>
        <v>0</v>
      </c>
      <c r="L28" s="5" t="str">
        <f aca="false">1&amp;"|"&amp;5</f>
        <v>1|5</v>
      </c>
      <c r="M28" s="5" t="n">
        <f aca="false">IF(L28=L27,M27,0)+K28</f>
        <v>0</v>
      </c>
      <c r="N28" s="5" t="n">
        <f aca="false">IF(AND(K28=1,M28=1),1,0)</f>
        <v>0</v>
      </c>
      <c r="O28" s="5" t="str">
        <f aca="false">IF(K28=1,MAX($O$5:O27)+1,"")</f>
        <v/>
      </c>
      <c r="P28" s="5" t="str">
        <f aca="false">IF(K28=1,SUM($N$6:N28),"")</f>
        <v/>
      </c>
      <c r="Q28" s="5" t="str">
        <f aca="false">IF(K28=1,SUMIFS($H$6:$H$511,$L$6:$L$511,L28,$K$6:$K$511,1),"")</f>
        <v/>
      </c>
      <c r="R28" s="103" t="str">
        <f aca="false">IF(B28="","",IF(INDEX(報告入力!$AB$7:$AB$696,B28)="","",INDEX(報告入力!$AB$7:$AB$696,B28)))</f>
        <v/>
      </c>
      <c r="S28" s="5" t="str">
        <f aca="false">設定!$C$48</f>
        <v>長期：厚生年金保険料（事業主負担分）</v>
      </c>
    </row>
    <row r="29" customFormat="false" ht="15" hidden="false" customHeight="false" outlineLevel="0" collapsed="false">
      <c r="A29" s="5" t="str">
        <f aca="false">設定!B65</f>
        <v>教育委員会（総務課）</v>
      </c>
      <c r="B29" s="5" t="n">
        <f aca="false">IFERROR(MATCH(ホーム!$C$4&amp;"|"&amp;A29,報告入力!$CM$7:$CM$696,0),"")</f>
        <v>327</v>
      </c>
      <c r="C29" s="5" t="str">
        <f aca="false">IF(B29="","",INDEX(報告入力!$C$7:$C$696,B29))</f>
        <v>未受領</v>
      </c>
      <c r="D29" s="5" t="str">
        <f aca="false">設定!$A$39</f>
        <v>長期（厚生年金保険経理）</v>
      </c>
      <c r="E29" s="5" t="str">
        <f aca="false">設定!$B$39&amp;""</f>
        <v>130</v>
      </c>
      <c r="F29" s="5" t="str">
        <f aca="false">設定!$D$49&amp;""</f>
        <v>2109001015</v>
      </c>
      <c r="G29" s="5" t="str">
        <f aca="false">設定!$E$49&amp;""</f>
        <v>退職負担地方</v>
      </c>
      <c r="H29" s="5" t="n">
        <f aca="false">IF(B29="",0,N(INDEX(報告入力!$BB$7:$BB$696,B29)))</f>
        <v>1982550</v>
      </c>
      <c r="I29" s="5" t="str">
        <f aca="false">設定!$C$39&amp;""</f>
        <v>1104001001</v>
      </c>
      <c r="J29" s="5" t="str">
        <f aca="false">設定!$D$39&amp;""</f>
        <v>普広銀市役所</v>
      </c>
      <c r="K29" s="5" t="n">
        <f aca="false">IF(AND(H29&lt;&gt;0,IF(設定!$B$6="入金確認済のみ",C29="入金確認済",OR(C29="入金確認済",C29="受領済"))),1,0)</f>
        <v>0</v>
      </c>
      <c r="L29" s="5" t="str">
        <f aca="false">1&amp;"|"&amp;5</f>
        <v>1|5</v>
      </c>
      <c r="M29" s="5" t="n">
        <f aca="false">IF(L29=L28,M28,0)+K29</f>
        <v>0</v>
      </c>
      <c r="N29" s="5" t="n">
        <f aca="false">IF(AND(K29=1,M29=1),1,0)</f>
        <v>0</v>
      </c>
      <c r="O29" s="5" t="str">
        <f aca="false">IF(K29=1,MAX($O$5:O28)+1,"")</f>
        <v/>
      </c>
      <c r="P29" s="5" t="str">
        <f aca="false">IF(K29=1,SUM($N$6:N29),"")</f>
        <v/>
      </c>
      <c r="Q29" s="5" t="str">
        <f aca="false">IF(K29=1,SUMIFS($H$6:$H$511,$L$6:$L$511,L29,$K$6:$K$511,1),"")</f>
        <v/>
      </c>
      <c r="R29" s="103" t="str">
        <f aca="false">IF(B29="","",IF(INDEX(報告入力!$AB$7:$AB$696,B29)="","",INDEX(報告入力!$AB$7:$AB$696,B29)))</f>
        <v/>
      </c>
      <c r="S29" s="5" t="str">
        <f aca="false">設定!$C$49</f>
        <v>長期：退職等年金負担金</v>
      </c>
    </row>
    <row r="30" customFormat="false" ht="15" hidden="false" customHeight="false" outlineLevel="0" collapsed="false">
      <c r="A30" s="5" t="str">
        <f aca="false">設定!B65</f>
        <v>教育委員会（総務課）</v>
      </c>
      <c r="B30" s="5" t="n">
        <f aca="false">IFERROR(MATCH(ホーム!$C$4&amp;"|"&amp;A30,報告入力!$CM$7:$CM$696,0),"")</f>
        <v>327</v>
      </c>
      <c r="C30" s="5" t="str">
        <f aca="false">IF(B30="","",INDEX(報告入力!$C$7:$C$696,B30))</f>
        <v>未受領</v>
      </c>
      <c r="D30" s="5" t="str">
        <f aca="false">設定!$A$39</f>
        <v>長期（厚生年金保険経理）</v>
      </c>
      <c r="E30" s="5" t="str">
        <f aca="false">設定!$B$39&amp;""</f>
        <v>130</v>
      </c>
      <c r="F30" s="5" t="str">
        <f aca="false">設定!$D$50&amp;""</f>
        <v>2109001017</v>
      </c>
      <c r="G30" s="5" t="str">
        <f aca="false">設定!$E$50&amp;""</f>
        <v>経過的負担金</v>
      </c>
      <c r="H30" s="5" t="n">
        <f aca="false">IF(B30="",0,N(INDEX(報告入力!$BC$7:$BC$696,B30)))</f>
        <v>25061</v>
      </c>
      <c r="I30" s="5" t="str">
        <f aca="false">設定!$C$39&amp;""</f>
        <v>1104001001</v>
      </c>
      <c r="J30" s="5" t="str">
        <f aca="false">設定!$D$39&amp;""</f>
        <v>普広銀市役所</v>
      </c>
      <c r="K30" s="5" t="n">
        <f aca="false">IF(AND(H30&lt;&gt;0,IF(設定!$B$6="入金確認済のみ",C30="入金確認済",OR(C30="入金確認済",C30="受領済"))),1,0)</f>
        <v>0</v>
      </c>
      <c r="L30" s="5" t="str">
        <f aca="false">1&amp;"|"&amp;5</f>
        <v>1|5</v>
      </c>
      <c r="M30" s="5" t="n">
        <f aca="false">IF(L30=L29,M29,0)+K30</f>
        <v>0</v>
      </c>
      <c r="N30" s="5" t="n">
        <f aca="false">IF(AND(K30=1,M30=1),1,0)</f>
        <v>0</v>
      </c>
      <c r="O30" s="5" t="str">
        <f aca="false">IF(K30=1,MAX($O$5:O29)+1,"")</f>
        <v/>
      </c>
      <c r="P30" s="5" t="str">
        <f aca="false">IF(K30=1,SUM($N$6:N30),"")</f>
        <v/>
      </c>
      <c r="Q30" s="5" t="str">
        <f aca="false">IF(K30=1,SUMIFS($H$6:$H$511,$L$6:$L$511,L30,$K$6:$K$511,1),"")</f>
        <v/>
      </c>
      <c r="R30" s="103" t="str">
        <f aca="false">IF(B30="","",IF(INDEX(報告入力!$AB$7:$AB$696,B30)="","",INDEX(報告入力!$AB$7:$AB$696,B30)))</f>
        <v/>
      </c>
      <c r="S30" s="5" t="str">
        <f aca="false">設定!$C$50</f>
        <v>長期：経過的長期</v>
      </c>
    </row>
    <row r="31" customFormat="false" ht="15" hidden="false" customHeight="false" outlineLevel="0" collapsed="false">
      <c r="A31" s="5" t="str">
        <f aca="false">設定!B66</f>
        <v>選挙管理委員会</v>
      </c>
      <c r="B31" s="5" t="n">
        <f aca="false">IFERROR(MATCH(ホーム!$C$4&amp;"|"&amp;A31,報告入力!$CM$7:$CM$696,0),"")</f>
        <v>328</v>
      </c>
      <c r="C31" s="5" t="str">
        <f aca="false">IF(B31="","",INDEX(報告入力!$C$7:$C$696,B31))</f>
        <v>未受領</v>
      </c>
      <c r="D31" s="5" t="str">
        <f aca="false">設定!$A$39</f>
        <v>長期（厚生年金保険経理）</v>
      </c>
      <c r="E31" s="5" t="str">
        <f aca="false">設定!$B$39&amp;""</f>
        <v>130</v>
      </c>
      <c r="F31" s="5" t="str">
        <f aca="false">設定!$D$46&amp;""</f>
        <v>6102102000</v>
      </c>
      <c r="G31" s="5" t="str">
        <f aca="false">設定!$E$46&amp;""</f>
        <v>標月額保険料</v>
      </c>
      <c r="H31" s="5" t="n">
        <f aca="false">IF(B31="",0,N(INDEX(報告入力!$AY$7:$AY$696,B31)))</f>
        <v>280905</v>
      </c>
      <c r="I31" s="5" t="str">
        <f aca="false">設定!$C$39&amp;""</f>
        <v>1104001001</v>
      </c>
      <c r="J31" s="5" t="str">
        <f aca="false">設定!$D$39&amp;""</f>
        <v>普広銀市役所</v>
      </c>
      <c r="K31" s="5" t="n">
        <f aca="false">IF(AND(H31&lt;&gt;0,IF(設定!$B$6="入金確認済のみ",C31="入金確認済",OR(C31="入金確認済",C31="受領済"))),1,0)</f>
        <v>0</v>
      </c>
      <c r="L31" s="5" t="str">
        <f aca="false">1&amp;"|"&amp;6</f>
        <v>1|6</v>
      </c>
      <c r="M31" s="5" t="n">
        <f aca="false">IF(L31=L30,M30,0)+K31</f>
        <v>0</v>
      </c>
      <c r="N31" s="5" t="n">
        <f aca="false">IF(AND(K31=1,M31=1),1,0)</f>
        <v>0</v>
      </c>
      <c r="O31" s="5" t="str">
        <f aca="false">IF(K31=1,MAX($O$5:O30)+1,"")</f>
        <v/>
      </c>
      <c r="P31" s="5" t="str">
        <f aca="false">IF(K31=1,SUM($N$6:N31),"")</f>
        <v/>
      </c>
      <c r="Q31" s="5" t="str">
        <f aca="false">IF(K31=1,SUMIFS($H$6:$H$511,$L$6:$L$511,L31,$K$6:$K$511,1),"")</f>
        <v/>
      </c>
      <c r="R31" s="103" t="str">
        <f aca="false">IF(B31="","",IF(INDEX(報告入力!$AB$7:$AB$696,B31)="","",INDEX(報告入力!$AB$7:$AB$696,B31)))</f>
        <v/>
      </c>
      <c r="S31" s="5" t="str">
        <f aca="false">設定!$C$46</f>
        <v>長期：厚生年金保険料（組合員負担分）</v>
      </c>
    </row>
    <row r="32" customFormat="false" ht="15" hidden="false" customHeight="false" outlineLevel="0" collapsed="false">
      <c r="A32" s="5" t="str">
        <f aca="false">設定!B66</f>
        <v>選挙管理委員会</v>
      </c>
      <c r="B32" s="5" t="n">
        <f aca="false">IFERROR(MATCH(ホーム!$C$4&amp;"|"&amp;A32,報告入力!$CM$7:$CM$696,0),"")</f>
        <v>328</v>
      </c>
      <c r="C32" s="5" t="str">
        <f aca="false">IF(B32="","",INDEX(報告入力!$C$7:$C$696,B32))</f>
        <v>未受領</v>
      </c>
      <c r="D32" s="5" t="str">
        <f aca="false">設定!$A$39</f>
        <v>長期（厚生年金保険経理）</v>
      </c>
      <c r="E32" s="5" t="str">
        <f aca="false">設定!$B$39&amp;""</f>
        <v>130</v>
      </c>
      <c r="F32" s="5" t="str">
        <f aca="false">設定!$D$47&amp;""</f>
        <v>2109001014</v>
      </c>
      <c r="G32" s="5" t="str">
        <f aca="false">設定!$E$47&amp;""</f>
        <v>退職標報掛金</v>
      </c>
      <c r="H32" s="5" t="n">
        <f aca="false">IF(B32="",0,N(INDEX(報告入力!$AZ$7:$AZ$696,B32)))</f>
        <v>23025</v>
      </c>
      <c r="I32" s="5" t="str">
        <f aca="false">設定!$C$39&amp;""</f>
        <v>1104001001</v>
      </c>
      <c r="J32" s="5" t="str">
        <f aca="false">設定!$D$39&amp;""</f>
        <v>普広銀市役所</v>
      </c>
      <c r="K32" s="5" t="n">
        <f aca="false">IF(AND(H32&lt;&gt;0,IF(設定!$B$6="入金確認済のみ",C32="入金確認済",OR(C32="入金確認済",C32="受領済"))),1,0)</f>
        <v>0</v>
      </c>
      <c r="L32" s="5" t="str">
        <f aca="false">1&amp;"|"&amp;6</f>
        <v>1|6</v>
      </c>
      <c r="M32" s="5" t="n">
        <f aca="false">IF(L32=L31,M31,0)+K32</f>
        <v>0</v>
      </c>
      <c r="N32" s="5" t="n">
        <f aca="false">IF(AND(K32=1,M32=1),1,0)</f>
        <v>0</v>
      </c>
      <c r="O32" s="5" t="str">
        <f aca="false">IF(K32=1,MAX($O$5:O31)+1,"")</f>
        <v/>
      </c>
      <c r="P32" s="5" t="str">
        <f aca="false">IF(K32=1,SUM($N$6:N32),"")</f>
        <v/>
      </c>
      <c r="Q32" s="5" t="str">
        <f aca="false">IF(K32=1,SUMIFS($H$6:$H$511,$L$6:$L$511,L32,$K$6:$K$511,1),"")</f>
        <v/>
      </c>
      <c r="R32" s="103" t="str">
        <f aca="false">IF(B32="","",IF(INDEX(報告入力!$AB$7:$AB$696,B32)="","",INDEX(報告入力!$AB$7:$AB$696,B32)))</f>
        <v/>
      </c>
      <c r="S32" s="5" t="str">
        <f aca="false">設定!$C$47</f>
        <v>長期：退職等年金掛金</v>
      </c>
    </row>
    <row r="33" customFormat="false" ht="15" hidden="false" customHeight="false" outlineLevel="0" collapsed="false">
      <c r="A33" s="5" t="str">
        <f aca="false">設定!B66</f>
        <v>選挙管理委員会</v>
      </c>
      <c r="B33" s="5" t="n">
        <f aca="false">IFERROR(MATCH(ホーム!$C$4&amp;"|"&amp;A33,報告入力!$CM$7:$CM$696,0),"")</f>
        <v>328</v>
      </c>
      <c r="C33" s="5" t="str">
        <f aca="false">IF(B33="","",INDEX(報告入力!$C$7:$C$696,B33))</f>
        <v>未受領</v>
      </c>
      <c r="D33" s="5" t="str">
        <f aca="false">設定!$A$39</f>
        <v>長期（厚生年金保険経理）</v>
      </c>
      <c r="E33" s="5" t="str">
        <f aca="false">設定!$B$39&amp;""</f>
        <v>130</v>
      </c>
      <c r="F33" s="5" t="str">
        <f aca="false">設定!$D$48&amp;""</f>
        <v>6101002000</v>
      </c>
      <c r="G33" s="5" t="str">
        <f aca="false">設定!$E$48&amp;""</f>
        <v>負担地方公共</v>
      </c>
      <c r="H33" s="5" t="n">
        <f aca="false">IF(B33="",0,N(INDEX(報告入力!$BA$7:$BA$696,B33)))</f>
        <v>408310</v>
      </c>
      <c r="I33" s="5" t="str">
        <f aca="false">設定!$C$39&amp;""</f>
        <v>1104001001</v>
      </c>
      <c r="J33" s="5" t="str">
        <f aca="false">設定!$D$39&amp;""</f>
        <v>普広銀市役所</v>
      </c>
      <c r="K33" s="5" t="n">
        <f aca="false">IF(AND(H33&lt;&gt;0,IF(設定!$B$6="入金確認済のみ",C33="入金確認済",OR(C33="入金確認済",C33="受領済"))),1,0)</f>
        <v>0</v>
      </c>
      <c r="L33" s="5" t="str">
        <f aca="false">1&amp;"|"&amp;6</f>
        <v>1|6</v>
      </c>
      <c r="M33" s="5" t="n">
        <f aca="false">IF(L33=L32,M32,0)+K33</f>
        <v>0</v>
      </c>
      <c r="N33" s="5" t="n">
        <f aca="false">IF(AND(K33=1,M33=1),1,0)</f>
        <v>0</v>
      </c>
      <c r="O33" s="5" t="str">
        <f aca="false">IF(K33=1,MAX($O$5:O32)+1,"")</f>
        <v/>
      </c>
      <c r="P33" s="5" t="str">
        <f aca="false">IF(K33=1,SUM($N$6:N33),"")</f>
        <v/>
      </c>
      <c r="Q33" s="5" t="str">
        <f aca="false">IF(K33=1,SUMIFS($H$6:$H$511,$L$6:$L$511,L33,$K$6:$K$511,1),"")</f>
        <v/>
      </c>
      <c r="R33" s="103" t="str">
        <f aca="false">IF(B33="","",IF(INDEX(報告入力!$AB$7:$AB$696,B33)="","",INDEX(報告入力!$AB$7:$AB$696,B33)))</f>
        <v/>
      </c>
      <c r="S33" s="5" t="str">
        <f aca="false">設定!$C$48</f>
        <v>長期：厚生年金保険料（事業主負担分）</v>
      </c>
    </row>
    <row r="34" customFormat="false" ht="15" hidden="false" customHeight="false" outlineLevel="0" collapsed="false">
      <c r="A34" s="5" t="str">
        <f aca="false">設定!B66</f>
        <v>選挙管理委員会</v>
      </c>
      <c r="B34" s="5" t="n">
        <f aca="false">IFERROR(MATCH(ホーム!$C$4&amp;"|"&amp;A34,報告入力!$CM$7:$CM$696,0),"")</f>
        <v>328</v>
      </c>
      <c r="C34" s="5" t="str">
        <f aca="false">IF(B34="","",INDEX(報告入力!$C$7:$C$696,B34))</f>
        <v>未受領</v>
      </c>
      <c r="D34" s="5" t="str">
        <f aca="false">設定!$A$39</f>
        <v>長期（厚生年金保険経理）</v>
      </c>
      <c r="E34" s="5" t="str">
        <f aca="false">設定!$B$39&amp;""</f>
        <v>130</v>
      </c>
      <c r="F34" s="5" t="str">
        <f aca="false">設定!$D$49&amp;""</f>
        <v>2109001015</v>
      </c>
      <c r="G34" s="5" t="str">
        <f aca="false">設定!$E$49&amp;""</f>
        <v>退職負担地方</v>
      </c>
      <c r="H34" s="5" t="n">
        <f aca="false">IF(B34="",0,N(INDEX(報告入力!$BB$7:$BB$696,B34)))</f>
        <v>23025</v>
      </c>
      <c r="I34" s="5" t="str">
        <f aca="false">設定!$C$39&amp;""</f>
        <v>1104001001</v>
      </c>
      <c r="J34" s="5" t="str">
        <f aca="false">設定!$D$39&amp;""</f>
        <v>普広銀市役所</v>
      </c>
      <c r="K34" s="5" t="n">
        <f aca="false">IF(AND(H34&lt;&gt;0,IF(設定!$B$6="入金確認済のみ",C34="入金確認済",OR(C34="入金確認済",C34="受領済"))),1,0)</f>
        <v>0</v>
      </c>
      <c r="L34" s="5" t="str">
        <f aca="false">1&amp;"|"&amp;6</f>
        <v>1|6</v>
      </c>
      <c r="M34" s="5" t="n">
        <f aca="false">IF(L34=L33,M33,0)+K34</f>
        <v>0</v>
      </c>
      <c r="N34" s="5" t="n">
        <f aca="false">IF(AND(K34=1,M34=1),1,0)</f>
        <v>0</v>
      </c>
      <c r="O34" s="5" t="str">
        <f aca="false">IF(K34=1,MAX($O$5:O33)+1,"")</f>
        <v/>
      </c>
      <c r="P34" s="5" t="str">
        <f aca="false">IF(K34=1,SUM($N$6:N34),"")</f>
        <v/>
      </c>
      <c r="Q34" s="5" t="str">
        <f aca="false">IF(K34=1,SUMIFS($H$6:$H$511,$L$6:$L$511,L34,$K$6:$K$511,1),"")</f>
        <v/>
      </c>
      <c r="R34" s="103" t="str">
        <f aca="false">IF(B34="","",IF(INDEX(報告入力!$AB$7:$AB$696,B34)="","",INDEX(報告入力!$AB$7:$AB$696,B34)))</f>
        <v/>
      </c>
      <c r="S34" s="5" t="str">
        <f aca="false">設定!$C$49</f>
        <v>長期：退職等年金負担金</v>
      </c>
    </row>
    <row r="35" customFormat="false" ht="15" hidden="false" customHeight="false" outlineLevel="0" collapsed="false">
      <c r="A35" s="5" t="str">
        <f aca="false">設定!B66</f>
        <v>選挙管理委員会</v>
      </c>
      <c r="B35" s="5" t="n">
        <f aca="false">IFERROR(MATCH(ホーム!$C$4&amp;"|"&amp;A35,報告入力!$CM$7:$CM$696,0),"")</f>
        <v>328</v>
      </c>
      <c r="C35" s="5" t="str">
        <f aca="false">IF(B35="","",INDEX(報告入力!$C$7:$C$696,B35))</f>
        <v>未受領</v>
      </c>
      <c r="D35" s="5" t="str">
        <f aca="false">設定!$A$39</f>
        <v>長期（厚生年金保険経理）</v>
      </c>
      <c r="E35" s="5" t="str">
        <f aca="false">設定!$B$39&amp;""</f>
        <v>130</v>
      </c>
      <c r="F35" s="5" t="str">
        <f aca="false">設定!$D$50&amp;""</f>
        <v>2109001017</v>
      </c>
      <c r="G35" s="5" t="str">
        <f aca="false">設定!$E$50&amp;""</f>
        <v>経過的負担金</v>
      </c>
      <c r="H35" s="5" t="n">
        <f aca="false">IF(B35="",0,N(INDEX(報告入力!$BC$7:$BC$696,B35)))</f>
        <v>288</v>
      </c>
      <c r="I35" s="5" t="str">
        <f aca="false">設定!$C$39&amp;""</f>
        <v>1104001001</v>
      </c>
      <c r="J35" s="5" t="str">
        <f aca="false">設定!$D$39&amp;""</f>
        <v>普広銀市役所</v>
      </c>
      <c r="K35" s="5" t="n">
        <f aca="false">IF(AND(H35&lt;&gt;0,IF(設定!$B$6="入金確認済のみ",C35="入金確認済",OR(C35="入金確認済",C35="受領済"))),1,0)</f>
        <v>0</v>
      </c>
      <c r="L35" s="5" t="str">
        <f aca="false">1&amp;"|"&amp;6</f>
        <v>1|6</v>
      </c>
      <c r="M35" s="5" t="n">
        <f aca="false">IF(L35=L34,M34,0)+K35</f>
        <v>0</v>
      </c>
      <c r="N35" s="5" t="n">
        <f aca="false">IF(AND(K35=1,M35=1),1,0)</f>
        <v>0</v>
      </c>
      <c r="O35" s="5" t="str">
        <f aca="false">IF(K35=1,MAX($O$5:O34)+1,"")</f>
        <v/>
      </c>
      <c r="P35" s="5" t="str">
        <f aca="false">IF(K35=1,SUM($N$6:N35),"")</f>
        <v/>
      </c>
      <c r="Q35" s="5" t="str">
        <f aca="false">IF(K35=1,SUMIFS($H$6:$H$511,$L$6:$L$511,L35,$K$6:$K$511,1),"")</f>
        <v/>
      </c>
      <c r="R35" s="103" t="str">
        <f aca="false">IF(B35="","",IF(INDEX(報告入力!$AB$7:$AB$696,B35)="","",INDEX(報告入力!$AB$7:$AB$696,B35)))</f>
        <v/>
      </c>
      <c r="S35" s="5" t="str">
        <f aca="false">設定!$C$50</f>
        <v>長期：経過的長期</v>
      </c>
    </row>
    <row r="36" customFormat="false" ht="15" hidden="false" customHeight="false" outlineLevel="0" collapsed="false">
      <c r="A36" s="5" t="str">
        <f aca="false">設定!B67</f>
        <v>人事委員会</v>
      </c>
      <c r="B36" s="5" t="n">
        <f aca="false">IFERROR(MATCH(ホーム!$C$4&amp;"|"&amp;A36,報告入力!$CM$7:$CM$696,0),"")</f>
        <v>329</v>
      </c>
      <c r="C36" s="5" t="str">
        <f aca="false">IF(B36="","",INDEX(報告入力!$C$7:$C$696,B36))</f>
        <v>未受領</v>
      </c>
      <c r="D36" s="5" t="str">
        <f aca="false">設定!$A$39</f>
        <v>長期（厚生年金保険経理）</v>
      </c>
      <c r="E36" s="5" t="str">
        <f aca="false">設定!$B$39&amp;""</f>
        <v>130</v>
      </c>
      <c r="F36" s="5" t="str">
        <f aca="false">設定!$D$46&amp;""</f>
        <v>6102102000</v>
      </c>
      <c r="G36" s="5" t="str">
        <f aca="false">設定!$E$46&amp;""</f>
        <v>標月額保険料</v>
      </c>
      <c r="H36" s="5" t="n">
        <f aca="false">IF(B36="",0,N(INDEX(報告入力!$AY$7:$AY$696,B36)))</f>
        <v>561810</v>
      </c>
      <c r="I36" s="5" t="str">
        <f aca="false">設定!$C$39&amp;""</f>
        <v>1104001001</v>
      </c>
      <c r="J36" s="5" t="str">
        <f aca="false">設定!$D$39&amp;""</f>
        <v>普広銀市役所</v>
      </c>
      <c r="K36" s="5" t="n">
        <f aca="false">IF(AND(H36&lt;&gt;0,IF(設定!$B$6="入金確認済のみ",C36="入金確認済",OR(C36="入金確認済",C36="受領済"))),1,0)</f>
        <v>0</v>
      </c>
      <c r="L36" s="5" t="str">
        <f aca="false">1&amp;"|"&amp;7</f>
        <v>1|7</v>
      </c>
      <c r="M36" s="5" t="n">
        <f aca="false">IF(L36=L35,M35,0)+K36</f>
        <v>0</v>
      </c>
      <c r="N36" s="5" t="n">
        <f aca="false">IF(AND(K36=1,M36=1),1,0)</f>
        <v>0</v>
      </c>
      <c r="O36" s="5" t="str">
        <f aca="false">IF(K36=1,MAX($O$5:O35)+1,"")</f>
        <v/>
      </c>
      <c r="P36" s="5" t="str">
        <f aca="false">IF(K36=1,SUM($N$6:N36),"")</f>
        <v/>
      </c>
      <c r="Q36" s="5" t="str">
        <f aca="false">IF(K36=1,SUMIFS($H$6:$H$511,$L$6:$L$511,L36,$K$6:$K$511,1),"")</f>
        <v/>
      </c>
      <c r="R36" s="103" t="str">
        <f aca="false">IF(B36="","",IF(INDEX(報告入力!$AB$7:$AB$696,B36)="","",INDEX(報告入力!$AB$7:$AB$696,B36)))</f>
        <v/>
      </c>
      <c r="S36" s="5" t="str">
        <f aca="false">設定!$C$46</f>
        <v>長期：厚生年金保険料（組合員負担分）</v>
      </c>
    </row>
    <row r="37" customFormat="false" ht="15" hidden="false" customHeight="false" outlineLevel="0" collapsed="false">
      <c r="A37" s="5" t="str">
        <f aca="false">設定!B67</f>
        <v>人事委員会</v>
      </c>
      <c r="B37" s="5" t="n">
        <f aca="false">IFERROR(MATCH(ホーム!$C$4&amp;"|"&amp;A37,報告入力!$CM$7:$CM$696,0),"")</f>
        <v>329</v>
      </c>
      <c r="C37" s="5" t="str">
        <f aca="false">IF(B37="","",INDEX(報告入力!$C$7:$C$696,B37))</f>
        <v>未受領</v>
      </c>
      <c r="D37" s="5" t="str">
        <f aca="false">設定!$A$39</f>
        <v>長期（厚生年金保険経理）</v>
      </c>
      <c r="E37" s="5" t="str">
        <f aca="false">設定!$B$39&amp;""</f>
        <v>130</v>
      </c>
      <c r="F37" s="5" t="str">
        <f aca="false">設定!$D$47&amp;""</f>
        <v>2109001014</v>
      </c>
      <c r="G37" s="5" t="str">
        <f aca="false">設定!$E$47&amp;""</f>
        <v>退職標報掛金</v>
      </c>
      <c r="H37" s="5" t="n">
        <f aca="false">IF(B37="",0,N(INDEX(報告入力!$AZ$7:$AZ$696,B37)))</f>
        <v>46050</v>
      </c>
      <c r="I37" s="5" t="str">
        <f aca="false">設定!$C$39&amp;""</f>
        <v>1104001001</v>
      </c>
      <c r="J37" s="5" t="str">
        <f aca="false">設定!$D$39&amp;""</f>
        <v>普広銀市役所</v>
      </c>
      <c r="K37" s="5" t="n">
        <f aca="false">IF(AND(H37&lt;&gt;0,IF(設定!$B$6="入金確認済のみ",C37="入金確認済",OR(C37="入金確認済",C37="受領済"))),1,0)</f>
        <v>0</v>
      </c>
      <c r="L37" s="5" t="str">
        <f aca="false">1&amp;"|"&amp;7</f>
        <v>1|7</v>
      </c>
      <c r="M37" s="5" t="n">
        <f aca="false">IF(L37=L36,M36,0)+K37</f>
        <v>0</v>
      </c>
      <c r="N37" s="5" t="n">
        <f aca="false">IF(AND(K37=1,M37=1),1,0)</f>
        <v>0</v>
      </c>
      <c r="O37" s="5" t="str">
        <f aca="false">IF(K37=1,MAX($O$5:O36)+1,"")</f>
        <v/>
      </c>
      <c r="P37" s="5" t="str">
        <f aca="false">IF(K37=1,SUM($N$6:N37),"")</f>
        <v/>
      </c>
      <c r="Q37" s="5" t="str">
        <f aca="false">IF(K37=1,SUMIFS($H$6:$H$511,$L$6:$L$511,L37,$K$6:$K$511,1),"")</f>
        <v/>
      </c>
      <c r="R37" s="103" t="str">
        <f aca="false">IF(B37="","",IF(INDEX(報告入力!$AB$7:$AB$696,B37)="","",INDEX(報告入力!$AB$7:$AB$696,B37)))</f>
        <v/>
      </c>
      <c r="S37" s="5" t="str">
        <f aca="false">設定!$C$47</f>
        <v>長期：退職等年金掛金</v>
      </c>
    </row>
    <row r="38" customFormat="false" ht="15" hidden="false" customHeight="false" outlineLevel="0" collapsed="false">
      <c r="A38" s="5" t="str">
        <f aca="false">設定!B67</f>
        <v>人事委員会</v>
      </c>
      <c r="B38" s="5" t="n">
        <f aca="false">IFERROR(MATCH(ホーム!$C$4&amp;"|"&amp;A38,報告入力!$CM$7:$CM$696,0),"")</f>
        <v>329</v>
      </c>
      <c r="C38" s="5" t="str">
        <f aca="false">IF(B38="","",INDEX(報告入力!$C$7:$C$696,B38))</f>
        <v>未受領</v>
      </c>
      <c r="D38" s="5" t="str">
        <f aca="false">設定!$A$39</f>
        <v>長期（厚生年金保険経理）</v>
      </c>
      <c r="E38" s="5" t="str">
        <f aca="false">設定!$B$39&amp;""</f>
        <v>130</v>
      </c>
      <c r="F38" s="5" t="str">
        <f aca="false">設定!$D$48&amp;""</f>
        <v>6101002000</v>
      </c>
      <c r="G38" s="5" t="str">
        <f aca="false">設定!$E$48&amp;""</f>
        <v>負担地方公共</v>
      </c>
      <c r="H38" s="5" t="n">
        <f aca="false">IF(B38="",0,N(INDEX(報告入力!$BA$7:$BA$696,B38)))</f>
        <v>816620</v>
      </c>
      <c r="I38" s="5" t="str">
        <f aca="false">設定!$C$39&amp;""</f>
        <v>1104001001</v>
      </c>
      <c r="J38" s="5" t="str">
        <f aca="false">設定!$D$39&amp;""</f>
        <v>普広銀市役所</v>
      </c>
      <c r="K38" s="5" t="n">
        <f aca="false">IF(AND(H38&lt;&gt;0,IF(設定!$B$6="入金確認済のみ",C38="入金確認済",OR(C38="入金確認済",C38="受領済"))),1,0)</f>
        <v>0</v>
      </c>
      <c r="L38" s="5" t="str">
        <f aca="false">1&amp;"|"&amp;7</f>
        <v>1|7</v>
      </c>
      <c r="M38" s="5" t="n">
        <f aca="false">IF(L38=L37,M37,0)+K38</f>
        <v>0</v>
      </c>
      <c r="N38" s="5" t="n">
        <f aca="false">IF(AND(K38=1,M38=1),1,0)</f>
        <v>0</v>
      </c>
      <c r="O38" s="5" t="str">
        <f aca="false">IF(K38=1,MAX($O$5:O37)+1,"")</f>
        <v/>
      </c>
      <c r="P38" s="5" t="str">
        <f aca="false">IF(K38=1,SUM($N$6:N38),"")</f>
        <v/>
      </c>
      <c r="Q38" s="5" t="str">
        <f aca="false">IF(K38=1,SUMIFS($H$6:$H$511,$L$6:$L$511,L38,$K$6:$K$511,1),"")</f>
        <v/>
      </c>
      <c r="R38" s="103" t="str">
        <f aca="false">IF(B38="","",IF(INDEX(報告入力!$AB$7:$AB$696,B38)="","",INDEX(報告入力!$AB$7:$AB$696,B38)))</f>
        <v/>
      </c>
      <c r="S38" s="5" t="str">
        <f aca="false">設定!$C$48</f>
        <v>長期：厚生年金保険料（事業主負担分）</v>
      </c>
    </row>
    <row r="39" customFormat="false" ht="15" hidden="false" customHeight="false" outlineLevel="0" collapsed="false">
      <c r="A39" s="5" t="str">
        <f aca="false">設定!B67</f>
        <v>人事委員会</v>
      </c>
      <c r="B39" s="5" t="n">
        <f aca="false">IFERROR(MATCH(ホーム!$C$4&amp;"|"&amp;A39,報告入力!$CM$7:$CM$696,0),"")</f>
        <v>329</v>
      </c>
      <c r="C39" s="5" t="str">
        <f aca="false">IF(B39="","",INDEX(報告入力!$C$7:$C$696,B39))</f>
        <v>未受領</v>
      </c>
      <c r="D39" s="5" t="str">
        <f aca="false">設定!$A$39</f>
        <v>長期（厚生年金保険経理）</v>
      </c>
      <c r="E39" s="5" t="str">
        <f aca="false">設定!$B$39&amp;""</f>
        <v>130</v>
      </c>
      <c r="F39" s="5" t="str">
        <f aca="false">設定!$D$49&amp;""</f>
        <v>2109001015</v>
      </c>
      <c r="G39" s="5" t="str">
        <f aca="false">設定!$E$49&amp;""</f>
        <v>退職負担地方</v>
      </c>
      <c r="H39" s="5" t="n">
        <f aca="false">IF(B39="",0,N(INDEX(報告入力!$BB$7:$BB$696,B39)))</f>
        <v>46050</v>
      </c>
      <c r="I39" s="5" t="str">
        <f aca="false">設定!$C$39&amp;""</f>
        <v>1104001001</v>
      </c>
      <c r="J39" s="5" t="str">
        <f aca="false">設定!$D$39&amp;""</f>
        <v>普広銀市役所</v>
      </c>
      <c r="K39" s="5" t="n">
        <f aca="false">IF(AND(H39&lt;&gt;0,IF(設定!$B$6="入金確認済のみ",C39="入金確認済",OR(C39="入金確認済",C39="受領済"))),1,0)</f>
        <v>0</v>
      </c>
      <c r="L39" s="5" t="str">
        <f aca="false">1&amp;"|"&amp;7</f>
        <v>1|7</v>
      </c>
      <c r="M39" s="5" t="n">
        <f aca="false">IF(L39=L38,M38,0)+K39</f>
        <v>0</v>
      </c>
      <c r="N39" s="5" t="n">
        <f aca="false">IF(AND(K39=1,M39=1),1,0)</f>
        <v>0</v>
      </c>
      <c r="O39" s="5" t="str">
        <f aca="false">IF(K39=1,MAX($O$5:O38)+1,"")</f>
        <v/>
      </c>
      <c r="P39" s="5" t="str">
        <f aca="false">IF(K39=1,SUM($N$6:N39),"")</f>
        <v/>
      </c>
      <c r="Q39" s="5" t="str">
        <f aca="false">IF(K39=1,SUMIFS($H$6:$H$511,$L$6:$L$511,L39,$K$6:$K$511,1),"")</f>
        <v/>
      </c>
      <c r="R39" s="103" t="str">
        <f aca="false">IF(B39="","",IF(INDEX(報告入力!$AB$7:$AB$696,B39)="","",INDEX(報告入力!$AB$7:$AB$696,B39)))</f>
        <v/>
      </c>
      <c r="S39" s="5" t="str">
        <f aca="false">設定!$C$49</f>
        <v>長期：退職等年金負担金</v>
      </c>
    </row>
    <row r="40" customFormat="false" ht="15" hidden="false" customHeight="false" outlineLevel="0" collapsed="false">
      <c r="A40" s="5" t="str">
        <f aca="false">設定!B67</f>
        <v>人事委員会</v>
      </c>
      <c r="B40" s="5" t="n">
        <f aca="false">IFERROR(MATCH(ホーム!$C$4&amp;"|"&amp;A40,報告入力!$CM$7:$CM$696,0),"")</f>
        <v>329</v>
      </c>
      <c r="C40" s="5" t="str">
        <f aca="false">IF(B40="","",INDEX(報告入力!$C$7:$C$696,B40))</f>
        <v>未受領</v>
      </c>
      <c r="D40" s="5" t="str">
        <f aca="false">設定!$A$39</f>
        <v>長期（厚生年金保険経理）</v>
      </c>
      <c r="E40" s="5" t="str">
        <f aca="false">設定!$B$39&amp;""</f>
        <v>130</v>
      </c>
      <c r="F40" s="5" t="str">
        <f aca="false">設定!$D$50&amp;""</f>
        <v>2109001017</v>
      </c>
      <c r="G40" s="5" t="str">
        <f aca="false">設定!$E$50&amp;""</f>
        <v>経過的負担金</v>
      </c>
      <c r="H40" s="5" t="n">
        <f aca="false">IF(B40="",0,N(INDEX(報告入力!$BC$7:$BC$696,B40)))</f>
        <v>576</v>
      </c>
      <c r="I40" s="5" t="str">
        <f aca="false">設定!$C$39&amp;""</f>
        <v>1104001001</v>
      </c>
      <c r="J40" s="5" t="str">
        <f aca="false">設定!$D$39&amp;""</f>
        <v>普広銀市役所</v>
      </c>
      <c r="K40" s="5" t="n">
        <f aca="false">IF(AND(H40&lt;&gt;0,IF(設定!$B$6="入金確認済のみ",C40="入金確認済",OR(C40="入金確認済",C40="受領済"))),1,0)</f>
        <v>0</v>
      </c>
      <c r="L40" s="5" t="str">
        <f aca="false">1&amp;"|"&amp;7</f>
        <v>1|7</v>
      </c>
      <c r="M40" s="5" t="n">
        <f aca="false">IF(L40=L39,M39,0)+K40</f>
        <v>0</v>
      </c>
      <c r="N40" s="5" t="n">
        <f aca="false">IF(AND(K40=1,M40=1),1,0)</f>
        <v>0</v>
      </c>
      <c r="O40" s="5" t="str">
        <f aca="false">IF(K40=1,MAX($O$5:O39)+1,"")</f>
        <v/>
      </c>
      <c r="P40" s="5" t="str">
        <f aca="false">IF(K40=1,SUM($N$6:N40),"")</f>
        <v/>
      </c>
      <c r="Q40" s="5" t="str">
        <f aca="false">IF(K40=1,SUMIFS($H$6:$H$511,$L$6:$L$511,L40,$K$6:$K$511,1),"")</f>
        <v/>
      </c>
      <c r="R40" s="103" t="str">
        <f aca="false">IF(B40="","",IF(INDEX(報告入力!$AB$7:$AB$696,B40)="","",INDEX(報告入力!$AB$7:$AB$696,B40)))</f>
        <v/>
      </c>
      <c r="S40" s="5" t="str">
        <f aca="false">設定!$C$50</f>
        <v>長期：経過的長期</v>
      </c>
    </row>
    <row r="41" customFormat="false" ht="15" hidden="false" customHeight="false" outlineLevel="0" collapsed="false">
      <c r="A41" s="5" t="str">
        <f aca="false">設定!B68</f>
        <v>監査事務局</v>
      </c>
      <c r="B41" s="5" t="n">
        <f aca="false">IFERROR(MATCH(ホーム!$C$4&amp;"|"&amp;A41,報告入力!$CM$7:$CM$696,0),"")</f>
        <v>330</v>
      </c>
      <c r="C41" s="5" t="str">
        <f aca="false">IF(B41="","",INDEX(報告入力!$C$7:$C$696,B41))</f>
        <v>未受領</v>
      </c>
      <c r="D41" s="5" t="str">
        <f aca="false">設定!$A$39</f>
        <v>長期（厚生年金保険経理）</v>
      </c>
      <c r="E41" s="5" t="str">
        <f aca="false">設定!$B$39&amp;""</f>
        <v>130</v>
      </c>
      <c r="F41" s="5" t="str">
        <f aca="false">設定!$D$46&amp;""</f>
        <v>6102102000</v>
      </c>
      <c r="G41" s="5" t="str">
        <f aca="false">設定!$E$46&amp;""</f>
        <v>標月額保険料</v>
      </c>
      <c r="H41" s="5" t="n">
        <f aca="false">IF(B41="",0,N(INDEX(報告入力!$AY$7:$AY$696,B41)))</f>
        <v>1344135</v>
      </c>
      <c r="I41" s="5" t="str">
        <f aca="false">設定!$C$39&amp;""</f>
        <v>1104001001</v>
      </c>
      <c r="J41" s="5" t="str">
        <f aca="false">設定!$D$39&amp;""</f>
        <v>普広銀市役所</v>
      </c>
      <c r="K41" s="5" t="n">
        <f aca="false">IF(AND(H41&lt;&gt;0,IF(設定!$B$6="入金確認済のみ",C41="入金確認済",OR(C41="入金確認済",C41="受領済"))),1,0)</f>
        <v>0</v>
      </c>
      <c r="L41" s="5" t="str">
        <f aca="false">1&amp;"|"&amp;8</f>
        <v>1|8</v>
      </c>
      <c r="M41" s="5" t="n">
        <f aca="false">IF(L41=L40,M40,0)+K41</f>
        <v>0</v>
      </c>
      <c r="N41" s="5" t="n">
        <f aca="false">IF(AND(K41=1,M41=1),1,0)</f>
        <v>0</v>
      </c>
      <c r="O41" s="5" t="str">
        <f aca="false">IF(K41=1,MAX($O$5:O40)+1,"")</f>
        <v/>
      </c>
      <c r="P41" s="5" t="str">
        <f aca="false">IF(K41=1,SUM($N$6:N41),"")</f>
        <v/>
      </c>
      <c r="Q41" s="5" t="str">
        <f aca="false">IF(K41=1,SUMIFS($H$6:$H$511,$L$6:$L$511,L41,$K$6:$K$511,1),"")</f>
        <v/>
      </c>
      <c r="R41" s="103" t="str">
        <f aca="false">IF(B41="","",IF(INDEX(報告入力!$AB$7:$AB$696,B41)="","",INDEX(報告入力!$AB$7:$AB$696,B41)))</f>
        <v/>
      </c>
      <c r="S41" s="5" t="str">
        <f aca="false">設定!$C$46</f>
        <v>長期：厚生年金保険料（組合員負担分）</v>
      </c>
    </row>
    <row r="42" customFormat="false" ht="15" hidden="false" customHeight="false" outlineLevel="0" collapsed="false">
      <c r="A42" s="5" t="str">
        <f aca="false">設定!B68</f>
        <v>監査事務局</v>
      </c>
      <c r="B42" s="5" t="n">
        <f aca="false">IFERROR(MATCH(ホーム!$C$4&amp;"|"&amp;A42,報告入力!$CM$7:$CM$696,0),"")</f>
        <v>330</v>
      </c>
      <c r="C42" s="5" t="str">
        <f aca="false">IF(B42="","",INDEX(報告入力!$C$7:$C$696,B42))</f>
        <v>未受領</v>
      </c>
      <c r="D42" s="5" t="str">
        <f aca="false">設定!$A$39</f>
        <v>長期（厚生年金保険経理）</v>
      </c>
      <c r="E42" s="5" t="str">
        <f aca="false">設定!$B$39&amp;""</f>
        <v>130</v>
      </c>
      <c r="F42" s="5" t="str">
        <f aca="false">設定!$D$47&amp;""</f>
        <v>2109001014</v>
      </c>
      <c r="G42" s="5" t="str">
        <f aca="false">設定!$E$47&amp;""</f>
        <v>退職標報掛金</v>
      </c>
      <c r="H42" s="5" t="n">
        <f aca="false">IF(B42="",0,N(INDEX(報告入力!$AZ$7:$AZ$696,B42)))</f>
        <v>110175</v>
      </c>
      <c r="I42" s="5" t="str">
        <f aca="false">設定!$C$39&amp;""</f>
        <v>1104001001</v>
      </c>
      <c r="J42" s="5" t="str">
        <f aca="false">設定!$D$39&amp;""</f>
        <v>普広銀市役所</v>
      </c>
      <c r="K42" s="5" t="n">
        <f aca="false">IF(AND(H42&lt;&gt;0,IF(設定!$B$6="入金確認済のみ",C42="入金確認済",OR(C42="入金確認済",C42="受領済"))),1,0)</f>
        <v>0</v>
      </c>
      <c r="L42" s="5" t="str">
        <f aca="false">1&amp;"|"&amp;8</f>
        <v>1|8</v>
      </c>
      <c r="M42" s="5" t="n">
        <f aca="false">IF(L42=L41,M41,0)+K42</f>
        <v>0</v>
      </c>
      <c r="N42" s="5" t="n">
        <f aca="false">IF(AND(K42=1,M42=1),1,0)</f>
        <v>0</v>
      </c>
      <c r="O42" s="5" t="str">
        <f aca="false">IF(K42=1,MAX($O$5:O41)+1,"")</f>
        <v/>
      </c>
      <c r="P42" s="5" t="str">
        <f aca="false">IF(K42=1,SUM($N$6:N42),"")</f>
        <v/>
      </c>
      <c r="Q42" s="5" t="str">
        <f aca="false">IF(K42=1,SUMIFS($H$6:$H$511,$L$6:$L$511,L42,$K$6:$K$511,1),"")</f>
        <v/>
      </c>
      <c r="R42" s="103" t="str">
        <f aca="false">IF(B42="","",IF(INDEX(報告入力!$AB$7:$AB$696,B42)="","",INDEX(報告入力!$AB$7:$AB$696,B42)))</f>
        <v/>
      </c>
      <c r="S42" s="5" t="str">
        <f aca="false">設定!$C$47</f>
        <v>長期：退職等年金掛金</v>
      </c>
    </row>
    <row r="43" customFormat="false" ht="15" hidden="false" customHeight="false" outlineLevel="0" collapsed="false">
      <c r="A43" s="5" t="str">
        <f aca="false">設定!B68</f>
        <v>監査事務局</v>
      </c>
      <c r="B43" s="5" t="n">
        <f aca="false">IFERROR(MATCH(ホーム!$C$4&amp;"|"&amp;A43,報告入力!$CM$7:$CM$696,0),"")</f>
        <v>330</v>
      </c>
      <c r="C43" s="5" t="str">
        <f aca="false">IF(B43="","",INDEX(報告入力!$C$7:$C$696,B43))</f>
        <v>未受領</v>
      </c>
      <c r="D43" s="5" t="str">
        <f aca="false">設定!$A$39</f>
        <v>長期（厚生年金保険経理）</v>
      </c>
      <c r="E43" s="5" t="str">
        <f aca="false">設定!$B$39&amp;""</f>
        <v>130</v>
      </c>
      <c r="F43" s="5" t="str">
        <f aca="false">設定!$D$48&amp;""</f>
        <v>6101002000</v>
      </c>
      <c r="G43" s="5" t="str">
        <f aca="false">設定!$E$48&amp;""</f>
        <v>負担地方公共</v>
      </c>
      <c r="H43" s="5" t="n">
        <f aca="false">IF(B43="",0,N(INDEX(報告入力!$BA$7:$BA$696,B43)))</f>
        <v>1965390</v>
      </c>
      <c r="I43" s="5" t="str">
        <f aca="false">設定!$C$39&amp;""</f>
        <v>1104001001</v>
      </c>
      <c r="J43" s="5" t="str">
        <f aca="false">設定!$D$39&amp;""</f>
        <v>普広銀市役所</v>
      </c>
      <c r="K43" s="5" t="n">
        <f aca="false">IF(AND(H43&lt;&gt;0,IF(設定!$B$6="入金確認済のみ",C43="入金確認済",OR(C43="入金確認済",C43="受領済"))),1,0)</f>
        <v>0</v>
      </c>
      <c r="L43" s="5" t="str">
        <f aca="false">1&amp;"|"&amp;8</f>
        <v>1|8</v>
      </c>
      <c r="M43" s="5" t="n">
        <f aca="false">IF(L43=L42,M42,0)+K43</f>
        <v>0</v>
      </c>
      <c r="N43" s="5" t="n">
        <f aca="false">IF(AND(K43=1,M43=1),1,0)</f>
        <v>0</v>
      </c>
      <c r="O43" s="5" t="str">
        <f aca="false">IF(K43=1,MAX($O$5:O42)+1,"")</f>
        <v/>
      </c>
      <c r="P43" s="5" t="str">
        <f aca="false">IF(K43=1,SUM($N$6:N43),"")</f>
        <v/>
      </c>
      <c r="Q43" s="5" t="str">
        <f aca="false">IF(K43=1,SUMIFS($H$6:$H$511,$L$6:$L$511,L43,$K$6:$K$511,1),"")</f>
        <v/>
      </c>
      <c r="R43" s="103" t="str">
        <f aca="false">IF(B43="","",IF(INDEX(報告入力!$AB$7:$AB$696,B43)="","",INDEX(報告入力!$AB$7:$AB$696,B43)))</f>
        <v/>
      </c>
      <c r="S43" s="5" t="str">
        <f aca="false">設定!$C$48</f>
        <v>長期：厚生年金保険料（事業主負担分）</v>
      </c>
    </row>
    <row r="44" customFormat="false" ht="15" hidden="false" customHeight="false" outlineLevel="0" collapsed="false">
      <c r="A44" s="5" t="str">
        <f aca="false">設定!B68</f>
        <v>監査事務局</v>
      </c>
      <c r="B44" s="5" t="n">
        <f aca="false">IFERROR(MATCH(ホーム!$C$4&amp;"|"&amp;A44,報告入力!$CM$7:$CM$696,0),"")</f>
        <v>330</v>
      </c>
      <c r="C44" s="5" t="str">
        <f aca="false">IF(B44="","",INDEX(報告入力!$C$7:$C$696,B44))</f>
        <v>未受領</v>
      </c>
      <c r="D44" s="5" t="str">
        <f aca="false">設定!$A$39</f>
        <v>長期（厚生年金保険経理）</v>
      </c>
      <c r="E44" s="5" t="str">
        <f aca="false">設定!$B$39&amp;""</f>
        <v>130</v>
      </c>
      <c r="F44" s="5" t="str">
        <f aca="false">設定!$D$49&amp;""</f>
        <v>2109001015</v>
      </c>
      <c r="G44" s="5" t="str">
        <f aca="false">設定!$E$49&amp;""</f>
        <v>退職負担地方</v>
      </c>
      <c r="H44" s="5" t="n">
        <f aca="false">IF(B44="",0,N(INDEX(報告入力!$BB$7:$BB$696,B44)))</f>
        <v>110175</v>
      </c>
      <c r="I44" s="5" t="str">
        <f aca="false">設定!$C$39&amp;""</f>
        <v>1104001001</v>
      </c>
      <c r="J44" s="5" t="str">
        <f aca="false">設定!$D$39&amp;""</f>
        <v>普広銀市役所</v>
      </c>
      <c r="K44" s="5" t="n">
        <f aca="false">IF(AND(H44&lt;&gt;0,IF(設定!$B$6="入金確認済のみ",C44="入金確認済",OR(C44="入金確認済",C44="受領済"))),1,0)</f>
        <v>0</v>
      </c>
      <c r="L44" s="5" t="str">
        <f aca="false">1&amp;"|"&amp;8</f>
        <v>1|8</v>
      </c>
      <c r="M44" s="5" t="n">
        <f aca="false">IF(L44=L43,M43,0)+K44</f>
        <v>0</v>
      </c>
      <c r="N44" s="5" t="n">
        <f aca="false">IF(AND(K44=1,M44=1),1,0)</f>
        <v>0</v>
      </c>
      <c r="O44" s="5" t="str">
        <f aca="false">IF(K44=1,MAX($O$5:O43)+1,"")</f>
        <v/>
      </c>
      <c r="P44" s="5" t="str">
        <f aca="false">IF(K44=1,SUM($N$6:N44),"")</f>
        <v/>
      </c>
      <c r="Q44" s="5" t="str">
        <f aca="false">IF(K44=1,SUMIFS($H$6:$H$511,$L$6:$L$511,L44,$K$6:$K$511,1),"")</f>
        <v/>
      </c>
      <c r="R44" s="103" t="str">
        <f aca="false">IF(B44="","",IF(INDEX(報告入力!$AB$7:$AB$696,B44)="","",INDEX(報告入力!$AB$7:$AB$696,B44)))</f>
        <v/>
      </c>
      <c r="S44" s="5" t="str">
        <f aca="false">設定!$C$49</f>
        <v>長期：退職等年金負担金</v>
      </c>
    </row>
    <row r="45" customFormat="false" ht="15" hidden="false" customHeight="false" outlineLevel="0" collapsed="false">
      <c r="A45" s="5" t="str">
        <f aca="false">設定!B68</f>
        <v>監査事務局</v>
      </c>
      <c r="B45" s="5" t="n">
        <f aca="false">IFERROR(MATCH(ホーム!$C$4&amp;"|"&amp;A45,報告入力!$CM$7:$CM$696,0),"")</f>
        <v>330</v>
      </c>
      <c r="C45" s="5" t="str">
        <f aca="false">IF(B45="","",INDEX(報告入力!$C$7:$C$696,B45))</f>
        <v>未受領</v>
      </c>
      <c r="D45" s="5" t="str">
        <f aca="false">設定!$A$39</f>
        <v>長期（厚生年金保険経理）</v>
      </c>
      <c r="E45" s="5" t="str">
        <f aca="false">設定!$B$39&amp;""</f>
        <v>130</v>
      </c>
      <c r="F45" s="5" t="str">
        <f aca="false">設定!$D$50&amp;""</f>
        <v>2109001017</v>
      </c>
      <c r="G45" s="5" t="str">
        <f aca="false">設定!$E$50&amp;""</f>
        <v>経過的負担金</v>
      </c>
      <c r="H45" s="5" t="n">
        <f aca="false">IF(B45="",0,N(INDEX(報告入力!$BC$7:$BC$696,B45)))</f>
        <v>1405</v>
      </c>
      <c r="I45" s="5" t="str">
        <f aca="false">設定!$C$39&amp;""</f>
        <v>1104001001</v>
      </c>
      <c r="J45" s="5" t="str">
        <f aca="false">設定!$D$39&amp;""</f>
        <v>普広銀市役所</v>
      </c>
      <c r="K45" s="5" t="n">
        <f aca="false">IF(AND(H45&lt;&gt;0,IF(設定!$B$6="入金確認済のみ",C45="入金確認済",OR(C45="入金確認済",C45="受領済"))),1,0)</f>
        <v>0</v>
      </c>
      <c r="L45" s="5" t="str">
        <f aca="false">1&amp;"|"&amp;8</f>
        <v>1|8</v>
      </c>
      <c r="M45" s="5" t="n">
        <f aca="false">IF(L45=L44,M44,0)+K45</f>
        <v>0</v>
      </c>
      <c r="N45" s="5" t="n">
        <f aca="false">IF(AND(K45=1,M45=1),1,0)</f>
        <v>0</v>
      </c>
      <c r="O45" s="5" t="str">
        <f aca="false">IF(K45=1,MAX($O$5:O44)+1,"")</f>
        <v/>
      </c>
      <c r="P45" s="5" t="str">
        <f aca="false">IF(K45=1,SUM($N$6:N45),"")</f>
        <v/>
      </c>
      <c r="Q45" s="5" t="str">
        <f aca="false">IF(K45=1,SUMIFS($H$6:$H$511,$L$6:$L$511,L45,$K$6:$K$511,1),"")</f>
        <v/>
      </c>
      <c r="R45" s="103" t="str">
        <f aca="false">IF(B45="","",IF(INDEX(報告入力!$AB$7:$AB$696,B45)="","",INDEX(報告入力!$AB$7:$AB$696,B45)))</f>
        <v/>
      </c>
      <c r="S45" s="5" t="str">
        <f aca="false">設定!$C$50</f>
        <v>長期：経過的長期</v>
      </c>
    </row>
    <row r="46" customFormat="false" ht="15" hidden="false" customHeight="false" outlineLevel="0" collapsed="false">
      <c r="A46" s="5" t="str">
        <f aca="false">設定!B69</f>
        <v>農業委員会</v>
      </c>
      <c r="B46" s="5" t="n">
        <f aca="false">IFERROR(MATCH(ホーム!$C$4&amp;"|"&amp;A46,報告入力!$CM$7:$CM$696,0),"")</f>
        <v>331</v>
      </c>
      <c r="C46" s="5" t="str">
        <f aca="false">IF(B46="","",INDEX(報告入力!$C$7:$C$696,B46))</f>
        <v>未受領</v>
      </c>
      <c r="D46" s="5" t="str">
        <f aca="false">設定!$A$39</f>
        <v>長期（厚生年金保険経理）</v>
      </c>
      <c r="E46" s="5" t="str">
        <f aca="false">設定!$B$39&amp;""</f>
        <v>130</v>
      </c>
      <c r="F46" s="5" t="str">
        <f aca="false">設定!$D$46&amp;""</f>
        <v>6102102000</v>
      </c>
      <c r="G46" s="5" t="str">
        <f aca="false">設定!$E$46&amp;""</f>
        <v>標月額保険料</v>
      </c>
      <c r="H46" s="5" t="n">
        <f aca="false">IF(B46="",0,N(INDEX(報告入力!$AY$7:$AY$696,B46)))</f>
        <v>382470</v>
      </c>
      <c r="I46" s="5" t="str">
        <f aca="false">設定!$C$39&amp;""</f>
        <v>1104001001</v>
      </c>
      <c r="J46" s="5" t="str">
        <f aca="false">設定!$D$39&amp;""</f>
        <v>普広銀市役所</v>
      </c>
      <c r="K46" s="5" t="n">
        <f aca="false">IF(AND(H46&lt;&gt;0,IF(設定!$B$6="入金確認済のみ",C46="入金確認済",OR(C46="入金確認済",C46="受領済"))),1,0)</f>
        <v>0</v>
      </c>
      <c r="L46" s="5" t="str">
        <f aca="false">1&amp;"|"&amp;9</f>
        <v>1|9</v>
      </c>
      <c r="M46" s="5" t="n">
        <f aca="false">IF(L46=L45,M45,0)+K46</f>
        <v>0</v>
      </c>
      <c r="N46" s="5" t="n">
        <f aca="false">IF(AND(K46=1,M46=1),1,0)</f>
        <v>0</v>
      </c>
      <c r="O46" s="5" t="str">
        <f aca="false">IF(K46=1,MAX($O$5:O45)+1,"")</f>
        <v/>
      </c>
      <c r="P46" s="5" t="str">
        <f aca="false">IF(K46=1,SUM($N$6:N46),"")</f>
        <v/>
      </c>
      <c r="Q46" s="5" t="str">
        <f aca="false">IF(K46=1,SUMIFS($H$6:$H$511,$L$6:$L$511,L46,$K$6:$K$511,1),"")</f>
        <v/>
      </c>
      <c r="R46" s="103" t="str">
        <f aca="false">IF(B46="","",IF(INDEX(報告入力!$AB$7:$AB$696,B46)="","",INDEX(報告入力!$AB$7:$AB$696,B46)))</f>
        <v/>
      </c>
      <c r="S46" s="5" t="str">
        <f aca="false">設定!$C$46</f>
        <v>長期：厚生年金保険料（組合員負担分）</v>
      </c>
    </row>
    <row r="47" customFormat="false" ht="15" hidden="false" customHeight="false" outlineLevel="0" collapsed="false">
      <c r="A47" s="5" t="str">
        <f aca="false">設定!B69</f>
        <v>農業委員会</v>
      </c>
      <c r="B47" s="5" t="n">
        <f aca="false">IFERROR(MATCH(ホーム!$C$4&amp;"|"&amp;A47,報告入力!$CM$7:$CM$696,0),"")</f>
        <v>331</v>
      </c>
      <c r="C47" s="5" t="str">
        <f aca="false">IF(B47="","",INDEX(報告入力!$C$7:$C$696,B47))</f>
        <v>未受領</v>
      </c>
      <c r="D47" s="5" t="str">
        <f aca="false">設定!$A$39</f>
        <v>長期（厚生年金保険経理）</v>
      </c>
      <c r="E47" s="5" t="str">
        <f aca="false">設定!$B$39&amp;""</f>
        <v>130</v>
      </c>
      <c r="F47" s="5" t="str">
        <f aca="false">設定!$D$47&amp;""</f>
        <v>2109001014</v>
      </c>
      <c r="G47" s="5" t="str">
        <f aca="false">設定!$E$47&amp;""</f>
        <v>退職標報掛金</v>
      </c>
      <c r="H47" s="5" t="n">
        <f aca="false">IF(B47="",0,N(INDEX(報告入力!$AZ$7:$AZ$696,B47)))</f>
        <v>31350</v>
      </c>
      <c r="I47" s="5" t="str">
        <f aca="false">設定!$C$39&amp;""</f>
        <v>1104001001</v>
      </c>
      <c r="J47" s="5" t="str">
        <f aca="false">設定!$D$39&amp;""</f>
        <v>普広銀市役所</v>
      </c>
      <c r="K47" s="5" t="n">
        <f aca="false">IF(AND(H47&lt;&gt;0,IF(設定!$B$6="入金確認済のみ",C47="入金確認済",OR(C47="入金確認済",C47="受領済"))),1,0)</f>
        <v>0</v>
      </c>
      <c r="L47" s="5" t="str">
        <f aca="false">1&amp;"|"&amp;9</f>
        <v>1|9</v>
      </c>
      <c r="M47" s="5" t="n">
        <f aca="false">IF(L47=L46,M46,0)+K47</f>
        <v>0</v>
      </c>
      <c r="N47" s="5" t="n">
        <f aca="false">IF(AND(K47=1,M47=1),1,0)</f>
        <v>0</v>
      </c>
      <c r="O47" s="5" t="str">
        <f aca="false">IF(K47=1,MAX($O$5:O46)+1,"")</f>
        <v/>
      </c>
      <c r="P47" s="5" t="str">
        <f aca="false">IF(K47=1,SUM($N$6:N47),"")</f>
        <v/>
      </c>
      <c r="Q47" s="5" t="str">
        <f aca="false">IF(K47=1,SUMIFS($H$6:$H$511,$L$6:$L$511,L47,$K$6:$K$511,1),"")</f>
        <v/>
      </c>
      <c r="R47" s="103" t="str">
        <f aca="false">IF(B47="","",IF(INDEX(報告入力!$AB$7:$AB$696,B47)="","",INDEX(報告入力!$AB$7:$AB$696,B47)))</f>
        <v/>
      </c>
      <c r="S47" s="5" t="str">
        <f aca="false">設定!$C$47</f>
        <v>長期：退職等年金掛金</v>
      </c>
    </row>
    <row r="48" customFormat="false" ht="15" hidden="false" customHeight="false" outlineLevel="0" collapsed="false">
      <c r="A48" s="5" t="str">
        <f aca="false">設定!B69</f>
        <v>農業委員会</v>
      </c>
      <c r="B48" s="5" t="n">
        <f aca="false">IFERROR(MATCH(ホーム!$C$4&amp;"|"&amp;A48,報告入力!$CM$7:$CM$696,0),"")</f>
        <v>331</v>
      </c>
      <c r="C48" s="5" t="str">
        <f aca="false">IF(B48="","",INDEX(報告入力!$C$7:$C$696,B48))</f>
        <v>未受領</v>
      </c>
      <c r="D48" s="5" t="str">
        <f aca="false">設定!$A$39</f>
        <v>長期（厚生年金保険経理）</v>
      </c>
      <c r="E48" s="5" t="str">
        <f aca="false">設定!$B$39&amp;""</f>
        <v>130</v>
      </c>
      <c r="F48" s="5" t="str">
        <f aca="false">設定!$D$48&amp;""</f>
        <v>6101002000</v>
      </c>
      <c r="G48" s="5" t="str">
        <f aca="false">設定!$E$48&amp;""</f>
        <v>負担地方公共</v>
      </c>
      <c r="H48" s="5" t="n">
        <f aca="false">IF(B48="",0,N(INDEX(報告入力!$BA$7:$BA$696,B48)))</f>
        <v>555940</v>
      </c>
      <c r="I48" s="5" t="str">
        <f aca="false">設定!$C$39&amp;""</f>
        <v>1104001001</v>
      </c>
      <c r="J48" s="5" t="str">
        <f aca="false">設定!$D$39&amp;""</f>
        <v>普広銀市役所</v>
      </c>
      <c r="K48" s="5" t="n">
        <f aca="false">IF(AND(H48&lt;&gt;0,IF(設定!$B$6="入金確認済のみ",C48="入金確認済",OR(C48="入金確認済",C48="受領済"))),1,0)</f>
        <v>0</v>
      </c>
      <c r="L48" s="5" t="str">
        <f aca="false">1&amp;"|"&amp;9</f>
        <v>1|9</v>
      </c>
      <c r="M48" s="5" t="n">
        <f aca="false">IF(L48=L47,M47,0)+K48</f>
        <v>0</v>
      </c>
      <c r="N48" s="5" t="n">
        <f aca="false">IF(AND(K48=1,M48=1),1,0)</f>
        <v>0</v>
      </c>
      <c r="O48" s="5" t="str">
        <f aca="false">IF(K48=1,MAX($O$5:O47)+1,"")</f>
        <v/>
      </c>
      <c r="P48" s="5" t="str">
        <f aca="false">IF(K48=1,SUM($N$6:N48),"")</f>
        <v/>
      </c>
      <c r="Q48" s="5" t="str">
        <f aca="false">IF(K48=1,SUMIFS($H$6:$H$511,$L$6:$L$511,L48,$K$6:$K$511,1),"")</f>
        <v/>
      </c>
      <c r="R48" s="103" t="str">
        <f aca="false">IF(B48="","",IF(INDEX(報告入力!$AB$7:$AB$696,B48)="","",INDEX(報告入力!$AB$7:$AB$696,B48)))</f>
        <v/>
      </c>
      <c r="S48" s="5" t="str">
        <f aca="false">設定!$C$48</f>
        <v>長期：厚生年金保険料（事業主負担分）</v>
      </c>
    </row>
    <row r="49" customFormat="false" ht="15" hidden="false" customHeight="false" outlineLevel="0" collapsed="false">
      <c r="A49" s="5" t="str">
        <f aca="false">設定!B69</f>
        <v>農業委員会</v>
      </c>
      <c r="B49" s="5" t="n">
        <f aca="false">IFERROR(MATCH(ホーム!$C$4&amp;"|"&amp;A49,報告入力!$CM$7:$CM$696,0),"")</f>
        <v>331</v>
      </c>
      <c r="C49" s="5" t="str">
        <f aca="false">IF(B49="","",INDEX(報告入力!$C$7:$C$696,B49))</f>
        <v>未受領</v>
      </c>
      <c r="D49" s="5" t="str">
        <f aca="false">設定!$A$39</f>
        <v>長期（厚生年金保険経理）</v>
      </c>
      <c r="E49" s="5" t="str">
        <f aca="false">設定!$B$39&amp;""</f>
        <v>130</v>
      </c>
      <c r="F49" s="5" t="str">
        <f aca="false">設定!$D$49&amp;""</f>
        <v>2109001015</v>
      </c>
      <c r="G49" s="5" t="str">
        <f aca="false">設定!$E$49&amp;""</f>
        <v>退職負担地方</v>
      </c>
      <c r="H49" s="5" t="n">
        <f aca="false">IF(B49="",0,N(INDEX(報告入力!$BB$7:$BB$696,B49)))</f>
        <v>31350</v>
      </c>
      <c r="I49" s="5" t="str">
        <f aca="false">設定!$C$39&amp;""</f>
        <v>1104001001</v>
      </c>
      <c r="J49" s="5" t="str">
        <f aca="false">設定!$D$39&amp;""</f>
        <v>普広銀市役所</v>
      </c>
      <c r="K49" s="5" t="n">
        <f aca="false">IF(AND(H49&lt;&gt;0,IF(設定!$B$6="入金確認済のみ",C49="入金確認済",OR(C49="入金確認済",C49="受領済"))),1,0)</f>
        <v>0</v>
      </c>
      <c r="L49" s="5" t="str">
        <f aca="false">1&amp;"|"&amp;9</f>
        <v>1|9</v>
      </c>
      <c r="M49" s="5" t="n">
        <f aca="false">IF(L49=L48,M48,0)+K49</f>
        <v>0</v>
      </c>
      <c r="N49" s="5" t="n">
        <f aca="false">IF(AND(K49=1,M49=1),1,0)</f>
        <v>0</v>
      </c>
      <c r="O49" s="5" t="str">
        <f aca="false">IF(K49=1,MAX($O$5:O48)+1,"")</f>
        <v/>
      </c>
      <c r="P49" s="5" t="str">
        <f aca="false">IF(K49=1,SUM($N$6:N49),"")</f>
        <v/>
      </c>
      <c r="Q49" s="5" t="str">
        <f aca="false">IF(K49=1,SUMIFS($H$6:$H$511,$L$6:$L$511,L49,$K$6:$K$511,1),"")</f>
        <v/>
      </c>
      <c r="R49" s="103" t="str">
        <f aca="false">IF(B49="","",IF(INDEX(報告入力!$AB$7:$AB$696,B49)="","",INDEX(報告入力!$AB$7:$AB$696,B49)))</f>
        <v/>
      </c>
      <c r="S49" s="5" t="str">
        <f aca="false">設定!$C$49</f>
        <v>長期：退職等年金負担金</v>
      </c>
    </row>
    <row r="50" customFormat="false" ht="15" hidden="false" customHeight="false" outlineLevel="0" collapsed="false">
      <c r="A50" s="5" t="str">
        <f aca="false">設定!B69</f>
        <v>農業委員会</v>
      </c>
      <c r="B50" s="5" t="n">
        <f aca="false">IFERROR(MATCH(ホーム!$C$4&amp;"|"&amp;A50,報告入力!$CM$7:$CM$696,0),"")</f>
        <v>331</v>
      </c>
      <c r="C50" s="5" t="str">
        <f aca="false">IF(B50="","",INDEX(報告入力!$C$7:$C$696,B50))</f>
        <v>未受領</v>
      </c>
      <c r="D50" s="5" t="str">
        <f aca="false">設定!$A$39</f>
        <v>長期（厚生年金保険経理）</v>
      </c>
      <c r="E50" s="5" t="str">
        <f aca="false">設定!$B$39&amp;""</f>
        <v>130</v>
      </c>
      <c r="F50" s="5" t="str">
        <f aca="false">設定!$D$50&amp;""</f>
        <v>2109001017</v>
      </c>
      <c r="G50" s="5" t="str">
        <f aca="false">設定!$E$50&amp;""</f>
        <v>経過的負担金</v>
      </c>
      <c r="H50" s="5" t="n">
        <f aca="false">IF(B50="",0,N(INDEX(報告入力!$BC$7:$BC$696,B50)))</f>
        <v>392</v>
      </c>
      <c r="I50" s="5" t="str">
        <f aca="false">設定!$C$39&amp;""</f>
        <v>1104001001</v>
      </c>
      <c r="J50" s="5" t="str">
        <f aca="false">設定!$D$39&amp;""</f>
        <v>普広銀市役所</v>
      </c>
      <c r="K50" s="5" t="n">
        <f aca="false">IF(AND(H50&lt;&gt;0,IF(設定!$B$6="入金確認済のみ",C50="入金確認済",OR(C50="入金確認済",C50="受領済"))),1,0)</f>
        <v>0</v>
      </c>
      <c r="L50" s="5" t="str">
        <f aca="false">1&amp;"|"&amp;9</f>
        <v>1|9</v>
      </c>
      <c r="M50" s="5" t="n">
        <f aca="false">IF(L50=L49,M49,0)+K50</f>
        <v>0</v>
      </c>
      <c r="N50" s="5" t="n">
        <f aca="false">IF(AND(K50=1,M50=1),1,0)</f>
        <v>0</v>
      </c>
      <c r="O50" s="5" t="str">
        <f aca="false">IF(K50=1,MAX($O$5:O49)+1,"")</f>
        <v/>
      </c>
      <c r="P50" s="5" t="str">
        <f aca="false">IF(K50=1,SUM($N$6:N50),"")</f>
        <v/>
      </c>
      <c r="Q50" s="5" t="str">
        <f aca="false">IF(K50=1,SUMIFS($H$6:$H$511,$L$6:$L$511,L50,$K$6:$K$511,1),"")</f>
        <v/>
      </c>
      <c r="R50" s="103" t="str">
        <f aca="false">IF(B50="","",IF(INDEX(報告入力!$AB$7:$AB$696,B50)="","",INDEX(報告入力!$AB$7:$AB$696,B50)))</f>
        <v/>
      </c>
      <c r="S50" s="5" t="str">
        <f aca="false">設定!$C$50</f>
        <v>長期：経過的長期</v>
      </c>
    </row>
    <row r="51" customFormat="false" ht="15" hidden="false" customHeight="false" outlineLevel="0" collapsed="false">
      <c r="A51" s="5" t="str">
        <f aca="false">設定!B70</f>
        <v>水道局</v>
      </c>
      <c r="B51" s="5" t="n">
        <f aca="false">IFERROR(MATCH(ホーム!$C$4&amp;"|"&amp;A51,報告入力!$CM$7:$CM$696,0),"")</f>
        <v>332</v>
      </c>
      <c r="C51" s="5" t="str">
        <f aca="false">IF(B51="","",INDEX(報告入力!$C$7:$C$696,B51))</f>
        <v>未受領</v>
      </c>
      <c r="D51" s="5" t="str">
        <f aca="false">設定!$A$39</f>
        <v>長期（厚生年金保険経理）</v>
      </c>
      <c r="E51" s="5" t="str">
        <f aca="false">設定!$B$39&amp;""</f>
        <v>130</v>
      </c>
      <c r="F51" s="5" t="str">
        <f aca="false">設定!$D$46&amp;""</f>
        <v>6102102000</v>
      </c>
      <c r="G51" s="5" t="str">
        <f aca="false">設定!$E$46&amp;""</f>
        <v>標月額保険料</v>
      </c>
      <c r="H51" s="5" t="n">
        <f aca="false">IF(B51="",0,N(INDEX(報告入力!$AY$7:$AY$696,B51)))</f>
        <v>22426650</v>
      </c>
      <c r="I51" s="5" t="str">
        <f aca="false">設定!$C$39&amp;""</f>
        <v>1104001001</v>
      </c>
      <c r="J51" s="5" t="str">
        <f aca="false">設定!$D$39&amp;""</f>
        <v>普広銀市役所</v>
      </c>
      <c r="K51" s="5" t="n">
        <f aca="false">IF(AND(H51&lt;&gt;0,IF(設定!$B$6="入金確認済のみ",C51="入金確認済",OR(C51="入金確認済",C51="受領済"))),1,0)</f>
        <v>0</v>
      </c>
      <c r="L51" s="5" t="str">
        <f aca="false">1&amp;"|"&amp;10</f>
        <v>1|10</v>
      </c>
      <c r="M51" s="5" t="n">
        <f aca="false">IF(L51=L50,M50,0)+K51</f>
        <v>0</v>
      </c>
      <c r="N51" s="5" t="n">
        <f aca="false">IF(AND(K51=1,M51=1),1,0)</f>
        <v>0</v>
      </c>
      <c r="O51" s="5" t="str">
        <f aca="false">IF(K51=1,MAX($O$5:O50)+1,"")</f>
        <v/>
      </c>
      <c r="P51" s="5" t="str">
        <f aca="false">IF(K51=1,SUM($N$6:N51),"")</f>
        <v/>
      </c>
      <c r="Q51" s="5" t="str">
        <f aca="false">IF(K51=1,SUMIFS($H$6:$H$511,$L$6:$L$511,L51,$K$6:$K$511,1),"")</f>
        <v/>
      </c>
      <c r="R51" s="103" t="str">
        <f aca="false">IF(B51="","",IF(INDEX(報告入力!$AB$7:$AB$696,B51)="","",INDEX(報告入力!$AB$7:$AB$696,B51)))</f>
        <v/>
      </c>
      <c r="S51" s="5" t="str">
        <f aca="false">設定!$C$46</f>
        <v>長期：厚生年金保険料（組合員負担分）</v>
      </c>
    </row>
    <row r="52" customFormat="false" ht="15" hidden="false" customHeight="false" outlineLevel="0" collapsed="false">
      <c r="A52" s="5" t="str">
        <f aca="false">設定!B70</f>
        <v>水道局</v>
      </c>
      <c r="B52" s="5" t="n">
        <f aca="false">IFERROR(MATCH(ホーム!$C$4&amp;"|"&amp;A52,報告入力!$CM$7:$CM$696,0),"")</f>
        <v>332</v>
      </c>
      <c r="C52" s="5" t="str">
        <f aca="false">IF(B52="","",INDEX(報告入力!$C$7:$C$696,B52))</f>
        <v>未受領</v>
      </c>
      <c r="D52" s="5" t="str">
        <f aca="false">設定!$A$39</f>
        <v>長期（厚生年金保険経理）</v>
      </c>
      <c r="E52" s="5" t="str">
        <f aca="false">設定!$B$39&amp;""</f>
        <v>130</v>
      </c>
      <c r="F52" s="5" t="str">
        <f aca="false">設定!$D$47&amp;""</f>
        <v>2109001014</v>
      </c>
      <c r="G52" s="5" t="str">
        <f aca="false">設定!$E$47&amp;""</f>
        <v>退職標報掛金</v>
      </c>
      <c r="H52" s="5" t="n">
        <f aca="false">IF(B52="",0,N(INDEX(報告入力!$AZ$7:$AZ$696,B52)))</f>
        <v>1838250</v>
      </c>
      <c r="I52" s="5" t="str">
        <f aca="false">設定!$C$39&amp;""</f>
        <v>1104001001</v>
      </c>
      <c r="J52" s="5" t="str">
        <f aca="false">設定!$D$39&amp;""</f>
        <v>普広銀市役所</v>
      </c>
      <c r="K52" s="5" t="n">
        <f aca="false">IF(AND(H52&lt;&gt;0,IF(設定!$B$6="入金確認済のみ",C52="入金確認済",OR(C52="入金確認済",C52="受領済"))),1,0)</f>
        <v>0</v>
      </c>
      <c r="L52" s="5" t="str">
        <f aca="false">1&amp;"|"&amp;10</f>
        <v>1|10</v>
      </c>
      <c r="M52" s="5" t="n">
        <f aca="false">IF(L52=L51,M51,0)+K52</f>
        <v>0</v>
      </c>
      <c r="N52" s="5" t="n">
        <f aca="false">IF(AND(K52=1,M52=1),1,0)</f>
        <v>0</v>
      </c>
      <c r="O52" s="5" t="str">
        <f aca="false">IF(K52=1,MAX($O$5:O51)+1,"")</f>
        <v/>
      </c>
      <c r="P52" s="5" t="str">
        <f aca="false">IF(K52=1,SUM($N$6:N52),"")</f>
        <v/>
      </c>
      <c r="Q52" s="5" t="str">
        <f aca="false">IF(K52=1,SUMIFS($H$6:$H$511,$L$6:$L$511,L52,$K$6:$K$511,1),"")</f>
        <v/>
      </c>
      <c r="R52" s="103" t="str">
        <f aca="false">IF(B52="","",IF(INDEX(報告入力!$AB$7:$AB$696,B52)="","",INDEX(報告入力!$AB$7:$AB$696,B52)))</f>
        <v/>
      </c>
      <c r="S52" s="5" t="str">
        <f aca="false">設定!$C$47</f>
        <v>長期：退職等年金掛金</v>
      </c>
    </row>
    <row r="53" customFormat="false" ht="15" hidden="false" customHeight="false" outlineLevel="0" collapsed="false">
      <c r="A53" s="5" t="str">
        <f aca="false">設定!B70</f>
        <v>水道局</v>
      </c>
      <c r="B53" s="5" t="n">
        <f aca="false">IFERROR(MATCH(ホーム!$C$4&amp;"|"&amp;A53,報告入力!$CM$7:$CM$696,0),"")</f>
        <v>332</v>
      </c>
      <c r="C53" s="5" t="str">
        <f aca="false">IF(B53="","",INDEX(報告入力!$C$7:$C$696,B53))</f>
        <v>未受領</v>
      </c>
      <c r="D53" s="5" t="str">
        <f aca="false">設定!$A$39</f>
        <v>長期（厚生年金保険経理）</v>
      </c>
      <c r="E53" s="5" t="str">
        <f aca="false">設定!$B$39&amp;""</f>
        <v>130</v>
      </c>
      <c r="F53" s="5" t="str">
        <f aca="false">設定!$D$48&amp;""</f>
        <v>6101002000</v>
      </c>
      <c r="G53" s="5" t="str">
        <f aca="false">設定!$E$48&amp;""</f>
        <v>負担地方公共</v>
      </c>
      <c r="H53" s="5" t="n">
        <f aca="false">IF(B53="",0,N(INDEX(報告入力!$BA$7:$BA$696,B53)))</f>
        <v>32729025</v>
      </c>
      <c r="I53" s="5" t="str">
        <f aca="false">設定!$C$39&amp;""</f>
        <v>1104001001</v>
      </c>
      <c r="J53" s="5" t="str">
        <f aca="false">設定!$D$39&amp;""</f>
        <v>普広銀市役所</v>
      </c>
      <c r="K53" s="5" t="n">
        <f aca="false">IF(AND(H53&lt;&gt;0,IF(設定!$B$6="入金確認済のみ",C53="入金確認済",OR(C53="入金確認済",C53="受領済"))),1,0)</f>
        <v>0</v>
      </c>
      <c r="L53" s="5" t="str">
        <f aca="false">1&amp;"|"&amp;10</f>
        <v>1|10</v>
      </c>
      <c r="M53" s="5" t="n">
        <f aca="false">IF(L53=L52,M52,0)+K53</f>
        <v>0</v>
      </c>
      <c r="N53" s="5" t="n">
        <f aca="false">IF(AND(K53=1,M53=1),1,0)</f>
        <v>0</v>
      </c>
      <c r="O53" s="5" t="str">
        <f aca="false">IF(K53=1,MAX($O$5:O52)+1,"")</f>
        <v/>
      </c>
      <c r="P53" s="5" t="str">
        <f aca="false">IF(K53=1,SUM($N$6:N53),"")</f>
        <v/>
      </c>
      <c r="Q53" s="5" t="str">
        <f aca="false">IF(K53=1,SUMIFS($H$6:$H$511,$L$6:$L$511,L53,$K$6:$K$511,1),"")</f>
        <v/>
      </c>
      <c r="R53" s="103" t="str">
        <f aca="false">IF(B53="","",IF(INDEX(報告入力!$AB$7:$AB$696,B53)="","",INDEX(報告入力!$AB$7:$AB$696,B53)))</f>
        <v/>
      </c>
      <c r="S53" s="5" t="str">
        <f aca="false">設定!$C$48</f>
        <v>長期：厚生年金保険料（事業主負担分）</v>
      </c>
    </row>
    <row r="54" customFormat="false" ht="15" hidden="false" customHeight="false" outlineLevel="0" collapsed="false">
      <c r="A54" s="5" t="str">
        <f aca="false">設定!B70</f>
        <v>水道局</v>
      </c>
      <c r="B54" s="5" t="n">
        <f aca="false">IFERROR(MATCH(ホーム!$C$4&amp;"|"&amp;A54,報告入力!$CM$7:$CM$696,0),"")</f>
        <v>332</v>
      </c>
      <c r="C54" s="5" t="str">
        <f aca="false">IF(B54="","",INDEX(報告入力!$C$7:$C$696,B54))</f>
        <v>未受領</v>
      </c>
      <c r="D54" s="5" t="str">
        <f aca="false">設定!$A$39</f>
        <v>長期（厚生年金保険経理）</v>
      </c>
      <c r="E54" s="5" t="str">
        <f aca="false">設定!$B$39&amp;""</f>
        <v>130</v>
      </c>
      <c r="F54" s="5" t="str">
        <f aca="false">設定!$D$49&amp;""</f>
        <v>2109001015</v>
      </c>
      <c r="G54" s="5" t="str">
        <f aca="false">設定!$E$49&amp;""</f>
        <v>退職負担地方</v>
      </c>
      <c r="H54" s="5" t="n">
        <f aca="false">IF(B54="",0,N(INDEX(報告入力!$BB$7:$BB$696,B54)))</f>
        <v>1838250</v>
      </c>
      <c r="I54" s="5" t="str">
        <f aca="false">設定!$C$39&amp;""</f>
        <v>1104001001</v>
      </c>
      <c r="J54" s="5" t="str">
        <f aca="false">設定!$D$39&amp;""</f>
        <v>普広銀市役所</v>
      </c>
      <c r="K54" s="5" t="n">
        <f aca="false">IF(AND(H54&lt;&gt;0,IF(設定!$B$6="入金確認済のみ",C54="入金確認済",OR(C54="入金確認済",C54="受領済"))),1,0)</f>
        <v>0</v>
      </c>
      <c r="L54" s="5" t="str">
        <f aca="false">1&amp;"|"&amp;10</f>
        <v>1|10</v>
      </c>
      <c r="M54" s="5" t="n">
        <f aca="false">IF(L54=L53,M53,0)+K54</f>
        <v>0</v>
      </c>
      <c r="N54" s="5" t="n">
        <f aca="false">IF(AND(K54=1,M54=1),1,0)</f>
        <v>0</v>
      </c>
      <c r="O54" s="5" t="str">
        <f aca="false">IF(K54=1,MAX($O$5:O53)+1,"")</f>
        <v/>
      </c>
      <c r="P54" s="5" t="str">
        <f aca="false">IF(K54=1,SUM($N$6:N54),"")</f>
        <v/>
      </c>
      <c r="Q54" s="5" t="str">
        <f aca="false">IF(K54=1,SUMIFS($H$6:$H$511,$L$6:$L$511,L54,$K$6:$K$511,1),"")</f>
        <v/>
      </c>
      <c r="R54" s="103" t="str">
        <f aca="false">IF(B54="","",IF(INDEX(報告入力!$AB$7:$AB$696,B54)="","",INDEX(報告入力!$AB$7:$AB$696,B54)))</f>
        <v/>
      </c>
      <c r="S54" s="5" t="str">
        <f aca="false">設定!$C$49</f>
        <v>長期：退職等年金負担金</v>
      </c>
    </row>
    <row r="55" customFormat="false" ht="15" hidden="false" customHeight="false" outlineLevel="0" collapsed="false">
      <c r="A55" s="5" t="str">
        <f aca="false">設定!B70</f>
        <v>水道局</v>
      </c>
      <c r="B55" s="5" t="n">
        <f aca="false">IFERROR(MATCH(ホーム!$C$4&amp;"|"&amp;A55,報告入力!$CM$7:$CM$696,0),"")</f>
        <v>332</v>
      </c>
      <c r="C55" s="5" t="str">
        <f aca="false">IF(B55="","",INDEX(報告入力!$C$7:$C$696,B55))</f>
        <v>未受領</v>
      </c>
      <c r="D55" s="5" t="str">
        <f aca="false">設定!$A$39</f>
        <v>長期（厚生年金保険経理）</v>
      </c>
      <c r="E55" s="5" t="str">
        <f aca="false">設定!$B$39&amp;""</f>
        <v>130</v>
      </c>
      <c r="F55" s="5" t="str">
        <f aca="false">設定!$D$50&amp;""</f>
        <v>2109001017</v>
      </c>
      <c r="G55" s="5" t="str">
        <f aca="false">設定!$E$50&amp;""</f>
        <v>経過的負担金</v>
      </c>
      <c r="H55" s="5" t="n">
        <f aca="false">IF(B55="",0,N(INDEX(報告入力!$BC$7:$BC$696,B55)))</f>
        <v>23304</v>
      </c>
      <c r="I55" s="5" t="str">
        <f aca="false">設定!$C$39&amp;""</f>
        <v>1104001001</v>
      </c>
      <c r="J55" s="5" t="str">
        <f aca="false">設定!$D$39&amp;""</f>
        <v>普広銀市役所</v>
      </c>
      <c r="K55" s="5" t="n">
        <f aca="false">IF(AND(H55&lt;&gt;0,IF(設定!$B$6="入金確認済のみ",C55="入金確認済",OR(C55="入金確認済",C55="受領済"))),1,0)</f>
        <v>0</v>
      </c>
      <c r="L55" s="5" t="str">
        <f aca="false">1&amp;"|"&amp;10</f>
        <v>1|10</v>
      </c>
      <c r="M55" s="5" t="n">
        <f aca="false">IF(L55=L54,M54,0)+K55</f>
        <v>0</v>
      </c>
      <c r="N55" s="5" t="n">
        <f aca="false">IF(AND(K55=1,M55=1),1,0)</f>
        <v>0</v>
      </c>
      <c r="O55" s="5" t="str">
        <f aca="false">IF(K55=1,MAX($O$5:O54)+1,"")</f>
        <v/>
      </c>
      <c r="P55" s="5" t="str">
        <f aca="false">IF(K55=1,SUM($N$6:N55),"")</f>
        <v/>
      </c>
      <c r="Q55" s="5" t="str">
        <f aca="false">IF(K55=1,SUMIFS($H$6:$H$511,$L$6:$L$511,L55,$K$6:$K$511,1),"")</f>
        <v/>
      </c>
      <c r="R55" s="103" t="str">
        <f aca="false">IF(B55="","",IF(INDEX(報告入力!$AB$7:$AB$696,B55)="","",INDEX(報告入力!$AB$7:$AB$696,B55)))</f>
        <v/>
      </c>
      <c r="S55" s="5" t="str">
        <f aca="false">設定!$C$50</f>
        <v>長期：経過的長期</v>
      </c>
    </row>
    <row r="56" customFormat="false" ht="15" hidden="false" customHeight="false" outlineLevel="0" collapsed="false">
      <c r="A56" s="5" t="str">
        <f aca="false">設定!B71</f>
        <v>医療政策課(安芸市民)</v>
      </c>
      <c r="B56" s="5" t="n">
        <f aca="false">IFERROR(MATCH(ホーム!$C$4&amp;"|"&amp;A56,報告入力!$CM$7:$CM$696,0),"")</f>
        <v>333</v>
      </c>
      <c r="C56" s="5" t="str">
        <f aca="false">IF(B56="","",INDEX(報告入力!$C$7:$C$696,B56))</f>
        <v>未受領</v>
      </c>
      <c r="D56" s="5" t="str">
        <f aca="false">設定!$A$39</f>
        <v>長期（厚生年金保険経理）</v>
      </c>
      <c r="E56" s="5" t="str">
        <f aca="false">設定!$B$39&amp;""</f>
        <v>130</v>
      </c>
      <c r="F56" s="5" t="str">
        <f aca="false">設定!$D$46&amp;""</f>
        <v>6102102000</v>
      </c>
      <c r="G56" s="5" t="str">
        <f aca="false">設定!$E$46&amp;""</f>
        <v>標月額保険料</v>
      </c>
      <c r="H56" s="5" t="n">
        <f aca="false">IF(B56="",0,N(INDEX(報告入力!$AY$7:$AY$696,B56)))</f>
        <v>48495</v>
      </c>
      <c r="I56" s="5" t="str">
        <f aca="false">設定!$C$39&amp;""</f>
        <v>1104001001</v>
      </c>
      <c r="J56" s="5" t="str">
        <f aca="false">設定!$D$39&amp;""</f>
        <v>普広銀市役所</v>
      </c>
      <c r="K56" s="5" t="n">
        <f aca="false">IF(AND(H56&lt;&gt;0,IF(設定!$B$6="入金確認済のみ",C56="入金確認済",OR(C56="入金確認済",C56="受領済"))),1,0)</f>
        <v>0</v>
      </c>
      <c r="L56" s="5" t="str">
        <f aca="false">1&amp;"|"&amp;11</f>
        <v>1|11</v>
      </c>
      <c r="M56" s="5" t="n">
        <f aca="false">IF(L56=L55,M55,0)+K56</f>
        <v>0</v>
      </c>
      <c r="N56" s="5" t="n">
        <f aca="false">IF(AND(K56=1,M56=1),1,0)</f>
        <v>0</v>
      </c>
      <c r="O56" s="5" t="str">
        <f aca="false">IF(K56=1,MAX($O$5:O55)+1,"")</f>
        <v/>
      </c>
      <c r="P56" s="5" t="str">
        <f aca="false">IF(K56=1,SUM($N$6:N56),"")</f>
        <v/>
      </c>
      <c r="Q56" s="5" t="str">
        <f aca="false">IF(K56=1,SUMIFS($H$6:$H$511,$L$6:$L$511,L56,$K$6:$K$511,1),"")</f>
        <v/>
      </c>
      <c r="R56" s="103" t="str">
        <f aca="false">IF(B56="","",IF(INDEX(報告入力!$AB$7:$AB$696,B56)="","",INDEX(報告入力!$AB$7:$AB$696,B56)))</f>
        <v/>
      </c>
      <c r="S56" s="5" t="str">
        <f aca="false">設定!$C$46</f>
        <v>長期：厚生年金保険料（組合員負担分）</v>
      </c>
    </row>
    <row r="57" customFormat="false" ht="15" hidden="false" customHeight="false" outlineLevel="0" collapsed="false">
      <c r="A57" s="5" t="str">
        <f aca="false">設定!B71</f>
        <v>医療政策課(安芸市民)</v>
      </c>
      <c r="B57" s="5" t="n">
        <f aca="false">IFERROR(MATCH(ホーム!$C$4&amp;"|"&amp;A57,報告入力!$CM$7:$CM$696,0),"")</f>
        <v>333</v>
      </c>
      <c r="C57" s="5" t="str">
        <f aca="false">IF(B57="","",INDEX(報告入力!$C$7:$C$696,B57))</f>
        <v>未受領</v>
      </c>
      <c r="D57" s="5" t="str">
        <f aca="false">設定!$A$39</f>
        <v>長期（厚生年金保険経理）</v>
      </c>
      <c r="E57" s="5" t="str">
        <f aca="false">設定!$B$39&amp;""</f>
        <v>130</v>
      </c>
      <c r="F57" s="5" t="str">
        <f aca="false">設定!$D$47&amp;""</f>
        <v>2109001014</v>
      </c>
      <c r="G57" s="5" t="str">
        <f aca="false">設定!$E$47&amp;""</f>
        <v>退職標報掛金</v>
      </c>
      <c r="H57" s="5" t="n">
        <f aca="false">IF(B57="",0,N(INDEX(報告入力!$AZ$7:$AZ$696,B57)))</f>
        <v>3975</v>
      </c>
      <c r="I57" s="5" t="str">
        <f aca="false">設定!$C$39&amp;""</f>
        <v>1104001001</v>
      </c>
      <c r="J57" s="5" t="str">
        <f aca="false">設定!$D$39&amp;""</f>
        <v>普広銀市役所</v>
      </c>
      <c r="K57" s="5" t="n">
        <f aca="false">IF(AND(H57&lt;&gt;0,IF(設定!$B$6="入金確認済のみ",C57="入金確認済",OR(C57="入金確認済",C57="受領済"))),1,0)</f>
        <v>0</v>
      </c>
      <c r="L57" s="5" t="str">
        <f aca="false">1&amp;"|"&amp;11</f>
        <v>1|11</v>
      </c>
      <c r="M57" s="5" t="n">
        <f aca="false">IF(L57=L56,M56,0)+K57</f>
        <v>0</v>
      </c>
      <c r="N57" s="5" t="n">
        <f aca="false">IF(AND(K57=1,M57=1),1,0)</f>
        <v>0</v>
      </c>
      <c r="O57" s="5" t="str">
        <f aca="false">IF(K57=1,MAX($O$5:O56)+1,"")</f>
        <v/>
      </c>
      <c r="P57" s="5" t="str">
        <f aca="false">IF(K57=1,SUM($N$6:N57),"")</f>
        <v/>
      </c>
      <c r="Q57" s="5" t="str">
        <f aca="false">IF(K57=1,SUMIFS($H$6:$H$511,$L$6:$L$511,L57,$K$6:$K$511,1),"")</f>
        <v/>
      </c>
      <c r="R57" s="103" t="str">
        <f aca="false">IF(B57="","",IF(INDEX(報告入力!$AB$7:$AB$696,B57)="","",INDEX(報告入力!$AB$7:$AB$696,B57)))</f>
        <v/>
      </c>
      <c r="S57" s="5" t="str">
        <f aca="false">設定!$C$47</f>
        <v>長期：退職等年金掛金</v>
      </c>
    </row>
    <row r="58" customFormat="false" ht="15" hidden="false" customHeight="false" outlineLevel="0" collapsed="false">
      <c r="A58" s="5" t="str">
        <f aca="false">設定!B71</f>
        <v>医療政策課(安芸市民)</v>
      </c>
      <c r="B58" s="5" t="n">
        <f aca="false">IFERROR(MATCH(ホーム!$C$4&amp;"|"&amp;A58,報告入力!$CM$7:$CM$696,0),"")</f>
        <v>333</v>
      </c>
      <c r="C58" s="5" t="str">
        <f aca="false">IF(B58="","",INDEX(報告入力!$C$7:$C$696,B58))</f>
        <v>未受領</v>
      </c>
      <c r="D58" s="5" t="str">
        <f aca="false">設定!$A$39</f>
        <v>長期（厚生年金保険経理）</v>
      </c>
      <c r="E58" s="5" t="str">
        <f aca="false">設定!$B$39&amp;""</f>
        <v>130</v>
      </c>
      <c r="F58" s="5" t="str">
        <f aca="false">設定!$D$48&amp;""</f>
        <v>6101002000</v>
      </c>
      <c r="G58" s="5" t="str">
        <f aca="false">設定!$E$48&amp;""</f>
        <v>負担地方公共</v>
      </c>
      <c r="H58" s="5" t="n">
        <f aca="false">IF(B58="",0,N(INDEX(報告入力!$BA$7:$BA$696,B58)))</f>
        <v>70490</v>
      </c>
      <c r="I58" s="5" t="str">
        <f aca="false">設定!$C$39&amp;""</f>
        <v>1104001001</v>
      </c>
      <c r="J58" s="5" t="str">
        <f aca="false">設定!$D$39&amp;""</f>
        <v>普広銀市役所</v>
      </c>
      <c r="K58" s="5" t="n">
        <f aca="false">IF(AND(H58&lt;&gt;0,IF(設定!$B$6="入金確認済のみ",C58="入金確認済",OR(C58="入金確認済",C58="受領済"))),1,0)</f>
        <v>0</v>
      </c>
      <c r="L58" s="5" t="str">
        <f aca="false">1&amp;"|"&amp;11</f>
        <v>1|11</v>
      </c>
      <c r="M58" s="5" t="n">
        <f aca="false">IF(L58=L57,M57,0)+K58</f>
        <v>0</v>
      </c>
      <c r="N58" s="5" t="n">
        <f aca="false">IF(AND(K58=1,M58=1),1,0)</f>
        <v>0</v>
      </c>
      <c r="O58" s="5" t="str">
        <f aca="false">IF(K58=1,MAX($O$5:O57)+1,"")</f>
        <v/>
      </c>
      <c r="P58" s="5" t="str">
        <f aca="false">IF(K58=1,SUM($N$6:N58),"")</f>
        <v/>
      </c>
      <c r="Q58" s="5" t="str">
        <f aca="false">IF(K58=1,SUMIFS($H$6:$H$511,$L$6:$L$511,L58,$K$6:$K$511,1),"")</f>
        <v/>
      </c>
      <c r="R58" s="103" t="str">
        <f aca="false">IF(B58="","",IF(INDEX(報告入力!$AB$7:$AB$696,B58)="","",INDEX(報告入力!$AB$7:$AB$696,B58)))</f>
        <v/>
      </c>
      <c r="S58" s="5" t="str">
        <f aca="false">設定!$C$48</f>
        <v>長期：厚生年金保険料（事業主負担分）</v>
      </c>
    </row>
    <row r="59" customFormat="false" ht="15" hidden="false" customHeight="false" outlineLevel="0" collapsed="false">
      <c r="A59" s="5" t="str">
        <f aca="false">設定!B71</f>
        <v>医療政策課(安芸市民)</v>
      </c>
      <c r="B59" s="5" t="n">
        <f aca="false">IFERROR(MATCH(ホーム!$C$4&amp;"|"&amp;A59,報告入力!$CM$7:$CM$696,0),"")</f>
        <v>333</v>
      </c>
      <c r="C59" s="5" t="str">
        <f aca="false">IF(B59="","",INDEX(報告入力!$C$7:$C$696,B59))</f>
        <v>未受領</v>
      </c>
      <c r="D59" s="5" t="str">
        <f aca="false">設定!$A$39</f>
        <v>長期（厚生年金保険経理）</v>
      </c>
      <c r="E59" s="5" t="str">
        <f aca="false">設定!$B$39&amp;""</f>
        <v>130</v>
      </c>
      <c r="F59" s="5" t="str">
        <f aca="false">設定!$D$49&amp;""</f>
        <v>2109001015</v>
      </c>
      <c r="G59" s="5" t="str">
        <f aca="false">設定!$E$49&amp;""</f>
        <v>退職負担地方</v>
      </c>
      <c r="H59" s="5" t="n">
        <f aca="false">IF(B59="",0,N(INDEX(報告入力!$BB$7:$BB$696,B59)))</f>
        <v>3975</v>
      </c>
      <c r="I59" s="5" t="str">
        <f aca="false">設定!$C$39&amp;""</f>
        <v>1104001001</v>
      </c>
      <c r="J59" s="5" t="str">
        <f aca="false">設定!$D$39&amp;""</f>
        <v>普広銀市役所</v>
      </c>
      <c r="K59" s="5" t="n">
        <f aca="false">IF(AND(H59&lt;&gt;0,IF(設定!$B$6="入金確認済のみ",C59="入金確認済",OR(C59="入金確認済",C59="受領済"))),1,0)</f>
        <v>0</v>
      </c>
      <c r="L59" s="5" t="str">
        <f aca="false">1&amp;"|"&amp;11</f>
        <v>1|11</v>
      </c>
      <c r="M59" s="5" t="n">
        <f aca="false">IF(L59=L58,M58,0)+K59</f>
        <v>0</v>
      </c>
      <c r="N59" s="5" t="n">
        <f aca="false">IF(AND(K59=1,M59=1),1,0)</f>
        <v>0</v>
      </c>
      <c r="O59" s="5" t="str">
        <f aca="false">IF(K59=1,MAX($O$5:O58)+1,"")</f>
        <v/>
      </c>
      <c r="P59" s="5" t="str">
        <f aca="false">IF(K59=1,SUM($N$6:N59),"")</f>
        <v/>
      </c>
      <c r="Q59" s="5" t="str">
        <f aca="false">IF(K59=1,SUMIFS($H$6:$H$511,$L$6:$L$511,L59,$K$6:$K$511,1),"")</f>
        <v/>
      </c>
      <c r="R59" s="103" t="str">
        <f aca="false">IF(B59="","",IF(INDEX(報告入力!$AB$7:$AB$696,B59)="","",INDEX(報告入力!$AB$7:$AB$696,B59)))</f>
        <v/>
      </c>
      <c r="S59" s="5" t="str">
        <f aca="false">設定!$C$49</f>
        <v>長期：退職等年金負担金</v>
      </c>
    </row>
    <row r="60" customFormat="false" ht="15" hidden="false" customHeight="false" outlineLevel="0" collapsed="false">
      <c r="A60" s="5" t="str">
        <f aca="false">設定!B71</f>
        <v>医療政策課(安芸市民)</v>
      </c>
      <c r="B60" s="5" t="n">
        <f aca="false">IFERROR(MATCH(ホーム!$C$4&amp;"|"&amp;A60,報告入力!$CM$7:$CM$696,0),"")</f>
        <v>333</v>
      </c>
      <c r="C60" s="5" t="str">
        <f aca="false">IF(B60="","",INDEX(報告入力!$C$7:$C$696,B60))</f>
        <v>未受領</v>
      </c>
      <c r="D60" s="5" t="str">
        <f aca="false">設定!$A$39</f>
        <v>長期（厚生年金保険経理）</v>
      </c>
      <c r="E60" s="5" t="str">
        <f aca="false">設定!$B$39&amp;""</f>
        <v>130</v>
      </c>
      <c r="F60" s="5" t="str">
        <f aca="false">設定!$D$50&amp;""</f>
        <v>2109001017</v>
      </c>
      <c r="G60" s="5" t="str">
        <f aca="false">設定!$E$50&amp;""</f>
        <v>経過的負担金</v>
      </c>
      <c r="H60" s="5" t="n">
        <f aca="false">IF(B60="",0,N(INDEX(報告入力!$BC$7:$BC$696,B60)))</f>
        <v>49</v>
      </c>
      <c r="I60" s="5" t="str">
        <f aca="false">設定!$C$39&amp;""</f>
        <v>1104001001</v>
      </c>
      <c r="J60" s="5" t="str">
        <f aca="false">設定!$D$39&amp;""</f>
        <v>普広銀市役所</v>
      </c>
      <c r="K60" s="5" t="n">
        <f aca="false">IF(AND(H60&lt;&gt;0,IF(設定!$B$6="入金確認済のみ",C60="入金確認済",OR(C60="入金確認済",C60="受領済"))),1,0)</f>
        <v>0</v>
      </c>
      <c r="L60" s="5" t="str">
        <f aca="false">1&amp;"|"&amp;11</f>
        <v>1|11</v>
      </c>
      <c r="M60" s="5" t="n">
        <f aca="false">IF(L60=L59,M59,0)+K60</f>
        <v>0</v>
      </c>
      <c r="N60" s="5" t="n">
        <f aca="false">IF(AND(K60=1,M60=1),1,0)</f>
        <v>0</v>
      </c>
      <c r="O60" s="5" t="str">
        <f aca="false">IF(K60=1,MAX($O$5:O59)+1,"")</f>
        <v/>
      </c>
      <c r="P60" s="5" t="str">
        <f aca="false">IF(K60=1,SUM($N$6:N60),"")</f>
        <v/>
      </c>
      <c r="Q60" s="5" t="str">
        <f aca="false">IF(K60=1,SUMIFS($H$6:$H$511,$L$6:$L$511,L60,$K$6:$K$511,1),"")</f>
        <v/>
      </c>
      <c r="R60" s="103" t="str">
        <f aca="false">IF(B60="","",IF(INDEX(報告入力!$AB$7:$AB$696,B60)="","",INDEX(報告入力!$AB$7:$AB$696,B60)))</f>
        <v/>
      </c>
      <c r="S60" s="5" t="str">
        <f aca="false">設定!$C$50</f>
        <v>長期：経過的長期</v>
      </c>
    </row>
    <row r="61" customFormat="false" ht="15" hidden="false" customHeight="false" outlineLevel="0" collapsed="false">
      <c r="A61" s="5" t="str">
        <f aca="false">設定!B72</f>
        <v>教育委員会（教育給与課）</v>
      </c>
      <c r="B61" s="5" t="n">
        <f aca="false">IFERROR(MATCH(ホーム!$C$4&amp;"|"&amp;A61,報告入力!$CM$7:$CM$696,0),"")</f>
        <v>334</v>
      </c>
      <c r="C61" s="5" t="str">
        <f aca="false">IF(B61="","",INDEX(報告入力!$C$7:$C$696,B61))</f>
        <v>未受領</v>
      </c>
      <c r="D61" s="5" t="str">
        <f aca="false">設定!$A$39</f>
        <v>長期（厚生年金保険経理）</v>
      </c>
      <c r="E61" s="5" t="str">
        <f aca="false">設定!$B$39&amp;""</f>
        <v>130</v>
      </c>
      <c r="F61" s="5" t="str">
        <f aca="false">設定!$D$46&amp;""</f>
        <v>6102102000</v>
      </c>
      <c r="G61" s="5" t="str">
        <f aca="false">設定!$E$46&amp;""</f>
        <v>標月額保険料</v>
      </c>
      <c r="H61" s="5" t="n">
        <f aca="false">IF(B61="",0,N(INDEX(報告入力!$AY$7:$AY$696,B61)))</f>
        <v>0</v>
      </c>
      <c r="I61" s="5" t="str">
        <f aca="false">設定!$C$39&amp;""</f>
        <v>1104001001</v>
      </c>
      <c r="J61" s="5" t="str">
        <f aca="false">設定!$D$39&amp;""</f>
        <v>普広銀市役所</v>
      </c>
      <c r="K61" s="5" t="n">
        <f aca="false">IF(AND(H61&lt;&gt;0,IF(設定!$B$6="入金確認済のみ",C61="入金確認済",OR(C61="入金確認済",C61="受領済"))),1,0)</f>
        <v>0</v>
      </c>
      <c r="L61" s="5" t="str">
        <f aca="false">1&amp;"|"&amp;12</f>
        <v>1|12</v>
      </c>
      <c r="M61" s="5" t="n">
        <f aca="false">IF(L61=L60,M60,0)+K61</f>
        <v>0</v>
      </c>
      <c r="N61" s="5" t="n">
        <f aca="false">IF(AND(K61=1,M61=1),1,0)</f>
        <v>0</v>
      </c>
      <c r="O61" s="5" t="str">
        <f aca="false">IF(K61=1,MAX($O$5:O60)+1,"")</f>
        <v/>
      </c>
      <c r="P61" s="5" t="str">
        <f aca="false">IF(K61=1,SUM($N$6:N61),"")</f>
        <v/>
      </c>
      <c r="Q61" s="5" t="str">
        <f aca="false">IF(K61=1,SUMIFS($H$6:$H$511,$L$6:$L$511,L61,$K$6:$K$511,1),"")</f>
        <v/>
      </c>
      <c r="R61" s="103" t="str">
        <f aca="false">IF(B61="","",IF(INDEX(報告入力!$AB$7:$AB$696,B61)="","",INDEX(報告入力!$AB$7:$AB$696,B61)))</f>
        <v/>
      </c>
      <c r="S61" s="5" t="str">
        <f aca="false">設定!$C$46</f>
        <v>長期：厚生年金保険料（組合員負担分）</v>
      </c>
    </row>
    <row r="62" customFormat="false" ht="15" hidden="false" customHeight="false" outlineLevel="0" collapsed="false">
      <c r="A62" s="5" t="str">
        <f aca="false">設定!B72</f>
        <v>教育委員会（教育給与課）</v>
      </c>
      <c r="B62" s="5" t="n">
        <f aca="false">IFERROR(MATCH(ホーム!$C$4&amp;"|"&amp;A62,報告入力!$CM$7:$CM$696,0),"")</f>
        <v>334</v>
      </c>
      <c r="C62" s="5" t="str">
        <f aca="false">IF(B62="","",INDEX(報告入力!$C$7:$C$696,B62))</f>
        <v>未受領</v>
      </c>
      <c r="D62" s="5" t="str">
        <f aca="false">設定!$A$39</f>
        <v>長期（厚生年金保険経理）</v>
      </c>
      <c r="E62" s="5" t="str">
        <f aca="false">設定!$B$39&amp;""</f>
        <v>130</v>
      </c>
      <c r="F62" s="5" t="str">
        <f aca="false">設定!$D$47&amp;""</f>
        <v>2109001014</v>
      </c>
      <c r="G62" s="5" t="str">
        <f aca="false">設定!$E$47&amp;""</f>
        <v>退職標報掛金</v>
      </c>
      <c r="H62" s="5" t="n">
        <f aca="false">IF(B62="",0,N(INDEX(報告入力!$AZ$7:$AZ$696,B62)))</f>
        <v>0</v>
      </c>
      <c r="I62" s="5" t="str">
        <f aca="false">設定!$C$39&amp;""</f>
        <v>1104001001</v>
      </c>
      <c r="J62" s="5" t="str">
        <f aca="false">設定!$D$39&amp;""</f>
        <v>普広銀市役所</v>
      </c>
      <c r="K62" s="5" t="n">
        <f aca="false">IF(AND(H62&lt;&gt;0,IF(設定!$B$6="入金確認済のみ",C62="入金確認済",OR(C62="入金確認済",C62="受領済"))),1,0)</f>
        <v>0</v>
      </c>
      <c r="L62" s="5" t="str">
        <f aca="false">1&amp;"|"&amp;12</f>
        <v>1|12</v>
      </c>
      <c r="M62" s="5" t="n">
        <f aca="false">IF(L62=L61,M61,0)+K62</f>
        <v>0</v>
      </c>
      <c r="N62" s="5" t="n">
        <f aca="false">IF(AND(K62=1,M62=1),1,0)</f>
        <v>0</v>
      </c>
      <c r="O62" s="5" t="str">
        <f aca="false">IF(K62=1,MAX($O$5:O61)+1,"")</f>
        <v/>
      </c>
      <c r="P62" s="5" t="str">
        <f aca="false">IF(K62=1,SUM($N$6:N62),"")</f>
        <v/>
      </c>
      <c r="Q62" s="5" t="str">
        <f aca="false">IF(K62=1,SUMIFS($H$6:$H$511,$L$6:$L$511,L62,$K$6:$K$511,1),"")</f>
        <v/>
      </c>
      <c r="R62" s="103" t="str">
        <f aca="false">IF(B62="","",IF(INDEX(報告入力!$AB$7:$AB$696,B62)="","",INDEX(報告入力!$AB$7:$AB$696,B62)))</f>
        <v/>
      </c>
      <c r="S62" s="5" t="str">
        <f aca="false">設定!$C$47</f>
        <v>長期：退職等年金掛金</v>
      </c>
    </row>
    <row r="63" customFormat="false" ht="15" hidden="false" customHeight="false" outlineLevel="0" collapsed="false">
      <c r="A63" s="5" t="str">
        <f aca="false">設定!B72</f>
        <v>教育委員会（教育給与課）</v>
      </c>
      <c r="B63" s="5" t="n">
        <f aca="false">IFERROR(MATCH(ホーム!$C$4&amp;"|"&amp;A63,報告入力!$CM$7:$CM$696,0),"")</f>
        <v>334</v>
      </c>
      <c r="C63" s="5" t="str">
        <f aca="false">IF(B63="","",INDEX(報告入力!$C$7:$C$696,B63))</f>
        <v>未受領</v>
      </c>
      <c r="D63" s="5" t="str">
        <f aca="false">設定!$A$39</f>
        <v>長期（厚生年金保険経理）</v>
      </c>
      <c r="E63" s="5" t="str">
        <f aca="false">設定!$B$39&amp;""</f>
        <v>130</v>
      </c>
      <c r="F63" s="5" t="str">
        <f aca="false">設定!$D$48&amp;""</f>
        <v>6101002000</v>
      </c>
      <c r="G63" s="5" t="str">
        <f aca="false">設定!$E$48&amp;""</f>
        <v>負担地方公共</v>
      </c>
      <c r="H63" s="5" t="n">
        <f aca="false">IF(B63="",0,N(INDEX(報告入力!$BA$7:$BA$696,B63)))</f>
        <v>0</v>
      </c>
      <c r="I63" s="5" t="str">
        <f aca="false">設定!$C$39&amp;""</f>
        <v>1104001001</v>
      </c>
      <c r="J63" s="5" t="str">
        <f aca="false">設定!$D$39&amp;""</f>
        <v>普広銀市役所</v>
      </c>
      <c r="K63" s="5" t="n">
        <f aca="false">IF(AND(H63&lt;&gt;0,IF(設定!$B$6="入金確認済のみ",C63="入金確認済",OR(C63="入金確認済",C63="受領済"))),1,0)</f>
        <v>0</v>
      </c>
      <c r="L63" s="5" t="str">
        <f aca="false">1&amp;"|"&amp;12</f>
        <v>1|12</v>
      </c>
      <c r="M63" s="5" t="n">
        <f aca="false">IF(L63=L62,M62,0)+K63</f>
        <v>0</v>
      </c>
      <c r="N63" s="5" t="n">
        <f aca="false">IF(AND(K63=1,M63=1),1,0)</f>
        <v>0</v>
      </c>
      <c r="O63" s="5" t="str">
        <f aca="false">IF(K63=1,MAX($O$5:O62)+1,"")</f>
        <v/>
      </c>
      <c r="P63" s="5" t="str">
        <f aca="false">IF(K63=1,SUM($N$6:N63),"")</f>
        <v/>
      </c>
      <c r="Q63" s="5" t="str">
        <f aca="false">IF(K63=1,SUMIFS($H$6:$H$511,$L$6:$L$511,L63,$K$6:$K$511,1),"")</f>
        <v/>
      </c>
      <c r="R63" s="103" t="str">
        <f aca="false">IF(B63="","",IF(INDEX(報告入力!$AB$7:$AB$696,B63)="","",INDEX(報告入力!$AB$7:$AB$696,B63)))</f>
        <v/>
      </c>
      <c r="S63" s="5" t="str">
        <f aca="false">設定!$C$48</f>
        <v>長期：厚生年金保険料（事業主負担分）</v>
      </c>
    </row>
    <row r="64" customFormat="false" ht="15" hidden="false" customHeight="false" outlineLevel="0" collapsed="false">
      <c r="A64" s="5" t="str">
        <f aca="false">設定!B72</f>
        <v>教育委員会（教育給与課）</v>
      </c>
      <c r="B64" s="5" t="n">
        <f aca="false">IFERROR(MATCH(ホーム!$C$4&amp;"|"&amp;A64,報告入力!$CM$7:$CM$696,0),"")</f>
        <v>334</v>
      </c>
      <c r="C64" s="5" t="str">
        <f aca="false">IF(B64="","",INDEX(報告入力!$C$7:$C$696,B64))</f>
        <v>未受領</v>
      </c>
      <c r="D64" s="5" t="str">
        <f aca="false">設定!$A$39</f>
        <v>長期（厚生年金保険経理）</v>
      </c>
      <c r="E64" s="5" t="str">
        <f aca="false">設定!$B$39&amp;""</f>
        <v>130</v>
      </c>
      <c r="F64" s="5" t="str">
        <f aca="false">設定!$D$49&amp;""</f>
        <v>2109001015</v>
      </c>
      <c r="G64" s="5" t="str">
        <f aca="false">設定!$E$49&amp;""</f>
        <v>退職負担地方</v>
      </c>
      <c r="H64" s="5" t="n">
        <f aca="false">IF(B64="",0,N(INDEX(報告入力!$BB$7:$BB$696,B64)))</f>
        <v>0</v>
      </c>
      <c r="I64" s="5" t="str">
        <f aca="false">設定!$C$39&amp;""</f>
        <v>1104001001</v>
      </c>
      <c r="J64" s="5" t="str">
        <f aca="false">設定!$D$39&amp;""</f>
        <v>普広銀市役所</v>
      </c>
      <c r="K64" s="5" t="n">
        <f aca="false">IF(AND(H64&lt;&gt;0,IF(設定!$B$6="入金確認済のみ",C64="入金確認済",OR(C64="入金確認済",C64="受領済"))),1,0)</f>
        <v>0</v>
      </c>
      <c r="L64" s="5" t="str">
        <f aca="false">1&amp;"|"&amp;12</f>
        <v>1|12</v>
      </c>
      <c r="M64" s="5" t="n">
        <f aca="false">IF(L64=L63,M63,0)+K64</f>
        <v>0</v>
      </c>
      <c r="N64" s="5" t="n">
        <f aca="false">IF(AND(K64=1,M64=1),1,0)</f>
        <v>0</v>
      </c>
      <c r="O64" s="5" t="str">
        <f aca="false">IF(K64=1,MAX($O$5:O63)+1,"")</f>
        <v/>
      </c>
      <c r="P64" s="5" t="str">
        <f aca="false">IF(K64=1,SUM($N$6:N64),"")</f>
        <v/>
      </c>
      <c r="Q64" s="5" t="str">
        <f aca="false">IF(K64=1,SUMIFS($H$6:$H$511,$L$6:$L$511,L64,$K$6:$K$511,1),"")</f>
        <v/>
      </c>
      <c r="R64" s="103" t="str">
        <f aca="false">IF(B64="","",IF(INDEX(報告入力!$AB$7:$AB$696,B64)="","",INDEX(報告入力!$AB$7:$AB$696,B64)))</f>
        <v/>
      </c>
      <c r="S64" s="5" t="str">
        <f aca="false">設定!$C$49</f>
        <v>長期：退職等年金負担金</v>
      </c>
    </row>
    <row r="65" customFormat="false" ht="15" hidden="false" customHeight="false" outlineLevel="0" collapsed="false">
      <c r="A65" s="5" t="str">
        <f aca="false">設定!B72</f>
        <v>教育委員会（教育給与課）</v>
      </c>
      <c r="B65" s="5" t="n">
        <f aca="false">IFERROR(MATCH(ホーム!$C$4&amp;"|"&amp;A65,報告入力!$CM$7:$CM$696,0),"")</f>
        <v>334</v>
      </c>
      <c r="C65" s="5" t="str">
        <f aca="false">IF(B65="","",INDEX(報告入力!$C$7:$C$696,B65))</f>
        <v>未受領</v>
      </c>
      <c r="D65" s="5" t="str">
        <f aca="false">設定!$A$39</f>
        <v>長期（厚生年金保険経理）</v>
      </c>
      <c r="E65" s="5" t="str">
        <f aca="false">設定!$B$39&amp;""</f>
        <v>130</v>
      </c>
      <c r="F65" s="5" t="str">
        <f aca="false">設定!$D$50&amp;""</f>
        <v>2109001017</v>
      </c>
      <c r="G65" s="5" t="str">
        <f aca="false">設定!$E$50&amp;""</f>
        <v>経過的負担金</v>
      </c>
      <c r="H65" s="5" t="n">
        <f aca="false">IF(B65="",0,N(INDEX(報告入力!$BC$7:$BC$696,B65)))</f>
        <v>0</v>
      </c>
      <c r="I65" s="5" t="str">
        <f aca="false">設定!$C$39&amp;""</f>
        <v>1104001001</v>
      </c>
      <c r="J65" s="5" t="str">
        <f aca="false">設定!$D$39&amp;""</f>
        <v>普広銀市役所</v>
      </c>
      <c r="K65" s="5" t="n">
        <f aca="false">IF(AND(H65&lt;&gt;0,IF(設定!$B$6="入金確認済のみ",C65="入金確認済",OR(C65="入金確認済",C65="受領済"))),1,0)</f>
        <v>0</v>
      </c>
      <c r="L65" s="5" t="str">
        <f aca="false">1&amp;"|"&amp;12</f>
        <v>1|12</v>
      </c>
      <c r="M65" s="5" t="n">
        <f aca="false">IF(L65=L64,M64,0)+K65</f>
        <v>0</v>
      </c>
      <c r="N65" s="5" t="n">
        <f aca="false">IF(AND(K65=1,M65=1),1,0)</f>
        <v>0</v>
      </c>
      <c r="O65" s="5" t="str">
        <f aca="false">IF(K65=1,MAX($O$5:O64)+1,"")</f>
        <v/>
      </c>
      <c r="P65" s="5" t="str">
        <f aca="false">IF(K65=1,SUM($N$6:N65),"")</f>
        <v/>
      </c>
      <c r="Q65" s="5" t="str">
        <f aca="false">IF(K65=1,SUMIFS($H$6:$H$511,$L$6:$L$511,L65,$K$6:$K$511,1),"")</f>
        <v/>
      </c>
      <c r="R65" s="103" t="str">
        <f aca="false">IF(B65="","",IF(INDEX(報告入力!$AB$7:$AB$696,B65)="","",INDEX(報告入力!$AB$7:$AB$696,B65)))</f>
        <v/>
      </c>
      <c r="S65" s="5" t="str">
        <f aca="false">設定!$C$50</f>
        <v>長期：経過的長期</v>
      </c>
    </row>
    <row r="66" customFormat="false" ht="15" hidden="false" customHeight="false" outlineLevel="0" collapsed="false">
      <c r="A66" s="5" t="str">
        <f aca="false">設定!B73</f>
        <v>地方税共同機構</v>
      </c>
      <c r="B66" s="5" t="n">
        <f aca="false">IFERROR(MATCH(ホーム!$C$4&amp;"|"&amp;A66,報告入力!$CM$7:$CM$696,0),"")</f>
        <v>335</v>
      </c>
      <c r="C66" s="5" t="str">
        <f aca="false">IF(B66="","",INDEX(報告入力!$C$7:$C$696,B66))</f>
        <v>報告なし</v>
      </c>
      <c r="D66" s="5" t="str">
        <f aca="false">設定!$A$39</f>
        <v>長期（厚生年金保険経理）</v>
      </c>
      <c r="E66" s="5" t="str">
        <f aca="false">設定!$B$39&amp;""</f>
        <v>130</v>
      </c>
      <c r="F66" s="5" t="str">
        <f aca="false">設定!$D$46&amp;""</f>
        <v>6102102000</v>
      </c>
      <c r="G66" s="5" t="str">
        <f aca="false">設定!$E$46&amp;""</f>
        <v>標月額保険料</v>
      </c>
      <c r="H66" s="5" t="n">
        <f aca="false">IF(B66="",0,N(INDEX(報告入力!$AY$7:$AY$696,B66)))</f>
        <v>0</v>
      </c>
      <c r="I66" s="5" t="str">
        <f aca="false">設定!$C$39&amp;""</f>
        <v>1104001001</v>
      </c>
      <c r="J66" s="5" t="str">
        <f aca="false">設定!$D$39&amp;""</f>
        <v>普広銀市役所</v>
      </c>
      <c r="K66" s="5" t="n">
        <f aca="false">IF(AND(H66&lt;&gt;0,IF(設定!$B$6="入金確認済のみ",C66="入金確認済",OR(C66="入金確認済",C66="受領済"))),1,0)</f>
        <v>0</v>
      </c>
      <c r="L66" s="5" t="str">
        <f aca="false">1&amp;"|"&amp;13</f>
        <v>1|13</v>
      </c>
      <c r="M66" s="5" t="n">
        <f aca="false">IF(L66=L65,M65,0)+K66</f>
        <v>0</v>
      </c>
      <c r="N66" s="5" t="n">
        <f aca="false">IF(AND(K66=1,M66=1),1,0)</f>
        <v>0</v>
      </c>
      <c r="O66" s="5" t="str">
        <f aca="false">IF(K66=1,MAX($O$5:O65)+1,"")</f>
        <v/>
      </c>
      <c r="P66" s="5" t="str">
        <f aca="false">IF(K66=1,SUM($N$6:N66),"")</f>
        <v/>
      </c>
      <c r="Q66" s="5" t="str">
        <f aca="false">IF(K66=1,SUMIFS($H$6:$H$511,$L$6:$L$511,L66,$K$6:$K$511,1),"")</f>
        <v/>
      </c>
      <c r="R66" s="103" t="str">
        <f aca="false">IF(B66="","",IF(INDEX(報告入力!$AB$7:$AB$696,B66)="","",INDEX(報告入力!$AB$7:$AB$696,B66)))</f>
        <v/>
      </c>
      <c r="S66" s="5" t="str">
        <f aca="false">設定!$C$46</f>
        <v>長期：厚生年金保険料（組合員負担分）</v>
      </c>
    </row>
    <row r="67" customFormat="false" ht="15" hidden="false" customHeight="false" outlineLevel="0" collapsed="false">
      <c r="A67" s="5" t="str">
        <f aca="false">設定!B73</f>
        <v>地方税共同機構</v>
      </c>
      <c r="B67" s="5" t="n">
        <f aca="false">IFERROR(MATCH(ホーム!$C$4&amp;"|"&amp;A67,報告入力!$CM$7:$CM$696,0),"")</f>
        <v>335</v>
      </c>
      <c r="C67" s="5" t="str">
        <f aca="false">IF(B67="","",INDEX(報告入力!$C$7:$C$696,B67))</f>
        <v>報告なし</v>
      </c>
      <c r="D67" s="5" t="str">
        <f aca="false">設定!$A$39</f>
        <v>長期（厚生年金保険経理）</v>
      </c>
      <c r="E67" s="5" t="str">
        <f aca="false">設定!$B$39&amp;""</f>
        <v>130</v>
      </c>
      <c r="F67" s="5" t="str">
        <f aca="false">設定!$D$47&amp;""</f>
        <v>2109001014</v>
      </c>
      <c r="G67" s="5" t="str">
        <f aca="false">設定!$E$47&amp;""</f>
        <v>退職標報掛金</v>
      </c>
      <c r="H67" s="5" t="n">
        <f aca="false">IF(B67="",0,N(INDEX(報告入力!$AZ$7:$AZ$696,B67)))</f>
        <v>0</v>
      </c>
      <c r="I67" s="5" t="str">
        <f aca="false">設定!$C$39&amp;""</f>
        <v>1104001001</v>
      </c>
      <c r="J67" s="5" t="str">
        <f aca="false">設定!$D$39&amp;""</f>
        <v>普広銀市役所</v>
      </c>
      <c r="K67" s="5" t="n">
        <f aca="false">IF(AND(H67&lt;&gt;0,IF(設定!$B$6="入金確認済のみ",C67="入金確認済",OR(C67="入金確認済",C67="受領済"))),1,0)</f>
        <v>0</v>
      </c>
      <c r="L67" s="5" t="str">
        <f aca="false">1&amp;"|"&amp;13</f>
        <v>1|13</v>
      </c>
      <c r="M67" s="5" t="n">
        <f aca="false">IF(L67=L66,M66,0)+K67</f>
        <v>0</v>
      </c>
      <c r="N67" s="5" t="n">
        <f aca="false">IF(AND(K67=1,M67=1),1,0)</f>
        <v>0</v>
      </c>
      <c r="O67" s="5" t="str">
        <f aca="false">IF(K67=1,MAX($O$5:O66)+1,"")</f>
        <v/>
      </c>
      <c r="P67" s="5" t="str">
        <f aca="false">IF(K67=1,SUM($N$6:N67),"")</f>
        <v/>
      </c>
      <c r="Q67" s="5" t="str">
        <f aca="false">IF(K67=1,SUMIFS($H$6:$H$511,$L$6:$L$511,L67,$K$6:$K$511,1),"")</f>
        <v/>
      </c>
      <c r="R67" s="103" t="str">
        <f aca="false">IF(B67="","",IF(INDEX(報告入力!$AB$7:$AB$696,B67)="","",INDEX(報告入力!$AB$7:$AB$696,B67)))</f>
        <v/>
      </c>
      <c r="S67" s="5" t="str">
        <f aca="false">設定!$C$47</f>
        <v>長期：退職等年金掛金</v>
      </c>
    </row>
    <row r="68" customFormat="false" ht="15" hidden="false" customHeight="false" outlineLevel="0" collapsed="false">
      <c r="A68" s="5" t="str">
        <f aca="false">設定!B73</f>
        <v>地方税共同機構</v>
      </c>
      <c r="B68" s="5" t="n">
        <f aca="false">IFERROR(MATCH(ホーム!$C$4&amp;"|"&amp;A68,報告入力!$CM$7:$CM$696,0),"")</f>
        <v>335</v>
      </c>
      <c r="C68" s="5" t="str">
        <f aca="false">IF(B68="","",INDEX(報告入力!$C$7:$C$696,B68))</f>
        <v>報告なし</v>
      </c>
      <c r="D68" s="5" t="str">
        <f aca="false">設定!$A$39</f>
        <v>長期（厚生年金保険経理）</v>
      </c>
      <c r="E68" s="5" t="str">
        <f aca="false">設定!$B$39&amp;""</f>
        <v>130</v>
      </c>
      <c r="F68" s="5" t="str">
        <f aca="false">設定!$D$48&amp;""</f>
        <v>6101002000</v>
      </c>
      <c r="G68" s="5" t="str">
        <f aca="false">設定!$E$48&amp;""</f>
        <v>負担地方公共</v>
      </c>
      <c r="H68" s="5" t="n">
        <f aca="false">IF(B68="",0,N(INDEX(報告入力!$BA$7:$BA$696,B68)))</f>
        <v>0</v>
      </c>
      <c r="I68" s="5" t="str">
        <f aca="false">設定!$C$39&amp;""</f>
        <v>1104001001</v>
      </c>
      <c r="J68" s="5" t="str">
        <f aca="false">設定!$D$39&amp;""</f>
        <v>普広銀市役所</v>
      </c>
      <c r="K68" s="5" t="n">
        <f aca="false">IF(AND(H68&lt;&gt;0,IF(設定!$B$6="入金確認済のみ",C68="入金確認済",OR(C68="入金確認済",C68="受領済"))),1,0)</f>
        <v>0</v>
      </c>
      <c r="L68" s="5" t="str">
        <f aca="false">1&amp;"|"&amp;13</f>
        <v>1|13</v>
      </c>
      <c r="M68" s="5" t="n">
        <f aca="false">IF(L68=L67,M67,0)+K68</f>
        <v>0</v>
      </c>
      <c r="N68" s="5" t="n">
        <f aca="false">IF(AND(K68=1,M68=1),1,0)</f>
        <v>0</v>
      </c>
      <c r="O68" s="5" t="str">
        <f aca="false">IF(K68=1,MAX($O$5:O67)+1,"")</f>
        <v/>
      </c>
      <c r="P68" s="5" t="str">
        <f aca="false">IF(K68=1,SUM($N$6:N68),"")</f>
        <v/>
      </c>
      <c r="Q68" s="5" t="str">
        <f aca="false">IF(K68=1,SUMIFS($H$6:$H$511,$L$6:$L$511,L68,$K$6:$K$511,1),"")</f>
        <v/>
      </c>
      <c r="R68" s="103" t="str">
        <f aca="false">IF(B68="","",IF(INDEX(報告入力!$AB$7:$AB$696,B68)="","",INDEX(報告入力!$AB$7:$AB$696,B68)))</f>
        <v/>
      </c>
      <c r="S68" s="5" t="str">
        <f aca="false">設定!$C$48</f>
        <v>長期：厚生年金保険料（事業主負担分）</v>
      </c>
    </row>
    <row r="69" customFormat="false" ht="15" hidden="false" customHeight="false" outlineLevel="0" collapsed="false">
      <c r="A69" s="5" t="str">
        <f aca="false">設定!B73</f>
        <v>地方税共同機構</v>
      </c>
      <c r="B69" s="5" t="n">
        <f aca="false">IFERROR(MATCH(ホーム!$C$4&amp;"|"&amp;A69,報告入力!$CM$7:$CM$696,0),"")</f>
        <v>335</v>
      </c>
      <c r="C69" s="5" t="str">
        <f aca="false">IF(B69="","",INDEX(報告入力!$C$7:$C$696,B69))</f>
        <v>報告なし</v>
      </c>
      <c r="D69" s="5" t="str">
        <f aca="false">設定!$A$39</f>
        <v>長期（厚生年金保険経理）</v>
      </c>
      <c r="E69" s="5" t="str">
        <f aca="false">設定!$B$39&amp;""</f>
        <v>130</v>
      </c>
      <c r="F69" s="5" t="str">
        <f aca="false">設定!$D$49&amp;""</f>
        <v>2109001015</v>
      </c>
      <c r="G69" s="5" t="str">
        <f aca="false">設定!$E$49&amp;""</f>
        <v>退職負担地方</v>
      </c>
      <c r="H69" s="5" t="n">
        <f aca="false">IF(B69="",0,N(INDEX(報告入力!$BB$7:$BB$696,B69)))</f>
        <v>0</v>
      </c>
      <c r="I69" s="5" t="str">
        <f aca="false">設定!$C$39&amp;""</f>
        <v>1104001001</v>
      </c>
      <c r="J69" s="5" t="str">
        <f aca="false">設定!$D$39&amp;""</f>
        <v>普広銀市役所</v>
      </c>
      <c r="K69" s="5" t="n">
        <f aca="false">IF(AND(H69&lt;&gt;0,IF(設定!$B$6="入金確認済のみ",C69="入金確認済",OR(C69="入金確認済",C69="受領済"))),1,0)</f>
        <v>0</v>
      </c>
      <c r="L69" s="5" t="str">
        <f aca="false">1&amp;"|"&amp;13</f>
        <v>1|13</v>
      </c>
      <c r="M69" s="5" t="n">
        <f aca="false">IF(L69=L68,M68,0)+K69</f>
        <v>0</v>
      </c>
      <c r="N69" s="5" t="n">
        <f aca="false">IF(AND(K69=1,M69=1),1,0)</f>
        <v>0</v>
      </c>
      <c r="O69" s="5" t="str">
        <f aca="false">IF(K69=1,MAX($O$5:O68)+1,"")</f>
        <v/>
      </c>
      <c r="P69" s="5" t="str">
        <f aca="false">IF(K69=1,SUM($N$6:N69),"")</f>
        <v/>
      </c>
      <c r="Q69" s="5" t="str">
        <f aca="false">IF(K69=1,SUMIFS($H$6:$H$511,$L$6:$L$511,L69,$K$6:$K$511,1),"")</f>
        <v/>
      </c>
      <c r="R69" s="103" t="str">
        <f aca="false">IF(B69="","",IF(INDEX(報告入力!$AB$7:$AB$696,B69)="","",INDEX(報告入力!$AB$7:$AB$696,B69)))</f>
        <v/>
      </c>
      <c r="S69" s="5" t="str">
        <f aca="false">設定!$C$49</f>
        <v>長期：退職等年金負担金</v>
      </c>
    </row>
    <row r="70" customFormat="false" ht="15" hidden="false" customHeight="false" outlineLevel="0" collapsed="false">
      <c r="A70" s="5" t="str">
        <f aca="false">設定!B73</f>
        <v>地方税共同機構</v>
      </c>
      <c r="B70" s="5" t="n">
        <f aca="false">IFERROR(MATCH(ホーム!$C$4&amp;"|"&amp;A70,報告入力!$CM$7:$CM$696,0),"")</f>
        <v>335</v>
      </c>
      <c r="C70" s="5" t="str">
        <f aca="false">IF(B70="","",INDEX(報告入力!$C$7:$C$696,B70))</f>
        <v>報告なし</v>
      </c>
      <c r="D70" s="5" t="str">
        <f aca="false">設定!$A$39</f>
        <v>長期（厚生年金保険経理）</v>
      </c>
      <c r="E70" s="5" t="str">
        <f aca="false">設定!$B$39&amp;""</f>
        <v>130</v>
      </c>
      <c r="F70" s="5" t="str">
        <f aca="false">設定!$D$50&amp;""</f>
        <v>2109001017</v>
      </c>
      <c r="G70" s="5" t="str">
        <f aca="false">設定!$E$50&amp;""</f>
        <v>経過的負担金</v>
      </c>
      <c r="H70" s="5" t="n">
        <f aca="false">IF(B70="",0,N(INDEX(報告入力!$BC$7:$BC$696,B70)))</f>
        <v>0</v>
      </c>
      <c r="I70" s="5" t="str">
        <f aca="false">設定!$C$39&amp;""</f>
        <v>1104001001</v>
      </c>
      <c r="J70" s="5" t="str">
        <f aca="false">設定!$D$39&amp;""</f>
        <v>普広銀市役所</v>
      </c>
      <c r="K70" s="5" t="n">
        <f aca="false">IF(AND(H70&lt;&gt;0,IF(設定!$B$6="入金確認済のみ",C70="入金確認済",OR(C70="入金確認済",C70="受領済"))),1,0)</f>
        <v>0</v>
      </c>
      <c r="L70" s="5" t="str">
        <f aca="false">1&amp;"|"&amp;13</f>
        <v>1|13</v>
      </c>
      <c r="M70" s="5" t="n">
        <f aca="false">IF(L70=L69,M69,0)+K70</f>
        <v>0</v>
      </c>
      <c r="N70" s="5" t="n">
        <f aca="false">IF(AND(K70=1,M70=1),1,0)</f>
        <v>0</v>
      </c>
      <c r="O70" s="5" t="str">
        <f aca="false">IF(K70=1,MAX($O$5:O69)+1,"")</f>
        <v/>
      </c>
      <c r="P70" s="5" t="str">
        <f aca="false">IF(K70=1,SUM($N$6:N70),"")</f>
        <v/>
      </c>
      <c r="Q70" s="5" t="str">
        <f aca="false">IF(K70=1,SUMIFS($H$6:$H$511,$L$6:$L$511,L70,$K$6:$K$511,1),"")</f>
        <v/>
      </c>
      <c r="R70" s="103" t="str">
        <f aca="false">IF(B70="","",IF(INDEX(報告入力!$AB$7:$AB$696,B70)="","",INDEX(報告入力!$AB$7:$AB$696,B70)))</f>
        <v/>
      </c>
      <c r="S70" s="5" t="str">
        <f aca="false">設定!$C$50</f>
        <v>長期：経過的長期</v>
      </c>
    </row>
    <row r="71" customFormat="false" ht="15" hidden="false" customHeight="false" outlineLevel="0" collapsed="false">
      <c r="A71" s="5" t="str">
        <f aca="false">設定!B74</f>
        <v>平和文化センター</v>
      </c>
      <c r="B71" s="5" t="n">
        <f aca="false">IFERROR(MATCH(ホーム!$C$4&amp;"|"&amp;A71,報告入力!$CM$7:$CM$696,0),"")</f>
        <v>336</v>
      </c>
      <c r="C71" s="5" t="str">
        <f aca="false">IF(B71="","",INDEX(報告入力!$C$7:$C$696,B71))</f>
        <v>未受領</v>
      </c>
      <c r="D71" s="5" t="str">
        <f aca="false">設定!$A$39</f>
        <v>長期（厚生年金保険経理）</v>
      </c>
      <c r="E71" s="5" t="str">
        <f aca="false">設定!$B$39&amp;""</f>
        <v>130</v>
      </c>
      <c r="F71" s="5" t="str">
        <f aca="false">設定!$D$46&amp;""</f>
        <v>6102102000</v>
      </c>
      <c r="G71" s="5" t="str">
        <f aca="false">設定!$E$46&amp;""</f>
        <v>標月額保険料</v>
      </c>
      <c r="H71" s="5" t="n">
        <f aca="false">IF(B71="",0,N(INDEX(報告入力!$AY$7:$AY$696,B71)))</f>
        <v>0</v>
      </c>
      <c r="I71" s="5" t="str">
        <f aca="false">設定!$C$39&amp;""</f>
        <v>1104001001</v>
      </c>
      <c r="J71" s="5" t="str">
        <f aca="false">設定!$D$39&amp;""</f>
        <v>普広銀市役所</v>
      </c>
      <c r="K71" s="5" t="n">
        <f aca="false">IF(AND(H71&lt;&gt;0,IF(設定!$B$6="入金確認済のみ",C71="入金確認済",OR(C71="入金確認済",C71="受領済"))),1,0)</f>
        <v>0</v>
      </c>
      <c r="L71" s="5" t="str">
        <f aca="false">1&amp;"|"&amp;14</f>
        <v>1|14</v>
      </c>
      <c r="M71" s="5" t="n">
        <f aca="false">IF(L71=L70,M70,0)+K71</f>
        <v>0</v>
      </c>
      <c r="N71" s="5" t="n">
        <f aca="false">IF(AND(K71=1,M71=1),1,0)</f>
        <v>0</v>
      </c>
      <c r="O71" s="5" t="str">
        <f aca="false">IF(K71=1,MAX($O$5:O70)+1,"")</f>
        <v/>
      </c>
      <c r="P71" s="5" t="str">
        <f aca="false">IF(K71=1,SUM($N$6:N71),"")</f>
        <v/>
      </c>
      <c r="Q71" s="5" t="str">
        <f aca="false">IF(K71=1,SUMIFS($H$6:$H$511,$L$6:$L$511,L71,$K$6:$K$511,1),"")</f>
        <v/>
      </c>
      <c r="R71" s="103" t="str">
        <f aca="false">IF(B71="","",IF(INDEX(報告入力!$AB$7:$AB$696,B71)="","",INDEX(報告入力!$AB$7:$AB$696,B71)))</f>
        <v/>
      </c>
      <c r="S71" s="5" t="str">
        <f aca="false">設定!$C$46</f>
        <v>長期：厚生年金保険料（組合員負担分）</v>
      </c>
    </row>
    <row r="72" customFormat="false" ht="15" hidden="false" customHeight="false" outlineLevel="0" collapsed="false">
      <c r="A72" s="5" t="str">
        <f aca="false">設定!B74</f>
        <v>平和文化センター</v>
      </c>
      <c r="B72" s="5" t="n">
        <f aca="false">IFERROR(MATCH(ホーム!$C$4&amp;"|"&amp;A72,報告入力!$CM$7:$CM$696,0),"")</f>
        <v>336</v>
      </c>
      <c r="C72" s="5" t="str">
        <f aca="false">IF(B72="","",INDEX(報告入力!$C$7:$C$696,B72))</f>
        <v>未受領</v>
      </c>
      <c r="D72" s="5" t="str">
        <f aca="false">設定!$A$39</f>
        <v>長期（厚生年金保険経理）</v>
      </c>
      <c r="E72" s="5" t="str">
        <f aca="false">設定!$B$39&amp;""</f>
        <v>130</v>
      </c>
      <c r="F72" s="5" t="str">
        <f aca="false">設定!$D$47&amp;""</f>
        <v>2109001014</v>
      </c>
      <c r="G72" s="5" t="str">
        <f aca="false">設定!$E$47&amp;""</f>
        <v>退職標報掛金</v>
      </c>
      <c r="H72" s="5" t="n">
        <f aca="false">IF(B72="",0,N(INDEX(報告入力!$AZ$7:$AZ$696,B72)))</f>
        <v>0</v>
      </c>
      <c r="I72" s="5" t="str">
        <f aca="false">設定!$C$39&amp;""</f>
        <v>1104001001</v>
      </c>
      <c r="J72" s="5" t="str">
        <f aca="false">設定!$D$39&amp;""</f>
        <v>普広銀市役所</v>
      </c>
      <c r="K72" s="5" t="n">
        <f aca="false">IF(AND(H72&lt;&gt;0,IF(設定!$B$6="入金確認済のみ",C72="入金確認済",OR(C72="入金確認済",C72="受領済"))),1,0)</f>
        <v>0</v>
      </c>
      <c r="L72" s="5" t="str">
        <f aca="false">1&amp;"|"&amp;14</f>
        <v>1|14</v>
      </c>
      <c r="M72" s="5" t="n">
        <f aca="false">IF(L72=L71,M71,0)+K72</f>
        <v>0</v>
      </c>
      <c r="N72" s="5" t="n">
        <f aca="false">IF(AND(K72=1,M72=1),1,0)</f>
        <v>0</v>
      </c>
      <c r="O72" s="5" t="str">
        <f aca="false">IF(K72=1,MAX($O$5:O71)+1,"")</f>
        <v/>
      </c>
      <c r="P72" s="5" t="str">
        <f aca="false">IF(K72=1,SUM($N$6:N72),"")</f>
        <v/>
      </c>
      <c r="Q72" s="5" t="str">
        <f aca="false">IF(K72=1,SUMIFS($H$6:$H$511,$L$6:$L$511,L72,$K$6:$K$511,1),"")</f>
        <v/>
      </c>
      <c r="R72" s="103" t="str">
        <f aca="false">IF(B72="","",IF(INDEX(報告入力!$AB$7:$AB$696,B72)="","",INDEX(報告入力!$AB$7:$AB$696,B72)))</f>
        <v/>
      </c>
      <c r="S72" s="5" t="str">
        <f aca="false">設定!$C$47</f>
        <v>長期：退職等年金掛金</v>
      </c>
    </row>
    <row r="73" customFormat="false" ht="15" hidden="false" customHeight="false" outlineLevel="0" collapsed="false">
      <c r="A73" s="5" t="str">
        <f aca="false">設定!B74</f>
        <v>平和文化センター</v>
      </c>
      <c r="B73" s="5" t="n">
        <f aca="false">IFERROR(MATCH(ホーム!$C$4&amp;"|"&amp;A73,報告入力!$CM$7:$CM$696,0),"")</f>
        <v>336</v>
      </c>
      <c r="C73" s="5" t="str">
        <f aca="false">IF(B73="","",INDEX(報告入力!$C$7:$C$696,B73))</f>
        <v>未受領</v>
      </c>
      <c r="D73" s="5" t="str">
        <f aca="false">設定!$A$39</f>
        <v>長期（厚生年金保険経理）</v>
      </c>
      <c r="E73" s="5" t="str">
        <f aca="false">設定!$B$39&amp;""</f>
        <v>130</v>
      </c>
      <c r="F73" s="5" t="str">
        <f aca="false">設定!$D$48&amp;""</f>
        <v>6101002000</v>
      </c>
      <c r="G73" s="5" t="str">
        <f aca="false">設定!$E$48&amp;""</f>
        <v>負担地方公共</v>
      </c>
      <c r="H73" s="5" t="n">
        <f aca="false">IF(B73="",0,N(INDEX(報告入力!$BA$7:$BA$696,B73)))</f>
        <v>695400</v>
      </c>
      <c r="I73" s="5" t="str">
        <f aca="false">設定!$C$39&amp;""</f>
        <v>1104001001</v>
      </c>
      <c r="J73" s="5" t="str">
        <f aca="false">設定!$D$39&amp;""</f>
        <v>普広銀市役所</v>
      </c>
      <c r="K73" s="5" t="n">
        <f aca="false">IF(AND(H73&lt;&gt;0,IF(設定!$B$6="入金確認済のみ",C73="入金確認済",OR(C73="入金確認済",C73="受領済"))),1,0)</f>
        <v>0</v>
      </c>
      <c r="L73" s="5" t="str">
        <f aca="false">1&amp;"|"&amp;14</f>
        <v>1|14</v>
      </c>
      <c r="M73" s="5" t="n">
        <f aca="false">IF(L73=L72,M72,0)+K73</f>
        <v>0</v>
      </c>
      <c r="N73" s="5" t="n">
        <f aca="false">IF(AND(K73=1,M73=1),1,0)</f>
        <v>0</v>
      </c>
      <c r="O73" s="5" t="str">
        <f aca="false">IF(K73=1,MAX($O$5:O72)+1,"")</f>
        <v/>
      </c>
      <c r="P73" s="5" t="str">
        <f aca="false">IF(K73=1,SUM($N$6:N73),"")</f>
        <v/>
      </c>
      <c r="Q73" s="5" t="str">
        <f aca="false">IF(K73=1,SUMIFS($H$6:$H$511,$L$6:$L$511,L73,$K$6:$K$511,1),"")</f>
        <v/>
      </c>
      <c r="R73" s="103" t="str">
        <f aca="false">IF(B73="","",IF(INDEX(報告入力!$AB$7:$AB$696,B73)="","",INDEX(報告入力!$AB$7:$AB$696,B73)))</f>
        <v/>
      </c>
      <c r="S73" s="5" t="str">
        <f aca="false">設定!$C$48</f>
        <v>長期：厚生年金保険料（事業主負担分）</v>
      </c>
    </row>
    <row r="74" customFormat="false" ht="15" hidden="false" customHeight="false" outlineLevel="0" collapsed="false">
      <c r="A74" s="5" t="str">
        <f aca="false">設定!B74</f>
        <v>平和文化センター</v>
      </c>
      <c r="B74" s="5" t="n">
        <f aca="false">IFERROR(MATCH(ホーム!$C$4&amp;"|"&amp;A74,報告入力!$CM$7:$CM$696,0),"")</f>
        <v>336</v>
      </c>
      <c r="C74" s="5" t="str">
        <f aca="false">IF(B74="","",INDEX(報告入力!$C$7:$C$696,B74))</f>
        <v>未受領</v>
      </c>
      <c r="D74" s="5" t="str">
        <f aca="false">設定!$A$39</f>
        <v>長期（厚生年金保険経理）</v>
      </c>
      <c r="E74" s="5" t="str">
        <f aca="false">設定!$B$39&amp;""</f>
        <v>130</v>
      </c>
      <c r="F74" s="5" t="str">
        <f aca="false">設定!$D$49&amp;""</f>
        <v>2109001015</v>
      </c>
      <c r="G74" s="5" t="str">
        <f aca="false">設定!$E$49&amp;""</f>
        <v>退職負担地方</v>
      </c>
      <c r="H74" s="5" t="n">
        <f aca="false">IF(B74="",0,N(INDEX(報告入力!$BB$7:$BB$696,B74)))</f>
        <v>57000</v>
      </c>
      <c r="I74" s="5" t="str">
        <f aca="false">設定!$C$39&amp;""</f>
        <v>1104001001</v>
      </c>
      <c r="J74" s="5" t="str">
        <f aca="false">設定!$D$39&amp;""</f>
        <v>普広銀市役所</v>
      </c>
      <c r="K74" s="5" t="n">
        <f aca="false">IF(AND(H74&lt;&gt;0,IF(設定!$B$6="入金確認済のみ",C74="入金確認済",OR(C74="入金確認済",C74="受領済"))),1,0)</f>
        <v>0</v>
      </c>
      <c r="L74" s="5" t="str">
        <f aca="false">1&amp;"|"&amp;14</f>
        <v>1|14</v>
      </c>
      <c r="M74" s="5" t="n">
        <f aca="false">IF(L74=L73,M73,0)+K74</f>
        <v>0</v>
      </c>
      <c r="N74" s="5" t="n">
        <f aca="false">IF(AND(K74=1,M74=1),1,0)</f>
        <v>0</v>
      </c>
      <c r="O74" s="5" t="str">
        <f aca="false">IF(K74=1,MAX($O$5:O73)+1,"")</f>
        <v/>
      </c>
      <c r="P74" s="5" t="str">
        <f aca="false">IF(K74=1,SUM($N$6:N74),"")</f>
        <v/>
      </c>
      <c r="Q74" s="5" t="str">
        <f aca="false">IF(K74=1,SUMIFS($H$6:$H$511,$L$6:$L$511,L74,$K$6:$K$511,1),"")</f>
        <v/>
      </c>
      <c r="R74" s="103" t="str">
        <f aca="false">IF(B74="","",IF(INDEX(報告入力!$AB$7:$AB$696,B74)="","",INDEX(報告入力!$AB$7:$AB$696,B74)))</f>
        <v/>
      </c>
      <c r="S74" s="5" t="str">
        <f aca="false">設定!$C$49</f>
        <v>長期：退職等年金負担金</v>
      </c>
    </row>
    <row r="75" customFormat="false" ht="15" hidden="false" customHeight="false" outlineLevel="0" collapsed="false">
      <c r="A75" s="5" t="str">
        <f aca="false">設定!B74</f>
        <v>平和文化センター</v>
      </c>
      <c r="B75" s="5" t="n">
        <f aca="false">IFERROR(MATCH(ホーム!$C$4&amp;"|"&amp;A75,報告入力!$CM$7:$CM$696,0),"")</f>
        <v>336</v>
      </c>
      <c r="C75" s="5" t="str">
        <f aca="false">IF(B75="","",INDEX(報告入力!$C$7:$C$696,B75))</f>
        <v>未受領</v>
      </c>
      <c r="D75" s="5" t="str">
        <f aca="false">設定!$A$39</f>
        <v>長期（厚生年金保険経理）</v>
      </c>
      <c r="E75" s="5" t="str">
        <f aca="false">設定!$B$39&amp;""</f>
        <v>130</v>
      </c>
      <c r="F75" s="5" t="str">
        <f aca="false">設定!$D$50&amp;""</f>
        <v>2109001017</v>
      </c>
      <c r="G75" s="5" t="str">
        <f aca="false">設定!$E$50&amp;""</f>
        <v>経過的負担金</v>
      </c>
      <c r="H75" s="5" t="n">
        <f aca="false">IF(B75="",0,N(INDEX(報告入力!$BC$7:$BC$696,B75)))</f>
        <v>713</v>
      </c>
      <c r="I75" s="5" t="str">
        <f aca="false">設定!$C$39&amp;""</f>
        <v>1104001001</v>
      </c>
      <c r="J75" s="5" t="str">
        <f aca="false">設定!$D$39&amp;""</f>
        <v>普広銀市役所</v>
      </c>
      <c r="K75" s="5" t="n">
        <f aca="false">IF(AND(H75&lt;&gt;0,IF(設定!$B$6="入金確認済のみ",C75="入金確認済",OR(C75="入金確認済",C75="受領済"))),1,0)</f>
        <v>0</v>
      </c>
      <c r="L75" s="5" t="str">
        <f aca="false">1&amp;"|"&amp;14</f>
        <v>1|14</v>
      </c>
      <c r="M75" s="5" t="n">
        <f aca="false">IF(L75=L74,M74,0)+K75</f>
        <v>0</v>
      </c>
      <c r="N75" s="5" t="n">
        <f aca="false">IF(AND(K75=1,M75=1),1,0)</f>
        <v>0</v>
      </c>
      <c r="O75" s="5" t="str">
        <f aca="false">IF(K75=1,MAX($O$5:O74)+1,"")</f>
        <v/>
      </c>
      <c r="P75" s="5" t="str">
        <f aca="false">IF(K75=1,SUM($N$6:N75),"")</f>
        <v/>
      </c>
      <c r="Q75" s="5" t="str">
        <f aca="false">IF(K75=1,SUMIFS($H$6:$H$511,$L$6:$L$511,L75,$K$6:$K$511,1),"")</f>
        <v/>
      </c>
      <c r="R75" s="103" t="str">
        <f aca="false">IF(B75="","",IF(INDEX(報告入力!$AB$7:$AB$696,B75)="","",INDEX(報告入力!$AB$7:$AB$696,B75)))</f>
        <v/>
      </c>
      <c r="S75" s="5" t="str">
        <f aca="false">設定!$C$50</f>
        <v>長期：経過的長期</v>
      </c>
    </row>
    <row r="76" customFormat="false" ht="15" hidden="false" customHeight="false" outlineLevel="0" collapsed="false">
      <c r="A76" s="5" t="str">
        <f aca="false">設定!B75</f>
        <v>社会福祉事業団</v>
      </c>
      <c r="B76" s="5" t="n">
        <f aca="false">IFERROR(MATCH(ホーム!$C$4&amp;"|"&amp;A76,報告入力!$CM$7:$CM$696,0),"")</f>
        <v>337</v>
      </c>
      <c r="C76" s="5" t="str">
        <f aca="false">IF(B76="","",INDEX(報告入力!$C$7:$C$696,B76))</f>
        <v>未受領</v>
      </c>
      <c r="D76" s="5" t="str">
        <f aca="false">設定!$A$39</f>
        <v>長期（厚生年金保険経理）</v>
      </c>
      <c r="E76" s="5" t="str">
        <f aca="false">設定!$B$39&amp;""</f>
        <v>130</v>
      </c>
      <c r="F76" s="5" t="str">
        <f aca="false">設定!$D$46&amp;""</f>
        <v>6102102000</v>
      </c>
      <c r="G76" s="5" t="str">
        <f aca="false">設定!$E$46&amp;""</f>
        <v>標月額保険料</v>
      </c>
      <c r="H76" s="5" t="n">
        <f aca="false">IF(B76="",0,N(INDEX(報告入力!$AY$7:$AY$696,B76)))</f>
        <v>0</v>
      </c>
      <c r="I76" s="5" t="str">
        <f aca="false">設定!$C$39&amp;""</f>
        <v>1104001001</v>
      </c>
      <c r="J76" s="5" t="str">
        <f aca="false">設定!$D$39&amp;""</f>
        <v>普広銀市役所</v>
      </c>
      <c r="K76" s="5" t="n">
        <f aca="false">IF(AND(H76&lt;&gt;0,IF(設定!$B$6="入金確認済のみ",C76="入金確認済",OR(C76="入金確認済",C76="受領済"))),1,0)</f>
        <v>0</v>
      </c>
      <c r="L76" s="5" t="str">
        <f aca="false">1&amp;"|"&amp;15</f>
        <v>1|15</v>
      </c>
      <c r="M76" s="5" t="n">
        <f aca="false">IF(L76=L75,M75,0)+K76</f>
        <v>0</v>
      </c>
      <c r="N76" s="5" t="n">
        <f aca="false">IF(AND(K76=1,M76=1),1,0)</f>
        <v>0</v>
      </c>
      <c r="O76" s="5" t="str">
        <f aca="false">IF(K76=1,MAX($O$5:O75)+1,"")</f>
        <v/>
      </c>
      <c r="P76" s="5" t="str">
        <f aca="false">IF(K76=1,SUM($N$6:N76),"")</f>
        <v/>
      </c>
      <c r="Q76" s="5" t="str">
        <f aca="false">IF(K76=1,SUMIFS($H$6:$H$511,$L$6:$L$511,L76,$K$6:$K$511,1),"")</f>
        <v/>
      </c>
      <c r="R76" s="103" t="str">
        <f aca="false">IF(B76="","",IF(INDEX(報告入力!$AB$7:$AB$696,B76)="","",INDEX(報告入力!$AB$7:$AB$696,B76)))</f>
        <v/>
      </c>
      <c r="S76" s="5" t="str">
        <f aca="false">設定!$C$46</f>
        <v>長期：厚生年金保険料（組合員負担分）</v>
      </c>
    </row>
    <row r="77" customFormat="false" ht="15" hidden="false" customHeight="false" outlineLevel="0" collapsed="false">
      <c r="A77" s="5" t="str">
        <f aca="false">設定!B75</f>
        <v>社会福祉事業団</v>
      </c>
      <c r="B77" s="5" t="n">
        <f aca="false">IFERROR(MATCH(ホーム!$C$4&amp;"|"&amp;A77,報告入力!$CM$7:$CM$696,0),"")</f>
        <v>337</v>
      </c>
      <c r="C77" s="5" t="str">
        <f aca="false">IF(B77="","",INDEX(報告入力!$C$7:$C$696,B77))</f>
        <v>未受領</v>
      </c>
      <c r="D77" s="5" t="str">
        <f aca="false">設定!$A$39</f>
        <v>長期（厚生年金保険経理）</v>
      </c>
      <c r="E77" s="5" t="str">
        <f aca="false">設定!$B$39&amp;""</f>
        <v>130</v>
      </c>
      <c r="F77" s="5" t="str">
        <f aca="false">設定!$D$47&amp;""</f>
        <v>2109001014</v>
      </c>
      <c r="G77" s="5" t="str">
        <f aca="false">設定!$E$47&amp;""</f>
        <v>退職標報掛金</v>
      </c>
      <c r="H77" s="5" t="n">
        <f aca="false">IF(B77="",0,N(INDEX(報告入力!$AZ$7:$AZ$696,B77)))</f>
        <v>0</v>
      </c>
      <c r="I77" s="5" t="str">
        <f aca="false">設定!$C$39&amp;""</f>
        <v>1104001001</v>
      </c>
      <c r="J77" s="5" t="str">
        <f aca="false">設定!$D$39&amp;""</f>
        <v>普広銀市役所</v>
      </c>
      <c r="K77" s="5" t="n">
        <f aca="false">IF(AND(H77&lt;&gt;0,IF(設定!$B$6="入金確認済のみ",C77="入金確認済",OR(C77="入金確認済",C77="受領済"))),1,0)</f>
        <v>0</v>
      </c>
      <c r="L77" s="5" t="str">
        <f aca="false">1&amp;"|"&amp;15</f>
        <v>1|15</v>
      </c>
      <c r="M77" s="5" t="n">
        <f aca="false">IF(L77=L76,M76,0)+K77</f>
        <v>0</v>
      </c>
      <c r="N77" s="5" t="n">
        <f aca="false">IF(AND(K77=1,M77=1),1,0)</f>
        <v>0</v>
      </c>
      <c r="O77" s="5" t="str">
        <f aca="false">IF(K77=1,MAX($O$5:O76)+1,"")</f>
        <v/>
      </c>
      <c r="P77" s="5" t="str">
        <f aca="false">IF(K77=1,SUM($N$6:N77),"")</f>
        <v/>
      </c>
      <c r="Q77" s="5" t="str">
        <f aca="false">IF(K77=1,SUMIFS($H$6:$H$511,$L$6:$L$511,L77,$K$6:$K$511,1),"")</f>
        <v/>
      </c>
      <c r="R77" s="103" t="str">
        <f aca="false">IF(B77="","",IF(INDEX(報告入力!$AB$7:$AB$696,B77)="","",INDEX(報告入力!$AB$7:$AB$696,B77)))</f>
        <v/>
      </c>
      <c r="S77" s="5" t="str">
        <f aca="false">設定!$C$47</f>
        <v>長期：退職等年金掛金</v>
      </c>
    </row>
    <row r="78" customFormat="false" ht="15" hidden="false" customHeight="false" outlineLevel="0" collapsed="false">
      <c r="A78" s="5" t="str">
        <f aca="false">設定!B75</f>
        <v>社会福祉事業団</v>
      </c>
      <c r="B78" s="5" t="n">
        <f aca="false">IFERROR(MATCH(ホーム!$C$4&amp;"|"&amp;A78,報告入力!$CM$7:$CM$696,0),"")</f>
        <v>337</v>
      </c>
      <c r="C78" s="5" t="str">
        <f aca="false">IF(B78="","",INDEX(報告入力!$C$7:$C$696,B78))</f>
        <v>未受領</v>
      </c>
      <c r="D78" s="5" t="str">
        <f aca="false">設定!$A$39</f>
        <v>長期（厚生年金保険経理）</v>
      </c>
      <c r="E78" s="5" t="str">
        <f aca="false">設定!$B$39&amp;""</f>
        <v>130</v>
      </c>
      <c r="F78" s="5" t="str">
        <f aca="false">設定!$D$48&amp;""</f>
        <v>6101002000</v>
      </c>
      <c r="G78" s="5" t="str">
        <f aca="false">設定!$E$48&amp;""</f>
        <v>負担地方公共</v>
      </c>
      <c r="H78" s="5" t="n">
        <f aca="false">IF(B78="",0,N(INDEX(報告入力!$BA$7:$BA$696,B78)))</f>
        <v>1881240</v>
      </c>
      <c r="I78" s="5" t="str">
        <f aca="false">設定!$C$39&amp;""</f>
        <v>1104001001</v>
      </c>
      <c r="J78" s="5" t="str">
        <f aca="false">設定!$D$39&amp;""</f>
        <v>普広銀市役所</v>
      </c>
      <c r="K78" s="5" t="n">
        <f aca="false">IF(AND(H78&lt;&gt;0,IF(設定!$B$6="入金確認済のみ",C78="入金確認済",OR(C78="入金確認済",C78="受領済"))),1,0)</f>
        <v>0</v>
      </c>
      <c r="L78" s="5" t="str">
        <f aca="false">1&amp;"|"&amp;15</f>
        <v>1|15</v>
      </c>
      <c r="M78" s="5" t="n">
        <f aca="false">IF(L78=L77,M77,0)+K78</f>
        <v>0</v>
      </c>
      <c r="N78" s="5" t="n">
        <f aca="false">IF(AND(K78=1,M78=1),1,0)</f>
        <v>0</v>
      </c>
      <c r="O78" s="5" t="str">
        <f aca="false">IF(K78=1,MAX($O$5:O77)+1,"")</f>
        <v/>
      </c>
      <c r="P78" s="5" t="str">
        <f aca="false">IF(K78=1,SUM($N$6:N78),"")</f>
        <v/>
      </c>
      <c r="Q78" s="5" t="str">
        <f aca="false">IF(K78=1,SUMIFS($H$6:$H$511,$L$6:$L$511,L78,$K$6:$K$511,1),"")</f>
        <v/>
      </c>
      <c r="R78" s="103" t="str">
        <f aca="false">IF(B78="","",IF(INDEX(報告入力!$AB$7:$AB$696,B78)="","",INDEX(報告入力!$AB$7:$AB$696,B78)))</f>
        <v/>
      </c>
      <c r="S78" s="5" t="str">
        <f aca="false">設定!$C$48</f>
        <v>長期：厚生年金保険料（事業主負担分）</v>
      </c>
    </row>
    <row r="79" customFormat="false" ht="15" hidden="false" customHeight="false" outlineLevel="0" collapsed="false">
      <c r="A79" s="5" t="str">
        <f aca="false">設定!B75</f>
        <v>社会福祉事業団</v>
      </c>
      <c r="B79" s="5" t="n">
        <f aca="false">IFERROR(MATCH(ホーム!$C$4&amp;"|"&amp;A79,報告入力!$CM$7:$CM$696,0),"")</f>
        <v>337</v>
      </c>
      <c r="C79" s="5" t="str">
        <f aca="false">IF(B79="","",INDEX(報告入力!$C$7:$C$696,B79))</f>
        <v>未受領</v>
      </c>
      <c r="D79" s="5" t="str">
        <f aca="false">設定!$A$39</f>
        <v>長期（厚生年金保険経理）</v>
      </c>
      <c r="E79" s="5" t="str">
        <f aca="false">設定!$B$39&amp;""</f>
        <v>130</v>
      </c>
      <c r="F79" s="5" t="str">
        <f aca="false">設定!$D$49&amp;""</f>
        <v>2109001015</v>
      </c>
      <c r="G79" s="5" t="str">
        <f aca="false">設定!$E$49&amp;""</f>
        <v>退職負担地方</v>
      </c>
      <c r="H79" s="5" t="n">
        <f aca="false">IF(B79="",0,N(INDEX(報告入力!$BB$7:$BB$696,B79)))</f>
        <v>154200</v>
      </c>
      <c r="I79" s="5" t="str">
        <f aca="false">設定!$C$39&amp;""</f>
        <v>1104001001</v>
      </c>
      <c r="J79" s="5" t="str">
        <f aca="false">設定!$D$39&amp;""</f>
        <v>普広銀市役所</v>
      </c>
      <c r="K79" s="5" t="n">
        <f aca="false">IF(AND(H79&lt;&gt;0,IF(設定!$B$6="入金確認済のみ",C79="入金確認済",OR(C79="入金確認済",C79="受領済"))),1,0)</f>
        <v>0</v>
      </c>
      <c r="L79" s="5" t="str">
        <f aca="false">1&amp;"|"&amp;15</f>
        <v>1|15</v>
      </c>
      <c r="M79" s="5" t="n">
        <f aca="false">IF(L79=L78,M78,0)+K79</f>
        <v>0</v>
      </c>
      <c r="N79" s="5" t="n">
        <f aca="false">IF(AND(K79=1,M79=1),1,0)</f>
        <v>0</v>
      </c>
      <c r="O79" s="5" t="str">
        <f aca="false">IF(K79=1,MAX($O$5:O78)+1,"")</f>
        <v/>
      </c>
      <c r="P79" s="5" t="str">
        <f aca="false">IF(K79=1,SUM($N$6:N79),"")</f>
        <v/>
      </c>
      <c r="Q79" s="5" t="str">
        <f aca="false">IF(K79=1,SUMIFS($H$6:$H$511,$L$6:$L$511,L79,$K$6:$K$511,1),"")</f>
        <v/>
      </c>
      <c r="R79" s="103" t="str">
        <f aca="false">IF(B79="","",IF(INDEX(報告入力!$AB$7:$AB$696,B79)="","",INDEX(報告入力!$AB$7:$AB$696,B79)))</f>
        <v/>
      </c>
      <c r="S79" s="5" t="str">
        <f aca="false">設定!$C$49</f>
        <v>長期：退職等年金負担金</v>
      </c>
    </row>
    <row r="80" customFormat="false" ht="15" hidden="false" customHeight="false" outlineLevel="0" collapsed="false">
      <c r="A80" s="5" t="str">
        <f aca="false">設定!B75</f>
        <v>社会福祉事業団</v>
      </c>
      <c r="B80" s="5" t="n">
        <f aca="false">IFERROR(MATCH(ホーム!$C$4&amp;"|"&amp;A80,報告入力!$CM$7:$CM$696,0),"")</f>
        <v>337</v>
      </c>
      <c r="C80" s="5" t="str">
        <f aca="false">IF(B80="","",INDEX(報告入力!$C$7:$C$696,B80))</f>
        <v>未受領</v>
      </c>
      <c r="D80" s="5" t="str">
        <f aca="false">設定!$A$39</f>
        <v>長期（厚生年金保険経理）</v>
      </c>
      <c r="E80" s="5" t="str">
        <f aca="false">設定!$B$39&amp;""</f>
        <v>130</v>
      </c>
      <c r="F80" s="5" t="str">
        <f aca="false">設定!$D$50&amp;""</f>
        <v>2109001017</v>
      </c>
      <c r="G80" s="5" t="str">
        <f aca="false">設定!$E$50&amp;""</f>
        <v>経過的負担金</v>
      </c>
      <c r="H80" s="5" t="n">
        <f aca="false">IF(B80="",0,N(INDEX(報告入力!$BC$7:$BC$696,B80)))</f>
        <v>1960</v>
      </c>
      <c r="I80" s="5" t="str">
        <f aca="false">設定!$C$39&amp;""</f>
        <v>1104001001</v>
      </c>
      <c r="J80" s="5" t="str">
        <f aca="false">設定!$D$39&amp;""</f>
        <v>普広銀市役所</v>
      </c>
      <c r="K80" s="5" t="n">
        <f aca="false">IF(AND(H80&lt;&gt;0,IF(設定!$B$6="入金確認済のみ",C80="入金確認済",OR(C80="入金確認済",C80="受領済"))),1,0)</f>
        <v>0</v>
      </c>
      <c r="L80" s="5" t="str">
        <f aca="false">1&amp;"|"&amp;15</f>
        <v>1|15</v>
      </c>
      <c r="M80" s="5" t="n">
        <f aca="false">IF(L80=L79,M79,0)+K80</f>
        <v>0</v>
      </c>
      <c r="N80" s="5" t="n">
        <f aca="false">IF(AND(K80=1,M80=1),1,0)</f>
        <v>0</v>
      </c>
      <c r="O80" s="5" t="str">
        <f aca="false">IF(K80=1,MAX($O$5:O79)+1,"")</f>
        <v/>
      </c>
      <c r="P80" s="5" t="str">
        <f aca="false">IF(K80=1,SUM($N$6:N80),"")</f>
        <v/>
      </c>
      <c r="Q80" s="5" t="str">
        <f aca="false">IF(K80=1,SUMIFS($H$6:$H$511,$L$6:$L$511,L80,$K$6:$K$511,1),"")</f>
        <v/>
      </c>
      <c r="R80" s="103" t="str">
        <f aca="false">IF(B80="","",IF(INDEX(報告入力!$AB$7:$AB$696,B80)="","",INDEX(報告入力!$AB$7:$AB$696,B80)))</f>
        <v/>
      </c>
      <c r="S80" s="5" t="str">
        <f aca="false">設定!$C$50</f>
        <v>長期：経過的長期</v>
      </c>
    </row>
    <row r="81" customFormat="false" ht="15" hidden="false" customHeight="false" outlineLevel="0" collapsed="false">
      <c r="A81" s="5" t="str">
        <f aca="false">設定!B76</f>
        <v>原爆障害対策協議会</v>
      </c>
      <c r="B81" s="5" t="n">
        <f aca="false">IFERROR(MATCH(ホーム!$C$4&amp;"|"&amp;A81,報告入力!$CM$7:$CM$696,0),"")</f>
        <v>338</v>
      </c>
      <c r="C81" s="5" t="str">
        <f aca="false">IF(B81="","",INDEX(報告入力!$C$7:$C$696,B81))</f>
        <v>未受領</v>
      </c>
      <c r="D81" s="5" t="str">
        <f aca="false">設定!$A$39</f>
        <v>長期（厚生年金保険経理）</v>
      </c>
      <c r="E81" s="5" t="str">
        <f aca="false">設定!$B$39&amp;""</f>
        <v>130</v>
      </c>
      <c r="F81" s="5" t="str">
        <f aca="false">設定!$D$46&amp;""</f>
        <v>6102102000</v>
      </c>
      <c r="G81" s="5" t="str">
        <f aca="false">設定!$E$46&amp;""</f>
        <v>標月額保険料</v>
      </c>
      <c r="H81" s="5" t="n">
        <f aca="false">IF(B81="",0,N(INDEX(報告入力!$AY$7:$AY$696,B81)))</f>
        <v>0</v>
      </c>
      <c r="I81" s="5" t="str">
        <f aca="false">設定!$C$39&amp;""</f>
        <v>1104001001</v>
      </c>
      <c r="J81" s="5" t="str">
        <f aca="false">設定!$D$39&amp;""</f>
        <v>普広銀市役所</v>
      </c>
      <c r="K81" s="5" t="n">
        <f aca="false">IF(AND(H81&lt;&gt;0,IF(設定!$B$6="入金確認済のみ",C81="入金確認済",OR(C81="入金確認済",C81="受領済"))),1,0)</f>
        <v>0</v>
      </c>
      <c r="L81" s="5" t="str">
        <f aca="false">1&amp;"|"&amp;16</f>
        <v>1|16</v>
      </c>
      <c r="M81" s="5" t="n">
        <f aca="false">IF(L81=L80,M80,0)+K81</f>
        <v>0</v>
      </c>
      <c r="N81" s="5" t="n">
        <f aca="false">IF(AND(K81=1,M81=1),1,0)</f>
        <v>0</v>
      </c>
      <c r="O81" s="5" t="str">
        <f aca="false">IF(K81=1,MAX($O$5:O80)+1,"")</f>
        <v/>
      </c>
      <c r="P81" s="5" t="str">
        <f aca="false">IF(K81=1,SUM($N$6:N81),"")</f>
        <v/>
      </c>
      <c r="Q81" s="5" t="str">
        <f aca="false">IF(K81=1,SUMIFS($H$6:$H$511,$L$6:$L$511,L81,$K$6:$K$511,1),"")</f>
        <v/>
      </c>
      <c r="R81" s="103" t="str">
        <f aca="false">IF(B81="","",IF(INDEX(報告入力!$AB$7:$AB$696,B81)="","",INDEX(報告入力!$AB$7:$AB$696,B81)))</f>
        <v/>
      </c>
      <c r="S81" s="5" t="str">
        <f aca="false">設定!$C$46</f>
        <v>長期：厚生年金保険料（組合員負担分）</v>
      </c>
    </row>
    <row r="82" customFormat="false" ht="15" hidden="false" customHeight="false" outlineLevel="0" collapsed="false">
      <c r="A82" s="5" t="str">
        <f aca="false">設定!B76</f>
        <v>原爆障害対策協議会</v>
      </c>
      <c r="B82" s="5" t="n">
        <f aca="false">IFERROR(MATCH(ホーム!$C$4&amp;"|"&amp;A82,報告入力!$CM$7:$CM$696,0),"")</f>
        <v>338</v>
      </c>
      <c r="C82" s="5" t="str">
        <f aca="false">IF(B82="","",INDEX(報告入力!$C$7:$C$696,B82))</f>
        <v>未受領</v>
      </c>
      <c r="D82" s="5" t="str">
        <f aca="false">設定!$A$39</f>
        <v>長期（厚生年金保険経理）</v>
      </c>
      <c r="E82" s="5" t="str">
        <f aca="false">設定!$B$39&amp;""</f>
        <v>130</v>
      </c>
      <c r="F82" s="5" t="str">
        <f aca="false">設定!$D$47&amp;""</f>
        <v>2109001014</v>
      </c>
      <c r="G82" s="5" t="str">
        <f aca="false">設定!$E$47&amp;""</f>
        <v>退職標報掛金</v>
      </c>
      <c r="H82" s="5" t="n">
        <f aca="false">IF(B82="",0,N(INDEX(報告入力!$AZ$7:$AZ$696,B82)))</f>
        <v>0</v>
      </c>
      <c r="I82" s="5" t="str">
        <f aca="false">設定!$C$39&amp;""</f>
        <v>1104001001</v>
      </c>
      <c r="J82" s="5" t="str">
        <f aca="false">設定!$D$39&amp;""</f>
        <v>普広銀市役所</v>
      </c>
      <c r="K82" s="5" t="n">
        <f aca="false">IF(AND(H82&lt;&gt;0,IF(設定!$B$6="入金確認済のみ",C82="入金確認済",OR(C82="入金確認済",C82="受領済"))),1,0)</f>
        <v>0</v>
      </c>
      <c r="L82" s="5" t="str">
        <f aca="false">1&amp;"|"&amp;16</f>
        <v>1|16</v>
      </c>
      <c r="M82" s="5" t="n">
        <f aca="false">IF(L82=L81,M81,0)+K82</f>
        <v>0</v>
      </c>
      <c r="N82" s="5" t="n">
        <f aca="false">IF(AND(K82=1,M82=1),1,0)</f>
        <v>0</v>
      </c>
      <c r="O82" s="5" t="str">
        <f aca="false">IF(K82=1,MAX($O$5:O81)+1,"")</f>
        <v/>
      </c>
      <c r="P82" s="5" t="str">
        <f aca="false">IF(K82=1,SUM($N$6:N82),"")</f>
        <v/>
      </c>
      <c r="Q82" s="5" t="str">
        <f aca="false">IF(K82=1,SUMIFS($H$6:$H$511,$L$6:$L$511,L82,$K$6:$K$511,1),"")</f>
        <v/>
      </c>
      <c r="R82" s="103" t="str">
        <f aca="false">IF(B82="","",IF(INDEX(報告入力!$AB$7:$AB$696,B82)="","",INDEX(報告入力!$AB$7:$AB$696,B82)))</f>
        <v/>
      </c>
      <c r="S82" s="5" t="str">
        <f aca="false">設定!$C$47</f>
        <v>長期：退職等年金掛金</v>
      </c>
    </row>
    <row r="83" customFormat="false" ht="15" hidden="false" customHeight="false" outlineLevel="0" collapsed="false">
      <c r="A83" s="5" t="str">
        <f aca="false">設定!B76</f>
        <v>原爆障害対策協議会</v>
      </c>
      <c r="B83" s="5" t="n">
        <f aca="false">IFERROR(MATCH(ホーム!$C$4&amp;"|"&amp;A83,報告入力!$CM$7:$CM$696,0),"")</f>
        <v>338</v>
      </c>
      <c r="C83" s="5" t="str">
        <f aca="false">IF(B83="","",INDEX(報告入力!$C$7:$C$696,B83))</f>
        <v>未受領</v>
      </c>
      <c r="D83" s="5" t="str">
        <f aca="false">設定!$A$39</f>
        <v>長期（厚生年金保険経理）</v>
      </c>
      <c r="E83" s="5" t="str">
        <f aca="false">設定!$B$39&amp;""</f>
        <v>130</v>
      </c>
      <c r="F83" s="5" t="str">
        <f aca="false">設定!$D$48&amp;""</f>
        <v>6101002000</v>
      </c>
      <c r="G83" s="5" t="str">
        <f aca="false">設定!$E$48&amp;""</f>
        <v>負担地方公共</v>
      </c>
      <c r="H83" s="5" t="n">
        <f aca="false">IF(B83="",0,N(INDEX(報告入力!$BA$7:$BA$696,B83)))</f>
        <v>48495</v>
      </c>
      <c r="I83" s="5" t="str">
        <f aca="false">設定!$C$39&amp;""</f>
        <v>1104001001</v>
      </c>
      <c r="J83" s="5" t="str">
        <f aca="false">設定!$D$39&amp;""</f>
        <v>普広銀市役所</v>
      </c>
      <c r="K83" s="5" t="n">
        <f aca="false">IF(AND(H83&lt;&gt;0,IF(設定!$B$6="入金確認済のみ",C83="入金確認済",OR(C83="入金確認済",C83="受領済"))),1,0)</f>
        <v>0</v>
      </c>
      <c r="L83" s="5" t="str">
        <f aca="false">1&amp;"|"&amp;16</f>
        <v>1|16</v>
      </c>
      <c r="M83" s="5" t="n">
        <f aca="false">IF(L83=L82,M82,0)+K83</f>
        <v>0</v>
      </c>
      <c r="N83" s="5" t="n">
        <f aca="false">IF(AND(K83=1,M83=1),1,0)</f>
        <v>0</v>
      </c>
      <c r="O83" s="5" t="str">
        <f aca="false">IF(K83=1,MAX($O$5:O82)+1,"")</f>
        <v/>
      </c>
      <c r="P83" s="5" t="str">
        <f aca="false">IF(K83=1,SUM($N$6:N83),"")</f>
        <v/>
      </c>
      <c r="Q83" s="5" t="str">
        <f aca="false">IF(K83=1,SUMIFS($H$6:$H$511,$L$6:$L$511,L83,$K$6:$K$511,1),"")</f>
        <v/>
      </c>
      <c r="R83" s="103" t="str">
        <f aca="false">IF(B83="","",IF(INDEX(報告入力!$AB$7:$AB$696,B83)="","",INDEX(報告入力!$AB$7:$AB$696,B83)))</f>
        <v/>
      </c>
      <c r="S83" s="5" t="str">
        <f aca="false">設定!$C$48</f>
        <v>長期：厚生年金保険料（事業主負担分）</v>
      </c>
    </row>
    <row r="84" customFormat="false" ht="15" hidden="false" customHeight="false" outlineLevel="0" collapsed="false">
      <c r="A84" s="5" t="str">
        <f aca="false">設定!B76</f>
        <v>原爆障害対策協議会</v>
      </c>
      <c r="B84" s="5" t="n">
        <f aca="false">IFERROR(MATCH(ホーム!$C$4&amp;"|"&amp;A84,報告入力!$CM$7:$CM$696,0),"")</f>
        <v>338</v>
      </c>
      <c r="C84" s="5" t="str">
        <f aca="false">IF(B84="","",INDEX(報告入力!$C$7:$C$696,B84))</f>
        <v>未受領</v>
      </c>
      <c r="D84" s="5" t="str">
        <f aca="false">設定!$A$39</f>
        <v>長期（厚生年金保険経理）</v>
      </c>
      <c r="E84" s="5" t="str">
        <f aca="false">設定!$B$39&amp;""</f>
        <v>130</v>
      </c>
      <c r="F84" s="5" t="str">
        <f aca="false">設定!$D$49&amp;""</f>
        <v>2109001015</v>
      </c>
      <c r="G84" s="5" t="str">
        <f aca="false">設定!$E$49&amp;""</f>
        <v>退職負担地方</v>
      </c>
      <c r="H84" s="5" t="n">
        <f aca="false">IF(B84="",0,N(INDEX(報告入力!$BB$7:$BB$696,B84)))</f>
        <v>3975</v>
      </c>
      <c r="I84" s="5" t="str">
        <f aca="false">設定!$C$39&amp;""</f>
        <v>1104001001</v>
      </c>
      <c r="J84" s="5" t="str">
        <f aca="false">設定!$D$39&amp;""</f>
        <v>普広銀市役所</v>
      </c>
      <c r="K84" s="5" t="n">
        <f aca="false">IF(AND(H84&lt;&gt;0,IF(設定!$B$6="入金確認済のみ",C84="入金確認済",OR(C84="入金確認済",C84="受領済"))),1,0)</f>
        <v>0</v>
      </c>
      <c r="L84" s="5" t="str">
        <f aca="false">1&amp;"|"&amp;16</f>
        <v>1|16</v>
      </c>
      <c r="M84" s="5" t="n">
        <f aca="false">IF(L84=L83,M83,0)+K84</f>
        <v>0</v>
      </c>
      <c r="N84" s="5" t="n">
        <f aca="false">IF(AND(K84=1,M84=1),1,0)</f>
        <v>0</v>
      </c>
      <c r="O84" s="5" t="str">
        <f aca="false">IF(K84=1,MAX($O$5:O83)+1,"")</f>
        <v/>
      </c>
      <c r="P84" s="5" t="str">
        <f aca="false">IF(K84=1,SUM($N$6:N84),"")</f>
        <v/>
      </c>
      <c r="Q84" s="5" t="str">
        <f aca="false">IF(K84=1,SUMIFS($H$6:$H$511,$L$6:$L$511,L84,$K$6:$K$511,1),"")</f>
        <v/>
      </c>
      <c r="R84" s="103" t="str">
        <f aca="false">IF(B84="","",IF(INDEX(報告入力!$AB$7:$AB$696,B84)="","",INDEX(報告入力!$AB$7:$AB$696,B84)))</f>
        <v/>
      </c>
      <c r="S84" s="5" t="str">
        <f aca="false">設定!$C$49</f>
        <v>長期：退職等年金負担金</v>
      </c>
    </row>
    <row r="85" customFormat="false" ht="15" hidden="false" customHeight="false" outlineLevel="0" collapsed="false">
      <c r="A85" s="5" t="str">
        <f aca="false">設定!B76</f>
        <v>原爆障害対策協議会</v>
      </c>
      <c r="B85" s="5" t="n">
        <f aca="false">IFERROR(MATCH(ホーム!$C$4&amp;"|"&amp;A85,報告入力!$CM$7:$CM$696,0),"")</f>
        <v>338</v>
      </c>
      <c r="C85" s="5" t="str">
        <f aca="false">IF(B85="","",INDEX(報告入力!$C$7:$C$696,B85))</f>
        <v>未受領</v>
      </c>
      <c r="D85" s="5" t="str">
        <f aca="false">設定!$A$39</f>
        <v>長期（厚生年金保険経理）</v>
      </c>
      <c r="E85" s="5" t="str">
        <f aca="false">設定!$B$39&amp;""</f>
        <v>130</v>
      </c>
      <c r="F85" s="5" t="str">
        <f aca="false">設定!$D$50&amp;""</f>
        <v>2109001017</v>
      </c>
      <c r="G85" s="5" t="str">
        <f aca="false">設定!$E$50&amp;""</f>
        <v>経過的負担金</v>
      </c>
      <c r="H85" s="5" t="n">
        <f aca="false">IF(B85="",0,N(INDEX(報告入力!$BC$7:$BC$696,B85)))</f>
        <v>49</v>
      </c>
      <c r="I85" s="5" t="str">
        <f aca="false">設定!$C$39&amp;""</f>
        <v>1104001001</v>
      </c>
      <c r="J85" s="5" t="str">
        <f aca="false">設定!$D$39&amp;""</f>
        <v>普広銀市役所</v>
      </c>
      <c r="K85" s="5" t="n">
        <f aca="false">IF(AND(H85&lt;&gt;0,IF(設定!$B$6="入金確認済のみ",C85="入金確認済",OR(C85="入金確認済",C85="受領済"))),1,0)</f>
        <v>0</v>
      </c>
      <c r="L85" s="5" t="str">
        <f aca="false">1&amp;"|"&amp;16</f>
        <v>1|16</v>
      </c>
      <c r="M85" s="5" t="n">
        <f aca="false">IF(L85=L84,M84,0)+K85</f>
        <v>0</v>
      </c>
      <c r="N85" s="5" t="n">
        <f aca="false">IF(AND(K85=1,M85=1),1,0)</f>
        <v>0</v>
      </c>
      <c r="O85" s="5" t="str">
        <f aca="false">IF(K85=1,MAX($O$5:O84)+1,"")</f>
        <v/>
      </c>
      <c r="P85" s="5" t="str">
        <f aca="false">IF(K85=1,SUM($N$6:N85),"")</f>
        <v/>
      </c>
      <c r="Q85" s="5" t="str">
        <f aca="false">IF(K85=1,SUMIFS($H$6:$H$511,$L$6:$L$511,L85,$K$6:$K$511,1),"")</f>
        <v/>
      </c>
      <c r="R85" s="103" t="str">
        <f aca="false">IF(B85="","",IF(INDEX(報告入力!$AB$7:$AB$696,B85)="","",INDEX(報告入力!$AB$7:$AB$696,B85)))</f>
        <v/>
      </c>
      <c r="S85" s="5" t="str">
        <f aca="false">設定!$C$50</f>
        <v>長期：経過的長期</v>
      </c>
    </row>
    <row r="86" customFormat="false" ht="15" hidden="false" customHeight="false" outlineLevel="0" collapsed="false">
      <c r="A86" s="5" t="str">
        <f aca="false">設定!B77</f>
        <v>産業振興センター</v>
      </c>
      <c r="B86" s="5" t="n">
        <f aca="false">IFERROR(MATCH(ホーム!$C$4&amp;"|"&amp;A86,報告入力!$CM$7:$CM$696,0),"")</f>
        <v>339</v>
      </c>
      <c r="C86" s="5" t="str">
        <f aca="false">IF(B86="","",INDEX(報告入力!$C$7:$C$696,B86))</f>
        <v>未受領</v>
      </c>
      <c r="D86" s="5" t="str">
        <f aca="false">設定!$A$39</f>
        <v>長期（厚生年金保険経理）</v>
      </c>
      <c r="E86" s="5" t="str">
        <f aca="false">設定!$B$39&amp;""</f>
        <v>130</v>
      </c>
      <c r="F86" s="5" t="str">
        <f aca="false">設定!$D$46&amp;""</f>
        <v>6102102000</v>
      </c>
      <c r="G86" s="5" t="str">
        <f aca="false">設定!$E$46&amp;""</f>
        <v>標月額保険料</v>
      </c>
      <c r="H86" s="5" t="n">
        <f aca="false">IF(B86="",0,N(INDEX(報告入力!$AY$7:$AY$696,B86)))</f>
        <v>0</v>
      </c>
      <c r="I86" s="5" t="str">
        <f aca="false">設定!$C$39&amp;""</f>
        <v>1104001001</v>
      </c>
      <c r="J86" s="5" t="str">
        <f aca="false">設定!$D$39&amp;""</f>
        <v>普広銀市役所</v>
      </c>
      <c r="K86" s="5" t="n">
        <f aca="false">IF(AND(H86&lt;&gt;0,IF(設定!$B$6="入金確認済のみ",C86="入金確認済",OR(C86="入金確認済",C86="受領済"))),1,0)</f>
        <v>0</v>
      </c>
      <c r="L86" s="5" t="str">
        <f aca="false">1&amp;"|"&amp;17</f>
        <v>1|17</v>
      </c>
      <c r="M86" s="5" t="n">
        <f aca="false">IF(L86=L85,M85,0)+K86</f>
        <v>0</v>
      </c>
      <c r="N86" s="5" t="n">
        <f aca="false">IF(AND(K86=1,M86=1),1,0)</f>
        <v>0</v>
      </c>
      <c r="O86" s="5" t="str">
        <f aca="false">IF(K86=1,MAX($O$5:O85)+1,"")</f>
        <v/>
      </c>
      <c r="P86" s="5" t="str">
        <f aca="false">IF(K86=1,SUM($N$6:N86),"")</f>
        <v/>
      </c>
      <c r="Q86" s="5" t="str">
        <f aca="false">IF(K86=1,SUMIFS($H$6:$H$511,$L$6:$L$511,L86,$K$6:$K$511,1),"")</f>
        <v/>
      </c>
      <c r="R86" s="103" t="str">
        <f aca="false">IF(B86="","",IF(INDEX(報告入力!$AB$7:$AB$696,B86)="","",INDEX(報告入力!$AB$7:$AB$696,B86)))</f>
        <v/>
      </c>
      <c r="S86" s="5" t="str">
        <f aca="false">設定!$C$46</f>
        <v>長期：厚生年金保険料（組合員負担分）</v>
      </c>
    </row>
    <row r="87" customFormat="false" ht="15" hidden="false" customHeight="false" outlineLevel="0" collapsed="false">
      <c r="A87" s="5" t="str">
        <f aca="false">設定!B77</f>
        <v>産業振興センター</v>
      </c>
      <c r="B87" s="5" t="n">
        <f aca="false">IFERROR(MATCH(ホーム!$C$4&amp;"|"&amp;A87,報告入力!$CM$7:$CM$696,0),"")</f>
        <v>339</v>
      </c>
      <c r="C87" s="5" t="str">
        <f aca="false">IF(B87="","",INDEX(報告入力!$C$7:$C$696,B87))</f>
        <v>未受領</v>
      </c>
      <c r="D87" s="5" t="str">
        <f aca="false">設定!$A$39</f>
        <v>長期（厚生年金保険経理）</v>
      </c>
      <c r="E87" s="5" t="str">
        <f aca="false">設定!$B$39&amp;""</f>
        <v>130</v>
      </c>
      <c r="F87" s="5" t="str">
        <f aca="false">設定!$D$47&amp;""</f>
        <v>2109001014</v>
      </c>
      <c r="G87" s="5" t="str">
        <f aca="false">設定!$E$47&amp;""</f>
        <v>退職標報掛金</v>
      </c>
      <c r="H87" s="5" t="n">
        <f aca="false">IF(B87="",0,N(INDEX(報告入力!$AZ$7:$AZ$696,B87)))</f>
        <v>0</v>
      </c>
      <c r="I87" s="5" t="str">
        <f aca="false">設定!$C$39&amp;""</f>
        <v>1104001001</v>
      </c>
      <c r="J87" s="5" t="str">
        <f aca="false">設定!$D$39&amp;""</f>
        <v>普広銀市役所</v>
      </c>
      <c r="K87" s="5" t="n">
        <f aca="false">IF(AND(H87&lt;&gt;0,IF(設定!$B$6="入金確認済のみ",C87="入金確認済",OR(C87="入金確認済",C87="受領済"))),1,0)</f>
        <v>0</v>
      </c>
      <c r="L87" s="5" t="str">
        <f aca="false">1&amp;"|"&amp;17</f>
        <v>1|17</v>
      </c>
      <c r="M87" s="5" t="n">
        <f aca="false">IF(L87=L86,M86,0)+K87</f>
        <v>0</v>
      </c>
      <c r="N87" s="5" t="n">
        <f aca="false">IF(AND(K87=1,M87=1),1,0)</f>
        <v>0</v>
      </c>
      <c r="O87" s="5" t="str">
        <f aca="false">IF(K87=1,MAX($O$5:O86)+1,"")</f>
        <v/>
      </c>
      <c r="P87" s="5" t="str">
        <f aca="false">IF(K87=1,SUM($N$6:N87),"")</f>
        <v/>
      </c>
      <c r="Q87" s="5" t="str">
        <f aca="false">IF(K87=1,SUMIFS($H$6:$H$511,$L$6:$L$511,L87,$K$6:$K$511,1),"")</f>
        <v/>
      </c>
      <c r="R87" s="103" t="str">
        <f aca="false">IF(B87="","",IF(INDEX(報告入力!$AB$7:$AB$696,B87)="","",INDEX(報告入力!$AB$7:$AB$696,B87)))</f>
        <v/>
      </c>
      <c r="S87" s="5" t="str">
        <f aca="false">設定!$C$47</f>
        <v>長期：退職等年金掛金</v>
      </c>
    </row>
    <row r="88" customFormat="false" ht="15" hidden="false" customHeight="false" outlineLevel="0" collapsed="false">
      <c r="A88" s="5" t="str">
        <f aca="false">設定!B77</f>
        <v>産業振興センター</v>
      </c>
      <c r="B88" s="5" t="n">
        <f aca="false">IFERROR(MATCH(ホーム!$C$4&amp;"|"&amp;A88,報告入力!$CM$7:$CM$696,0),"")</f>
        <v>339</v>
      </c>
      <c r="C88" s="5" t="str">
        <f aca="false">IF(B88="","",INDEX(報告入力!$C$7:$C$696,B88))</f>
        <v>未受領</v>
      </c>
      <c r="D88" s="5" t="str">
        <f aca="false">設定!$A$39</f>
        <v>長期（厚生年金保険経理）</v>
      </c>
      <c r="E88" s="5" t="str">
        <f aca="false">設定!$B$39&amp;""</f>
        <v>130</v>
      </c>
      <c r="F88" s="5" t="str">
        <f aca="false">設定!$D$48&amp;""</f>
        <v>6101002000</v>
      </c>
      <c r="G88" s="5" t="str">
        <f aca="false">設定!$E$48&amp;""</f>
        <v>負担地方公共</v>
      </c>
      <c r="H88" s="5" t="n">
        <f aca="false">IF(B88="",0,N(INDEX(報告入力!$BA$7:$BA$696,B88)))</f>
        <v>425475</v>
      </c>
      <c r="I88" s="5" t="str">
        <f aca="false">設定!$C$39&amp;""</f>
        <v>1104001001</v>
      </c>
      <c r="J88" s="5" t="str">
        <f aca="false">設定!$D$39&amp;""</f>
        <v>普広銀市役所</v>
      </c>
      <c r="K88" s="5" t="n">
        <f aca="false">IF(AND(H88&lt;&gt;0,IF(設定!$B$6="入金確認済のみ",C88="入金確認済",OR(C88="入金確認済",C88="受領済"))),1,0)</f>
        <v>0</v>
      </c>
      <c r="L88" s="5" t="str">
        <f aca="false">1&amp;"|"&amp;17</f>
        <v>1|17</v>
      </c>
      <c r="M88" s="5" t="n">
        <f aca="false">IF(L88=L87,M87,0)+K88</f>
        <v>0</v>
      </c>
      <c r="N88" s="5" t="n">
        <f aca="false">IF(AND(K88=1,M88=1),1,0)</f>
        <v>0</v>
      </c>
      <c r="O88" s="5" t="str">
        <f aca="false">IF(K88=1,MAX($O$5:O87)+1,"")</f>
        <v/>
      </c>
      <c r="P88" s="5" t="str">
        <f aca="false">IF(K88=1,SUM($N$6:N88),"")</f>
        <v/>
      </c>
      <c r="Q88" s="5" t="str">
        <f aca="false">IF(K88=1,SUMIFS($H$6:$H$511,$L$6:$L$511,L88,$K$6:$K$511,1),"")</f>
        <v/>
      </c>
      <c r="R88" s="103" t="str">
        <f aca="false">IF(B88="","",IF(INDEX(報告入力!$AB$7:$AB$696,B88)="","",INDEX(報告入力!$AB$7:$AB$696,B88)))</f>
        <v/>
      </c>
      <c r="S88" s="5" t="str">
        <f aca="false">設定!$C$48</f>
        <v>長期：厚生年金保険料（事業主負担分）</v>
      </c>
    </row>
    <row r="89" customFormat="false" ht="15" hidden="false" customHeight="false" outlineLevel="0" collapsed="false">
      <c r="A89" s="5" t="str">
        <f aca="false">設定!B77</f>
        <v>産業振興センター</v>
      </c>
      <c r="B89" s="5" t="n">
        <f aca="false">IFERROR(MATCH(ホーム!$C$4&amp;"|"&amp;A89,報告入力!$CM$7:$CM$696,0),"")</f>
        <v>339</v>
      </c>
      <c r="C89" s="5" t="str">
        <f aca="false">IF(B89="","",INDEX(報告入力!$C$7:$C$696,B89))</f>
        <v>未受領</v>
      </c>
      <c r="D89" s="5" t="str">
        <f aca="false">設定!$A$39</f>
        <v>長期（厚生年金保険経理）</v>
      </c>
      <c r="E89" s="5" t="str">
        <f aca="false">設定!$B$39&amp;""</f>
        <v>130</v>
      </c>
      <c r="F89" s="5" t="str">
        <f aca="false">設定!$D$49&amp;""</f>
        <v>2109001015</v>
      </c>
      <c r="G89" s="5" t="str">
        <f aca="false">設定!$E$49&amp;""</f>
        <v>退職負担地方</v>
      </c>
      <c r="H89" s="5" t="n">
        <f aca="false">IF(B89="",0,N(INDEX(報告入力!$BB$7:$BB$696,B89)))</f>
        <v>34875</v>
      </c>
      <c r="I89" s="5" t="str">
        <f aca="false">設定!$C$39&amp;""</f>
        <v>1104001001</v>
      </c>
      <c r="J89" s="5" t="str">
        <f aca="false">設定!$D$39&amp;""</f>
        <v>普広銀市役所</v>
      </c>
      <c r="K89" s="5" t="n">
        <f aca="false">IF(AND(H89&lt;&gt;0,IF(設定!$B$6="入金確認済のみ",C89="入金確認済",OR(C89="入金確認済",C89="受領済"))),1,0)</f>
        <v>0</v>
      </c>
      <c r="L89" s="5" t="str">
        <f aca="false">1&amp;"|"&amp;17</f>
        <v>1|17</v>
      </c>
      <c r="M89" s="5" t="n">
        <f aca="false">IF(L89=L88,M88,0)+K89</f>
        <v>0</v>
      </c>
      <c r="N89" s="5" t="n">
        <f aca="false">IF(AND(K89=1,M89=1),1,0)</f>
        <v>0</v>
      </c>
      <c r="O89" s="5" t="str">
        <f aca="false">IF(K89=1,MAX($O$5:O88)+1,"")</f>
        <v/>
      </c>
      <c r="P89" s="5" t="str">
        <f aca="false">IF(K89=1,SUM($N$6:N89),"")</f>
        <v/>
      </c>
      <c r="Q89" s="5" t="str">
        <f aca="false">IF(K89=1,SUMIFS($H$6:$H$511,$L$6:$L$511,L89,$K$6:$K$511,1),"")</f>
        <v/>
      </c>
      <c r="R89" s="103" t="str">
        <f aca="false">IF(B89="","",IF(INDEX(報告入力!$AB$7:$AB$696,B89)="","",INDEX(報告入力!$AB$7:$AB$696,B89)))</f>
        <v/>
      </c>
      <c r="S89" s="5" t="str">
        <f aca="false">設定!$C$49</f>
        <v>長期：退職等年金負担金</v>
      </c>
    </row>
    <row r="90" customFormat="false" ht="15" hidden="false" customHeight="false" outlineLevel="0" collapsed="false">
      <c r="A90" s="5" t="str">
        <f aca="false">設定!B77</f>
        <v>産業振興センター</v>
      </c>
      <c r="B90" s="5" t="n">
        <f aca="false">IFERROR(MATCH(ホーム!$C$4&amp;"|"&amp;A90,報告入力!$CM$7:$CM$696,0),"")</f>
        <v>339</v>
      </c>
      <c r="C90" s="5" t="str">
        <f aca="false">IF(B90="","",INDEX(報告入力!$C$7:$C$696,B90))</f>
        <v>未受領</v>
      </c>
      <c r="D90" s="5" t="str">
        <f aca="false">設定!$A$39</f>
        <v>長期（厚生年金保険経理）</v>
      </c>
      <c r="E90" s="5" t="str">
        <f aca="false">設定!$B$39&amp;""</f>
        <v>130</v>
      </c>
      <c r="F90" s="5" t="str">
        <f aca="false">設定!$D$50&amp;""</f>
        <v>2109001017</v>
      </c>
      <c r="G90" s="5" t="str">
        <f aca="false">設定!$E$50&amp;""</f>
        <v>経過的負担金</v>
      </c>
      <c r="H90" s="5" t="n">
        <f aca="false">IF(B90="",0,N(INDEX(報告入力!$BC$7:$BC$696,B90)))</f>
        <v>435</v>
      </c>
      <c r="I90" s="5" t="str">
        <f aca="false">設定!$C$39&amp;""</f>
        <v>1104001001</v>
      </c>
      <c r="J90" s="5" t="str">
        <f aca="false">設定!$D$39&amp;""</f>
        <v>普広銀市役所</v>
      </c>
      <c r="K90" s="5" t="n">
        <f aca="false">IF(AND(H90&lt;&gt;0,IF(設定!$B$6="入金確認済のみ",C90="入金確認済",OR(C90="入金確認済",C90="受領済"))),1,0)</f>
        <v>0</v>
      </c>
      <c r="L90" s="5" t="str">
        <f aca="false">1&amp;"|"&amp;17</f>
        <v>1|17</v>
      </c>
      <c r="M90" s="5" t="n">
        <f aca="false">IF(L90=L89,M89,0)+K90</f>
        <v>0</v>
      </c>
      <c r="N90" s="5" t="n">
        <f aca="false">IF(AND(K90=1,M90=1),1,0)</f>
        <v>0</v>
      </c>
      <c r="O90" s="5" t="str">
        <f aca="false">IF(K90=1,MAX($O$5:O89)+1,"")</f>
        <v/>
      </c>
      <c r="P90" s="5" t="str">
        <f aca="false">IF(K90=1,SUM($N$6:N90),"")</f>
        <v/>
      </c>
      <c r="Q90" s="5" t="str">
        <f aca="false">IF(K90=1,SUMIFS($H$6:$H$511,$L$6:$L$511,L90,$K$6:$K$511,1),"")</f>
        <v/>
      </c>
      <c r="R90" s="103" t="str">
        <f aca="false">IF(B90="","",IF(INDEX(報告入力!$AB$7:$AB$696,B90)="","",INDEX(報告入力!$AB$7:$AB$696,B90)))</f>
        <v/>
      </c>
      <c r="S90" s="5" t="str">
        <f aca="false">設定!$C$50</f>
        <v>長期：経過的長期</v>
      </c>
    </row>
    <row r="91" customFormat="false" ht="15" hidden="false" customHeight="false" outlineLevel="0" collapsed="false">
      <c r="A91" s="5" t="str">
        <f aca="false">設定!B78</f>
        <v>ひろしま産業振興</v>
      </c>
      <c r="B91" s="5" t="n">
        <f aca="false">IFERROR(MATCH(ホーム!$C$4&amp;"|"&amp;A91,報告入力!$CM$7:$CM$696,0),"")</f>
        <v>340</v>
      </c>
      <c r="C91" s="5" t="str">
        <f aca="false">IF(B91="","",INDEX(報告入力!$C$7:$C$696,B91))</f>
        <v>未受領</v>
      </c>
      <c r="D91" s="5" t="str">
        <f aca="false">設定!$A$39</f>
        <v>長期（厚生年金保険経理）</v>
      </c>
      <c r="E91" s="5" t="str">
        <f aca="false">設定!$B$39&amp;""</f>
        <v>130</v>
      </c>
      <c r="F91" s="5" t="str">
        <f aca="false">設定!$D$46&amp;""</f>
        <v>6102102000</v>
      </c>
      <c r="G91" s="5" t="str">
        <f aca="false">設定!$E$46&amp;""</f>
        <v>標月額保険料</v>
      </c>
      <c r="H91" s="5" t="n">
        <f aca="false">IF(B91="",0,N(INDEX(報告入力!$AY$7:$AY$696,B91)))</f>
        <v>0</v>
      </c>
      <c r="I91" s="5" t="str">
        <f aca="false">設定!$C$39&amp;""</f>
        <v>1104001001</v>
      </c>
      <c r="J91" s="5" t="str">
        <f aca="false">設定!$D$39&amp;""</f>
        <v>普広銀市役所</v>
      </c>
      <c r="K91" s="5" t="n">
        <f aca="false">IF(AND(H91&lt;&gt;0,IF(設定!$B$6="入金確認済のみ",C91="入金確認済",OR(C91="入金確認済",C91="受領済"))),1,0)</f>
        <v>0</v>
      </c>
      <c r="L91" s="5" t="str">
        <f aca="false">1&amp;"|"&amp;18</f>
        <v>1|18</v>
      </c>
      <c r="M91" s="5" t="n">
        <f aca="false">IF(L91=L90,M90,0)+K91</f>
        <v>0</v>
      </c>
      <c r="N91" s="5" t="n">
        <f aca="false">IF(AND(K91=1,M91=1),1,0)</f>
        <v>0</v>
      </c>
      <c r="O91" s="5" t="str">
        <f aca="false">IF(K91=1,MAX($O$5:O90)+1,"")</f>
        <v/>
      </c>
      <c r="P91" s="5" t="str">
        <f aca="false">IF(K91=1,SUM($N$6:N91),"")</f>
        <v/>
      </c>
      <c r="Q91" s="5" t="str">
        <f aca="false">IF(K91=1,SUMIFS($H$6:$H$511,$L$6:$L$511,L91,$K$6:$K$511,1),"")</f>
        <v/>
      </c>
      <c r="R91" s="103" t="str">
        <f aca="false">IF(B91="","",IF(INDEX(報告入力!$AB$7:$AB$696,B91)="","",INDEX(報告入力!$AB$7:$AB$696,B91)))</f>
        <v/>
      </c>
      <c r="S91" s="5" t="str">
        <f aca="false">設定!$C$46</f>
        <v>長期：厚生年金保険料（組合員負担分）</v>
      </c>
    </row>
    <row r="92" customFormat="false" ht="15" hidden="false" customHeight="false" outlineLevel="0" collapsed="false">
      <c r="A92" s="5" t="str">
        <f aca="false">設定!B78</f>
        <v>ひろしま産業振興</v>
      </c>
      <c r="B92" s="5" t="n">
        <f aca="false">IFERROR(MATCH(ホーム!$C$4&amp;"|"&amp;A92,報告入力!$CM$7:$CM$696,0),"")</f>
        <v>340</v>
      </c>
      <c r="C92" s="5" t="str">
        <f aca="false">IF(B92="","",INDEX(報告入力!$C$7:$C$696,B92))</f>
        <v>未受領</v>
      </c>
      <c r="D92" s="5" t="str">
        <f aca="false">設定!$A$39</f>
        <v>長期（厚生年金保険経理）</v>
      </c>
      <c r="E92" s="5" t="str">
        <f aca="false">設定!$B$39&amp;""</f>
        <v>130</v>
      </c>
      <c r="F92" s="5" t="str">
        <f aca="false">設定!$D$47&amp;""</f>
        <v>2109001014</v>
      </c>
      <c r="G92" s="5" t="str">
        <f aca="false">設定!$E$47&amp;""</f>
        <v>退職標報掛金</v>
      </c>
      <c r="H92" s="5" t="n">
        <f aca="false">IF(B92="",0,N(INDEX(報告入力!$AZ$7:$AZ$696,B92)))</f>
        <v>0</v>
      </c>
      <c r="I92" s="5" t="str">
        <f aca="false">設定!$C$39&amp;""</f>
        <v>1104001001</v>
      </c>
      <c r="J92" s="5" t="str">
        <f aca="false">設定!$D$39&amp;""</f>
        <v>普広銀市役所</v>
      </c>
      <c r="K92" s="5" t="n">
        <f aca="false">IF(AND(H92&lt;&gt;0,IF(設定!$B$6="入金確認済のみ",C92="入金確認済",OR(C92="入金確認済",C92="受領済"))),1,0)</f>
        <v>0</v>
      </c>
      <c r="L92" s="5" t="str">
        <f aca="false">1&amp;"|"&amp;18</f>
        <v>1|18</v>
      </c>
      <c r="M92" s="5" t="n">
        <f aca="false">IF(L92=L91,M91,0)+K92</f>
        <v>0</v>
      </c>
      <c r="N92" s="5" t="n">
        <f aca="false">IF(AND(K92=1,M92=1),1,0)</f>
        <v>0</v>
      </c>
      <c r="O92" s="5" t="str">
        <f aca="false">IF(K92=1,MAX($O$5:O91)+1,"")</f>
        <v/>
      </c>
      <c r="P92" s="5" t="str">
        <f aca="false">IF(K92=1,SUM($N$6:N92),"")</f>
        <v/>
      </c>
      <c r="Q92" s="5" t="str">
        <f aca="false">IF(K92=1,SUMIFS($H$6:$H$511,$L$6:$L$511,L92,$K$6:$K$511,1),"")</f>
        <v/>
      </c>
      <c r="R92" s="103" t="str">
        <f aca="false">IF(B92="","",IF(INDEX(報告入力!$AB$7:$AB$696,B92)="","",INDEX(報告入力!$AB$7:$AB$696,B92)))</f>
        <v/>
      </c>
      <c r="S92" s="5" t="str">
        <f aca="false">設定!$C$47</f>
        <v>長期：退職等年金掛金</v>
      </c>
    </row>
    <row r="93" customFormat="false" ht="15" hidden="false" customHeight="false" outlineLevel="0" collapsed="false">
      <c r="A93" s="5" t="str">
        <f aca="false">設定!B78</f>
        <v>ひろしま産業振興</v>
      </c>
      <c r="B93" s="5" t="n">
        <f aca="false">IFERROR(MATCH(ホーム!$C$4&amp;"|"&amp;A93,報告入力!$CM$7:$CM$696,0),"")</f>
        <v>340</v>
      </c>
      <c r="C93" s="5" t="str">
        <f aca="false">IF(B93="","",INDEX(報告入力!$C$7:$C$696,B93))</f>
        <v>未受領</v>
      </c>
      <c r="D93" s="5" t="str">
        <f aca="false">設定!$A$39</f>
        <v>長期（厚生年金保険経理）</v>
      </c>
      <c r="E93" s="5" t="str">
        <f aca="false">設定!$B$39&amp;""</f>
        <v>130</v>
      </c>
      <c r="F93" s="5" t="str">
        <f aca="false">設定!$D$48&amp;""</f>
        <v>6101002000</v>
      </c>
      <c r="G93" s="5" t="str">
        <f aca="false">設定!$E$48&amp;""</f>
        <v>負担地方公共</v>
      </c>
      <c r="H93" s="5" t="n">
        <f aca="false">IF(B93="",0,N(INDEX(報告入力!$BA$7:$BA$696,B93)))</f>
        <v>86010</v>
      </c>
      <c r="I93" s="5" t="str">
        <f aca="false">設定!$C$39&amp;""</f>
        <v>1104001001</v>
      </c>
      <c r="J93" s="5" t="str">
        <f aca="false">設定!$D$39&amp;""</f>
        <v>普広銀市役所</v>
      </c>
      <c r="K93" s="5" t="n">
        <f aca="false">IF(AND(H93&lt;&gt;0,IF(設定!$B$6="入金確認済のみ",C93="入金確認済",OR(C93="入金確認済",C93="受領済"))),1,0)</f>
        <v>0</v>
      </c>
      <c r="L93" s="5" t="str">
        <f aca="false">1&amp;"|"&amp;18</f>
        <v>1|18</v>
      </c>
      <c r="M93" s="5" t="n">
        <f aca="false">IF(L93=L92,M92,0)+K93</f>
        <v>0</v>
      </c>
      <c r="N93" s="5" t="n">
        <f aca="false">IF(AND(K93=1,M93=1),1,0)</f>
        <v>0</v>
      </c>
      <c r="O93" s="5" t="str">
        <f aca="false">IF(K93=1,MAX($O$5:O92)+1,"")</f>
        <v/>
      </c>
      <c r="P93" s="5" t="str">
        <f aca="false">IF(K93=1,SUM($N$6:N93),"")</f>
        <v/>
      </c>
      <c r="Q93" s="5" t="str">
        <f aca="false">IF(K93=1,SUMIFS($H$6:$H$511,$L$6:$L$511,L93,$K$6:$K$511,1),"")</f>
        <v/>
      </c>
      <c r="R93" s="103" t="str">
        <f aca="false">IF(B93="","",IF(INDEX(報告入力!$AB$7:$AB$696,B93)="","",INDEX(報告入力!$AB$7:$AB$696,B93)))</f>
        <v/>
      </c>
      <c r="S93" s="5" t="str">
        <f aca="false">設定!$C$48</f>
        <v>長期：厚生年金保険料（事業主負担分）</v>
      </c>
    </row>
    <row r="94" customFormat="false" ht="15" hidden="false" customHeight="false" outlineLevel="0" collapsed="false">
      <c r="A94" s="5" t="str">
        <f aca="false">設定!B78</f>
        <v>ひろしま産業振興</v>
      </c>
      <c r="B94" s="5" t="n">
        <f aca="false">IFERROR(MATCH(ホーム!$C$4&amp;"|"&amp;A94,報告入力!$CM$7:$CM$696,0),"")</f>
        <v>340</v>
      </c>
      <c r="C94" s="5" t="str">
        <f aca="false">IF(B94="","",INDEX(報告入力!$C$7:$C$696,B94))</f>
        <v>未受領</v>
      </c>
      <c r="D94" s="5" t="str">
        <f aca="false">設定!$A$39</f>
        <v>長期（厚生年金保険経理）</v>
      </c>
      <c r="E94" s="5" t="str">
        <f aca="false">設定!$B$39&amp;""</f>
        <v>130</v>
      </c>
      <c r="F94" s="5" t="str">
        <f aca="false">設定!$D$49&amp;""</f>
        <v>2109001015</v>
      </c>
      <c r="G94" s="5" t="str">
        <f aca="false">設定!$E$49&amp;""</f>
        <v>退職負担地方</v>
      </c>
      <c r="H94" s="5" t="n">
        <f aca="false">IF(B94="",0,N(INDEX(報告入力!$BB$7:$BB$696,B94)))</f>
        <v>7050</v>
      </c>
      <c r="I94" s="5" t="str">
        <f aca="false">設定!$C$39&amp;""</f>
        <v>1104001001</v>
      </c>
      <c r="J94" s="5" t="str">
        <f aca="false">設定!$D$39&amp;""</f>
        <v>普広銀市役所</v>
      </c>
      <c r="K94" s="5" t="n">
        <f aca="false">IF(AND(H94&lt;&gt;0,IF(設定!$B$6="入金確認済のみ",C94="入金確認済",OR(C94="入金確認済",C94="受領済"))),1,0)</f>
        <v>0</v>
      </c>
      <c r="L94" s="5" t="str">
        <f aca="false">1&amp;"|"&amp;18</f>
        <v>1|18</v>
      </c>
      <c r="M94" s="5" t="n">
        <f aca="false">IF(L94=L93,M93,0)+K94</f>
        <v>0</v>
      </c>
      <c r="N94" s="5" t="n">
        <f aca="false">IF(AND(K94=1,M94=1),1,0)</f>
        <v>0</v>
      </c>
      <c r="O94" s="5" t="str">
        <f aca="false">IF(K94=1,MAX($O$5:O93)+1,"")</f>
        <v/>
      </c>
      <c r="P94" s="5" t="str">
        <f aca="false">IF(K94=1,SUM($N$6:N94),"")</f>
        <v/>
      </c>
      <c r="Q94" s="5" t="str">
        <f aca="false">IF(K94=1,SUMIFS($H$6:$H$511,$L$6:$L$511,L94,$K$6:$K$511,1),"")</f>
        <v/>
      </c>
      <c r="R94" s="103" t="str">
        <f aca="false">IF(B94="","",IF(INDEX(報告入力!$AB$7:$AB$696,B94)="","",INDEX(報告入力!$AB$7:$AB$696,B94)))</f>
        <v/>
      </c>
      <c r="S94" s="5" t="str">
        <f aca="false">設定!$C$49</f>
        <v>長期：退職等年金負担金</v>
      </c>
    </row>
    <row r="95" customFormat="false" ht="15" hidden="false" customHeight="false" outlineLevel="0" collapsed="false">
      <c r="A95" s="5" t="str">
        <f aca="false">設定!B78</f>
        <v>ひろしま産業振興</v>
      </c>
      <c r="B95" s="5" t="n">
        <f aca="false">IFERROR(MATCH(ホーム!$C$4&amp;"|"&amp;A95,報告入力!$CM$7:$CM$696,0),"")</f>
        <v>340</v>
      </c>
      <c r="C95" s="5" t="str">
        <f aca="false">IF(B95="","",INDEX(報告入力!$C$7:$C$696,B95))</f>
        <v>未受領</v>
      </c>
      <c r="D95" s="5" t="str">
        <f aca="false">設定!$A$39</f>
        <v>長期（厚生年金保険経理）</v>
      </c>
      <c r="E95" s="5" t="str">
        <f aca="false">設定!$B$39&amp;""</f>
        <v>130</v>
      </c>
      <c r="F95" s="5" t="str">
        <f aca="false">設定!$D$50&amp;""</f>
        <v>2109001017</v>
      </c>
      <c r="G95" s="5" t="str">
        <f aca="false">設定!$E$50&amp;""</f>
        <v>経過的負担金</v>
      </c>
      <c r="H95" s="5" t="n">
        <f aca="false">IF(B95="",0,N(INDEX(報告入力!$BC$7:$BC$696,B95)))</f>
        <v>88</v>
      </c>
      <c r="I95" s="5" t="str">
        <f aca="false">設定!$C$39&amp;""</f>
        <v>1104001001</v>
      </c>
      <c r="J95" s="5" t="str">
        <f aca="false">設定!$D$39&amp;""</f>
        <v>普広銀市役所</v>
      </c>
      <c r="K95" s="5" t="n">
        <f aca="false">IF(AND(H95&lt;&gt;0,IF(設定!$B$6="入金確認済のみ",C95="入金確認済",OR(C95="入金確認済",C95="受領済"))),1,0)</f>
        <v>0</v>
      </c>
      <c r="L95" s="5" t="str">
        <f aca="false">1&amp;"|"&amp;18</f>
        <v>1|18</v>
      </c>
      <c r="M95" s="5" t="n">
        <f aca="false">IF(L95=L94,M94,0)+K95</f>
        <v>0</v>
      </c>
      <c r="N95" s="5" t="n">
        <f aca="false">IF(AND(K95=1,M95=1),1,0)</f>
        <v>0</v>
      </c>
      <c r="O95" s="5" t="str">
        <f aca="false">IF(K95=1,MAX($O$5:O94)+1,"")</f>
        <v/>
      </c>
      <c r="P95" s="5" t="str">
        <f aca="false">IF(K95=1,SUM($N$6:N95),"")</f>
        <v/>
      </c>
      <c r="Q95" s="5" t="str">
        <f aca="false">IF(K95=1,SUMIFS($H$6:$H$511,$L$6:$L$511,L95,$K$6:$K$511,1),"")</f>
        <v/>
      </c>
      <c r="R95" s="103" t="str">
        <f aca="false">IF(B95="","",IF(INDEX(報告入力!$AB$7:$AB$696,B95)="","",INDEX(報告入力!$AB$7:$AB$696,B95)))</f>
        <v/>
      </c>
      <c r="S95" s="5" t="str">
        <f aca="false">設定!$C$50</f>
        <v>長期：経過的長期</v>
      </c>
    </row>
    <row r="96" customFormat="false" ht="15" hidden="false" customHeight="false" outlineLevel="0" collapsed="false">
      <c r="A96" s="5" t="str">
        <f aca="false">設定!B79</f>
        <v>都市整備公社　市</v>
      </c>
      <c r="B96" s="5" t="n">
        <f aca="false">IFERROR(MATCH(ホーム!$C$4&amp;"|"&amp;A96,報告入力!$CM$7:$CM$696,0),"")</f>
        <v>341</v>
      </c>
      <c r="C96" s="5" t="str">
        <f aca="false">IF(B96="","",INDEX(報告入力!$C$7:$C$696,B96))</f>
        <v>未受領</v>
      </c>
      <c r="D96" s="5" t="str">
        <f aca="false">設定!$A$39</f>
        <v>長期（厚生年金保険経理）</v>
      </c>
      <c r="E96" s="5" t="str">
        <f aca="false">設定!$B$39&amp;""</f>
        <v>130</v>
      </c>
      <c r="F96" s="5" t="str">
        <f aca="false">設定!$D$46&amp;""</f>
        <v>6102102000</v>
      </c>
      <c r="G96" s="5" t="str">
        <f aca="false">設定!$E$46&amp;""</f>
        <v>標月額保険料</v>
      </c>
      <c r="H96" s="5" t="n">
        <f aca="false">IF(B96="",0,N(INDEX(報告入力!$AY$7:$AY$696,B96)))</f>
        <v>0</v>
      </c>
      <c r="I96" s="5" t="str">
        <f aca="false">設定!$C$39&amp;""</f>
        <v>1104001001</v>
      </c>
      <c r="J96" s="5" t="str">
        <f aca="false">設定!$D$39&amp;""</f>
        <v>普広銀市役所</v>
      </c>
      <c r="K96" s="5" t="n">
        <f aca="false">IF(AND(H96&lt;&gt;0,IF(設定!$B$6="入金確認済のみ",C96="入金確認済",OR(C96="入金確認済",C96="受領済"))),1,0)</f>
        <v>0</v>
      </c>
      <c r="L96" s="5" t="str">
        <f aca="false">1&amp;"|"&amp;19</f>
        <v>1|19</v>
      </c>
      <c r="M96" s="5" t="n">
        <f aca="false">IF(L96=L95,M95,0)+K96</f>
        <v>0</v>
      </c>
      <c r="N96" s="5" t="n">
        <f aca="false">IF(AND(K96=1,M96=1),1,0)</f>
        <v>0</v>
      </c>
      <c r="O96" s="5" t="str">
        <f aca="false">IF(K96=1,MAX($O$5:O95)+1,"")</f>
        <v/>
      </c>
      <c r="P96" s="5" t="str">
        <f aca="false">IF(K96=1,SUM($N$6:N96),"")</f>
        <v/>
      </c>
      <c r="Q96" s="5" t="str">
        <f aca="false">IF(K96=1,SUMIFS($H$6:$H$511,$L$6:$L$511,L96,$K$6:$K$511,1),"")</f>
        <v/>
      </c>
      <c r="R96" s="103" t="str">
        <f aca="false">IF(B96="","",IF(INDEX(報告入力!$AB$7:$AB$696,B96)="","",INDEX(報告入力!$AB$7:$AB$696,B96)))</f>
        <v/>
      </c>
      <c r="S96" s="5" t="str">
        <f aca="false">設定!$C$46</f>
        <v>長期：厚生年金保険料（組合員負担分）</v>
      </c>
    </row>
    <row r="97" customFormat="false" ht="15" hidden="false" customHeight="false" outlineLevel="0" collapsed="false">
      <c r="A97" s="5" t="str">
        <f aca="false">設定!B79</f>
        <v>都市整備公社　市</v>
      </c>
      <c r="B97" s="5" t="n">
        <f aca="false">IFERROR(MATCH(ホーム!$C$4&amp;"|"&amp;A97,報告入力!$CM$7:$CM$696,0),"")</f>
        <v>341</v>
      </c>
      <c r="C97" s="5" t="str">
        <f aca="false">IF(B97="","",INDEX(報告入力!$C$7:$C$696,B97))</f>
        <v>未受領</v>
      </c>
      <c r="D97" s="5" t="str">
        <f aca="false">設定!$A$39</f>
        <v>長期（厚生年金保険経理）</v>
      </c>
      <c r="E97" s="5" t="str">
        <f aca="false">設定!$B$39&amp;""</f>
        <v>130</v>
      </c>
      <c r="F97" s="5" t="str">
        <f aca="false">設定!$D$47&amp;""</f>
        <v>2109001014</v>
      </c>
      <c r="G97" s="5" t="str">
        <f aca="false">設定!$E$47&amp;""</f>
        <v>退職標報掛金</v>
      </c>
      <c r="H97" s="5" t="n">
        <f aca="false">IF(B97="",0,N(INDEX(報告入力!$AZ$7:$AZ$696,B97)))</f>
        <v>0</v>
      </c>
      <c r="I97" s="5" t="str">
        <f aca="false">設定!$C$39&amp;""</f>
        <v>1104001001</v>
      </c>
      <c r="J97" s="5" t="str">
        <f aca="false">設定!$D$39&amp;""</f>
        <v>普広銀市役所</v>
      </c>
      <c r="K97" s="5" t="n">
        <f aca="false">IF(AND(H97&lt;&gt;0,IF(設定!$B$6="入金確認済のみ",C97="入金確認済",OR(C97="入金確認済",C97="受領済"))),1,0)</f>
        <v>0</v>
      </c>
      <c r="L97" s="5" t="str">
        <f aca="false">1&amp;"|"&amp;19</f>
        <v>1|19</v>
      </c>
      <c r="M97" s="5" t="n">
        <f aca="false">IF(L97=L96,M96,0)+K97</f>
        <v>0</v>
      </c>
      <c r="N97" s="5" t="n">
        <f aca="false">IF(AND(K97=1,M97=1),1,0)</f>
        <v>0</v>
      </c>
      <c r="O97" s="5" t="str">
        <f aca="false">IF(K97=1,MAX($O$5:O96)+1,"")</f>
        <v/>
      </c>
      <c r="P97" s="5" t="str">
        <f aca="false">IF(K97=1,SUM($N$6:N97),"")</f>
        <v/>
      </c>
      <c r="Q97" s="5" t="str">
        <f aca="false">IF(K97=1,SUMIFS($H$6:$H$511,$L$6:$L$511,L97,$K$6:$K$511,1),"")</f>
        <v/>
      </c>
      <c r="R97" s="103" t="str">
        <f aca="false">IF(B97="","",IF(INDEX(報告入力!$AB$7:$AB$696,B97)="","",INDEX(報告入力!$AB$7:$AB$696,B97)))</f>
        <v/>
      </c>
      <c r="S97" s="5" t="str">
        <f aca="false">設定!$C$47</f>
        <v>長期：退職等年金掛金</v>
      </c>
    </row>
    <row r="98" customFormat="false" ht="15" hidden="false" customHeight="false" outlineLevel="0" collapsed="false">
      <c r="A98" s="5" t="str">
        <f aca="false">設定!B79</f>
        <v>都市整備公社　市</v>
      </c>
      <c r="B98" s="5" t="n">
        <f aca="false">IFERROR(MATCH(ホーム!$C$4&amp;"|"&amp;A98,報告入力!$CM$7:$CM$696,0),"")</f>
        <v>341</v>
      </c>
      <c r="C98" s="5" t="str">
        <f aca="false">IF(B98="","",INDEX(報告入力!$C$7:$C$696,B98))</f>
        <v>未受領</v>
      </c>
      <c r="D98" s="5" t="str">
        <f aca="false">設定!$A$39</f>
        <v>長期（厚生年金保険経理）</v>
      </c>
      <c r="E98" s="5" t="str">
        <f aca="false">設定!$B$39&amp;""</f>
        <v>130</v>
      </c>
      <c r="F98" s="5" t="str">
        <f aca="false">設定!$D$48&amp;""</f>
        <v>6101002000</v>
      </c>
      <c r="G98" s="5" t="str">
        <f aca="false">設定!$E$48&amp;""</f>
        <v>負担地方公共</v>
      </c>
      <c r="H98" s="5" t="n">
        <f aca="false">IF(B98="",0,N(INDEX(報告入力!$BA$7:$BA$696,B98)))</f>
        <v>48495</v>
      </c>
      <c r="I98" s="5" t="str">
        <f aca="false">設定!$C$39&amp;""</f>
        <v>1104001001</v>
      </c>
      <c r="J98" s="5" t="str">
        <f aca="false">設定!$D$39&amp;""</f>
        <v>普広銀市役所</v>
      </c>
      <c r="K98" s="5" t="n">
        <f aca="false">IF(AND(H98&lt;&gt;0,IF(設定!$B$6="入金確認済のみ",C98="入金確認済",OR(C98="入金確認済",C98="受領済"))),1,0)</f>
        <v>0</v>
      </c>
      <c r="L98" s="5" t="str">
        <f aca="false">1&amp;"|"&amp;19</f>
        <v>1|19</v>
      </c>
      <c r="M98" s="5" t="n">
        <f aca="false">IF(L98=L97,M97,0)+K98</f>
        <v>0</v>
      </c>
      <c r="N98" s="5" t="n">
        <f aca="false">IF(AND(K98=1,M98=1),1,0)</f>
        <v>0</v>
      </c>
      <c r="O98" s="5" t="str">
        <f aca="false">IF(K98=1,MAX($O$5:O97)+1,"")</f>
        <v/>
      </c>
      <c r="P98" s="5" t="str">
        <f aca="false">IF(K98=1,SUM($N$6:N98),"")</f>
        <v/>
      </c>
      <c r="Q98" s="5" t="str">
        <f aca="false">IF(K98=1,SUMIFS($H$6:$H$511,$L$6:$L$511,L98,$K$6:$K$511,1),"")</f>
        <v/>
      </c>
      <c r="R98" s="103" t="str">
        <f aca="false">IF(B98="","",IF(INDEX(報告入力!$AB$7:$AB$696,B98)="","",INDEX(報告入力!$AB$7:$AB$696,B98)))</f>
        <v/>
      </c>
      <c r="S98" s="5" t="str">
        <f aca="false">設定!$C$48</f>
        <v>長期：厚生年金保険料（事業主負担分）</v>
      </c>
    </row>
    <row r="99" customFormat="false" ht="15" hidden="false" customHeight="false" outlineLevel="0" collapsed="false">
      <c r="A99" s="5" t="str">
        <f aca="false">設定!B79</f>
        <v>都市整備公社　市</v>
      </c>
      <c r="B99" s="5" t="n">
        <f aca="false">IFERROR(MATCH(ホーム!$C$4&amp;"|"&amp;A99,報告入力!$CM$7:$CM$696,0),"")</f>
        <v>341</v>
      </c>
      <c r="C99" s="5" t="str">
        <f aca="false">IF(B99="","",INDEX(報告入力!$C$7:$C$696,B99))</f>
        <v>未受領</v>
      </c>
      <c r="D99" s="5" t="str">
        <f aca="false">設定!$A$39</f>
        <v>長期（厚生年金保険経理）</v>
      </c>
      <c r="E99" s="5" t="str">
        <f aca="false">設定!$B$39&amp;""</f>
        <v>130</v>
      </c>
      <c r="F99" s="5" t="str">
        <f aca="false">設定!$D$49&amp;""</f>
        <v>2109001015</v>
      </c>
      <c r="G99" s="5" t="str">
        <f aca="false">設定!$E$49&amp;""</f>
        <v>退職負担地方</v>
      </c>
      <c r="H99" s="5" t="n">
        <f aca="false">IF(B99="",0,N(INDEX(報告入力!$BB$7:$BB$696,B99)))</f>
        <v>3975</v>
      </c>
      <c r="I99" s="5" t="str">
        <f aca="false">設定!$C$39&amp;""</f>
        <v>1104001001</v>
      </c>
      <c r="J99" s="5" t="str">
        <f aca="false">設定!$D$39&amp;""</f>
        <v>普広銀市役所</v>
      </c>
      <c r="K99" s="5" t="n">
        <f aca="false">IF(AND(H99&lt;&gt;0,IF(設定!$B$6="入金確認済のみ",C99="入金確認済",OR(C99="入金確認済",C99="受領済"))),1,0)</f>
        <v>0</v>
      </c>
      <c r="L99" s="5" t="str">
        <f aca="false">1&amp;"|"&amp;19</f>
        <v>1|19</v>
      </c>
      <c r="M99" s="5" t="n">
        <f aca="false">IF(L99=L98,M98,0)+K99</f>
        <v>0</v>
      </c>
      <c r="N99" s="5" t="n">
        <f aca="false">IF(AND(K99=1,M99=1),1,0)</f>
        <v>0</v>
      </c>
      <c r="O99" s="5" t="str">
        <f aca="false">IF(K99=1,MAX($O$5:O98)+1,"")</f>
        <v/>
      </c>
      <c r="P99" s="5" t="str">
        <f aca="false">IF(K99=1,SUM($N$6:N99),"")</f>
        <v/>
      </c>
      <c r="Q99" s="5" t="str">
        <f aca="false">IF(K99=1,SUMIFS($H$6:$H$511,$L$6:$L$511,L99,$K$6:$K$511,1),"")</f>
        <v/>
      </c>
      <c r="R99" s="103" t="str">
        <f aca="false">IF(B99="","",IF(INDEX(報告入力!$AB$7:$AB$696,B99)="","",INDEX(報告入力!$AB$7:$AB$696,B99)))</f>
        <v/>
      </c>
      <c r="S99" s="5" t="str">
        <f aca="false">設定!$C$49</f>
        <v>長期：退職等年金負担金</v>
      </c>
    </row>
    <row r="100" customFormat="false" ht="15" hidden="false" customHeight="false" outlineLevel="0" collapsed="false">
      <c r="A100" s="5" t="str">
        <f aca="false">設定!B79</f>
        <v>都市整備公社　市</v>
      </c>
      <c r="B100" s="5" t="n">
        <f aca="false">IFERROR(MATCH(ホーム!$C$4&amp;"|"&amp;A100,報告入力!$CM$7:$CM$696,0),"")</f>
        <v>341</v>
      </c>
      <c r="C100" s="5" t="str">
        <f aca="false">IF(B100="","",INDEX(報告入力!$C$7:$C$696,B100))</f>
        <v>未受領</v>
      </c>
      <c r="D100" s="5" t="str">
        <f aca="false">設定!$A$39</f>
        <v>長期（厚生年金保険経理）</v>
      </c>
      <c r="E100" s="5" t="str">
        <f aca="false">設定!$B$39&amp;""</f>
        <v>130</v>
      </c>
      <c r="F100" s="5" t="str">
        <f aca="false">設定!$D$50&amp;""</f>
        <v>2109001017</v>
      </c>
      <c r="G100" s="5" t="str">
        <f aca="false">設定!$E$50&amp;""</f>
        <v>経過的負担金</v>
      </c>
      <c r="H100" s="5" t="n">
        <f aca="false">IF(B100="",0,N(INDEX(報告入力!$BC$7:$BC$696,B100)))</f>
        <v>49</v>
      </c>
      <c r="I100" s="5" t="str">
        <f aca="false">設定!$C$39&amp;""</f>
        <v>1104001001</v>
      </c>
      <c r="J100" s="5" t="str">
        <f aca="false">設定!$D$39&amp;""</f>
        <v>普広銀市役所</v>
      </c>
      <c r="K100" s="5" t="n">
        <f aca="false">IF(AND(H100&lt;&gt;0,IF(設定!$B$6="入金確認済のみ",C100="入金確認済",OR(C100="入金確認済",C100="受領済"))),1,0)</f>
        <v>0</v>
      </c>
      <c r="L100" s="5" t="str">
        <f aca="false">1&amp;"|"&amp;19</f>
        <v>1|19</v>
      </c>
      <c r="M100" s="5" t="n">
        <f aca="false">IF(L100=L99,M99,0)+K100</f>
        <v>0</v>
      </c>
      <c r="N100" s="5" t="n">
        <f aca="false">IF(AND(K100=1,M100=1),1,0)</f>
        <v>0</v>
      </c>
      <c r="O100" s="5" t="str">
        <f aca="false">IF(K100=1,MAX($O$5:O99)+1,"")</f>
        <v/>
      </c>
      <c r="P100" s="5" t="str">
        <f aca="false">IF(K100=1,SUM($N$6:N100),"")</f>
        <v/>
      </c>
      <c r="Q100" s="5" t="str">
        <f aca="false">IF(K100=1,SUMIFS($H$6:$H$511,$L$6:$L$511,L100,$K$6:$K$511,1),"")</f>
        <v/>
      </c>
      <c r="R100" s="103" t="str">
        <f aca="false">IF(B100="","",IF(INDEX(報告入力!$AB$7:$AB$696,B100)="","",INDEX(報告入力!$AB$7:$AB$696,B100)))</f>
        <v/>
      </c>
      <c r="S100" s="5" t="str">
        <f aca="false">設定!$C$50</f>
        <v>長期：経過的長期</v>
      </c>
    </row>
    <row r="101" customFormat="false" ht="15" hidden="false" customHeight="false" outlineLevel="0" collapsed="false">
      <c r="A101" s="5" t="str">
        <f aca="false">設定!B80</f>
        <v>都市整備公社　消防</v>
      </c>
      <c r="B101" s="5" t="n">
        <f aca="false">IFERROR(MATCH(ホーム!$C$4&amp;"|"&amp;A101,報告入力!$CM$7:$CM$696,0),"")</f>
        <v>342</v>
      </c>
      <c r="C101" s="5" t="str">
        <f aca="false">IF(B101="","",INDEX(報告入力!$C$7:$C$696,B101))</f>
        <v>未受領</v>
      </c>
      <c r="D101" s="5" t="str">
        <f aca="false">設定!$A$39</f>
        <v>長期（厚生年金保険経理）</v>
      </c>
      <c r="E101" s="5" t="str">
        <f aca="false">設定!$B$39&amp;""</f>
        <v>130</v>
      </c>
      <c r="F101" s="5" t="str">
        <f aca="false">設定!$D$46&amp;""</f>
        <v>6102102000</v>
      </c>
      <c r="G101" s="5" t="str">
        <f aca="false">設定!$E$46&amp;""</f>
        <v>標月額保険料</v>
      </c>
      <c r="H101" s="5" t="n">
        <f aca="false">IF(B101="",0,N(INDEX(報告入力!$AY$7:$AY$696,B101)))</f>
        <v>0</v>
      </c>
      <c r="I101" s="5" t="str">
        <f aca="false">設定!$C$39&amp;""</f>
        <v>1104001001</v>
      </c>
      <c r="J101" s="5" t="str">
        <f aca="false">設定!$D$39&amp;""</f>
        <v>普広銀市役所</v>
      </c>
      <c r="K101" s="5" t="n">
        <f aca="false">IF(AND(H101&lt;&gt;0,IF(設定!$B$6="入金確認済のみ",C101="入金確認済",OR(C101="入金確認済",C101="受領済"))),1,0)</f>
        <v>0</v>
      </c>
      <c r="L101" s="5" t="str">
        <f aca="false">1&amp;"|"&amp;20</f>
        <v>1|20</v>
      </c>
      <c r="M101" s="5" t="n">
        <f aca="false">IF(L101=L100,M100,0)+K101</f>
        <v>0</v>
      </c>
      <c r="N101" s="5" t="n">
        <f aca="false">IF(AND(K101=1,M101=1),1,0)</f>
        <v>0</v>
      </c>
      <c r="O101" s="5" t="str">
        <f aca="false">IF(K101=1,MAX($O$5:O100)+1,"")</f>
        <v/>
      </c>
      <c r="P101" s="5" t="str">
        <f aca="false">IF(K101=1,SUM($N$6:N101),"")</f>
        <v/>
      </c>
      <c r="Q101" s="5" t="str">
        <f aca="false">IF(K101=1,SUMIFS($H$6:$H$511,$L$6:$L$511,L101,$K$6:$K$511,1),"")</f>
        <v/>
      </c>
      <c r="R101" s="103" t="str">
        <f aca="false">IF(B101="","",IF(INDEX(報告入力!$AB$7:$AB$696,B101)="","",INDEX(報告入力!$AB$7:$AB$696,B101)))</f>
        <v/>
      </c>
      <c r="S101" s="5" t="str">
        <f aca="false">設定!$C$46</f>
        <v>長期：厚生年金保険料（組合員負担分）</v>
      </c>
    </row>
    <row r="102" customFormat="false" ht="15" hidden="false" customHeight="false" outlineLevel="0" collapsed="false">
      <c r="A102" s="5" t="str">
        <f aca="false">設定!B80</f>
        <v>都市整備公社　消防</v>
      </c>
      <c r="B102" s="5" t="n">
        <f aca="false">IFERROR(MATCH(ホーム!$C$4&amp;"|"&amp;A102,報告入力!$CM$7:$CM$696,0),"")</f>
        <v>342</v>
      </c>
      <c r="C102" s="5" t="str">
        <f aca="false">IF(B102="","",INDEX(報告入力!$C$7:$C$696,B102))</f>
        <v>未受領</v>
      </c>
      <c r="D102" s="5" t="str">
        <f aca="false">設定!$A$39</f>
        <v>長期（厚生年金保険経理）</v>
      </c>
      <c r="E102" s="5" t="str">
        <f aca="false">設定!$B$39&amp;""</f>
        <v>130</v>
      </c>
      <c r="F102" s="5" t="str">
        <f aca="false">設定!$D$47&amp;""</f>
        <v>2109001014</v>
      </c>
      <c r="G102" s="5" t="str">
        <f aca="false">設定!$E$47&amp;""</f>
        <v>退職標報掛金</v>
      </c>
      <c r="H102" s="5" t="n">
        <f aca="false">IF(B102="",0,N(INDEX(報告入力!$AZ$7:$AZ$696,B102)))</f>
        <v>0</v>
      </c>
      <c r="I102" s="5" t="str">
        <f aca="false">設定!$C$39&amp;""</f>
        <v>1104001001</v>
      </c>
      <c r="J102" s="5" t="str">
        <f aca="false">設定!$D$39&amp;""</f>
        <v>普広銀市役所</v>
      </c>
      <c r="K102" s="5" t="n">
        <f aca="false">IF(AND(H102&lt;&gt;0,IF(設定!$B$6="入金確認済のみ",C102="入金確認済",OR(C102="入金確認済",C102="受領済"))),1,0)</f>
        <v>0</v>
      </c>
      <c r="L102" s="5" t="str">
        <f aca="false">1&amp;"|"&amp;20</f>
        <v>1|20</v>
      </c>
      <c r="M102" s="5" t="n">
        <f aca="false">IF(L102=L101,M101,0)+K102</f>
        <v>0</v>
      </c>
      <c r="N102" s="5" t="n">
        <f aca="false">IF(AND(K102=1,M102=1),1,0)</f>
        <v>0</v>
      </c>
      <c r="O102" s="5" t="str">
        <f aca="false">IF(K102=1,MAX($O$5:O101)+1,"")</f>
        <v/>
      </c>
      <c r="P102" s="5" t="str">
        <f aca="false">IF(K102=1,SUM($N$6:N102),"")</f>
        <v/>
      </c>
      <c r="Q102" s="5" t="str">
        <f aca="false">IF(K102=1,SUMIFS($H$6:$H$511,$L$6:$L$511,L102,$K$6:$K$511,1),"")</f>
        <v/>
      </c>
      <c r="R102" s="103" t="str">
        <f aca="false">IF(B102="","",IF(INDEX(報告入力!$AB$7:$AB$696,B102)="","",INDEX(報告入力!$AB$7:$AB$696,B102)))</f>
        <v/>
      </c>
      <c r="S102" s="5" t="str">
        <f aca="false">設定!$C$47</f>
        <v>長期：退職等年金掛金</v>
      </c>
    </row>
    <row r="103" customFormat="false" ht="15" hidden="false" customHeight="false" outlineLevel="0" collapsed="false">
      <c r="A103" s="5" t="str">
        <f aca="false">設定!B80</f>
        <v>都市整備公社　消防</v>
      </c>
      <c r="B103" s="5" t="n">
        <f aca="false">IFERROR(MATCH(ホーム!$C$4&amp;"|"&amp;A103,報告入力!$CM$7:$CM$696,0),"")</f>
        <v>342</v>
      </c>
      <c r="C103" s="5" t="str">
        <f aca="false">IF(B103="","",INDEX(報告入力!$C$7:$C$696,B103))</f>
        <v>未受領</v>
      </c>
      <c r="D103" s="5" t="str">
        <f aca="false">設定!$A$39</f>
        <v>長期（厚生年金保険経理）</v>
      </c>
      <c r="E103" s="5" t="str">
        <f aca="false">設定!$B$39&amp;""</f>
        <v>130</v>
      </c>
      <c r="F103" s="5" t="str">
        <f aca="false">設定!$D$48&amp;""</f>
        <v>6101002000</v>
      </c>
      <c r="G103" s="5" t="str">
        <f aca="false">設定!$E$48&amp;""</f>
        <v>負担地方公共</v>
      </c>
      <c r="H103" s="5" t="n">
        <f aca="false">IF(B103="",0,N(INDEX(報告入力!$BA$7:$BA$696,B103)))</f>
        <v>124440</v>
      </c>
      <c r="I103" s="5" t="str">
        <f aca="false">設定!$C$39&amp;""</f>
        <v>1104001001</v>
      </c>
      <c r="J103" s="5" t="str">
        <f aca="false">設定!$D$39&amp;""</f>
        <v>普広銀市役所</v>
      </c>
      <c r="K103" s="5" t="n">
        <f aca="false">IF(AND(H103&lt;&gt;0,IF(設定!$B$6="入金確認済のみ",C103="入金確認済",OR(C103="入金確認済",C103="受領済"))),1,0)</f>
        <v>0</v>
      </c>
      <c r="L103" s="5" t="str">
        <f aca="false">1&amp;"|"&amp;20</f>
        <v>1|20</v>
      </c>
      <c r="M103" s="5" t="n">
        <f aca="false">IF(L103=L102,M102,0)+K103</f>
        <v>0</v>
      </c>
      <c r="N103" s="5" t="n">
        <f aca="false">IF(AND(K103=1,M103=1),1,0)</f>
        <v>0</v>
      </c>
      <c r="O103" s="5" t="str">
        <f aca="false">IF(K103=1,MAX($O$5:O102)+1,"")</f>
        <v/>
      </c>
      <c r="P103" s="5" t="str">
        <f aca="false">IF(K103=1,SUM($N$6:N103),"")</f>
        <v/>
      </c>
      <c r="Q103" s="5" t="str">
        <f aca="false">IF(K103=1,SUMIFS($H$6:$H$511,$L$6:$L$511,L103,$K$6:$K$511,1),"")</f>
        <v/>
      </c>
      <c r="R103" s="103" t="str">
        <f aca="false">IF(B103="","",IF(INDEX(報告入力!$AB$7:$AB$696,B103)="","",INDEX(報告入力!$AB$7:$AB$696,B103)))</f>
        <v/>
      </c>
      <c r="S103" s="5" t="str">
        <f aca="false">設定!$C$48</f>
        <v>長期：厚生年金保険料（事業主負担分）</v>
      </c>
    </row>
    <row r="104" customFormat="false" ht="15" hidden="false" customHeight="false" outlineLevel="0" collapsed="false">
      <c r="A104" s="5" t="str">
        <f aca="false">設定!B80</f>
        <v>都市整備公社　消防</v>
      </c>
      <c r="B104" s="5" t="n">
        <f aca="false">IFERROR(MATCH(ホーム!$C$4&amp;"|"&amp;A104,報告入力!$CM$7:$CM$696,0),"")</f>
        <v>342</v>
      </c>
      <c r="C104" s="5" t="str">
        <f aca="false">IF(B104="","",INDEX(報告入力!$C$7:$C$696,B104))</f>
        <v>未受領</v>
      </c>
      <c r="D104" s="5" t="str">
        <f aca="false">設定!$A$39</f>
        <v>長期（厚生年金保険経理）</v>
      </c>
      <c r="E104" s="5" t="str">
        <f aca="false">設定!$B$39&amp;""</f>
        <v>130</v>
      </c>
      <c r="F104" s="5" t="str">
        <f aca="false">設定!$D$49&amp;""</f>
        <v>2109001015</v>
      </c>
      <c r="G104" s="5" t="str">
        <f aca="false">設定!$E$49&amp;""</f>
        <v>退職負担地方</v>
      </c>
      <c r="H104" s="5" t="n">
        <f aca="false">IF(B104="",0,N(INDEX(報告入力!$BB$7:$BB$696,B104)))</f>
        <v>10200</v>
      </c>
      <c r="I104" s="5" t="str">
        <f aca="false">設定!$C$39&amp;""</f>
        <v>1104001001</v>
      </c>
      <c r="J104" s="5" t="str">
        <f aca="false">設定!$D$39&amp;""</f>
        <v>普広銀市役所</v>
      </c>
      <c r="K104" s="5" t="n">
        <f aca="false">IF(AND(H104&lt;&gt;0,IF(設定!$B$6="入金確認済のみ",C104="入金確認済",OR(C104="入金確認済",C104="受領済"))),1,0)</f>
        <v>0</v>
      </c>
      <c r="L104" s="5" t="str">
        <f aca="false">1&amp;"|"&amp;20</f>
        <v>1|20</v>
      </c>
      <c r="M104" s="5" t="n">
        <f aca="false">IF(L104=L103,M103,0)+K104</f>
        <v>0</v>
      </c>
      <c r="N104" s="5" t="n">
        <f aca="false">IF(AND(K104=1,M104=1),1,0)</f>
        <v>0</v>
      </c>
      <c r="O104" s="5" t="str">
        <f aca="false">IF(K104=1,MAX($O$5:O103)+1,"")</f>
        <v/>
      </c>
      <c r="P104" s="5" t="str">
        <f aca="false">IF(K104=1,SUM($N$6:N104),"")</f>
        <v/>
      </c>
      <c r="Q104" s="5" t="str">
        <f aca="false">IF(K104=1,SUMIFS($H$6:$H$511,$L$6:$L$511,L104,$K$6:$K$511,1),"")</f>
        <v/>
      </c>
      <c r="R104" s="103" t="str">
        <f aca="false">IF(B104="","",IF(INDEX(報告入力!$AB$7:$AB$696,B104)="","",INDEX(報告入力!$AB$7:$AB$696,B104)))</f>
        <v/>
      </c>
      <c r="S104" s="5" t="str">
        <f aca="false">設定!$C$49</f>
        <v>長期：退職等年金負担金</v>
      </c>
    </row>
    <row r="105" customFormat="false" ht="15" hidden="false" customHeight="false" outlineLevel="0" collapsed="false">
      <c r="A105" s="5" t="str">
        <f aca="false">設定!B80</f>
        <v>都市整備公社　消防</v>
      </c>
      <c r="B105" s="5" t="n">
        <f aca="false">IFERROR(MATCH(ホーム!$C$4&amp;"|"&amp;A105,報告入力!$CM$7:$CM$696,0),"")</f>
        <v>342</v>
      </c>
      <c r="C105" s="5" t="str">
        <f aca="false">IF(B105="","",INDEX(報告入力!$C$7:$C$696,B105))</f>
        <v>未受領</v>
      </c>
      <c r="D105" s="5" t="str">
        <f aca="false">設定!$A$39</f>
        <v>長期（厚生年金保険経理）</v>
      </c>
      <c r="E105" s="5" t="str">
        <f aca="false">設定!$B$39&amp;""</f>
        <v>130</v>
      </c>
      <c r="F105" s="5" t="str">
        <f aca="false">設定!$D$50&amp;""</f>
        <v>2109001017</v>
      </c>
      <c r="G105" s="5" t="str">
        <f aca="false">設定!$E$50&amp;""</f>
        <v>経過的負担金</v>
      </c>
      <c r="H105" s="5" t="n">
        <f aca="false">IF(B105="",0,N(INDEX(報告入力!$BC$7:$BC$696,B105)))</f>
        <v>127</v>
      </c>
      <c r="I105" s="5" t="str">
        <f aca="false">設定!$C$39&amp;""</f>
        <v>1104001001</v>
      </c>
      <c r="J105" s="5" t="str">
        <f aca="false">設定!$D$39&amp;""</f>
        <v>普広銀市役所</v>
      </c>
      <c r="K105" s="5" t="n">
        <f aca="false">IF(AND(H105&lt;&gt;0,IF(設定!$B$6="入金確認済のみ",C105="入金確認済",OR(C105="入金確認済",C105="受領済"))),1,0)</f>
        <v>0</v>
      </c>
      <c r="L105" s="5" t="str">
        <f aca="false">1&amp;"|"&amp;20</f>
        <v>1|20</v>
      </c>
      <c r="M105" s="5" t="n">
        <f aca="false">IF(L105=L104,M104,0)+K105</f>
        <v>0</v>
      </c>
      <c r="N105" s="5" t="n">
        <f aca="false">IF(AND(K105=1,M105=1),1,0)</f>
        <v>0</v>
      </c>
      <c r="O105" s="5" t="str">
        <f aca="false">IF(K105=1,MAX($O$5:O104)+1,"")</f>
        <v/>
      </c>
      <c r="P105" s="5" t="str">
        <f aca="false">IF(K105=1,SUM($N$6:N105),"")</f>
        <v/>
      </c>
      <c r="Q105" s="5" t="str">
        <f aca="false">IF(K105=1,SUMIFS($H$6:$H$511,$L$6:$L$511,L105,$K$6:$K$511,1),"")</f>
        <v/>
      </c>
      <c r="R105" s="103" t="str">
        <f aca="false">IF(B105="","",IF(INDEX(報告入力!$AB$7:$AB$696,B105)="","",INDEX(報告入力!$AB$7:$AB$696,B105)))</f>
        <v/>
      </c>
      <c r="S105" s="5" t="str">
        <f aca="false">設定!$C$50</f>
        <v>長期：経過的長期</v>
      </c>
    </row>
    <row r="106" customFormat="false" ht="15" hidden="false" customHeight="false" outlineLevel="0" collapsed="false">
      <c r="A106" s="5" t="str">
        <f aca="false">設定!B81</f>
        <v>日本下水道事業団</v>
      </c>
      <c r="B106" s="5" t="n">
        <f aca="false">IFERROR(MATCH(ホーム!$C$4&amp;"|"&amp;A106,報告入力!$CM$7:$CM$696,0),"")</f>
        <v>343</v>
      </c>
      <c r="C106" s="5" t="str">
        <f aca="false">IF(B106="","",INDEX(報告入力!$C$7:$C$696,B106))</f>
        <v>受領済</v>
      </c>
      <c r="D106" s="5" t="str">
        <f aca="false">設定!$A$39</f>
        <v>長期（厚生年金保険経理）</v>
      </c>
      <c r="E106" s="5" t="str">
        <f aca="false">設定!$B$39&amp;""</f>
        <v>130</v>
      </c>
      <c r="F106" s="5" t="str">
        <f aca="false">設定!$D$46&amp;""</f>
        <v>6102102000</v>
      </c>
      <c r="G106" s="5" t="str">
        <f aca="false">設定!$E$46&amp;""</f>
        <v>標月額保険料</v>
      </c>
      <c r="H106" s="5" t="n">
        <f aca="false">IF(B106="",0,N(INDEX(報告入力!$AY$7:$AY$696,B106)))</f>
        <v>247050</v>
      </c>
      <c r="I106" s="5" t="str">
        <f aca="false">設定!$C$39&amp;""</f>
        <v>1104001001</v>
      </c>
      <c r="J106" s="5" t="str">
        <f aca="false">設定!$D$39&amp;""</f>
        <v>普広銀市役所</v>
      </c>
      <c r="K106" s="5" t="n">
        <f aca="false">IF(AND(H106&lt;&gt;0,IF(設定!$B$6="入金確認済のみ",C106="入金確認済",OR(C106="入金確認済",C106="受領済"))),1,0)</f>
        <v>0</v>
      </c>
      <c r="L106" s="5" t="str">
        <f aca="false">1&amp;"|"&amp;21</f>
        <v>1|21</v>
      </c>
      <c r="M106" s="5" t="n">
        <f aca="false">IF(L106=L105,M105,0)+K106</f>
        <v>0</v>
      </c>
      <c r="N106" s="5" t="n">
        <f aca="false">IF(AND(K106=1,M106=1),1,0)</f>
        <v>0</v>
      </c>
      <c r="O106" s="5" t="str">
        <f aca="false">IF(K106=1,MAX($O$5:O105)+1,"")</f>
        <v/>
      </c>
      <c r="P106" s="5" t="str">
        <f aca="false">IF(K106=1,SUM($N$6:N106),"")</f>
        <v/>
      </c>
      <c r="Q106" s="5" t="str">
        <f aca="false">IF(K106=1,SUMIFS($H$6:$H$511,$L$6:$L$511,L106,$K$6:$K$511,1),"")</f>
        <v/>
      </c>
      <c r="R106" s="103" t="str">
        <f aca="false">IF(B106="","",IF(INDEX(報告入力!$AB$7:$AB$696,B106)="","",INDEX(報告入力!$AB$7:$AB$696,B106)))</f>
        <v/>
      </c>
      <c r="S106" s="5" t="str">
        <f aca="false">設定!$C$46</f>
        <v>長期：厚生年金保険料（組合員負担分）</v>
      </c>
    </row>
    <row r="107" customFormat="false" ht="15" hidden="false" customHeight="false" outlineLevel="0" collapsed="false">
      <c r="A107" s="5" t="str">
        <f aca="false">設定!B81</f>
        <v>日本下水道事業団</v>
      </c>
      <c r="B107" s="5" t="n">
        <f aca="false">IFERROR(MATCH(ホーム!$C$4&amp;"|"&amp;A107,報告入力!$CM$7:$CM$696,0),"")</f>
        <v>343</v>
      </c>
      <c r="C107" s="5" t="str">
        <f aca="false">IF(B107="","",INDEX(報告入力!$C$7:$C$696,B107))</f>
        <v>受領済</v>
      </c>
      <c r="D107" s="5" t="str">
        <f aca="false">設定!$A$39</f>
        <v>長期（厚生年金保険経理）</v>
      </c>
      <c r="E107" s="5" t="str">
        <f aca="false">設定!$B$39&amp;""</f>
        <v>130</v>
      </c>
      <c r="F107" s="5" t="str">
        <f aca="false">設定!$D$47&amp;""</f>
        <v>2109001014</v>
      </c>
      <c r="G107" s="5" t="str">
        <f aca="false">設定!$E$47&amp;""</f>
        <v>退職標報掛金</v>
      </c>
      <c r="H107" s="5" t="n">
        <f aca="false">IF(B107="",0,N(INDEX(報告入力!$AZ$7:$AZ$696,B107)))</f>
        <v>20250</v>
      </c>
      <c r="I107" s="5" t="str">
        <f aca="false">設定!$C$39&amp;""</f>
        <v>1104001001</v>
      </c>
      <c r="J107" s="5" t="str">
        <f aca="false">設定!$D$39&amp;""</f>
        <v>普広銀市役所</v>
      </c>
      <c r="K107" s="5" t="n">
        <f aca="false">IF(AND(H107&lt;&gt;0,IF(設定!$B$6="入金確認済のみ",C107="入金確認済",OR(C107="入金確認済",C107="受領済"))),1,0)</f>
        <v>0</v>
      </c>
      <c r="L107" s="5" t="str">
        <f aca="false">1&amp;"|"&amp;21</f>
        <v>1|21</v>
      </c>
      <c r="M107" s="5" t="n">
        <f aca="false">IF(L107=L106,M106,0)+K107</f>
        <v>0</v>
      </c>
      <c r="N107" s="5" t="n">
        <f aca="false">IF(AND(K107=1,M107=1),1,0)</f>
        <v>0</v>
      </c>
      <c r="O107" s="5" t="str">
        <f aca="false">IF(K107=1,MAX($O$5:O106)+1,"")</f>
        <v/>
      </c>
      <c r="P107" s="5" t="str">
        <f aca="false">IF(K107=1,SUM($N$6:N107),"")</f>
        <v/>
      </c>
      <c r="Q107" s="5" t="str">
        <f aca="false">IF(K107=1,SUMIFS($H$6:$H$511,$L$6:$L$511,L107,$K$6:$K$511,1),"")</f>
        <v/>
      </c>
      <c r="R107" s="103" t="str">
        <f aca="false">IF(B107="","",IF(INDEX(報告入力!$AB$7:$AB$696,B107)="","",INDEX(報告入力!$AB$7:$AB$696,B107)))</f>
        <v/>
      </c>
      <c r="S107" s="5" t="str">
        <f aca="false">設定!$C$47</f>
        <v>長期：退職等年金掛金</v>
      </c>
    </row>
    <row r="108" customFormat="false" ht="15" hidden="false" customHeight="false" outlineLevel="0" collapsed="false">
      <c r="A108" s="5" t="str">
        <f aca="false">設定!B81</f>
        <v>日本下水道事業団</v>
      </c>
      <c r="B108" s="5" t="n">
        <f aca="false">IFERROR(MATCH(ホーム!$C$4&amp;"|"&amp;A108,報告入力!$CM$7:$CM$696,0),"")</f>
        <v>343</v>
      </c>
      <c r="C108" s="5" t="str">
        <f aca="false">IF(B108="","",INDEX(報告入力!$C$7:$C$696,B108))</f>
        <v>受領済</v>
      </c>
      <c r="D108" s="5" t="str">
        <f aca="false">設定!$A$39</f>
        <v>長期（厚生年金保険経理）</v>
      </c>
      <c r="E108" s="5" t="str">
        <f aca="false">設定!$B$39&amp;""</f>
        <v>130</v>
      </c>
      <c r="F108" s="5" t="str">
        <f aca="false">設定!$D$48&amp;""</f>
        <v>6101002000</v>
      </c>
      <c r="G108" s="5" t="str">
        <f aca="false">設定!$E$48&amp;""</f>
        <v>負担地方公共</v>
      </c>
      <c r="H108" s="5" t="n">
        <f aca="false">IF(B108="",0,N(INDEX(報告入力!$BA$7:$BA$696,B108)))</f>
        <v>247050</v>
      </c>
      <c r="I108" s="5" t="str">
        <f aca="false">設定!$C$39&amp;""</f>
        <v>1104001001</v>
      </c>
      <c r="J108" s="5" t="str">
        <f aca="false">設定!$D$39&amp;""</f>
        <v>普広銀市役所</v>
      </c>
      <c r="K108" s="5" t="n">
        <f aca="false">IF(AND(H108&lt;&gt;0,IF(設定!$B$6="入金確認済のみ",C108="入金確認済",OR(C108="入金確認済",C108="受領済"))),1,0)</f>
        <v>0</v>
      </c>
      <c r="L108" s="5" t="str">
        <f aca="false">1&amp;"|"&amp;21</f>
        <v>1|21</v>
      </c>
      <c r="M108" s="5" t="n">
        <f aca="false">IF(L108=L107,M107,0)+K108</f>
        <v>0</v>
      </c>
      <c r="N108" s="5" t="n">
        <f aca="false">IF(AND(K108=1,M108=1),1,0)</f>
        <v>0</v>
      </c>
      <c r="O108" s="5" t="str">
        <f aca="false">IF(K108=1,MAX($O$5:O107)+1,"")</f>
        <v/>
      </c>
      <c r="P108" s="5" t="str">
        <f aca="false">IF(K108=1,SUM($N$6:N108),"")</f>
        <v/>
      </c>
      <c r="Q108" s="5" t="str">
        <f aca="false">IF(K108=1,SUMIFS($H$6:$H$511,$L$6:$L$511,L108,$K$6:$K$511,1),"")</f>
        <v/>
      </c>
      <c r="R108" s="103" t="str">
        <f aca="false">IF(B108="","",IF(INDEX(報告入力!$AB$7:$AB$696,B108)="","",INDEX(報告入力!$AB$7:$AB$696,B108)))</f>
        <v/>
      </c>
      <c r="S108" s="5" t="str">
        <f aca="false">設定!$C$48</f>
        <v>長期：厚生年金保険料（事業主負担分）</v>
      </c>
    </row>
    <row r="109" customFormat="false" ht="15" hidden="false" customHeight="false" outlineLevel="0" collapsed="false">
      <c r="A109" s="5" t="str">
        <f aca="false">設定!B81</f>
        <v>日本下水道事業団</v>
      </c>
      <c r="B109" s="5" t="n">
        <f aca="false">IFERROR(MATCH(ホーム!$C$4&amp;"|"&amp;A109,報告入力!$CM$7:$CM$696,0),"")</f>
        <v>343</v>
      </c>
      <c r="C109" s="5" t="str">
        <f aca="false">IF(B109="","",INDEX(報告入力!$C$7:$C$696,B109))</f>
        <v>受領済</v>
      </c>
      <c r="D109" s="5" t="str">
        <f aca="false">設定!$A$39</f>
        <v>長期（厚生年金保険経理）</v>
      </c>
      <c r="E109" s="5" t="str">
        <f aca="false">設定!$B$39&amp;""</f>
        <v>130</v>
      </c>
      <c r="F109" s="5" t="str">
        <f aca="false">設定!$D$49&amp;""</f>
        <v>2109001015</v>
      </c>
      <c r="G109" s="5" t="str">
        <f aca="false">設定!$E$49&amp;""</f>
        <v>退職負担地方</v>
      </c>
      <c r="H109" s="5" t="n">
        <f aca="false">IF(B109="",0,N(INDEX(報告入力!$BB$7:$BB$696,B109)))</f>
        <v>20250</v>
      </c>
      <c r="I109" s="5" t="str">
        <f aca="false">設定!$C$39&amp;""</f>
        <v>1104001001</v>
      </c>
      <c r="J109" s="5" t="str">
        <f aca="false">設定!$D$39&amp;""</f>
        <v>普広銀市役所</v>
      </c>
      <c r="K109" s="5" t="n">
        <f aca="false">IF(AND(H109&lt;&gt;0,IF(設定!$B$6="入金確認済のみ",C109="入金確認済",OR(C109="入金確認済",C109="受領済"))),1,0)</f>
        <v>0</v>
      </c>
      <c r="L109" s="5" t="str">
        <f aca="false">1&amp;"|"&amp;21</f>
        <v>1|21</v>
      </c>
      <c r="M109" s="5" t="n">
        <f aca="false">IF(L109=L108,M108,0)+K109</f>
        <v>0</v>
      </c>
      <c r="N109" s="5" t="n">
        <f aca="false">IF(AND(K109=1,M109=1),1,0)</f>
        <v>0</v>
      </c>
      <c r="O109" s="5" t="str">
        <f aca="false">IF(K109=1,MAX($O$5:O108)+1,"")</f>
        <v/>
      </c>
      <c r="P109" s="5" t="str">
        <f aca="false">IF(K109=1,SUM($N$6:N109),"")</f>
        <v/>
      </c>
      <c r="Q109" s="5" t="str">
        <f aca="false">IF(K109=1,SUMIFS($H$6:$H$511,$L$6:$L$511,L109,$K$6:$K$511,1),"")</f>
        <v/>
      </c>
      <c r="R109" s="103" t="str">
        <f aca="false">IF(B109="","",IF(INDEX(報告入力!$AB$7:$AB$696,B109)="","",INDEX(報告入力!$AB$7:$AB$696,B109)))</f>
        <v/>
      </c>
      <c r="S109" s="5" t="str">
        <f aca="false">設定!$C$49</f>
        <v>長期：退職等年金負担金</v>
      </c>
    </row>
    <row r="110" customFormat="false" ht="15" hidden="false" customHeight="false" outlineLevel="0" collapsed="false">
      <c r="A110" s="5" t="str">
        <f aca="false">設定!B81</f>
        <v>日本下水道事業団</v>
      </c>
      <c r="B110" s="5" t="n">
        <f aca="false">IFERROR(MATCH(ホーム!$C$4&amp;"|"&amp;A110,報告入力!$CM$7:$CM$696,0),"")</f>
        <v>343</v>
      </c>
      <c r="C110" s="5" t="str">
        <f aca="false">IF(B110="","",INDEX(報告入力!$C$7:$C$696,B110))</f>
        <v>受領済</v>
      </c>
      <c r="D110" s="5" t="str">
        <f aca="false">設定!$A$39</f>
        <v>長期（厚生年金保険経理）</v>
      </c>
      <c r="E110" s="5" t="str">
        <f aca="false">設定!$B$39&amp;""</f>
        <v>130</v>
      </c>
      <c r="F110" s="5" t="str">
        <f aca="false">設定!$D$50&amp;""</f>
        <v>2109001017</v>
      </c>
      <c r="G110" s="5" t="str">
        <f aca="false">設定!$E$50&amp;""</f>
        <v>経過的負担金</v>
      </c>
      <c r="H110" s="5" t="n">
        <f aca="false">IF(B110="",0,N(INDEX(報告入力!$BC$7:$BC$696,B110)))</f>
        <v>234</v>
      </c>
      <c r="I110" s="5" t="str">
        <f aca="false">設定!$C$39&amp;""</f>
        <v>1104001001</v>
      </c>
      <c r="J110" s="5" t="str">
        <f aca="false">設定!$D$39&amp;""</f>
        <v>普広銀市役所</v>
      </c>
      <c r="K110" s="5" t="n">
        <f aca="false">IF(AND(H110&lt;&gt;0,IF(設定!$B$6="入金確認済のみ",C110="入金確認済",OR(C110="入金確認済",C110="受領済"))),1,0)</f>
        <v>0</v>
      </c>
      <c r="L110" s="5" t="str">
        <f aca="false">1&amp;"|"&amp;21</f>
        <v>1|21</v>
      </c>
      <c r="M110" s="5" t="n">
        <f aca="false">IF(L110=L109,M109,0)+K110</f>
        <v>0</v>
      </c>
      <c r="N110" s="5" t="n">
        <f aca="false">IF(AND(K110=1,M110=1),1,0)</f>
        <v>0</v>
      </c>
      <c r="O110" s="5" t="str">
        <f aca="false">IF(K110=1,MAX($O$5:O109)+1,"")</f>
        <v/>
      </c>
      <c r="P110" s="5" t="str">
        <f aca="false">IF(K110=1,SUM($N$6:N110),"")</f>
        <v/>
      </c>
      <c r="Q110" s="5" t="str">
        <f aca="false">IF(K110=1,SUMIFS($H$6:$H$511,$L$6:$L$511,L110,$K$6:$K$511,1),"")</f>
        <v/>
      </c>
      <c r="R110" s="103" t="str">
        <f aca="false">IF(B110="","",IF(INDEX(報告入力!$AB$7:$AB$696,B110)="","",INDEX(報告入力!$AB$7:$AB$696,B110)))</f>
        <v/>
      </c>
      <c r="S110" s="5" t="str">
        <f aca="false">設定!$C$50</f>
        <v>長期：経過的長期</v>
      </c>
    </row>
    <row r="111" customFormat="false" ht="15" hidden="false" customHeight="false" outlineLevel="0" collapsed="false">
      <c r="A111" s="5" t="str">
        <f aca="false">設定!B82</f>
        <v>地方公務員災害補償基金本部</v>
      </c>
      <c r="B111" s="5" t="n">
        <f aca="false">IFERROR(MATCH(ホーム!$C$4&amp;"|"&amp;A111,報告入力!$CM$7:$CM$696,0),"")</f>
        <v>344</v>
      </c>
      <c r="C111" s="5" t="str">
        <f aca="false">IF(B111="","",INDEX(報告入力!$C$7:$C$696,B111))</f>
        <v>受領済</v>
      </c>
      <c r="D111" s="5" t="str">
        <f aca="false">設定!$A$39</f>
        <v>長期（厚生年金保険経理）</v>
      </c>
      <c r="E111" s="5" t="str">
        <f aca="false">設定!$B$39&amp;""</f>
        <v>130</v>
      </c>
      <c r="F111" s="5" t="str">
        <f aca="false">設定!$D$46&amp;""</f>
        <v>6102102000</v>
      </c>
      <c r="G111" s="5" t="str">
        <f aca="false">設定!$E$46&amp;""</f>
        <v>標月額保険料</v>
      </c>
      <c r="H111" s="5" t="n">
        <f aca="false">IF(B111="",0,N(INDEX(報告入力!$AY$7:$AY$696,B111)))</f>
        <v>43005</v>
      </c>
      <c r="I111" s="5" t="str">
        <f aca="false">設定!$C$39&amp;""</f>
        <v>1104001001</v>
      </c>
      <c r="J111" s="5" t="str">
        <f aca="false">設定!$D$39&amp;""</f>
        <v>普広銀市役所</v>
      </c>
      <c r="K111" s="5" t="n">
        <f aca="false">IF(AND(H111&lt;&gt;0,IF(設定!$B$6="入金確認済のみ",C111="入金確認済",OR(C111="入金確認済",C111="受領済"))),1,0)</f>
        <v>0</v>
      </c>
      <c r="L111" s="5" t="str">
        <f aca="false">1&amp;"|"&amp;22</f>
        <v>1|22</v>
      </c>
      <c r="M111" s="5" t="n">
        <f aca="false">IF(L111=L110,M110,0)+K111</f>
        <v>0</v>
      </c>
      <c r="N111" s="5" t="n">
        <f aca="false">IF(AND(K111=1,M111=1),1,0)</f>
        <v>0</v>
      </c>
      <c r="O111" s="5" t="str">
        <f aca="false">IF(K111=1,MAX($O$5:O110)+1,"")</f>
        <v/>
      </c>
      <c r="P111" s="5" t="str">
        <f aca="false">IF(K111=1,SUM($N$6:N111),"")</f>
        <v/>
      </c>
      <c r="Q111" s="5" t="str">
        <f aca="false">IF(K111=1,SUMIFS($H$6:$H$511,$L$6:$L$511,L111,$K$6:$K$511,1),"")</f>
        <v/>
      </c>
      <c r="R111" s="103" t="str">
        <f aca="false">IF(B111="","",IF(INDEX(報告入力!$AB$7:$AB$696,B111)="","",INDEX(報告入力!$AB$7:$AB$696,B111)))</f>
        <v/>
      </c>
      <c r="S111" s="5" t="str">
        <f aca="false">設定!$C$46</f>
        <v>長期：厚生年金保険料（組合員負担分）</v>
      </c>
    </row>
    <row r="112" customFormat="false" ht="15" hidden="false" customHeight="false" outlineLevel="0" collapsed="false">
      <c r="A112" s="5" t="str">
        <f aca="false">設定!B82</f>
        <v>地方公務員災害補償基金本部</v>
      </c>
      <c r="B112" s="5" t="n">
        <f aca="false">IFERROR(MATCH(ホーム!$C$4&amp;"|"&amp;A112,報告入力!$CM$7:$CM$696,0),"")</f>
        <v>344</v>
      </c>
      <c r="C112" s="5" t="str">
        <f aca="false">IF(B112="","",INDEX(報告入力!$C$7:$C$696,B112))</f>
        <v>受領済</v>
      </c>
      <c r="D112" s="5" t="str">
        <f aca="false">設定!$A$39</f>
        <v>長期（厚生年金保険経理）</v>
      </c>
      <c r="E112" s="5" t="str">
        <f aca="false">設定!$B$39&amp;""</f>
        <v>130</v>
      </c>
      <c r="F112" s="5" t="str">
        <f aca="false">設定!$D$47&amp;""</f>
        <v>2109001014</v>
      </c>
      <c r="G112" s="5" t="str">
        <f aca="false">設定!$E$47&amp;""</f>
        <v>退職標報掛金</v>
      </c>
      <c r="H112" s="5" t="n">
        <f aca="false">IF(B112="",0,N(INDEX(報告入力!$AZ$7:$AZ$696,B112)))</f>
        <v>3525</v>
      </c>
      <c r="I112" s="5" t="str">
        <f aca="false">設定!$C$39&amp;""</f>
        <v>1104001001</v>
      </c>
      <c r="J112" s="5" t="str">
        <f aca="false">設定!$D$39&amp;""</f>
        <v>普広銀市役所</v>
      </c>
      <c r="K112" s="5" t="n">
        <f aca="false">IF(AND(H112&lt;&gt;0,IF(設定!$B$6="入金確認済のみ",C112="入金確認済",OR(C112="入金確認済",C112="受領済"))),1,0)</f>
        <v>0</v>
      </c>
      <c r="L112" s="5" t="str">
        <f aca="false">1&amp;"|"&amp;22</f>
        <v>1|22</v>
      </c>
      <c r="M112" s="5" t="n">
        <f aca="false">IF(L112=L111,M111,0)+K112</f>
        <v>0</v>
      </c>
      <c r="N112" s="5" t="n">
        <f aca="false">IF(AND(K112=1,M112=1),1,0)</f>
        <v>0</v>
      </c>
      <c r="O112" s="5" t="str">
        <f aca="false">IF(K112=1,MAX($O$5:O111)+1,"")</f>
        <v/>
      </c>
      <c r="P112" s="5" t="str">
        <f aca="false">IF(K112=1,SUM($N$6:N112),"")</f>
        <v/>
      </c>
      <c r="Q112" s="5" t="str">
        <f aca="false">IF(K112=1,SUMIFS($H$6:$H$511,$L$6:$L$511,L112,$K$6:$K$511,1),"")</f>
        <v/>
      </c>
      <c r="R112" s="103" t="str">
        <f aca="false">IF(B112="","",IF(INDEX(報告入力!$AB$7:$AB$696,B112)="","",INDEX(報告入力!$AB$7:$AB$696,B112)))</f>
        <v/>
      </c>
      <c r="S112" s="5" t="str">
        <f aca="false">設定!$C$47</f>
        <v>長期：退職等年金掛金</v>
      </c>
    </row>
    <row r="113" customFormat="false" ht="15" hidden="false" customHeight="false" outlineLevel="0" collapsed="false">
      <c r="A113" s="5" t="str">
        <f aca="false">設定!B82</f>
        <v>地方公務員災害補償基金本部</v>
      </c>
      <c r="B113" s="5" t="n">
        <f aca="false">IFERROR(MATCH(ホーム!$C$4&amp;"|"&amp;A113,報告入力!$CM$7:$CM$696,0),"")</f>
        <v>344</v>
      </c>
      <c r="C113" s="5" t="str">
        <f aca="false">IF(B113="","",INDEX(報告入力!$C$7:$C$696,B113))</f>
        <v>受領済</v>
      </c>
      <c r="D113" s="5" t="str">
        <f aca="false">設定!$A$39</f>
        <v>長期（厚生年金保険経理）</v>
      </c>
      <c r="E113" s="5" t="str">
        <f aca="false">設定!$B$39&amp;""</f>
        <v>130</v>
      </c>
      <c r="F113" s="5" t="str">
        <f aca="false">設定!$D$48&amp;""</f>
        <v>6101002000</v>
      </c>
      <c r="G113" s="5" t="str">
        <f aca="false">設定!$E$48&amp;""</f>
        <v>負担地方公共</v>
      </c>
      <c r="H113" s="5" t="n">
        <f aca="false">IF(B113="",0,N(INDEX(報告入力!$BA$7:$BA$696,B113)))</f>
        <v>43005</v>
      </c>
      <c r="I113" s="5" t="str">
        <f aca="false">設定!$C$39&amp;""</f>
        <v>1104001001</v>
      </c>
      <c r="J113" s="5" t="str">
        <f aca="false">設定!$D$39&amp;""</f>
        <v>普広銀市役所</v>
      </c>
      <c r="K113" s="5" t="n">
        <f aca="false">IF(AND(H113&lt;&gt;0,IF(設定!$B$6="入金確認済のみ",C113="入金確認済",OR(C113="入金確認済",C113="受領済"))),1,0)</f>
        <v>0</v>
      </c>
      <c r="L113" s="5" t="str">
        <f aca="false">1&amp;"|"&amp;22</f>
        <v>1|22</v>
      </c>
      <c r="M113" s="5" t="n">
        <f aca="false">IF(L113=L112,M112,0)+K113</f>
        <v>0</v>
      </c>
      <c r="N113" s="5" t="n">
        <f aca="false">IF(AND(K113=1,M113=1),1,0)</f>
        <v>0</v>
      </c>
      <c r="O113" s="5" t="str">
        <f aca="false">IF(K113=1,MAX($O$5:O112)+1,"")</f>
        <v/>
      </c>
      <c r="P113" s="5" t="str">
        <f aca="false">IF(K113=1,SUM($N$6:N113),"")</f>
        <v/>
      </c>
      <c r="Q113" s="5" t="str">
        <f aca="false">IF(K113=1,SUMIFS($H$6:$H$511,$L$6:$L$511,L113,$K$6:$K$511,1),"")</f>
        <v/>
      </c>
      <c r="R113" s="103" t="str">
        <f aca="false">IF(B113="","",IF(INDEX(報告入力!$AB$7:$AB$696,B113)="","",INDEX(報告入力!$AB$7:$AB$696,B113)))</f>
        <v/>
      </c>
      <c r="S113" s="5" t="str">
        <f aca="false">設定!$C$48</f>
        <v>長期：厚生年金保険料（事業主負担分）</v>
      </c>
    </row>
    <row r="114" customFormat="false" ht="15" hidden="false" customHeight="false" outlineLevel="0" collapsed="false">
      <c r="A114" s="5" t="str">
        <f aca="false">設定!B82</f>
        <v>地方公務員災害補償基金本部</v>
      </c>
      <c r="B114" s="5" t="n">
        <f aca="false">IFERROR(MATCH(ホーム!$C$4&amp;"|"&amp;A114,報告入力!$CM$7:$CM$696,0),"")</f>
        <v>344</v>
      </c>
      <c r="C114" s="5" t="str">
        <f aca="false">IF(B114="","",INDEX(報告入力!$C$7:$C$696,B114))</f>
        <v>受領済</v>
      </c>
      <c r="D114" s="5" t="str">
        <f aca="false">設定!$A$39</f>
        <v>長期（厚生年金保険経理）</v>
      </c>
      <c r="E114" s="5" t="str">
        <f aca="false">設定!$B$39&amp;""</f>
        <v>130</v>
      </c>
      <c r="F114" s="5" t="str">
        <f aca="false">設定!$D$49&amp;""</f>
        <v>2109001015</v>
      </c>
      <c r="G114" s="5" t="str">
        <f aca="false">設定!$E$49&amp;""</f>
        <v>退職負担地方</v>
      </c>
      <c r="H114" s="5" t="n">
        <f aca="false">IF(B114="",0,N(INDEX(報告入力!$BB$7:$BB$696,B114)))</f>
        <v>3525</v>
      </c>
      <c r="I114" s="5" t="str">
        <f aca="false">設定!$C$39&amp;""</f>
        <v>1104001001</v>
      </c>
      <c r="J114" s="5" t="str">
        <f aca="false">設定!$D$39&amp;""</f>
        <v>普広銀市役所</v>
      </c>
      <c r="K114" s="5" t="n">
        <f aca="false">IF(AND(H114&lt;&gt;0,IF(設定!$B$6="入金確認済のみ",C114="入金確認済",OR(C114="入金確認済",C114="受領済"))),1,0)</f>
        <v>0</v>
      </c>
      <c r="L114" s="5" t="str">
        <f aca="false">1&amp;"|"&amp;22</f>
        <v>1|22</v>
      </c>
      <c r="M114" s="5" t="n">
        <f aca="false">IF(L114=L113,M113,0)+K114</f>
        <v>0</v>
      </c>
      <c r="N114" s="5" t="n">
        <f aca="false">IF(AND(K114=1,M114=1),1,0)</f>
        <v>0</v>
      </c>
      <c r="O114" s="5" t="str">
        <f aca="false">IF(K114=1,MAX($O$5:O113)+1,"")</f>
        <v/>
      </c>
      <c r="P114" s="5" t="str">
        <f aca="false">IF(K114=1,SUM($N$6:N114),"")</f>
        <v/>
      </c>
      <c r="Q114" s="5" t="str">
        <f aca="false">IF(K114=1,SUMIFS($H$6:$H$511,$L$6:$L$511,L114,$K$6:$K$511,1),"")</f>
        <v/>
      </c>
      <c r="R114" s="103" t="str">
        <f aca="false">IF(B114="","",IF(INDEX(報告入力!$AB$7:$AB$696,B114)="","",INDEX(報告入力!$AB$7:$AB$696,B114)))</f>
        <v/>
      </c>
      <c r="S114" s="5" t="str">
        <f aca="false">設定!$C$49</f>
        <v>長期：退職等年金負担金</v>
      </c>
    </row>
    <row r="115" customFormat="false" ht="15" hidden="false" customHeight="false" outlineLevel="0" collapsed="false">
      <c r="A115" s="5" t="str">
        <f aca="false">設定!B82</f>
        <v>地方公務員災害補償基金本部</v>
      </c>
      <c r="B115" s="5" t="n">
        <f aca="false">IFERROR(MATCH(ホーム!$C$4&amp;"|"&amp;A115,報告入力!$CM$7:$CM$696,0),"")</f>
        <v>344</v>
      </c>
      <c r="C115" s="5" t="str">
        <f aca="false">IF(B115="","",INDEX(報告入力!$C$7:$C$696,B115))</f>
        <v>受領済</v>
      </c>
      <c r="D115" s="5" t="str">
        <f aca="false">設定!$A$39</f>
        <v>長期（厚生年金保険経理）</v>
      </c>
      <c r="E115" s="5" t="str">
        <f aca="false">設定!$B$39&amp;""</f>
        <v>130</v>
      </c>
      <c r="F115" s="5" t="str">
        <f aca="false">設定!$D$50&amp;""</f>
        <v>2109001017</v>
      </c>
      <c r="G115" s="5" t="str">
        <f aca="false">設定!$E$50&amp;""</f>
        <v>経過的負担金</v>
      </c>
      <c r="H115" s="5" t="n">
        <f aca="false">IF(B115="",0,N(INDEX(報告入力!$BC$7:$BC$696,B115)))</f>
        <v>40</v>
      </c>
      <c r="I115" s="5" t="str">
        <f aca="false">設定!$C$39&amp;""</f>
        <v>1104001001</v>
      </c>
      <c r="J115" s="5" t="str">
        <f aca="false">設定!$D$39&amp;""</f>
        <v>普広銀市役所</v>
      </c>
      <c r="K115" s="5" t="n">
        <f aca="false">IF(AND(H115&lt;&gt;0,IF(設定!$B$6="入金確認済のみ",C115="入金確認済",OR(C115="入金確認済",C115="受領済"))),1,0)</f>
        <v>0</v>
      </c>
      <c r="L115" s="5" t="str">
        <f aca="false">1&amp;"|"&amp;22</f>
        <v>1|22</v>
      </c>
      <c r="M115" s="5" t="n">
        <f aca="false">IF(L115=L114,M114,0)+K115</f>
        <v>0</v>
      </c>
      <c r="N115" s="5" t="n">
        <f aca="false">IF(AND(K115=1,M115=1),1,0)</f>
        <v>0</v>
      </c>
      <c r="O115" s="5" t="str">
        <f aca="false">IF(K115=1,MAX($O$5:O114)+1,"")</f>
        <v/>
      </c>
      <c r="P115" s="5" t="str">
        <f aca="false">IF(K115=1,SUM($N$6:N115),"")</f>
        <v/>
      </c>
      <c r="Q115" s="5" t="str">
        <f aca="false">IF(K115=1,SUMIFS($H$6:$H$511,$L$6:$L$511,L115,$K$6:$K$511,1),"")</f>
        <v/>
      </c>
      <c r="R115" s="103" t="str">
        <f aca="false">IF(B115="","",IF(INDEX(報告入力!$AB$7:$AB$696,B115)="","",INDEX(報告入力!$AB$7:$AB$696,B115)))</f>
        <v/>
      </c>
      <c r="S115" s="5" t="str">
        <f aca="false">設定!$C$50</f>
        <v>長期：経過的長期</v>
      </c>
    </row>
    <row r="116" customFormat="false" ht="15" hidden="false" customHeight="false" outlineLevel="0" collapsed="false">
      <c r="A116" s="5" t="str">
        <f aca="false">設定!B83</f>
        <v>救急振興財団</v>
      </c>
      <c r="B116" s="5" t="n">
        <f aca="false">IFERROR(MATCH(ホーム!$C$4&amp;"|"&amp;A116,報告入力!$CM$7:$CM$696,0),"")</f>
        <v>345</v>
      </c>
      <c r="C116" s="5" t="str">
        <f aca="false">IF(B116="","",INDEX(報告入力!$C$7:$C$696,B116))</f>
        <v>未受領</v>
      </c>
      <c r="D116" s="5" t="str">
        <f aca="false">設定!$A$39</f>
        <v>長期（厚生年金保険経理）</v>
      </c>
      <c r="E116" s="5" t="str">
        <f aca="false">設定!$B$39&amp;""</f>
        <v>130</v>
      </c>
      <c r="F116" s="5" t="str">
        <f aca="false">設定!$D$46&amp;""</f>
        <v>6102102000</v>
      </c>
      <c r="G116" s="5" t="str">
        <f aca="false">設定!$E$46&amp;""</f>
        <v>標月額保険料</v>
      </c>
      <c r="H116" s="5" t="n">
        <f aca="false">IF(B116="",0,N(INDEX(報告入力!$AY$7:$AY$696,B116)))</f>
        <v>102480</v>
      </c>
      <c r="I116" s="5" t="str">
        <f aca="false">設定!$C$39&amp;""</f>
        <v>1104001001</v>
      </c>
      <c r="J116" s="5" t="str">
        <f aca="false">設定!$D$39&amp;""</f>
        <v>普広銀市役所</v>
      </c>
      <c r="K116" s="5" t="n">
        <f aca="false">IF(AND(H116&lt;&gt;0,IF(設定!$B$6="入金確認済のみ",C116="入金確認済",OR(C116="入金確認済",C116="受領済"))),1,0)</f>
        <v>0</v>
      </c>
      <c r="L116" s="5" t="str">
        <f aca="false">1&amp;"|"&amp;23</f>
        <v>1|23</v>
      </c>
      <c r="M116" s="5" t="n">
        <f aca="false">IF(L116=L115,M115,0)+K116</f>
        <v>0</v>
      </c>
      <c r="N116" s="5" t="n">
        <f aca="false">IF(AND(K116=1,M116=1),1,0)</f>
        <v>0</v>
      </c>
      <c r="O116" s="5" t="str">
        <f aca="false">IF(K116=1,MAX($O$5:O115)+1,"")</f>
        <v/>
      </c>
      <c r="P116" s="5" t="str">
        <f aca="false">IF(K116=1,SUM($N$6:N116),"")</f>
        <v/>
      </c>
      <c r="Q116" s="5" t="str">
        <f aca="false">IF(K116=1,SUMIFS($H$6:$H$511,$L$6:$L$511,L116,$K$6:$K$511,1),"")</f>
        <v/>
      </c>
      <c r="R116" s="103" t="str">
        <f aca="false">IF(B116="","",IF(INDEX(報告入力!$AB$7:$AB$696,B116)="","",INDEX(報告入力!$AB$7:$AB$696,B116)))</f>
        <v/>
      </c>
      <c r="S116" s="5" t="str">
        <f aca="false">設定!$C$46</f>
        <v>長期：厚生年金保険料（組合員負担分）</v>
      </c>
    </row>
    <row r="117" customFormat="false" ht="15" hidden="false" customHeight="false" outlineLevel="0" collapsed="false">
      <c r="A117" s="5" t="str">
        <f aca="false">設定!B83</f>
        <v>救急振興財団</v>
      </c>
      <c r="B117" s="5" t="n">
        <f aca="false">IFERROR(MATCH(ホーム!$C$4&amp;"|"&amp;A117,報告入力!$CM$7:$CM$696,0),"")</f>
        <v>345</v>
      </c>
      <c r="C117" s="5" t="str">
        <f aca="false">IF(B117="","",INDEX(報告入力!$C$7:$C$696,B117))</f>
        <v>未受領</v>
      </c>
      <c r="D117" s="5" t="str">
        <f aca="false">設定!$A$39</f>
        <v>長期（厚生年金保険経理）</v>
      </c>
      <c r="E117" s="5" t="str">
        <f aca="false">設定!$B$39&amp;""</f>
        <v>130</v>
      </c>
      <c r="F117" s="5" t="str">
        <f aca="false">設定!$D$47&amp;""</f>
        <v>2109001014</v>
      </c>
      <c r="G117" s="5" t="str">
        <f aca="false">設定!$E$47&amp;""</f>
        <v>退職標報掛金</v>
      </c>
      <c r="H117" s="5" t="n">
        <f aca="false">IF(B117="",0,N(INDEX(報告入力!$AZ$7:$AZ$696,B117)))</f>
        <v>8400</v>
      </c>
      <c r="I117" s="5" t="str">
        <f aca="false">設定!$C$39&amp;""</f>
        <v>1104001001</v>
      </c>
      <c r="J117" s="5" t="str">
        <f aca="false">設定!$D$39&amp;""</f>
        <v>普広銀市役所</v>
      </c>
      <c r="K117" s="5" t="n">
        <f aca="false">IF(AND(H117&lt;&gt;0,IF(設定!$B$6="入金確認済のみ",C117="入金確認済",OR(C117="入金確認済",C117="受領済"))),1,0)</f>
        <v>0</v>
      </c>
      <c r="L117" s="5" t="str">
        <f aca="false">1&amp;"|"&amp;23</f>
        <v>1|23</v>
      </c>
      <c r="M117" s="5" t="n">
        <f aca="false">IF(L117=L116,M116,0)+K117</f>
        <v>0</v>
      </c>
      <c r="N117" s="5" t="n">
        <f aca="false">IF(AND(K117=1,M117=1),1,0)</f>
        <v>0</v>
      </c>
      <c r="O117" s="5" t="str">
        <f aca="false">IF(K117=1,MAX($O$5:O116)+1,"")</f>
        <v/>
      </c>
      <c r="P117" s="5" t="str">
        <f aca="false">IF(K117=1,SUM($N$6:N117),"")</f>
        <v/>
      </c>
      <c r="Q117" s="5" t="str">
        <f aca="false">IF(K117=1,SUMIFS($H$6:$H$511,$L$6:$L$511,L117,$K$6:$K$511,1),"")</f>
        <v/>
      </c>
      <c r="R117" s="103" t="str">
        <f aca="false">IF(B117="","",IF(INDEX(報告入力!$AB$7:$AB$696,B117)="","",INDEX(報告入力!$AB$7:$AB$696,B117)))</f>
        <v/>
      </c>
      <c r="S117" s="5" t="str">
        <f aca="false">設定!$C$47</f>
        <v>長期：退職等年金掛金</v>
      </c>
    </row>
    <row r="118" customFormat="false" ht="15" hidden="false" customHeight="false" outlineLevel="0" collapsed="false">
      <c r="A118" s="5" t="str">
        <f aca="false">設定!B83</f>
        <v>救急振興財団</v>
      </c>
      <c r="B118" s="5" t="n">
        <f aca="false">IFERROR(MATCH(ホーム!$C$4&amp;"|"&amp;A118,報告入力!$CM$7:$CM$696,0),"")</f>
        <v>345</v>
      </c>
      <c r="C118" s="5" t="str">
        <f aca="false">IF(B118="","",INDEX(報告入力!$C$7:$C$696,B118))</f>
        <v>未受領</v>
      </c>
      <c r="D118" s="5" t="str">
        <f aca="false">設定!$A$39</f>
        <v>長期（厚生年金保険経理）</v>
      </c>
      <c r="E118" s="5" t="str">
        <f aca="false">設定!$B$39&amp;""</f>
        <v>130</v>
      </c>
      <c r="F118" s="5" t="str">
        <f aca="false">設定!$D$48&amp;""</f>
        <v>6101002000</v>
      </c>
      <c r="G118" s="5" t="str">
        <f aca="false">設定!$E$48&amp;""</f>
        <v>負担地方公共</v>
      </c>
      <c r="H118" s="5" t="n">
        <f aca="false">IF(B118="",0,N(INDEX(報告入力!$BA$7:$BA$696,B118)))</f>
        <v>102480</v>
      </c>
      <c r="I118" s="5" t="str">
        <f aca="false">設定!$C$39&amp;""</f>
        <v>1104001001</v>
      </c>
      <c r="J118" s="5" t="str">
        <f aca="false">設定!$D$39&amp;""</f>
        <v>普広銀市役所</v>
      </c>
      <c r="K118" s="5" t="n">
        <f aca="false">IF(AND(H118&lt;&gt;0,IF(設定!$B$6="入金確認済のみ",C118="入金確認済",OR(C118="入金確認済",C118="受領済"))),1,0)</f>
        <v>0</v>
      </c>
      <c r="L118" s="5" t="str">
        <f aca="false">1&amp;"|"&amp;23</f>
        <v>1|23</v>
      </c>
      <c r="M118" s="5" t="n">
        <f aca="false">IF(L118=L117,M117,0)+K118</f>
        <v>0</v>
      </c>
      <c r="N118" s="5" t="n">
        <f aca="false">IF(AND(K118=1,M118=1),1,0)</f>
        <v>0</v>
      </c>
      <c r="O118" s="5" t="str">
        <f aca="false">IF(K118=1,MAX($O$5:O117)+1,"")</f>
        <v/>
      </c>
      <c r="P118" s="5" t="str">
        <f aca="false">IF(K118=1,SUM($N$6:N118),"")</f>
        <v/>
      </c>
      <c r="Q118" s="5" t="str">
        <f aca="false">IF(K118=1,SUMIFS($H$6:$H$511,$L$6:$L$511,L118,$K$6:$K$511,1),"")</f>
        <v/>
      </c>
      <c r="R118" s="103" t="str">
        <f aca="false">IF(B118="","",IF(INDEX(報告入力!$AB$7:$AB$696,B118)="","",INDEX(報告入力!$AB$7:$AB$696,B118)))</f>
        <v/>
      </c>
      <c r="S118" s="5" t="str">
        <f aca="false">設定!$C$48</f>
        <v>長期：厚生年金保険料（事業主負担分）</v>
      </c>
    </row>
    <row r="119" customFormat="false" ht="15" hidden="false" customHeight="false" outlineLevel="0" collapsed="false">
      <c r="A119" s="5" t="str">
        <f aca="false">設定!B83</f>
        <v>救急振興財団</v>
      </c>
      <c r="B119" s="5" t="n">
        <f aca="false">IFERROR(MATCH(ホーム!$C$4&amp;"|"&amp;A119,報告入力!$CM$7:$CM$696,0),"")</f>
        <v>345</v>
      </c>
      <c r="C119" s="5" t="str">
        <f aca="false">IF(B119="","",INDEX(報告入力!$C$7:$C$696,B119))</f>
        <v>未受領</v>
      </c>
      <c r="D119" s="5" t="str">
        <f aca="false">設定!$A$39</f>
        <v>長期（厚生年金保険経理）</v>
      </c>
      <c r="E119" s="5" t="str">
        <f aca="false">設定!$B$39&amp;""</f>
        <v>130</v>
      </c>
      <c r="F119" s="5" t="str">
        <f aca="false">設定!$D$49&amp;""</f>
        <v>2109001015</v>
      </c>
      <c r="G119" s="5" t="str">
        <f aca="false">設定!$E$49&amp;""</f>
        <v>退職負担地方</v>
      </c>
      <c r="H119" s="5" t="n">
        <f aca="false">IF(B119="",0,N(INDEX(報告入力!$BB$7:$BB$696,B119)))</f>
        <v>8400</v>
      </c>
      <c r="I119" s="5" t="str">
        <f aca="false">設定!$C$39&amp;""</f>
        <v>1104001001</v>
      </c>
      <c r="J119" s="5" t="str">
        <f aca="false">設定!$D$39&amp;""</f>
        <v>普広銀市役所</v>
      </c>
      <c r="K119" s="5" t="n">
        <f aca="false">IF(AND(H119&lt;&gt;0,IF(設定!$B$6="入金確認済のみ",C119="入金確認済",OR(C119="入金確認済",C119="受領済"))),1,0)</f>
        <v>0</v>
      </c>
      <c r="L119" s="5" t="str">
        <f aca="false">1&amp;"|"&amp;23</f>
        <v>1|23</v>
      </c>
      <c r="M119" s="5" t="n">
        <f aca="false">IF(L119=L118,M118,0)+K119</f>
        <v>0</v>
      </c>
      <c r="N119" s="5" t="n">
        <f aca="false">IF(AND(K119=1,M119=1),1,0)</f>
        <v>0</v>
      </c>
      <c r="O119" s="5" t="str">
        <f aca="false">IF(K119=1,MAX($O$5:O118)+1,"")</f>
        <v/>
      </c>
      <c r="P119" s="5" t="str">
        <f aca="false">IF(K119=1,SUM($N$6:N119),"")</f>
        <v/>
      </c>
      <c r="Q119" s="5" t="str">
        <f aca="false">IF(K119=1,SUMIFS($H$6:$H$511,$L$6:$L$511,L119,$K$6:$K$511,1),"")</f>
        <v/>
      </c>
      <c r="R119" s="103" t="str">
        <f aca="false">IF(B119="","",IF(INDEX(報告入力!$AB$7:$AB$696,B119)="","",INDEX(報告入力!$AB$7:$AB$696,B119)))</f>
        <v/>
      </c>
      <c r="S119" s="5" t="str">
        <f aca="false">設定!$C$49</f>
        <v>長期：退職等年金負担金</v>
      </c>
    </row>
    <row r="120" customFormat="false" ht="15" hidden="false" customHeight="false" outlineLevel="0" collapsed="false">
      <c r="A120" s="5" t="str">
        <f aca="false">設定!B83</f>
        <v>救急振興財団</v>
      </c>
      <c r="B120" s="5" t="n">
        <f aca="false">IFERROR(MATCH(ホーム!$C$4&amp;"|"&amp;A120,報告入力!$CM$7:$CM$696,0),"")</f>
        <v>345</v>
      </c>
      <c r="C120" s="5" t="str">
        <f aca="false">IF(B120="","",INDEX(報告入力!$C$7:$C$696,B120))</f>
        <v>未受領</v>
      </c>
      <c r="D120" s="5" t="str">
        <f aca="false">設定!$A$39</f>
        <v>長期（厚生年金保険経理）</v>
      </c>
      <c r="E120" s="5" t="str">
        <f aca="false">設定!$B$39&amp;""</f>
        <v>130</v>
      </c>
      <c r="F120" s="5" t="str">
        <f aca="false">設定!$D$50&amp;""</f>
        <v>2109001017</v>
      </c>
      <c r="G120" s="5" t="str">
        <f aca="false">設定!$E$50&amp;""</f>
        <v>経過的負担金</v>
      </c>
      <c r="H120" s="5" t="n">
        <f aca="false">IF(B120="",0,N(INDEX(報告入力!$BC$7:$BC$696,B120)))</f>
        <v>105</v>
      </c>
      <c r="I120" s="5" t="str">
        <f aca="false">設定!$C$39&amp;""</f>
        <v>1104001001</v>
      </c>
      <c r="J120" s="5" t="str">
        <f aca="false">設定!$D$39&amp;""</f>
        <v>普広銀市役所</v>
      </c>
      <c r="K120" s="5" t="n">
        <f aca="false">IF(AND(H120&lt;&gt;0,IF(設定!$B$6="入金確認済のみ",C120="入金確認済",OR(C120="入金確認済",C120="受領済"))),1,0)</f>
        <v>0</v>
      </c>
      <c r="L120" s="5" t="str">
        <f aca="false">1&amp;"|"&amp;23</f>
        <v>1|23</v>
      </c>
      <c r="M120" s="5" t="n">
        <f aca="false">IF(L120=L119,M119,0)+K120</f>
        <v>0</v>
      </c>
      <c r="N120" s="5" t="n">
        <f aca="false">IF(AND(K120=1,M120=1),1,0)</f>
        <v>0</v>
      </c>
      <c r="O120" s="5" t="str">
        <f aca="false">IF(K120=1,MAX($O$5:O119)+1,"")</f>
        <v/>
      </c>
      <c r="P120" s="5" t="str">
        <f aca="false">IF(K120=1,SUM($N$6:N120),"")</f>
        <v/>
      </c>
      <c r="Q120" s="5" t="str">
        <f aca="false">IF(K120=1,SUMIFS($H$6:$H$511,$L$6:$L$511,L120,$K$6:$K$511,1),"")</f>
        <v/>
      </c>
      <c r="R120" s="103" t="str">
        <f aca="false">IF(B120="","",IF(INDEX(報告入力!$AB$7:$AB$696,B120)="","",INDEX(報告入力!$AB$7:$AB$696,B120)))</f>
        <v/>
      </c>
      <c r="S120" s="5" t="str">
        <f aca="false">設定!$C$50</f>
        <v>長期：経過的長期</v>
      </c>
    </row>
    <row r="121" customFormat="false" ht="15" hidden="false" customHeight="false" outlineLevel="0" collapsed="false">
      <c r="A121" s="5" t="str">
        <f aca="false">設定!B84</f>
        <v>高速道路公社</v>
      </c>
      <c r="B121" s="5" t="n">
        <f aca="false">IFERROR(MATCH(ホーム!$C$4&amp;"|"&amp;A121,報告入力!$CM$7:$CM$696,0),"")</f>
        <v>346</v>
      </c>
      <c r="C121" s="5" t="str">
        <f aca="false">IF(B121="","",INDEX(報告入力!$C$7:$C$696,B121))</f>
        <v>未受領</v>
      </c>
      <c r="D121" s="5" t="str">
        <f aca="false">設定!$A$39</f>
        <v>長期（厚生年金保険経理）</v>
      </c>
      <c r="E121" s="5" t="str">
        <f aca="false">設定!$B$39&amp;""</f>
        <v>130</v>
      </c>
      <c r="F121" s="5" t="str">
        <f aca="false">設定!$D$46&amp;""</f>
        <v>6102102000</v>
      </c>
      <c r="G121" s="5" t="str">
        <f aca="false">設定!$E$46&amp;""</f>
        <v>標月額保険料</v>
      </c>
      <c r="H121" s="5" t="n">
        <f aca="false">IF(B121="",0,N(INDEX(報告入力!$AY$7:$AY$696,B121)))</f>
        <v>912255</v>
      </c>
      <c r="I121" s="5" t="str">
        <f aca="false">設定!$C$39&amp;""</f>
        <v>1104001001</v>
      </c>
      <c r="J121" s="5" t="str">
        <f aca="false">設定!$D$39&amp;""</f>
        <v>普広銀市役所</v>
      </c>
      <c r="K121" s="5" t="n">
        <f aca="false">IF(AND(H121&lt;&gt;0,IF(設定!$B$6="入金確認済のみ",C121="入金確認済",OR(C121="入金確認済",C121="受領済"))),1,0)</f>
        <v>0</v>
      </c>
      <c r="L121" s="5" t="str">
        <f aca="false">1&amp;"|"&amp;24</f>
        <v>1|24</v>
      </c>
      <c r="M121" s="5" t="n">
        <f aca="false">IF(L121=L120,M120,0)+K121</f>
        <v>0</v>
      </c>
      <c r="N121" s="5" t="n">
        <f aca="false">IF(AND(K121=1,M121=1),1,0)</f>
        <v>0</v>
      </c>
      <c r="O121" s="5" t="str">
        <f aca="false">IF(K121=1,MAX($O$5:O120)+1,"")</f>
        <v/>
      </c>
      <c r="P121" s="5" t="str">
        <f aca="false">IF(K121=1,SUM($N$6:N121),"")</f>
        <v/>
      </c>
      <c r="Q121" s="5" t="str">
        <f aca="false">IF(K121=1,SUMIFS($H$6:$H$511,$L$6:$L$511,L121,$K$6:$K$511,1),"")</f>
        <v/>
      </c>
      <c r="R121" s="103" t="str">
        <f aca="false">IF(B121="","",IF(INDEX(報告入力!$AB$7:$AB$696,B121)="","",INDEX(報告入力!$AB$7:$AB$696,B121)))</f>
        <v/>
      </c>
      <c r="S121" s="5" t="str">
        <f aca="false">設定!$C$46</f>
        <v>長期：厚生年金保険料（組合員負担分）</v>
      </c>
    </row>
    <row r="122" customFormat="false" ht="15" hidden="false" customHeight="false" outlineLevel="0" collapsed="false">
      <c r="A122" s="5" t="str">
        <f aca="false">設定!B84</f>
        <v>高速道路公社</v>
      </c>
      <c r="B122" s="5" t="n">
        <f aca="false">IFERROR(MATCH(ホーム!$C$4&amp;"|"&amp;A122,報告入力!$CM$7:$CM$696,0),"")</f>
        <v>346</v>
      </c>
      <c r="C122" s="5" t="str">
        <f aca="false">IF(B122="","",INDEX(報告入力!$C$7:$C$696,B122))</f>
        <v>未受領</v>
      </c>
      <c r="D122" s="5" t="str">
        <f aca="false">設定!$A$39</f>
        <v>長期（厚生年金保険経理）</v>
      </c>
      <c r="E122" s="5" t="str">
        <f aca="false">設定!$B$39&amp;""</f>
        <v>130</v>
      </c>
      <c r="F122" s="5" t="str">
        <f aca="false">設定!$D$47&amp;""</f>
        <v>2109001014</v>
      </c>
      <c r="G122" s="5" t="str">
        <f aca="false">設定!$E$47&amp;""</f>
        <v>退職標報掛金</v>
      </c>
      <c r="H122" s="5" t="n">
        <f aca="false">IF(B122="",0,N(INDEX(報告入力!$AZ$7:$AZ$696,B122)))</f>
        <v>74775</v>
      </c>
      <c r="I122" s="5" t="str">
        <f aca="false">設定!$C$39&amp;""</f>
        <v>1104001001</v>
      </c>
      <c r="J122" s="5" t="str">
        <f aca="false">設定!$D$39&amp;""</f>
        <v>普広銀市役所</v>
      </c>
      <c r="K122" s="5" t="n">
        <f aca="false">IF(AND(H122&lt;&gt;0,IF(設定!$B$6="入金確認済のみ",C122="入金確認済",OR(C122="入金確認済",C122="受領済"))),1,0)</f>
        <v>0</v>
      </c>
      <c r="L122" s="5" t="str">
        <f aca="false">1&amp;"|"&amp;24</f>
        <v>1|24</v>
      </c>
      <c r="M122" s="5" t="n">
        <f aca="false">IF(L122=L121,M121,0)+K122</f>
        <v>0</v>
      </c>
      <c r="N122" s="5" t="n">
        <f aca="false">IF(AND(K122=1,M122=1),1,0)</f>
        <v>0</v>
      </c>
      <c r="O122" s="5" t="str">
        <f aca="false">IF(K122=1,MAX($O$5:O121)+1,"")</f>
        <v/>
      </c>
      <c r="P122" s="5" t="str">
        <f aca="false">IF(K122=1,SUM($N$6:N122),"")</f>
        <v/>
      </c>
      <c r="Q122" s="5" t="str">
        <f aca="false">IF(K122=1,SUMIFS($H$6:$H$511,$L$6:$L$511,L122,$K$6:$K$511,1),"")</f>
        <v/>
      </c>
      <c r="R122" s="103" t="str">
        <f aca="false">IF(B122="","",IF(INDEX(報告入力!$AB$7:$AB$696,B122)="","",INDEX(報告入力!$AB$7:$AB$696,B122)))</f>
        <v/>
      </c>
      <c r="S122" s="5" t="str">
        <f aca="false">設定!$C$47</f>
        <v>長期：退職等年金掛金</v>
      </c>
    </row>
    <row r="123" customFormat="false" ht="15" hidden="false" customHeight="false" outlineLevel="0" collapsed="false">
      <c r="A123" s="5" t="str">
        <f aca="false">設定!B84</f>
        <v>高速道路公社</v>
      </c>
      <c r="B123" s="5" t="n">
        <f aca="false">IFERROR(MATCH(ホーム!$C$4&amp;"|"&amp;A123,報告入力!$CM$7:$CM$696,0),"")</f>
        <v>346</v>
      </c>
      <c r="C123" s="5" t="str">
        <f aca="false">IF(B123="","",INDEX(報告入力!$C$7:$C$696,B123))</f>
        <v>未受領</v>
      </c>
      <c r="D123" s="5" t="str">
        <f aca="false">設定!$A$39</f>
        <v>長期（厚生年金保険経理）</v>
      </c>
      <c r="E123" s="5" t="str">
        <f aca="false">設定!$B$39&amp;""</f>
        <v>130</v>
      </c>
      <c r="F123" s="5" t="str">
        <f aca="false">設定!$D$48&amp;""</f>
        <v>6101002000</v>
      </c>
      <c r="G123" s="5" t="str">
        <f aca="false">設定!$E$48&amp;""</f>
        <v>負担地方公共</v>
      </c>
      <c r="H123" s="5" t="n">
        <f aca="false">IF(B123="",0,N(INDEX(報告入力!$BA$7:$BA$696,B123)))</f>
        <v>912255</v>
      </c>
      <c r="I123" s="5" t="str">
        <f aca="false">設定!$C$39&amp;""</f>
        <v>1104001001</v>
      </c>
      <c r="J123" s="5" t="str">
        <f aca="false">設定!$D$39&amp;""</f>
        <v>普広銀市役所</v>
      </c>
      <c r="K123" s="5" t="n">
        <f aca="false">IF(AND(H123&lt;&gt;0,IF(設定!$B$6="入金確認済のみ",C123="入金確認済",OR(C123="入金確認済",C123="受領済"))),1,0)</f>
        <v>0</v>
      </c>
      <c r="L123" s="5" t="str">
        <f aca="false">1&amp;"|"&amp;24</f>
        <v>1|24</v>
      </c>
      <c r="M123" s="5" t="n">
        <f aca="false">IF(L123=L122,M122,0)+K123</f>
        <v>0</v>
      </c>
      <c r="N123" s="5" t="n">
        <f aca="false">IF(AND(K123=1,M123=1),1,0)</f>
        <v>0</v>
      </c>
      <c r="O123" s="5" t="str">
        <f aca="false">IF(K123=1,MAX($O$5:O122)+1,"")</f>
        <v/>
      </c>
      <c r="P123" s="5" t="str">
        <f aca="false">IF(K123=1,SUM($N$6:N123),"")</f>
        <v/>
      </c>
      <c r="Q123" s="5" t="str">
        <f aca="false">IF(K123=1,SUMIFS($H$6:$H$511,$L$6:$L$511,L123,$K$6:$K$511,1),"")</f>
        <v/>
      </c>
      <c r="R123" s="103" t="str">
        <f aca="false">IF(B123="","",IF(INDEX(報告入力!$AB$7:$AB$696,B123)="","",INDEX(報告入力!$AB$7:$AB$696,B123)))</f>
        <v/>
      </c>
      <c r="S123" s="5" t="str">
        <f aca="false">設定!$C$48</f>
        <v>長期：厚生年金保険料（事業主負担分）</v>
      </c>
    </row>
    <row r="124" customFormat="false" ht="15" hidden="false" customHeight="false" outlineLevel="0" collapsed="false">
      <c r="A124" s="5" t="str">
        <f aca="false">設定!B84</f>
        <v>高速道路公社</v>
      </c>
      <c r="B124" s="5" t="n">
        <f aca="false">IFERROR(MATCH(ホーム!$C$4&amp;"|"&amp;A124,報告入力!$CM$7:$CM$696,0),"")</f>
        <v>346</v>
      </c>
      <c r="C124" s="5" t="str">
        <f aca="false">IF(B124="","",INDEX(報告入力!$C$7:$C$696,B124))</f>
        <v>未受領</v>
      </c>
      <c r="D124" s="5" t="str">
        <f aca="false">設定!$A$39</f>
        <v>長期（厚生年金保険経理）</v>
      </c>
      <c r="E124" s="5" t="str">
        <f aca="false">設定!$B$39&amp;""</f>
        <v>130</v>
      </c>
      <c r="F124" s="5" t="str">
        <f aca="false">設定!$D$49&amp;""</f>
        <v>2109001015</v>
      </c>
      <c r="G124" s="5" t="str">
        <f aca="false">設定!$E$49&amp;""</f>
        <v>退職負担地方</v>
      </c>
      <c r="H124" s="5" t="n">
        <f aca="false">IF(B124="",0,N(INDEX(報告入力!$BB$7:$BB$696,B124)))</f>
        <v>74775</v>
      </c>
      <c r="I124" s="5" t="str">
        <f aca="false">設定!$C$39&amp;""</f>
        <v>1104001001</v>
      </c>
      <c r="J124" s="5" t="str">
        <f aca="false">設定!$D$39&amp;""</f>
        <v>普広銀市役所</v>
      </c>
      <c r="K124" s="5" t="n">
        <f aca="false">IF(AND(H124&lt;&gt;0,IF(設定!$B$6="入金確認済のみ",C124="入金確認済",OR(C124="入金確認済",C124="受領済"))),1,0)</f>
        <v>0</v>
      </c>
      <c r="L124" s="5" t="str">
        <f aca="false">1&amp;"|"&amp;24</f>
        <v>1|24</v>
      </c>
      <c r="M124" s="5" t="n">
        <f aca="false">IF(L124=L123,M123,0)+K124</f>
        <v>0</v>
      </c>
      <c r="N124" s="5" t="n">
        <f aca="false">IF(AND(K124=1,M124=1),1,0)</f>
        <v>0</v>
      </c>
      <c r="O124" s="5" t="str">
        <f aca="false">IF(K124=1,MAX($O$5:O123)+1,"")</f>
        <v/>
      </c>
      <c r="P124" s="5" t="str">
        <f aca="false">IF(K124=1,SUM($N$6:N124),"")</f>
        <v/>
      </c>
      <c r="Q124" s="5" t="str">
        <f aca="false">IF(K124=1,SUMIFS($H$6:$H$511,$L$6:$L$511,L124,$K$6:$K$511,1),"")</f>
        <v/>
      </c>
      <c r="R124" s="103" t="str">
        <f aca="false">IF(B124="","",IF(INDEX(報告入力!$AB$7:$AB$696,B124)="","",INDEX(報告入力!$AB$7:$AB$696,B124)))</f>
        <v/>
      </c>
      <c r="S124" s="5" t="str">
        <f aca="false">設定!$C$49</f>
        <v>長期：退職等年金負担金</v>
      </c>
    </row>
    <row r="125" customFormat="false" ht="15" hidden="false" customHeight="false" outlineLevel="0" collapsed="false">
      <c r="A125" s="5" t="str">
        <f aca="false">設定!B84</f>
        <v>高速道路公社</v>
      </c>
      <c r="B125" s="5" t="n">
        <f aca="false">IFERROR(MATCH(ホーム!$C$4&amp;"|"&amp;A125,報告入力!$CM$7:$CM$696,0),"")</f>
        <v>346</v>
      </c>
      <c r="C125" s="5" t="str">
        <f aca="false">IF(B125="","",INDEX(報告入力!$C$7:$C$696,B125))</f>
        <v>未受領</v>
      </c>
      <c r="D125" s="5" t="str">
        <f aca="false">設定!$A$39</f>
        <v>長期（厚生年金保険経理）</v>
      </c>
      <c r="E125" s="5" t="str">
        <f aca="false">設定!$B$39&amp;""</f>
        <v>130</v>
      </c>
      <c r="F125" s="5" t="str">
        <f aca="false">設定!$D$50&amp;""</f>
        <v>2109001017</v>
      </c>
      <c r="G125" s="5" t="str">
        <f aca="false">設定!$E$50&amp;""</f>
        <v>経過的負担金</v>
      </c>
      <c r="H125" s="5" t="n">
        <f aca="false">IF(B125="",0,N(INDEX(報告入力!$BC$7:$BC$696,B125)))</f>
        <v>936</v>
      </c>
      <c r="I125" s="5" t="str">
        <f aca="false">設定!$C$39&amp;""</f>
        <v>1104001001</v>
      </c>
      <c r="J125" s="5" t="str">
        <f aca="false">設定!$D$39&amp;""</f>
        <v>普広銀市役所</v>
      </c>
      <c r="K125" s="5" t="n">
        <f aca="false">IF(AND(H125&lt;&gt;0,IF(設定!$B$6="入金確認済のみ",C125="入金確認済",OR(C125="入金確認済",C125="受領済"))),1,0)</f>
        <v>0</v>
      </c>
      <c r="L125" s="5" t="str">
        <f aca="false">1&amp;"|"&amp;24</f>
        <v>1|24</v>
      </c>
      <c r="M125" s="5" t="n">
        <f aca="false">IF(L125=L124,M124,0)+K125</f>
        <v>0</v>
      </c>
      <c r="N125" s="5" t="n">
        <f aca="false">IF(AND(K125=1,M125=1),1,0)</f>
        <v>0</v>
      </c>
      <c r="O125" s="5" t="str">
        <f aca="false">IF(K125=1,MAX($O$5:O124)+1,"")</f>
        <v/>
      </c>
      <c r="P125" s="5" t="str">
        <f aca="false">IF(K125=1,SUM($N$6:N125),"")</f>
        <v/>
      </c>
      <c r="Q125" s="5" t="str">
        <f aca="false">IF(K125=1,SUMIFS($H$6:$H$511,$L$6:$L$511,L125,$K$6:$K$511,1),"")</f>
        <v/>
      </c>
      <c r="R125" s="103" t="str">
        <f aca="false">IF(B125="","",IF(INDEX(報告入力!$AB$7:$AB$696,B125)="","",INDEX(報告入力!$AB$7:$AB$696,B125)))</f>
        <v/>
      </c>
      <c r="S125" s="5" t="str">
        <f aca="false">設定!$C$50</f>
        <v>長期：経過的長期</v>
      </c>
    </row>
    <row r="126" customFormat="false" ht="15" hidden="false" customHeight="false" outlineLevel="0" collapsed="false">
      <c r="A126" s="5" t="str">
        <f aca="false">設定!B85</f>
        <v>農林水産振興センタ</v>
      </c>
      <c r="B126" s="5" t="n">
        <f aca="false">IFERROR(MATCH(ホーム!$C$4&amp;"|"&amp;A126,報告入力!$CM$7:$CM$696,0),"")</f>
        <v>347</v>
      </c>
      <c r="C126" s="5" t="str">
        <f aca="false">IF(B126="","",INDEX(報告入力!$C$7:$C$696,B126))</f>
        <v>未受領</v>
      </c>
      <c r="D126" s="5" t="str">
        <f aca="false">設定!$A$39</f>
        <v>長期（厚生年金保険経理）</v>
      </c>
      <c r="E126" s="5" t="str">
        <f aca="false">設定!$B$39&amp;""</f>
        <v>130</v>
      </c>
      <c r="F126" s="5" t="str">
        <f aca="false">設定!$D$46&amp;""</f>
        <v>6102102000</v>
      </c>
      <c r="G126" s="5" t="str">
        <f aca="false">設定!$E$46&amp;""</f>
        <v>標月額保険料</v>
      </c>
      <c r="H126" s="5" t="n">
        <f aca="false">IF(B126="",0,N(INDEX(報告入力!$AY$7:$AY$696,B126)))</f>
        <v>0</v>
      </c>
      <c r="I126" s="5" t="str">
        <f aca="false">設定!$C$39&amp;""</f>
        <v>1104001001</v>
      </c>
      <c r="J126" s="5" t="str">
        <f aca="false">設定!$D$39&amp;""</f>
        <v>普広銀市役所</v>
      </c>
      <c r="K126" s="5" t="n">
        <f aca="false">IF(AND(H126&lt;&gt;0,IF(設定!$B$6="入金確認済のみ",C126="入金確認済",OR(C126="入金確認済",C126="受領済"))),1,0)</f>
        <v>0</v>
      </c>
      <c r="L126" s="5" t="str">
        <f aca="false">1&amp;"|"&amp;25</f>
        <v>1|25</v>
      </c>
      <c r="M126" s="5" t="n">
        <f aca="false">IF(L126=L125,M125,0)+K126</f>
        <v>0</v>
      </c>
      <c r="N126" s="5" t="n">
        <f aca="false">IF(AND(K126=1,M126=1),1,0)</f>
        <v>0</v>
      </c>
      <c r="O126" s="5" t="str">
        <f aca="false">IF(K126=1,MAX($O$5:O125)+1,"")</f>
        <v/>
      </c>
      <c r="P126" s="5" t="str">
        <f aca="false">IF(K126=1,SUM($N$6:N126),"")</f>
        <v/>
      </c>
      <c r="Q126" s="5" t="str">
        <f aca="false">IF(K126=1,SUMIFS($H$6:$H$511,$L$6:$L$511,L126,$K$6:$K$511,1),"")</f>
        <v/>
      </c>
      <c r="R126" s="103" t="str">
        <f aca="false">IF(B126="","",IF(INDEX(報告入力!$AB$7:$AB$696,B126)="","",INDEX(報告入力!$AB$7:$AB$696,B126)))</f>
        <v/>
      </c>
      <c r="S126" s="5" t="str">
        <f aca="false">設定!$C$46</f>
        <v>長期：厚生年金保険料（組合員負担分）</v>
      </c>
    </row>
    <row r="127" customFormat="false" ht="15" hidden="false" customHeight="false" outlineLevel="0" collapsed="false">
      <c r="A127" s="5" t="str">
        <f aca="false">設定!B85</f>
        <v>農林水産振興センタ</v>
      </c>
      <c r="B127" s="5" t="n">
        <f aca="false">IFERROR(MATCH(ホーム!$C$4&amp;"|"&amp;A127,報告入力!$CM$7:$CM$696,0),"")</f>
        <v>347</v>
      </c>
      <c r="C127" s="5" t="str">
        <f aca="false">IF(B127="","",INDEX(報告入力!$C$7:$C$696,B127))</f>
        <v>未受領</v>
      </c>
      <c r="D127" s="5" t="str">
        <f aca="false">設定!$A$39</f>
        <v>長期（厚生年金保険経理）</v>
      </c>
      <c r="E127" s="5" t="str">
        <f aca="false">設定!$B$39&amp;""</f>
        <v>130</v>
      </c>
      <c r="F127" s="5" t="str">
        <f aca="false">設定!$D$47&amp;""</f>
        <v>2109001014</v>
      </c>
      <c r="G127" s="5" t="str">
        <f aca="false">設定!$E$47&amp;""</f>
        <v>退職標報掛金</v>
      </c>
      <c r="H127" s="5" t="n">
        <f aca="false">IF(B127="",0,N(INDEX(報告入力!$AZ$7:$AZ$696,B127)))</f>
        <v>0</v>
      </c>
      <c r="I127" s="5" t="str">
        <f aca="false">設定!$C$39&amp;""</f>
        <v>1104001001</v>
      </c>
      <c r="J127" s="5" t="str">
        <f aca="false">設定!$D$39&amp;""</f>
        <v>普広銀市役所</v>
      </c>
      <c r="K127" s="5" t="n">
        <f aca="false">IF(AND(H127&lt;&gt;0,IF(設定!$B$6="入金確認済のみ",C127="入金確認済",OR(C127="入金確認済",C127="受領済"))),1,0)</f>
        <v>0</v>
      </c>
      <c r="L127" s="5" t="str">
        <f aca="false">1&amp;"|"&amp;25</f>
        <v>1|25</v>
      </c>
      <c r="M127" s="5" t="n">
        <f aca="false">IF(L127=L126,M126,0)+K127</f>
        <v>0</v>
      </c>
      <c r="N127" s="5" t="n">
        <f aca="false">IF(AND(K127=1,M127=1),1,0)</f>
        <v>0</v>
      </c>
      <c r="O127" s="5" t="str">
        <f aca="false">IF(K127=1,MAX($O$5:O126)+1,"")</f>
        <v/>
      </c>
      <c r="P127" s="5" t="str">
        <f aca="false">IF(K127=1,SUM($N$6:N127),"")</f>
        <v/>
      </c>
      <c r="Q127" s="5" t="str">
        <f aca="false">IF(K127=1,SUMIFS($H$6:$H$511,$L$6:$L$511,L127,$K$6:$K$511,1),"")</f>
        <v/>
      </c>
      <c r="R127" s="103" t="str">
        <f aca="false">IF(B127="","",IF(INDEX(報告入力!$AB$7:$AB$696,B127)="","",INDEX(報告入力!$AB$7:$AB$696,B127)))</f>
        <v/>
      </c>
      <c r="S127" s="5" t="str">
        <f aca="false">設定!$C$47</f>
        <v>長期：退職等年金掛金</v>
      </c>
    </row>
    <row r="128" customFormat="false" ht="15" hidden="false" customHeight="false" outlineLevel="0" collapsed="false">
      <c r="A128" s="5" t="str">
        <f aca="false">設定!B85</f>
        <v>農林水産振興センタ</v>
      </c>
      <c r="B128" s="5" t="n">
        <f aca="false">IFERROR(MATCH(ホーム!$C$4&amp;"|"&amp;A128,報告入力!$CM$7:$CM$696,0),"")</f>
        <v>347</v>
      </c>
      <c r="C128" s="5" t="str">
        <f aca="false">IF(B128="","",INDEX(報告入力!$C$7:$C$696,B128))</f>
        <v>未受領</v>
      </c>
      <c r="D128" s="5" t="str">
        <f aca="false">設定!$A$39</f>
        <v>長期（厚生年金保険経理）</v>
      </c>
      <c r="E128" s="5" t="str">
        <f aca="false">設定!$B$39&amp;""</f>
        <v>130</v>
      </c>
      <c r="F128" s="5" t="str">
        <f aca="false">設定!$D$48&amp;""</f>
        <v>6101002000</v>
      </c>
      <c r="G128" s="5" t="str">
        <f aca="false">設定!$E$48&amp;""</f>
        <v>負担地方公共</v>
      </c>
      <c r="H128" s="5" t="n">
        <f aca="false">IF(B128="",0,N(INDEX(報告入力!$BA$7:$BA$696,B128)))</f>
        <v>601155</v>
      </c>
      <c r="I128" s="5" t="str">
        <f aca="false">設定!$C$39&amp;""</f>
        <v>1104001001</v>
      </c>
      <c r="J128" s="5" t="str">
        <f aca="false">設定!$D$39&amp;""</f>
        <v>普広銀市役所</v>
      </c>
      <c r="K128" s="5" t="n">
        <f aca="false">IF(AND(H128&lt;&gt;0,IF(設定!$B$6="入金確認済のみ",C128="入金確認済",OR(C128="入金確認済",C128="受領済"))),1,0)</f>
        <v>0</v>
      </c>
      <c r="L128" s="5" t="str">
        <f aca="false">1&amp;"|"&amp;25</f>
        <v>1|25</v>
      </c>
      <c r="M128" s="5" t="n">
        <f aca="false">IF(L128=L127,M127,0)+K128</f>
        <v>0</v>
      </c>
      <c r="N128" s="5" t="n">
        <f aca="false">IF(AND(K128=1,M128=1),1,0)</f>
        <v>0</v>
      </c>
      <c r="O128" s="5" t="str">
        <f aca="false">IF(K128=1,MAX($O$5:O127)+1,"")</f>
        <v/>
      </c>
      <c r="P128" s="5" t="str">
        <f aca="false">IF(K128=1,SUM($N$6:N128),"")</f>
        <v/>
      </c>
      <c r="Q128" s="5" t="str">
        <f aca="false">IF(K128=1,SUMIFS($H$6:$H$511,$L$6:$L$511,L128,$K$6:$K$511,1),"")</f>
        <v/>
      </c>
      <c r="R128" s="103" t="str">
        <f aca="false">IF(B128="","",IF(INDEX(報告入力!$AB$7:$AB$696,B128)="","",INDEX(報告入力!$AB$7:$AB$696,B128)))</f>
        <v/>
      </c>
      <c r="S128" s="5" t="str">
        <f aca="false">設定!$C$48</f>
        <v>長期：厚生年金保険料（事業主負担分）</v>
      </c>
    </row>
    <row r="129" customFormat="false" ht="15" hidden="false" customHeight="false" outlineLevel="0" collapsed="false">
      <c r="A129" s="5" t="str">
        <f aca="false">設定!B85</f>
        <v>農林水産振興センタ</v>
      </c>
      <c r="B129" s="5" t="n">
        <f aca="false">IFERROR(MATCH(ホーム!$C$4&amp;"|"&amp;A129,報告入力!$CM$7:$CM$696,0),"")</f>
        <v>347</v>
      </c>
      <c r="C129" s="5" t="str">
        <f aca="false">IF(B129="","",INDEX(報告入力!$C$7:$C$696,B129))</f>
        <v>未受領</v>
      </c>
      <c r="D129" s="5" t="str">
        <f aca="false">設定!$A$39</f>
        <v>長期（厚生年金保険経理）</v>
      </c>
      <c r="E129" s="5" t="str">
        <f aca="false">設定!$B$39&amp;""</f>
        <v>130</v>
      </c>
      <c r="F129" s="5" t="str">
        <f aca="false">設定!$D$49&amp;""</f>
        <v>2109001015</v>
      </c>
      <c r="G129" s="5" t="str">
        <f aca="false">設定!$E$49&amp;""</f>
        <v>退職負担地方</v>
      </c>
      <c r="H129" s="5" t="n">
        <f aca="false">IF(B129="",0,N(INDEX(報告入力!$BB$7:$BB$696,B129)))</f>
        <v>49275</v>
      </c>
      <c r="I129" s="5" t="str">
        <f aca="false">設定!$C$39&amp;""</f>
        <v>1104001001</v>
      </c>
      <c r="J129" s="5" t="str">
        <f aca="false">設定!$D$39&amp;""</f>
        <v>普広銀市役所</v>
      </c>
      <c r="K129" s="5" t="n">
        <f aca="false">IF(AND(H129&lt;&gt;0,IF(設定!$B$6="入金確認済のみ",C129="入金確認済",OR(C129="入金確認済",C129="受領済"))),1,0)</f>
        <v>0</v>
      </c>
      <c r="L129" s="5" t="str">
        <f aca="false">1&amp;"|"&amp;25</f>
        <v>1|25</v>
      </c>
      <c r="M129" s="5" t="n">
        <f aca="false">IF(L129=L128,M128,0)+K129</f>
        <v>0</v>
      </c>
      <c r="N129" s="5" t="n">
        <f aca="false">IF(AND(K129=1,M129=1),1,0)</f>
        <v>0</v>
      </c>
      <c r="O129" s="5" t="str">
        <f aca="false">IF(K129=1,MAX($O$5:O128)+1,"")</f>
        <v/>
      </c>
      <c r="P129" s="5" t="str">
        <f aca="false">IF(K129=1,SUM($N$6:N129),"")</f>
        <v/>
      </c>
      <c r="Q129" s="5" t="str">
        <f aca="false">IF(K129=1,SUMIFS($H$6:$H$511,$L$6:$L$511,L129,$K$6:$K$511,1),"")</f>
        <v/>
      </c>
      <c r="R129" s="103" t="str">
        <f aca="false">IF(B129="","",IF(INDEX(報告入力!$AB$7:$AB$696,B129)="","",INDEX(報告入力!$AB$7:$AB$696,B129)))</f>
        <v/>
      </c>
      <c r="S129" s="5" t="str">
        <f aca="false">設定!$C$49</f>
        <v>長期：退職等年金負担金</v>
      </c>
    </row>
    <row r="130" customFormat="false" ht="15" hidden="false" customHeight="false" outlineLevel="0" collapsed="false">
      <c r="A130" s="5" t="str">
        <f aca="false">設定!B85</f>
        <v>農林水産振興センタ</v>
      </c>
      <c r="B130" s="5" t="n">
        <f aca="false">IFERROR(MATCH(ホーム!$C$4&amp;"|"&amp;A130,報告入力!$CM$7:$CM$696,0),"")</f>
        <v>347</v>
      </c>
      <c r="C130" s="5" t="str">
        <f aca="false">IF(B130="","",INDEX(報告入力!$C$7:$C$696,B130))</f>
        <v>未受領</v>
      </c>
      <c r="D130" s="5" t="str">
        <f aca="false">設定!$A$39</f>
        <v>長期（厚生年金保険経理）</v>
      </c>
      <c r="E130" s="5" t="str">
        <f aca="false">設定!$B$39&amp;""</f>
        <v>130</v>
      </c>
      <c r="F130" s="5" t="str">
        <f aca="false">設定!$D$50&amp;""</f>
        <v>2109001017</v>
      </c>
      <c r="G130" s="5" t="str">
        <f aca="false">設定!$E$50&amp;""</f>
        <v>経過的負担金</v>
      </c>
      <c r="H130" s="5" t="n">
        <f aca="false">IF(B130="",0,N(INDEX(報告入力!$BC$7:$BC$696,B130)))</f>
        <v>613</v>
      </c>
      <c r="I130" s="5" t="str">
        <f aca="false">設定!$C$39&amp;""</f>
        <v>1104001001</v>
      </c>
      <c r="J130" s="5" t="str">
        <f aca="false">設定!$D$39&amp;""</f>
        <v>普広銀市役所</v>
      </c>
      <c r="K130" s="5" t="n">
        <f aca="false">IF(AND(H130&lt;&gt;0,IF(設定!$B$6="入金確認済のみ",C130="入金確認済",OR(C130="入金確認済",C130="受領済"))),1,0)</f>
        <v>0</v>
      </c>
      <c r="L130" s="5" t="str">
        <f aca="false">1&amp;"|"&amp;25</f>
        <v>1|25</v>
      </c>
      <c r="M130" s="5" t="n">
        <f aca="false">IF(L130=L129,M129,0)+K130</f>
        <v>0</v>
      </c>
      <c r="N130" s="5" t="n">
        <f aca="false">IF(AND(K130=1,M130=1),1,0)</f>
        <v>0</v>
      </c>
      <c r="O130" s="5" t="str">
        <f aca="false">IF(K130=1,MAX($O$5:O129)+1,"")</f>
        <v/>
      </c>
      <c r="P130" s="5" t="str">
        <f aca="false">IF(K130=1,SUM($N$6:N130),"")</f>
        <v/>
      </c>
      <c r="Q130" s="5" t="str">
        <f aca="false">IF(K130=1,SUMIFS($H$6:$H$511,$L$6:$L$511,L130,$K$6:$K$511,1),"")</f>
        <v/>
      </c>
      <c r="R130" s="103" t="str">
        <f aca="false">IF(B130="","",IF(INDEX(報告入力!$AB$7:$AB$696,B130)="","",INDEX(報告入力!$AB$7:$AB$696,B130)))</f>
        <v/>
      </c>
      <c r="S130" s="5" t="str">
        <f aca="false">設定!$C$50</f>
        <v>長期：経過的長期</v>
      </c>
    </row>
    <row r="131" customFormat="false" ht="15" hidden="false" customHeight="false" outlineLevel="0" collapsed="false">
      <c r="A131" s="5" t="str">
        <f aca="false">設定!B86</f>
        <v>文化財団　市長部局</v>
      </c>
      <c r="B131" s="5" t="n">
        <f aca="false">IFERROR(MATCH(ホーム!$C$4&amp;"|"&amp;A131,報告入力!$CM$7:$CM$696,0),"")</f>
        <v>348</v>
      </c>
      <c r="C131" s="5" t="str">
        <f aca="false">IF(B131="","",INDEX(報告入力!$C$7:$C$696,B131))</f>
        <v>未受領</v>
      </c>
      <c r="D131" s="5" t="str">
        <f aca="false">設定!$A$39</f>
        <v>長期（厚生年金保険経理）</v>
      </c>
      <c r="E131" s="5" t="str">
        <f aca="false">設定!$B$39&amp;""</f>
        <v>130</v>
      </c>
      <c r="F131" s="5" t="str">
        <f aca="false">設定!$D$46&amp;""</f>
        <v>6102102000</v>
      </c>
      <c r="G131" s="5" t="str">
        <f aca="false">設定!$E$46&amp;""</f>
        <v>標月額保険料</v>
      </c>
      <c r="H131" s="5" t="n">
        <f aca="false">IF(B131="",0,N(INDEX(報告入力!$AY$7:$AY$696,B131)))</f>
        <v>0</v>
      </c>
      <c r="I131" s="5" t="str">
        <f aca="false">設定!$C$39&amp;""</f>
        <v>1104001001</v>
      </c>
      <c r="J131" s="5" t="str">
        <f aca="false">設定!$D$39&amp;""</f>
        <v>普広銀市役所</v>
      </c>
      <c r="K131" s="5" t="n">
        <f aca="false">IF(AND(H131&lt;&gt;0,IF(設定!$B$6="入金確認済のみ",C131="入金確認済",OR(C131="入金確認済",C131="受領済"))),1,0)</f>
        <v>0</v>
      </c>
      <c r="L131" s="5" t="str">
        <f aca="false">1&amp;"|"&amp;26</f>
        <v>1|26</v>
      </c>
      <c r="M131" s="5" t="n">
        <f aca="false">IF(L131=L130,M130,0)+K131</f>
        <v>0</v>
      </c>
      <c r="N131" s="5" t="n">
        <f aca="false">IF(AND(K131=1,M131=1),1,0)</f>
        <v>0</v>
      </c>
      <c r="O131" s="5" t="str">
        <f aca="false">IF(K131=1,MAX($O$5:O130)+1,"")</f>
        <v/>
      </c>
      <c r="P131" s="5" t="str">
        <f aca="false">IF(K131=1,SUM($N$6:N131),"")</f>
        <v/>
      </c>
      <c r="Q131" s="5" t="str">
        <f aca="false">IF(K131=1,SUMIFS($H$6:$H$511,$L$6:$L$511,L131,$K$6:$K$511,1),"")</f>
        <v/>
      </c>
      <c r="R131" s="103" t="str">
        <f aca="false">IF(B131="","",IF(INDEX(報告入力!$AB$7:$AB$696,B131)="","",INDEX(報告入力!$AB$7:$AB$696,B131)))</f>
        <v/>
      </c>
      <c r="S131" s="5" t="str">
        <f aca="false">設定!$C$46</f>
        <v>長期：厚生年金保険料（組合員負担分）</v>
      </c>
    </row>
    <row r="132" customFormat="false" ht="15" hidden="false" customHeight="false" outlineLevel="0" collapsed="false">
      <c r="A132" s="5" t="str">
        <f aca="false">設定!B86</f>
        <v>文化財団　市長部局</v>
      </c>
      <c r="B132" s="5" t="n">
        <f aca="false">IFERROR(MATCH(ホーム!$C$4&amp;"|"&amp;A132,報告入力!$CM$7:$CM$696,0),"")</f>
        <v>348</v>
      </c>
      <c r="C132" s="5" t="str">
        <f aca="false">IF(B132="","",INDEX(報告入力!$C$7:$C$696,B132))</f>
        <v>未受領</v>
      </c>
      <c r="D132" s="5" t="str">
        <f aca="false">設定!$A$39</f>
        <v>長期（厚生年金保険経理）</v>
      </c>
      <c r="E132" s="5" t="str">
        <f aca="false">設定!$B$39&amp;""</f>
        <v>130</v>
      </c>
      <c r="F132" s="5" t="str">
        <f aca="false">設定!$D$47&amp;""</f>
        <v>2109001014</v>
      </c>
      <c r="G132" s="5" t="str">
        <f aca="false">設定!$E$47&amp;""</f>
        <v>退職標報掛金</v>
      </c>
      <c r="H132" s="5" t="n">
        <f aca="false">IF(B132="",0,N(INDEX(報告入力!$AZ$7:$AZ$696,B132)))</f>
        <v>0</v>
      </c>
      <c r="I132" s="5" t="str">
        <f aca="false">設定!$C$39&amp;""</f>
        <v>1104001001</v>
      </c>
      <c r="J132" s="5" t="str">
        <f aca="false">設定!$D$39&amp;""</f>
        <v>普広銀市役所</v>
      </c>
      <c r="K132" s="5" t="n">
        <f aca="false">IF(AND(H132&lt;&gt;0,IF(設定!$B$6="入金確認済のみ",C132="入金確認済",OR(C132="入金確認済",C132="受領済"))),1,0)</f>
        <v>0</v>
      </c>
      <c r="L132" s="5" t="str">
        <f aca="false">1&amp;"|"&amp;26</f>
        <v>1|26</v>
      </c>
      <c r="M132" s="5" t="n">
        <f aca="false">IF(L132=L131,M131,0)+K132</f>
        <v>0</v>
      </c>
      <c r="N132" s="5" t="n">
        <f aca="false">IF(AND(K132=1,M132=1),1,0)</f>
        <v>0</v>
      </c>
      <c r="O132" s="5" t="str">
        <f aca="false">IF(K132=1,MAX($O$5:O131)+1,"")</f>
        <v/>
      </c>
      <c r="P132" s="5" t="str">
        <f aca="false">IF(K132=1,SUM($N$6:N132),"")</f>
        <v/>
      </c>
      <c r="Q132" s="5" t="str">
        <f aca="false">IF(K132=1,SUMIFS($H$6:$H$511,$L$6:$L$511,L132,$K$6:$K$511,1),"")</f>
        <v/>
      </c>
      <c r="R132" s="103" t="str">
        <f aca="false">IF(B132="","",IF(INDEX(報告入力!$AB$7:$AB$696,B132)="","",INDEX(報告入力!$AB$7:$AB$696,B132)))</f>
        <v/>
      </c>
      <c r="S132" s="5" t="str">
        <f aca="false">設定!$C$47</f>
        <v>長期：退職等年金掛金</v>
      </c>
    </row>
    <row r="133" customFormat="false" ht="15" hidden="false" customHeight="false" outlineLevel="0" collapsed="false">
      <c r="A133" s="5" t="str">
        <f aca="false">設定!B86</f>
        <v>文化財団　市長部局</v>
      </c>
      <c r="B133" s="5" t="n">
        <f aca="false">IFERROR(MATCH(ホーム!$C$4&amp;"|"&amp;A133,報告入力!$CM$7:$CM$696,0),"")</f>
        <v>348</v>
      </c>
      <c r="C133" s="5" t="str">
        <f aca="false">IF(B133="","",INDEX(報告入力!$C$7:$C$696,B133))</f>
        <v>未受領</v>
      </c>
      <c r="D133" s="5" t="str">
        <f aca="false">設定!$A$39</f>
        <v>長期（厚生年金保険経理）</v>
      </c>
      <c r="E133" s="5" t="str">
        <f aca="false">設定!$B$39&amp;""</f>
        <v>130</v>
      </c>
      <c r="F133" s="5" t="str">
        <f aca="false">設定!$D$48&amp;""</f>
        <v>6101002000</v>
      </c>
      <c r="G133" s="5" t="str">
        <f aca="false">設定!$E$48&amp;""</f>
        <v>負担地方公共</v>
      </c>
      <c r="H133" s="5" t="n">
        <f aca="false">IF(B133="",0,N(INDEX(報告入力!$BA$7:$BA$696,B133)))</f>
        <v>1160220</v>
      </c>
      <c r="I133" s="5" t="str">
        <f aca="false">設定!$C$39&amp;""</f>
        <v>1104001001</v>
      </c>
      <c r="J133" s="5" t="str">
        <f aca="false">設定!$D$39&amp;""</f>
        <v>普広銀市役所</v>
      </c>
      <c r="K133" s="5" t="n">
        <f aca="false">IF(AND(H133&lt;&gt;0,IF(設定!$B$6="入金確認済のみ",C133="入金確認済",OR(C133="入金確認済",C133="受領済"))),1,0)</f>
        <v>0</v>
      </c>
      <c r="L133" s="5" t="str">
        <f aca="false">1&amp;"|"&amp;26</f>
        <v>1|26</v>
      </c>
      <c r="M133" s="5" t="n">
        <f aca="false">IF(L133=L132,M132,0)+K133</f>
        <v>0</v>
      </c>
      <c r="N133" s="5" t="n">
        <f aca="false">IF(AND(K133=1,M133=1),1,0)</f>
        <v>0</v>
      </c>
      <c r="O133" s="5" t="str">
        <f aca="false">IF(K133=1,MAX($O$5:O132)+1,"")</f>
        <v/>
      </c>
      <c r="P133" s="5" t="str">
        <f aca="false">IF(K133=1,SUM($N$6:N133),"")</f>
        <v/>
      </c>
      <c r="Q133" s="5" t="str">
        <f aca="false">IF(K133=1,SUMIFS($H$6:$H$511,$L$6:$L$511,L133,$K$6:$K$511,1),"")</f>
        <v/>
      </c>
      <c r="R133" s="103" t="str">
        <f aca="false">IF(B133="","",IF(INDEX(報告入力!$AB$7:$AB$696,B133)="","",INDEX(報告入力!$AB$7:$AB$696,B133)))</f>
        <v/>
      </c>
      <c r="S133" s="5" t="str">
        <f aca="false">設定!$C$48</f>
        <v>長期：厚生年金保険料（事業主負担分）</v>
      </c>
    </row>
    <row r="134" customFormat="false" ht="15" hidden="false" customHeight="false" outlineLevel="0" collapsed="false">
      <c r="A134" s="5" t="str">
        <f aca="false">設定!B86</f>
        <v>文化財団　市長部局</v>
      </c>
      <c r="B134" s="5" t="n">
        <f aca="false">IFERROR(MATCH(ホーム!$C$4&amp;"|"&amp;A134,報告入力!$CM$7:$CM$696,0),"")</f>
        <v>348</v>
      </c>
      <c r="C134" s="5" t="str">
        <f aca="false">IF(B134="","",INDEX(報告入力!$C$7:$C$696,B134))</f>
        <v>未受領</v>
      </c>
      <c r="D134" s="5" t="str">
        <f aca="false">設定!$A$39</f>
        <v>長期（厚生年金保険経理）</v>
      </c>
      <c r="E134" s="5" t="str">
        <f aca="false">設定!$B$39&amp;""</f>
        <v>130</v>
      </c>
      <c r="F134" s="5" t="str">
        <f aca="false">設定!$D$49&amp;""</f>
        <v>2109001015</v>
      </c>
      <c r="G134" s="5" t="str">
        <f aca="false">設定!$E$49&amp;""</f>
        <v>退職負担地方</v>
      </c>
      <c r="H134" s="5" t="n">
        <f aca="false">IF(B134="",0,N(INDEX(報告入力!$BB$7:$BB$696,B134)))</f>
        <v>95100</v>
      </c>
      <c r="I134" s="5" t="str">
        <f aca="false">設定!$C$39&amp;""</f>
        <v>1104001001</v>
      </c>
      <c r="J134" s="5" t="str">
        <f aca="false">設定!$D$39&amp;""</f>
        <v>普広銀市役所</v>
      </c>
      <c r="K134" s="5" t="n">
        <f aca="false">IF(AND(H134&lt;&gt;0,IF(設定!$B$6="入金確認済のみ",C134="入金確認済",OR(C134="入金確認済",C134="受領済"))),1,0)</f>
        <v>0</v>
      </c>
      <c r="L134" s="5" t="str">
        <f aca="false">1&amp;"|"&amp;26</f>
        <v>1|26</v>
      </c>
      <c r="M134" s="5" t="n">
        <f aca="false">IF(L134=L133,M133,0)+K134</f>
        <v>0</v>
      </c>
      <c r="N134" s="5" t="n">
        <f aca="false">IF(AND(K134=1,M134=1),1,0)</f>
        <v>0</v>
      </c>
      <c r="O134" s="5" t="str">
        <f aca="false">IF(K134=1,MAX($O$5:O133)+1,"")</f>
        <v/>
      </c>
      <c r="P134" s="5" t="str">
        <f aca="false">IF(K134=1,SUM($N$6:N134),"")</f>
        <v/>
      </c>
      <c r="Q134" s="5" t="str">
        <f aca="false">IF(K134=1,SUMIFS($H$6:$H$511,$L$6:$L$511,L134,$K$6:$K$511,1),"")</f>
        <v/>
      </c>
      <c r="R134" s="103" t="str">
        <f aca="false">IF(B134="","",IF(INDEX(報告入力!$AB$7:$AB$696,B134)="","",INDEX(報告入力!$AB$7:$AB$696,B134)))</f>
        <v/>
      </c>
      <c r="S134" s="5" t="str">
        <f aca="false">設定!$C$49</f>
        <v>長期：退職等年金負担金</v>
      </c>
    </row>
    <row r="135" customFormat="false" ht="15" hidden="false" customHeight="false" outlineLevel="0" collapsed="false">
      <c r="A135" s="5" t="str">
        <f aca="false">設定!B86</f>
        <v>文化財団　市長部局</v>
      </c>
      <c r="B135" s="5" t="n">
        <f aca="false">IFERROR(MATCH(ホーム!$C$4&amp;"|"&amp;A135,報告入力!$CM$7:$CM$696,0),"")</f>
        <v>348</v>
      </c>
      <c r="C135" s="5" t="str">
        <f aca="false">IF(B135="","",INDEX(報告入力!$C$7:$C$696,B135))</f>
        <v>未受領</v>
      </c>
      <c r="D135" s="5" t="str">
        <f aca="false">設定!$A$39</f>
        <v>長期（厚生年金保険経理）</v>
      </c>
      <c r="E135" s="5" t="str">
        <f aca="false">設定!$B$39&amp;""</f>
        <v>130</v>
      </c>
      <c r="F135" s="5" t="str">
        <f aca="false">設定!$D$50&amp;""</f>
        <v>2109001017</v>
      </c>
      <c r="G135" s="5" t="str">
        <f aca="false">設定!$E$50&amp;""</f>
        <v>経過的負担金</v>
      </c>
      <c r="H135" s="5" t="n">
        <f aca="false">IF(B135="",0,N(INDEX(報告入力!$BC$7:$BC$696,B135)))</f>
        <v>1185</v>
      </c>
      <c r="I135" s="5" t="str">
        <f aca="false">設定!$C$39&amp;""</f>
        <v>1104001001</v>
      </c>
      <c r="J135" s="5" t="str">
        <f aca="false">設定!$D$39&amp;""</f>
        <v>普広銀市役所</v>
      </c>
      <c r="K135" s="5" t="n">
        <f aca="false">IF(AND(H135&lt;&gt;0,IF(設定!$B$6="入金確認済のみ",C135="入金確認済",OR(C135="入金確認済",C135="受領済"))),1,0)</f>
        <v>0</v>
      </c>
      <c r="L135" s="5" t="str">
        <f aca="false">1&amp;"|"&amp;26</f>
        <v>1|26</v>
      </c>
      <c r="M135" s="5" t="n">
        <f aca="false">IF(L135=L134,M134,0)+K135</f>
        <v>0</v>
      </c>
      <c r="N135" s="5" t="n">
        <f aca="false">IF(AND(K135=1,M135=1),1,0)</f>
        <v>0</v>
      </c>
      <c r="O135" s="5" t="str">
        <f aca="false">IF(K135=1,MAX($O$5:O134)+1,"")</f>
        <v/>
      </c>
      <c r="P135" s="5" t="str">
        <f aca="false">IF(K135=1,SUM($N$6:N135),"")</f>
        <v/>
      </c>
      <c r="Q135" s="5" t="str">
        <f aca="false">IF(K135=1,SUMIFS($H$6:$H$511,$L$6:$L$511,L135,$K$6:$K$511,1),"")</f>
        <v/>
      </c>
      <c r="R135" s="103" t="str">
        <f aca="false">IF(B135="","",IF(INDEX(報告入力!$AB$7:$AB$696,B135)="","",INDEX(報告入力!$AB$7:$AB$696,B135)))</f>
        <v/>
      </c>
      <c r="S135" s="5" t="str">
        <f aca="false">設定!$C$50</f>
        <v>長期：経過的長期</v>
      </c>
    </row>
    <row r="136" customFormat="false" ht="15" hidden="false" customHeight="false" outlineLevel="0" collapsed="false">
      <c r="A136" s="5" t="str">
        <f aca="false">設定!B87</f>
        <v>文化財団　教育委員会</v>
      </c>
      <c r="B136" s="5" t="n">
        <f aca="false">IFERROR(MATCH(ホーム!$C$4&amp;"|"&amp;A136,報告入力!$CM$7:$CM$696,0),"")</f>
        <v>349</v>
      </c>
      <c r="C136" s="5" t="str">
        <f aca="false">IF(B136="","",INDEX(報告入力!$C$7:$C$696,B136))</f>
        <v>未受領</v>
      </c>
      <c r="D136" s="5" t="str">
        <f aca="false">設定!$A$39</f>
        <v>長期（厚生年金保険経理）</v>
      </c>
      <c r="E136" s="5" t="str">
        <f aca="false">設定!$B$39&amp;""</f>
        <v>130</v>
      </c>
      <c r="F136" s="5" t="str">
        <f aca="false">設定!$D$46&amp;""</f>
        <v>6102102000</v>
      </c>
      <c r="G136" s="5" t="str">
        <f aca="false">設定!$E$46&amp;""</f>
        <v>標月額保険料</v>
      </c>
      <c r="H136" s="5" t="n">
        <f aca="false">IF(B136="",0,N(INDEX(報告入力!$AY$7:$AY$696,B136)))</f>
        <v>0</v>
      </c>
      <c r="I136" s="5" t="str">
        <f aca="false">設定!$C$39&amp;""</f>
        <v>1104001001</v>
      </c>
      <c r="J136" s="5" t="str">
        <f aca="false">設定!$D$39&amp;""</f>
        <v>普広銀市役所</v>
      </c>
      <c r="K136" s="5" t="n">
        <f aca="false">IF(AND(H136&lt;&gt;0,IF(設定!$B$6="入金確認済のみ",C136="入金確認済",OR(C136="入金確認済",C136="受領済"))),1,0)</f>
        <v>0</v>
      </c>
      <c r="L136" s="5" t="str">
        <f aca="false">1&amp;"|"&amp;27</f>
        <v>1|27</v>
      </c>
      <c r="M136" s="5" t="n">
        <f aca="false">IF(L136=L135,M135,0)+K136</f>
        <v>0</v>
      </c>
      <c r="N136" s="5" t="n">
        <f aca="false">IF(AND(K136=1,M136=1),1,0)</f>
        <v>0</v>
      </c>
      <c r="O136" s="5" t="str">
        <f aca="false">IF(K136=1,MAX($O$5:O135)+1,"")</f>
        <v/>
      </c>
      <c r="P136" s="5" t="str">
        <f aca="false">IF(K136=1,SUM($N$6:N136),"")</f>
        <v/>
      </c>
      <c r="Q136" s="5" t="str">
        <f aca="false">IF(K136=1,SUMIFS($H$6:$H$511,$L$6:$L$511,L136,$K$6:$K$511,1),"")</f>
        <v/>
      </c>
      <c r="R136" s="103" t="str">
        <f aca="false">IF(B136="","",IF(INDEX(報告入力!$AB$7:$AB$696,B136)="","",INDEX(報告入力!$AB$7:$AB$696,B136)))</f>
        <v/>
      </c>
      <c r="S136" s="5" t="str">
        <f aca="false">設定!$C$46</f>
        <v>長期：厚生年金保険料（組合員負担分）</v>
      </c>
    </row>
    <row r="137" customFormat="false" ht="15" hidden="false" customHeight="false" outlineLevel="0" collapsed="false">
      <c r="A137" s="5" t="str">
        <f aca="false">設定!B87</f>
        <v>文化財団　教育委員会</v>
      </c>
      <c r="B137" s="5" t="n">
        <f aca="false">IFERROR(MATCH(ホーム!$C$4&amp;"|"&amp;A137,報告入力!$CM$7:$CM$696,0),"")</f>
        <v>349</v>
      </c>
      <c r="C137" s="5" t="str">
        <f aca="false">IF(B137="","",INDEX(報告入力!$C$7:$C$696,B137))</f>
        <v>未受領</v>
      </c>
      <c r="D137" s="5" t="str">
        <f aca="false">設定!$A$39</f>
        <v>長期（厚生年金保険経理）</v>
      </c>
      <c r="E137" s="5" t="str">
        <f aca="false">設定!$B$39&amp;""</f>
        <v>130</v>
      </c>
      <c r="F137" s="5" t="str">
        <f aca="false">設定!$D$47&amp;""</f>
        <v>2109001014</v>
      </c>
      <c r="G137" s="5" t="str">
        <f aca="false">設定!$E$47&amp;""</f>
        <v>退職標報掛金</v>
      </c>
      <c r="H137" s="5" t="n">
        <f aca="false">IF(B137="",0,N(INDEX(報告入力!$AZ$7:$AZ$696,B137)))</f>
        <v>0</v>
      </c>
      <c r="I137" s="5" t="str">
        <f aca="false">設定!$C$39&amp;""</f>
        <v>1104001001</v>
      </c>
      <c r="J137" s="5" t="str">
        <f aca="false">設定!$D$39&amp;""</f>
        <v>普広銀市役所</v>
      </c>
      <c r="K137" s="5" t="n">
        <f aca="false">IF(AND(H137&lt;&gt;0,IF(設定!$B$6="入金確認済のみ",C137="入金確認済",OR(C137="入金確認済",C137="受領済"))),1,0)</f>
        <v>0</v>
      </c>
      <c r="L137" s="5" t="str">
        <f aca="false">1&amp;"|"&amp;27</f>
        <v>1|27</v>
      </c>
      <c r="M137" s="5" t="n">
        <f aca="false">IF(L137=L136,M136,0)+K137</f>
        <v>0</v>
      </c>
      <c r="N137" s="5" t="n">
        <f aca="false">IF(AND(K137=1,M137=1),1,0)</f>
        <v>0</v>
      </c>
      <c r="O137" s="5" t="str">
        <f aca="false">IF(K137=1,MAX($O$5:O136)+1,"")</f>
        <v/>
      </c>
      <c r="P137" s="5" t="str">
        <f aca="false">IF(K137=1,SUM($N$6:N137),"")</f>
        <v/>
      </c>
      <c r="Q137" s="5" t="str">
        <f aca="false">IF(K137=1,SUMIFS($H$6:$H$511,$L$6:$L$511,L137,$K$6:$K$511,1),"")</f>
        <v/>
      </c>
      <c r="R137" s="103" t="str">
        <f aca="false">IF(B137="","",IF(INDEX(報告入力!$AB$7:$AB$696,B137)="","",INDEX(報告入力!$AB$7:$AB$696,B137)))</f>
        <v/>
      </c>
      <c r="S137" s="5" t="str">
        <f aca="false">設定!$C$47</f>
        <v>長期：退職等年金掛金</v>
      </c>
    </row>
    <row r="138" customFormat="false" ht="15" hidden="false" customHeight="false" outlineLevel="0" collapsed="false">
      <c r="A138" s="5" t="str">
        <f aca="false">設定!B87</f>
        <v>文化財団　教育委員会</v>
      </c>
      <c r="B138" s="5" t="n">
        <f aca="false">IFERROR(MATCH(ホーム!$C$4&amp;"|"&amp;A138,報告入力!$CM$7:$CM$696,0),"")</f>
        <v>349</v>
      </c>
      <c r="C138" s="5" t="str">
        <f aca="false">IF(B138="","",INDEX(報告入力!$C$7:$C$696,B138))</f>
        <v>未受領</v>
      </c>
      <c r="D138" s="5" t="str">
        <f aca="false">設定!$A$39</f>
        <v>長期（厚生年金保険経理）</v>
      </c>
      <c r="E138" s="5" t="str">
        <f aca="false">設定!$B$39&amp;""</f>
        <v>130</v>
      </c>
      <c r="F138" s="5" t="str">
        <f aca="false">設定!$D$48&amp;""</f>
        <v>6101002000</v>
      </c>
      <c r="G138" s="5" t="str">
        <f aca="false">設定!$E$48&amp;""</f>
        <v>負担地方公共</v>
      </c>
      <c r="H138" s="5" t="n">
        <f aca="false">IF(B138="",0,N(INDEX(報告入力!$BA$7:$BA$696,B138)))</f>
        <v>0</v>
      </c>
      <c r="I138" s="5" t="str">
        <f aca="false">設定!$C$39&amp;""</f>
        <v>1104001001</v>
      </c>
      <c r="J138" s="5" t="str">
        <f aca="false">設定!$D$39&amp;""</f>
        <v>普広銀市役所</v>
      </c>
      <c r="K138" s="5" t="n">
        <f aca="false">IF(AND(H138&lt;&gt;0,IF(設定!$B$6="入金確認済のみ",C138="入金確認済",OR(C138="入金確認済",C138="受領済"))),1,0)</f>
        <v>0</v>
      </c>
      <c r="L138" s="5" t="str">
        <f aca="false">1&amp;"|"&amp;27</f>
        <v>1|27</v>
      </c>
      <c r="M138" s="5" t="n">
        <f aca="false">IF(L138=L137,M137,0)+K138</f>
        <v>0</v>
      </c>
      <c r="N138" s="5" t="n">
        <f aca="false">IF(AND(K138=1,M138=1),1,0)</f>
        <v>0</v>
      </c>
      <c r="O138" s="5" t="str">
        <f aca="false">IF(K138=1,MAX($O$5:O137)+1,"")</f>
        <v/>
      </c>
      <c r="P138" s="5" t="str">
        <f aca="false">IF(K138=1,SUM($N$6:N138),"")</f>
        <v/>
      </c>
      <c r="Q138" s="5" t="str">
        <f aca="false">IF(K138=1,SUMIFS($H$6:$H$511,$L$6:$L$511,L138,$K$6:$K$511,1),"")</f>
        <v/>
      </c>
      <c r="R138" s="103" t="str">
        <f aca="false">IF(B138="","",IF(INDEX(報告入力!$AB$7:$AB$696,B138)="","",INDEX(報告入力!$AB$7:$AB$696,B138)))</f>
        <v/>
      </c>
      <c r="S138" s="5" t="str">
        <f aca="false">設定!$C$48</f>
        <v>長期：厚生年金保険料（事業主負担分）</v>
      </c>
    </row>
    <row r="139" customFormat="false" ht="15" hidden="false" customHeight="false" outlineLevel="0" collapsed="false">
      <c r="A139" s="5" t="str">
        <f aca="false">設定!B87</f>
        <v>文化財団　教育委員会</v>
      </c>
      <c r="B139" s="5" t="n">
        <f aca="false">IFERROR(MATCH(ホーム!$C$4&amp;"|"&amp;A139,報告入力!$CM$7:$CM$696,0),"")</f>
        <v>349</v>
      </c>
      <c r="C139" s="5" t="str">
        <f aca="false">IF(B139="","",INDEX(報告入力!$C$7:$C$696,B139))</f>
        <v>未受領</v>
      </c>
      <c r="D139" s="5" t="str">
        <f aca="false">設定!$A$39</f>
        <v>長期（厚生年金保険経理）</v>
      </c>
      <c r="E139" s="5" t="str">
        <f aca="false">設定!$B$39&amp;""</f>
        <v>130</v>
      </c>
      <c r="F139" s="5" t="str">
        <f aca="false">設定!$D$49&amp;""</f>
        <v>2109001015</v>
      </c>
      <c r="G139" s="5" t="str">
        <f aca="false">設定!$E$49&amp;""</f>
        <v>退職負担地方</v>
      </c>
      <c r="H139" s="5" t="n">
        <f aca="false">IF(B139="",0,N(INDEX(報告入力!$BB$7:$BB$696,B139)))</f>
        <v>0</v>
      </c>
      <c r="I139" s="5" t="str">
        <f aca="false">設定!$C$39&amp;""</f>
        <v>1104001001</v>
      </c>
      <c r="J139" s="5" t="str">
        <f aca="false">設定!$D$39&amp;""</f>
        <v>普広銀市役所</v>
      </c>
      <c r="K139" s="5" t="n">
        <f aca="false">IF(AND(H139&lt;&gt;0,IF(設定!$B$6="入金確認済のみ",C139="入金確認済",OR(C139="入金確認済",C139="受領済"))),1,0)</f>
        <v>0</v>
      </c>
      <c r="L139" s="5" t="str">
        <f aca="false">1&amp;"|"&amp;27</f>
        <v>1|27</v>
      </c>
      <c r="M139" s="5" t="n">
        <f aca="false">IF(L139=L138,M138,0)+K139</f>
        <v>0</v>
      </c>
      <c r="N139" s="5" t="n">
        <f aca="false">IF(AND(K139=1,M139=1),1,0)</f>
        <v>0</v>
      </c>
      <c r="O139" s="5" t="str">
        <f aca="false">IF(K139=1,MAX($O$5:O138)+1,"")</f>
        <v/>
      </c>
      <c r="P139" s="5" t="str">
        <f aca="false">IF(K139=1,SUM($N$6:N139),"")</f>
        <v/>
      </c>
      <c r="Q139" s="5" t="str">
        <f aca="false">IF(K139=1,SUMIFS($H$6:$H$511,$L$6:$L$511,L139,$K$6:$K$511,1),"")</f>
        <v/>
      </c>
      <c r="R139" s="103" t="str">
        <f aca="false">IF(B139="","",IF(INDEX(報告入力!$AB$7:$AB$696,B139)="","",INDEX(報告入力!$AB$7:$AB$696,B139)))</f>
        <v/>
      </c>
      <c r="S139" s="5" t="str">
        <f aca="false">設定!$C$49</f>
        <v>長期：退職等年金負担金</v>
      </c>
    </row>
    <row r="140" customFormat="false" ht="15" hidden="false" customHeight="false" outlineLevel="0" collapsed="false">
      <c r="A140" s="5" t="str">
        <f aca="false">設定!B87</f>
        <v>文化財団　教育委員会</v>
      </c>
      <c r="B140" s="5" t="n">
        <f aca="false">IFERROR(MATCH(ホーム!$C$4&amp;"|"&amp;A140,報告入力!$CM$7:$CM$696,0),"")</f>
        <v>349</v>
      </c>
      <c r="C140" s="5" t="str">
        <f aca="false">IF(B140="","",INDEX(報告入力!$C$7:$C$696,B140))</f>
        <v>未受領</v>
      </c>
      <c r="D140" s="5" t="str">
        <f aca="false">設定!$A$39</f>
        <v>長期（厚生年金保険経理）</v>
      </c>
      <c r="E140" s="5" t="str">
        <f aca="false">設定!$B$39&amp;""</f>
        <v>130</v>
      </c>
      <c r="F140" s="5" t="str">
        <f aca="false">設定!$D$50&amp;""</f>
        <v>2109001017</v>
      </c>
      <c r="G140" s="5" t="str">
        <f aca="false">設定!$E$50&amp;""</f>
        <v>経過的負担金</v>
      </c>
      <c r="H140" s="5" t="n">
        <f aca="false">IF(B140="",0,N(INDEX(報告入力!$BC$7:$BC$696,B140)))</f>
        <v>0</v>
      </c>
      <c r="I140" s="5" t="str">
        <f aca="false">設定!$C$39&amp;""</f>
        <v>1104001001</v>
      </c>
      <c r="J140" s="5" t="str">
        <f aca="false">設定!$D$39&amp;""</f>
        <v>普広銀市役所</v>
      </c>
      <c r="K140" s="5" t="n">
        <f aca="false">IF(AND(H140&lt;&gt;0,IF(設定!$B$6="入金確認済のみ",C140="入金確認済",OR(C140="入金確認済",C140="受領済"))),1,0)</f>
        <v>0</v>
      </c>
      <c r="L140" s="5" t="str">
        <f aca="false">1&amp;"|"&amp;27</f>
        <v>1|27</v>
      </c>
      <c r="M140" s="5" t="n">
        <f aca="false">IF(L140=L139,M139,0)+K140</f>
        <v>0</v>
      </c>
      <c r="N140" s="5" t="n">
        <f aca="false">IF(AND(K140=1,M140=1),1,0)</f>
        <v>0</v>
      </c>
      <c r="O140" s="5" t="str">
        <f aca="false">IF(K140=1,MAX($O$5:O139)+1,"")</f>
        <v/>
      </c>
      <c r="P140" s="5" t="str">
        <f aca="false">IF(K140=1,SUM($N$6:N140),"")</f>
        <v/>
      </c>
      <c r="Q140" s="5" t="str">
        <f aca="false">IF(K140=1,SUMIFS($H$6:$H$511,$L$6:$L$511,L140,$K$6:$K$511,1),"")</f>
        <v/>
      </c>
      <c r="R140" s="103" t="str">
        <f aca="false">IF(B140="","",IF(INDEX(報告入力!$AB$7:$AB$696,B140)="","",INDEX(報告入力!$AB$7:$AB$696,B140)))</f>
        <v/>
      </c>
      <c r="S140" s="5" t="str">
        <f aca="false">設定!$C$50</f>
        <v>長期：経過的長期</v>
      </c>
    </row>
    <row r="141" customFormat="false" ht="15" hidden="false" customHeight="false" outlineLevel="0" collapsed="false">
      <c r="A141" s="5" t="str">
        <f aca="false">設定!B88</f>
        <v>みどり生きもの協会</v>
      </c>
      <c r="B141" s="5" t="n">
        <f aca="false">IFERROR(MATCH(ホーム!$C$4&amp;"|"&amp;A141,報告入力!$CM$7:$CM$696,0),"")</f>
        <v>350</v>
      </c>
      <c r="C141" s="5" t="str">
        <f aca="false">IF(B141="","",INDEX(報告入力!$C$7:$C$696,B141))</f>
        <v>未受領</v>
      </c>
      <c r="D141" s="5" t="str">
        <f aca="false">設定!$A$39</f>
        <v>長期（厚生年金保険経理）</v>
      </c>
      <c r="E141" s="5" t="str">
        <f aca="false">設定!$B$39&amp;""</f>
        <v>130</v>
      </c>
      <c r="F141" s="5" t="str">
        <f aca="false">設定!$D$46&amp;""</f>
        <v>6102102000</v>
      </c>
      <c r="G141" s="5" t="str">
        <f aca="false">設定!$E$46&amp;""</f>
        <v>標月額保険料</v>
      </c>
      <c r="H141" s="5" t="n">
        <f aca="false">IF(B141="",0,N(INDEX(報告入力!$AY$7:$AY$696,B141)))</f>
        <v>0</v>
      </c>
      <c r="I141" s="5" t="str">
        <f aca="false">設定!$C$39&amp;""</f>
        <v>1104001001</v>
      </c>
      <c r="J141" s="5" t="str">
        <f aca="false">設定!$D$39&amp;""</f>
        <v>普広銀市役所</v>
      </c>
      <c r="K141" s="5" t="n">
        <f aca="false">IF(AND(H141&lt;&gt;0,IF(設定!$B$6="入金確認済のみ",C141="入金確認済",OR(C141="入金確認済",C141="受領済"))),1,0)</f>
        <v>0</v>
      </c>
      <c r="L141" s="5" t="str">
        <f aca="false">1&amp;"|"&amp;28</f>
        <v>1|28</v>
      </c>
      <c r="M141" s="5" t="n">
        <f aca="false">IF(L141=L140,M140,0)+K141</f>
        <v>0</v>
      </c>
      <c r="N141" s="5" t="n">
        <f aca="false">IF(AND(K141=1,M141=1),1,0)</f>
        <v>0</v>
      </c>
      <c r="O141" s="5" t="str">
        <f aca="false">IF(K141=1,MAX($O$5:O140)+1,"")</f>
        <v/>
      </c>
      <c r="P141" s="5" t="str">
        <f aca="false">IF(K141=1,SUM($N$6:N141),"")</f>
        <v/>
      </c>
      <c r="Q141" s="5" t="str">
        <f aca="false">IF(K141=1,SUMIFS($H$6:$H$511,$L$6:$L$511,L141,$K$6:$K$511,1),"")</f>
        <v/>
      </c>
      <c r="R141" s="103" t="str">
        <f aca="false">IF(B141="","",IF(INDEX(報告入力!$AB$7:$AB$696,B141)="","",INDEX(報告入力!$AB$7:$AB$696,B141)))</f>
        <v/>
      </c>
      <c r="S141" s="5" t="str">
        <f aca="false">設定!$C$46</f>
        <v>長期：厚生年金保険料（組合員負担分）</v>
      </c>
    </row>
    <row r="142" customFormat="false" ht="15" hidden="false" customHeight="false" outlineLevel="0" collapsed="false">
      <c r="A142" s="5" t="str">
        <f aca="false">設定!B88</f>
        <v>みどり生きもの協会</v>
      </c>
      <c r="B142" s="5" t="n">
        <f aca="false">IFERROR(MATCH(ホーム!$C$4&amp;"|"&amp;A142,報告入力!$CM$7:$CM$696,0),"")</f>
        <v>350</v>
      </c>
      <c r="C142" s="5" t="str">
        <f aca="false">IF(B142="","",INDEX(報告入力!$C$7:$C$696,B142))</f>
        <v>未受領</v>
      </c>
      <c r="D142" s="5" t="str">
        <f aca="false">設定!$A$39</f>
        <v>長期（厚生年金保険経理）</v>
      </c>
      <c r="E142" s="5" t="str">
        <f aca="false">設定!$B$39&amp;""</f>
        <v>130</v>
      </c>
      <c r="F142" s="5" t="str">
        <f aca="false">設定!$D$47&amp;""</f>
        <v>2109001014</v>
      </c>
      <c r="G142" s="5" t="str">
        <f aca="false">設定!$E$47&amp;""</f>
        <v>退職標報掛金</v>
      </c>
      <c r="H142" s="5" t="n">
        <f aca="false">IF(B142="",0,N(INDEX(報告入力!$AZ$7:$AZ$696,B142)))</f>
        <v>0</v>
      </c>
      <c r="I142" s="5" t="str">
        <f aca="false">設定!$C$39&amp;""</f>
        <v>1104001001</v>
      </c>
      <c r="J142" s="5" t="str">
        <f aca="false">設定!$D$39&amp;""</f>
        <v>普広銀市役所</v>
      </c>
      <c r="K142" s="5" t="n">
        <f aca="false">IF(AND(H142&lt;&gt;0,IF(設定!$B$6="入金確認済のみ",C142="入金確認済",OR(C142="入金確認済",C142="受領済"))),1,0)</f>
        <v>0</v>
      </c>
      <c r="L142" s="5" t="str">
        <f aca="false">1&amp;"|"&amp;28</f>
        <v>1|28</v>
      </c>
      <c r="M142" s="5" t="n">
        <f aca="false">IF(L142=L141,M141,0)+K142</f>
        <v>0</v>
      </c>
      <c r="N142" s="5" t="n">
        <f aca="false">IF(AND(K142=1,M142=1),1,0)</f>
        <v>0</v>
      </c>
      <c r="O142" s="5" t="str">
        <f aca="false">IF(K142=1,MAX($O$5:O141)+1,"")</f>
        <v/>
      </c>
      <c r="P142" s="5" t="str">
        <f aca="false">IF(K142=1,SUM($N$6:N142),"")</f>
        <v/>
      </c>
      <c r="Q142" s="5" t="str">
        <f aca="false">IF(K142=1,SUMIFS($H$6:$H$511,$L$6:$L$511,L142,$K$6:$K$511,1),"")</f>
        <v/>
      </c>
      <c r="R142" s="103" t="str">
        <f aca="false">IF(B142="","",IF(INDEX(報告入力!$AB$7:$AB$696,B142)="","",INDEX(報告入力!$AB$7:$AB$696,B142)))</f>
        <v/>
      </c>
      <c r="S142" s="5" t="str">
        <f aca="false">設定!$C$47</f>
        <v>長期：退職等年金掛金</v>
      </c>
    </row>
    <row r="143" customFormat="false" ht="15" hidden="false" customHeight="false" outlineLevel="0" collapsed="false">
      <c r="A143" s="5" t="str">
        <f aca="false">設定!B88</f>
        <v>みどり生きもの協会</v>
      </c>
      <c r="B143" s="5" t="n">
        <f aca="false">IFERROR(MATCH(ホーム!$C$4&amp;"|"&amp;A143,報告入力!$CM$7:$CM$696,0),"")</f>
        <v>350</v>
      </c>
      <c r="C143" s="5" t="str">
        <f aca="false">IF(B143="","",INDEX(報告入力!$C$7:$C$696,B143))</f>
        <v>未受領</v>
      </c>
      <c r="D143" s="5" t="str">
        <f aca="false">設定!$A$39</f>
        <v>長期（厚生年金保険経理）</v>
      </c>
      <c r="E143" s="5" t="str">
        <f aca="false">設定!$B$39&amp;""</f>
        <v>130</v>
      </c>
      <c r="F143" s="5" t="str">
        <f aca="false">設定!$D$48&amp;""</f>
        <v>6101002000</v>
      </c>
      <c r="G143" s="5" t="str">
        <f aca="false">設定!$E$48&amp;""</f>
        <v>負担地方公共</v>
      </c>
      <c r="H143" s="5" t="n">
        <f aca="false">IF(B143="",0,N(INDEX(報告入力!$BA$7:$BA$696,B143)))</f>
        <v>394365</v>
      </c>
      <c r="I143" s="5" t="str">
        <f aca="false">設定!$C$39&amp;""</f>
        <v>1104001001</v>
      </c>
      <c r="J143" s="5" t="str">
        <f aca="false">設定!$D$39&amp;""</f>
        <v>普広銀市役所</v>
      </c>
      <c r="K143" s="5" t="n">
        <f aca="false">IF(AND(H143&lt;&gt;0,IF(設定!$B$6="入金確認済のみ",C143="入金確認済",OR(C143="入金確認済",C143="受領済"))),1,0)</f>
        <v>0</v>
      </c>
      <c r="L143" s="5" t="str">
        <f aca="false">1&amp;"|"&amp;28</f>
        <v>1|28</v>
      </c>
      <c r="M143" s="5" t="n">
        <f aca="false">IF(L143=L142,M142,0)+K143</f>
        <v>0</v>
      </c>
      <c r="N143" s="5" t="n">
        <f aca="false">IF(AND(K143=1,M143=1),1,0)</f>
        <v>0</v>
      </c>
      <c r="O143" s="5" t="str">
        <f aca="false">IF(K143=1,MAX($O$5:O142)+1,"")</f>
        <v/>
      </c>
      <c r="P143" s="5" t="str">
        <f aca="false">IF(K143=1,SUM($N$6:N143),"")</f>
        <v/>
      </c>
      <c r="Q143" s="5" t="str">
        <f aca="false">IF(K143=1,SUMIFS($H$6:$H$511,$L$6:$L$511,L143,$K$6:$K$511,1),"")</f>
        <v/>
      </c>
      <c r="R143" s="103" t="str">
        <f aca="false">IF(B143="","",IF(INDEX(報告入力!$AB$7:$AB$696,B143)="","",INDEX(報告入力!$AB$7:$AB$696,B143)))</f>
        <v/>
      </c>
      <c r="S143" s="5" t="str">
        <f aca="false">設定!$C$48</f>
        <v>長期：厚生年金保険料（事業主負担分）</v>
      </c>
    </row>
    <row r="144" customFormat="false" ht="15" hidden="false" customHeight="false" outlineLevel="0" collapsed="false">
      <c r="A144" s="5" t="str">
        <f aca="false">設定!B88</f>
        <v>みどり生きもの協会</v>
      </c>
      <c r="B144" s="5" t="n">
        <f aca="false">IFERROR(MATCH(ホーム!$C$4&amp;"|"&amp;A144,報告入力!$CM$7:$CM$696,0),"")</f>
        <v>350</v>
      </c>
      <c r="C144" s="5" t="str">
        <f aca="false">IF(B144="","",INDEX(報告入力!$C$7:$C$696,B144))</f>
        <v>未受領</v>
      </c>
      <c r="D144" s="5" t="str">
        <f aca="false">設定!$A$39</f>
        <v>長期（厚生年金保険経理）</v>
      </c>
      <c r="E144" s="5" t="str">
        <f aca="false">設定!$B$39&amp;""</f>
        <v>130</v>
      </c>
      <c r="F144" s="5" t="str">
        <f aca="false">設定!$D$49&amp;""</f>
        <v>2109001015</v>
      </c>
      <c r="G144" s="5" t="str">
        <f aca="false">設定!$E$49&amp;""</f>
        <v>退職負担地方</v>
      </c>
      <c r="H144" s="5" t="n">
        <f aca="false">IF(B144="",0,N(INDEX(報告入力!$BB$7:$BB$696,B144)))</f>
        <v>32325</v>
      </c>
      <c r="I144" s="5" t="str">
        <f aca="false">設定!$C$39&amp;""</f>
        <v>1104001001</v>
      </c>
      <c r="J144" s="5" t="str">
        <f aca="false">設定!$D$39&amp;""</f>
        <v>普広銀市役所</v>
      </c>
      <c r="K144" s="5" t="n">
        <f aca="false">IF(AND(H144&lt;&gt;0,IF(設定!$B$6="入金確認済のみ",C144="入金確認済",OR(C144="入金確認済",C144="受領済"))),1,0)</f>
        <v>0</v>
      </c>
      <c r="L144" s="5" t="str">
        <f aca="false">1&amp;"|"&amp;28</f>
        <v>1|28</v>
      </c>
      <c r="M144" s="5" t="n">
        <f aca="false">IF(L144=L143,M143,0)+K144</f>
        <v>0</v>
      </c>
      <c r="N144" s="5" t="n">
        <f aca="false">IF(AND(K144=1,M144=1),1,0)</f>
        <v>0</v>
      </c>
      <c r="O144" s="5" t="str">
        <f aca="false">IF(K144=1,MAX($O$5:O143)+1,"")</f>
        <v/>
      </c>
      <c r="P144" s="5" t="str">
        <f aca="false">IF(K144=1,SUM($N$6:N144),"")</f>
        <v/>
      </c>
      <c r="Q144" s="5" t="str">
        <f aca="false">IF(K144=1,SUMIFS($H$6:$H$511,$L$6:$L$511,L144,$K$6:$K$511,1),"")</f>
        <v/>
      </c>
      <c r="R144" s="103" t="str">
        <f aca="false">IF(B144="","",IF(INDEX(報告入力!$AB$7:$AB$696,B144)="","",INDEX(報告入力!$AB$7:$AB$696,B144)))</f>
        <v/>
      </c>
      <c r="S144" s="5" t="str">
        <f aca="false">設定!$C$49</f>
        <v>長期：退職等年金負担金</v>
      </c>
    </row>
    <row r="145" customFormat="false" ht="15" hidden="false" customHeight="false" outlineLevel="0" collapsed="false">
      <c r="A145" s="5" t="str">
        <f aca="false">設定!B88</f>
        <v>みどり生きもの協会</v>
      </c>
      <c r="B145" s="5" t="n">
        <f aca="false">IFERROR(MATCH(ホーム!$C$4&amp;"|"&amp;A145,報告入力!$CM$7:$CM$696,0),"")</f>
        <v>350</v>
      </c>
      <c r="C145" s="5" t="str">
        <f aca="false">IF(B145="","",INDEX(報告入力!$C$7:$C$696,B145))</f>
        <v>未受領</v>
      </c>
      <c r="D145" s="5" t="str">
        <f aca="false">設定!$A$39</f>
        <v>長期（厚生年金保険経理）</v>
      </c>
      <c r="E145" s="5" t="str">
        <f aca="false">設定!$B$39&amp;""</f>
        <v>130</v>
      </c>
      <c r="F145" s="5" t="str">
        <f aca="false">設定!$D$50&amp;""</f>
        <v>2109001017</v>
      </c>
      <c r="G145" s="5" t="str">
        <f aca="false">設定!$E$50&amp;""</f>
        <v>経過的負担金</v>
      </c>
      <c r="H145" s="5" t="n">
        <f aca="false">IF(B145="",0,N(INDEX(報告入力!$BC$7:$BC$696,B145)))</f>
        <v>403</v>
      </c>
      <c r="I145" s="5" t="str">
        <f aca="false">設定!$C$39&amp;""</f>
        <v>1104001001</v>
      </c>
      <c r="J145" s="5" t="str">
        <f aca="false">設定!$D$39&amp;""</f>
        <v>普広銀市役所</v>
      </c>
      <c r="K145" s="5" t="n">
        <f aca="false">IF(AND(H145&lt;&gt;0,IF(設定!$B$6="入金確認済のみ",C145="入金確認済",OR(C145="入金確認済",C145="受領済"))),1,0)</f>
        <v>0</v>
      </c>
      <c r="L145" s="5" t="str">
        <f aca="false">1&amp;"|"&amp;28</f>
        <v>1|28</v>
      </c>
      <c r="M145" s="5" t="n">
        <f aca="false">IF(L145=L144,M144,0)+K145</f>
        <v>0</v>
      </c>
      <c r="N145" s="5" t="n">
        <f aca="false">IF(AND(K145=1,M145=1),1,0)</f>
        <v>0</v>
      </c>
      <c r="O145" s="5" t="str">
        <f aca="false">IF(K145=1,MAX($O$5:O144)+1,"")</f>
        <v/>
      </c>
      <c r="P145" s="5" t="str">
        <f aca="false">IF(K145=1,SUM($N$6:N145),"")</f>
        <v/>
      </c>
      <c r="Q145" s="5" t="str">
        <f aca="false">IF(K145=1,SUMIFS($H$6:$H$511,$L$6:$L$511,L145,$K$6:$K$511,1),"")</f>
        <v/>
      </c>
      <c r="R145" s="103" t="str">
        <f aca="false">IF(B145="","",IF(INDEX(報告入力!$AB$7:$AB$696,B145)="","",INDEX(報告入力!$AB$7:$AB$696,B145)))</f>
        <v/>
      </c>
      <c r="S145" s="5" t="str">
        <f aca="false">設定!$C$50</f>
        <v>長期：経過的長期</v>
      </c>
    </row>
    <row r="146" customFormat="false" ht="15" hidden="false" customHeight="false" outlineLevel="0" collapsed="false">
      <c r="A146" s="5" t="str">
        <f aca="false">設定!B89</f>
        <v>県下水道公社</v>
      </c>
      <c r="B146" s="5" t="n">
        <f aca="false">IFERROR(MATCH(ホーム!$C$4&amp;"|"&amp;A146,報告入力!$CM$7:$CM$696,0),"")</f>
        <v>351</v>
      </c>
      <c r="C146" s="5" t="str">
        <f aca="false">IF(B146="","",INDEX(報告入力!$C$7:$C$696,B146))</f>
        <v>未受領</v>
      </c>
      <c r="D146" s="5" t="str">
        <f aca="false">設定!$A$39</f>
        <v>長期（厚生年金保険経理）</v>
      </c>
      <c r="E146" s="5" t="str">
        <f aca="false">設定!$B$39&amp;""</f>
        <v>130</v>
      </c>
      <c r="F146" s="5" t="str">
        <f aca="false">設定!$D$46&amp;""</f>
        <v>6102102000</v>
      </c>
      <c r="G146" s="5" t="str">
        <f aca="false">設定!$E$46&amp;""</f>
        <v>標月額保険料</v>
      </c>
      <c r="H146" s="5" t="n">
        <f aca="false">IF(B146="",0,N(INDEX(報告入力!$AY$7:$AY$696,B146)))</f>
        <v>137250</v>
      </c>
      <c r="I146" s="5" t="str">
        <f aca="false">設定!$C$39&amp;""</f>
        <v>1104001001</v>
      </c>
      <c r="J146" s="5" t="str">
        <f aca="false">設定!$D$39&amp;""</f>
        <v>普広銀市役所</v>
      </c>
      <c r="K146" s="5" t="n">
        <f aca="false">IF(AND(H146&lt;&gt;0,IF(設定!$B$6="入金確認済のみ",C146="入金確認済",OR(C146="入金確認済",C146="受領済"))),1,0)</f>
        <v>0</v>
      </c>
      <c r="L146" s="5" t="str">
        <f aca="false">1&amp;"|"&amp;29</f>
        <v>1|29</v>
      </c>
      <c r="M146" s="5" t="n">
        <f aca="false">IF(L146=L145,M145,0)+K146</f>
        <v>0</v>
      </c>
      <c r="N146" s="5" t="n">
        <f aca="false">IF(AND(K146=1,M146=1),1,0)</f>
        <v>0</v>
      </c>
      <c r="O146" s="5" t="str">
        <f aca="false">IF(K146=1,MAX($O$5:O145)+1,"")</f>
        <v/>
      </c>
      <c r="P146" s="5" t="str">
        <f aca="false">IF(K146=1,SUM($N$6:N146),"")</f>
        <v/>
      </c>
      <c r="Q146" s="5" t="str">
        <f aca="false">IF(K146=1,SUMIFS($H$6:$H$511,$L$6:$L$511,L146,$K$6:$K$511,1),"")</f>
        <v/>
      </c>
      <c r="R146" s="103" t="str">
        <f aca="false">IF(B146="","",IF(INDEX(報告入力!$AB$7:$AB$696,B146)="","",INDEX(報告入力!$AB$7:$AB$696,B146)))</f>
        <v/>
      </c>
      <c r="S146" s="5" t="str">
        <f aca="false">設定!$C$46</f>
        <v>長期：厚生年金保険料（組合員負担分）</v>
      </c>
    </row>
    <row r="147" customFormat="false" ht="15" hidden="false" customHeight="false" outlineLevel="0" collapsed="false">
      <c r="A147" s="5" t="str">
        <f aca="false">設定!B89</f>
        <v>県下水道公社</v>
      </c>
      <c r="B147" s="5" t="n">
        <f aca="false">IFERROR(MATCH(ホーム!$C$4&amp;"|"&amp;A147,報告入力!$CM$7:$CM$696,0),"")</f>
        <v>351</v>
      </c>
      <c r="C147" s="5" t="str">
        <f aca="false">IF(B147="","",INDEX(報告入力!$C$7:$C$696,B147))</f>
        <v>未受領</v>
      </c>
      <c r="D147" s="5" t="str">
        <f aca="false">設定!$A$39</f>
        <v>長期（厚生年金保険経理）</v>
      </c>
      <c r="E147" s="5" t="str">
        <f aca="false">設定!$B$39&amp;""</f>
        <v>130</v>
      </c>
      <c r="F147" s="5" t="str">
        <f aca="false">設定!$D$47&amp;""</f>
        <v>2109001014</v>
      </c>
      <c r="G147" s="5" t="str">
        <f aca="false">設定!$E$47&amp;""</f>
        <v>退職標報掛金</v>
      </c>
      <c r="H147" s="5" t="n">
        <f aca="false">IF(B147="",0,N(INDEX(報告入力!$AZ$7:$AZ$696,B147)))</f>
        <v>11250</v>
      </c>
      <c r="I147" s="5" t="str">
        <f aca="false">設定!$C$39&amp;""</f>
        <v>1104001001</v>
      </c>
      <c r="J147" s="5" t="str">
        <f aca="false">設定!$D$39&amp;""</f>
        <v>普広銀市役所</v>
      </c>
      <c r="K147" s="5" t="n">
        <f aca="false">IF(AND(H147&lt;&gt;0,IF(設定!$B$6="入金確認済のみ",C147="入金確認済",OR(C147="入金確認済",C147="受領済"))),1,0)</f>
        <v>0</v>
      </c>
      <c r="L147" s="5" t="str">
        <f aca="false">1&amp;"|"&amp;29</f>
        <v>1|29</v>
      </c>
      <c r="M147" s="5" t="n">
        <f aca="false">IF(L147=L146,M146,0)+K147</f>
        <v>0</v>
      </c>
      <c r="N147" s="5" t="n">
        <f aca="false">IF(AND(K147=1,M147=1),1,0)</f>
        <v>0</v>
      </c>
      <c r="O147" s="5" t="str">
        <f aca="false">IF(K147=1,MAX($O$5:O146)+1,"")</f>
        <v/>
      </c>
      <c r="P147" s="5" t="str">
        <f aca="false">IF(K147=1,SUM($N$6:N147),"")</f>
        <v/>
      </c>
      <c r="Q147" s="5" t="str">
        <f aca="false">IF(K147=1,SUMIFS($H$6:$H$511,$L$6:$L$511,L147,$K$6:$K$511,1),"")</f>
        <v/>
      </c>
      <c r="R147" s="103" t="str">
        <f aca="false">IF(B147="","",IF(INDEX(報告入力!$AB$7:$AB$696,B147)="","",INDEX(報告入力!$AB$7:$AB$696,B147)))</f>
        <v/>
      </c>
      <c r="S147" s="5" t="str">
        <f aca="false">設定!$C$47</f>
        <v>長期：退職等年金掛金</v>
      </c>
    </row>
    <row r="148" customFormat="false" ht="15" hidden="false" customHeight="false" outlineLevel="0" collapsed="false">
      <c r="A148" s="5" t="str">
        <f aca="false">設定!B89</f>
        <v>県下水道公社</v>
      </c>
      <c r="B148" s="5" t="n">
        <f aca="false">IFERROR(MATCH(ホーム!$C$4&amp;"|"&amp;A148,報告入力!$CM$7:$CM$696,0),"")</f>
        <v>351</v>
      </c>
      <c r="C148" s="5" t="str">
        <f aca="false">IF(B148="","",INDEX(報告入力!$C$7:$C$696,B148))</f>
        <v>未受領</v>
      </c>
      <c r="D148" s="5" t="str">
        <f aca="false">設定!$A$39</f>
        <v>長期（厚生年金保険経理）</v>
      </c>
      <c r="E148" s="5" t="str">
        <f aca="false">設定!$B$39&amp;""</f>
        <v>130</v>
      </c>
      <c r="F148" s="5" t="str">
        <f aca="false">設定!$D$48&amp;""</f>
        <v>6101002000</v>
      </c>
      <c r="G148" s="5" t="str">
        <f aca="false">設定!$E$48&amp;""</f>
        <v>負担地方公共</v>
      </c>
      <c r="H148" s="5" t="n">
        <f aca="false">IF(B148="",0,N(INDEX(報告入力!$BA$7:$BA$696,B148)))</f>
        <v>137250</v>
      </c>
      <c r="I148" s="5" t="str">
        <f aca="false">設定!$C$39&amp;""</f>
        <v>1104001001</v>
      </c>
      <c r="J148" s="5" t="str">
        <f aca="false">設定!$D$39&amp;""</f>
        <v>普広銀市役所</v>
      </c>
      <c r="K148" s="5" t="n">
        <f aca="false">IF(AND(H148&lt;&gt;0,IF(設定!$B$6="入金確認済のみ",C148="入金確認済",OR(C148="入金確認済",C148="受領済"))),1,0)</f>
        <v>0</v>
      </c>
      <c r="L148" s="5" t="str">
        <f aca="false">1&amp;"|"&amp;29</f>
        <v>1|29</v>
      </c>
      <c r="M148" s="5" t="n">
        <f aca="false">IF(L148=L147,M147,0)+K148</f>
        <v>0</v>
      </c>
      <c r="N148" s="5" t="n">
        <f aca="false">IF(AND(K148=1,M148=1),1,0)</f>
        <v>0</v>
      </c>
      <c r="O148" s="5" t="str">
        <f aca="false">IF(K148=1,MAX($O$5:O147)+1,"")</f>
        <v/>
      </c>
      <c r="P148" s="5" t="str">
        <f aca="false">IF(K148=1,SUM($N$6:N148),"")</f>
        <v/>
      </c>
      <c r="Q148" s="5" t="str">
        <f aca="false">IF(K148=1,SUMIFS($H$6:$H$511,$L$6:$L$511,L148,$K$6:$K$511,1),"")</f>
        <v/>
      </c>
      <c r="R148" s="103" t="str">
        <f aca="false">IF(B148="","",IF(INDEX(報告入力!$AB$7:$AB$696,B148)="","",INDEX(報告入力!$AB$7:$AB$696,B148)))</f>
        <v/>
      </c>
      <c r="S148" s="5" t="str">
        <f aca="false">設定!$C$48</f>
        <v>長期：厚生年金保険料（事業主負担分）</v>
      </c>
    </row>
    <row r="149" customFormat="false" ht="15" hidden="false" customHeight="false" outlineLevel="0" collapsed="false">
      <c r="A149" s="5" t="str">
        <f aca="false">設定!B89</f>
        <v>県下水道公社</v>
      </c>
      <c r="B149" s="5" t="n">
        <f aca="false">IFERROR(MATCH(ホーム!$C$4&amp;"|"&amp;A149,報告入力!$CM$7:$CM$696,0),"")</f>
        <v>351</v>
      </c>
      <c r="C149" s="5" t="str">
        <f aca="false">IF(B149="","",INDEX(報告入力!$C$7:$C$696,B149))</f>
        <v>未受領</v>
      </c>
      <c r="D149" s="5" t="str">
        <f aca="false">設定!$A$39</f>
        <v>長期（厚生年金保険経理）</v>
      </c>
      <c r="E149" s="5" t="str">
        <f aca="false">設定!$B$39&amp;""</f>
        <v>130</v>
      </c>
      <c r="F149" s="5" t="str">
        <f aca="false">設定!$D$49&amp;""</f>
        <v>2109001015</v>
      </c>
      <c r="G149" s="5" t="str">
        <f aca="false">設定!$E$49&amp;""</f>
        <v>退職負担地方</v>
      </c>
      <c r="H149" s="5" t="n">
        <f aca="false">IF(B149="",0,N(INDEX(報告入力!$BB$7:$BB$696,B149)))</f>
        <v>11250</v>
      </c>
      <c r="I149" s="5" t="str">
        <f aca="false">設定!$C$39&amp;""</f>
        <v>1104001001</v>
      </c>
      <c r="J149" s="5" t="str">
        <f aca="false">設定!$D$39&amp;""</f>
        <v>普広銀市役所</v>
      </c>
      <c r="K149" s="5" t="n">
        <f aca="false">IF(AND(H149&lt;&gt;0,IF(設定!$B$6="入金確認済のみ",C149="入金確認済",OR(C149="入金確認済",C149="受領済"))),1,0)</f>
        <v>0</v>
      </c>
      <c r="L149" s="5" t="str">
        <f aca="false">1&amp;"|"&amp;29</f>
        <v>1|29</v>
      </c>
      <c r="M149" s="5" t="n">
        <f aca="false">IF(L149=L148,M148,0)+K149</f>
        <v>0</v>
      </c>
      <c r="N149" s="5" t="n">
        <f aca="false">IF(AND(K149=1,M149=1),1,0)</f>
        <v>0</v>
      </c>
      <c r="O149" s="5" t="str">
        <f aca="false">IF(K149=1,MAX($O$5:O148)+1,"")</f>
        <v/>
      </c>
      <c r="P149" s="5" t="str">
        <f aca="false">IF(K149=1,SUM($N$6:N149),"")</f>
        <v/>
      </c>
      <c r="Q149" s="5" t="str">
        <f aca="false">IF(K149=1,SUMIFS($H$6:$H$511,$L$6:$L$511,L149,$K$6:$K$511,1),"")</f>
        <v/>
      </c>
      <c r="R149" s="103" t="str">
        <f aca="false">IF(B149="","",IF(INDEX(報告入力!$AB$7:$AB$696,B149)="","",INDEX(報告入力!$AB$7:$AB$696,B149)))</f>
        <v/>
      </c>
      <c r="S149" s="5" t="str">
        <f aca="false">設定!$C$49</f>
        <v>長期：退職等年金負担金</v>
      </c>
    </row>
    <row r="150" customFormat="false" ht="15" hidden="false" customHeight="false" outlineLevel="0" collapsed="false">
      <c r="A150" s="5" t="str">
        <f aca="false">設定!B89</f>
        <v>県下水道公社</v>
      </c>
      <c r="B150" s="5" t="n">
        <f aca="false">IFERROR(MATCH(ホーム!$C$4&amp;"|"&amp;A150,報告入力!$CM$7:$CM$696,0),"")</f>
        <v>351</v>
      </c>
      <c r="C150" s="5" t="str">
        <f aca="false">IF(B150="","",INDEX(報告入力!$C$7:$C$696,B150))</f>
        <v>未受領</v>
      </c>
      <c r="D150" s="5" t="str">
        <f aca="false">設定!$A$39</f>
        <v>長期（厚生年金保険経理）</v>
      </c>
      <c r="E150" s="5" t="str">
        <f aca="false">設定!$B$39&amp;""</f>
        <v>130</v>
      </c>
      <c r="F150" s="5" t="str">
        <f aca="false">設定!$D$50&amp;""</f>
        <v>2109001017</v>
      </c>
      <c r="G150" s="5" t="str">
        <f aca="false">設定!$E$50&amp;""</f>
        <v>経過的負担金</v>
      </c>
      <c r="H150" s="5" t="n">
        <f aca="false">IF(B150="",0,N(INDEX(報告入力!$BC$7:$BC$696,B150)))</f>
        <v>140</v>
      </c>
      <c r="I150" s="5" t="str">
        <f aca="false">設定!$C$39&amp;""</f>
        <v>1104001001</v>
      </c>
      <c r="J150" s="5" t="str">
        <f aca="false">設定!$D$39&amp;""</f>
        <v>普広銀市役所</v>
      </c>
      <c r="K150" s="5" t="n">
        <f aca="false">IF(AND(H150&lt;&gt;0,IF(設定!$B$6="入金確認済のみ",C150="入金確認済",OR(C150="入金確認済",C150="受領済"))),1,0)</f>
        <v>0</v>
      </c>
      <c r="L150" s="5" t="str">
        <f aca="false">1&amp;"|"&amp;29</f>
        <v>1|29</v>
      </c>
      <c r="M150" s="5" t="n">
        <f aca="false">IF(L150=L149,M149,0)+K150</f>
        <v>0</v>
      </c>
      <c r="N150" s="5" t="n">
        <f aca="false">IF(AND(K150=1,M150=1),1,0)</f>
        <v>0</v>
      </c>
      <c r="O150" s="5" t="str">
        <f aca="false">IF(K150=1,MAX($O$5:O149)+1,"")</f>
        <v/>
      </c>
      <c r="P150" s="5" t="str">
        <f aca="false">IF(K150=1,SUM($N$6:N150),"")</f>
        <v/>
      </c>
      <c r="Q150" s="5" t="str">
        <f aca="false">IF(K150=1,SUMIFS($H$6:$H$511,$L$6:$L$511,L150,$K$6:$K$511,1),"")</f>
        <v/>
      </c>
      <c r="R150" s="103" t="str">
        <f aca="false">IF(B150="","",IF(INDEX(報告入力!$AB$7:$AB$696,B150)="","",INDEX(報告入力!$AB$7:$AB$696,B150)))</f>
        <v/>
      </c>
      <c r="S150" s="5" t="str">
        <f aca="false">設定!$C$50</f>
        <v>長期：経過的長期</v>
      </c>
    </row>
    <row r="151" customFormat="false" ht="25.35" hidden="false" customHeight="false" outlineLevel="0" collapsed="false">
      <c r="A151" s="104" t="str">
        <f aca="false">設定!B90</f>
        <v>バス協調・共創
プラットフォーム</v>
      </c>
      <c r="B151" s="5" t="n">
        <f aca="false">IFERROR(MATCH(ホーム!$C$4&amp;"|"&amp;A151,報告入力!$CM$7:$CM$696,0),"")</f>
        <v>352</v>
      </c>
      <c r="C151" s="5" t="str">
        <f aca="false">IF(B151="","",INDEX(報告入力!$C$7:$C$696,B151))</f>
        <v>未受領</v>
      </c>
      <c r="D151" s="5" t="str">
        <f aca="false">設定!$A$39</f>
        <v>長期（厚生年金保険経理）</v>
      </c>
      <c r="E151" s="5" t="str">
        <f aca="false">設定!$B$39&amp;""</f>
        <v>130</v>
      </c>
      <c r="F151" s="5" t="str">
        <f aca="false">設定!$D$46&amp;""</f>
        <v>6102102000</v>
      </c>
      <c r="G151" s="5" t="str">
        <f aca="false">設定!$E$46&amp;""</f>
        <v>標月額保険料</v>
      </c>
      <c r="H151" s="5" t="n">
        <f aca="false">IF(B151="",0,N(INDEX(報告入力!$AY$7:$AY$696,B151)))</f>
        <v>0</v>
      </c>
      <c r="I151" s="5" t="str">
        <f aca="false">設定!$C$39&amp;""</f>
        <v>1104001001</v>
      </c>
      <c r="J151" s="5" t="str">
        <f aca="false">設定!$D$39&amp;""</f>
        <v>普広銀市役所</v>
      </c>
      <c r="K151" s="5" t="n">
        <f aca="false">IF(AND(H151&lt;&gt;0,IF(設定!$B$6="入金確認済のみ",C151="入金確認済",OR(C151="入金確認済",C151="受領済"))),1,0)</f>
        <v>0</v>
      </c>
      <c r="L151" s="5" t="str">
        <f aca="false">1&amp;"|"&amp;30</f>
        <v>1|30</v>
      </c>
      <c r="M151" s="5" t="n">
        <f aca="false">IF(L151=L150,M150,0)+K151</f>
        <v>0</v>
      </c>
      <c r="N151" s="5" t="n">
        <f aca="false">IF(AND(K151=1,M151=1),1,0)</f>
        <v>0</v>
      </c>
      <c r="O151" s="5" t="str">
        <f aca="false">IF(K151=1,MAX($O$5:O150)+1,"")</f>
        <v/>
      </c>
      <c r="P151" s="5" t="str">
        <f aca="false">IF(K151=1,SUM($N$6:N151),"")</f>
        <v/>
      </c>
      <c r="Q151" s="5" t="str">
        <f aca="false">IF(K151=1,SUMIFS($H$6:$H$511,$L$6:$L$511,L151,$K$6:$K$511,1),"")</f>
        <v/>
      </c>
      <c r="R151" s="103" t="str">
        <f aca="false">IF(B151="","",IF(INDEX(報告入力!$AB$7:$AB$696,B151)="","",INDEX(報告入力!$AB$7:$AB$696,B151)))</f>
        <v/>
      </c>
      <c r="S151" s="5" t="str">
        <f aca="false">設定!$C$46</f>
        <v>長期：厚生年金保険料（組合員負担分）</v>
      </c>
    </row>
    <row r="152" customFormat="false" ht="25.35" hidden="false" customHeight="false" outlineLevel="0" collapsed="false">
      <c r="A152" s="104" t="str">
        <f aca="false">設定!B90</f>
        <v>バス協調・共創
プラットフォーム</v>
      </c>
      <c r="B152" s="5" t="n">
        <f aca="false">IFERROR(MATCH(ホーム!$C$4&amp;"|"&amp;A152,報告入力!$CM$7:$CM$696,0),"")</f>
        <v>352</v>
      </c>
      <c r="C152" s="5" t="str">
        <f aca="false">IF(B152="","",INDEX(報告入力!$C$7:$C$696,B152))</f>
        <v>未受領</v>
      </c>
      <c r="D152" s="5" t="str">
        <f aca="false">設定!$A$39</f>
        <v>長期（厚生年金保険経理）</v>
      </c>
      <c r="E152" s="5" t="str">
        <f aca="false">設定!$B$39&amp;""</f>
        <v>130</v>
      </c>
      <c r="F152" s="5" t="str">
        <f aca="false">設定!$D$47&amp;""</f>
        <v>2109001014</v>
      </c>
      <c r="G152" s="5" t="str">
        <f aca="false">設定!$E$47&amp;""</f>
        <v>退職標報掛金</v>
      </c>
      <c r="H152" s="5" t="n">
        <f aca="false">IF(B152="",0,N(INDEX(報告入力!$AZ$7:$AZ$696,B152)))</f>
        <v>0</v>
      </c>
      <c r="I152" s="5" t="str">
        <f aca="false">設定!$C$39&amp;""</f>
        <v>1104001001</v>
      </c>
      <c r="J152" s="5" t="str">
        <f aca="false">設定!$D$39&amp;""</f>
        <v>普広銀市役所</v>
      </c>
      <c r="K152" s="5" t="n">
        <f aca="false">IF(AND(H152&lt;&gt;0,IF(設定!$B$6="入金確認済のみ",C152="入金確認済",OR(C152="入金確認済",C152="受領済"))),1,0)</f>
        <v>0</v>
      </c>
      <c r="L152" s="5" t="str">
        <f aca="false">1&amp;"|"&amp;30</f>
        <v>1|30</v>
      </c>
      <c r="M152" s="5" t="n">
        <f aca="false">IF(L152=L151,M151,0)+K152</f>
        <v>0</v>
      </c>
      <c r="N152" s="5" t="n">
        <f aca="false">IF(AND(K152=1,M152=1),1,0)</f>
        <v>0</v>
      </c>
      <c r="O152" s="5" t="str">
        <f aca="false">IF(K152=1,MAX($O$5:O151)+1,"")</f>
        <v/>
      </c>
      <c r="P152" s="5" t="str">
        <f aca="false">IF(K152=1,SUM($N$6:N152),"")</f>
        <v/>
      </c>
      <c r="Q152" s="5" t="str">
        <f aca="false">IF(K152=1,SUMIFS($H$6:$H$511,$L$6:$L$511,L152,$K$6:$K$511,1),"")</f>
        <v/>
      </c>
      <c r="R152" s="103" t="str">
        <f aca="false">IF(B152="","",IF(INDEX(報告入力!$AB$7:$AB$696,B152)="","",INDEX(報告入力!$AB$7:$AB$696,B152)))</f>
        <v/>
      </c>
      <c r="S152" s="5" t="str">
        <f aca="false">設定!$C$47</f>
        <v>長期：退職等年金掛金</v>
      </c>
    </row>
    <row r="153" customFormat="false" ht="25.35" hidden="false" customHeight="false" outlineLevel="0" collapsed="false">
      <c r="A153" s="104" t="str">
        <f aca="false">設定!B90</f>
        <v>バス協調・共創
プラットフォーム</v>
      </c>
      <c r="B153" s="5" t="n">
        <f aca="false">IFERROR(MATCH(ホーム!$C$4&amp;"|"&amp;A153,報告入力!$CM$7:$CM$696,0),"")</f>
        <v>352</v>
      </c>
      <c r="C153" s="5" t="str">
        <f aca="false">IF(B153="","",INDEX(報告入力!$C$7:$C$696,B153))</f>
        <v>未受領</v>
      </c>
      <c r="D153" s="5" t="str">
        <f aca="false">設定!$A$39</f>
        <v>長期（厚生年金保険経理）</v>
      </c>
      <c r="E153" s="5" t="str">
        <f aca="false">設定!$B$39&amp;""</f>
        <v>130</v>
      </c>
      <c r="F153" s="5" t="str">
        <f aca="false">設定!$D$48&amp;""</f>
        <v>6101002000</v>
      </c>
      <c r="G153" s="5" t="str">
        <f aca="false">設定!$E$48&amp;""</f>
        <v>負担地方公共</v>
      </c>
      <c r="H153" s="5" t="n">
        <f aca="false">IF(B153="",0,N(INDEX(報告入力!$BA$7:$BA$696,B153)))</f>
        <v>472140</v>
      </c>
      <c r="I153" s="5" t="str">
        <f aca="false">設定!$C$39&amp;""</f>
        <v>1104001001</v>
      </c>
      <c r="J153" s="5" t="str">
        <f aca="false">設定!$D$39&amp;""</f>
        <v>普広銀市役所</v>
      </c>
      <c r="K153" s="5" t="n">
        <f aca="false">IF(AND(H153&lt;&gt;0,IF(設定!$B$6="入金確認済のみ",C153="入金確認済",OR(C153="入金確認済",C153="受領済"))),1,0)</f>
        <v>0</v>
      </c>
      <c r="L153" s="5" t="str">
        <f aca="false">1&amp;"|"&amp;30</f>
        <v>1|30</v>
      </c>
      <c r="M153" s="5" t="n">
        <f aca="false">IF(L153=L152,M152,0)+K153</f>
        <v>0</v>
      </c>
      <c r="N153" s="5" t="n">
        <f aca="false">IF(AND(K153=1,M153=1),1,0)</f>
        <v>0</v>
      </c>
      <c r="O153" s="5" t="str">
        <f aca="false">IF(K153=1,MAX($O$5:O152)+1,"")</f>
        <v/>
      </c>
      <c r="P153" s="5" t="str">
        <f aca="false">IF(K153=1,SUM($N$6:N153),"")</f>
        <v/>
      </c>
      <c r="Q153" s="5" t="str">
        <f aca="false">IF(K153=1,SUMIFS($H$6:$H$511,$L$6:$L$511,L153,$K$6:$K$511,1),"")</f>
        <v/>
      </c>
      <c r="R153" s="103" t="str">
        <f aca="false">IF(B153="","",IF(INDEX(報告入力!$AB$7:$AB$696,B153)="","",INDEX(報告入力!$AB$7:$AB$696,B153)))</f>
        <v/>
      </c>
      <c r="S153" s="5" t="str">
        <f aca="false">設定!$C$48</f>
        <v>長期：厚生年金保険料（事業主負担分）</v>
      </c>
    </row>
    <row r="154" customFormat="false" ht="25.35" hidden="false" customHeight="false" outlineLevel="0" collapsed="false">
      <c r="A154" s="104" t="str">
        <f aca="false">設定!B90</f>
        <v>バス協調・共創
プラットフォーム</v>
      </c>
      <c r="B154" s="5" t="n">
        <f aca="false">IFERROR(MATCH(ホーム!$C$4&amp;"|"&amp;A154,報告入力!$CM$7:$CM$696,0),"")</f>
        <v>352</v>
      </c>
      <c r="C154" s="5" t="str">
        <f aca="false">IF(B154="","",INDEX(報告入力!$C$7:$C$696,B154))</f>
        <v>未受領</v>
      </c>
      <c r="D154" s="5" t="str">
        <f aca="false">設定!$A$39</f>
        <v>長期（厚生年金保険経理）</v>
      </c>
      <c r="E154" s="5" t="str">
        <f aca="false">設定!$B$39&amp;""</f>
        <v>130</v>
      </c>
      <c r="F154" s="5" t="str">
        <f aca="false">設定!$D$49&amp;""</f>
        <v>2109001015</v>
      </c>
      <c r="G154" s="5" t="str">
        <f aca="false">設定!$E$49&amp;""</f>
        <v>退職負担地方</v>
      </c>
      <c r="H154" s="5" t="n">
        <f aca="false">IF(B154="",0,N(INDEX(報告入力!$BB$7:$BB$696,B154)))</f>
        <v>38700</v>
      </c>
      <c r="I154" s="5" t="str">
        <f aca="false">設定!$C$39&amp;""</f>
        <v>1104001001</v>
      </c>
      <c r="J154" s="5" t="str">
        <f aca="false">設定!$D$39&amp;""</f>
        <v>普広銀市役所</v>
      </c>
      <c r="K154" s="5" t="n">
        <f aca="false">IF(AND(H154&lt;&gt;0,IF(設定!$B$6="入金確認済のみ",C154="入金確認済",OR(C154="入金確認済",C154="受領済"))),1,0)</f>
        <v>0</v>
      </c>
      <c r="L154" s="5" t="str">
        <f aca="false">1&amp;"|"&amp;30</f>
        <v>1|30</v>
      </c>
      <c r="M154" s="5" t="n">
        <f aca="false">IF(L154=L153,M153,0)+K154</f>
        <v>0</v>
      </c>
      <c r="N154" s="5" t="n">
        <f aca="false">IF(AND(K154=1,M154=1),1,0)</f>
        <v>0</v>
      </c>
      <c r="O154" s="5" t="str">
        <f aca="false">IF(K154=1,MAX($O$5:O153)+1,"")</f>
        <v/>
      </c>
      <c r="P154" s="5" t="str">
        <f aca="false">IF(K154=1,SUM($N$6:N154),"")</f>
        <v/>
      </c>
      <c r="Q154" s="5" t="str">
        <f aca="false">IF(K154=1,SUMIFS($H$6:$H$511,$L$6:$L$511,L154,$K$6:$K$511,1),"")</f>
        <v/>
      </c>
      <c r="R154" s="103" t="str">
        <f aca="false">IF(B154="","",IF(INDEX(報告入力!$AB$7:$AB$696,B154)="","",INDEX(報告入力!$AB$7:$AB$696,B154)))</f>
        <v/>
      </c>
      <c r="S154" s="5" t="str">
        <f aca="false">設定!$C$49</f>
        <v>長期：退職等年金負担金</v>
      </c>
    </row>
    <row r="155" customFormat="false" ht="25.35" hidden="false" customHeight="false" outlineLevel="0" collapsed="false">
      <c r="A155" s="104" t="str">
        <f aca="false">設定!B90</f>
        <v>バス協調・共創
プラットフォーム</v>
      </c>
      <c r="B155" s="5" t="n">
        <f aca="false">IFERROR(MATCH(ホーム!$C$4&amp;"|"&amp;A155,報告入力!$CM$7:$CM$696,0),"")</f>
        <v>352</v>
      </c>
      <c r="C155" s="5" t="str">
        <f aca="false">IF(B155="","",INDEX(報告入力!$C$7:$C$696,B155))</f>
        <v>未受領</v>
      </c>
      <c r="D155" s="5" t="str">
        <f aca="false">設定!$A$39</f>
        <v>長期（厚生年金保険経理）</v>
      </c>
      <c r="E155" s="5" t="str">
        <f aca="false">設定!$B$39&amp;""</f>
        <v>130</v>
      </c>
      <c r="F155" s="5" t="str">
        <f aca="false">設定!$D$50&amp;""</f>
        <v>2109001017</v>
      </c>
      <c r="G155" s="5" t="str">
        <f aca="false">設定!$E$50&amp;""</f>
        <v>経過的負担金</v>
      </c>
      <c r="H155" s="5" t="n">
        <f aca="false">IF(B155="",0,N(INDEX(報告入力!$BC$7:$BC$696,B155)))</f>
        <v>484</v>
      </c>
      <c r="I155" s="5" t="str">
        <f aca="false">設定!$C$39&amp;""</f>
        <v>1104001001</v>
      </c>
      <c r="J155" s="5" t="str">
        <f aca="false">設定!$D$39&amp;""</f>
        <v>普広銀市役所</v>
      </c>
      <c r="K155" s="5" t="n">
        <f aca="false">IF(AND(H155&lt;&gt;0,IF(設定!$B$6="入金確認済のみ",C155="入金確認済",OR(C155="入金確認済",C155="受領済"))),1,0)</f>
        <v>0</v>
      </c>
      <c r="L155" s="5" t="str">
        <f aca="false">1&amp;"|"&amp;30</f>
        <v>1|30</v>
      </c>
      <c r="M155" s="5" t="n">
        <f aca="false">IF(L155=L154,M154,0)+K155</f>
        <v>0</v>
      </c>
      <c r="N155" s="5" t="n">
        <f aca="false">IF(AND(K155=1,M155=1),1,0)</f>
        <v>0</v>
      </c>
      <c r="O155" s="5" t="str">
        <f aca="false">IF(K155=1,MAX($O$5:O154)+1,"")</f>
        <v/>
      </c>
      <c r="P155" s="5" t="str">
        <f aca="false">IF(K155=1,SUM($N$6:N155),"")</f>
        <v/>
      </c>
      <c r="Q155" s="5" t="str">
        <f aca="false">IF(K155=1,SUMIFS($H$6:$H$511,$L$6:$L$511,L155,$K$6:$K$511,1),"")</f>
        <v/>
      </c>
      <c r="R155" s="103" t="str">
        <f aca="false">IF(B155="","",IF(INDEX(報告入力!$AB$7:$AB$696,B155)="","",INDEX(報告入力!$AB$7:$AB$696,B155)))</f>
        <v/>
      </c>
      <c r="S155" s="5" t="str">
        <f aca="false">設定!$C$50</f>
        <v>長期：経過的長期</v>
      </c>
    </row>
    <row r="156" customFormat="false" ht="15" hidden="false" customHeight="false" outlineLevel="0" collapsed="false">
      <c r="A156" s="5" t="str">
        <f aca="false">設定!B91</f>
        <v>広島県市長会</v>
      </c>
      <c r="B156" s="5" t="n">
        <f aca="false">IFERROR(MATCH(ホーム!$C$4&amp;"|"&amp;A156,報告入力!$CM$7:$CM$696,0),"")</f>
        <v>353</v>
      </c>
      <c r="C156" s="5" t="str">
        <f aca="false">IF(B156="","",INDEX(報告入力!$C$7:$C$696,B156))</f>
        <v>受領済</v>
      </c>
      <c r="D156" s="5" t="str">
        <f aca="false">設定!$A$39</f>
        <v>長期（厚生年金保険経理）</v>
      </c>
      <c r="E156" s="5" t="str">
        <f aca="false">設定!$B$39&amp;""</f>
        <v>130</v>
      </c>
      <c r="F156" s="5" t="str">
        <f aca="false">設定!$D$46&amp;""</f>
        <v>6102102000</v>
      </c>
      <c r="G156" s="5" t="str">
        <f aca="false">設定!$E$46&amp;""</f>
        <v>標月額保険料</v>
      </c>
      <c r="H156" s="5" t="n">
        <f aca="false">IF(B156="",0,N(INDEX(報告入力!$AY$7:$AY$696,B156)))</f>
        <v>53985</v>
      </c>
      <c r="I156" s="5" t="str">
        <f aca="false">設定!$C$39&amp;""</f>
        <v>1104001001</v>
      </c>
      <c r="J156" s="5" t="str">
        <f aca="false">設定!$D$39&amp;""</f>
        <v>普広銀市役所</v>
      </c>
      <c r="K156" s="5" t="n">
        <f aca="false">IF(AND(H156&lt;&gt;0,IF(設定!$B$6="入金確認済のみ",C156="入金確認済",OR(C156="入金確認済",C156="受領済"))),1,0)</f>
        <v>0</v>
      </c>
      <c r="L156" s="5" t="str">
        <f aca="false">1&amp;"|"&amp;31</f>
        <v>1|31</v>
      </c>
      <c r="M156" s="5" t="n">
        <f aca="false">IF(L156=L155,M155,0)+K156</f>
        <v>0</v>
      </c>
      <c r="N156" s="5" t="n">
        <f aca="false">IF(AND(K156=1,M156=1),1,0)</f>
        <v>0</v>
      </c>
      <c r="O156" s="5" t="str">
        <f aca="false">IF(K156=1,MAX($O$5:O155)+1,"")</f>
        <v/>
      </c>
      <c r="P156" s="5" t="str">
        <f aca="false">IF(K156=1,SUM($N$6:N156),"")</f>
        <v/>
      </c>
      <c r="Q156" s="5" t="str">
        <f aca="false">IF(K156=1,SUMIFS($H$6:$H$511,$L$6:$L$511,L156,$K$6:$K$511,1),"")</f>
        <v/>
      </c>
      <c r="R156" s="103" t="str">
        <f aca="false">IF(B156="","",IF(INDEX(報告入力!$AB$7:$AB$696,B156)="","",INDEX(報告入力!$AB$7:$AB$696,B156)))</f>
        <v/>
      </c>
      <c r="S156" s="5" t="str">
        <f aca="false">設定!$C$46</f>
        <v>長期：厚生年金保険料（組合員負担分）</v>
      </c>
    </row>
    <row r="157" customFormat="false" ht="15" hidden="false" customHeight="false" outlineLevel="0" collapsed="false">
      <c r="A157" s="5" t="str">
        <f aca="false">設定!B91</f>
        <v>広島県市長会</v>
      </c>
      <c r="B157" s="5" t="n">
        <f aca="false">IFERROR(MATCH(ホーム!$C$4&amp;"|"&amp;A157,報告入力!$CM$7:$CM$696,0),"")</f>
        <v>353</v>
      </c>
      <c r="C157" s="5" t="str">
        <f aca="false">IF(B157="","",INDEX(報告入力!$C$7:$C$696,B157))</f>
        <v>受領済</v>
      </c>
      <c r="D157" s="5" t="str">
        <f aca="false">設定!$A$39</f>
        <v>長期（厚生年金保険経理）</v>
      </c>
      <c r="E157" s="5" t="str">
        <f aca="false">設定!$B$39&amp;""</f>
        <v>130</v>
      </c>
      <c r="F157" s="5" t="str">
        <f aca="false">設定!$D$47&amp;""</f>
        <v>2109001014</v>
      </c>
      <c r="G157" s="5" t="str">
        <f aca="false">設定!$E$47&amp;""</f>
        <v>退職標報掛金</v>
      </c>
      <c r="H157" s="5" t="n">
        <f aca="false">IF(B157="",0,N(INDEX(報告入力!$AZ$7:$AZ$696,B157)))</f>
        <v>4425</v>
      </c>
      <c r="I157" s="5" t="str">
        <f aca="false">設定!$C$39&amp;""</f>
        <v>1104001001</v>
      </c>
      <c r="J157" s="5" t="str">
        <f aca="false">設定!$D$39&amp;""</f>
        <v>普広銀市役所</v>
      </c>
      <c r="K157" s="5" t="n">
        <f aca="false">IF(AND(H157&lt;&gt;0,IF(設定!$B$6="入金確認済のみ",C157="入金確認済",OR(C157="入金確認済",C157="受領済"))),1,0)</f>
        <v>0</v>
      </c>
      <c r="L157" s="5" t="str">
        <f aca="false">1&amp;"|"&amp;31</f>
        <v>1|31</v>
      </c>
      <c r="M157" s="5" t="n">
        <f aca="false">IF(L157=L156,M156,0)+K157</f>
        <v>0</v>
      </c>
      <c r="N157" s="5" t="n">
        <f aca="false">IF(AND(K157=1,M157=1),1,0)</f>
        <v>0</v>
      </c>
      <c r="O157" s="5" t="str">
        <f aca="false">IF(K157=1,MAX($O$5:O156)+1,"")</f>
        <v/>
      </c>
      <c r="P157" s="5" t="str">
        <f aca="false">IF(K157=1,SUM($N$6:N157),"")</f>
        <v/>
      </c>
      <c r="Q157" s="5" t="str">
        <f aca="false">IF(K157=1,SUMIFS($H$6:$H$511,$L$6:$L$511,L157,$K$6:$K$511,1),"")</f>
        <v/>
      </c>
      <c r="R157" s="103" t="str">
        <f aca="false">IF(B157="","",IF(INDEX(報告入力!$AB$7:$AB$696,B157)="","",INDEX(報告入力!$AB$7:$AB$696,B157)))</f>
        <v/>
      </c>
      <c r="S157" s="5" t="str">
        <f aca="false">設定!$C$47</f>
        <v>長期：退職等年金掛金</v>
      </c>
    </row>
    <row r="158" customFormat="false" ht="15" hidden="false" customHeight="false" outlineLevel="0" collapsed="false">
      <c r="A158" s="5" t="str">
        <f aca="false">設定!B91</f>
        <v>広島県市長会</v>
      </c>
      <c r="B158" s="5" t="n">
        <f aca="false">IFERROR(MATCH(ホーム!$C$4&amp;"|"&amp;A158,報告入力!$CM$7:$CM$696,0),"")</f>
        <v>353</v>
      </c>
      <c r="C158" s="5" t="str">
        <f aca="false">IF(B158="","",INDEX(報告入力!$C$7:$C$696,B158))</f>
        <v>受領済</v>
      </c>
      <c r="D158" s="5" t="str">
        <f aca="false">設定!$A$39</f>
        <v>長期（厚生年金保険経理）</v>
      </c>
      <c r="E158" s="5" t="str">
        <f aca="false">設定!$B$39&amp;""</f>
        <v>130</v>
      </c>
      <c r="F158" s="5" t="str">
        <f aca="false">設定!$D$48&amp;""</f>
        <v>6101002000</v>
      </c>
      <c r="G158" s="5" t="str">
        <f aca="false">設定!$E$48&amp;""</f>
        <v>負担地方公共</v>
      </c>
      <c r="H158" s="5" t="n">
        <f aca="false">IF(B158="",0,N(INDEX(報告入力!$BA$7:$BA$696,B158)))</f>
        <v>53985</v>
      </c>
      <c r="I158" s="5" t="str">
        <f aca="false">設定!$C$39&amp;""</f>
        <v>1104001001</v>
      </c>
      <c r="J158" s="5" t="str">
        <f aca="false">設定!$D$39&amp;""</f>
        <v>普広銀市役所</v>
      </c>
      <c r="K158" s="5" t="n">
        <f aca="false">IF(AND(H158&lt;&gt;0,IF(設定!$B$6="入金確認済のみ",C158="入金確認済",OR(C158="入金確認済",C158="受領済"))),1,0)</f>
        <v>0</v>
      </c>
      <c r="L158" s="5" t="str">
        <f aca="false">1&amp;"|"&amp;31</f>
        <v>1|31</v>
      </c>
      <c r="M158" s="5" t="n">
        <f aca="false">IF(L158=L157,M157,0)+K158</f>
        <v>0</v>
      </c>
      <c r="N158" s="5" t="n">
        <f aca="false">IF(AND(K158=1,M158=1),1,0)</f>
        <v>0</v>
      </c>
      <c r="O158" s="5" t="str">
        <f aca="false">IF(K158=1,MAX($O$5:O157)+1,"")</f>
        <v/>
      </c>
      <c r="P158" s="5" t="str">
        <f aca="false">IF(K158=1,SUM($N$6:N158),"")</f>
        <v/>
      </c>
      <c r="Q158" s="5" t="str">
        <f aca="false">IF(K158=1,SUMIFS($H$6:$H$511,$L$6:$L$511,L158,$K$6:$K$511,1),"")</f>
        <v/>
      </c>
      <c r="R158" s="103" t="str">
        <f aca="false">IF(B158="","",IF(INDEX(報告入力!$AB$7:$AB$696,B158)="","",INDEX(報告入力!$AB$7:$AB$696,B158)))</f>
        <v/>
      </c>
      <c r="S158" s="5" t="str">
        <f aca="false">設定!$C$48</f>
        <v>長期：厚生年金保険料（事業主負担分）</v>
      </c>
    </row>
    <row r="159" customFormat="false" ht="15" hidden="false" customHeight="false" outlineLevel="0" collapsed="false">
      <c r="A159" s="5" t="str">
        <f aca="false">設定!B91</f>
        <v>広島県市長会</v>
      </c>
      <c r="B159" s="5" t="n">
        <f aca="false">IFERROR(MATCH(ホーム!$C$4&amp;"|"&amp;A159,報告入力!$CM$7:$CM$696,0),"")</f>
        <v>353</v>
      </c>
      <c r="C159" s="5" t="str">
        <f aca="false">IF(B159="","",INDEX(報告入力!$C$7:$C$696,B159))</f>
        <v>受領済</v>
      </c>
      <c r="D159" s="5" t="str">
        <f aca="false">設定!$A$39</f>
        <v>長期（厚生年金保険経理）</v>
      </c>
      <c r="E159" s="5" t="str">
        <f aca="false">設定!$B$39&amp;""</f>
        <v>130</v>
      </c>
      <c r="F159" s="5" t="str">
        <f aca="false">設定!$D$49&amp;""</f>
        <v>2109001015</v>
      </c>
      <c r="G159" s="5" t="str">
        <f aca="false">設定!$E$49&amp;""</f>
        <v>退職負担地方</v>
      </c>
      <c r="H159" s="5" t="n">
        <f aca="false">IF(B159="",0,N(INDEX(報告入力!$BB$7:$BB$696,B159)))</f>
        <v>4425</v>
      </c>
      <c r="I159" s="5" t="str">
        <f aca="false">設定!$C$39&amp;""</f>
        <v>1104001001</v>
      </c>
      <c r="J159" s="5" t="str">
        <f aca="false">設定!$D$39&amp;""</f>
        <v>普広銀市役所</v>
      </c>
      <c r="K159" s="5" t="n">
        <f aca="false">IF(AND(H159&lt;&gt;0,IF(設定!$B$6="入金確認済のみ",C159="入金確認済",OR(C159="入金確認済",C159="受領済"))),1,0)</f>
        <v>0</v>
      </c>
      <c r="L159" s="5" t="str">
        <f aca="false">1&amp;"|"&amp;31</f>
        <v>1|31</v>
      </c>
      <c r="M159" s="5" t="n">
        <f aca="false">IF(L159=L158,M158,0)+K159</f>
        <v>0</v>
      </c>
      <c r="N159" s="5" t="n">
        <f aca="false">IF(AND(K159=1,M159=1),1,0)</f>
        <v>0</v>
      </c>
      <c r="O159" s="5" t="str">
        <f aca="false">IF(K159=1,MAX($O$5:O158)+1,"")</f>
        <v/>
      </c>
      <c r="P159" s="5" t="str">
        <f aca="false">IF(K159=1,SUM($N$6:N159),"")</f>
        <v/>
      </c>
      <c r="Q159" s="5" t="str">
        <f aca="false">IF(K159=1,SUMIFS($H$6:$H$511,$L$6:$L$511,L159,$K$6:$K$511,1),"")</f>
        <v/>
      </c>
      <c r="R159" s="103" t="str">
        <f aca="false">IF(B159="","",IF(INDEX(報告入力!$AB$7:$AB$696,B159)="","",INDEX(報告入力!$AB$7:$AB$696,B159)))</f>
        <v/>
      </c>
      <c r="S159" s="5" t="str">
        <f aca="false">設定!$C$49</f>
        <v>長期：退職等年金負担金</v>
      </c>
    </row>
    <row r="160" customFormat="false" ht="15" hidden="false" customHeight="false" outlineLevel="0" collapsed="false">
      <c r="A160" s="5" t="str">
        <f aca="false">設定!B91</f>
        <v>広島県市長会</v>
      </c>
      <c r="B160" s="5" t="n">
        <f aca="false">IFERROR(MATCH(ホーム!$C$4&amp;"|"&amp;A160,報告入力!$CM$7:$CM$696,0),"")</f>
        <v>353</v>
      </c>
      <c r="C160" s="5" t="str">
        <f aca="false">IF(B160="","",INDEX(報告入力!$C$7:$C$696,B160))</f>
        <v>受領済</v>
      </c>
      <c r="D160" s="5" t="str">
        <f aca="false">設定!$A$39</f>
        <v>長期（厚生年金保険経理）</v>
      </c>
      <c r="E160" s="5" t="str">
        <f aca="false">設定!$B$39&amp;""</f>
        <v>130</v>
      </c>
      <c r="F160" s="5" t="str">
        <f aca="false">設定!$D$50&amp;""</f>
        <v>2109001017</v>
      </c>
      <c r="G160" s="5" t="str">
        <f aca="false">設定!$E$50&amp;""</f>
        <v>経過的負担金</v>
      </c>
      <c r="H160" s="5" t="n">
        <f aca="false">IF(B160="",0,N(INDEX(報告入力!$BC$7:$BC$696,B160)))</f>
        <v>51</v>
      </c>
      <c r="I160" s="5" t="str">
        <f aca="false">設定!$C$39&amp;""</f>
        <v>1104001001</v>
      </c>
      <c r="J160" s="5" t="str">
        <f aca="false">設定!$D$39&amp;""</f>
        <v>普広銀市役所</v>
      </c>
      <c r="K160" s="5" t="n">
        <f aca="false">IF(AND(H160&lt;&gt;0,IF(設定!$B$6="入金確認済のみ",C160="入金確認済",OR(C160="入金確認済",C160="受領済"))),1,0)</f>
        <v>0</v>
      </c>
      <c r="L160" s="5" t="str">
        <f aca="false">1&amp;"|"&amp;31</f>
        <v>1|31</v>
      </c>
      <c r="M160" s="5" t="n">
        <f aca="false">IF(L160=L159,M159,0)+K160</f>
        <v>0</v>
      </c>
      <c r="N160" s="5" t="n">
        <f aca="false">IF(AND(K160=1,M160=1),1,0)</f>
        <v>0</v>
      </c>
      <c r="O160" s="5" t="str">
        <f aca="false">IF(K160=1,MAX($O$5:O159)+1,"")</f>
        <v/>
      </c>
      <c r="P160" s="5" t="str">
        <f aca="false">IF(K160=1,SUM($N$6:N160),"")</f>
        <v/>
      </c>
      <c r="Q160" s="5" t="str">
        <f aca="false">IF(K160=1,SUMIFS($H$6:$H$511,$L$6:$L$511,L160,$K$6:$K$511,1),"")</f>
        <v/>
      </c>
      <c r="R160" s="103" t="str">
        <f aca="false">IF(B160="","",IF(INDEX(報告入力!$AB$7:$AB$696,B160)="","",INDEX(報告入力!$AB$7:$AB$696,B160)))</f>
        <v/>
      </c>
      <c r="S160" s="5" t="str">
        <f aca="false">設定!$C$50</f>
        <v>長期：経過的長期</v>
      </c>
    </row>
    <row r="161" customFormat="false" ht="15" hidden="false" customHeight="false" outlineLevel="0" collapsed="false">
      <c r="A161" s="5" t="str">
        <f aca="false">設定!B92</f>
        <v>全国市町村研修財団</v>
      </c>
      <c r="B161" s="5" t="n">
        <f aca="false">IFERROR(MATCH(ホーム!$C$4&amp;"|"&amp;A161,報告入力!$CM$7:$CM$696,0),"")</f>
        <v>354</v>
      </c>
      <c r="C161" s="5" t="str">
        <f aca="false">IF(B161="","",INDEX(報告入力!$C$7:$C$696,B161))</f>
        <v>受領済</v>
      </c>
      <c r="D161" s="5" t="str">
        <f aca="false">設定!$A$39</f>
        <v>長期（厚生年金保険経理）</v>
      </c>
      <c r="E161" s="5" t="str">
        <f aca="false">設定!$B$39&amp;""</f>
        <v>130</v>
      </c>
      <c r="F161" s="5" t="str">
        <f aca="false">設定!$D$46&amp;""</f>
        <v>6102102000</v>
      </c>
      <c r="G161" s="5" t="str">
        <f aca="false">設定!$E$46&amp;""</f>
        <v>標月額保険料</v>
      </c>
      <c r="H161" s="5" t="n">
        <f aca="false">IF(B161="",0,N(INDEX(報告入力!$AY$7:$AY$696,B161)))</f>
        <v>59475</v>
      </c>
      <c r="I161" s="5" t="str">
        <f aca="false">設定!$C$39&amp;""</f>
        <v>1104001001</v>
      </c>
      <c r="J161" s="5" t="str">
        <f aca="false">設定!$D$39&amp;""</f>
        <v>普広銀市役所</v>
      </c>
      <c r="K161" s="5" t="n">
        <f aca="false">IF(AND(H161&lt;&gt;0,IF(設定!$B$6="入金確認済のみ",C161="入金確認済",OR(C161="入金確認済",C161="受領済"))),1,0)</f>
        <v>0</v>
      </c>
      <c r="L161" s="5" t="str">
        <f aca="false">1&amp;"|"&amp;32</f>
        <v>1|32</v>
      </c>
      <c r="M161" s="5" t="n">
        <f aca="false">IF(L161=L160,M160,0)+K161</f>
        <v>0</v>
      </c>
      <c r="N161" s="5" t="n">
        <f aca="false">IF(AND(K161=1,M161=1),1,0)</f>
        <v>0</v>
      </c>
      <c r="O161" s="5" t="str">
        <f aca="false">IF(K161=1,MAX($O$5:O160)+1,"")</f>
        <v/>
      </c>
      <c r="P161" s="5" t="str">
        <f aca="false">IF(K161=1,SUM($N$6:N161),"")</f>
        <v/>
      </c>
      <c r="Q161" s="5" t="str">
        <f aca="false">IF(K161=1,SUMIFS($H$6:$H$511,$L$6:$L$511,L161,$K$6:$K$511,1),"")</f>
        <v/>
      </c>
      <c r="R161" s="103" t="str">
        <f aca="false">IF(B161="","",IF(INDEX(報告入力!$AB$7:$AB$696,B161)="","",INDEX(報告入力!$AB$7:$AB$696,B161)))</f>
        <v/>
      </c>
      <c r="S161" s="5" t="str">
        <f aca="false">設定!$C$46</f>
        <v>長期：厚生年金保険料（組合員負担分）</v>
      </c>
    </row>
    <row r="162" customFormat="false" ht="15" hidden="false" customHeight="false" outlineLevel="0" collapsed="false">
      <c r="A162" s="5" t="str">
        <f aca="false">設定!B92</f>
        <v>全国市町村研修財団</v>
      </c>
      <c r="B162" s="5" t="n">
        <f aca="false">IFERROR(MATCH(ホーム!$C$4&amp;"|"&amp;A162,報告入力!$CM$7:$CM$696,0),"")</f>
        <v>354</v>
      </c>
      <c r="C162" s="5" t="str">
        <f aca="false">IF(B162="","",INDEX(報告入力!$C$7:$C$696,B162))</f>
        <v>受領済</v>
      </c>
      <c r="D162" s="5" t="str">
        <f aca="false">設定!$A$39</f>
        <v>長期（厚生年金保険経理）</v>
      </c>
      <c r="E162" s="5" t="str">
        <f aca="false">設定!$B$39&amp;""</f>
        <v>130</v>
      </c>
      <c r="F162" s="5" t="str">
        <f aca="false">設定!$D$47&amp;""</f>
        <v>2109001014</v>
      </c>
      <c r="G162" s="5" t="str">
        <f aca="false">設定!$E$47&amp;""</f>
        <v>退職標報掛金</v>
      </c>
      <c r="H162" s="5" t="n">
        <f aca="false">IF(B162="",0,N(INDEX(報告入力!$AZ$7:$AZ$696,B162)))</f>
        <v>4875</v>
      </c>
      <c r="I162" s="5" t="str">
        <f aca="false">設定!$C$39&amp;""</f>
        <v>1104001001</v>
      </c>
      <c r="J162" s="5" t="str">
        <f aca="false">設定!$D$39&amp;""</f>
        <v>普広銀市役所</v>
      </c>
      <c r="K162" s="5" t="n">
        <f aca="false">IF(AND(H162&lt;&gt;0,IF(設定!$B$6="入金確認済のみ",C162="入金確認済",OR(C162="入金確認済",C162="受領済"))),1,0)</f>
        <v>0</v>
      </c>
      <c r="L162" s="5" t="str">
        <f aca="false">1&amp;"|"&amp;32</f>
        <v>1|32</v>
      </c>
      <c r="M162" s="5" t="n">
        <f aca="false">IF(L162=L161,M161,0)+K162</f>
        <v>0</v>
      </c>
      <c r="N162" s="5" t="n">
        <f aca="false">IF(AND(K162=1,M162=1),1,0)</f>
        <v>0</v>
      </c>
      <c r="O162" s="5" t="str">
        <f aca="false">IF(K162=1,MAX($O$5:O161)+1,"")</f>
        <v/>
      </c>
      <c r="P162" s="5" t="str">
        <f aca="false">IF(K162=1,SUM($N$6:N162),"")</f>
        <v/>
      </c>
      <c r="Q162" s="5" t="str">
        <f aca="false">IF(K162=1,SUMIFS($H$6:$H$511,$L$6:$L$511,L162,$K$6:$K$511,1),"")</f>
        <v/>
      </c>
      <c r="R162" s="103" t="str">
        <f aca="false">IF(B162="","",IF(INDEX(報告入力!$AB$7:$AB$696,B162)="","",INDEX(報告入力!$AB$7:$AB$696,B162)))</f>
        <v/>
      </c>
      <c r="S162" s="5" t="str">
        <f aca="false">設定!$C$47</f>
        <v>長期：退職等年金掛金</v>
      </c>
    </row>
    <row r="163" customFormat="false" ht="15" hidden="false" customHeight="false" outlineLevel="0" collapsed="false">
      <c r="A163" s="5" t="str">
        <f aca="false">設定!B92</f>
        <v>全国市町村研修財団</v>
      </c>
      <c r="B163" s="5" t="n">
        <f aca="false">IFERROR(MATCH(ホーム!$C$4&amp;"|"&amp;A163,報告入力!$CM$7:$CM$696,0),"")</f>
        <v>354</v>
      </c>
      <c r="C163" s="5" t="str">
        <f aca="false">IF(B163="","",INDEX(報告入力!$C$7:$C$696,B163))</f>
        <v>受領済</v>
      </c>
      <c r="D163" s="5" t="str">
        <f aca="false">設定!$A$39</f>
        <v>長期（厚生年金保険経理）</v>
      </c>
      <c r="E163" s="5" t="str">
        <f aca="false">設定!$B$39&amp;""</f>
        <v>130</v>
      </c>
      <c r="F163" s="5" t="str">
        <f aca="false">設定!$D$48&amp;""</f>
        <v>6101002000</v>
      </c>
      <c r="G163" s="5" t="str">
        <f aca="false">設定!$E$48&amp;""</f>
        <v>負担地方公共</v>
      </c>
      <c r="H163" s="5" t="n">
        <f aca="false">IF(B163="",0,N(INDEX(報告入力!$BA$7:$BA$696,B163)))</f>
        <v>59475</v>
      </c>
      <c r="I163" s="5" t="str">
        <f aca="false">設定!$C$39&amp;""</f>
        <v>1104001001</v>
      </c>
      <c r="J163" s="5" t="str">
        <f aca="false">設定!$D$39&amp;""</f>
        <v>普広銀市役所</v>
      </c>
      <c r="K163" s="5" t="n">
        <f aca="false">IF(AND(H163&lt;&gt;0,IF(設定!$B$6="入金確認済のみ",C163="入金確認済",OR(C163="入金確認済",C163="受領済"))),1,0)</f>
        <v>0</v>
      </c>
      <c r="L163" s="5" t="str">
        <f aca="false">1&amp;"|"&amp;32</f>
        <v>1|32</v>
      </c>
      <c r="M163" s="5" t="n">
        <f aca="false">IF(L163=L162,M162,0)+K163</f>
        <v>0</v>
      </c>
      <c r="N163" s="5" t="n">
        <f aca="false">IF(AND(K163=1,M163=1),1,0)</f>
        <v>0</v>
      </c>
      <c r="O163" s="5" t="str">
        <f aca="false">IF(K163=1,MAX($O$5:O162)+1,"")</f>
        <v/>
      </c>
      <c r="P163" s="5" t="str">
        <f aca="false">IF(K163=1,SUM($N$6:N163),"")</f>
        <v/>
      </c>
      <c r="Q163" s="5" t="str">
        <f aca="false">IF(K163=1,SUMIFS($H$6:$H$511,$L$6:$L$511,L163,$K$6:$K$511,1),"")</f>
        <v/>
      </c>
      <c r="R163" s="103" t="str">
        <f aca="false">IF(B163="","",IF(INDEX(報告入力!$AB$7:$AB$696,B163)="","",INDEX(報告入力!$AB$7:$AB$696,B163)))</f>
        <v/>
      </c>
      <c r="S163" s="5" t="str">
        <f aca="false">設定!$C$48</f>
        <v>長期：厚生年金保険料（事業主負担分）</v>
      </c>
    </row>
    <row r="164" customFormat="false" ht="15" hidden="false" customHeight="false" outlineLevel="0" collapsed="false">
      <c r="A164" s="5" t="str">
        <f aca="false">設定!B92</f>
        <v>全国市町村研修財団</v>
      </c>
      <c r="B164" s="5" t="n">
        <f aca="false">IFERROR(MATCH(ホーム!$C$4&amp;"|"&amp;A164,報告入力!$CM$7:$CM$696,0),"")</f>
        <v>354</v>
      </c>
      <c r="C164" s="5" t="str">
        <f aca="false">IF(B164="","",INDEX(報告入力!$C$7:$C$696,B164))</f>
        <v>受領済</v>
      </c>
      <c r="D164" s="5" t="str">
        <f aca="false">設定!$A$39</f>
        <v>長期（厚生年金保険経理）</v>
      </c>
      <c r="E164" s="5" t="str">
        <f aca="false">設定!$B$39&amp;""</f>
        <v>130</v>
      </c>
      <c r="F164" s="5" t="str">
        <f aca="false">設定!$D$49&amp;""</f>
        <v>2109001015</v>
      </c>
      <c r="G164" s="5" t="str">
        <f aca="false">設定!$E$49&amp;""</f>
        <v>退職負担地方</v>
      </c>
      <c r="H164" s="5" t="n">
        <f aca="false">IF(B164="",0,N(INDEX(報告入力!$BB$7:$BB$696,B164)))</f>
        <v>4875</v>
      </c>
      <c r="I164" s="5" t="str">
        <f aca="false">設定!$C$39&amp;""</f>
        <v>1104001001</v>
      </c>
      <c r="J164" s="5" t="str">
        <f aca="false">設定!$D$39&amp;""</f>
        <v>普広銀市役所</v>
      </c>
      <c r="K164" s="5" t="n">
        <f aca="false">IF(AND(H164&lt;&gt;0,IF(設定!$B$6="入金確認済のみ",C164="入金確認済",OR(C164="入金確認済",C164="受領済"))),1,0)</f>
        <v>0</v>
      </c>
      <c r="L164" s="5" t="str">
        <f aca="false">1&amp;"|"&amp;32</f>
        <v>1|32</v>
      </c>
      <c r="M164" s="5" t="n">
        <f aca="false">IF(L164=L163,M163,0)+K164</f>
        <v>0</v>
      </c>
      <c r="N164" s="5" t="n">
        <f aca="false">IF(AND(K164=1,M164=1),1,0)</f>
        <v>0</v>
      </c>
      <c r="O164" s="5" t="str">
        <f aca="false">IF(K164=1,MAX($O$5:O163)+1,"")</f>
        <v/>
      </c>
      <c r="P164" s="5" t="str">
        <f aca="false">IF(K164=1,SUM($N$6:N164),"")</f>
        <v/>
      </c>
      <c r="Q164" s="5" t="str">
        <f aca="false">IF(K164=1,SUMIFS($H$6:$H$511,$L$6:$L$511,L164,$K$6:$K$511,1),"")</f>
        <v/>
      </c>
      <c r="R164" s="103" t="str">
        <f aca="false">IF(B164="","",IF(INDEX(報告入力!$AB$7:$AB$696,B164)="","",INDEX(報告入力!$AB$7:$AB$696,B164)))</f>
        <v/>
      </c>
      <c r="S164" s="5" t="str">
        <f aca="false">設定!$C$49</f>
        <v>長期：退職等年金負担金</v>
      </c>
    </row>
    <row r="165" customFormat="false" ht="15" hidden="false" customHeight="false" outlineLevel="0" collapsed="false">
      <c r="A165" s="5" t="str">
        <f aca="false">設定!B92</f>
        <v>全国市町村研修財団</v>
      </c>
      <c r="B165" s="5" t="n">
        <f aca="false">IFERROR(MATCH(ホーム!$C$4&amp;"|"&amp;A165,報告入力!$CM$7:$CM$696,0),"")</f>
        <v>354</v>
      </c>
      <c r="C165" s="5" t="str">
        <f aca="false">IF(B165="","",INDEX(報告入力!$C$7:$C$696,B165))</f>
        <v>受領済</v>
      </c>
      <c r="D165" s="5" t="str">
        <f aca="false">設定!$A$39</f>
        <v>長期（厚生年金保険経理）</v>
      </c>
      <c r="E165" s="5" t="str">
        <f aca="false">設定!$B$39&amp;""</f>
        <v>130</v>
      </c>
      <c r="F165" s="5" t="str">
        <f aca="false">設定!$D$50&amp;""</f>
        <v>2109001017</v>
      </c>
      <c r="G165" s="5" t="str">
        <f aca="false">設定!$E$50&amp;""</f>
        <v>経過的負担金</v>
      </c>
      <c r="H165" s="5" t="n">
        <f aca="false">IF(B165="",0,N(INDEX(報告入力!$BC$7:$BC$696,B165)))</f>
        <v>56</v>
      </c>
      <c r="I165" s="5" t="str">
        <f aca="false">設定!$C$39&amp;""</f>
        <v>1104001001</v>
      </c>
      <c r="J165" s="5" t="str">
        <f aca="false">設定!$D$39&amp;""</f>
        <v>普広銀市役所</v>
      </c>
      <c r="K165" s="5" t="n">
        <f aca="false">IF(AND(H165&lt;&gt;0,IF(設定!$B$6="入金確認済のみ",C165="入金確認済",OR(C165="入金確認済",C165="受領済"))),1,0)</f>
        <v>0</v>
      </c>
      <c r="L165" s="5" t="str">
        <f aca="false">1&amp;"|"&amp;32</f>
        <v>1|32</v>
      </c>
      <c r="M165" s="5" t="n">
        <f aca="false">IF(L165=L164,M164,0)+K165</f>
        <v>0</v>
      </c>
      <c r="N165" s="5" t="n">
        <f aca="false">IF(AND(K165=1,M165=1),1,0)</f>
        <v>0</v>
      </c>
      <c r="O165" s="5" t="str">
        <f aca="false">IF(K165=1,MAX($O$5:O164)+1,"")</f>
        <v/>
      </c>
      <c r="P165" s="5" t="str">
        <f aca="false">IF(K165=1,SUM($N$6:N165),"")</f>
        <v/>
      </c>
      <c r="Q165" s="5" t="str">
        <f aca="false">IF(K165=1,SUMIFS($H$6:$H$511,$L$6:$L$511,L165,$K$6:$K$511,1),"")</f>
        <v/>
      </c>
      <c r="R165" s="103" t="str">
        <f aca="false">IF(B165="","",IF(INDEX(報告入力!$AB$7:$AB$696,B165)="","",INDEX(報告入力!$AB$7:$AB$696,B165)))</f>
        <v/>
      </c>
      <c r="S165" s="5" t="str">
        <f aca="false">設定!$C$50</f>
        <v>長期：経過的長期</v>
      </c>
    </row>
    <row r="166" customFormat="false" ht="15" hidden="false" customHeight="false" outlineLevel="0" collapsed="false">
      <c r="A166" s="5" t="str">
        <f aca="false">設定!B93</f>
        <v>都市再生機構</v>
      </c>
      <c r="B166" s="5" t="n">
        <f aca="false">IFERROR(MATCH(ホーム!$C$4&amp;"|"&amp;A166,報告入力!$CM$7:$CM$696,0),"")</f>
        <v>355</v>
      </c>
      <c r="C166" s="5" t="str">
        <f aca="false">IF(B166="","",INDEX(報告入力!$C$7:$C$696,B166))</f>
        <v>受領済</v>
      </c>
      <c r="D166" s="5" t="str">
        <f aca="false">設定!$A$39</f>
        <v>長期（厚生年金保険経理）</v>
      </c>
      <c r="E166" s="5" t="str">
        <f aca="false">設定!$B$39&amp;""</f>
        <v>130</v>
      </c>
      <c r="F166" s="5" t="str">
        <f aca="false">設定!$D$46&amp;""</f>
        <v>6102102000</v>
      </c>
      <c r="G166" s="5" t="str">
        <f aca="false">設定!$E$46&amp;""</f>
        <v>標月額保険料</v>
      </c>
      <c r="H166" s="5" t="n">
        <f aca="false">IF(B166="",0,N(INDEX(報告入力!$AY$7:$AY$696,B166)))</f>
        <v>45750</v>
      </c>
      <c r="I166" s="5" t="str">
        <f aca="false">設定!$C$39&amp;""</f>
        <v>1104001001</v>
      </c>
      <c r="J166" s="5" t="str">
        <f aca="false">設定!$D$39&amp;""</f>
        <v>普広銀市役所</v>
      </c>
      <c r="K166" s="5" t="n">
        <f aca="false">IF(AND(H166&lt;&gt;0,IF(設定!$B$6="入金確認済のみ",C166="入金確認済",OR(C166="入金確認済",C166="受領済"))),1,0)</f>
        <v>0</v>
      </c>
      <c r="L166" s="5" t="str">
        <f aca="false">1&amp;"|"&amp;33</f>
        <v>1|33</v>
      </c>
      <c r="M166" s="5" t="n">
        <f aca="false">IF(L166=L165,M165,0)+K166</f>
        <v>0</v>
      </c>
      <c r="N166" s="5" t="n">
        <f aca="false">IF(AND(K166=1,M166=1),1,0)</f>
        <v>0</v>
      </c>
      <c r="O166" s="5" t="str">
        <f aca="false">IF(K166=1,MAX($O$5:O165)+1,"")</f>
        <v/>
      </c>
      <c r="P166" s="5" t="str">
        <f aca="false">IF(K166=1,SUM($N$6:N166),"")</f>
        <v/>
      </c>
      <c r="Q166" s="5" t="str">
        <f aca="false">IF(K166=1,SUMIFS($H$6:$H$511,$L$6:$L$511,L166,$K$6:$K$511,1),"")</f>
        <v/>
      </c>
      <c r="R166" s="103" t="str">
        <f aca="false">IF(B166="","",IF(INDEX(報告入力!$AB$7:$AB$696,B166)="","",INDEX(報告入力!$AB$7:$AB$696,B166)))</f>
        <v/>
      </c>
      <c r="S166" s="5" t="str">
        <f aca="false">設定!$C$46</f>
        <v>長期：厚生年金保険料（組合員負担分）</v>
      </c>
    </row>
    <row r="167" customFormat="false" ht="15" hidden="false" customHeight="false" outlineLevel="0" collapsed="false">
      <c r="A167" s="5" t="str">
        <f aca="false">設定!B93</f>
        <v>都市再生機構</v>
      </c>
      <c r="B167" s="5" t="n">
        <f aca="false">IFERROR(MATCH(ホーム!$C$4&amp;"|"&amp;A167,報告入力!$CM$7:$CM$696,0),"")</f>
        <v>355</v>
      </c>
      <c r="C167" s="5" t="str">
        <f aca="false">IF(B167="","",INDEX(報告入力!$C$7:$C$696,B167))</f>
        <v>受領済</v>
      </c>
      <c r="D167" s="5" t="str">
        <f aca="false">設定!$A$39</f>
        <v>長期（厚生年金保険経理）</v>
      </c>
      <c r="E167" s="5" t="str">
        <f aca="false">設定!$B$39&amp;""</f>
        <v>130</v>
      </c>
      <c r="F167" s="5" t="str">
        <f aca="false">設定!$D$47&amp;""</f>
        <v>2109001014</v>
      </c>
      <c r="G167" s="5" t="str">
        <f aca="false">設定!$E$47&amp;""</f>
        <v>退職標報掛金</v>
      </c>
      <c r="H167" s="5" t="n">
        <f aca="false">IF(B167="",0,N(INDEX(報告入力!$AZ$7:$AZ$696,B167)))</f>
        <v>3750</v>
      </c>
      <c r="I167" s="5" t="str">
        <f aca="false">設定!$C$39&amp;""</f>
        <v>1104001001</v>
      </c>
      <c r="J167" s="5" t="str">
        <f aca="false">設定!$D$39&amp;""</f>
        <v>普広銀市役所</v>
      </c>
      <c r="K167" s="5" t="n">
        <f aca="false">IF(AND(H167&lt;&gt;0,IF(設定!$B$6="入金確認済のみ",C167="入金確認済",OR(C167="入金確認済",C167="受領済"))),1,0)</f>
        <v>0</v>
      </c>
      <c r="L167" s="5" t="str">
        <f aca="false">1&amp;"|"&amp;33</f>
        <v>1|33</v>
      </c>
      <c r="M167" s="5" t="n">
        <f aca="false">IF(L167=L166,M166,0)+K167</f>
        <v>0</v>
      </c>
      <c r="N167" s="5" t="n">
        <f aca="false">IF(AND(K167=1,M167=1),1,0)</f>
        <v>0</v>
      </c>
      <c r="O167" s="5" t="str">
        <f aca="false">IF(K167=1,MAX($O$5:O166)+1,"")</f>
        <v/>
      </c>
      <c r="P167" s="5" t="str">
        <f aca="false">IF(K167=1,SUM($N$6:N167),"")</f>
        <v/>
      </c>
      <c r="Q167" s="5" t="str">
        <f aca="false">IF(K167=1,SUMIFS($H$6:$H$511,$L$6:$L$511,L167,$K$6:$K$511,1),"")</f>
        <v/>
      </c>
      <c r="R167" s="103" t="str">
        <f aca="false">IF(B167="","",IF(INDEX(報告入力!$AB$7:$AB$696,B167)="","",INDEX(報告入力!$AB$7:$AB$696,B167)))</f>
        <v/>
      </c>
      <c r="S167" s="5" t="str">
        <f aca="false">設定!$C$47</f>
        <v>長期：退職等年金掛金</v>
      </c>
    </row>
    <row r="168" customFormat="false" ht="15" hidden="false" customHeight="false" outlineLevel="0" collapsed="false">
      <c r="A168" s="5" t="str">
        <f aca="false">設定!B93</f>
        <v>都市再生機構</v>
      </c>
      <c r="B168" s="5" t="n">
        <f aca="false">IFERROR(MATCH(ホーム!$C$4&amp;"|"&amp;A168,報告入力!$CM$7:$CM$696,0),"")</f>
        <v>355</v>
      </c>
      <c r="C168" s="5" t="str">
        <f aca="false">IF(B168="","",INDEX(報告入力!$C$7:$C$696,B168))</f>
        <v>受領済</v>
      </c>
      <c r="D168" s="5" t="str">
        <f aca="false">設定!$A$39</f>
        <v>長期（厚生年金保険経理）</v>
      </c>
      <c r="E168" s="5" t="str">
        <f aca="false">設定!$B$39&amp;""</f>
        <v>130</v>
      </c>
      <c r="F168" s="5" t="str">
        <f aca="false">設定!$D$48&amp;""</f>
        <v>6101002000</v>
      </c>
      <c r="G168" s="5" t="str">
        <f aca="false">設定!$E$48&amp;""</f>
        <v>負担地方公共</v>
      </c>
      <c r="H168" s="5" t="n">
        <f aca="false">IF(B168="",0,N(INDEX(報告入力!$BA$7:$BA$696,B168)))</f>
        <v>45750</v>
      </c>
      <c r="I168" s="5" t="str">
        <f aca="false">設定!$C$39&amp;""</f>
        <v>1104001001</v>
      </c>
      <c r="J168" s="5" t="str">
        <f aca="false">設定!$D$39&amp;""</f>
        <v>普広銀市役所</v>
      </c>
      <c r="K168" s="5" t="n">
        <f aca="false">IF(AND(H168&lt;&gt;0,IF(設定!$B$6="入金確認済のみ",C168="入金確認済",OR(C168="入金確認済",C168="受領済"))),1,0)</f>
        <v>0</v>
      </c>
      <c r="L168" s="5" t="str">
        <f aca="false">1&amp;"|"&amp;33</f>
        <v>1|33</v>
      </c>
      <c r="M168" s="5" t="n">
        <f aca="false">IF(L168=L167,M167,0)+K168</f>
        <v>0</v>
      </c>
      <c r="N168" s="5" t="n">
        <f aca="false">IF(AND(K168=1,M168=1),1,0)</f>
        <v>0</v>
      </c>
      <c r="O168" s="5" t="str">
        <f aca="false">IF(K168=1,MAX($O$5:O167)+1,"")</f>
        <v/>
      </c>
      <c r="P168" s="5" t="str">
        <f aca="false">IF(K168=1,SUM($N$6:N168),"")</f>
        <v/>
      </c>
      <c r="Q168" s="5" t="str">
        <f aca="false">IF(K168=1,SUMIFS($H$6:$H$511,$L$6:$L$511,L168,$K$6:$K$511,1),"")</f>
        <v/>
      </c>
      <c r="R168" s="103" t="str">
        <f aca="false">IF(B168="","",IF(INDEX(報告入力!$AB$7:$AB$696,B168)="","",INDEX(報告入力!$AB$7:$AB$696,B168)))</f>
        <v/>
      </c>
      <c r="S168" s="5" t="str">
        <f aca="false">設定!$C$48</f>
        <v>長期：厚生年金保険料（事業主負担分）</v>
      </c>
    </row>
    <row r="169" customFormat="false" ht="15" hidden="false" customHeight="false" outlineLevel="0" collapsed="false">
      <c r="A169" s="5" t="str">
        <f aca="false">設定!B93</f>
        <v>都市再生機構</v>
      </c>
      <c r="B169" s="5" t="n">
        <f aca="false">IFERROR(MATCH(ホーム!$C$4&amp;"|"&amp;A169,報告入力!$CM$7:$CM$696,0),"")</f>
        <v>355</v>
      </c>
      <c r="C169" s="5" t="str">
        <f aca="false">IF(B169="","",INDEX(報告入力!$C$7:$C$696,B169))</f>
        <v>受領済</v>
      </c>
      <c r="D169" s="5" t="str">
        <f aca="false">設定!$A$39</f>
        <v>長期（厚生年金保険経理）</v>
      </c>
      <c r="E169" s="5" t="str">
        <f aca="false">設定!$B$39&amp;""</f>
        <v>130</v>
      </c>
      <c r="F169" s="5" t="str">
        <f aca="false">設定!$D$49&amp;""</f>
        <v>2109001015</v>
      </c>
      <c r="G169" s="5" t="str">
        <f aca="false">設定!$E$49&amp;""</f>
        <v>退職負担地方</v>
      </c>
      <c r="H169" s="5" t="n">
        <f aca="false">IF(B169="",0,N(INDEX(報告入力!$BB$7:$BB$696,B169)))</f>
        <v>3750</v>
      </c>
      <c r="I169" s="5" t="str">
        <f aca="false">設定!$C$39&amp;""</f>
        <v>1104001001</v>
      </c>
      <c r="J169" s="5" t="str">
        <f aca="false">設定!$D$39&amp;""</f>
        <v>普広銀市役所</v>
      </c>
      <c r="K169" s="5" t="n">
        <f aca="false">IF(AND(H169&lt;&gt;0,IF(設定!$B$6="入金確認済のみ",C169="入金確認済",OR(C169="入金確認済",C169="受領済"))),1,0)</f>
        <v>0</v>
      </c>
      <c r="L169" s="5" t="str">
        <f aca="false">1&amp;"|"&amp;33</f>
        <v>1|33</v>
      </c>
      <c r="M169" s="5" t="n">
        <f aca="false">IF(L169=L168,M168,0)+K169</f>
        <v>0</v>
      </c>
      <c r="N169" s="5" t="n">
        <f aca="false">IF(AND(K169=1,M169=1),1,0)</f>
        <v>0</v>
      </c>
      <c r="O169" s="5" t="str">
        <f aca="false">IF(K169=1,MAX($O$5:O168)+1,"")</f>
        <v/>
      </c>
      <c r="P169" s="5" t="str">
        <f aca="false">IF(K169=1,SUM($N$6:N169),"")</f>
        <v/>
      </c>
      <c r="Q169" s="5" t="str">
        <f aca="false">IF(K169=1,SUMIFS($H$6:$H$511,$L$6:$L$511,L169,$K$6:$K$511,1),"")</f>
        <v/>
      </c>
      <c r="R169" s="103" t="str">
        <f aca="false">IF(B169="","",IF(INDEX(報告入力!$AB$7:$AB$696,B169)="","",INDEX(報告入力!$AB$7:$AB$696,B169)))</f>
        <v/>
      </c>
      <c r="S169" s="5" t="str">
        <f aca="false">設定!$C$49</f>
        <v>長期：退職等年金負担金</v>
      </c>
    </row>
    <row r="170" customFormat="false" ht="15" hidden="false" customHeight="false" outlineLevel="0" collapsed="false">
      <c r="A170" s="5" t="str">
        <f aca="false">設定!B93</f>
        <v>都市再生機構</v>
      </c>
      <c r="B170" s="5" t="n">
        <f aca="false">IFERROR(MATCH(ホーム!$C$4&amp;"|"&amp;A170,報告入力!$CM$7:$CM$696,0),"")</f>
        <v>355</v>
      </c>
      <c r="C170" s="5" t="str">
        <f aca="false">IF(B170="","",INDEX(報告入力!$C$7:$C$696,B170))</f>
        <v>受領済</v>
      </c>
      <c r="D170" s="5" t="str">
        <f aca="false">設定!$A$39</f>
        <v>長期（厚生年金保険経理）</v>
      </c>
      <c r="E170" s="5" t="str">
        <f aca="false">設定!$B$39&amp;""</f>
        <v>130</v>
      </c>
      <c r="F170" s="5" t="str">
        <f aca="false">設定!$D$50&amp;""</f>
        <v>2109001017</v>
      </c>
      <c r="G170" s="5" t="str">
        <f aca="false">設定!$E$50&amp;""</f>
        <v>経過的負担金</v>
      </c>
      <c r="H170" s="5" t="n">
        <f aca="false">IF(B170="",0,N(INDEX(報告入力!$BC$7:$BC$696,B170)))</f>
        <v>43</v>
      </c>
      <c r="I170" s="5" t="str">
        <f aca="false">設定!$C$39&amp;""</f>
        <v>1104001001</v>
      </c>
      <c r="J170" s="5" t="str">
        <f aca="false">設定!$D$39&amp;""</f>
        <v>普広銀市役所</v>
      </c>
      <c r="K170" s="5" t="n">
        <f aca="false">IF(AND(H170&lt;&gt;0,IF(設定!$B$6="入金確認済のみ",C170="入金確認済",OR(C170="入金確認済",C170="受領済"))),1,0)</f>
        <v>0</v>
      </c>
      <c r="L170" s="5" t="str">
        <f aca="false">1&amp;"|"&amp;33</f>
        <v>1|33</v>
      </c>
      <c r="M170" s="5" t="n">
        <f aca="false">IF(L170=L169,M169,0)+K170</f>
        <v>0</v>
      </c>
      <c r="N170" s="5" t="n">
        <f aca="false">IF(AND(K170=1,M170=1),1,0)</f>
        <v>0</v>
      </c>
      <c r="O170" s="5" t="str">
        <f aca="false">IF(K170=1,MAX($O$5:O169)+1,"")</f>
        <v/>
      </c>
      <c r="P170" s="5" t="str">
        <f aca="false">IF(K170=1,SUM($N$6:N170),"")</f>
        <v/>
      </c>
      <c r="Q170" s="5" t="str">
        <f aca="false">IF(K170=1,SUMIFS($H$6:$H$511,$L$6:$L$511,L170,$K$6:$K$511,1),"")</f>
        <v/>
      </c>
      <c r="R170" s="103" t="str">
        <f aca="false">IF(B170="","",IF(INDEX(報告入力!$AB$7:$AB$696,B170)="","",INDEX(報告入力!$AB$7:$AB$696,B170)))</f>
        <v/>
      </c>
      <c r="S170" s="5" t="str">
        <f aca="false">設定!$C$50</f>
        <v>長期：経過的長期</v>
      </c>
    </row>
    <row r="171" customFormat="false" ht="15" hidden="false" customHeight="false" outlineLevel="0" collapsed="false">
      <c r="A171" s="5" t="str">
        <f aca="false">設定!B94</f>
        <v>広島市立大学</v>
      </c>
      <c r="B171" s="5" t="n">
        <f aca="false">IFERROR(MATCH(ホーム!$C$4&amp;"|"&amp;A171,報告入力!$CM$7:$CM$696,0),"")</f>
        <v>356</v>
      </c>
      <c r="C171" s="5" t="str">
        <f aca="false">IF(B171="","",INDEX(報告入力!$C$7:$C$696,B171))</f>
        <v>未受領</v>
      </c>
      <c r="D171" s="5" t="str">
        <f aca="false">設定!$A$39</f>
        <v>長期（厚生年金保険経理）</v>
      </c>
      <c r="E171" s="5" t="str">
        <f aca="false">設定!$B$39&amp;""</f>
        <v>130</v>
      </c>
      <c r="F171" s="5" t="str">
        <f aca="false">設定!$D$46&amp;""</f>
        <v>6102102000</v>
      </c>
      <c r="G171" s="5" t="str">
        <f aca="false">設定!$E$46&amp;""</f>
        <v>標月額保険料</v>
      </c>
      <c r="H171" s="5" t="n">
        <f aca="false">IF(B171="",0,N(INDEX(報告入力!$AY$7:$AY$696,B171)))</f>
        <v>1234335</v>
      </c>
      <c r="I171" s="5" t="str">
        <f aca="false">設定!$C$39&amp;""</f>
        <v>1104001001</v>
      </c>
      <c r="J171" s="5" t="str">
        <f aca="false">設定!$D$39&amp;""</f>
        <v>普広銀市役所</v>
      </c>
      <c r="K171" s="5" t="n">
        <f aca="false">IF(AND(H171&lt;&gt;0,IF(設定!$B$6="入金確認済のみ",C171="入金確認済",OR(C171="入金確認済",C171="受領済"))),1,0)</f>
        <v>0</v>
      </c>
      <c r="L171" s="5" t="str">
        <f aca="false">1&amp;"|"&amp;34</f>
        <v>1|34</v>
      </c>
      <c r="M171" s="5" t="n">
        <f aca="false">IF(L171=L170,M170,0)+K171</f>
        <v>0</v>
      </c>
      <c r="N171" s="5" t="n">
        <f aca="false">IF(AND(K171=1,M171=1),1,0)</f>
        <v>0</v>
      </c>
      <c r="O171" s="5" t="str">
        <f aca="false">IF(K171=1,MAX($O$5:O170)+1,"")</f>
        <v/>
      </c>
      <c r="P171" s="5" t="str">
        <f aca="false">IF(K171=1,SUM($N$6:N171),"")</f>
        <v/>
      </c>
      <c r="Q171" s="5" t="str">
        <f aca="false">IF(K171=1,SUMIFS($H$6:$H$511,$L$6:$L$511,L171,$K$6:$K$511,1),"")</f>
        <v/>
      </c>
      <c r="R171" s="103" t="str">
        <f aca="false">IF(B171="","",IF(INDEX(報告入力!$AB$7:$AB$696,B171)="","",INDEX(報告入力!$AB$7:$AB$696,B171)))</f>
        <v/>
      </c>
      <c r="S171" s="5" t="str">
        <f aca="false">設定!$C$46</f>
        <v>長期：厚生年金保険料（組合員負担分）</v>
      </c>
    </row>
    <row r="172" customFormat="false" ht="15" hidden="false" customHeight="false" outlineLevel="0" collapsed="false">
      <c r="A172" s="5" t="str">
        <f aca="false">設定!B94</f>
        <v>広島市立大学</v>
      </c>
      <c r="B172" s="5" t="n">
        <f aca="false">IFERROR(MATCH(ホーム!$C$4&amp;"|"&amp;A172,報告入力!$CM$7:$CM$696,0),"")</f>
        <v>356</v>
      </c>
      <c r="C172" s="5" t="str">
        <f aca="false">IF(B172="","",INDEX(報告入力!$C$7:$C$696,B172))</f>
        <v>未受領</v>
      </c>
      <c r="D172" s="5" t="str">
        <f aca="false">設定!$A$39</f>
        <v>長期（厚生年金保険経理）</v>
      </c>
      <c r="E172" s="5" t="str">
        <f aca="false">設定!$B$39&amp;""</f>
        <v>130</v>
      </c>
      <c r="F172" s="5" t="str">
        <f aca="false">設定!$D$47&amp;""</f>
        <v>2109001014</v>
      </c>
      <c r="G172" s="5" t="str">
        <f aca="false">設定!$E$47&amp;""</f>
        <v>退職標報掛金</v>
      </c>
      <c r="H172" s="5" t="n">
        <f aca="false">IF(B172="",0,N(INDEX(報告入力!$AZ$7:$AZ$696,B172)))</f>
        <v>101175</v>
      </c>
      <c r="I172" s="5" t="str">
        <f aca="false">設定!$C$39&amp;""</f>
        <v>1104001001</v>
      </c>
      <c r="J172" s="5" t="str">
        <f aca="false">設定!$D$39&amp;""</f>
        <v>普広銀市役所</v>
      </c>
      <c r="K172" s="5" t="n">
        <f aca="false">IF(AND(H172&lt;&gt;0,IF(設定!$B$6="入金確認済のみ",C172="入金確認済",OR(C172="入金確認済",C172="受領済"))),1,0)</f>
        <v>0</v>
      </c>
      <c r="L172" s="5" t="str">
        <f aca="false">1&amp;"|"&amp;34</f>
        <v>1|34</v>
      </c>
      <c r="M172" s="5" t="n">
        <f aca="false">IF(L172=L171,M171,0)+K172</f>
        <v>0</v>
      </c>
      <c r="N172" s="5" t="n">
        <f aca="false">IF(AND(K172=1,M172=1),1,0)</f>
        <v>0</v>
      </c>
      <c r="O172" s="5" t="str">
        <f aca="false">IF(K172=1,MAX($O$5:O171)+1,"")</f>
        <v/>
      </c>
      <c r="P172" s="5" t="str">
        <f aca="false">IF(K172=1,SUM($N$6:N172),"")</f>
        <v/>
      </c>
      <c r="Q172" s="5" t="str">
        <f aca="false">IF(K172=1,SUMIFS($H$6:$H$511,$L$6:$L$511,L172,$K$6:$K$511,1),"")</f>
        <v/>
      </c>
      <c r="R172" s="103" t="str">
        <f aca="false">IF(B172="","",IF(INDEX(報告入力!$AB$7:$AB$696,B172)="","",INDEX(報告入力!$AB$7:$AB$696,B172)))</f>
        <v/>
      </c>
      <c r="S172" s="5" t="str">
        <f aca="false">設定!$C$47</f>
        <v>長期：退職等年金掛金</v>
      </c>
    </row>
    <row r="173" customFormat="false" ht="15" hidden="false" customHeight="false" outlineLevel="0" collapsed="false">
      <c r="A173" s="5" t="str">
        <f aca="false">設定!B94</f>
        <v>広島市立大学</v>
      </c>
      <c r="B173" s="5" t="n">
        <f aca="false">IFERROR(MATCH(ホーム!$C$4&amp;"|"&amp;A173,報告入力!$CM$7:$CM$696,0),"")</f>
        <v>356</v>
      </c>
      <c r="C173" s="5" t="str">
        <f aca="false">IF(B173="","",INDEX(報告入力!$C$7:$C$696,B173))</f>
        <v>未受領</v>
      </c>
      <c r="D173" s="5" t="str">
        <f aca="false">設定!$A$39</f>
        <v>長期（厚生年金保険経理）</v>
      </c>
      <c r="E173" s="5" t="str">
        <f aca="false">設定!$B$39&amp;""</f>
        <v>130</v>
      </c>
      <c r="F173" s="5" t="str">
        <f aca="false">設定!$D$48&amp;""</f>
        <v>6101002000</v>
      </c>
      <c r="G173" s="5" t="str">
        <f aca="false">設定!$E$48&amp;""</f>
        <v>負担地方公共</v>
      </c>
      <c r="H173" s="5" t="n">
        <f aca="false">IF(B173="",0,N(INDEX(報告入力!$BA$7:$BA$696,B173)))</f>
        <v>1234335</v>
      </c>
      <c r="I173" s="5" t="str">
        <f aca="false">設定!$C$39&amp;""</f>
        <v>1104001001</v>
      </c>
      <c r="J173" s="5" t="str">
        <f aca="false">設定!$D$39&amp;""</f>
        <v>普広銀市役所</v>
      </c>
      <c r="K173" s="5" t="n">
        <f aca="false">IF(AND(H173&lt;&gt;0,IF(設定!$B$6="入金確認済のみ",C173="入金確認済",OR(C173="入金確認済",C173="受領済"))),1,0)</f>
        <v>0</v>
      </c>
      <c r="L173" s="5" t="str">
        <f aca="false">1&amp;"|"&amp;34</f>
        <v>1|34</v>
      </c>
      <c r="M173" s="5" t="n">
        <f aca="false">IF(L173=L172,M172,0)+K173</f>
        <v>0</v>
      </c>
      <c r="N173" s="5" t="n">
        <f aca="false">IF(AND(K173=1,M173=1),1,0)</f>
        <v>0</v>
      </c>
      <c r="O173" s="5" t="str">
        <f aca="false">IF(K173=1,MAX($O$5:O172)+1,"")</f>
        <v/>
      </c>
      <c r="P173" s="5" t="str">
        <f aca="false">IF(K173=1,SUM($N$6:N173),"")</f>
        <v/>
      </c>
      <c r="Q173" s="5" t="str">
        <f aca="false">IF(K173=1,SUMIFS($H$6:$H$511,$L$6:$L$511,L173,$K$6:$K$511,1),"")</f>
        <v/>
      </c>
      <c r="R173" s="103" t="str">
        <f aca="false">IF(B173="","",IF(INDEX(報告入力!$AB$7:$AB$696,B173)="","",INDEX(報告入力!$AB$7:$AB$696,B173)))</f>
        <v/>
      </c>
      <c r="S173" s="5" t="str">
        <f aca="false">設定!$C$48</f>
        <v>長期：厚生年金保険料（事業主負担分）</v>
      </c>
    </row>
    <row r="174" customFormat="false" ht="15" hidden="false" customHeight="false" outlineLevel="0" collapsed="false">
      <c r="A174" s="5" t="str">
        <f aca="false">設定!B94</f>
        <v>広島市立大学</v>
      </c>
      <c r="B174" s="5" t="n">
        <f aca="false">IFERROR(MATCH(ホーム!$C$4&amp;"|"&amp;A174,報告入力!$CM$7:$CM$696,0),"")</f>
        <v>356</v>
      </c>
      <c r="C174" s="5" t="str">
        <f aca="false">IF(B174="","",INDEX(報告入力!$C$7:$C$696,B174))</f>
        <v>未受領</v>
      </c>
      <c r="D174" s="5" t="str">
        <f aca="false">設定!$A$39</f>
        <v>長期（厚生年金保険経理）</v>
      </c>
      <c r="E174" s="5" t="str">
        <f aca="false">設定!$B$39&amp;""</f>
        <v>130</v>
      </c>
      <c r="F174" s="5" t="str">
        <f aca="false">設定!$D$49&amp;""</f>
        <v>2109001015</v>
      </c>
      <c r="G174" s="5" t="str">
        <f aca="false">設定!$E$49&amp;""</f>
        <v>退職負担地方</v>
      </c>
      <c r="H174" s="5" t="n">
        <f aca="false">IF(B174="",0,N(INDEX(報告入力!$BB$7:$BB$696,B174)))</f>
        <v>101175</v>
      </c>
      <c r="I174" s="5" t="str">
        <f aca="false">設定!$C$39&amp;""</f>
        <v>1104001001</v>
      </c>
      <c r="J174" s="5" t="str">
        <f aca="false">設定!$D$39&amp;""</f>
        <v>普広銀市役所</v>
      </c>
      <c r="K174" s="5" t="n">
        <f aca="false">IF(AND(H174&lt;&gt;0,IF(設定!$B$6="入金確認済のみ",C174="入金確認済",OR(C174="入金確認済",C174="受領済"))),1,0)</f>
        <v>0</v>
      </c>
      <c r="L174" s="5" t="str">
        <f aca="false">1&amp;"|"&amp;34</f>
        <v>1|34</v>
      </c>
      <c r="M174" s="5" t="n">
        <f aca="false">IF(L174=L173,M173,0)+K174</f>
        <v>0</v>
      </c>
      <c r="N174" s="5" t="n">
        <f aca="false">IF(AND(K174=1,M174=1),1,0)</f>
        <v>0</v>
      </c>
      <c r="O174" s="5" t="str">
        <f aca="false">IF(K174=1,MAX($O$5:O173)+1,"")</f>
        <v/>
      </c>
      <c r="P174" s="5" t="str">
        <f aca="false">IF(K174=1,SUM($N$6:N174),"")</f>
        <v/>
      </c>
      <c r="Q174" s="5" t="str">
        <f aca="false">IF(K174=1,SUMIFS($H$6:$H$511,$L$6:$L$511,L174,$K$6:$K$511,1),"")</f>
        <v/>
      </c>
      <c r="R174" s="103" t="str">
        <f aca="false">IF(B174="","",IF(INDEX(報告入力!$AB$7:$AB$696,B174)="","",INDEX(報告入力!$AB$7:$AB$696,B174)))</f>
        <v/>
      </c>
      <c r="S174" s="5" t="str">
        <f aca="false">設定!$C$49</f>
        <v>長期：退職等年金負担金</v>
      </c>
    </row>
    <row r="175" customFormat="false" ht="15" hidden="false" customHeight="false" outlineLevel="0" collapsed="false">
      <c r="A175" s="5" t="str">
        <f aca="false">設定!B94</f>
        <v>広島市立大学</v>
      </c>
      <c r="B175" s="5" t="n">
        <f aca="false">IFERROR(MATCH(ホーム!$C$4&amp;"|"&amp;A175,報告入力!$CM$7:$CM$696,0),"")</f>
        <v>356</v>
      </c>
      <c r="C175" s="5" t="str">
        <f aca="false">IF(B175="","",INDEX(報告入力!$C$7:$C$696,B175))</f>
        <v>未受領</v>
      </c>
      <c r="D175" s="5" t="str">
        <f aca="false">設定!$A$39</f>
        <v>長期（厚生年金保険経理）</v>
      </c>
      <c r="E175" s="5" t="str">
        <f aca="false">設定!$B$39&amp;""</f>
        <v>130</v>
      </c>
      <c r="F175" s="5" t="str">
        <f aca="false">設定!$D$50&amp;""</f>
        <v>2109001017</v>
      </c>
      <c r="G175" s="5" t="str">
        <f aca="false">設定!$E$50&amp;""</f>
        <v>経過的負担金</v>
      </c>
      <c r="H175" s="5" t="n">
        <f aca="false">IF(B175="",0,N(INDEX(報告入力!$BC$7:$BC$696,B175)))</f>
        <v>1337</v>
      </c>
      <c r="I175" s="5" t="str">
        <f aca="false">設定!$C$39&amp;""</f>
        <v>1104001001</v>
      </c>
      <c r="J175" s="5" t="str">
        <f aca="false">設定!$D$39&amp;""</f>
        <v>普広銀市役所</v>
      </c>
      <c r="K175" s="5" t="n">
        <f aca="false">IF(AND(H175&lt;&gt;0,IF(設定!$B$6="入金確認済のみ",C175="入金確認済",OR(C175="入金確認済",C175="受領済"))),1,0)</f>
        <v>0</v>
      </c>
      <c r="L175" s="5" t="str">
        <f aca="false">1&amp;"|"&amp;34</f>
        <v>1|34</v>
      </c>
      <c r="M175" s="5" t="n">
        <f aca="false">IF(L175=L174,M174,0)+K175</f>
        <v>0</v>
      </c>
      <c r="N175" s="5" t="n">
        <f aca="false">IF(AND(K175=1,M175=1),1,0)</f>
        <v>0</v>
      </c>
      <c r="O175" s="5" t="str">
        <f aca="false">IF(K175=1,MAX($O$5:O174)+1,"")</f>
        <v/>
      </c>
      <c r="P175" s="5" t="str">
        <f aca="false">IF(K175=1,SUM($N$6:N175),"")</f>
        <v/>
      </c>
      <c r="Q175" s="5" t="str">
        <f aca="false">IF(K175=1,SUMIFS($H$6:$H$511,$L$6:$L$511,L175,$K$6:$K$511,1),"")</f>
        <v/>
      </c>
      <c r="R175" s="103" t="str">
        <f aca="false">IF(B175="","",IF(INDEX(報告入力!$AB$7:$AB$696,B175)="","",INDEX(報告入力!$AB$7:$AB$696,B175)))</f>
        <v/>
      </c>
      <c r="S175" s="5" t="str">
        <f aca="false">設定!$C$50</f>
        <v>長期：経過的長期</v>
      </c>
    </row>
    <row r="176" customFormat="false" ht="15" hidden="false" customHeight="false" outlineLevel="0" collapsed="false">
      <c r="A176" s="5" t="str">
        <f aca="false">設定!B95</f>
        <v>社会福祉協議会</v>
      </c>
      <c r="B176" s="5" t="n">
        <f aca="false">IFERROR(MATCH(ホーム!$C$4&amp;"|"&amp;A176,報告入力!$CM$7:$CM$696,0),"")</f>
        <v>357</v>
      </c>
      <c r="C176" s="5" t="str">
        <f aca="false">IF(B176="","",INDEX(報告入力!$C$7:$C$696,B176))</f>
        <v>未受領</v>
      </c>
      <c r="D176" s="5" t="str">
        <f aca="false">設定!$A$39</f>
        <v>長期（厚生年金保険経理）</v>
      </c>
      <c r="E176" s="5" t="str">
        <f aca="false">設定!$B$39&amp;""</f>
        <v>130</v>
      </c>
      <c r="F176" s="5" t="str">
        <f aca="false">設定!$D$46&amp;""</f>
        <v>6102102000</v>
      </c>
      <c r="G176" s="5" t="str">
        <f aca="false">設定!$E$46&amp;""</f>
        <v>標月額保険料</v>
      </c>
      <c r="H176" s="5" t="n">
        <f aca="false">IF(B176="",0,N(INDEX(報告入力!$AY$7:$AY$696,B176)))</f>
        <v>0</v>
      </c>
      <c r="I176" s="5" t="str">
        <f aca="false">設定!$C$39&amp;""</f>
        <v>1104001001</v>
      </c>
      <c r="J176" s="5" t="str">
        <f aca="false">設定!$D$39&amp;""</f>
        <v>普広銀市役所</v>
      </c>
      <c r="K176" s="5" t="n">
        <f aca="false">IF(AND(H176&lt;&gt;0,IF(設定!$B$6="入金確認済のみ",C176="入金確認済",OR(C176="入金確認済",C176="受領済"))),1,0)</f>
        <v>0</v>
      </c>
      <c r="L176" s="5" t="str">
        <f aca="false">1&amp;"|"&amp;35</f>
        <v>1|35</v>
      </c>
      <c r="M176" s="5" t="n">
        <f aca="false">IF(L176=L175,M175,0)+K176</f>
        <v>0</v>
      </c>
      <c r="N176" s="5" t="n">
        <f aca="false">IF(AND(K176=1,M176=1),1,0)</f>
        <v>0</v>
      </c>
      <c r="O176" s="5" t="str">
        <f aca="false">IF(K176=1,MAX($O$5:O175)+1,"")</f>
        <v/>
      </c>
      <c r="P176" s="5" t="str">
        <f aca="false">IF(K176=1,SUM($N$6:N176),"")</f>
        <v/>
      </c>
      <c r="Q176" s="5" t="str">
        <f aca="false">IF(K176=1,SUMIFS($H$6:$H$511,$L$6:$L$511,L176,$K$6:$K$511,1),"")</f>
        <v/>
      </c>
      <c r="R176" s="103" t="str">
        <f aca="false">IF(B176="","",IF(INDEX(報告入力!$AB$7:$AB$696,B176)="","",INDEX(報告入力!$AB$7:$AB$696,B176)))</f>
        <v/>
      </c>
      <c r="S176" s="5" t="str">
        <f aca="false">設定!$C$46</f>
        <v>長期：厚生年金保険料（組合員負担分）</v>
      </c>
    </row>
    <row r="177" customFormat="false" ht="15" hidden="false" customHeight="false" outlineLevel="0" collapsed="false">
      <c r="A177" s="5" t="str">
        <f aca="false">設定!B95</f>
        <v>社会福祉協議会</v>
      </c>
      <c r="B177" s="5" t="n">
        <f aca="false">IFERROR(MATCH(ホーム!$C$4&amp;"|"&amp;A177,報告入力!$CM$7:$CM$696,0),"")</f>
        <v>357</v>
      </c>
      <c r="C177" s="5" t="str">
        <f aca="false">IF(B177="","",INDEX(報告入力!$C$7:$C$696,B177))</f>
        <v>未受領</v>
      </c>
      <c r="D177" s="5" t="str">
        <f aca="false">設定!$A$39</f>
        <v>長期（厚生年金保険経理）</v>
      </c>
      <c r="E177" s="5" t="str">
        <f aca="false">設定!$B$39&amp;""</f>
        <v>130</v>
      </c>
      <c r="F177" s="5" t="str">
        <f aca="false">設定!$D$47&amp;""</f>
        <v>2109001014</v>
      </c>
      <c r="G177" s="5" t="str">
        <f aca="false">設定!$E$47&amp;""</f>
        <v>退職標報掛金</v>
      </c>
      <c r="H177" s="5" t="n">
        <f aca="false">IF(B177="",0,N(INDEX(報告入力!$AZ$7:$AZ$696,B177)))</f>
        <v>0</v>
      </c>
      <c r="I177" s="5" t="str">
        <f aca="false">設定!$C$39&amp;""</f>
        <v>1104001001</v>
      </c>
      <c r="J177" s="5" t="str">
        <f aca="false">設定!$D$39&amp;""</f>
        <v>普広銀市役所</v>
      </c>
      <c r="K177" s="5" t="n">
        <f aca="false">IF(AND(H177&lt;&gt;0,IF(設定!$B$6="入金確認済のみ",C177="入金確認済",OR(C177="入金確認済",C177="受領済"))),1,0)</f>
        <v>0</v>
      </c>
      <c r="L177" s="5" t="str">
        <f aca="false">1&amp;"|"&amp;35</f>
        <v>1|35</v>
      </c>
      <c r="M177" s="5" t="n">
        <f aca="false">IF(L177=L176,M176,0)+K177</f>
        <v>0</v>
      </c>
      <c r="N177" s="5" t="n">
        <f aca="false">IF(AND(K177=1,M177=1),1,0)</f>
        <v>0</v>
      </c>
      <c r="O177" s="5" t="str">
        <f aca="false">IF(K177=1,MAX($O$5:O176)+1,"")</f>
        <v/>
      </c>
      <c r="P177" s="5" t="str">
        <f aca="false">IF(K177=1,SUM($N$6:N177),"")</f>
        <v/>
      </c>
      <c r="Q177" s="5" t="str">
        <f aca="false">IF(K177=1,SUMIFS($H$6:$H$511,$L$6:$L$511,L177,$K$6:$K$511,1),"")</f>
        <v/>
      </c>
      <c r="R177" s="103" t="str">
        <f aca="false">IF(B177="","",IF(INDEX(報告入力!$AB$7:$AB$696,B177)="","",INDEX(報告入力!$AB$7:$AB$696,B177)))</f>
        <v/>
      </c>
      <c r="S177" s="5" t="str">
        <f aca="false">設定!$C$47</f>
        <v>長期：退職等年金掛金</v>
      </c>
    </row>
    <row r="178" customFormat="false" ht="15" hidden="false" customHeight="false" outlineLevel="0" collapsed="false">
      <c r="A178" s="5" t="str">
        <f aca="false">設定!B95</f>
        <v>社会福祉協議会</v>
      </c>
      <c r="B178" s="5" t="n">
        <f aca="false">IFERROR(MATCH(ホーム!$C$4&amp;"|"&amp;A178,報告入力!$CM$7:$CM$696,0),"")</f>
        <v>357</v>
      </c>
      <c r="C178" s="5" t="str">
        <f aca="false">IF(B178="","",INDEX(報告入力!$C$7:$C$696,B178))</f>
        <v>未受領</v>
      </c>
      <c r="D178" s="5" t="str">
        <f aca="false">設定!$A$39</f>
        <v>長期（厚生年金保険経理）</v>
      </c>
      <c r="E178" s="5" t="str">
        <f aca="false">設定!$B$39&amp;""</f>
        <v>130</v>
      </c>
      <c r="F178" s="5" t="str">
        <f aca="false">設定!$D$48&amp;""</f>
        <v>6101002000</v>
      </c>
      <c r="G178" s="5" t="str">
        <f aca="false">設定!$E$48&amp;""</f>
        <v>負担地方公共</v>
      </c>
      <c r="H178" s="5" t="n">
        <f aca="false">IF(B178="",0,N(INDEX(報告入力!$BA$7:$BA$696,B178)))</f>
        <v>245220</v>
      </c>
      <c r="I178" s="5" t="str">
        <f aca="false">設定!$C$39&amp;""</f>
        <v>1104001001</v>
      </c>
      <c r="J178" s="5" t="str">
        <f aca="false">設定!$D$39&amp;""</f>
        <v>普広銀市役所</v>
      </c>
      <c r="K178" s="5" t="n">
        <f aca="false">IF(AND(H178&lt;&gt;0,IF(設定!$B$6="入金確認済のみ",C178="入金確認済",OR(C178="入金確認済",C178="受領済"))),1,0)</f>
        <v>0</v>
      </c>
      <c r="L178" s="5" t="str">
        <f aca="false">1&amp;"|"&amp;35</f>
        <v>1|35</v>
      </c>
      <c r="M178" s="5" t="n">
        <f aca="false">IF(L178=L177,M177,0)+K178</f>
        <v>0</v>
      </c>
      <c r="N178" s="5" t="n">
        <f aca="false">IF(AND(K178=1,M178=1),1,0)</f>
        <v>0</v>
      </c>
      <c r="O178" s="5" t="str">
        <f aca="false">IF(K178=1,MAX($O$5:O177)+1,"")</f>
        <v/>
      </c>
      <c r="P178" s="5" t="str">
        <f aca="false">IF(K178=1,SUM($N$6:N178),"")</f>
        <v/>
      </c>
      <c r="Q178" s="5" t="str">
        <f aca="false">IF(K178=1,SUMIFS($H$6:$H$511,$L$6:$L$511,L178,$K$6:$K$511,1),"")</f>
        <v/>
      </c>
      <c r="R178" s="103" t="str">
        <f aca="false">IF(B178="","",IF(INDEX(報告入力!$AB$7:$AB$696,B178)="","",INDEX(報告入力!$AB$7:$AB$696,B178)))</f>
        <v/>
      </c>
      <c r="S178" s="5" t="str">
        <f aca="false">設定!$C$48</f>
        <v>長期：厚生年金保険料（事業主負担分）</v>
      </c>
    </row>
    <row r="179" customFormat="false" ht="15" hidden="false" customHeight="false" outlineLevel="0" collapsed="false">
      <c r="A179" s="5" t="str">
        <f aca="false">設定!B95</f>
        <v>社会福祉協議会</v>
      </c>
      <c r="B179" s="5" t="n">
        <f aca="false">IFERROR(MATCH(ホーム!$C$4&amp;"|"&amp;A179,報告入力!$CM$7:$CM$696,0),"")</f>
        <v>357</v>
      </c>
      <c r="C179" s="5" t="str">
        <f aca="false">IF(B179="","",INDEX(報告入力!$C$7:$C$696,B179))</f>
        <v>未受領</v>
      </c>
      <c r="D179" s="5" t="str">
        <f aca="false">設定!$A$39</f>
        <v>長期（厚生年金保険経理）</v>
      </c>
      <c r="E179" s="5" t="str">
        <f aca="false">設定!$B$39&amp;""</f>
        <v>130</v>
      </c>
      <c r="F179" s="5" t="str">
        <f aca="false">設定!$D$49&amp;""</f>
        <v>2109001015</v>
      </c>
      <c r="G179" s="5" t="str">
        <f aca="false">設定!$E$49&amp;""</f>
        <v>退職負担地方</v>
      </c>
      <c r="H179" s="5" t="n">
        <f aca="false">IF(B179="",0,N(INDEX(報告入力!$BB$7:$BB$696,B179)))</f>
        <v>20100</v>
      </c>
      <c r="I179" s="5" t="str">
        <f aca="false">設定!$C$39&amp;""</f>
        <v>1104001001</v>
      </c>
      <c r="J179" s="5" t="str">
        <f aca="false">設定!$D$39&amp;""</f>
        <v>普広銀市役所</v>
      </c>
      <c r="K179" s="5" t="n">
        <f aca="false">IF(AND(H179&lt;&gt;0,IF(設定!$B$6="入金確認済のみ",C179="入金確認済",OR(C179="入金確認済",C179="受領済"))),1,0)</f>
        <v>0</v>
      </c>
      <c r="L179" s="5" t="str">
        <f aca="false">1&amp;"|"&amp;35</f>
        <v>1|35</v>
      </c>
      <c r="M179" s="5" t="n">
        <f aca="false">IF(L179=L178,M178,0)+K179</f>
        <v>0</v>
      </c>
      <c r="N179" s="5" t="n">
        <f aca="false">IF(AND(K179=1,M179=1),1,0)</f>
        <v>0</v>
      </c>
      <c r="O179" s="5" t="str">
        <f aca="false">IF(K179=1,MAX($O$5:O178)+1,"")</f>
        <v/>
      </c>
      <c r="P179" s="5" t="str">
        <f aca="false">IF(K179=1,SUM($N$6:N179),"")</f>
        <v/>
      </c>
      <c r="Q179" s="5" t="str">
        <f aca="false">IF(K179=1,SUMIFS($H$6:$H$511,$L$6:$L$511,L179,$K$6:$K$511,1),"")</f>
        <v/>
      </c>
      <c r="R179" s="103" t="str">
        <f aca="false">IF(B179="","",IF(INDEX(報告入力!$AB$7:$AB$696,B179)="","",INDEX(報告入力!$AB$7:$AB$696,B179)))</f>
        <v/>
      </c>
      <c r="S179" s="5" t="str">
        <f aca="false">設定!$C$49</f>
        <v>長期：退職等年金負担金</v>
      </c>
    </row>
    <row r="180" customFormat="false" ht="15" hidden="false" customHeight="false" outlineLevel="0" collapsed="false">
      <c r="A180" s="5" t="str">
        <f aca="false">設定!B95</f>
        <v>社会福祉協議会</v>
      </c>
      <c r="B180" s="5" t="n">
        <f aca="false">IFERROR(MATCH(ホーム!$C$4&amp;"|"&amp;A180,報告入力!$CM$7:$CM$696,0),"")</f>
        <v>357</v>
      </c>
      <c r="C180" s="5" t="str">
        <f aca="false">IF(B180="","",INDEX(報告入力!$C$7:$C$696,B180))</f>
        <v>未受領</v>
      </c>
      <c r="D180" s="5" t="str">
        <f aca="false">設定!$A$39</f>
        <v>長期（厚生年金保険経理）</v>
      </c>
      <c r="E180" s="5" t="str">
        <f aca="false">設定!$B$39&amp;""</f>
        <v>130</v>
      </c>
      <c r="F180" s="5" t="str">
        <f aca="false">設定!$D$50&amp;""</f>
        <v>2109001017</v>
      </c>
      <c r="G180" s="5" t="str">
        <f aca="false">設定!$E$50&amp;""</f>
        <v>経過的負担金</v>
      </c>
      <c r="H180" s="5" t="n">
        <f aca="false">IF(B180="",0,N(INDEX(報告入力!$BC$7:$BC$696,B180)))</f>
        <v>251</v>
      </c>
      <c r="I180" s="5" t="str">
        <f aca="false">設定!$C$39&amp;""</f>
        <v>1104001001</v>
      </c>
      <c r="J180" s="5" t="str">
        <f aca="false">設定!$D$39&amp;""</f>
        <v>普広銀市役所</v>
      </c>
      <c r="K180" s="5" t="n">
        <f aca="false">IF(AND(H180&lt;&gt;0,IF(設定!$B$6="入金確認済のみ",C180="入金確認済",OR(C180="入金確認済",C180="受領済"))),1,0)</f>
        <v>0</v>
      </c>
      <c r="L180" s="5" t="str">
        <f aca="false">1&amp;"|"&amp;35</f>
        <v>1|35</v>
      </c>
      <c r="M180" s="5" t="n">
        <f aca="false">IF(L180=L179,M179,0)+K180</f>
        <v>0</v>
      </c>
      <c r="N180" s="5" t="n">
        <f aca="false">IF(AND(K180=1,M180=1),1,0)</f>
        <v>0</v>
      </c>
      <c r="O180" s="5" t="str">
        <f aca="false">IF(K180=1,MAX($O$5:O179)+1,"")</f>
        <v/>
      </c>
      <c r="P180" s="5" t="str">
        <f aca="false">IF(K180=1,SUM($N$6:N180),"")</f>
        <v/>
      </c>
      <c r="Q180" s="5" t="str">
        <f aca="false">IF(K180=1,SUMIFS($H$6:$H$511,$L$6:$L$511,L180,$K$6:$K$511,1),"")</f>
        <v/>
      </c>
      <c r="R180" s="103" t="str">
        <f aca="false">IF(B180="","",IF(INDEX(報告入力!$AB$7:$AB$696,B180)="","",INDEX(報告入力!$AB$7:$AB$696,B180)))</f>
        <v/>
      </c>
      <c r="S180" s="5" t="str">
        <f aca="false">設定!$C$50</f>
        <v>長期：経過的長期</v>
      </c>
    </row>
    <row r="181" customFormat="false" ht="15" hidden="false" customHeight="false" outlineLevel="0" collapsed="false">
      <c r="A181" s="5" t="str">
        <f aca="false">設定!B96</f>
        <v>市立病院機構</v>
      </c>
      <c r="B181" s="5" t="n">
        <f aca="false">IFERROR(MATCH(ホーム!$C$4&amp;"|"&amp;A181,報告入力!$CM$7:$CM$696,0),"")</f>
        <v>358</v>
      </c>
      <c r="C181" s="5" t="str">
        <f aca="false">IF(B181="","",INDEX(報告入力!$C$7:$C$696,B181))</f>
        <v>未受領</v>
      </c>
      <c r="D181" s="5" t="str">
        <f aca="false">設定!$A$39</f>
        <v>長期（厚生年金保険経理）</v>
      </c>
      <c r="E181" s="5" t="str">
        <f aca="false">設定!$B$39&amp;""</f>
        <v>130</v>
      </c>
      <c r="F181" s="5" t="str">
        <f aca="false">設定!$D$46&amp;""</f>
        <v>6102102000</v>
      </c>
      <c r="G181" s="5" t="str">
        <f aca="false">設定!$E$46&amp;""</f>
        <v>標月額保険料</v>
      </c>
      <c r="H181" s="5" t="n">
        <f aca="false">IF(B181="",0,N(INDEX(報告入力!$AY$7:$AY$696,B181)))</f>
        <v>124033466</v>
      </c>
      <c r="I181" s="5" t="str">
        <f aca="false">設定!$C$39&amp;""</f>
        <v>1104001001</v>
      </c>
      <c r="J181" s="5" t="str">
        <f aca="false">設定!$D$39&amp;""</f>
        <v>普広銀市役所</v>
      </c>
      <c r="K181" s="5" t="n">
        <f aca="false">IF(AND(H181&lt;&gt;0,IF(設定!$B$6="入金確認済のみ",C181="入金確認済",OR(C181="入金確認済",C181="受領済"))),1,0)</f>
        <v>0</v>
      </c>
      <c r="L181" s="5" t="str">
        <f aca="false">1&amp;"|"&amp;36</f>
        <v>1|36</v>
      </c>
      <c r="M181" s="5" t="n">
        <f aca="false">IF(L181=L180,M180,0)+K181</f>
        <v>0</v>
      </c>
      <c r="N181" s="5" t="n">
        <f aca="false">IF(AND(K181=1,M181=1),1,0)</f>
        <v>0</v>
      </c>
      <c r="O181" s="5" t="str">
        <f aca="false">IF(K181=1,MAX($O$5:O180)+1,"")</f>
        <v/>
      </c>
      <c r="P181" s="5" t="str">
        <f aca="false">IF(K181=1,SUM($N$6:N181),"")</f>
        <v/>
      </c>
      <c r="Q181" s="5" t="str">
        <f aca="false">IF(K181=1,SUMIFS($H$6:$H$511,$L$6:$L$511,L181,$K$6:$K$511,1),"")</f>
        <v/>
      </c>
      <c r="R181" s="103" t="str">
        <f aca="false">IF(B181="","",IF(INDEX(報告入力!$AB$7:$AB$696,B181)="","",INDEX(報告入力!$AB$7:$AB$696,B181)))</f>
        <v/>
      </c>
      <c r="S181" s="5" t="str">
        <f aca="false">設定!$C$46</f>
        <v>長期：厚生年金保険料（組合員負担分）</v>
      </c>
    </row>
    <row r="182" customFormat="false" ht="15" hidden="false" customHeight="false" outlineLevel="0" collapsed="false">
      <c r="A182" s="5" t="str">
        <f aca="false">設定!B96</f>
        <v>市立病院機構</v>
      </c>
      <c r="B182" s="5" t="n">
        <f aca="false">IFERROR(MATCH(ホーム!$C$4&amp;"|"&amp;A182,報告入力!$CM$7:$CM$696,0),"")</f>
        <v>358</v>
      </c>
      <c r="C182" s="5" t="str">
        <f aca="false">IF(B182="","",INDEX(報告入力!$C$7:$C$696,B182))</f>
        <v>未受領</v>
      </c>
      <c r="D182" s="5" t="str">
        <f aca="false">設定!$A$39</f>
        <v>長期（厚生年金保険経理）</v>
      </c>
      <c r="E182" s="5" t="str">
        <f aca="false">設定!$B$39&amp;""</f>
        <v>130</v>
      </c>
      <c r="F182" s="5" t="str">
        <f aca="false">設定!$D$47&amp;""</f>
        <v>2109001014</v>
      </c>
      <c r="G182" s="5" t="str">
        <f aca="false">設定!$E$47&amp;""</f>
        <v>退職標報掛金</v>
      </c>
      <c r="H182" s="5" t="n">
        <f aca="false">IF(B182="",0,N(INDEX(報告入力!$AZ$7:$AZ$696,B182)))</f>
        <v>10166678</v>
      </c>
      <c r="I182" s="5" t="str">
        <f aca="false">設定!$C$39&amp;""</f>
        <v>1104001001</v>
      </c>
      <c r="J182" s="5" t="str">
        <f aca="false">設定!$D$39&amp;""</f>
        <v>普広銀市役所</v>
      </c>
      <c r="K182" s="5" t="n">
        <f aca="false">IF(AND(H182&lt;&gt;0,IF(設定!$B$6="入金確認済のみ",C182="入金確認済",OR(C182="入金確認済",C182="受領済"))),1,0)</f>
        <v>0</v>
      </c>
      <c r="L182" s="5" t="str">
        <f aca="false">1&amp;"|"&amp;36</f>
        <v>1|36</v>
      </c>
      <c r="M182" s="5" t="n">
        <f aca="false">IF(L182=L181,M181,0)+K182</f>
        <v>0</v>
      </c>
      <c r="N182" s="5" t="n">
        <f aca="false">IF(AND(K182=1,M182=1),1,0)</f>
        <v>0</v>
      </c>
      <c r="O182" s="5" t="str">
        <f aca="false">IF(K182=1,MAX($O$5:O181)+1,"")</f>
        <v/>
      </c>
      <c r="P182" s="5" t="str">
        <f aca="false">IF(K182=1,SUM($N$6:N182),"")</f>
        <v/>
      </c>
      <c r="Q182" s="5" t="str">
        <f aca="false">IF(K182=1,SUMIFS($H$6:$H$511,$L$6:$L$511,L182,$K$6:$K$511,1),"")</f>
        <v/>
      </c>
      <c r="R182" s="103" t="str">
        <f aca="false">IF(B182="","",IF(INDEX(報告入力!$AB$7:$AB$696,B182)="","",INDEX(報告入力!$AB$7:$AB$696,B182)))</f>
        <v/>
      </c>
      <c r="S182" s="5" t="str">
        <f aca="false">設定!$C$47</f>
        <v>長期：退職等年金掛金</v>
      </c>
    </row>
    <row r="183" customFormat="false" ht="15" hidden="false" customHeight="false" outlineLevel="0" collapsed="false">
      <c r="A183" s="5" t="str">
        <f aca="false">設定!B96</f>
        <v>市立病院機構</v>
      </c>
      <c r="B183" s="5" t="n">
        <f aca="false">IFERROR(MATCH(ホーム!$C$4&amp;"|"&amp;A183,報告入力!$CM$7:$CM$696,0),"")</f>
        <v>358</v>
      </c>
      <c r="C183" s="5" t="str">
        <f aca="false">IF(B183="","",INDEX(報告入力!$C$7:$C$696,B183))</f>
        <v>未受領</v>
      </c>
      <c r="D183" s="5" t="str">
        <f aca="false">設定!$A$39</f>
        <v>長期（厚生年金保険経理）</v>
      </c>
      <c r="E183" s="5" t="str">
        <f aca="false">設定!$B$39&amp;""</f>
        <v>130</v>
      </c>
      <c r="F183" s="5" t="str">
        <f aca="false">設定!$D$48&amp;""</f>
        <v>6101002000</v>
      </c>
      <c r="G183" s="5" t="str">
        <f aca="false">設定!$E$48&amp;""</f>
        <v>負担地方公共</v>
      </c>
      <c r="H183" s="5" t="n">
        <f aca="false">IF(B183="",0,N(INDEX(報告入力!$BA$7:$BA$696,B183)))</f>
        <v>183571142</v>
      </c>
      <c r="I183" s="5" t="str">
        <f aca="false">設定!$C$39&amp;""</f>
        <v>1104001001</v>
      </c>
      <c r="J183" s="5" t="str">
        <f aca="false">設定!$D$39&amp;""</f>
        <v>普広銀市役所</v>
      </c>
      <c r="K183" s="5" t="n">
        <f aca="false">IF(AND(H183&lt;&gt;0,IF(設定!$B$6="入金確認済のみ",C183="入金確認済",OR(C183="入金確認済",C183="受領済"))),1,0)</f>
        <v>0</v>
      </c>
      <c r="L183" s="5" t="str">
        <f aca="false">1&amp;"|"&amp;36</f>
        <v>1|36</v>
      </c>
      <c r="M183" s="5" t="n">
        <f aca="false">IF(L183=L182,M182,0)+K183</f>
        <v>0</v>
      </c>
      <c r="N183" s="5" t="n">
        <f aca="false">IF(AND(K183=1,M183=1),1,0)</f>
        <v>0</v>
      </c>
      <c r="O183" s="5" t="str">
        <f aca="false">IF(K183=1,MAX($O$5:O182)+1,"")</f>
        <v/>
      </c>
      <c r="P183" s="5" t="str">
        <f aca="false">IF(K183=1,SUM($N$6:N183),"")</f>
        <v/>
      </c>
      <c r="Q183" s="5" t="str">
        <f aca="false">IF(K183=1,SUMIFS($H$6:$H$511,$L$6:$L$511,L183,$K$6:$K$511,1),"")</f>
        <v/>
      </c>
      <c r="R183" s="103" t="str">
        <f aca="false">IF(B183="","",IF(INDEX(報告入力!$AB$7:$AB$696,B183)="","",INDEX(報告入力!$AB$7:$AB$696,B183)))</f>
        <v/>
      </c>
      <c r="S183" s="5" t="str">
        <f aca="false">設定!$C$48</f>
        <v>長期：厚生年金保険料（事業主負担分）</v>
      </c>
    </row>
    <row r="184" customFormat="false" ht="15" hidden="false" customHeight="false" outlineLevel="0" collapsed="false">
      <c r="A184" s="5" t="str">
        <f aca="false">設定!B96</f>
        <v>市立病院機構</v>
      </c>
      <c r="B184" s="5" t="n">
        <f aca="false">IFERROR(MATCH(ホーム!$C$4&amp;"|"&amp;A184,報告入力!$CM$7:$CM$696,0),"")</f>
        <v>358</v>
      </c>
      <c r="C184" s="5" t="str">
        <f aca="false">IF(B184="","",INDEX(報告入力!$C$7:$C$696,B184))</f>
        <v>未受領</v>
      </c>
      <c r="D184" s="5" t="str">
        <f aca="false">設定!$A$39</f>
        <v>長期（厚生年金保険経理）</v>
      </c>
      <c r="E184" s="5" t="str">
        <f aca="false">設定!$B$39&amp;""</f>
        <v>130</v>
      </c>
      <c r="F184" s="5" t="str">
        <f aca="false">設定!$D$49&amp;""</f>
        <v>2109001015</v>
      </c>
      <c r="G184" s="5" t="str">
        <f aca="false">設定!$E$49&amp;""</f>
        <v>退職負担地方</v>
      </c>
      <c r="H184" s="5" t="n">
        <f aca="false">IF(B184="",0,N(INDEX(報告入力!$BB$7:$BB$696,B184)))</f>
        <v>10169978</v>
      </c>
      <c r="I184" s="5" t="str">
        <f aca="false">設定!$C$39&amp;""</f>
        <v>1104001001</v>
      </c>
      <c r="J184" s="5" t="str">
        <f aca="false">設定!$D$39&amp;""</f>
        <v>普広銀市役所</v>
      </c>
      <c r="K184" s="5" t="n">
        <f aca="false">IF(AND(H184&lt;&gt;0,IF(設定!$B$6="入金確認済のみ",C184="入金確認済",OR(C184="入金確認済",C184="受領済"))),1,0)</f>
        <v>0</v>
      </c>
      <c r="L184" s="5" t="str">
        <f aca="false">1&amp;"|"&amp;36</f>
        <v>1|36</v>
      </c>
      <c r="M184" s="5" t="n">
        <f aca="false">IF(L184=L183,M183,0)+K184</f>
        <v>0</v>
      </c>
      <c r="N184" s="5" t="n">
        <f aca="false">IF(AND(K184=1,M184=1),1,0)</f>
        <v>0</v>
      </c>
      <c r="O184" s="5" t="str">
        <f aca="false">IF(K184=1,MAX($O$5:O183)+1,"")</f>
        <v/>
      </c>
      <c r="P184" s="5" t="str">
        <f aca="false">IF(K184=1,SUM($N$6:N184),"")</f>
        <v/>
      </c>
      <c r="Q184" s="5" t="str">
        <f aca="false">IF(K184=1,SUMIFS($H$6:$H$511,$L$6:$L$511,L184,$K$6:$K$511,1),"")</f>
        <v/>
      </c>
      <c r="R184" s="103" t="str">
        <f aca="false">IF(B184="","",IF(INDEX(報告入力!$AB$7:$AB$696,B184)="","",INDEX(報告入力!$AB$7:$AB$696,B184)))</f>
        <v/>
      </c>
      <c r="S184" s="5" t="str">
        <f aca="false">設定!$C$49</f>
        <v>長期：退職等年金負担金</v>
      </c>
    </row>
    <row r="185" customFormat="false" ht="15" hidden="false" customHeight="false" outlineLevel="0" collapsed="false">
      <c r="A185" s="5" t="str">
        <f aca="false">設定!B96</f>
        <v>市立病院機構</v>
      </c>
      <c r="B185" s="5" t="n">
        <f aca="false">IFERROR(MATCH(ホーム!$C$4&amp;"|"&amp;A185,報告入力!$CM$7:$CM$696,0),"")</f>
        <v>358</v>
      </c>
      <c r="C185" s="5" t="str">
        <f aca="false">IF(B185="","",INDEX(報告入力!$C$7:$C$696,B185))</f>
        <v>未受領</v>
      </c>
      <c r="D185" s="5" t="str">
        <f aca="false">設定!$A$39</f>
        <v>長期（厚生年金保険経理）</v>
      </c>
      <c r="E185" s="5" t="str">
        <f aca="false">設定!$B$39&amp;""</f>
        <v>130</v>
      </c>
      <c r="F185" s="5" t="str">
        <f aca="false">設定!$D$50&amp;""</f>
        <v>2109001017</v>
      </c>
      <c r="G185" s="5" t="str">
        <f aca="false">設定!$E$50&amp;""</f>
        <v>経過的負担金</v>
      </c>
      <c r="H185" s="5" t="n">
        <f aca="false">IF(B185="",0,N(INDEX(報告入力!$BC$7:$BC$696,B185)))</f>
        <v>134503</v>
      </c>
      <c r="I185" s="5" t="str">
        <f aca="false">設定!$C$39&amp;""</f>
        <v>1104001001</v>
      </c>
      <c r="J185" s="5" t="str">
        <f aca="false">設定!$D$39&amp;""</f>
        <v>普広銀市役所</v>
      </c>
      <c r="K185" s="5" t="n">
        <f aca="false">IF(AND(H185&lt;&gt;0,IF(設定!$B$6="入金確認済のみ",C185="入金確認済",OR(C185="入金確認済",C185="受領済"))),1,0)</f>
        <v>0</v>
      </c>
      <c r="L185" s="5" t="str">
        <f aca="false">1&amp;"|"&amp;36</f>
        <v>1|36</v>
      </c>
      <c r="M185" s="5" t="n">
        <f aca="false">IF(L185=L184,M184,0)+K185</f>
        <v>0</v>
      </c>
      <c r="N185" s="5" t="n">
        <f aca="false">IF(AND(K185=1,M185=1),1,0)</f>
        <v>0</v>
      </c>
      <c r="O185" s="5" t="str">
        <f aca="false">IF(K185=1,MAX($O$5:O184)+1,"")</f>
        <v/>
      </c>
      <c r="P185" s="5" t="str">
        <f aca="false">IF(K185=1,SUM($N$6:N185),"")</f>
        <v/>
      </c>
      <c r="Q185" s="5" t="str">
        <f aca="false">IF(K185=1,SUMIFS($H$6:$H$511,$L$6:$L$511,L185,$K$6:$K$511,1),"")</f>
        <v/>
      </c>
      <c r="R185" s="103" t="str">
        <f aca="false">IF(B185="","",IF(INDEX(報告入力!$AB$7:$AB$696,B185)="","",INDEX(報告入力!$AB$7:$AB$696,B185)))</f>
        <v/>
      </c>
      <c r="S185" s="5" t="str">
        <f aca="false">設定!$C$50</f>
        <v>長期：経過的長期</v>
      </c>
    </row>
    <row r="186" customFormat="false" ht="15" hidden="false" customHeight="false" outlineLevel="0" collapsed="false">
      <c r="A186" s="5" t="str">
        <f aca="false">設定!B97</f>
        <v>職員共済組合</v>
      </c>
      <c r="B186" s="5" t="n">
        <f aca="false">IFERROR(MATCH(ホーム!$C$4&amp;"|"&amp;A186,報告入力!$CM$7:$CM$696,0),"")</f>
        <v>359</v>
      </c>
      <c r="C186" s="5" t="str">
        <f aca="false">IF(B186="","",INDEX(報告入力!$C$7:$C$696,B186))</f>
        <v>未受領</v>
      </c>
      <c r="D186" s="5" t="str">
        <f aca="false">設定!$A$39</f>
        <v>長期（厚生年金保険経理）</v>
      </c>
      <c r="E186" s="5" t="str">
        <f aca="false">設定!$B$39&amp;""</f>
        <v>130</v>
      </c>
      <c r="F186" s="5" t="str">
        <f aca="false">設定!$D$46&amp;""</f>
        <v>6102102000</v>
      </c>
      <c r="G186" s="5" t="str">
        <f aca="false">設定!$E$46&amp;""</f>
        <v>標月額保険料</v>
      </c>
      <c r="H186" s="5" t="n">
        <f aca="false">IF(B186="",0,N(INDEX(報告入力!$AY$7:$AY$696,B186)))</f>
        <v>0</v>
      </c>
      <c r="I186" s="5" t="str">
        <f aca="false">設定!$C$39&amp;""</f>
        <v>1104001001</v>
      </c>
      <c r="J186" s="5" t="str">
        <f aca="false">設定!$D$39&amp;""</f>
        <v>普広銀市役所</v>
      </c>
      <c r="K186" s="5" t="n">
        <f aca="false">IF(AND(H186&lt;&gt;0,IF(設定!$B$6="入金確認済のみ",C186="入金確認済",OR(C186="入金確認済",C186="受領済"))),1,0)</f>
        <v>0</v>
      </c>
      <c r="L186" s="5" t="str">
        <f aca="false">1&amp;"|"&amp;37</f>
        <v>1|37</v>
      </c>
      <c r="M186" s="5" t="n">
        <f aca="false">IF(L186=L185,M185,0)+K186</f>
        <v>0</v>
      </c>
      <c r="N186" s="5" t="n">
        <f aca="false">IF(AND(K186=1,M186=1),1,0)</f>
        <v>0</v>
      </c>
      <c r="O186" s="5" t="str">
        <f aca="false">IF(K186=1,MAX($O$5:O185)+1,"")</f>
        <v/>
      </c>
      <c r="P186" s="5" t="str">
        <f aca="false">IF(K186=1,SUM($N$6:N186),"")</f>
        <v/>
      </c>
      <c r="Q186" s="5" t="str">
        <f aca="false">IF(K186=1,SUMIFS($H$6:$H$511,$L$6:$L$511,L186,$K$6:$K$511,1),"")</f>
        <v/>
      </c>
      <c r="R186" s="103" t="str">
        <f aca="false">IF(B186="","",IF(INDEX(報告入力!$AB$7:$AB$696,B186)="","",INDEX(報告入力!$AB$7:$AB$696,B186)))</f>
        <v/>
      </c>
      <c r="S186" s="5" t="str">
        <f aca="false">設定!$C$46</f>
        <v>長期：厚生年金保険料（組合員負担分）</v>
      </c>
    </row>
    <row r="187" customFormat="false" ht="15" hidden="false" customHeight="false" outlineLevel="0" collapsed="false">
      <c r="A187" s="5" t="str">
        <f aca="false">設定!B97</f>
        <v>職員共済組合</v>
      </c>
      <c r="B187" s="5" t="n">
        <f aca="false">IFERROR(MATCH(ホーム!$C$4&amp;"|"&amp;A187,報告入力!$CM$7:$CM$696,0),"")</f>
        <v>359</v>
      </c>
      <c r="C187" s="5" t="str">
        <f aca="false">IF(B187="","",INDEX(報告入力!$C$7:$C$696,B187))</f>
        <v>未受領</v>
      </c>
      <c r="D187" s="5" t="str">
        <f aca="false">設定!$A$39</f>
        <v>長期（厚生年金保険経理）</v>
      </c>
      <c r="E187" s="5" t="str">
        <f aca="false">設定!$B$39&amp;""</f>
        <v>130</v>
      </c>
      <c r="F187" s="5" t="str">
        <f aca="false">設定!$D$47&amp;""</f>
        <v>2109001014</v>
      </c>
      <c r="G187" s="5" t="str">
        <f aca="false">設定!$E$47&amp;""</f>
        <v>退職標報掛金</v>
      </c>
      <c r="H187" s="5" t="n">
        <f aca="false">IF(B187="",0,N(INDEX(報告入力!$AZ$7:$AZ$696,B187)))</f>
        <v>0</v>
      </c>
      <c r="I187" s="5" t="str">
        <f aca="false">設定!$C$39&amp;""</f>
        <v>1104001001</v>
      </c>
      <c r="J187" s="5" t="str">
        <f aca="false">設定!$D$39&amp;""</f>
        <v>普広銀市役所</v>
      </c>
      <c r="K187" s="5" t="n">
        <f aca="false">IF(AND(H187&lt;&gt;0,IF(設定!$B$6="入金確認済のみ",C187="入金確認済",OR(C187="入金確認済",C187="受領済"))),1,0)</f>
        <v>0</v>
      </c>
      <c r="L187" s="5" t="str">
        <f aca="false">1&amp;"|"&amp;37</f>
        <v>1|37</v>
      </c>
      <c r="M187" s="5" t="n">
        <f aca="false">IF(L187=L186,M186,0)+K187</f>
        <v>0</v>
      </c>
      <c r="N187" s="5" t="n">
        <f aca="false">IF(AND(K187=1,M187=1),1,0)</f>
        <v>0</v>
      </c>
      <c r="O187" s="5" t="str">
        <f aca="false">IF(K187=1,MAX($O$5:O186)+1,"")</f>
        <v/>
      </c>
      <c r="P187" s="5" t="str">
        <f aca="false">IF(K187=1,SUM($N$6:N187),"")</f>
        <v/>
      </c>
      <c r="Q187" s="5" t="str">
        <f aca="false">IF(K187=1,SUMIFS($H$6:$H$511,$L$6:$L$511,L187,$K$6:$K$511,1),"")</f>
        <v/>
      </c>
      <c r="R187" s="103" t="str">
        <f aca="false">IF(B187="","",IF(INDEX(報告入力!$AB$7:$AB$696,B187)="","",INDEX(報告入力!$AB$7:$AB$696,B187)))</f>
        <v/>
      </c>
      <c r="S187" s="5" t="str">
        <f aca="false">設定!$C$47</f>
        <v>長期：退職等年金掛金</v>
      </c>
    </row>
    <row r="188" customFormat="false" ht="15" hidden="false" customHeight="false" outlineLevel="0" collapsed="false">
      <c r="A188" s="5" t="str">
        <f aca="false">設定!B97</f>
        <v>職員共済組合</v>
      </c>
      <c r="B188" s="5" t="n">
        <f aca="false">IFERROR(MATCH(ホーム!$C$4&amp;"|"&amp;A188,報告入力!$CM$7:$CM$696,0),"")</f>
        <v>359</v>
      </c>
      <c r="C188" s="5" t="str">
        <f aca="false">IF(B188="","",INDEX(報告入力!$C$7:$C$696,B188))</f>
        <v>未受領</v>
      </c>
      <c r="D188" s="5" t="str">
        <f aca="false">設定!$A$39</f>
        <v>長期（厚生年金保険経理）</v>
      </c>
      <c r="E188" s="5" t="str">
        <f aca="false">設定!$B$39&amp;""</f>
        <v>130</v>
      </c>
      <c r="F188" s="5" t="str">
        <f aca="false">設定!$D$48&amp;""</f>
        <v>6101002000</v>
      </c>
      <c r="G188" s="5" t="str">
        <f aca="false">設定!$E$48&amp;""</f>
        <v>負担地方公共</v>
      </c>
      <c r="H188" s="5" t="n">
        <f aca="false">IF(B188="",0,N(INDEX(報告入力!$BA$7:$BA$696,B188)))</f>
        <v>0</v>
      </c>
      <c r="I188" s="5" t="str">
        <f aca="false">設定!$C$39&amp;""</f>
        <v>1104001001</v>
      </c>
      <c r="J188" s="5" t="str">
        <f aca="false">設定!$D$39&amp;""</f>
        <v>普広銀市役所</v>
      </c>
      <c r="K188" s="5" t="n">
        <f aca="false">IF(AND(H188&lt;&gt;0,IF(設定!$B$6="入金確認済のみ",C188="入金確認済",OR(C188="入金確認済",C188="受領済"))),1,0)</f>
        <v>0</v>
      </c>
      <c r="L188" s="5" t="str">
        <f aca="false">1&amp;"|"&amp;37</f>
        <v>1|37</v>
      </c>
      <c r="M188" s="5" t="n">
        <f aca="false">IF(L188=L187,M187,0)+K188</f>
        <v>0</v>
      </c>
      <c r="N188" s="5" t="n">
        <f aca="false">IF(AND(K188=1,M188=1),1,0)</f>
        <v>0</v>
      </c>
      <c r="O188" s="5" t="str">
        <f aca="false">IF(K188=1,MAX($O$5:O187)+1,"")</f>
        <v/>
      </c>
      <c r="P188" s="5" t="str">
        <f aca="false">IF(K188=1,SUM($N$6:N188),"")</f>
        <v/>
      </c>
      <c r="Q188" s="5" t="str">
        <f aca="false">IF(K188=1,SUMIFS($H$6:$H$511,$L$6:$L$511,L188,$K$6:$K$511,1),"")</f>
        <v/>
      </c>
      <c r="R188" s="103" t="str">
        <f aca="false">IF(B188="","",IF(INDEX(報告入力!$AB$7:$AB$696,B188)="","",INDEX(報告入力!$AB$7:$AB$696,B188)))</f>
        <v/>
      </c>
      <c r="S188" s="5" t="str">
        <f aca="false">設定!$C$48</f>
        <v>長期：厚生年金保険料（事業主負担分）</v>
      </c>
    </row>
    <row r="189" customFormat="false" ht="15" hidden="false" customHeight="false" outlineLevel="0" collapsed="false">
      <c r="A189" s="5" t="str">
        <f aca="false">設定!B97</f>
        <v>職員共済組合</v>
      </c>
      <c r="B189" s="5" t="n">
        <f aca="false">IFERROR(MATCH(ホーム!$C$4&amp;"|"&amp;A189,報告入力!$CM$7:$CM$696,0),"")</f>
        <v>359</v>
      </c>
      <c r="C189" s="5" t="str">
        <f aca="false">IF(B189="","",INDEX(報告入力!$C$7:$C$696,B189))</f>
        <v>未受領</v>
      </c>
      <c r="D189" s="5" t="str">
        <f aca="false">設定!$A$39</f>
        <v>長期（厚生年金保険経理）</v>
      </c>
      <c r="E189" s="5" t="str">
        <f aca="false">設定!$B$39&amp;""</f>
        <v>130</v>
      </c>
      <c r="F189" s="5" t="str">
        <f aca="false">設定!$D$49&amp;""</f>
        <v>2109001015</v>
      </c>
      <c r="G189" s="5" t="str">
        <f aca="false">設定!$E$49&amp;""</f>
        <v>退職負担地方</v>
      </c>
      <c r="H189" s="5" t="n">
        <f aca="false">IF(B189="",0,N(INDEX(報告入力!$BB$7:$BB$696,B189)))</f>
        <v>0</v>
      </c>
      <c r="I189" s="5" t="str">
        <f aca="false">設定!$C$39&amp;""</f>
        <v>1104001001</v>
      </c>
      <c r="J189" s="5" t="str">
        <f aca="false">設定!$D$39&amp;""</f>
        <v>普広銀市役所</v>
      </c>
      <c r="K189" s="5" t="n">
        <f aca="false">IF(AND(H189&lt;&gt;0,IF(設定!$B$6="入金確認済のみ",C189="入金確認済",OR(C189="入金確認済",C189="受領済"))),1,0)</f>
        <v>0</v>
      </c>
      <c r="L189" s="5" t="str">
        <f aca="false">1&amp;"|"&amp;37</f>
        <v>1|37</v>
      </c>
      <c r="M189" s="5" t="n">
        <f aca="false">IF(L189=L188,M188,0)+K189</f>
        <v>0</v>
      </c>
      <c r="N189" s="5" t="n">
        <f aca="false">IF(AND(K189=1,M189=1),1,0)</f>
        <v>0</v>
      </c>
      <c r="O189" s="5" t="str">
        <f aca="false">IF(K189=1,MAX($O$5:O188)+1,"")</f>
        <v/>
      </c>
      <c r="P189" s="5" t="str">
        <f aca="false">IF(K189=1,SUM($N$6:N189),"")</f>
        <v/>
      </c>
      <c r="Q189" s="5" t="str">
        <f aca="false">IF(K189=1,SUMIFS($H$6:$H$511,$L$6:$L$511,L189,$K$6:$K$511,1),"")</f>
        <v/>
      </c>
      <c r="R189" s="103" t="str">
        <f aca="false">IF(B189="","",IF(INDEX(報告入力!$AB$7:$AB$696,B189)="","",INDEX(報告入力!$AB$7:$AB$696,B189)))</f>
        <v/>
      </c>
      <c r="S189" s="5" t="str">
        <f aca="false">設定!$C$49</f>
        <v>長期：退職等年金負担金</v>
      </c>
    </row>
    <row r="190" customFormat="false" ht="15" hidden="false" customHeight="false" outlineLevel="0" collapsed="false">
      <c r="A190" s="5" t="str">
        <f aca="false">設定!B97</f>
        <v>職員共済組合</v>
      </c>
      <c r="B190" s="5" t="n">
        <f aca="false">IFERROR(MATCH(ホーム!$C$4&amp;"|"&amp;A190,報告入力!$CM$7:$CM$696,0),"")</f>
        <v>359</v>
      </c>
      <c r="C190" s="5" t="str">
        <f aca="false">IF(B190="","",INDEX(報告入力!$C$7:$C$696,B190))</f>
        <v>未受領</v>
      </c>
      <c r="D190" s="5" t="str">
        <f aca="false">設定!$A$39</f>
        <v>長期（厚生年金保険経理）</v>
      </c>
      <c r="E190" s="5" t="str">
        <f aca="false">設定!$B$39&amp;""</f>
        <v>130</v>
      </c>
      <c r="F190" s="5" t="str">
        <f aca="false">設定!$D$50&amp;""</f>
        <v>2109001017</v>
      </c>
      <c r="G190" s="5" t="str">
        <f aca="false">設定!$E$50&amp;""</f>
        <v>経過的負担金</v>
      </c>
      <c r="H190" s="5" t="n">
        <f aca="false">IF(B190="",0,N(INDEX(報告入力!$BC$7:$BC$696,B190)))</f>
        <v>0</v>
      </c>
      <c r="I190" s="5" t="str">
        <f aca="false">設定!$C$39&amp;""</f>
        <v>1104001001</v>
      </c>
      <c r="J190" s="5" t="str">
        <f aca="false">設定!$D$39&amp;""</f>
        <v>普広銀市役所</v>
      </c>
      <c r="K190" s="5" t="n">
        <f aca="false">IF(AND(H190&lt;&gt;0,IF(設定!$B$6="入金確認済のみ",C190="入金確認済",OR(C190="入金確認済",C190="受領済"))),1,0)</f>
        <v>0</v>
      </c>
      <c r="L190" s="5" t="str">
        <f aca="false">1&amp;"|"&amp;37</f>
        <v>1|37</v>
      </c>
      <c r="M190" s="5" t="n">
        <f aca="false">IF(L190=L189,M189,0)+K190</f>
        <v>0</v>
      </c>
      <c r="N190" s="5" t="n">
        <f aca="false">IF(AND(K190=1,M190=1),1,0)</f>
        <v>0</v>
      </c>
      <c r="O190" s="5" t="str">
        <f aca="false">IF(K190=1,MAX($O$5:O189)+1,"")</f>
        <v/>
      </c>
      <c r="P190" s="5" t="str">
        <f aca="false">IF(K190=1,SUM($N$6:N190),"")</f>
        <v/>
      </c>
      <c r="Q190" s="5" t="str">
        <f aca="false">IF(K190=1,SUMIFS($H$6:$H$511,$L$6:$L$511,L190,$K$6:$K$511,1),"")</f>
        <v/>
      </c>
      <c r="R190" s="103" t="str">
        <f aca="false">IF(B190="","",IF(INDEX(報告入力!$AB$7:$AB$696,B190)="","",INDEX(報告入力!$AB$7:$AB$696,B190)))</f>
        <v/>
      </c>
      <c r="S190" s="5" t="str">
        <f aca="false">設定!$C$50</f>
        <v>長期：経過的長期</v>
      </c>
    </row>
    <row r="191" customFormat="false" ht="25.35" hidden="false" customHeight="false" outlineLevel="0" collapsed="false">
      <c r="A191" s="104" t="str">
        <f aca="false">設定!B98</f>
        <v>地方公共団体
情報システム機構</v>
      </c>
      <c r="B191" s="5" t="n">
        <f aca="false">IFERROR(MATCH(ホーム!$C$4&amp;"|"&amp;A191,報告入力!$CM$7:$CM$696,0),"")</f>
        <v>360</v>
      </c>
      <c r="C191" s="5" t="str">
        <f aca="false">IF(B191="","",INDEX(報告入力!$C$7:$C$696,B191))</f>
        <v>報告なし</v>
      </c>
      <c r="D191" s="5" t="str">
        <f aca="false">設定!$A$39</f>
        <v>長期（厚生年金保険経理）</v>
      </c>
      <c r="E191" s="5" t="str">
        <f aca="false">設定!$B$39&amp;""</f>
        <v>130</v>
      </c>
      <c r="F191" s="5" t="str">
        <f aca="false">設定!$D$46&amp;""</f>
        <v>6102102000</v>
      </c>
      <c r="G191" s="5" t="str">
        <f aca="false">設定!$E$46&amp;""</f>
        <v>標月額保険料</v>
      </c>
      <c r="H191" s="5" t="n">
        <f aca="false">IF(B191="",0,N(INDEX(報告入力!$AY$7:$AY$696,B191)))</f>
        <v>0</v>
      </c>
      <c r="I191" s="5" t="str">
        <f aca="false">設定!$C$39&amp;""</f>
        <v>1104001001</v>
      </c>
      <c r="J191" s="5" t="str">
        <f aca="false">設定!$D$39&amp;""</f>
        <v>普広銀市役所</v>
      </c>
      <c r="K191" s="5" t="n">
        <f aca="false">IF(AND(H191&lt;&gt;0,IF(設定!$B$6="入金確認済のみ",C191="入金確認済",OR(C191="入金確認済",C191="受領済"))),1,0)</f>
        <v>0</v>
      </c>
      <c r="L191" s="5" t="str">
        <f aca="false">1&amp;"|"&amp;38</f>
        <v>1|38</v>
      </c>
      <c r="M191" s="5" t="n">
        <f aca="false">IF(L191=L190,M190,0)+K191</f>
        <v>0</v>
      </c>
      <c r="N191" s="5" t="n">
        <f aca="false">IF(AND(K191=1,M191=1),1,0)</f>
        <v>0</v>
      </c>
      <c r="O191" s="5" t="str">
        <f aca="false">IF(K191=1,MAX($O$5:O190)+1,"")</f>
        <v/>
      </c>
      <c r="P191" s="5" t="str">
        <f aca="false">IF(K191=1,SUM($N$6:N191),"")</f>
        <v/>
      </c>
      <c r="Q191" s="5" t="str">
        <f aca="false">IF(K191=1,SUMIFS($H$6:$H$511,$L$6:$L$511,L191,$K$6:$K$511,1),"")</f>
        <v/>
      </c>
      <c r="R191" s="103" t="str">
        <f aca="false">IF(B191="","",IF(INDEX(報告入力!$AB$7:$AB$696,B191)="","",INDEX(報告入力!$AB$7:$AB$696,B191)))</f>
        <v/>
      </c>
      <c r="S191" s="5" t="str">
        <f aca="false">設定!$C$46</f>
        <v>長期：厚生年金保険料（組合員負担分）</v>
      </c>
    </row>
    <row r="192" customFormat="false" ht="25.35" hidden="false" customHeight="false" outlineLevel="0" collapsed="false">
      <c r="A192" s="104" t="str">
        <f aca="false">設定!B98</f>
        <v>地方公共団体
情報システム機構</v>
      </c>
      <c r="B192" s="5" t="n">
        <f aca="false">IFERROR(MATCH(ホーム!$C$4&amp;"|"&amp;A192,報告入力!$CM$7:$CM$696,0),"")</f>
        <v>360</v>
      </c>
      <c r="C192" s="5" t="str">
        <f aca="false">IF(B192="","",INDEX(報告入力!$C$7:$C$696,B192))</f>
        <v>報告なし</v>
      </c>
      <c r="D192" s="5" t="str">
        <f aca="false">設定!$A$39</f>
        <v>長期（厚生年金保険経理）</v>
      </c>
      <c r="E192" s="5" t="str">
        <f aca="false">設定!$B$39&amp;""</f>
        <v>130</v>
      </c>
      <c r="F192" s="5" t="str">
        <f aca="false">設定!$D$47&amp;""</f>
        <v>2109001014</v>
      </c>
      <c r="G192" s="5" t="str">
        <f aca="false">設定!$E$47&amp;""</f>
        <v>退職標報掛金</v>
      </c>
      <c r="H192" s="5" t="n">
        <f aca="false">IF(B192="",0,N(INDEX(報告入力!$AZ$7:$AZ$696,B192)))</f>
        <v>0</v>
      </c>
      <c r="I192" s="5" t="str">
        <f aca="false">設定!$C$39&amp;""</f>
        <v>1104001001</v>
      </c>
      <c r="J192" s="5" t="str">
        <f aca="false">設定!$D$39&amp;""</f>
        <v>普広銀市役所</v>
      </c>
      <c r="K192" s="5" t="n">
        <f aca="false">IF(AND(H192&lt;&gt;0,IF(設定!$B$6="入金確認済のみ",C192="入金確認済",OR(C192="入金確認済",C192="受領済"))),1,0)</f>
        <v>0</v>
      </c>
      <c r="L192" s="5" t="str">
        <f aca="false">1&amp;"|"&amp;38</f>
        <v>1|38</v>
      </c>
      <c r="M192" s="5" t="n">
        <f aca="false">IF(L192=L191,M191,0)+K192</f>
        <v>0</v>
      </c>
      <c r="N192" s="5" t="n">
        <f aca="false">IF(AND(K192=1,M192=1),1,0)</f>
        <v>0</v>
      </c>
      <c r="O192" s="5" t="str">
        <f aca="false">IF(K192=1,MAX($O$5:O191)+1,"")</f>
        <v/>
      </c>
      <c r="P192" s="5" t="str">
        <f aca="false">IF(K192=1,SUM($N$6:N192),"")</f>
        <v/>
      </c>
      <c r="Q192" s="5" t="str">
        <f aca="false">IF(K192=1,SUMIFS($H$6:$H$511,$L$6:$L$511,L192,$K$6:$K$511,1),"")</f>
        <v/>
      </c>
      <c r="R192" s="103" t="str">
        <f aca="false">IF(B192="","",IF(INDEX(報告入力!$AB$7:$AB$696,B192)="","",INDEX(報告入力!$AB$7:$AB$696,B192)))</f>
        <v/>
      </c>
      <c r="S192" s="5" t="str">
        <f aca="false">設定!$C$47</f>
        <v>長期：退職等年金掛金</v>
      </c>
    </row>
    <row r="193" customFormat="false" ht="25.35" hidden="false" customHeight="false" outlineLevel="0" collapsed="false">
      <c r="A193" s="104" t="str">
        <f aca="false">設定!B98</f>
        <v>地方公共団体
情報システム機構</v>
      </c>
      <c r="B193" s="5" t="n">
        <f aca="false">IFERROR(MATCH(ホーム!$C$4&amp;"|"&amp;A193,報告入力!$CM$7:$CM$696,0),"")</f>
        <v>360</v>
      </c>
      <c r="C193" s="5" t="str">
        <f aca="false">IF(B193="","",INDEX(報告入力!$C$7:$C$696,B193))</f>
        <v>報告なし</v>
      </c>
      <c r="D193" s="5" t="str">
        <f aca="false">設定!$A$39</f>
        <v>長期（厚生年金保険経理）</v>
      </c>
      <c r="E193" s="5" t="str">
        <f aca="false">設定!$B$39&amp;""</f>
        <v>130</v>
      </c>
      <c r="F193" s="5" t="str">
        <f aca="false">設定!$D$48&amp;""</f>
        <v>6101002000</v>
      </c>
      <c r="G193" s="5" t="str">
        <f aca="false">設定!$E$48&amp;""</f>
        <v>負担地方公共</v>
      </c>
      <c r="H193" s="5" t="n">
        <f aca="false">IF(B193="",0,N(INDEX(報告入力!$BA$7:$BA$696,B193)))</f>
        <v>0</v>
      </c>
      <c r="I193" s="5" t="str">
        <f aca="false">設定!$C$39&amp;""</f>
        <v>1104001001</v>
      </c>
      <c r="J193" s="5" t="str">
        <f aca="false">設定!$D$39&amp;""</f>
        <v>普広銀市役所</v>
      </c>
      <c r="K193" s="5" t="n">
        <f aca="false">IF(AND(H193&lt;&gt;0,IF(設定!$B$6="入金確認済のみ",C193="入金確認済",OR(C193="入金確認済",C193="受領済"))),1,0)</f>
        <v>0</v>
      </c>
      <c r="L193" s="5" t="str">
        <f aca="false">1&amp;"|"&amp;38</f>
        <v>1|38</v>
      </c>
      <c r="M193" s="5" t="n">
        <f aca="false">IF(L193=L192,M192,0)+K193</f>
        <v>0</v>
      </c>
      <c r="N193" s="5" t="n">
        <f aca="false">IF(AND(K193=1,M193=1),1,0)</f>
        <v>0</v>
      </c>
      <c r="O193" s="5" t="str">
        <f aca="false">IF(K193=1,MAX($O$5:O192)+1,"")</f>
        <v/>
      </c>
      <c r="P193" s="5" t="str">
        <f aca="false">IF(K193=1,SUM($N$6:N193),"")</f>
        <v/>
      </c>
      <c r="Q193" s="5" t="str">
        <f aca="false">IF(K193=1,SUMIFS($H$6:$H$511,$L$6:$L$511,L193,$K$6:$K$511,1),"")</f>
        <v/>
      </c>
      <c r="R193" s="103" t="str">
        <f aca="false">IF(B193="","",IF(INDEX(報告入力!$AB$7:$AB$696,B193)="","",INDEX(報告入力!$AB$7:$AB$696,B193)))</f>
        <v/>
      </c>
      <c r="S193" s="5" t="str">
        <f aca="false">設定!$C$48</f>
        <v>長期：厚生年金保険料（事業主負担分）</v>
      </c>
    </row>
    <row r="194" customFormat="false" ht="25.35" hidden="false" customHeight="false" outlineLevel="0" collapsed="false">
      <c r="A194" s="104" t="str">
        <f aca="false">設定!B98</f>
        <v>地方公共団体
情報システム機構</v>
      </c>
      <c r="B194" s="5" t="n">
        <f aca="false">IFERROR(MATCH(ホーム!$C$4&amp;"|"&amp;A194,報告入力!$CM$7:$CM$696,0),"")</f>
        <v>360</v>
      </c>
      <c r="C194" s="5" t="str">
        <f aca="false">IF(B194="","",INDEX(報告入力!$C$7:$C$696,B194))</f>
        <v>報告なし</v>
      </c>
      <c r="D194" s="5" t="str">
        <f aca="false">設定!$A$39</f>
        <v>長期（厚生年金保険経理）</v>
      </c>
      <c r="E194" s="5" t="str">
        <f aca="false">設定!$B$39&amp;""</f>
        <v>130</v>
      </c>
      <c r="F194" s="5" t="str">
        <f aca="false">設定!$D$49&amp;""</f>
        <v>2109001015</v>
      </c>
      <c r="G194" s="5" t="str">
        <f aca="false">設定!$E$49&amp;""</f>
        <v>退職負担地方</v>
      </c>
      <c r="H194" s="5" t="n">
        <f aca="false">IF(B194="",0,N(INDEX(報告入力!$BB$7:$BB$696,B194)))</f>
        <v>0</v>
      </c>
      <c r="I194" s="5" t="str">
        <f aca="false">設定!$C$39&amp;""</f>
        <v>1104001001</v>
      </c>
      <c r="J194" s="5" t="str">
        <f aca="false">設定!$D$39&amp;""</f>
        <v>普広銀市役所</v>
      </c>
      <c r="K194" s="5" t="n">
        <f aca="false">IF(AND(H194&lt;&gt;0,IF(設定!$B$6="入金確認済のみ",C194="入金確認済",OR(C194="入金確認済",C194="受領済"))),1,0)</f>
        <v>0</v>
      </c>
      <c r="L194" s="5" t="str">
        <f aca="false">1&amp;"|"&amp;38</f>
        <v>1|38</v>
      </c>
      <c r="M194" s="5" t="n">
        <f aca="false">IF(L194=L193,M193,0)+K194</f>
        <v>0</v>
      </c>
      <c r="N194" s="5" t="n">
        <f aca="false">IF(AND(K194=1,M194=1),1,0)</f>
        <v>0</v>
      </c>
      <c r="O194" s="5" t="str">
        <f aca="false">IF(K194=1,MAX($O$5:O193)+1,"")</f>
        <v/>
      </c>
      <c r="P194" s="5" t="str">
        <f aca="false">IF(K194=1,SUM($N$6:N194),"")</f>
        <v/>
      </c>
      <c r="Q194" s="5" t="str">
        <f aca="false">IF(K194=1,SUMIFS($H$6:$H$511,$L$6:$L$511,L194,$K$6:$K$511,1),"")</f>
        <v/>
      </c>
      <c r="R194" s="103" t="str">
        <f aca="false">IF(B194="","",IF(INDEX(報告入力!$AB$7:$AB$696,B194)="","",INDEX(報告入力!$AB$7:$AB$696,B194)))</f>
        <v/>
      </c>
      <c r="S194" s="5" t="str">
        <f aca="false">設定!$C$49</f>
        <v>長期：退職等年金負担金</v>
      </c>
    </row>
    <row r="195" customFormat="false" ht="25.35" hidden="false" customHeight="false" outlineLevel="0" collapsed="false">
      <c r="A195" s="104" t="str">
        <f aca="false">設定!B98</f>
        <v>地方公共団体
情報システム機構</v>
      </c>
      <c r="B195" s="5" t="n">
        <f aca="false">IFERROR(MATCH(ホーム!$C$4&amp;"|"&amp;A195,報告入力!$CM$7:$CM$696,0),"")</f>
        <v>360</v>
      </c>
      <c r="C195" s="5" t="str">
        <f aca="false">IF(B195="","",INDEX(報告入力!$C$7:$C$696,B195))</f>
        <v>報告なし</v>
      </c>
      <c r="D195" s="5" t="str">
        <f aca="false">設定!$A$39</f>
        <v>長期（厚生年金保険経理）</v>
      </c>
      <c r="E195" s="5" t="str">
        <f aca="false">設定!$B$39&amp;""</f>
        <v>130</v>
      </c>
      <c r="F195" s="5" t="str">
        <f aca="false">設定!$D$50&amp;""</f>
        <v>2109001017</v>
      </c>
      <c r="G195" s="5" t="str">
        <f aca="false">設定!$E$50&amp;""</f>
        <v>経過的負担金</v>
      </c>
      <c r="H195" s="5" t="n">
        <f aca="false">IF(B195="",0,N(INDEX(報告入力!$BC$7:$BC$696,B195)))</f>
        <v>0</v>
      </c>
      <c r="I195" s="5" t="str">
        <f aca="false">設定!$C$39&amp;""</f>
        <v>1104001001</v>
      </c>
      <c r="J195" s="5" t="str">
        <f aca="false">設定!$D$39&amp;""</f>
        <v>普広銀市役所</v>
      </c>
      <c r="K195" s="5" t="n">
        <f aca="false">IF(AND(H195&lt;&gt;0,IF(設定!$B$6="入金確認済のみ",C195="入金確認済",OR(C195="入金確認済",C195="受領済"))),1,0)</f>
        <v>0</v>
      </c>
      <c r="L195" s="5" t="str">
        <f aca="false">1&amp;"|"&amp;38</f>
        <v>1|38</v>
      </c>
      <c r="M195" s="5" t="n">
        <f aca="false">IF(L195=L194,M194,0)+K195</f>
        <v>0</v>
      </c>
      <c r="N195" s="5" t="n">
        <f aca="false">IF(AND(K195=1,M195=1),1,0)</f>
        <v>0</v>
      </c>
      <c r="O195" s="5" t="str">
        <f aca="false">IF(K195=1,MAX($O$5:O194)+1,"")</f>
        <v/>
      </c>
      <c r="P195" s="5" t="str">
        <f aca="false">IF(K195=1,SUM($N$6:N195),"")</f>
        <v/>
      </c>
      <c r="Q195" s="5" t="str">
        <f aca="false">IF(K195=1,SUMIFS($H$6:$H$511,$L$6:$L$511,L195,$K$6:$K$511,1),"")</f>
        <v/>
      </c>
      <c r="R195" s="103" t="str">
        <f aca="false">IF(B195="","",IF(INDEX(報告入力!$AB$7:$AB$696,B195)="","",INDEX(報告入力!$AB$7:$AB$696,B195)))</f>
        <v/>
      </c>
      <c r="S195" s="5" t="str">
        <f aca="false">設定!$C$50</f>
        <v>長期：経過的長期</v>
      </c>
    </row>
    <row r="196" customFormat="false" ht="15" hidden="false" customHeight="false" outlineLevel="0" collapsed="false">
      <c r="A196" s="5" t="str">
        <f aca="false">設定!B99</f>
        <v>全国市長会</v>
      </c>
      <c r="B196" s="5" t="n">
        <f aca="false">IFERROR(MATCH(ホーム!$C$4&amp;"|"&amp;A196,報告入力!$CM$7:$CM$696,0),"")</f>
        <v>361</v>
      </c>
      <c r="C196" s="5" t="str">
        <f aca="false">IF(B196="","",INDEX(報告入力!$C$7:$C$696,B196))</f>
        <v>受領済</v>
      </c>
      <c r="D196" s="5" t="str">
        <f aca="false">設定!$A$39</f>
        <v>長期（厚生年金保険経理）</v>
      </c>
      <c r="E196" s="5" t="str">
        <f aca="false">設定!$B$39&amp;""</f>
        <v>130</v>
      </c>
      <c r="F196" s="5" t="str">
        <f aca="false">設定!$D$46&amp;""</f>
        <v>6102102000</v>
      </c>
      <c r="G196" s="5" t="str">
        <f aca="false">設定!$E$46&amp;""</f>
        <v>標月額保険料</v>
      </c>
      <c r="H196" s="5" t="n">
        <f aca="false">IF(B196="",0,N(INDEX(報告入力!$AY$7:$AY$696,B196)))</f>
        <v>118950</v>
      </c>
      <c r="I196" s="5" t="str">
        <f aca="false">設定!$C$39&amp;""</f>
        <v>1104001001</v>
      </c>
      <c r="J196" s="5" t="str">
        <f aca="false">設定!$D$39&amp;""</f>
        <v>普広銀市役所</v>
      </c>
      <c r="K196" s="5" t="n">
        <f aca="false">IF(AND(H196&lt;&gt;0,IF(設定!$B$6="入金確認済のみ",C196="入金確認済",OR(C196="入金確認済",C196="受領済"))),1,0)</f>
        <v>0</v>
      </c>
      <c r="L196" s="5" t="str">
        <f aca="false">1&amp;"|"&amp;39</f>
        <v>1|39</v>
      </c>
      <c r="M196" s="5" t="n">
        <f aca="false">IF(L196=L195,M195,0)+K196</f>
        <v>0</v>
      </c>
      <c r="N196" s="5" t="n">
        <f aca="false">IF(AND(K196=1,M196=1),1,0)</f>
        <v>0</v>
      </c>
      <c r="O196" s="5" t="str">
        <f aca="false">IF(K196=1,MAX($O$5:O195)+1,"")</f>
        <v/>
      </c>
      <c r="P196" s="5" t="str">
        <f aca="false">IF(K196=1,SUM($N$6:N196),"")</f>
        <v/>
      </c>
      <c r="Q196" s="5" t="str">
        <f aca="false">IF(K196=1,SUMIFS($H$6:$H$511,$L$6:$L$511,L196,$K$6:$K$511,1),"")</f>
        <v/>
      </c>
      <c r="R196" s="103" t="str">
        <f aca="false">IF(B196="","",IF(INDEX(報告入力!$AB$7:$AB$696,B196)="","",INDEX(報告入力!$AB$7:$AB$696,B196)))</f>
        <v/>
      </c>
      <c r="S196" s="5" t="str">
        <f aca="false">設定!$C$46</f>
        <v>長期：厚生年金保険料（組合員負担分）</v>
      </c>
    </row>
    <row r="197" customFormat="false" ht="15" hidden="false" customHeight="false" outlineLevel="0" collapsed="false">
      <c r="A197" s="5" t="str">
        <f aca="false">設定!B99</f>
        <v>全国市長会</v>
      </c>
      <c r="B197" s="5" t="n">
        <f aca="false">IFERROR(MATCH(ホーム!$C$4&amp;"|"&amp;A197,報告入力!$CM$7:$CM$696,0),"")</f>
        <v>361</v>
      </c>
      <c r="C197" s="5" t="str">
        <f aca="false">IF(B197="","",INDEX(報告入力!$C$7:$C$696,B197))</f>
        <v>受領済</v>
      </c>
      <c r="D197" s="5" t="str">
        <f aca="false">設定!$A$39</f>
        <v>長期（厚生年金保険経理）</v>
      </c>
      <c r="E197" s="5" t="str">
        <f aca="false">設定!$B$39&amp;""</f>
        <v>130</v>
      </c>
      <c r="F197" s="5" t="str">
        <f aca="false">設定!$D$47&amp;""</f>
        <v>2109001014</v>
      </c>
      <c r="G197" s="5" t="str">
        <f aca="false">設定!$E$47&amp;""</f>
        <v>退職標報掛金</v>
      </c>
      <c r="H197" s="5" t="n">
        <f aca="false">IF(B197="",0,N(INDEX(報告入力!$AZ$7:$AZ$696,B197)))</f>
        <v>9750</v>
      </c>
      <c r="I197" s="5" t="str">
        <f aca="false">設定!$C$39&amp;""</f>
        <v>1104001001</v>
      </c>
      <c r="J197" s="5" t="str">
        <f aca="false">設定!$D$39&amp;""</f>
        <v>普広銀市役所</v>
      </c>
      <c r="K197" s="5" t="n">
        <f aca="false">IF(AND(H197&lt;&gt;0,IF(設定!$B$6="入金確認済のみ",C197="入金確認済",OR(C197="入金確認済",C197="受領済"))),1,0)</f>
        <v>0</v>
      </c>
      <c r="L197" s="5" t="str">
        <f aca="false">1&amp;"|"&amp;39</f>
        <v>1|39</v>
      </c>
      <c r="M197" s="5" t="n">
        <f aca="false">IF(L197=L196,M196,0)+K197</f>
        <v>0</v>
      </c>
      <c r="N197" s="5" t="n">
        <f aca="false">IF(AND(K197=1,M197=1),1,0)</f>
        <v>0</v>
      </c>
      <c r="O197" s="5" t="str">
        <f aca="false">IF(K197=1,MAX($O$5:O196)+1,"")</f>
        <v/>
      </c>
      <c r="P197" s="5" t="str">
        <f aca="false">IF(K197=1,SUM($N$6:N197),"")</f>
        <v/>
      </c>
      <c r="Q197" s="5" t="str">
        <f aca="false">IF(K197=1,SUMIFS($H$6:$H$511,$L$6:$L$511,L197,$K$6:$K$511,1),"")</f>
        <v/>
      </c>
      <c r="R197" s="103" t="str">
        <f aca="false">IF(B197="","",IF(INDEX(報告入力!$AB$7:$AB$696,B197)="","",INDEX(報告入力!$AB$7:$AB$696,B197)))</f>
        <v/>
      </c>
      <c r="S197" s="5" t="str">
        <f aca="false">設定!$C$47</f>
        <v>長期：退職等年金掛金</v>
      </c>
    </row>
    <row r="198" customFormat="false" ht="15" hidden="false" customHeight="false" outlineLevel="0" collapsed="false">
      <c r="A198" s="5" t="str">
        <f aca="false">設定!B99</f>
        <v>全国市長会</v>
      </c>
      <c r="B198" s="5" t="n">
        <f aca="false">IFERROR(MATCH(ホーム!$C$4&amp;"|"&amp;A198,報告入力!$CM$7:$CM$696,0),"")</f>
        <v>361</v>
      </c>
      <c r="C198" s="5" t="str">
        <f aca="false">IF(B198="","",INDEX(報告入力!$C$7:$C$696,B198))</f>
        <v>受領済</v>
      </c>
      <c r="D198" s="5" t="str">
        <f aca="false">設定!$A$39</f>
        <v>長期（厚生年金保険経理）</v>
      </c>
      <c r="E198" s="5" t="str">
        <f aca="false">設定!$B$39&amp;""</f>
        <v>130</v>
      </c>
      <c r="F198" s="5" t="str">
        <f aca="false">設定!$D$48&amp;""</f>
        <v>6101002000</v>
      </c>
      <c r="G198" s="5" t="str">
        <f aca="false">設定!$E$48&amp;""</f>
        <v>負担地方公共</v>
      </c>
      <c r="H198" s="5" t="n">
        <f aca="false">IF(B198="",0,N(INDEX(報告入力!$BA$7:$BA$696,B198)))</f>
        <v>118950</v>
      </c>
      <c r="I198" s="5" t="str">
        <f aca="false">設定!$C$39&amp;""</f>
        <v>1104001001</v>
      </c>
      <c r="J198" s="5" t="str">
        <f aca="false">設定!$D$39&amp;""</f>
        <v>普広銀市役所</v>
      </c>
      <c r="K198" s="5" t="n">
        <f aca="false">IF(AND(H198&lt;&gt;0,IF(設定!$B$6="入金確認済のみ",C198="入金確認済",OR(C198="入金確認済",C198="受領済"))),1,0)</f>
        <v>0</v>
      </c>
      <c r="L198" s="5" t="str">
        <f aca="false">1&amp;"|"&amp;39</f>
        <v>1|39</v>
      </c>
      <c r="M198" s="5" t="n">
        <f aca="false">IF(L198=L197,M197,0)+K198</f>
        <v>0</v>
      </c>
      <c r="N198" s="5" t="n">
        <f aca="false">IF(AND(K198=1,M198=1),1,0)</f>
        <v>0</v>
      </c>
      <c r="O198" s="5" t="str">
        <f aca="false">IF(K198=1,MAX($O$5:O197)+1,"")</f>
        <v/>
      </c>
      <c r="P198" s="5" t="str">
        <f aca="false">IF(K198=1,SUM($N$6:N198),"")</f>
        <v/>
      </c>
      <c r="Q198" s="5" t="str">
        <f aca="false">IF(K198=1,SUMIFS($H$6:$H$511,$L$6:$L$511,L198,$K$6:$K$511,1),"")</f>
        <v/>
      </c>
      <c r="R198" s="103" t="str">
        <f aca="false">IF(B198="","",IF(INDEX(報告入力!$AB$7:$AB$696,B198)="","",INDEX(報告入力!$AB$7:$AB$696,B198)))</f>
        <v/>
      </c>
      <c r="S198" s="5" t="str">
        <f aca="false">設定!$C$48</f>
        <v>長期：厚生年金保険料（事業主負担分）</v>
      </c>
    </row>
    <row r="199" customFormat="false" ht="15" hidden="false" customHeight="false" outlineLevel="0" collapsed="false">
      <c r="A199" s="5" t="str">
        <f aca="false">設定!B99</f>
        <v>全国市長会</v>
      </c>
      <c r="B199" s="5" t="n">
        <f aca="false">IFERROR(MATCH(ホーム!$C$4&amp;"|"&amp;A199,報告入力!$CM$7:$CM$696,0),"")</f>
        <v>361</v>
      </c>
      <c r="C199" s="5" t="str">
        <f aca="false">IF(B199="","",INDEX(報告入力!$C$7:$C$696,B199))</f>
        <v>受領済</v>
      </c>
      <c r="D199" s="5" t="str">
        <f aca="false">設定!$A$39</f>
        <v>長期（厚生年金保険経理）</v>
      </c>
      <c r="E199" s="5" t="str">
        <f aca="false">設定!$B$39&amp;""</f>
        <v>130</v>
      </c>
      <c r="F199" s="5" t="str">
        <f aca="false">設定!$D$49&amp;""</f>
        <v>2109001015</v>
      </c>
      <c r="G199" s="5" t="str">
        <f aca="false">設定!$E$49&amp;""</f>
        <v>退職負担地方</v>
      </c>
      <c r="H199" s="5" t="n">
        <f aca="false">IF(B199="",0,N(INDEX(報告入力!$BB$7:$BB$696,B199)))</f>
        <v>9750</v>
      </c>
      <c r="I199" s="5" t="str">
        <f aca="false">設定!$C$39&amp;""</f>
        <v>1104001001</v>
      </c>
      <c r="J199" s="5" t="str">
        <f aca="false">設定!$D$39&amp;""</f>
        <v>普広銀市役所</v>
      </c>
      <c r="K199" s="5" t="n">
        <f aca="false">IF(AND(H199&lt;&gt;0,IF(設定!$B$6="入金確認済のみ",C199="入金確認済",OR(C199="入金確認済",C199="受領済"))),1,0)</f>
        <v>0</v>
      </c>
      <c r="L199" s="5" t="str">
        <f aca="false">1&amp;"|"&amp;39</f>
        <v>1|39</v>
      </c>
      <c r="M199" s="5" t="n">
        <f aca="false">IF(L199=L198,M198,0)+K199</f>
        <v>0</v>
      </c>
      <c r="N199" s="5" t="n">
        <f aca="false">IF(AND(K199=1,M199=1),1,0)</f>
        <v>0</v>
      </c>
      <c r="O199" s="5" t="str">
        <f aca="false">IF(K199=1,MAX($O$5:O198)+1,"")</f>
        <v/>
      </c>
      <c r="P199" s="5" t="str">
        <f aca="false">IF(K199=1,SUM($N$6:N199),"")</f>
        <v/>
      </c>
      <c r="Q199" s="5" t="str">
        <f aca="false">IF(K199=1,SUMIFS($H$6:$H$511,$L$6:$L$511,L199,$K$6:$K$511,1),"")</f>
        <v/>
      </c>
      <c r="R199" s="103" t="str">
        <f aca="false">IF(B199="","",IF(INDEX(報告入力!$AB$7:$AB$696,B199)="","",INDEX(報告入力!$AB$7:$AB$696,B199)))</f>
        <v/>
      </c>
      <c r="S199" s="5" t="str">
        <f aca="false">設定!$C$49</f>
        <v>長期：退職等年金負担金</v>
      </c>
    </row>
    <row r="200" customFormat="false" ht="15" hidden="false" customHeight="false" outlineLevel="0" collapsed="false">
      <c r="A200" s="5" t="str">
        <f aca="false">設定!B99</f>
        <v>全国市長会</v>
      </c>
      <c r="B200" s="5" t="n">
        <f aca="false">IFERROR(MATCH(ホーム!$C$4&amp;"|"&amp;A200,報告入力!$CM$7:$CM$696,0),"")</f>
        <v>361</v>
      </c>
      <c r="C200" s="5" t="str">
        <f aca="false">IF(B200="","",INDEX(報告入力!$C$7:$C$696,B200))</f>
        <v>受領済</v>
      </c>
      <c r="D200" s="5" t="str">
        <f aca="false">設定!$A$39</f>
        <v>長期（厚生年金保険経理）</v>
      </c>
      <c r="E200" s="5" t="str">
        <f aca="false">設定!$B$39&amp;""</f>
        <v>130</v>
      </c>
      <c r="F200" s="5" t="str">
        <f aca="false">設定!$D$50&amp;""</f>
        <v>2109001017</v>
      </c>
      <c r="G200" s="5" t="str">
        <f aca="false">設定!$E$50&amp;""</f>
        <v>経過的負担金</v>
      </c>
      <c r="H200" s="5" t="n">
        <f aca="false">IF(B200="",0,N(INDEX(報告入力!$BC$7:$BC$696,B200)))</f>
        <v>112</v>
      </c>
      <c r="I200" s="5" t="str">
        <f aca="false">設定!$C$39&amp;""</f>
        <v>1104001001</v>
      </c>
      <c r="J200" s="5" t="str">
        <f aca="false">設定!$D$39&amp;""</f>
        <v>普広銀市役所</v>
      </c>
      <c r="K200" s="5" t="n">
        <f aca="false">IF(AND(H200&lt;&gt;0,IF(設定!$B$6="入金確認済のみ",C200="入金確認済",OR(C200="入金確認済",C200="受領済"))),1,0)</f>
        <v>0</v>
      </c>
      <c r="L200" s="5" t="str">
        <f aca="false">1&amp;"|"&amp;39</f>
        <v>1|39</v>
      </c>
      <c r="M200" s="5" t="n">
        <f aca="false">IF(L200=L199,M199,0)+K200</f>
        <v>0</v>
      </c>
      <c r="N200" s="5" t="n">
        <f aca="false">IF(AND(K200=1,M200=1),1,0)</f>
        <v>0</v>
      </c>
      <c r="O200" s="5" t="str">
        <f aca="false">IF(K200=1,MAX($O$5:O199)+1,"")</f>
        <v/>
      </c>
      <c r="P200" s="5" t="str">
        <f aca="false">IF(K200=1,SUM($N$6:N200),"")</f>
        <v/>
      </c>
      <c r="Q200" s="5" t="str">
        <f aca="false">IF(K200=1,SUMIFS($H$6:$H$511,$L$6:$L$511,L200,$K$6:$K$511,1),"")</f>
        <v/>
      </c>
      <c r="R200" s="103" t="str">
        <f aca="false">IF(B200="","",IF(INDEX(報告入力!$AB$7:$AB$696,B200)="","",INDEX(報告入力!$AB$7:$AB$696,B200)))</f>
        <v/>
      </c>
      <c r="S200" s="5" t="str">
        <f aca="false">設定!$C$50</f>
        <v>長期：経過的長期</v>
      </c>
    </row>
    <row r="201" customFormat="false" ht="15" hidden="false" customHeight="false" outlineLevel="0" collapsed="false">
      <c r="A201" s="5" t="str">
        <f aca="false">設定!B100</f>
        <v>高速交通（株）</v>
      </c>
      <c r="B201" s="5" t="n">
        <f aca="false">IFERROR(MATCH(ホーム!$C$4&amp;"|"&amp;A201,報告入力!$CM$7:$CM$696,0),"")</f>
        <v>362</v>
      </c>
      <c r="C201" s="5" t="str">
        <f aca="false">IF(B201="","",INDEX(報告入力!$C$7:$C$696,B201))</f>
        <v>未受領</v>
      </c>
      <c r="D201" s="5" t="str">
        <f aca="false">設定!$A$39</f>
        <v>長期（厚生年金保険経理）</v>
      </c>
      <c r="E201" s="5" t="str">
        <f aca="false">設定!$B$39&amp;""</f>
        <v>130</v>
      </c>
      <c r="F201" s="5" t="str">
        <f aca="false">設定!$D$46&amp;""</f>
        <v>6102102000</v>
      </c>
      <c r="G201" s="5" t="str">
        <f aca="false">設定!$E$46&amp;""</f>
        <v>標月額保険料</v>
      </c>
      <c r="H201" s="5" t="n">
        <f aca="false">IF(B201="",0,N(INDEX(報告入力!$AY$7:$AY$696,B201)))</f>
        <v>145485</v>
      </c>
      <c r="I201" s="5" t="str">
        <f aca="false">設定!$C$39&amp;""</f>
        <v>1104001001</v>
      </c>
      <c r="J201" s="5" t="str">
        <f aca="false">設定!$D$39&amp;""</f>
        <v>普広銀市役所</v>
      </c>
      <c r="K201" s="5" t="n">
        <f aca="false">IF(AND(H201&lt;&gt;0,IF(設定!$B$6="入金確認済のみ",C201="入金確認済",OR(C201="入金確認済",C201="受領済"))),1,0)</f>
        <v>0</v>
      </c>
      <c r="L201" s="5" t="str">
        <f aca="false">1&amp;"|"&amp;40</f>
        <v>1|40</v>
      </c>
      <c r="M201" s="5" t="n">
        <f aca="false">IF(L201=L200,M200,0)+K201</f>
        <v>0</v>
      </c>
      <c r="N201" s="5" t="n">
        <f aca="false">IF(AND(K201=1,M201=1),1,0)</f>
        <v>0</v>
      </c>
      <c r="O201" s="5" t="str">
        <f aca="false">IF(K201=1,MAX($O$5:O200)+1,"")</f>
        <v/>
      </c>
      <c r="P201" s="5" t="str">
        <f aca="false">IF(K201=1,SUM($N$6:N201),"")</f>
        <v/>
      </c>
      <c r="Q201" s="5" t="str">
        <f aca="false">IF(K201=1,SUMIFS($H$6:$H$511,$L$6:$L$511,L201,$K$6:$K$511,1),"")</f>
        <v/>
      </c>
      <c r="R201" s="103" t="str">
        <f aca="false">IF(B201="","",IF(INDEX(報告入力!$AB$7:$AB$696,B201)="","",INDEX(報告入力!$AB$7:$AB$696,B201)))</f>
        <v/>
      </c>
      <c r="S201" s="5" t="str">
        <f aca="false">設定!$C$46</f>
        <v>長期：厚生年金保険料（組合員負担分）</v>
      </c>
    </row>
    <row r="202" customFormat="false" ht="15" hidden="false" customHeight="false" outlineLevel="0" collapsed="false">
      <c r="A202" s="5" t="str">
        <f aca="false">設定!B100</f>
        <v>高速交通（株）</v>
      </c>
      <c r="B202" s="5" t="n">
        <f aca="false">IFERROR(MATCH(ホーム!$C$4&amp;"|"&amp;A202,報告入力!$CM$7:$CM$696,0),"")</f>
        <v>362</v>
      </c>
      <c r="C202" s="5" t="str">
        <f aca="false">IF(B202="","",INDEX(報告入力!$C$7:$C$696,B202))</f>
        <v>未受領</v>
      </c>
      <c r="D202" s="5" t="str">
        <f aca="false">設定!$A$39</f>
        <v>長期（厚生年金保険経理）</v>
      </c>
      <c r="E202" s="5" t="str">
        <f aca="false">設定!$B$39&amp;""</f>
        <v>130</v>
      </c>
      <c r="F202" s="5" t="str">
        <f aca="false">設定!$D$47&amp;""</f>
        <v>2109001014</v>
      </c>
      <c r="G202" s="5" t="str">
        <f aca="false">設定!$E$47&amp;""</f>
        <v>退職標報掛金</v>
      </c>
      <c r="H202" s="5" t="n">
        <f aca="false">IF(B202="",0,N(INDEX(報告入力!$AZ$7:$AZ$696,B202)))</f>
        <v>11925</v>
      </c>
      <c r="I202" s="5" t="str">
        <f aca="false">設定!$C$39&amp;""</f>
        <v>1104001001</v>
      </c>
      <c r="J202" s="5" t="str">
        <f aca="false">設定!$D$39&amp;""</f>
        <v>普広銀市役所</v>
      </c>
      <c r="K202" s="5" t="n">
        <f aca="false">IF(AND(H202&lt;&gt;0,IF(設定!$B$6="入金確認済のみ",C202="入金確認済",OR(C202="入金確認済",C202="受領済"))),1,0)</f>
        <v>0</v>
      </c>
      <c r="L202" s="5" t="str">
        <f aca="false">1&amp;"|"&amp;40</f>
        <v>1|40</v>
      </c>
      <c r="M202" s="5" t="n">
        <f aca="false">IF(L202=L201,M201,0)+K202</f>
        <v>0</v>
      </c>
      <c r="N202" s="5" t="n">
        <f aca="false">IF(AND(K202=1,M202=1),1,0)</f>
        <v>0</v>
      </c>
      <c r="O202" s="5" t="str">
        <f aca="false">IF(K202=1,MAX($O$5:O201)+1,"")</f>
        <v/>
      </c>
      <c r="P202" s="5" t="str">
        <f aca="false">IF(K202=1,SUM($N$6:N202),"")</f>
        <v/>
      </c>
      <c r="Q202" s="5" t="str">
        <f aca="false">IF(K202=1,SUMIFS($H$6:$H$511,$L$6:$L$511,L202,$K$6:$K$511,1),"")</f>
        <v/>
      </c>
      <c r="R202" s="103" t="str">
        <f aca="false">IF(B202="","",IF(INDEX(報告入力!$AB$7:$AB$696,B202)="","",INDEX(報告入力!$AB$7:$AB$696,B202)))</f>
        <v/>
      </c>
      <c r="S202" s="5" t="str">
        <f aca="false">設定!$C$47</f>
        <v>長期：退職等年金掛金</v>
      </c>
    </row>
    <row r="203" customFormat="false" ht="15" hidden="false" customHeight="false" outlineLevel="0" collapsed="false">
      <c r="A203" s="5" t="str">
        <f aca="false">設定!B100</f>
        <v>高速交通（株）</v>
      </c>
      <c r="B203" s="5" t="n">
        <f aca="false">IFERROR(MATCH(ホーム!$C$4&amp;"|"&amp;A203,報告入力!$CM$7:$CM$696,0),"")</f>
        <v>362</v>
      </c>
      <c r="C203" s="5" t="str">
        <f aca="false">IF(B203="","",INDEX(報告入力!$C$7:$C$696,B203))</f>
        <v>未受領</v>
      </c>
      <c r="D203" s="5" t="str">
        <f aca="false">設定!$A$39</f>
        <v>長期（厚生年金保険経理）</v>
      </c>
      <c r="E203" s="5" t="str">
        <f aca="false">設定!$B$39&amp;""</f>
        <v>130</v>
      </c>
      <c r="F203" s="5" t="str">
        <f aca="false">設定!$D$48&amp;""</f>
        <v>6101002000</v>
      </c>
      <c r="G203" s="5" t="str">
        <f aca="false">設定!$E$48&amp;""</f>
        <v>負担地方公共</v>
      </c>
      <c r="H203" s="5" t="n">
        <f aca="false">IF(B203="",0,N(INDEX(報告入力!$BA$7:$BA$696,B203)))</f>
        <v>145485</v>
      </c>
      <c r="I203" s="5" t="str">
        <f aca="false">設定!$C$39&amp;""</f>
        <v>1104001001</v>
      </c>
      <c r="J203" s="5" t="str">
        <f aca="false">設定!$D$39&amp;""</f>
        <v>普広銀市役所</v>
      </c>
      <c r="K203" s="5" t="n">
        <f aca="false">IF(AND(H203&lt;&gt;0,IF(設定!$B$6="入金確認済のみ",C203="入金確認済",OR(C203="入金確認済",C203="受領済"))),1,0)</f>
        <v>0</v>
      </c>
      <c r="L203" s="5" t="str">
        <f aca="false">1&amp;"|"&amp;40</f>
        <v>1|40</v>
      </c>
      <c r="M203" s="5" t="n">
        <f aca="false">IF(L203=L202,M202,0)+K203</f>
        <v>0</v>
      </c>
      <c r="N203" s="5" t="n">
        <f aca="false">IF(AND(K203=1,M203=1),1,0)</f>
        <v>0</v>
      </c>
      <c r="O203" s="5" t="str">
        <f aca="false">IF(K203=1,MAX($O$5:O202)+1,"")</f>
        <v/>
      </c>
      <c r="P203" s="5" t="str">
        <f aca="false">IF(K203=1,SUM($N$6:N203),"")</f>
        <v/>
      </c>
      <c r="Q203" s="5" t="str">
        <f aca="false">IF(K203=1,SUMIFS($H$6:$H$511,$L$6:$L$511,L203,$K$6:$K$511,1),"")</f>
        <v/>
      </c>
      <c r="R203" s="103" t="str">
        <f aca="false">IF(B203="","",IF(INDEX(報告入力!$AB$7:$AB$696,B203)="","",INDEX(報告入力!$AB$7:$AB$696,B203)))</f>
        <v/>
      </c>
      <c r="S203" s="5" t="str">
        <f aca="false">設定!$C$48</f>
        <v>長期：厚生年金保険料（事業主負担分）</v>
      </c>
    </row>
    <row r="204" customFormat="false" ht="15" hidden="false" customHeight="false" outlineLevel="0" collapsed="false">
      <c r="A204" s="5" t="str">
        <f aca="false">設定!B100</f>
        <v>高速交通（株）</v>
      </c>
      <c r="B204" s="5" t="n">
        <f aca="false">IFERROR(MATCH(ホーム!$C$4&amp;"|"&amp;A204,報告入力!$CM$7:$CM$696,0),"")</f>
        <v>362</v>
      </c>
      <c r="C204" s="5" t="str">
        <f aca="false">IF(B204="","",INDEX(報告入力!$C$7:$C$696,B204))</f>
        <v>未受領</v>
      </c>
      <c r="D204" s="5" t="str">
        <f aca="false">設定!$A$39</f>
        <v>長期（厚生年金保険経理）</v>
      </c>
      <c r="E204" s="5" t="str">
        <f aca="false">設定!$B$39&amp;""</f>
        <v>130</v>
      </c>
      <c r="F204" s="5" t="str">
        <f aca="false">設定!$D$49&amp;""</f>
        <v>2109001015</v>
      </c>
      <c r="G204" s="5" t="str">
        <f aca="false">設定!$E$49&amp;""</f>
        <v>退職負担地方</v>
      </c>
      <c r="H204" s="5" t="n">
        <f aca="false">IF(B204="",0,N(INDEX(報告入力!$BB$7:$BB$696,B204)))</f>
        <v>11925</v>
      </c>
      <c r="I204" s="5" t="str">
        <f aca="false">設定!$C$39&amp;""</f>
        <v>1104001001</v>
      </c>
      <c r="J204" s="5" t="str">
        <f aca="false">設定!$D$39&amp;""</f>
        <v>普広銀市役所</v>
      </c>
      <c r="K204" s="5" t="n">
        <f aca="false">IF(AND(H204&lt;&gt;0,IF(設定!$B$6="入金確認済のみ",C204="入金確認済",OR(C204="入金確認済",C204="受領済"))),1,0)</f>
        <v>0</v>
      </c>
      <c r="L204" s="5" t="str">
        <f aca="false">1&amp;"|"&amp;40</f>
        <v>1|40</v>
      </c>
      <c r="M204" s="5" t="n">
        <f aca="false">IF(L204=L203,M203,0)+K204</f>
        <v>0</v>
      </c>
      <c r="N204" s="5" t="n">
        <f aca="false">IF(AND(K204=1,M204=1),1,0)</f>
        <v>0</v>
      </c>
      <c r="O204" s="5" t="str">
        <f aca="false">IF(K204=1,MAX($O$5:O203)+1,"")</f>
        <v/>
      </c>
      <c r="P204" s="5" t="str">
        <f aca="false">IF(K204=1,SUM($N$6:N204),"")</f>
        <v/>
      </c>
      <c r="Q204" s="5" t="str">
        <f aca="false">IF(K204=1,SUMIFS($H$6:$H$511,$L$6:$L$511,L204,$K$6:$K$511,1),"")</f>
        <v/>
      </c>
      <c r="R204" s="103" t="str">
        <f aca="false">IF(B204="","",IF(INDEX(報告入力!$AB$7:$AB$696,B204)="","",INDEX(報告入力!$AB$7:$AB$696,B204)))</f>
        <v/>
      </c>
      <c r="S204" s="5" t="str">
        <f aca="false">設定!$C$49</f>
        <v>長期：退職等年金負担金</v>
      </c>
    </row>
    <row r="205" customFormat="false" ht="15" hidden="false" customHeight="false" outlineLevel="0" collapsed="false">
      <c r="A205" s="5" t="str">
        <f aca="false">設定!B100</f>
        <v>高速交通（株）</v>
      </c>
      <c r="B205" s="5" t="n">
        <f aca="false">IFERROR(MATCH(ホーム!$C$4&amp;"|"&amp;A205,報告入力!$CM$7:$CM$696,0),"")</f>
        <v>362</v>
      </c>
      <c r="C205" s="5" t="str">
        <f aca="false">IF(B205="","",INDEX(報告入力!$C$7:$C$696,B205))</f>
        <v>未受領</v>
      </c>
      <c r="D205" s="5" t="str">
        <f aca="false">設定!$A$39</f>
        <v>長期（厚生年金保険経理）</v>
      </c>
      <c r="E205" s="5" t="str">
        <f aca="false">設定!$B$39&amp;""</f>
        <v>130</v>
      </c>
      <c r="F205" s="5" t="str">
        <f aca="false">設定!$D$50&amp;""</f>
        <v>2109001017</v>
      </c>
      <c r="G205" s="5" t="str">
        <f aca="false">設定!$E$50&amp;""</f>
        <v>経過的負担金</v>
      </c>
      <c r="H205" s="5" t="n">
        <f aca="false">IF(B205="",0,N(INDEX(報告入力!$BC$7:$BC$696,B205)))</f>
        <v>149</v>
      </c>
      <c r="I205" s="5" t="str">
        <f aca="false">設定!$C$39&amp;""</f>
        <v>1104001001</v>
      </c>
      <c r="J205" s="5" t="str">
        <f aca="false">設定!$D$39&amp;""</f>
        <v>普広銀市役所</v>
      </c>
      <c r="K205" s="5" t="n">
        <f aca="false">IF(AND(H205&lt;&gt;0,IF(設定!$B$6="入金確認済のみ",C205="入金確認済",OR(C205="入金確認済",C205="受領済"))),1,0)</f>
        <v>0</v>
      </c>
      <c r="L205" s="5" t="str">
        <f aca="false">1&amp;"|"&amp;40</f>
        <v>1|40</v>
      </c>
      <c r="M205" s="5" t="n">
        <f aca="false">IF(L205=L204,M204,0)+K205</f>
        <v>0</v>
      </c>
      <c r="N205" s="5" t="n">
        <f aca="false">IF(AND(K205=1,M205=1),1,0)</f>
        <v>0</v>
      </c>
      <c r="O205" s="5" t="str">
        <f aca="false">IF(K205=1,MAX($O$5:O204)+1,"")</f>
        <v/>
      </c>
      <c r="P205" s="5" t="str">
        <f aca="false">IF(K205=1,SUM($N$6:N205),"")</f>
        <v/>
      </c>
      <c r="Q205" s="5" t="str">
        <f aca="false">IF(K205=1,SUMIFS($H$6:$H$511,$L$6:$L$511,L205,$K$6:$K$511,1),"")</f>
        <v/>
      </c>
      <c r="R205" s="103" t="str">
        <f aca="false">IF(B205="","",IF(INDEX(報告入力!$AB$7:$AB$696,B205)="","",INDEX(報告入力!$AB$7:$AB$696,B205)))</f>
        <v/>
      </c>
      <c r="S205" s="5" t="str">
        <f aca="false">設定!$C$50</f>
        <v>長期：経過的長期</v>
      </c>
    </row>
    <row r="206" customFormat="false" ht="15" hidden="false" customHeight="false" outlineLevel="0" collapsed="false">
      <c r="A206" s="5" t="str">
        <f aca="false">設定!B101</f>
        <v>広島駅南口開発（株）</v>
      </c>
      <c r="B206" s="5" t="n">
        <f aca="false">IFERROR(MATCH(ホーム!$C$4&amp;"|"&amp;A206,報告入力!$CM$7:$CM$696,0),"")</f>
        <v>363</v>
      </c>
      <c r="C206" s="5" t="str">
        <f aca="false">IF(B206="","",INDEX(報告入力!$C$7:$C$696,B206))</f>
        <v>受領済</v>
      </c>
      <c r="D206" s="5" t="str">
        <f aca="false">設定!$A$39</f>
        <v>長期（厚生年金保険経理）</v>
      </c>
      <c r="E206" s="5" t="str">
        <f aca="false">設定!$B$39&amp;""</f>
        <v>130</v>
      </c>
      <c r="F206" s="5" t="str">
        <f aca="false">設定!$D$46&amp;""</f>
        <v>6102102000</v>
      </c>
      <c r="G206" s="5" t="str">
        <f aca="false">設定!$E$46&amp;""</f>
        <v>標月額保険料</v>
      </c>
      <c r="H206" s="5" t="n">
        <f aca="false">IF(B206="",0,N(INDEX(報告入力!$AY$7:$AY$696,B206)))</f>
        <v>53985</v>
      </c>
      <c r="I206" s="5" t="str">
        <f aca="false">設定!$C$39&amp;""</f>
        <v>1104001001</v>
      </c>
      <c r="J206" s="5" t="str">
        <f aca="false">設定!$D$39&amp;""</f>
        <v>普広銀市役所</v>
      </c>
      <c r="K206" s="5" t="n">
        <f aca="false">IF(AND(H206&lt;&gt;0,IF(設定!$B$6="入金確認済のみ",C206="入金確認済",OR(C206="入金確認済",C206="受領済"))),1,0)</f>
        <v>0</v>
      </c>
      <c r="L206" s="5" t="str">
        <f aca="false">1&amp;"|"&amp;41</f>
        <v>1|41</v>
      </c>
      <c r="M206" s="5" t="n">
        <f aca="false">IF(L206=L205,M205,0)+K206</f>
        <v>0</v>
      </c>
      <c r="N206" s="5" t="n">
        <f aca="false">IF(AND(K206=1,M206=1),1,0)</f>
        <v>0</v>
      </c>
      <c r="O206" s="5" t="str">
        <f aca="false">IF(K206=1,MAX($O$5:O205)+1,"")</f>
        <v/>
      </c>
      <c r="P206" s="5" t="str">
        <f aca="false">IF(K206=1,SUM($N$6:N206),"")</f>
        <v/>
      </c>
      <c r="Q206" s="5" t="str">
        <f aca="false">IF(K206=1,SUMIFS($H$6:$H$511,$L$6:$L$511,L206,$K$6:$K$511,1),"")</f>
        <v/>
      </c>
      <c r="R206" s="103" t="str">
        <f aca="false">IF(B206="","",IF(INDEX(報告入力!$AB$7:$AB$696,B206)="","",INDEX(報告入力!$AB$7:$AB$696,B206)))</f>
        <v/>
      </c>
      <c r="S206" s="5" t="str">
        <f aca="false">設定!$C$46</f>
        <v>長期：厚生年金保険料（組合員負担分）</v>
      </c>
    </row>
    <row r="207" customFormat="false" ht="15" hidden="false" customHeight="false" outlineLevel="0" collapsed="false">
      <c r="A207" s="5" t="str">
        <f aca="false">設定!B101</f>
        <v>広島駅南口開発（株）</v>
      </c>
      <c r="B207" s="5" t="n">
        <f aca="false">IFERROR(MATCH(ホーム!$C$4&amp;"|"&amp;A207,報告入力!$CM$7:$CM$696,0),"")</f>
        <v>363</v>
      </c>
      <c r="C207" s="5" t="str">
        <f aca="false">IF(B207="","",INDEX(報告入力!$C$7:$C$696,B207))</f>
        <v>受領済</v>
      </c>
      <c r="D207" s="5" t="str">
        <f aca="false">設定!$A$39</f>
        <v>長期（厚生年金保険経理）</v>
      </c>
      <c r="E207" s="5" t="str">
        <f aca="false">設定!$B$39&amp;""</f>
        <v>130</v>
      </c>
      <c r="F207" s="5" t="str">
        <f aca="false">設定!$D$47&amp;""</f>
        <v>2109001014</v>
      </c>
      <c r="G207" s="5" t="str">
        <f aca="false">設定!$E$47&amp;""</f>
        <v>退職標報掛金</v>
      </c>
      <c r="H207" s="5" t="n">
        <f aca="false">IF(B207="",0,N(INDEX(報告入力!$AZ$7:$AZ$696,B207)))</f>
        <v>4425</v>
      </c>
      <c r="I207" s="5" t="str">
        <f aca="false">設定!$C$39&amp;""</f>
        <v>1104001001</v>
      </c>
      <c r="J207" s="5" t="str">
        <f aca="false">設定!$D$39&amp;""</f>
        <v>普広銀市役所</v>
      </c>
      <c r="K207" s="5" t="n">
        <f aca="false">IF(AND(H207&lt;&gt;0,IF(設定!$B$6="入金確認済のみ",C207="入金確認済",OR(C207="入金確認済",C207="受領済"))),1,0)</f>
        <v>0</v>
      </c>
      <c r="L207" s="5" t="str">
        <f aca="false">1&amp;"|"&amp;41</f>
        <v>1|41</v>
      </c>
      <c r="M207" s="5" t="n">
        <f aca="false">IF(L207=L206,M206,0)+K207</f>
        <v>0</v>
      </c>
      <c r="N207" s="5" t="n">
        <f aca="false">IF(AND(K207=1,M207=1),1,0)</f>
        <v>0</v>
      </c>
      <c r="O207" s="5" t="str">
        <f aca="false">IF(K207=1,MAX($O$5:O206)+1,"")</f>
        <v/>
      </c>
      <c r="P207" s="5" t="str">
        <f aca="false">IF(K207=1,SUM($N$6:N207),"")</f>
        <v/>
      </c>
      <c r="Q207" s="5" t="str">
        <f aca="false">IF(K207=1,SUMIFS($H$6:$H$511,$L$6:$L$511,L207,$K$6:$K$511,1),"")</f>
        <v/>
      </c>
      <c r="R207" s="103" t="str">
        <f aca="false">IF(B207="","",IF(INDEX(報告入力!$AB$7:$AB$696,B207)="","",INDEX(報告入力!$AB$7:$AB$696,B207)))</f>
        <v/>
      </c>
      <c r="S207" s="5" t="str">
        <f aca="false">設定!$C$47</f>
        <v>長期：退職等年金掛金</v>
      </c>
    </row>
    <row r="208" customFormat="false" ht="15" hidden="false" customHeight="false" outlineLevel="0" collapsed="false">
      <c r="A208" s="5" t="str">
        <f aca="false">設定!B101</f>
        <v>広島駅南口開発（株）</v>
      </c>
      <c r="B208" s="5" t="n">
        <f aca="false">IFERROR(MATCH(ホーム!$C$4&amp;"|"&amp;A208,報告入力!$CM$7:$CM$696,0),"")</f>
        <v>363</v>
      </c>
      <c r="C208" s="5" t="str">
        <f aca="false">IF(B208="","",INDEX(報告入力!$C$7:$C$696,B208))</f>
        <v>受領済</v>
      </c>
      <c r="D208" s="5" t="str">
        <f aca="false">設定!$A$39</f>
        <v>長期（厚生年金保険経理）</v>
      </c>
      <c r="E208" s="5" t="str">
        <f aca="false">設定!$B$39&amp;""</f>
        <v>130</v>
      </c>
      <c r="F208" s="5" t="str">
        <f aca="false">設定!$D$48&amp;""</f>
        <v>6101002000</v>
      </c>
      <c r="G208" s="5" t="str">
        <f aca="false">設定!$E$48&amp;""</f>
        <v>負担地方公共</v>
      </c>
      <c r="H208" s="5" t="n">
        <f aca="false">IF(B208="",0,N(INDEX(報告入力!$BA$7:$BA$696,B208)))</f>
        <v>53985</v>
      </c>
      <c r="I208" s="5" t="str">
        <f aca="false">設定!$C$39&amp;""</f>
        <v>1104001001</v>
      </c>
      <c r="J208" s="5" t="str">
        <f aca="false">設定!$D$39&amp;""</f>
        <v>普広銀市役所</v>
      </c>
      <c r="K208" s="5" t="n">
        <f aca="false">IF(AND(H208&lt;&gt;0,IF(設定!$B$6="入金確認済のみ",C208="入金確認済",OR(C208="入金確認済",C208="受領済"))),1,0)</f>
        <v>0</v>
      </c>
      <c r="L208" s="5" t="str">
        <f aca="false">1&amp;"|"&amp;41</f>
        <v>1|41</v>
      </c>
      <c r="M208" s="5" t="n">
        <f aca="false">IF(L208=L207,M207,0)+K208</f>
        <v>0</v>
      </c>
      <c r="N208" s="5" t="n">
        <f aca="false">IF(AND(K208=1,M208=1),1,0)</f>
        <v>0</v>
      </c>
      <c r="O208" s="5" t="str">
        <f aca="false">IF(K208=1,MAX($O$5:O207)+1,"")</f>
        <v/>
      </c>
      <c r="P208" s="5" t="str">
        <f aca="false">IF(K208=1,SUM($N$6:N208),"")</f>
        <v/>
      </c>
      <c r="Q208" s="5" t="str">
        <f aca="false">IF(K208=1,SUMIFS($H$6:$H$511,$L$6:$L$511,L208,$K$6:$K$511,1),"")</f>
        <v/>
      </c>
      <c r="R208" s="103" t="str">
        <f aca="false">IF(B208="","",IF(INDEX(報告入力!$AB$7:$AB$696,B208)="","",INDEX(報告入力!$AB$7:$AB$696,B208)))</f>
        <v/>
      </c>
      <c r="S208" s="5" t="str">
        <f aca="false">設定!$C$48</f>
        <v>長期：厚生年金保険料（事業主負担分）</v>
      </c>
    </row>
    <row r="209" customFormat="false" ht="15" hidden="false" customHeight="false" outlineLevel="0" collapsed="false">
      <c r="A209" s="5" t="str">
        <f aca="false">設定!B101</f>
        <v>広島駅南口開発（株）</v>
      </c>
      <c r="B209" s="5" t="n">
        <f aca="false">IFERROR(MATCH(ホーム!$C$4&amp;"|"&amp;A209,報告入力!$CM$7:$CM$696,0),"")</f>
        <v>363</v>
      </c>
      <c r="C209" s="5" t="str">
        <f aca="false">IF(B209="","",INDEX(報告入力!$C$7:$C$696,B209))</f>
        <v>受領済</v>
      </c>
      <c r="D209" s="5" t="str">
        <f aca="false">設定!$A$39</f>
        <v>長期（厚生年金保険経理）</v>
      </c>
      <c r="E209" s="5" t="str">
        <f aca="false">設定!$B$39&amp;""</f>
        <v>130</v>
      </c>
      <c r="F209" s="5" t="str">
        <f aca="false">設定!$D$49&amp;""</f>
        <v>2109001015</v>
      </c>
      <c r="G209" s="5" t="str">
        <f aca="false">設定!$E$49&amp;""</f>
        <v>退職負担地方</v>
      </c>
      <c r="H209" s="5" t="n">
        <f aca="false">IF(B209="",0,N(INDEX(報告入力!$BB$7:$BB$696,B209)))</f>
        <v>4425</v>
      </c>
      <c r="I209" s="5" t="str">
        <f aca="false">設定!$C$39&amp;""</f>
        <v>1104001001</v>
      </c>
      <c r="J209" s="5" t="str">
        <f aca="false">設定!$D$39&amp;""</f>
        <v>普広銀市役所</v>
      </c>
      <c r="K209" s="5" t="n">
        <f aca="false">IF(AND(H209&lt;&gt;0,IF(設定!$B$6="入金確認済のみ",C209="入金確認済",OR(C209="入金確認済",C209="受領済"))),1,0)</f>
        <v>0</v>
      </c>
      <c r="L209" s="5" t="str">
        <f aca="false">1&amp;"|"&amp;41</f>
        <v>1|41</v>
      </c>
      <c r="M209" s="5" t="n">
        <f aca="false">IF(L209=L208,M208,0)+K209</f>
        <v>0</v>
      </c>
      <c r="N209" s="5" t="n">
        <f aca="false">IF(AND(K209=1,M209=1),1,0)</f>
        <v>0</v>
      </c>
      <c r="O209" s="5" t="str">
        <f aca="false">IF(K209=1,MAX($O$5:O208)+1,"")</f>
        <v/>
      </c>
      <c r="P209" s="5" t="str">
        <f aca="false">IF(K209=1,SUM($N$6:N209),"")</f>
        <v/>
      </c>
      <c r="Q209" s="5" t="str">
        <f aca="false">IF(K209=1,SUMIFS($H$6:$H$511,$L$6:$L$511,L209,$K$6:$K$511,1),"")</f>
        <v/>
      </c>
      <c r="R209" s="103" t="str">
        <f aca="false">IF(B209="","",IF(INDEX(報告入力!$AB$7:$AB$696,B209)="","",INDEX(報告入力!$AB$7:$AB$696,B209)))</f>
        <v/>
      </c>
      <c r="S209" s="5" t="str">
        <f aca="false">設定!$C$49</f>
        <v>長期：退職等年金負担金</v>
      </c>
    </row>
    <row r="210" customFormat="false" ht="15" hidden="false" customHeight="false" outlineLevel="0" collapsed="false">
      <c r="A210" s="5" t="str">
        <f aca="false">設定!B101</f>
        <v>広島駅南口開発（株）</v>
      </c>
      <c r="B210" s="5" t="n">
        <f aca="false">IFERROR(MATCH(ホーム!$C$4&amp;"|"&amp;A210,報告入力!$CM$7:$CM$696,0),"")</f>
        <v>363</v>
      </c>
      <c r="C210" s="5" t="str">
        <f aca="false">IF(B210="","",INDEX(報告入力!$C$7:$C$696,B210))</f>
        <v>受領済</v>
      </c>
      <c r="D210" s="5" t="str">
        <f aca="false">設定!$A$39</f>
        <v>長期（厚生年金保険経理）</v>
      </c>
      <c r="E210" s="5" t="str">
        <f aca="false">設定!$B$39&amp;""</f>
        <v>130</v>
      </c>
      <c r="F210" s="5" t="str">
        <f aca="false">設定!$D$50&amp;""</f>
        <v>2109001017</v>
      </c>
      <c r="G210" s="5" t="str">
        <f aca="false">設定!$E$50&amp;""</f>
        <v>経過的負担金</v>
      </c>
      <c r="H210" s="5" t="n">
        <f aca="false">IF(B210="",0,N(INDEX(報告入力!$BC$7:$BC$696,B210)))</f>
        <v>51</v>
      </c>
      <c r="I210" s="5" t="str">
        <f aca="false">設定!$C$39&amp;""</f>
        <v>1104001001</v>
      </c>
      <c r="J210" s="5" t="str">
        <f aca="false">設定!$D$39&amp;""</f>
        <v>普広銀市役所</v>
      </c>
      <c r="K210" s="5" t="n">
        <f aca="false">IF(AND(H210&lt;&gt;0,IF(設定!$B$6="入金確認済のみ",C210="入金確認済",OR(C210="入金確認済",C210="受領済"))),1,0)</f>
        <v>0</v>
      </c>
      <c r="L210" s="5" t="str">
        <f aca="false">1&amp;"|"&amp;41</f>
        <v>1|41</v>
      </c>
      <c r="M210" s="5" t="n">
        <f aca="false">IF(L210=L209,M209,0)+K210</f>
        <v>0</v>
      </c>
      <c r="N210" s="5" t="n">
        <f aca="false">IF(AND(K210=1,M210=1),1,0)</f>
        <v>0</v>
      </c>
      <c r="O210" s="5" t="str">
        <f aca="false">IF(K210=1,MAX($O$5:O209)+1,"")</f>
        <v/>
      </c>
      <c r="P210" s="5" t="str">
        <f aca="false">IF(K210=1,SUM($N$6:N210),"")</f>
        <v/>
      </c>
      <c r="Q210" s="5" t="str">
        <f aca="false">IF(K210=1,SUMIFS($H$6:$H$511,$L$6:$L$511,L210,$K$6:$K$511,1),"")</f>
        <v/>
      </c>
      <c r="R210" s="103" t="str">
        <f aca="false">IF(B210="","",IF(INDEX(報告入力!$AB$7:$AB$696,B210)="","",INDEX(報告入力!$AB$7:$AB$696,B210)))</f>
        <v/>
      </c>
      <c r="S210" s="5" t="str">
        <f aca="false">設定!$C$50</f>
        <v>長期：経過的長期</v>
      </c>
    </row>
    <row r="211" customFormat="false" ht="15" hidden="false" customHeight="false" outlineLevel="0" collapsed="false">
      <c r="A211" s="5" t="str">
        <f aca="false">設定!B102</f>
        <v>市職員労働組合</v>
      </c>
      <c r="B211" s="5" t="n">
        <f aca="false">IFERROR(MATCH(ホーム!$C$4&amp;"|"&amp;A211,報告入力!$CM$7:$CM$696,0),"")</f>
        <v>364</v>
      </c>
      <c r="C211" s="5" t="str">
        <f aca="false">IF(B211="","",INDEX(報告入力!$C$7:$C$696,B211))</f>
        <v>未受領</v>
      </c>
      <c r="D211" s="5" t="str">
        <f aca="false">設定!$A$39</f>
        <v>長期（厚生年金保険経理）</v>
      </c>
      <c r="E211" s="5" t="str">
        <f aca="false">設定!$B$39&amp;""</f>
        <v>130</v>
      </c>
      <c r="F211" s="5" t="str">
        <f aca="false">設定!$D$46&amp;""</f>
        <v>6102102000</v>
      </c>
      <c r="G211" s="5" t="str">
        <f aca="false">設定!$E$46&amp;""</f>
        <v>標月額保険料</v>
      </c>
      <c r="H211" s="5" t="n">
        <f aca="false">IF(B211="",0,N(INDEX(報告入力!$AY$7:$AY$696,B211)))</f>
        <v>29280</v>
      </c>
      <c r="I211" s="5" t="str">
        <f aca="false">設定!$C$39&amp;""</f>
        <v>1104001001</v>
      </c>
      <c r="J211" s="5" t="str">
        <f aca="false">設定!$D$39&amp;""</f>
        <v>普広銀市役所</v>
      </c>
      <c r="K211" s="5" t="n">
        <f aca="false">IF(AND(H211&lt;&gt;0,IF(設定!$B$6="入金確認済のみ",C211="入金確認済",OR(C211="入金確認済",C211="受領済"))),1,0)</f>
        <v>0</v>
      </c>
      <c r="L211" s="5" t="str">
        <f aca="false">1&amp;"|"&amp;42</f>
        <v>1|42</v>
      </c>
      <c r="M211" s="5" t="n">
        <f aca="false">IF(L211=L210,M210,0)+K211</f>
        <v>0</v>
      </c>
      <c r="N211" s="5" t="n">
        <f aca="false">IF(AND(K211=1,M211=1),1,0)</f>
        <v>0</v>
      </c>
      <c r="O211" s="5" t="str">
        <f aca="false">IF(K211=1,MAX($O$5:O210)+1,"")</f>
        <v/>
      </c>
      <c r="P211" s="5" t="str">
        <f aca="false">IF(K211=1,SUM($N$6:N211),"")</f>
        <v/>
      </c>
      <c r="Q211" s="5" t="str">
        <f aca="false">IF(K211=1,SUMIFS($H$6:$H$511,$L$6:$L$511,L211,$K$6:$K$511,1),"")</f>
        <v/>
      </c>
      <c r="R211" s="103" t="str">
        <f aca="false">IF(B211="","",IF(INDEX(報告入力!$AB$7:$AB$696,B211)="","",INDEX(報告入力!$AB$7:$AB$696,B211)))</f>
        <v/>
      </c>
      <c r="S211" s="5" t="str">
        <f aca="false">設定!$C$46</f>
        <v>長期：厚生年金保険料（組合員負担分）</v>
      </c>
    </row>
    <row r="212" customFormat="false" ht="15" hidden="false" customHeight="false" outlineLevel="0" collapsed="false">
      <c r="A212" s="5" t="str">
        <f aca="false">設定!B102</f>
        <v>市職員労働組合</v>
      </c>
      <c r="B212" s="5" t="n">
        <f aca="false">IFERROR(MATCH(ホーム!$C$4&amp;"|"&amp;A212,報告入力!$CM$7:$CM$696,0),"")</f>
        <v>364</v>
      </c>
      <c r="C212" s="5" t="str">
        <f aca="false">IF(B212="","",INDEX(報告入力!$C$7:$C$696,B212))</f>
        <v>未受領</v>
      </c>
      <c r="D212" s="5" t="str">
        <f aca="false">設定!$A$39</f>
        <v>長期（厚生年金保険経理）</v>
      </c>
      <c r="E212" s="5" t="str">
        <f aca="false">設定!$B$39&amp;""</f>
        <v>130</v>
      </c>
      <c r="F212" s="5" t="str">
        <f aca="false">設定!$D$47&amp;""</f>
        <v>2109001014</v>
      </c>
      <c r="G212" s="5" t="str">
        <f aca="false">設定!$E$47&amp;""</f>
        <v>退職標報掛金</v>
      </c>
      <c r="H212" s="5" t="n">
        <f aca="false">IF(B212="",0,N(INDEX(報告入力!$AZ$7:$AZ$696,B212)))</f>
        <v>2400</v>
      </c>
      <c r="I212" s="5" t="str">
        <f aca="false">設定!$C$39&amp;""</f>
        <v>1104001001</v>
      </c>
      <c r="J212" s="5" t="str">
        <f aca="false">設定!$D$39&amp;""</f>
        <v>普広銀市役所</v>
      </c>
      <c r="K212" s="5" t="n">
        <f aca="false">IF(AND(H212&lt;&gt;0,IF(設定!$B$6="入金確認済のみ",C212="入金確認済",OR(C212="入金確認済",C212="受領済"))),1,0)</f>
        <v>0</v>
      </c>
      <c r="L212" s="5" t="str">
        <f aca="false">1&amp;"|"&amp;42</f>
        <v>1|42</v>
      </c>
      <c r="M212" s="5" t="n">
        <f aca="false">IF(L212=L211,M211,0)+K212</f>
        <v>0</v>
      </c>
      <c r="N212" s="5" t="n">
        <f aca="false">IF(AND(K212=1,M212=1),1,0)</f>
        <v>0</v>
      </c>
      <c r="O212" s="5" t="str">
        <f aca="false">IF(K212=1,MAX($O$5:O211)+1,"")</f>
        <v/>
      </c>
      <c r="P212" s="5" t="str">
        <f aca="false">IF(K212=1,SUM($N$6:N212),"")</f>
        <v/>
      </c>
      <c r="Q212" s="5" t="str">
        <f aca="false">IF(K212=1,SUMIFS($H$6:$H$511,$L$6:$L$511,L212,$K$6:$K$511,1),"")</f>
        <v/>
      </c>
      <c r="R212" s="103" t="str">
        <f aca="false">IF(B212="","",IF(INDEX(報告入力!$AB$7:$AB$696,B212)="","",INDEX(報告入力!$AB$7:$AB$696,B212)))</f>
        <v/>
      </c>
      <c r="S212" s="5" t="str">
        <f aca="false">設定!$C$47</f>
        <v>長期：退職等年金掛金</v>
      </c>
    </row>
    <row r="213" customFormat="false" ht="15" hidden="false" customHeight="false" outlineLevel="0" collapsed="false">
      <c r="A213" s="5" t="str">
        <f aca="false">設定!B102</f>
        <v>市職員労働組合</v>
      </c>
      <c r="B213" s="5" t="n">
        <f aca="false">IFERROR(MATCH(ホーム!$C$4&amp;"|"&amp;A213,報告入力!$CM$7:$CM$696,0),"")</f>
        <v>364</v>
      </c>
      <c r="C213" s="5" t="str">
        <f aca="false">IF(B213="","",INDEX(報告入力!$C$7:$C$696,B213))</f>
        <v>未受領</v>
      </c>
      <c r="D213" s="5" t="str">
        <f aca="false">設定!$A$39</f>
        <v>長期（厚生年金保険経理）</v>
      </c>
      <c r="E213" s="5" t="str">
        <f aca="false">設定!$B$39&amp;""</f>
        <v>130</v>
      </c>
      <c r="F213" s="5" t="str">
        <f aca="false">設定!$D$48&amp;""</f>
        <v>6101002000</v>
      </c>
      <c r="G213" s="5" t="str">
        <f aca="false">設定!$E$48&amp;""</f>
        <v>負担地方公共</v>
      </c>
      <c r="H213" s="5" t="n">
        <f aca="false">IF(B213="",0,N(INDEX(報告入力!$BA$7:$BA$696,B213)))</f>
        <v>29280</v>
      </c>
      <c r="I213" s="5" t="str">
        <f aca="false">設定!$C$39&amp;""</f>
        <v>1104001001</v>
      </c>
      <c r="J213" s="5" t="str">
        <f aca="false">設定!$D$39&amp;""</f>
        <v>普広銀市役所</v>
      </c>
      <c r="K213" s="5" t="n">
        <f aca="false">IF(AND(H213&lt;&gt;0,IF(設定!$B$6="入金確認済のみ",C213="入金確認済",OR(C213="入金確認済",C213="受領済"))),1,0)</f>
        <v>0</v>
      </c>
      <c r="L213" s="5" t="str">
        <f aca="false">1&amp;"|"&amp;42</f>
        <v>1|42</v>
      </c>
      <c r="M213" s="5" t="n">
        <f aca="false">IF(L213=L212,M212,0)+K213</f>
        <v>0</v>
      </c>
      <c r="N213" s="5" t="n">
        <f aca="false">IF(AND(K213=1,M213=1),1,0)</f>
        <v>0</v>
      </c>
      <c r="O213" s="5" t="str">
        <f aca="false">IF(K213=1,MAX($O$5:O212)+1,"")</f>
        <v/>
      </c>
      <c r="P213" s="5" t="str">
        <f aca="false">IF(K213=1,SUM($N$6:N213),"")</f>
        <v/>
      </c>
      <c r="Q213" s="5" t="str">
        <f aca="false">IF(K213=1,SUMIFS($H$6:$H$511,$L$6:$L$511,L213,$K$6:$K$511,1),"")</f>
        <v/>
      </c>
      <c r="R213" s="103" t="str">
        <f aca="false">IF(B213="","",IF(INDEX(報告入力!$AB$7:$AB$696,B213)="","",INDEX(報告入力!$AB$7:$AB$696,B213)))</f>
        <v/>
      </c>
      <c r="S213" s="5" t="str">
        <f aca="false">設定!$C$48</f>
        <v>長期：厚生年金保険料（事業主負担分）</v>
      </c>
    </row>
    <row r="214" customFormat="false" ht="15" hidden="false" customHeight="false" outlineLevel="0" collapsed="false">
      <c r="A214" s="5" t="str">
        <f aca="false">設定!B102</f>
        <v>市職員労働組合</v>
      </c>
      <c r="B214" s="5" t="n">
        <f aca="false">IFERROR(MATCH(ホーム!$C$4&amp;"|"&amp;A214,報告入力!$CM$7:$CM$696,0),"")</f>
        <v>364</v>
      </c>
      <c r="C214" s="5" t="str">
        <f aca="false">IF(B214="","",INDEX(報告入力!$C$7:$C$696,B214))</f>
        <v>未受領</v>
      </c>
      <c r="D214" s="5" t="str">
        <f aca="false">設定!$A$39</f>
        <v>長期（厚生年金保険経理）</v>
      </c>
      <c r="E214" s="5" t="str">
        <f aca="false">設定!$B$39&amp;""</f>
        <v>130</v>
      </c>
      <c r="F214" s="5" t="str">
        <f aca="false">設定!$D$49&amp;""</f>
        <v>2109001015</v>
      </c>
      <c r="G214" s="5" t="str">
        <f aca="false">設定!$E$49&amp;""</f>
        <v>退職負担地方</v>
      </c>
      <c r="H214" s="5" t="n">
        <f aca="false">IF(B214="",0,N(INDEX(報告入力!$BB$7:$BB$696,B214)))</f>
        <v>2400</v>
      </c>
      <c r="I214" s="5" t="str">
        <f aca="false">設定!$C$39&amp;""</f>
        <v>1104001001</v>
      </c>
      <c r="J214" s="5" t="str">
        <f aca="false">設定!$D$39&amp;""</f>
        <v>普広銀市役所</v>
      </c>
      <c r="K214" s="5" t="n">
        <f aca="false">IF(AND(H214&lt;&gt;0,IF(設定!$B$6="入金確認済のみ",C214="入金確認済",OR(C214="入金確認済",C214="受領済"))),1,0)</f>
        <v>0</v>
      </c>
      <c r="L214" s="5" t="str">
        <f aca="false">1&amp;"|"&amp;42</f>
        <v>1|42</v>
      </c>
      <c r="M214" s="5" t="n">
        <f aca="false">IF(L214=L213,M213,0)+K214</f>
        <v>0</v>
      </c>
      <c r="N214" s="5" t="n">
        <f aca="false">IF(AND(K214=1,M214=1),1,0)</f>
        <v>0</v>
      </c>
      <c r="O214" s="5" t="str">
        <f aca="false">IF(K214=1,MAX($O$5:O213)+1,"")</f>
        <v/>
      </c>
      <c r="P214" s="5" t="str">
        <f aca="false">IF(K214=1,SUM($N$6:N214),"")</f>
        <v/>
      </c>
      <c r="Q214" s="5" t="str">
        <f aca="false">IF(K214=1,SUMIFS($H$6:$H$511,$L$6:$L$511,L214,$K$6:$K$511,1),"")</f>
        <v/>
      </c>
      <c r="R214" s="103" t="str">
        <f aca="false">IF(B214="","",IF(INDEX(報告入力!$AB$7:$AB$696,B214)="","",INDEX(報告入力!$AB$7:$AB$696,B214)))</f>
        <v/>
      </c>
      <c r="S214" s="5" t="str">
        <f aca="false">設定!$C$49</f>
        <v>長期：退職等年金負担金</v>
      </c>
    </row>
    <row r="215" customFormat="false" ht="15" hidden="false" customHeight="false" outlineLevel="0" collapsed="false">
      <c r="A215" s="5" t="str">
        <f aca="false">設定!B102</f>
        <v>市職員労働組合</v>
      </c>
      <c r="B215" s="5" t="n">
        <f aca="false">IFERROR(MATCH(ホーム!$C$4&amp;"|"&amp;A215,報告入力!$CM$7:$CM$696,0),"")</f>
        <v>364</v>
      </c>
      <c r="C215" s="5" t="str">
        <f aca="false">IF(B215="","",INDEX(報告入力!$C$7:$C$696,B215))</f>
        <v>未受領</v>
      </c>
      <c r="D215" s="5" t="str">
        <f aca="false">設定!$A$39</f>
        <v>長期（厚生年金保険経理）</v>
      </c>
      <c r="E215" s="5" t="str">
        <f aca="false">設定!$B$39&amp;""</f>
        <v>130</v>
      </c>
      <c r="F215" s="5" t="str">
        <f aca="false">設定!$D$50&amp;""</f>
        <v>2109001017</v>
      </c>
      <c r="G215" s="5" t="str">
        <f aca="false">設定!$E$50&amp;""</f>
        <v>経過的負担金</v>
      </c>
      <c r="H215" s="5" t="n">
        <f aca="false">IF(B215="",0,N(INDEX(報告入力!$BC$7:$BC$696,B215)))</f>
        <v>0</v>
      </c>
      <c r="I215" s="5" t="str">
        <f aca="false">設定!$C$39&amp;""</f>
        <v>1104001001</v>
      </c>
      <c r="J215" s="5" t="str">
        <f aca="false">設定!$D$39&amp;""</f>
        <v>普広銀市役所</v>
      </c>
      <c r="K215" s="5" t="n">
        <f aca="false">IF(AND(H215&lt;&gt;0,IF(設定!$B$6="入金確認済のみ",C215="入金確認済",OR(C215="入金確認済",C215="受領済"))),1,0)</f>
        <v>0</v>
      </c>
      <c r="L215" s="5" t="str">
        <f aca="false">1&amp;"|"&amp;42</f>
        <v>1|42</v>
      </c>
      <c r="M215" s="5" t="n">
        <f aca="false">IF(L215=L214,M214,0)+K215</f>
        <v>0</v>
      </c>
      <c r="N215" s="5" t="n">
        <f aca="false">IF(AND(K215=1,M215=1),1,0)</f>
        <v>0</v>
      </c>
      <c r="O215" s="5" t="str">
        <f aca="false">IF(K215=1,MAX($O$5:O214)+1,"")</f>
        <v/>
      </c>
      <c r="P215" s="5" t="str">
        <f aca="false">IF(K215=1,SUM($N$6:N215),"")</f>
        <v/>
      </c>
      <c r="Q215" s="5" t="str">
        <f aca="false">IF(K215=1,SUMIFS($H$6:$H$511,$L$6:$L$511,L215,$K$6:$K$511,1),"")</f>
        <v/>
      </c>
      <c r="R215" s="103" t="str">
        <f aca="false">IF(B215="","",IF(INDEX(報告入力!$AB$7:$AB$696,B215)="","",INDEX(報告入力!$AB$7:$AB$696,B215)))</f>
        <v/>
      </c>
      <c r="S215" s="5" t="str">
        <f aca="false">設定!$C$50</f>
        <v>長期：経過的長期</v>
      </c>
    </row>
    <row r="216" customFormat="false" ht="15" hidden="false" customHeight="false" outlineLevel="0" collapsed="false">
      <c r="A216" s="5" t="str">
        <f aca="false">設定!B103</f>
        <v>自治労労働組合</v>
      </c>
      <c r="B216" s="5" t="n">
        <f aca="false">IFERROR(MATCH(ホーム!$C$4&amp;"|"&amp;A216,報告入力!$CM$7:$CM$696,0),"")</f>
        <v>365</v>
      </c>
      <c r="C216" s="5" t="str">
        <f aca="false">IF(B216="","",INDEX(報告入力!$C$7:$C$696,B216))</f>
        <v>未受領</v>
      </c>
      <c r="D216" s="5" t="str">
        <f aca="false">設定!$A$39</f>
        <v>長期（厚生年金保険経理）</v>
      </c>
      <c r="E216" s="5" t="str">
        <f aca="false">設定!$B$39&amp;""</f>
        <v>130</v>
      </c>
      <c r="F216" s="5" t="str">
        <f aca="false">設定!$D$46&amp;""</f>
        <v>6102102000</v>
      </c>
      <c r="G216" s="5" t="str">
        <f aca="false">設定!$E$46&amp;""</f>
        <v>標月額保険料</v>
      </c>
      <c r="H216" s="5" t="n">
        <f aca="false">IF(B216="",0,N(INDEX(報告入力!$AY$7:$AY$696,B216)))</f>
        <v>0</v>
      </c>
      <c r="I216" s="5" t="str">
        <f aca="false">設定!$C$39&amp;""</f>
        <v>1104001001</v>
      </c>
      <c r="J216" s="5" t="str">
        <f aca="false">設定!$D$39&amp;""</f>
        <v>普広銀市役所</v>
      </c>
      <c r="K216" s="5" t="n">
        <f aca="false">IF(AND(H216&lt;&gt;0,IF(設定!$B$6="入金確認済のみ",C216="入金確認済",OR(C216="入金確認済",C216="受領済"))),1,0)</f>
        <v>0</v>
      </c>
      <c r="L216" s="5" t="str">
        <f aca="false">1&amp;"|"&amp;43</f>
        <v>1|43</v>
      </c>
      <c r="M216" s="5" t="n">
        <f aca="false">IF(L216=L215,M215,0)+K216</f>
        <v>0</v>
      </c>
      <c r="N216" s="5" t="n">
        <f aca="false">IF(AND(K216=1,M216=1),1,0)</f>
        <v>0</v>
      </c>
      <c r="O216" s="5" t="str">
        <f aca="false">IF(K216=1,MAX($O$5:O215)+1,"")</f>
        <v/>
      </c>
      <c r="P216" s="5" t="str">
        <f aca="false">IF(K216=1,SUM($N$6:N216),"")</f>
        <v/>
      </c>
      <c r="Q216" s="5" t="str">
        <f aca="false">IF(K216=1,SUMIFS($H$6:$H$511,$L$6:$L$511,L216,$K$6:$K$511,1),"")</f>
        <v/>
      </c>
      <c r="R216" s="103" t="str">
        <f aca="false">IF(B216="","",IF(INDEX(報告入力!$AB$7:$AB$696,B216)="","",INDEX(報告入力!$AB$7:$AB$696,B216)))</f>
        <v/>
      </c>
      <c r="S216" s="5" t="str">
        <f aca="false">設定!$C$46</f>
        <v>長期：厚生年金保険料（組合員負担分）</v>
      </c>
    </row>
    <row r="217" customFormat="false" ht="15" hidden="false" customHeight="false" outlineLevel="0" collapsed="false">
      <c r="A217" s="5" t="str">
        <f aca="false">設定!B103</f>
        <v>自治労労働組合</v>
      </c>
      <c r="B217" s="5" t="n">
        <f aca="false">IFERROR(MATCH(ホーム!$C$4&amp;"|"&amp;A217,報告入力!$CM$7:$CM$696,0),"")</f>
        <v>365</v>
      </c>
      <c r="C217" s="5" t="str">
        <f aca="false">IF(B217="","",INDEX(報告入力!$C$7:$C$696,B217))</f>
        <v>未受領</v>
      </c>
      <c r="D217" s="5" t="str">
        <f aca="false">設定!$A$39</f>
        <v>長期（厚生年金保険経理）</v>
      </c>
      <c r="E217" s="5" t="str">
        <f aca="false">設定!$B$39&amp;""</f>
        <v>130</v>
      </c>
      <c r="F217" s="5" t="str">
        <f aca="false">設定!$D$47&amp;""</f>
        <v>2109001014</v>
      </c>
      <c r="G217" s="5" t="str">
        <f aca="false">設定!$E$47&amp;""</f>
        <v>退職標報掛金</v>
      </c>
      <c r="H217" s="5" t="n">
        <f aca="false">IF(B217="",0,N(INDEX(報告入力!$AZ$7:$AZ$696,B217)))</f>
        <v>0</v>
      </c>
      <c r="I217" s="5" t="str">
        <f aca="false">設定!$C$39&amp;""</f>
        <v>1104001001</v>
      </c>
      <c r="J217" s="5" t="str">
        <f aca="false">設定!$D$39&amp;""</f>
        <v>普広銀市役所</v>
      </c>
      <c r="K217" s="5" t="n">
        <f aca="false">IF(AND(H217&lt;&gt;0,IF(設定!$B$6="入金確認済のみ",C217="入金確認済",OR(C217="入金確認済",C217="受領済"))),1,0)</f>
        <v>0</v>
      </c>
      <c r="L217" s="5" t="str">
        <f aca="false">1&amp;"|"&amp;43</f>
        <v>1|43</v>
      </c>
      <c r="M217" s="5" t="n">
        <f aca="false">IF(L217=L216,M216,0)+K217</f>
        <v>0</v>
      </c>
      <c r="N217" s="5" t="n">
        <f aca="false">IF(AND(K217=1,M217=1),1,0)</f>
        <v>0</v>
      </c>
      <c r="O217" s="5" t="str">
        <f aca="false">IF(K217=1,MAX($O$5:O216)+1,"")</f>
        <v/>
      </c>
      <c r="P217" s="5" t="str">
        <f aca="false">IF(K217=1,SUM($N$6:N217),"")</f>
        <v/>
      </c>
      <c r="Q217" s="5" t="str">
        <f aca="false">IF(K217=1,SUMIFS($H$6:$H$511,$L$6:$L$511,L217,$K$6:$K$511,1),"")</f>
        <v/>
      </c>
      <c r="R217" s="103" t="str">
        <f aca="false">IF(B217="","",IF(INDEX(報告入力!$AB$7:$AB$696,B217)="","",INDEX(報告入力!$AB$7:$AB$696,B217)))</f>
        <v/>
      </c>
      <c r="S217" s="5" t="str">
        <f aca="false">設定!$C$47</f>
        <v>長期：退職等年金掛金</v>
      </c>
    </row>
    <row r="218" customFormat="false" ht="15" hidden="false" customHeight="false" outlineLevel="0" collapsed="false">
      <c r="A218" s="5" t="str">
        <f aca="false">設定!B103</f>
        <v>自治労労働組合</v>
      </c>
      <c r="B218" s="5" t="n">
        <f aca="false">IFERROR(MATCH(ホーム!$C$4&amp;"|"&amp;A218,報告入力!$CM$7:$CM$696,0),"")</f>
        <v>365</v>
      </c>
      <c r="C218" s="5" t="str">
        <f aca="false">IF(B218="","",INDEX(報告入力!$C$7:$C$696,B218))</f>
        <v>未受領</v>
      </c>
      <c r="D218" s="5" t="str">
        <f aca="false">設定!$A$39</f>
        <v>長期（厚生年金保険経理）</v>
      </c>
      <c r="E218" s="5" t="str">
        <f aca="false">設定!$B$39&amp;""</f>
        <v>130</v>
      </c>
      <c r="F218" s="5" t="str">
        <f aca="false">設定!$D$48&amp;""</f>
        <v>6101002000</v>
      </c>
      <c r="G218" s="5" t="str">
        <f aca="false">設定!$E$48&amp;""</f>
        <v>負担地方公共</v>
      </c>
      <c r="H218" s="5" t="n">
        <f aca="false">IF(B218="",0,N(INDEX(報告入力!$BA$7:$BA$696,B218)))</f>
        <v>0</v>
      </c>
      <c r="I218" s="5" t="str">
        <f aca="false">設定!$C$39&amp;""</f>
        <v>1104001001</v>
      </c>
      <c r="J218" s="5" t="str">
        <f aca="false">設定!$D$39&amp;""</f>
        <v>普広銀市役所</v>
      </c>
      <c r="K218" s="5" t="n">
        <f aca="false">IF(AND(H218&lt;&gt;0,IF(設定!$B$6="入金確認済のみ",C218="入金確認済",OR(C218="入金確認済",C218="受領済"))),1,0)</f>
        <v>0</v>
      </c>
      <c r="L218" s="5" t="str">
        <f aca="false">1&amp;"|"&amp;43</f>
        <v>1|43</v>
      </c>
      <c r="M218" s="5" t="n">
        <f aca="false">IF(L218=L217,M217,0)+K218</f>
        <v>0</v>
      </c>
      <c r="N218" s="5" t="n">
        <f aca="false">IF(AND(K218=1,M218=1),1,0)</f>
        <v>0</v>
      </c>
      <c r="O218" s="5" t="str">
        <f aca="false">IF(K218=1,MAX($O$5:O217)+1,"")</f>
        <v/>
      </c>
      <c r="P218" s="5" t="str">
        <f aca="false">IF(K218=1,SUM($N$6:N218),"")</f>
        <v/>
      </c>
      <c r="Q218" s="5" t="str">
        <f aca="false">IF(K218=1,SUMIFS($H$6:$H$511,$L$6:$L$511,L218,$K$6:$K$511,1),"")</f>
        <v/>
      </c>
      <c r="R218" s="103" t="str">
        <f aca="false">IF(B218="","",IF(INDEX(報告入力!$AB$7:$AB$696,B218)="","",INDEX(報告入力!$AB$7:$AB$696,B218)))</f>
        <v/>
      </c>
      <c r="S218" s="5" t="str">
        <f aca="false">設定!$C$48</f>
        <v>長期：厚生年金保険料（事業主負担分）</v>
      </c>
    </row>
    <row r="219" customFormat="false" ht="15" hidden="false" customHeight="false" outlineLevel="0" collapsed="false">
      <c r="A219" s="5" t="str">
        <f aca="false">設定!B103</f>
        <v>自治労労働組合</v>
      </c>
      <c r="B219" s="5" t="n">
        <f aca="false">IFERROR(MATCH(ホーム!$C$4&amp;"|"&amp;A219,報告入力!$CM$7:$CM$696,0),"")</f>
        <v>365</v>
      </c>
      <c r="C219" s="5" t="str">
        <f aca="false">IF(B219="","",INDEX(報告入力!$C$7:$C$696,B219))</f>
        <v>未受領</v>
      </c>
      <c r="D219" s="5" t="str">
        <f aca="false">設定!$A$39</f>
        <v>長期（厚生年金保険経理）</v>
      </c>
      <c r="E219" s="5" t="str">
        <f aca="false">設定!$B$39&amp;""</f>
        <v>130</v>
      </c>
      <c r="F219" s="5" t="str">
        <f aca="false">設定!$D$49&amp;""</f>
        <v>2109001015</v>
      </c>
      <c r="G219" s="5" t="str">
        <f aca="false">設定!$E$49&amp;""</f>
        <v>退職負担地方</v>
      </c>
      <c r="H219" s="5" t="n">
        <f aca="false">IF(B219="",0,N(INDEX(報告入力!$BB$7:$BB$696,B219)))</f>
        <v>0</v>
      </c>
      <c r="I219" s="5" t="str">
        <f aca="false">設定!$C$39&amp;""</f>
        <v>1104001001</v>
      </c>
      <c r="J219" s="5" t="str">
        <f aca="false">設定!$D$39&amp;""</f>
        <v>普広銀市役所</v>
      </c>
      <c r="K219" s="5" t="n">
        <f aca="false">IF(AND(H219&lt;&gt;0,IF(設定!$B$6="入金確認済のみ",C219="入金確認済",OR(C219="入金確認済",C219="受領済"))),1,0)</f>
        <v>0</v>
      </c>
      <c r="L219" s="5" t="str">
        <f aca="false">1&amp;"|"&amp;43</f>
        <v>1|43</v>
      </c>
      <c r="M219" s="5" t="n">
        <f aca="false">IF(L219=L218,M218,0)+K219</f>
        <v>0</v>
      </c>
      <c r="N219" s="5" t="n">
        <f aca="false">IF(AND(K219=1,M219=1),1,0)</f>
        <v>0</v>
      </c>
      <c r="O219" s="5" t="str">
        <f aca="false">IF(K219=1,MAX($O$5:O218)+1,"")</f>
        <v/>
      </c>
      <c r="P219" s="5" t="str">
        <f aca="false">IF(K219=1,SUM($N$6:N219),"")</f>
        <v/>
      </c>
      <c r="Q219" s="5" t="str">
        <f aca="false">IF(K219=1,SUMIFS($H$6:$H$511,$L$6:$L$511,L219,$K$6:$K$511,1),"")</f>
        <v/>
      </c>
      <c r="R219" s="103" t="str">
        <f aca="false">IF(B219="","",IF(INDEX(報告入力!$AB$7:$AB$696,B219)="","",INDEX(報告入力!$AB$7:$AB$696,B219)))</f>
        <v/>
      </c>
      <c r="S219" s="5" t="str">
        <f aca="false">設定!$C$49</f>
        <v>長期：退職等年金負担金</v>
      </c>
    </row>
    <row r="220" customFormat="false" ht="15" hidden="false" customHeight="false" outlineLevel="0" collapsed="false">
      <c r="A220" s="5" t="str">
        <f aca="false">設定!B103</f>
        <v>自治労労働組合</v>
      </c>
      <c r="B220" s="5" t="n">
        <f aca="false">IFERROR(MATCH(ホーム!$C$4&amp;"|"&amp;A220,報告入力!$CM$7:$CM$696,0),"")</f>
        <v>365</v>
      </c>
      <c r="C220" s="5" t="str">
        <f aca="false">IF(B220="","",INDEX(報告入力!$C$7:$C$696,B220))</f>
        <v>未受領</v>
      </c>
      <c r="D220" s="5" t="str">
        <f aca="false">設定!$A$39</f>
        <v>長期（厚生年金保険経理）</v>
      </c>
      <c r="E220" s="5" t="str">
        <f aca="false">設定!$B$39&amp;""</f>
        <v>130</v>
      </c>
      <c r="F220" s="5" t="str">
        <f aca="false">設定!$D$50&amp;""</f>
        <v>2109001017</v>
      </c>
      <c r="G220" s="5" t="str">
        <f aca="false">設定!$E$50&amp;""</f>
        <v>経過的負担金</v>
      </c>
      <c r="H220" s="5" t="n">
        <f aca="false">IF(B220="",0,N(INDEX(報告入力!$BC$7:$BC$696,B220)))</f>
        <v>0</v>
      </c>
      <c r="I220" s="5" t="str">
        <f aca="false">設定!$C$39&amp;""</f>
        <v>1104001001</v>
      </c>
      <c r="J220" s="5" t="str">
        <f aca="false">設定!$D$39&amp;""</f>
        <v>普広銀市役所</v>
      </c>
      <c r="K220" s="5" t="n">
        <f aca="false">IF(AND(H220&lt;&gt;0,IF(設定!$B$6="入金確認済のみ",C220="入金確認済",OR(C220="入金確認済",C220="受領済"))),1,0)</f>
        <v>0</v>
      </c>
      <c r="L220" s="5" t="str">
        <f aca="false">1&amp;"|"&amp;43</f>
        <v>1|43</v>
      </c>
      <c r="M220" s="5" t="n">
        <f aca="false">IF(L220=L219,M219,0)+K220</f>
        <v>0</v>
      </c>
      <c r="N220" s="5" t="n">
        <f aca="false">IF(AND(K220=1,M220=1),1,0)</f>
        <v>0</v>
      </c>
      <c r="O220" s="5" t="str">
        <f aca="false">IF(K220=1,MAX($O$5:O219)+1,"")</f>
        <v/>
      </c>
      <c r="P220" s="5" t="str">
        <f aca="false">IF(K220=1,SUM($N$6:N220),"")</f>
        <v/>
      </c>
      <c r="Q220" s="5" t="str">
        <f aca="false">IF(K220=1,SUMIFS($H$6:$H$511,$L$6:$L$511,L220,$K$6:$K$511,1),"")</f>
        <v/>
      </c>
      <c r="R220" s="103" t="str">
        <f aca="false">IF(B220="","",IF(INDEX(報告入力!$AB$7:$AB$696,B220)="","",INDEX(報告入力!$AB$7:$AB$696,B220)))</f>
        <v/>
      </c>
      <c r="S220" s="5" t="str">
        <f aca="false">設定!$C$50</f>
        <v>長期：経過的長期</v>
      </c>
    </row>
    <row r="221" customFormat="false" ht="15" hidden="false" customHeight="false" outlineLevel="0" collapsed="false">
      <c r="A221" s="5" t="str">
        <f aca="false">設定!B104</f>
        <v>病院労働組合</v>
      </c>
      <c r="B221" s="5" t="n">
        <f aca="false">IFERROR(MATCH(ホーム!$C$4&amp;"|"&amp;A221,報告入力!$CM$7:$CM$696,0),"")</f>
        <v>366</v>
      </c>
      <c r="C221" s="5" t="str">
        <f aca="false">IF(B221="","",INDEX(報告入力!$C$7:$C$696,B221))</f>
        <v>受領済</v>
      </c>
      <c r="D221" s="5" t="str">
        <f aca="false">設定!$A$39</f>
        <v>長期（厚生年金保険経理）</v>
      </c>
      <c r="E221" s="5" t="str">
        <f aca="false">設定!$B$39&amp;""</f>
        <v>130</v>
      </c>
      <c r="F221" s="5" t="str">
        <f aca="false">設定!$D$46&amp;""</f>
        <v>6102102000</v>
      </c>
      <c r="G221" s="5" t="str">
        <f aca="false">設定!$E$46&amp;""</f>
        <v>標月額保険料</v>
      </c>
      <c r="H221" s="5" t="n">
        <f aca="false">IF(B221="",0,N(INDEX(報告入力!$AY$7:$AY$696,B221)))</f>
        <v>29280</v>
      </c>
      <c r="I221" s="5" t="str">
        <f aca="false">設定!$C$39&amp;""</f>
        <v>1104001001</v>
      </c>
      <c r="J221" s="5" t="str">
        <f aca="false">設定!$D$39&amp;""</f>
        <v>普広銀市役所</v>
      </c>
      <c r="K221" s="5" t="n">
        <f aca="false">IF(AND(H221&lt;&gt;0,IF(設定!$B$6="入金確認済のみ",C221="入金確認済",OR(C221="入金確認済",C221="受領済"))),1,0)</f>
        <v>0</v>
      </c>
      <c r="L221" s="5" t="str">
        <f aca="false">1&amp;"|"&amp;44</f>
        <v>1|44</v>
      </c>
      <c r="M221" s="5" t="n">
        <f aca="false">IF(L221=L220,M220,0)+K221</f>
        <v>0</v>
      </c>
      <c r="N221" s="5" t="n">
        <f aca="false">IF(AND(K221=1,M221=1),1,0)</f>
        <v>0</v>
      </c>
      <c r="O221" s="5" t="str">
        <f aca="false">IF(K221=1,MAX($O$5:O220)+1,"")</f>
        <v/>
      </c>
      <c r="P221" s="5" t="str">
        <f aca="false">IF(K221=1,SUM($N$6:N221),"")</f>
        <v/>
      </c>
      <c r="Q221" s="5" t="str">
        <f aca="false">IF(K221=1,SUMIFS($H$6:$H$511,$L$6:$L$511,L221,$K$6:$K$511,1),"")</f>
        <v/>
      </c>
      <c r="R221" s="103" t="str">
        <f aca="false">IF(B221="","",IF(INDEX(報告入力!$AB$7:$AB$696,B221)="","",INDEX(報告入力!$AB$7:$AB$696,B221)))</f>
        <v/>
      </c>
      <c r="S221" s="5" t="str">
        <f aca="false">設定!$C$46</f>
        <v>長期：厚生年金保険料（組合員負担分）</v>
      </c>
    </row>
    <row r="222" customFormat="false" ht="15" hidden="false" customHeight="false" outlineLevel="0" collapsed="false">
      <c r="A222" s="5" t="str">
        <f aca="false">設定!B104</f>
        <v>病院労働組合</v>
      </c>
      <c r="B222" s="5" t="n">
        <f aca="false">IFERROR(MATCH(ホーム!$C$4&amp;"|"&amp;A222,報告入力!$CM$7:$CM$696,0),"")</f>
        <v>366</v>
      </c>
      <c r="C222" s="5" t="str">
        <f aca="false">IF(B222="","",INDEX(報告入力!$C$7:$C$696,B222))</f>
        <v>受領済</v>
      </c>
      <c r="D222" s="5" t="str">
        <f aca="false">設定!$A$39</f>
        <v>長期（厚生年金保険経理）</v>
      </c>
      <c r="E222" s="5" t="str">
        <f aca="false">設定!$B$39&amp;""</f>
        <v>130</v>
      </c>
      <c r="F222" s="5" t="str">
        <f aca="false">設定!$D$47&amp;""</f>
        <v>2109001014</v>
      </c>
      <c r="G222" s="5" t="str">
        <f aca="false">設定!$E$47&amp;""</f>
        <v>退職標報掛金</v>
      </c>
      <c r="H222" s="5" t="n">
        <f aca="false">IF(B222="",0,N(INDEX(報告入力!$AZ$7:$AZ$696,B222)))</f>
        <v>2400</v>
      </c>
      <c r="I222" s="5" t="str">
        <f aca="false">設定!$C$39&amp;""</f>
        <v>1104001001</v>
      </c>
      <c r="J222" s="5" t="str">
        <f aca="false">設定!$D$39&amp;""</f>
        <v>普広銀市役所</v>
      </c>
      <c r="K222" s="5" t="n">
        <f aca="false">IF(AND(H222&lt;&gt;0,IF(設定!$B$6="入金確認済のみ",C222="入金確認済",OR(C222="入金確認済",C222="受領済"))),1,0)</f>
        <v>0</v>
      </c>
      <c r="L222" s="5" t="str">
        <f aca="false">1&amp;"|"&amp;44</f>
        <v>1|44</v>
      </c>
      <c r="M222" s="5" t="n">
        <f aca="false">IF(L222=L221,M221,0)+K222</f>
        <v>0</v>
      </c>
      <c r="N222" s="5" t="n">
        <f aca="false">IF(AND(K222=1,M222=1),1,0)</f>
        <v>0</v>
      </c>
      <c r="O222" s="5" t="str">
        <f aca="false">IF(K222=1,MAX($O$5:O221)+1,"")</f>
        <v/>
      </c>
      <c r="P222" s="5" t="str">
        <f aca="false">IF(K222=1,SUM($N$6:N222),"")</f>
        <v/>
      </c>
      <c r="Q222" s="5" t="str">
        <f aca="false">IF(K222=1,SUMIFS($H$6:$H$511,$L$6:$L$511,L222,$K$6:$K$511,1),"")</f>
        <v/>
      </c>
      <c r="R222" s="103" t="str">
        <f aca="false">IF(B222="","",IF(INDEX(報告入力!$AB$7:$AB$696,B222)="","",INDEX(報告入力!$AB$7:$AB$696,B222)))</f>
        <v/>
      </c>
      <c r="S222" s="5" t="str">
        <f aca="false">設定!$C$47</f>
        <v>長期：退職等年金掛金</v>
      </c>
    </row>
    <row r="223" customFormat="false" ht="15" hidden="false" customHeight="false" outlineLevel="0" collapsed="false">
      <c r="A223" s="5" t="str">
        <f aca="false">設定!B104</f>
        <v>病院労働組合</v>
      </c>
      <c r="B223" s="5" t="n">
        <f aca="false">IFERROR(MATCH(ホーム!$C$4&amp;"|"&amp;A223,報告入力!$CM$7:$CM$696,0),"")</f>
        <v>366</v>
      </c>
      <c r="C223" s="5" t="str">
        <f aca="false">IF(B223="","",INDEX(報告入力!$C$7:$C$696,B223))</f>
        <v>受領済</v>
      </c>
      <c r="D223" s="5" t="str">
        <f aca="false">設定!$A$39</f>
        <v>長期（厚生年金保険経理）</v>
      </c>
      <c r="E223" s="5" t="str">
        <f aca="false">設定!$B$39&amp;""</f>
        <v>130</v>
      </c>
      <c r="F223" s="5" t="str">
        <f aca="false">設定!$D$48&amp;""</f>
        <v>6101002000</v>
      </c>
      <c r="G223" s="5" t="str">
        <f aca="false">設定!$E$48&amp;""</f>
        <v>負担地方公共</v>
      </c>
      <c r="H223" s="5" t="n">
        <f aca="false">IF(B223="",0,N(INDEX(報告入力!$BA$7:$BA$696,B223)))</f>
        <v>29280</v>
      </c>
      <c r="I223" s="5" t="str">
        <f aca="false">設定!$C$39&amp;""</f>
        <v>1104001001</v>
      </c>
      <c r="J223" s="5" t="str">
        <f aca="false">設定!$D$39&amp;""</f>
        <v>普広銀市役所</v>
      </c>
      <c r="K223" s="5" t="n">
        <f aca="false">IF(AND(H223&lt;&gt;0,IF(設定!$B$6="入金確認済のみ",C223="入金確認済",OR(C223="入金確認済",C223="受領済"))),1,0)</f>
        <v>0</v>
      </c>
      <c r="L223" s="5" t="str">
        <f aca="false">1&amp;"|"&amp;44</f>
        <v>1|44</v>
      </c>
      <c r="M223" s="5" t="n">
        <f aca="false">IF(L223=L222,M222,0)+K223</f>
        <v>0</v>
      </c>
      <c r="N223" s="5" t="n">
        <f aca="false">IF(AND(K223=1,M223=1),1,0)</f>
        <v>0</v>
      </c>
      <c r="O223" s="5" t="str">
        <f aca="false">IF(K223=1,MAX($O$5:O222)+1,"")</f>
        <v/>
      </c>
      <c r="P223" s="5" t="str">
        <f aca="false">IF(K223=1,SUM($N$6:N223),"")</f>
        <v/>
      </c>
      <c r="Q223" s="5" t="str">
        <f aca="false">IF(K223=1,SUMIFS($H$6:$H$511,$L$6:$L$511,L223,$K$6:$K$511,1),"")</f>
        <v/>
      </c>
      <c r="R223" s="103" t="str">
        <f aca="false">IF(B223="","",IF(INDEX(報告入力!$AB$7:$AB$696,B223)="","",INDEX(報告入力!$AB$7:$AB$696,B223)))</f>
        <v/>
      </c>
      <c r="S223" s="5" t="str">
        <f aca="false">設定!$C$48</f>
        <v>長期：厚生年金保険料（事業主負担分）</v>
      </c>
    </row>
    <row r="224" customFormat="false" ht="15" hidden="false" customHeight="false" outlineLevel="0" collapsed="false">
      <c r="A224" s="5" t="str">
        <f aca="false">設定!B104</f>
        <v>病院労働組合</v>
      </c>
      <c r="B224" s="5" t="n">
        <f aca="false">IFERROR(MATCH(ホーム!$C$4&amp;"|"&amp;A224,報告入力!$CM$7:$CM$696,0),"")</f>
        <v>366</v>
      </c>
      <c r="C224" s="5" t="str">
        <f aca="false">IF(B224="","",INDEX(報告入力!$C$7:$C$696,B224))</f>
        <v>受領済</v>
      </c>
      <c r="D224" s="5" t="str">
        <f aca="false">設定!$A$39</f>
        <v>長期（厚生年金保険経理）</v>
      </c>
      <c r="E224" s="5" t="str">
        <f aca="false">設定!$B$39&amp;""</f>
        <v>130</v>
      </c>
      <c r="F224" s="5" t="str">
        <f aca="false">設定!$D$49&amp;""</f>
        <v>2109001015</v>
      </c>
      <c r="G224" s="5" t="str">
        <f aca="false">設定!$E$49&amp;""</f>
        <v>退職負担地方</v>
      </c>
      <c r="H224" s="5" t="n">
        <f aca="false">IF(B224="",0,N(INDEX(報告入力!$BB$7:$BB$696,B224)))</f>
        <v>2400</v>
      </c>
      <c r="I224" s="5" t="str">
        <f aca="false">設定!$C$39&amp;""</f>
        <v>1104001001</v>
      </c>
      <c r="J224" s="5" t="str">
        <f aca="false">設定!$D$39&amp;""</f>
        <v>普広銀市役所</v>
      </c>
      <c r="K224" s="5" t="n">
        <f aca="false">IF(AND(H224&lt;&gt;0,IF(設定!$B$6="入金確認済のみ",C224="入金確認済",OR(C224="入金確認済",C224="受領済"))),1,0)</f>
        <v>0</v>
      </c>
      <c r="L224" s="5" t="str">
        <f aca="false">1&amp;"|"&amp;44</f>
        <v>1|44</v>
      </c>
      <c r="M224" s="5" t="n">
        <f aca="false">IF(L224=L223,M223,0)+K224</f>
        <v>0</v>
      </c>
      <c r="N224" s="5" t="n">
        <f aca="false">IF(AND(K224=1,M224=1),1,0)</f>
        <v>0</v>
      </c>
      <c r="O224" s="5" t="str">
        <f aca="false">IF(K224=1,MAX($O$5:O223)+1,"")</f>
        <v/>
      </c>
      <c r="P224" s="5" t="str">
        <f aca="false">IF(K224=1,SUM($N$6:N224),"")</f>
        <v/>
      </c>
      <c r="Q224" s="5" t="str">
        <f aca="false">IF(K224=1,SUMIFS($H$6:$H$511,$L$6:$L$511,L224,$K$6:$K$511,1),"")</f>
        <v/>
      </c>
      <c r="R224" s="103" t="str">
        <f aca="false">IF(B224="","",IF(INDEX(報告入力!$AB$7:$AB$696,B224)="","",INDEX(報告入力!$AB$7:$AB$696,B224)))</f>
        <v/>
      </c>
      <c r="S224" s="5" t="str">
        <f aca="false">設定!$C$49</f>
        <v>長期：退職等年金負担金</v>
      </c>
    </row>
    <row r="225" customFormat="false" ht="15" hidden="false" customHeight="false" outlineLevel="0" collapsed="false">
      <c r="A225" s="5" t="str">
        <f aca="false">設定!B104</f>
        <v>病院労働組合</v>
      </c>
      <c r="B225" s="5" t="n">
        <f aca="false">IFERROR(MATCH(ホーム!$C$4&amp;"|"&amp;A225,報告入力!$CM$7:$CM$696,0),"")</f>
        <v>366</v>
      </c>
      <c r="C225" s="5" t="str">
        <f aca="false">IF(B225="","",INDEX(報告入力!$C$7:$C$696,B225))</f>
        <v>受領済</v>
      </c>
      <c r="D225" s="5" t="str">
        <f aca="false">設定!$A$39</f>
        <v>長期（厚生年金保険経理）</v>
      </c>
      <c r="E225" s="5" t="str">
        <f aca="false">設定!$B$39&amp;""</f>
        <v>130</v>
      </c>
      <c r="F225" s="5" t="str">
        <f aca="false">設定!$D$50&amp;""</f>
        <v>2109001017</v>
      </c>
      <c r="G225" s="5" t="str">
        <f aca="false">設定!$E$50&amp;""</f>
        <v>経過的負担金</v>
      </c>
      <c r="H225" s="5" t="n">
        <f aca="false">IF(B225="",0,N(INDEX(報告入力!$BC$7:$BC$696,B225)))</f>
        <v>0</v>
      </c>
      <c r="I225" s="5" t="str">
        <f aca="false">設定!$C$39&amp;""</f>
        <v>1104001001</v>
      </c>
      <c r="J225" s="5" t="str">
        <f aca="false">設定!$D$39&amp;""</f>
        <v>普広銀市役所</v>
      </c>
      <c r="K225" s="5" t="n">
        <f aca="false">IF(AND(H225&lt;&gt;0,IF(設定!$B$6="入金確認済のみ",C225="入金確認済",OR(C225="入金確認済",C225="受領済"))),1,0)</f>
        <v>0</v>
      </c>
      <c r="L225" s="5" t="str">
        <f aca="false">1&amp;"|"&amp;44</f>
        <v>1|44</v>
      </c>
      <c r="M225" s="5" t="n">
        <f aca="false">IF(L225=L224,M224,0)+K225</f>
        <v>0</v>
      </c>
      <c r="N225" s="5" t="n">
        <f aca="false">IF(AND(K225=1,M225=1),1,0)</f>
        <v>0</v>
      </c>
      <c r="O225" s="5" t="str">
        <f aca="false">IF(K225=1,MAX($O$5:O224)+1,"")</f>
        <v/>
      </c>
      <c r="P225" s="5" t="str">
        <f aca="false">IF(K225=1,SUM($N$6:N225),"")</f>
        <v/>
      </c>
      <c r="Q225" s="5" t="str">
        <f aca="false">IF(K225=1,SUMIFS($H$6:$H$511,$L$6:$L$511,L225,$K$6:$K$511,1),"")</f>
        <v/>
      </c>
      <c r="R225" s="103" t="str">
        <f aca="false">IF(B225="","",IF(INDEX(報告入力!$AB$7:$AB$696,B225)="","",INDEX(報告入力!$AB$7:$AB$696,B225)))</f>
        <v/>
      </c>
      <c r="S225" s="5" t="str">
        <f aca="false">設定!$C$50</f>
        <v>長期：経過的長期</v>
      </c>
    </row>
    <row r="226" customFormat="false" ht="15" hidden="false" customHeight="false" outlineLevel="0" collapsed="false">
      <c r="A226" s="5" t="str">
        <f aca="false">設定!B105</f>
        <v>水道労働組合</v>
      </c>
      <c r="B226" s="5" t="n">
        <f aca="false">IFERROR(MATCH(ホーム!$C$4&amp;"|"&amp;A226,報告入力!$CM$7:$CM$696,0),"")</f>
        <v>367</v>
      </c>
      <c r="C226" s="5" t="str">
        <f aca="false">IF(B226="","",INDEX(報告入力!$C$7:$C$696,B226))</f>
        <v>報告なし</v>
      </c>
      <c r="D226" s="5" t="str">
        <f aca="false">設定!$A$39</f>
        <v>長期（厚生年金保険経理）</v>
      </c>
      <c r="E226" s="5" t="str">
        <f aca="false">設定!$B$39&amp;""</f>
        <v>130</v>
      </c>
      <c r="F226" s="5" t="str">
        <f aca="false">設定!$D$46&amp;""</f>
        <v>6102102000</v>
      </c>
      <c r="G226" s="5" t="str">
        <f aca="false">設定!$E$46&amp;""</f>
        <v>標月額保険料</v>
      </c>
      <c r="H226" s="5" t="n">
        <f aca="false">IF(B226="",0,N(INDEX(報告入力!$AY$7:$AY$696,B226)))</f>
        <v>0</v>
      </c>
      <c r="I226" s="5" t="str">
        <f aca="false">設定!$C$39&amp;""</f>
        <v>1104001001</v>
      </c>
      <c r="J226" s="5" t="str">
        <f aca="false">設定!$D$39&amp;""</f>
        <v>普広銀市役所</v>
      </c>
      <c r="K226" s="5" t="n">
        <f aca="false">IF(AND(H226&lt;&gt;0,IF(設定!$B$6="入金確認済のみ",C226="入金確認済",OR(C226="入金確認済",C226="受領済"))),1,0)</f>
        <v>0</v>
      </c>
      <c r="L226" s="5" t="str">
        <f aca="false">1&amp;"|"&amp;45</f>
        <v>1|45</v>
      </c>
      <c r="M226" s="5" t="n">
        <f aca="false">IF(L226=L225,M225,0)+K226</f>
        <v>0</v>
      </c>
      <c r="N226" s="5" t="n">
        <f aca="false">IF(AND(K226=1,M226=1),1,0)</f>
        <v>0</v>
      </c>
      <c r="O226" s="5" t="str">
        <f aca="false">IF(K226=1,MAX($O$5:O225)+1,"")</f>
        <v/>
      </c>
      <c r="P226" s="5" t="str">
        <f aca="false">IF(K226=1,SUM($N$6:N226),"")</f>
        <v/>
      </c>
      <c r="Q226" s="5" t="str">
        <f aca="false">IF(K226=1,SUMIFS($H$6:$H$511,$L$6:$L$511,L226,$K$6:$K$511,1),"")</f>
        <v/>
      </c>
      <c r="R226" s="103" t="str">
        <f aca="false">IF(B226="","",IF(INDEX(報告入力!$AB$7:$AB$696,B226)="","",INDEX(報告入力!$AB$7:$AB$696,B226)))</f>
        <v/>
      </c>
      <c r="S226" s="5" t="str">
        <f aca="false">設定!$C$46</f>
        <v>長期：厚生年金保険料（組合員負担分）</v>
      </c>
    </row>
    <row r="227" customFormat="false" ht="15" hidden="false" customHeight="false" outlineLevel="0" collapsed="false">
      <c r="A227" s="5" t="str">
        <f aca="false">設定!B105</f>
        <v>水道労働組合</v>
      </c>
      <c r="B227" s="5" t="n">
        <f aca="false">IFERROR(MATCH(ホーム!$C$4&amp;"|"&amp;A227,報告入力!$CM$7:$CM$696,0),"")</f>
        <v>367</v>
      </c>
      <c r="C227" s="5" t="str">
        <f aca="false">IF(B227="","",INDEX(報告入力!$C$7:$C$696,B227))</f>
        <v>報告なし</v>
      </c>
      <c r="D227" s="5" t="str">
        <f aca="false">設定!$A$39</f>
        <v>長期（厚生年金保険経理）</v>
      </c>
      <c r="E227" s="5" t="str">
        <f aca="false">設定!$B$39&amp;""</f>
        <v>130</v>
      </c>
      <c r="F227" s="5" t="str">
        <f aca="false">設定!$D$47&amp;""</f>
        <v>2109001014</v>
      </c>
      <c r="G227" s="5" t="str">
        <f aca="false">設定!$E$47&amp;""</f>
        <v>退職標報掛金</v>
      </c>
      <c r="H227" s="5" t="n">
        <f aca="false">IF(B227="",0,N(INDEX(報告入力!$AZ$7:$AZ$696,B227)))</f>
        <v>0</v>
      </c>
      <c r="I227" s="5" t="str">
        <f aca="false">設定!$C$39&amp;""</f>
        <v>1104001001</v>
      </c>
      <c r="J227" s="5" t="str">
        <f aca="false">設定!$D$39&amp;""</f>
        <v>普広銀市役所</v>
      </c>
      <c r="K227" s="5" t="n">
        <f aca="false">IF(AND(H227&lt;&gt;0,IF(設定!$B$6="入金確認済のみ",C227="入金確認済",OR(C227="入金確認済",C227="受領済"))),1,0)</f>
        <v>0</v>
      </c>
      <c r="L227" s="5" t="str">
        <f aca="false">1&amp;"|"&amp;45</f>
        <v>1|45</v>
      </c>
      <c r="M227" s="5" t="n">
        <f aca="false">IF(L227=L226,M226,0)+K227</f>
        <v>0</v>
      </c>
      <c r="N227" s="5" t="n">
        <f aca="false">IF(AND(K227=1,M227=1),1,0)</f>
        <v>0</v>
      </c>
      <c r="O227" s="5" t="str">
        <f aca="false">IF(K227=1,MAX($O$5:O226)+1,"")</f>
        <v/>
      </c>
      <c r="P227" s="5" t="str">
        <f aca="false">IF(K227=1,SUM($N$6:N227),"")</f>
        <v/>
      </c>
      <c r="Q227" s="5" t="str">
        <f aca="false">IF(K227=1,SUMIFS($H$6:$H$511,$L$6:$L$511,L227,$K$6:$K$511,1),"")</f>
        <v/>
      </c>
      <c r="R227" s="103" t="str">
        <f aca="false">IF(B227="","",IF(INDEX(報告入力!$AB$7:$AB$696,B227)="","",INDEX(報告入力!$AB$7:$AB$696,B227)))</f>
        <v/>
      </c>
      <c r="S227" s="5" t="str">
        <f aca="false">設定!$C$47</f>
        <v>長期：退職等年金掛金</v>
      </c>
    </row>
    <row r="228" customFormat="false" ht="15" hidden="false" customHeight="false" outlineLevel="0" collapsed="false">
      <c r="A228" s="5" t="str">
        <f aca="false">設定!B105</f>
        <v>水道労働組合</v>
      </c>
      <c r="B228" s="5" t="n">
        <f aca="false">IFERROR(MATCH(ホーム!$C$4&amp;"|"&amp;A228,報告入力!$CM$7:$CM$696,0),"")</f>
        <v>367</v>
      </c>
      <c r="C228" s="5" t="str">
        <f aca="false">IF(B228="","",INDEX(報告入力!$C$7:$C$696,B228))</f>
        <v>報告なし</v>
      </c>
      <c r="D228" s="5" t="str">
        <f aca="false">設定!$A$39</f>
        <v>長期（厚生年金保険経理）</v>
      </c>
      <c r="E228" s="5" t="str">
        <f aca="false">設定!$B$39&amp;""</f>
        <v>130</v>
      </c>
      <c r="F228" s="5" t="str">
        <f aca="false">設定!$D$48&amp;""</f>
        <v>6101002000</v>
      </c>
      <c r="G228" s="5" t="str">
        <f aca="false">設定!$E$48&amp;""</f>
        <v>負担地方公共</v>
      </c>
      <c r="H228" s="5" t="n">
        <f aca="false">IF(B228="",0,N(INDEX(報告入力!$BA$7:$BA$696,B228)))</f>
        <v>0</v>
      </c>
      <c r="I228" s="5" t="str">
        <f aca="false">設定!$C$39&amp;""</f>
        <v>1104001001</v>
      </c>
      <c r="J228" s="5" t="str">
        <f aca="false">設定!$D$39&amp;""</f>
        <v>普広銀市役所</v>
      </c>
      <c r="K228" s="5" t="n">
        <f aca="false">IF(AND(H228&lt;&gt;0,IF(設定!$B$6="入金確認済のみ",C228="入金確認済",OR(C228="入金確認済",C228="受領済"))),1,0)</f>
        <v>0</v>
      </c>
      <c r="L228" s="5" t="str">
        <f aca="false">1&amp;"|"&amp;45</f>
        <v>1|45</v>
      </c>
      <c r="M228" s="5" t="n">
        <f aca="false">IF(L228=L227,M227,0)+K228</f>
        <v>0</v>
      </c>
      <c r="N228" s="5" t="n">
        <f aca="false">IF(AND(K228=1,M228=1),1,0)</f>
        <v>0</v>
      </c>
      <c r="O228" s="5" t="str">
        <f aca="false">IF(K228=1,MAX($O$5:O227)+1,"")</f>
        <v/>
      </c>
      <c r="P228" s="5" t="str">
        <f aca="false">IF(K228=1,SUM($N$6:N228),"")</f>
        <v/>
      </c>
      <c r="Q228" s="5" t="str">
        <f aca="false">IF(K228=1,SUMIFS($H$6:$H$511,$L$6:$L$511,L228,$K$6:$K$511,1),"")</f>
        <v/>
      </c>
      <c r="R228" s="103" t="str">
        <f aca="false">IF(B228="","",IF(INDEX(報告入力!$AB$7:$AB$696,B228)="","",INDEX(報告入力!$AB$7:$AB$696,B228)))</f>
        <v/>
      </c>
      <c r="S228" s="5" t="str">
        <f aca="false">設定!$C$48</f>
        <v>長期：厚生年金保険料（事業主負担分）</v>
      </c>
    </row>
    <row r="229" customFormat="false" ht="15" hidden="false" customHeight="false" outlineLevel="0" collapsed="false">
      <c r="A229" s="5" t="str">
        <f aca="false">設定!B105</f>
        <v>水道労働組合</v>
      </c>
      <c r="B229" s="5" t="n">
        <f aca="false">IFERROR(MATCH(ホーム!$C$4&amp;"|"&amp;A229,報告入力!$CM$7:$CM$696,0),"")</f>
        <v>367</v>
      </c>
      <c r="C229" s="5" t="str">
        <f aca="false">IF(B229="","",INDEX(報告入力!$C$7:$C$696,B229))</f>
        <v>報告なし</v>
      </c>
      <c r="D229" s="5" t="str">
        <f aca="false">設定!$A$39</f>
        <v>長期（厚生年金保険経理）</v>
      </c>
      <c r="E229" s="5" t="str">
        <f aca="false">設定!$B$39&amp;""</f>
        <v>130</v>
      </c>
      <c r="F229" s="5" t="str">
        <f aca="false">設定!$D$49&amp;""</f>
        <v>2109001015</v>
      </c>
      <c r="G229" s="5" t="str">
        <f aca="false">設定!$E$49&amp;""</f>
        <v>退職負担地方</v>
      </c>
      <c r="H229" s="5" t="n">
        <f aca="false">IF(B229="",0,N(INDEX(報告入力!$BB$7:$BB$696,B229)))</f>
        <v>0</v>
      </c>
      <c r="I229" s="5" t="str">
        <f aca="false">設定!$C$39&amp;""</f>
        <v>1104001001</v>
      </c>
      <c r="J229" s="5" t="str">
        <f aca="false">設定!$D$39&amp;""</f>
        <v>普広銀市役所</v>
      </c>
      <c r="K229" s="5" t="n">
        <f aca="false">IF(AND(H229&lt;&gt;0,IF(設定!$B$6="入金確認済のみ",C229="入金確認済",OR(C229="入金確認済",C229="受領済"))),1,0)</f>
        <v>0</v>
      </c>
      <c r="L229" s="5" t="str">
        <f aca="false">1&amp;"|"&amp;45</f>
        <v>1|45</v>
      </c>
      <c r="M229" s="5" t="n">
        <f aca="false">IF(L229=L228,M228,0)+K229</f>
        <v>0</v>
      </c>
      <c r="N229" s="5" t="n">
        <f aca="false">IF(AND(K229=1,M229=1),1,0)</f>
        <v>0</v>
      </c>
      <c r="O229" s="5" t="str">
        <f aca="false">IF(K229=1,MAX($O$5:O228)+1,"")</f>
        <v/>
      </c>
      <c r="P229" s="5" t="str">
        <f aca="false">IF(K229=1,SUM($N$6:N229),"")</f>
        <v/>
      </c>
      <c r="Q229" s="5" t="str">
        <f aca="false">IF(K229=1,SUMIFS($H$6:$H$511,$L$6:$L$511,L229,$K$6:$K$511,1),"")</f>
        <v/>
      </c>
      <c r="R229" s="103" t="str">
        <f aca="false">IF(B229="","",IF(INDEX(報告入力!$AB$7:$AB$696,B229)="","",INDEX(報告入力!$AB$7:$AB$696,B229)))</f>
        <v/>
      </c>
      <c r="S229" s="5" t="str">
        <f aca="false">設定!$C$49</f>
        <v>長期：退職等年金負担金</v>
      </c>
    </row>
    <row r="230" customFormat="false" ht="15" hidden="false" customHeight="false" outlineLevel="0" collapsed="false">
      <c r="A230" s="5" t="str">
        <f aca="false">設定!B105</f>
        <v>水道労働組合</v>
      </c>
      <c r="B230" s="5" t="n">
        <f aca="false">IFERROR(MATCH(ホーム!$C$4&amp;"|"&amp;A230,報告入力!$CM$7:$CM$696,0),"")</f>
        <v>367</v>
      </c>
      <c r="C230" s="5" t="str">
        <f aca="false">IF(B230="","",INDEX(報告入力!$C$7:$C$696,B230))</f>
        <v>報告なし</v>
      </c>
      <c r="D230" s="5" t="str">
        <f aca="false">設定!$A$39</f>
        <v>長期（厚生年金保険経理）</v>
      </c>
      <c r="E230" s="5" t="str">
        <f aca="false">設定!$B$39&amp;""</f>
        <v>130</v>
      </c>
      <c r="F230" s="5" t="str">
        <f aca="false">設定!$D$50&amp;""</f>
        <v>2109001017</v>
      </c>
      <c r="G230" s="5" t="str">
        <f aca="false">設定!$E$50&amp;""</f>
        <v>経過的負担金</v>
      </c>
      <c r="H230" s="5" t="n">
        <f aca="false">IF(B230="",0,N(INDEX(報告入力!$BC$7:$BC$696,B230)))</f>
        <v>0</v>
      </c>
      <c r="I230" s="5" t="str">
        <f aca="false">設定!$C$39&amp;""</f>
        <v>1104001001</v>
      </c>
      <c r="J230" s="5" t="str">
        <f aca="false">設定!$D$39&amp;""</f>
        <v>普広銀市役所</v>
      </c>
      <c r="K230" s="5" t="n">
        <f aca="false">IF(AND(H230&lt;&gt;0,IF(設定!$B$6="入金確認済のみ",C230="入金確認済",OR(C230="入金確認済",C230="受領済"))),1,0)</f>
        <v>0</v>
      </c>
      <c r="L230" s="5" t="str">
        <f aca="false">1&amp;"|"&amp;45</f>
        <v>1|45</v>
      </c>
      <c r="M230" s="5" t="n">
        <f aca="false">IF(L230=L229,M229,0)+K230</f>
        <v>0</v>
      </c>
      <c r="N230" s="5" t="n">
        <f aca="false">IF(AND(K230=1,M230=1),1,0)</f>
        <v>0</v>
      </c>
      <c r="O230" s="5" t="str">
        <f aca="false">IF(K230=1,MAX($O$5:O229)+1,"")</f>
        <v/>
      </c>
      <c r="P230" s="5" t="str">
        <f aca="false">IF(K230=1,SUM($N$6:N230),"")</f>
        <v/>
      </c>
      <c r="Q230" s="5" t="str">
        <f aca="false">IF(K230=1,SUMIFS($H$6:$H$511,$L$6:$L$511,L230,$K$6:$K$511,1),"")</f>
        <v/>
      </c>
      <c r="R230" s="103" t="str">
        <f aca="false">IF(B230="","",IF(INDEX(報告入力!$AB$7:$AB$696,B230)="","",INDEX(報告入力!$AB$7:$AB$696,B230)))</f>
        <v/>
      </c>
      <c r="S230" s="5" t="str">
        <f aca="false">設定!$C$50</f>
        <v>長期：経過的長期</v>
      </c>
    </row>
    <row r="231" customFormat="false" ht="15" hidden="false" customHeight="false" outlineLevel="0" collapsed="false">
      <c r="A231" s="5" t="str">
        <f aca="false">設定!B106</f>
        <v>任意継続組合員</v>
      </c>
      <c r="B231" s="5" t="n">
        <f aca="false">IFERROR(MATCH(ホーム!$C$4&amp;"|"&amp;A231,報告入力!$CM$7:$CM$696,0),"")</f>
        <v>368</v>
      </c>
      <c r="C231" s="5" t="str">
        <f aca="false">IF(B231="","",INDEX(報告入力!$C$7:$C$696,B231))</f>
        <v>未受領</v>
      </c>
      <c r="D231" s="5" t="str">
        <f aca="false">設定!$A$39</f>
        <v>長期（厚生年金保険経理）</v>
      </c>
      <c r="E231" s="5" t="str">
        <f aca="false">設定!$B$39&amp;""</f>
        <v>130</v>
      </c>
      <c r="F231" s="5" t="str">
        <f aca="false">設定!$D$46&amp;""</f>
        <v>6102102000</v>
      </c>
      <c r="G231" s="5" t="str">
        <f aca="false">設定!$E$46&amp;""</f>
        <v>標月額保険料</v>
      </c>
      <c r="H231" s="5" t="n">
        <f aca="false">IF(B231="",0,N(INDEX(報告入力!$AY$7:$AY$696,B231)))</f>
        <v>0</v>
      </c>
      <c r="I231" s="5" t="str">
        <f aca="false">設定!$C$39&amp;""</f>
        <v>1104001001</v>
      </c>
      <c r="J231" s="5" t="str">
        <f aca="false">設定!$D$39&amp;""</f>
        <v>普広銀市役所</v>
      </c>
      <c r="K231" s="5" t="n">
        <f aca="false">IF(AND(H231&lt;&gt;0,IF(設定!$B$6="入金確認済のみ",C231="入金確認済",OR(C231="入金確認済",C231="受領済"))),1,0)</f>
        <v>0</v>
      </c>
      <c r="L231" s="5" t="str">
        <f aca="false">1&amp;"|"&amp;46</f>
        <v>1|46</v>
      </c>
      <c r="M231" s="5" t="n">
        <f aca="false">IF(L231=L230,M230,0)+K231</f>
        <v>0</v>
      </c>
      <c r="N231" s="5" t="n">
        <f aca="false">IF(AND(K231=1,M231=1),1,0)</f>
        <v>0</v>
      </c>
      <c r="O231" s="5" t="str">
        <f aca="false">IF(K231=1,MAX($O$5:O230)+1,"")</f>
        <v/>
      </c>
      <c r="P231" s="5" t="str">
        <f aca="false">IF(K231=1,SUM($N$6:N231),"")</f>
        <v/>
      </c>
      <c r="Q231" s="5" t="str">
        <f aca="false">IF(K231=1,SUMIFS($H$6:$H$511,$L$6:$L$511,L231,$K$6:$K$511,1),"")</f>
        <v/>
      </c>
      <c r="R231" s="103" t="str">
        <f aca="false">IF(B231="","",IF(INDEX(報告入力!$AB$7:$AB$696,B231)="","",INDEX(報告入力!$AB$7:$AB$696,B231)))</f>
        <v/>
      </c>
      <c r="S231" s="5" t="str">
        <f aca="false">設定!$C$46</f>
        <v>長期：厚生年金保険料（組合員負担分）</v>
      </c>
    </row>
    <row r="232" customFormat="false" ht="15" hidden="false" customHeight="false" outlineLevel="0" collapsed="false">
      <c r="A232" s="5" t="str">
        <f aca="false">設定!B106</f>
        <v>任意継続組合員</v>
      </c>
      <c r="B232" s="5" t="n">
        <f aca="false">IFERROR(MATCH(ホーム!$C$4&amp;"|"&amp;A232,報告入力!$CM$7:$CM$696,0),"")</f>
        <v>368</v>
      </c>
      <c r="C232" s="5" t="str">
        <f aca="false">IF(B232="","",INDEX(報告入力!$C$7:$C$696,B232))</f>
        <v>未受領</v>
      </c>
      <c r="D232" s="5" t="str">
        <f aca="false">設定!$A$39</f>
        <v>長期（厚生年金保険経理）</v>
      </c>
      <c r="E232" s="5" t="str">
        <f aca="false">設定!$B$39&amp;""</f>
        <v>130</v>
      </c>
      <c r="F232" s="5" t="str">
        <f aca="false">設定!$D$47&amp;""</f>
        <v>2109001014</v>
      </c>
      <c r="G232" s="5" t="str">
        <f aca="false">設定!$E$47&amp;""</f>
        <v>退職標報掛金</v>
      </c>
      <c r="H232" s="5" t="n">
        <f aca="false">IF(B232="",0,N(INDEX(報告入力!$AZ$7:$AZ$696,B232)))</f>
        <v>0</v>
      </c>
      <c r="I232" s="5" t="str">
        <f aca="false">設定!$C$39&amp;""</f>
        <v>1104001001</v>
      </c>
      <c r="J232" s="5" t="str">
        <f aca="false">設定!$D$39&amp;""</f>
        <v>普広銀市役所</v>
      </c>
      <c r="K232" s="5" t="n">
        <f aca="false">IF(AND(H232&lt;&gt;0,IF(設定!$B$6="入金確認済のみ",C232="入金確認済",OR(C232="入金確認済",C232="受領済"))),1,0)</f>
        <v>0</v>
      </c>
      <c r="L232" s="5" t="str">
        <f aca="false">1&amp;"|"&amp;46</f>
        <v>1|46</v>
      </c>
      <c r="M232" s="5" t="n">
        <f aca="false">IF(L232=L231,M231,0)+K232</f>
        <v>0</v>
      </c>
      <c r="N232" s="5" t="n">
        <f aca="false">IF(AND(K232=1,M232=1),1,0)</f>
        <v>0</v>
      </c>
      <c r="O232" s="5" t="str">
        <f aca="false">IF(K232=1,MAX($O$5:O231)+1,"")</f>
        <v/>
      </c>
      <c r="P232" s="5" t="str">
        <f aca="false">IF(K232=1,SUM($N$6:N232),"")</f>
        <v/>
      </c>
      <c r="Q232" s="5" t="str">
        <f aca="false">IF(K232=1,SUMIFS($H$6:$H$511,$L$6:$L$511,L232,$K$6:$K$511,1),"")</f>
        <v/>
      </c>
      <c r="R232" s="103" t="str">
        <f aca="false">IF(B232="","",IF(INDEX(報告入力!$AB$7:$AB$696,B232)="","",INDEX(報告入力!$AB$7:$AB$696,B232)))</f>
        <v/>
      </c>
      <c r="S232" s="5" t="str">
        <f aca="false">設定!$C$47</f>
        <v>長期：退職等年金掛金</v>
      </c>
    </row>
    <row r="233" customFormat="false" ht="15" hidden="false" customHeight="false" outlineLevel="0" collapsed="false">
      <c r="A233" s="5" t="str">
        <f aca="false">設定!B106</f>
        <v>任意継続組合員</v>
      </c>
      <c r="B233" s="5" t="n">
        <f aca="false">IFERROR(MATCH(ホーム!$C$4&amp;"|"&amp;A233,報告入力!$CM$7:$CM$696,0),"")</f>
        <v>368</v>
      </c>
      <c r="C233" s="5" t="str">
        <f aca="false">IF(B233="","",INDEX(報告入力!$C$7:$C$696,B233))</f>
        <v>未受領</v>
      </c>
      <c r="D233" s="5" t="str">
        <f aca="false">設定!$A$39</f>
        <v>長期（厚生年金保険経理）</v>
      </c>
      <c r="E233" s="5" t="str">
        <f aca="false">設定!$B$39&amp;""</f>
        <v>130</v>
      </c>
      <c r="F233" s="5" t="str">
        <f aca="false">設定!$D$48&amp;""</f>
        <v>6101002000</v>
      </c>
      <c r="G233" s="5" t="str">
        <f aca="false">設定!$E$48&amp;""</f>
        <v>負担地方公共</v>
      </c>
      <c r="H233" s="5" t="n">
        <f aca="false">IF(B233="",0,N(INDEX(報告入力!$BA$7:$BA$696,B233)))</f>
        <v>0</v>
      </c>
      <c r="I233" s="5" t="str">
        <f aca="false">設定!$C$39&amp;""</f>
        <v>1104001001</v>
      </c>
      <c r="J233" s="5" t="str">
        <f aca="false">設定!$D$39&amp;""</f>
        <v>普広銀市役所</v>
      </c>
      <c r="K233" s="5" t="n">
        <f aca="false">IF(AND(H233&lt;&gt;0,IF(設定!$B$6="入金確認済のみ",C233="入金確認済",OR(C233="入金確認済",C233="受領済"))),1,0)</f>
        <v>0</v>
      </c>
      <c r="L233" s="5" t="str">
        <f aca="false">1&amp;"|"&amp;46</f>
        <v>1|46</v>
      </c>
      <c r="M233" s="5" t="n">
        <f aca="false">IF(L233=L232,M232,0)+K233</f>
        <v>0</v>
      </c>
      <c r="N233" s="5" t="n">
        <f aca="false">IF(AND(K233=1,M233=1),1,0)</f>
        <v>0</v>
      </c>
      <c r="O233" s="5" t="str">
        <f aca="false">IF(K233=1,MAX($O$5:O232)+1,"")</f>
        <v/>
      </c>
      <c r="P233" s="5" t="str">
        <f aca="false">IF(K233=1,SUM($N$6:N233),"")</f>
        <v/>
      </c>
      <c r="Q233" s="5" t="str">
        <f aca="false">IF(K233=1,SUMIFS($H$6:$H$511,$L$6:$L$511,L233,$K$6:$K$511,1),"")</f>
        <v/>
      </c>
      <c r="R233" s="103" t="str">
        <f aca="false">IF(B233="","",IF(INDEX(報告入力!$AB$7:$AB$696,B233)="","",INDEX(報告入力!$AB$7:$AB$696,B233)))</f>
        <v/>
      </c>
      <c r="S233" s="5" t="str">
        <f aca="false">設定!$C$48</f>
        <v>長期：厚生年金保険料（事業主負担分）</v>
      </c>
    </row>
    <row r="234" customFormat="false" ht="15" hidden="false" customHeight="false" outlineLevel="0" collapsed="false">
      <c r="A234" s="5" t="str">
        <f aca="false">設定!B106</f>
        <v>任意継続組合員</v>
      </c>
      <c r="B234" s="5" t="n">
        <f aca="false">IFERROR(MATCH(ホーム!$C$4&amp;"|"&amp;A234,報告入力!$CM$7:$CM$696,0),"")</f>
        <v>368</v>
      </c>
      <c r="C234" s="5" t="str">
        <f aca="false">IF(B234="","",INDEX(報告入力!$C$7:$C$696,B234))</f>
        <v>未受領</v>
      </c>
      <c r="D234" s="5" t="str">
        <f aca="false">設定!$A$39</f>
        <v>長期（厚生年金保険経理）</v>
      </c>
      <c r="E234" s="5" t="str">
        <f aca="false">設定!$B$39&amp;""</f>
        <v>130</v>
      </c>
      <c r="F234" s="5" t="str">
        <f aca="false">設定!$D$49&amp;""</f>
        <v>2109001015</v>
      </c>
      <c r="G234" s="5" t="str">
        <f aca="false">設定!$E$49&amp;""</f>
        <v>退職負担地方</v>
      </c>
      <c r="H234" s="5" t="n">
        <f aca="false">IF(B234="",0,N(INDEX(報告入力!$BB$7:$BB$696,B234)))</f>
        <v>0</v>
      </c>
      <c r="I234" s="5" t="str">
        <f aca="false">設定!$C$39&amp;""</f>
        <v>1104001001</v>
      </c>
      <c r="J234" s="5" t="str">
        <f aca="false">設定!$D$39&amp;""</f>
        <v>普広銀市役所</v>
      </c>
      <c r="K234" s="5" t="n">
        <f aca="false">IF(AND(H234&lt;&gt;0,IF(設定!$B$6="入金確認済のみ",C234="入金確認済",OR(C234="入金確認済",C234="受領済"))),1,0)</f>
        <v>0</v>
      </c>
      <c r="L234" s="5" t="str">
        <f aca="false">1&amp;"|"&amp;46</f>
        <v>1|46</v>
      </c>
      <c r="M234" s="5" t="n">
        <f aca="false">IF(L234=L233,M233,0)+K234</f>
        <v>0</v>
      </c>
      <c r="N234" s="5" t="n">
        <f aca="false">IF(AND(K234=1,M234=1),1,0)</f>
        <v>0</v>
      </c>
      <c r="O234" s="5" t="str">
        <f aca="false">IF(K234=1,MAX($O$5:O233)+1,"")</f>
        <v/>
      </c>
      <c r="P234" s="5" t="str">
        <f aca="false">IF(K234=1,SUM($N$6:N234),"")</f>
        <v/>
      </c>
      <c r="Q234" s="5" t="str">
        <f aca="false">IF(K234=1,SUMIFS($H$6:$H$511,$L$6:$L$511,L234,$K$6:$K$511,1),"")</f>
        <v/>
      </c>
      <c r="R234" s="103" t="str">
        <f aca="false">IF(B234="","",IF(INDEX(報告入力!$AB$7:$AB$696,B234)="","",INDEX(報告入力!$AB$7:$AB$696,B234)))</f>
        <v/>
      </c>
      <c r="S234" s="5" t="str">
        <f aca="false">設定!$C$49</f>
        <v>長期：退職等年金負担金</v>
      </c>
    </row>
    <row r="235" customFormat="false" ht="15" hidden="false" customHeight="false" outlineLevel="0" collapsed="false">
      <c r="A235" s="5" t="str">
        <f aca="false">設定!B106</f>
        <v>任意継続組合員</v>
      </c>
      <c r="B235" s="5" t="n">
        <f aca="false">IFERROR(MATCH(ホーム!$C$4&amp;"|"&amp;A235,報告入力!$CM$7:$CM$696,0),"")</f>
        <v>368</v>
      </c>
      <c r="C235" s="5" t="str">
        <f aca="false">IF(B235="","",INDEX(報告入力!$C$7:$C$696,B235))</f>
        <v>未受領</v>
      </c>
      <c r="D235" s="5" t="str">
        <f aca="false">設定!$A$39</f>
        <v>長期（厚生年金保険経理）</v>
      </c>
      <c r="E235" s="5" t="str">
        <f aca="false">設定!$B$39&amp;""</f>
        <v>130</v>
      </c>
      <c r="F235" s="5" t="str">
        <f aca="false">設定!$D$50&amp;""</f>
        <v>2109001017</v>
      </c>
      <c r="G235" s="5" t="str">
        <f aca="false">設定!$E$50&amp;""</f>
        <v>経過的負担金</v>
      </c>
      <c r="H235" s="5" t="n">
        <f aca="false">IF(B235="",0,N(INDEX(報告入力!$BC$7:$BC$696,B235)))</f>
        <v>0</v>
      </c>
      <c r="I235" s="5" t="str">
        <f aca="false">設定!$C$39&amp;""</f>
        <v>1104001001</v>
      </c>
      <c r="J235" s="5" t="str">
        <f aca="false">設定!$D$39&amp;""</f>
        <v>普広銀市役所</v>
      </c>
      <c r="K235" s="5" t="n">
        <f aca="false">IF(AND(H235&lt;&gt;0,IF(設定!$B$6="入金確認済のみ",C235="入金確認済",OR(C235="入金確認済",C235="受領済"))),1,0)</f>
        <v>0</v>
      </c>
      <c r="L235" s="5" t="str">
        <f aca="false">1&amp;"|"&amp;46</f>
        <v>1|46</v>
      </c>
      <c r="M235" s="5" t="n">
        <f aca="false">IF(L235=L234,M234,0)+K235</f>
        <v>0</v>
      </c>
      <c r="N235" s="5" t="n">
        <f aca="false">IF(AND(K235=1,M235=1),1,0)</f>
        <v>0</v>
      </c>
      <c r="O235" s="5" t="str">
        <f aca="false">IF(K235=1,MAX($O$5:O234)+1,"")</f>
        <v/>
      </c>
      <c r="P235" s="5" t="str">
        <f aca="false">IF(K235=1,SUM($N$6:N235),"")</f>
        <v/>
      </c>
      <c r="Q235" s="5" t="str">
        <f aca="false">IF(K235=1,SUMIFS($H$6:$H$511,$L$6:$L$511,L235,$K$6:$K$511,1),"")</f>
        <v/>
      </c>
      <c r="R235" s="103" t="str">
        <f aca="false">IF(B235="","",IF(INDEX(報告入力!$AB$7:$AB$696,B235)="","",INDEX(報告入力!$AB$7:$AB$696,B235)))</f>
        <v/>
      </c>
      <c r="S235" s="5" t="str">
        <f aca="false">設定!$C$50</f>
        <v>長期：経過的長期</v>
      </c>
    </row>
    <row r="236" customFormat="false" ht="15" hidden="false" customHeight="false" outlineLevel="0" collapsed="false">
      <c r="A236" s="5" t="str">
        <f aca="false">設定!B61</f>
        <v>市長部局</v>
      </c>
      <c r="B236" s="5" t="n">
        <f aca="false">IFERROR(MATCH(ホーム!$C$4&amp;"|"&amp;A236,報告入力!$CM$7:$CM$696,0),"")</f>
        <v>323</v>
      </c>
      <c r="C236" s="5" t="str">
        <f aca="false">IF(B236="","",INDEX(報告入力!$C$7:$C$696,B236))</f>
        <v>未受領</v>
      </c>
      <c r="D236" s="5" t="str">
        <f aca="false">設定!$A$40</f>
        <v>短期経理</v>
      </c>
      <c r="E236" s="5" t="str">
        <f aca="false">設定!$B$40&amp;""</f>
        <v/>
      </c>
      <c r="F236" s="5" t="str">
        <f aca="false">設定!$D$51&amp;""</f>
        <v/>
      </c>
      <c r="G236" s="5" t="str">
        <f aca="false">設定!$E$51&amp;""</f>
        <v/>
      </c>
      <c r="H236" s="5" t="n">
        <f aca="false">IF(B236="",0,N(INDEX(報告入力!$BD$7:$BD$696,B236)))</f>
        <v>180562030</v>
      </c>
      <c r="I236" s="5" t="str">
        <f aca="false">設定!$C$40&amp;""</f>
        <v/>
      </c>
      <c r="J236" s="5" t="str">
        <f aca="false">設定!$D$40&amp;""</f>
        <v/>
      </c>
      <c r="K236" s="5" t="n">
        <f aca="false">IF(AND(H236&lt;&gt;0,IF(設定!$B$6="入金確認済のみ",C236="入金確認済",OR(C236="入金確認済",C236="受領済"))),1,0)</f>
        <v>0</v>
      </c>
      <c r="L236" s="5" t="str">
        <f aca="false">2&amp;"|"&amp;1</f>
        <v>2|1</v>
      </c>
      <c r="M236" s="5" t="n">
        <f aca="false">IF(L236=L235,M235,0)+K236</f>
        <v>0</v>
      </c>
      <c r="N236" s="5" t="n">
        <f aca="false">IF(AND(K236=1,M236=1),1,0)</f>
        <v>0</v>
      </c>
      <c r="O236" s="5" t="str">
        <f aca="false">IF(K236=1,MAX($O$5:O235)+1,"")</f>
        <v/>
      </c>
      <c r="P236" s="5" t="str">
        <f aca="false">IF(K236=1,SUM($N$6:N236),"")</f>
        <v/>
      </c>
      <c r="Q236" s="5" t="str">
        <f aca="false">IF(K236=1,SUMIFS($H$6:$H$511,$L$6:$L$511,L236,$K$6:$K$511,1),"")</f>
        <v/>
      </c>
      <c r="R236" s="103" t="str">
        <f aca="false">IF(B236="","",IF(INDEX(報告入力!$AB$7:$AB$696,B236)="","",INDEX(報告入力!$AB$7:$AB$696,B236)))</f>
        <v/>
      </c>
      <c r="S236" s="5" t="str">
        <f aca="false">設定!$C$51</f>
        <v>短期：掛金</v>
      </c>
    </row>
    <row r="237" customFormat="false" ht="15" hidden="false" customHeight="false" outlineLevel="0" collapsed="false">
      <c r="A237" s="5" t="str">
        <f aca="false">設定!B61</f>
        <v>市長部局</v>
      </c>
      <c r="B237" s="5" t="n">
        <f aca="false">IFERROR(MATCH(ホーム!$C$4&amp;"|"&amp;A237,報告入力!$CM$7:$CM$696,0),"")</f>
        <v>323</v>
      </c>
      <c r="C237" s="5" t="str">
        <f aca="false">IF(B237="","",INDEX(報告入力!$C$7:$C$696,B237))</f>
        <v>未受領</v>
      </c>
      <c r="D237" s="5" t="str">
        <f aca="false">設定!$A$40</f>
        <v>短期経理</v>
      </c>
      <c r="E237" s="5" t="str">
        <f aca="false">設定!$B$40&amp;""</f>
        <v/>
      </c>
      <c r="F237" s="5" t="str">
        <f aca="false">設定!$D$52&amp;""</f>
        <v/>
      </c>
      <c r="G237" s="5" t="str">
        <f aca="false">設定!$E$52&amp;""</f>
        <v/>
      </c>
      <c r="H237" s="5" t="n">
        <f aca="false">IF(B237="",0,N(INDEX(報告入力!$BE$7:$BE$696,B237)))</f>
        <v>179918563</v>
      </c>
      <c r="I237" s="5" t="str">
        <f aca="false">設定!$C$40&amp;""</f>
        <v/>
      </c>
      <c r="J237" s="5" t="str">
        <f aca="false">設定!$D$40&amp;""</f>
        <v/>
      </c>
      <c r="K237" s="5" t="n">
        <f aca="false">IF(AND(H237&lt;&gt;0,IF(設定!$B$6="入金確認済のみ",C237="入金確認済",OR(C237="入金確認済",C237="受領済"))),1,0)</f>
        <v>0</v>
      </c>
      <c r="L237" s="5" t="str">
        <f aca="false">2&amp;"|"&amp;1</f>
        <v>2|1</v>
      </c>
      <c r="M237" s="5" t="n">
        <f aca="false">IF(L237=L236,M236,0)+K237</f>
        <v>0</v>
      </c>
      <c r="N237" s="5" t="n">
        <f aca="false">IF(AND(K237=1,M237=1),1,0)</f>
        <v>0</v>
      </c>
      <c r="O237" s="5" t="str">
        <f aca="false">IF(K237=1,MAX($O$5:O236)+1,"")</f>
        <v/>
      </c>
      <c r="P237" s="5" t="str">
        <f aca="false">IF(K237=1,SUM($N$6:N237),"")</f>
        <v/>
      </c>
      <c r="Q237" s="5" t="str">
        <f aca="false">IF(K237=1,SUMIFS($H$6:$H$511,$L$6:$L$511,L237,$K$6:$K$511,1),"")</f>
        <v/>
      </c>
      <c r="R237" s="103" t="str">
        <f aca="false">IF(B237="","",IF(INDEX(報告入力!$AB$7:$AB$696,B237)="","",INDEX(報告入力!$AB$7:$AB$696,B237)))</f>
        <v/>
      </c>
      <c r="S237" s="5" t="str">
        <f aca="false">設定!$C$52</f>
        <v>短期：負担金</v>
      </c>
    </row>
    <row r="238" customFormat="false" ht="15" hidden="false" customHeight="false" outlineLevel="0" collapsed="false">
      <c r="A238" s="5" t="str">
        <f aca="false">設定!B62</f>
        <v>下水道局</v>
      </c>
      <c r="B238" s="5" t="n">
        <f aca="false">IFERROR(MATCH(ホーム!$C$4&amp;"|"&amp;A238,報告入力!$CM$7:$CM$696,0),"")</f>
        <v>324</v>
      </c>
      <c r="C238" s="5" t="str">
        <f aca="false">IF(B238="","",INDEX(報告入力!$C$7:$C$696,B238))</f>
        <v>未受領</v>
      </c>
      <c r="D238" s="5" t="str">
        <f aca="false">設定!$A$40</f>
        <v>短期経理</v>
      </c>
      <c r="E238" s="5" t="str">
        <f aca="false">設定!$B$40&amp;""</f>
        <v/>
      </c>
      <c r="F238" s="5" t="str">
        <f aca="false">設定!$D$51&amp;""</f>
        <v/>
      </c>
      <c r="G238" s="5" t="str">
        <f aca="false">設定!$E$51&amp;""</f>
        <v/>
      </c>
      <c r="H238" s="5" t="n">
        <f aca="false">IF(B238="",0,N(INDEX(報告入力!$BD$7:$BD$696,B238)))</f>
        <v>10398568</v>
      </c>
      <c r="I238" s="5" t="str">
        <f aca="false">設定!$C$40&amp;""</f>
        <v/>
      </c>
      <c r="J238" s="5" t="str">
        <f aca="false">設定!$D$40&amp;""</f>
        <v/>
      </c>
      <c r="K238" s="5" t="n">
        <f aca="false">IF(AND(H238&lt;&gt;0,IF(設定!$B$6="入金確認済のみ",C238="入金確認済",OR(C238="入金確認済",C238="受領済"))),1,0)</f>
        <v>0</v>
      </c>
      <c r="L238" s="5" t="str">
        <f aca="false">2&amp;"|"&amp;2</f>
        <v>2|2</v>
      </c>
      <c r="M238" s="5" t="n">
        <f aca="false">IF(L238=L237,M237,0)+K238</f>
        <v>0</v>
      </c>
      <c r="N238" s="5" t="n">
        <f aca="false">IF(AND(K238=1,M238=1),1,0)</f>
        <v>0</v>
      </c>
      <c r="O238" s="5" t="str">
        <f aca="false">IF(K238=1,MAX($O$5:O237)+1,"")</f>
        <v/>
      </c>
      <c r="P238" s="5" t="str">
        <f aca="false">IF(K238=1,SUM($N$6:N238),"")</f>
        <v/>
      </c>
      <c r="Q238" s="5" t="str">
        <f aca="false">IF(K238=1,SUMIFS($H$6:$H$511,$L$6:$L$511,L238,$K$6:$K$511,1),"")</f>
        <v/>
      </c>
      <c r="R238" s="103" t="str">
        <f aca="false">IF(B238="","",IF(INDEX(報告入力!$AB$7:$AB$696,B238)="","",INDEX(報告入力!$AB$7:$AB$696,B238)))</f>
        <v/>
      </c>
      <c r="S238" s="5" t="str">
        <f aca="false">設定!$C$51</f>
        <v>短期：掛金</v>
      </c>
    </row>
    <row r="239" customFormat="false" ht="15" hidden="false" customHeight="false" outlineLevel="0" collapsed="false">
      <c r="A239" s="5" t="str">
        <f aca="false">設定!B62</f>
        <v>下水道局</v>
      </c>
      <c r="B239" s="5" t="n">
        <f aca="false">IFERROR(MATCH(ホーム!$C$4&amp;"|"&amp;A239,報告入力!$CM$7:$CM$696,0),"")</f>
        <v>324</v>
      </c>
      <c r="C239" s="5" t="str">
        <f aca="false">IF(B239="","",INDEX(報告入力!$C$7:$C$696,B239))</f>
        <v>未受領</v>
      </c>
      <c r="D239" s="5" t="str">
        <f aca="false">設定!$A$40</f>
        <v>短期経理</v>
      </c>
      <c r="E239" s="5" t="str">
        <f aca="false">設定!$B$40&amp;""</f>
        <v/>
      </c>
      <c r="F239" s="5" t="str">
        <f aca="false">設定!$D$52&amp;""</f>
        <v/>
      </c>
      <c r="G239" s="5" t="str">
        <f aca="false">設定!$E$52&amp;""</f>
        <v/>
      </c>
      <c r="H239" s="5" t="n">
        <f aca="false">IF(B239="",0,N(INDEX(報告入力!$BE$7:$BE$696,B239)))</f>
        <v>10572334</v>
      </c>
      <c r="I239" s="5" t="str">
        <f aca="false">設定!$C$40&amp;""</f>
        <v/>
      </c>
      <c r="J239" s="5" t="str">
        <f aca="false">設定!$D$40&amp;""</f>
        <v/>
      </c>
      <c r="K239" s="5" t="n">
        <f aca="false">IF(AND(H239&lt;&gt;0,IF(設定!$B$6="入金確認済のみ",C239="入金確認済",OR(C239="入金確認済",C239="受領済"))),1,0)</f>
        <v>0</v>
      </c>
      <c r="L239" s="5" t="str">
        <f aca="false">2&amp;"|"&amp;2</f>
        <v>2|2</v>
      </c>
      <c r="M239" s="5" t="n">
        <f aca="false">IF(L239=L238,M238,0)+K239</f>
        <v>0</v>
      </c>
      <c r="N239" s="5" t="n">
        <f aca="false">IF(AND(K239=1,M239=1),1,0)</f>
        <v>0</v>
      </c>
      <c r="O239" s="5" t="str">
        <f aca="false">IF(K239=1,MAX($O$5:O238)+1,"")</f>
        <v/>
      </c>
      <c r="P239" s="5" t="str">
        <f aca="false">IF(K239=1,SUM($N$6:N239),"")</f>
        <v/>
      </c>
      <c r="Q239" s="5" t="str">
        <f aca="false">IF(K239=1,SUMIFS($H$6:$H$511,$L$6:$L$511,L239,$K$6:$K$511,1),"")</f>
        <v/>
      </c>
      <c r="R239" s="103" t="str">
        <f aca="false">IF(B239="","",IF(INDEX(報告入力!$AB$7:$AB$696,B239)="","",INDEX(報告入力!$AB$7:$AB$696,B239)))</f>
        <v/>
      </c>
      <c r="S239" s="5" t="str">
        <f aca="false">設定!$C$52</f>
        <v>短期：負担金</v>
      </c>
    </row>
    <row r="240" customFormat="false" ht="15" hidden="false" customHeight="false" outlineLevel="0" collapsed="false">
      <c r="A240" s="5" t="str">
        <f aca="false">設定!B63</f>
        <v>消防局</v>
      </c>
      <c r="B240" s="5" t="n">
        <f aca="false">IFERROR(MATCH(ホーム!$C$4&amp;"|"&amp;A240,報告入力!$CM$7:$CM$696,0),"")</f>
        <v>325</v>
      </c>
      <c r="C240" s="5" t="str">
        <f aca="false">IF(B240="","",INDEX(報告入力!$C$7:$C$696,B240))</f>
        <v>未受領</v>
      </c>
      <c r="D240" s="5" t="str">
        <f aca="false">設定!$A$40</f>
        <v>短期経理</v>
      </c>
      <c r="E240" s="5" t="str">
        <f aca="false">設定!$B$40&amp;""</f>
        <v/>
      </c>
      <c r="F240" s="5" t="str">
        <f aca="false">設定!$D$51&amp;""</f>
        <v/>
      </c>
      <c r="G240" s="5" t="str">
        <f aca="false">設定!$E$51&amp;""</f>
        <v/>
      </c>
      <c r="H240" s="5" t="n">
        <f aca="false">IF(B240="",0,N(INDEX(報告入力!$BD$7:$BD$696,B240)))</f>
        <v>33023349</v>
      </c>
      <c r="I240" s="5" t="str">
        <f aca="false">設定!$C$40&amp;""</f>
        <v/>
      </c>
      <c r="J240" s="5" t="str">
        <f aca="false">設定!$D$40&amp;""</f>
        <v/>
      </c>
      <c r="K240" s="5" t="n">
        <f aca="false">IF(AND(H240&lt;&gt;0,IF(設定!$B$6="入金確認済のみ",C240="入金確認済",OR(C240="入金確認済",C240="受領済"))),1,0)</f>
        <v>0</v>
      </c>
      <c r="L240" s="5" t="str">
        <f aca="false">2&amp;"|"&amp;3</f>
        <v>2|3</v>
      </c>
      <c r="M240" s="5" t="n">
        <f aca="false">IF(L240=L239,M239,0)+K240</f>
        <v>0</v>
      </c>
      <c r="N240" s="5" t="n">
        <f aca="false">IF(AND(K240=1,M240=1),1,0)</f>
        <v>0</v>
      </c>
      <c r="O240" s="5" t="str">
        <f aca="false">IF(K240=1,MAX($O$5:O239)+1,"")</f>
        <v/>
      </c>
      <c r="P240" s="5" t="str">
        <f aca="false">IF(K240=1,SUM($N$6:N240),"")</f>
        <v/>
      </c>
      <c r="Q240" s="5" t="str">
        <f aca="false">IF(K240=1,SUMIFS($H$6:$H$511,$L$6:$L$511,L240,$K$6:$K$511,1),"")</f>
        <v/>
      </c>
      <c r="R240" s="103" t="str">
        <f aca="false">IF(B240="","",IF(INDEX(報告入力!$AB$7:$AB$696,B240)="","",INDEX(報告入力!$AB$7:$AB$696,B240)))</f>
        <v/>
      </c>
      <c r="S240" s="5" t="str">
        <f aca="false">設定!$C$51</f>
        <v>短期：掛金</v>
      </c>
    </row>
    <row r="241" customFormat="false" ht="15" hidden="false" customHeight="false" outlineLevel="0" collapsed="false">
      <c r="A241" s="5" t="str">
        <f aca="false">設定!B63</f>
        <v>消防局</v>
      </c>
      <c r="B241" s="5" t="n">
        <f aca="false">IFERROR(MATCH(ホーム!$C$4&amp;"|"&amp;A241,報告入力!$CM$7:$CM$696,0),"")</f>
        <v>325</v>
      </c>
      <c r="C241" s="5" t="str">
        <f aca="false">IF(B241="","",INDEX(報告入力!$C$7:$C$696,B241))</f>
        <v>未受領</v>
      </c>
      <c r="D241" s="5" t="str">
        <f aca="false">設定!$A$40</f>
        <v>短期経理</v>
      </c>
      <c r="E241" s="5" t="str">
        <f aca="false">設定!$B$40&amp;""</f>
        <v/>
      </c>
      <c r="F241" s="5" t="str">
        <f aca="false">設定!$D$52&amp;""</f>
        <v/>
      </c>
      <c r="G241" s="5" t="str">
        <f aca="false">設定!$E$52&amp;""</f>
        <v/>
      </c>
      <c r="H241" s="5" t="n">
        <f aca="false">IF(B241="",0,N(INDEX(報告入力!$BE$7:$BE$696,B241)))</f>
        <v>33605263</v>
      </c>
      <c r="I241" s="5" t="str">
        <f aca="false">設定!$C$40&amp;""</f>
        <v/>
      </c>
      <c r="J241" s="5" t="str">
        <f aca="false">設定!$D$40&amp;""</f>
        <v/>
      </c>
      <c r="K241" s="5" t="n">
        <f aca="false">IF(AND(H241&lt;&gt;0,IF(設定!$B$6="入金確認済のみ",C241="入金確認済",OR(C241="入金確認済",C241="受領済"))),1,0)</f>
        <v>0</v>
      </c>
      <c r="L241" s="5" t="str">
        <f aca="false">2&amp;"|"&amp;3</f>
        <v>2|3</v>
      </c>
      <c r="M241" s="5" t="n">
        <f aca="false">IF(L241=L240,M240,0)+K241</f>
        <v>0</v>
      </c>
      <c r="N241" s="5" t="n">
        <f aca="false">IF(AND(K241=1,M241=1),1,0)</f>
        <v>0</v>
      </c>
      <c r="O241" s="5" t="str">
        <f aca="false">IF(K241=1,MAX($O$5:O240)+1,"")</f>
        <v/>
      </c>
      <c r="P241" s="5" t="str">
        <f aca="false">IF(K241=1,SUM($N$6:N241),"")</f>
        <v/>
      </c>
      <c r="Q241" s="5" t="str">
        <f aca="false">IF(K241=1,SUMIFS($H$6:$H$511,$L$6:$L$511,L241,$K$6:$K$511,1),"")</f>
        <v/>
      </c>
      <c r="R241" s="103" t="str">
        <f aca="false">IF(B241="","",IF(INDEX(報告入力!$AB$7:$AB$696,B241)="","",INDEX(報告入力!$AB$7:$AB$696,B241)))</f>
        <v/>
      </c>
      <c r="S241" s="5" t="str">
        <f aca="false">設定!$C$52</f>
        <v>短期：負担金</v>
      </c>
    </row>
    <row r="242" customFormat="false" ht="15" hidden="false" customHeight="false" outlineLevel="0" collapsed="false">
      <c r="A242" s="5" t="str">
        <f aca="false">設定!B64</f>
        <v>議会事務局</v>
      </c>
      <c r="B242" s="5" t="n">
        <f aca="false">IFERROR(MATCH(ホーム!$C$4&amp;"|"&amp;A242,報告入力!$CM$7:$CM$696,0),"")</f>
        <v>326</v>
      </c>
      <c r="C242" s="5" t="str">
        <f aca="false">IF(B242="","",INDEX(報告入力!$C$7:$C$696,B242))</f>
        <v>未受領</v>
      </c>
      <c r="D242" s="5" t="str">
        <f aca="false">設定!$A$40</f>
        <v>短期経理</v>
      </c>
      <c r="E242" s="5" t="str">
        <f aca="false">設定!$B$40&amp;""</f>
        <v/>
      </c>
      <c r="F242" s="5" t="str">
        <f aca="false">設定!$D$51&amp;""</f>
        <v/>
      </c>
      <c r="G242" s="5" t="str">
        <f aca="false">設定!$E$51&amp;""</f>
        <v/>
      </c>
      <c r="H242" s="5" t="n">
        <f aca="false">IF(B242="",0,N(INDEX(報告入力!$BD$7:$BD$696,B242)))</f>
        <v>1055074</v>
      </c>
      <c r="I242" s="5" t="str">
        <f aca="false">設定!$C$40&amp;""</f>
        <v/>
      </c>
      <c r="J242" s="5" t="str">
        <f aca="false">設定!$D$40&amp;""</f>
        <v/>
      </c>
      <c r="K242" s="5" t="n">
        <f aca="false">IF(AND(H242&lt;&gt;0,IF(設定!$B$6="入金確認済のみ",C242="入金確認済",OR(C242="入金確認済",C242="受領済"))),1,0)</f>
        <v>0</v>
      </c>
      <c r="L242" s="5" t="str">
        <f aca="false">2&amp;"|"&amp;4</f>
        <v>2|4</v>
      </c>
      <c r="M242" s="5" t="n">
        <f aca="false">IF(L242=L241,M241,0)+K242</f>
        <v>0</v>
      </c>
      <c r="N242" s="5" t="n">
        <f aca="false">IF(AND(K242=1,M242=1),1,0)</f>
        <v>0</v>
      </c>
      <c r="O242" s="5" t="str">
        <f aca="false">IF(K242=1,MAX($O$5:O241)+1,"")</f>
        <v/>
      </c>
      <c r="P242" s="5" t="str">
        <f aca="false">IF(K242=1,SUM($N$6:N242),"")</f>
        <v/>
      </c>
      <c r="Q242" s="5" t="str">
        <f aca="false">IF(K242=1,SUMIFS($H$6:$H$511,$L$6:$L$511,L242,$K$6:$K$511,1),"")</f>
        <v/>
      </c>
      <c r="R242" s="103" t="str">
        <f aca="false">IF(B242="","",IF(INDEX(報告入力!$AB$7:$AB$696,B242)="","",INDEX(報告入力!$AB$7:$AB$696,B242)))</f>
        <v/>
      </c>
      <c r="S242" s="5" t="str">
        <f aca="false">設定!$C$51</f>
        <v>短期：掛金</v>
      </c>
    </row>
    <row r="243" customFormat="false" ht="15" hidden="false" customHeight="false" outlineLevel="0" collapsed="false">
      <c r="A243" s="5" t="str">
        <f aca="false">設定!B64</f>
        <v>議会事務局</v>
      </c>
      <c r="B243" s="5" t="n">
        <f aca="false">IFERROR(MATCH(ホーム!$C$4&amp;"|"&amp;A243,報告入力!$CM$7:$CM$696,0),"")</f>
        <v>326</v>
      </c>
      <c r="C243" s="5" t="str">
        <f aca="false">IF(B243="","",INDEX(報告入力!$C$7:$C$696,B243))</f>
        <v>未受領</v>
      </c>
      <c r="D243" s="5" t="str">
        <f aca="false">設定!$A$40</f>
        <v>短期経理</v>
      </c>
      <c r="E243" s="5" t="str">
        <f aca="false">設定!$B$40&amp;""</f>
        <v/>
      </c>
      <c r="F243" s="5" t="str">
        <f aca="false">設定!$D$52&amp;""</f>
        <v/>
      </c>
      <c r="G243" s="5" t="str">
        <f aca="false">設定!$E$52&amp;""</f>
        <v/>
      </c>
      <c r="H243" s="5" t="n">
        <f aca="false">IF(B243="",0,N(INDEX(報告入力!$BE$7:$BE$696,B243)))</f>
        <v>1073929</v>
      </c>
      <c r="I243" s="5" t="str">
        <f aca="false">設定!$C$40&amp;""</f>
        <v/>
      </c>
      <c r="J243" s="5" t="str">
        <f aca="false">設定!$D$40&amp;""</f>
        <v/>
      </c>
      <c r="K243" s="5" t="n">
        <f aca="false">IF(AND(H243&lt;&gt;0,IF(設定!$B$6="入金確認済のみ",C243="入金確認済",OR(C243="入金確認済",C243="受領済"))),1,0)</f>
        <v>0</v>
      </c>
      <c r="L243" s="5" t="str">
        <f aca="false">2&amp;"|"&amp;4</f>
        <v>2|4</v>
      </c>
      <c r="M243" s="5" t="n">
        <f aca="false">IF(L243=L242,M242,0)+K243</f>
        <v>0</v>
      </c>
      <c r="N243" s="5" t="n">
        <f aca="false">IF(AND(K243=1,M243=1),1,0)</f>
        <v>0</v>
      </c>
      <c r="O243" s="5" t="str">
        <f aca="false">IF(K243=1,MAX($O$5:O242)+1,"")</f>
        <v/>
      </c>
      <c r="P243" s="5" t="str">
        <f aca="false">IF(K243=1,SUM($N$6:N243),"")</f>
        <v/>
      </c>
      <c r="Q243" s="5" t="str">
        <f aca="false">IF(K243=1,SUMIFS($H$6:$H$511,$L$6:$L$511,L243,$K$6:$K$511,1),"")</f>
        <v/>
      </c>
      <c r="R243" s="103" t="str">
        <f aca="false">IF(B243="","",IF(INDEX(報告入力!$AB$7:$AB$696,B243)="","",INDEX(報告入力!$AB$7:$AB$696,B243)))</f>
        <v/>
      </c>
      <c r="S243" s="5" t="str">
        <f aca="false">設定!$C$52</f>
        <v>短期：負担金</v>
      </c>
    </row>
    <row r="244" customFormat="false" ht="15" hidden="false" customHeight="false" outlineLevel="0" collapsed="false">
      <c r="A244" s="5" t="str">
        <f aca="false">設定!B65</f>
        <v>教育委員会（総務課）</v>
      </c>
      <c r="B244" s="5" t="n">
        <f aca="false">IFERROR(MATCH(ホーム!$C$4&amp;"|"&amp;A244,報告入力!$CM$7:$CM$696,0),"")</f>
        <v>327</v>
      </c>
      <c r="C244" s="5" t="str">
        <f aca="false">IF(B244="","",INDEX(報告入力!$C$7:$C$696,B244))</f>
        <v>未受領</v>
      </c>
      <c r="D244" s="5" t="str">
        <f aca="false">設定!$A$40</f>
        <v>短期経理</v>
      </c>
      <c r="E244" s="5" t="str">
        <f aca="false">設定!$B$40&amp;""</f>
        <v/>
      </c>
      <c r="F244" s="5" t="str">
        <f aca="false">設定!$D$51&amp;""</f>
        <v/>
      </c>
      <c r="G244" s="5" t="str">
        <f aca="false">設定!$E$51&amp;""</f>
        <v/>
      </c>
      <c r="H244" s="5" t="n">
        <f aca="false">IF(B244="",0,N(INDEX(報告入力!$BD$7:$BD$696,B244)))</f>
        <v>25754073</v>
      </c>
      <c r="I244" s="5" t="str">
        <f aca="false">設定!$C$40&amp;""</f>
        <v/>
      </c>
      <c r="J244" s="5" t="str">
        <f aca="false">設定!$D$40&amp;""</f>
        <v/>
      </c>
      <c r="K244" s="5" t="n">
        <f aca="false">IF(AND(H244&lt;&gt;0,IF(設定!$B$6="入金確認済のみ",C244="入金確認済",OR(C244="入金確認済",C244="受領済"))),1,0)</f>
        <v>0</v>
      </c>
      <c r="L244" s="5" t="str">
        <f aca="false">2&amp;"|"&amp;5</f>
        <v>2|5</v>
      </c>
      <c r="M244" s="5" t="n">
        <f aca="false">IF(L244=L243,M243,0)+K244</f>
        <v>0</v>
      </c>
      <c r="N244" s="5" t="n">
        <f aca="false">IF(AND(K244=1,M244=1),1,0)</f>
        <v>0</v>
      </c>
      <c r="O244" s="5" t="str">
        <f aca="false">IF(K244=1,MAX($O$5:O243)+1,"")</f>
        <v/>
      </c>
      <c r="P244" s="5" t="str">
        <f aca="false">IF(K244=1,SUM($N$6:N244),"")</f>
        <v/>
      </c>
      <c r="Q244" s="5" t="str">
        <f aca="false">IF(K244=1,SUMIFS($H$6:$H$511,$L$6:$L$511,L244,$K$6:$K$511,1),"")</f>
        <v/>
      </c>
      <c r="R244" s="103" t="str">
        <f aca="false">IF(B244="","",IF(INDEX(報告入力!$AB$7:$AB$696,B244)="","",INDEX(報告入力!$AB$7:$AB$696,B244)))</f>
        <v/>
      </c>
      <c r="S244" s="5" t="str">
        <f aca="false">設定!$C$51</f>
        <v>短期：掛金</v>
      </c>
    </row>
    <row r="245" customFormat="false" ht="15" hidden="false" customHeight="false" outlineLevel="0" collapsed="false">
      <c r="A245" s="5" t="str">
        <f aca="false">設定!B65</f>
        <v>教育委員会（総務課）</v>
      </c>
      <c r="B245" s="5" t="n">
        <f aca="false">IFERROR(MATCH(ホーム!$C$4&amp;"|"&amp;A245,報告入力!$CM$7:$CM$696,0),"")</f>
        <v>327</v>
      </c>
      <c r="C245" s="5" t="str">
        <f aca="false">IF(B245="","",INDEX(報告入力!$C$7:$C$696,B245))</f>
        <v>未受領</v>
      </c>
      <c r="D245" s="5" t="str">
        <f aca="false">設定!$A$40</f>
        <v>短期経理</v>
      </c>
      <c r="E245" s="5" t="str">
        <f aca="false">設定!$B$40&amp;""</f>
        <v/>
      </c>
      <c r="F245" s="5" t="str">
        <f aca="false">設定!$D$52&amp;""</f>
        <v/>
      </c>
      <c r="G245" s="5" t="str">
        <f aca="false">設定!$E$52&amp;""</f>
        <v/>
      </c>
      <c r="H245" s="5" t="n">
        <f aca="false">IF(B245="",0,N(INDEX(報告入力!$BE$7:$BE$696,B245)))</f>
        <v>26235747</v>
      </c>
      <c r="I245" s="5" t="str">
        <f aca="false">設定!$C$40&amp;""</f>
        <v/>
      </c>
      <c r="J245" s="5" t="str">
        <f aca="false">設定!$D$40&amp;""</f>
        <v/>
      </c>
      <c r="K245" s="5" t="n">
        <f aca="false">IF(AND(H245&lt;&gt;0,IF(設定!$B$6="入金確認済のみ",C245="入金確認済",OR(C245="入金確認済",C245="受領済"))),1,0)</f>
        <v>0</v>
      </c>
      <c r="L245" s="5" t="str">
        <f aca="false">2&amp;"|"&amp;5</f>
        <v>2|5</v>
      </c>
      <c r="M245" s="5" t="n">
        <f aca="false">IF(L245=L244,M244,0)+K245</f>
        <v>0</v>
      </c>
      <c r="N245" s="5" t="n">
        <f aca="false">IF(AND(K245=1,M245=1),1,0)</f>
        <v>0</v>
      </c>
      <c r="O245" s="5" t="str">
        <f aca="false">IF(K245=1,MAX($O$5:O244)+1,"")</f>
        <v/>
      </c>
      <c r="P245" s="5" t="str">
        <f aca="false">IF(K245=1,SUM($N$6:N245),"")</f>
        <v/>
      </c>
      <c r="Q245" s="5" t="str">
        <f aca="false">IF(K245=1,SUMIFS($H$6:$H$511,$L$6:$L$511,L245,$K$6:$K$511,1),"")</f>
        <v/>
      </c>
      <c r="R245" s="103" t="str">
        <f aca="false">IF(B245="","",IF(INDEX(報告入力!$AB$7:$AB$696,B245)="","",INDEX(報告入力!$AB$7:$AB$696,B245)))</f>
        <v/>
      </c>
      <c r="S245" s="5" t="str">
        <f aca="false">設定!$C$52</f>
        <v>短期：負担金</v>
      </c>
    </row>
    <row r="246" customFormat="false" ht="15" hidden="false" customHeight="false" outlineLevel="0" collapsed="false">
      <c r="A246" s="5" t="str">
        <f aca="false">設定!B66</f>
        <v>選挙管理委員会</v>
      </c>
      <c r="B246" s="5" t="n">
        <f aca="false">IFERROR(MATCH(ホーム!$C$4&amp;"|"&amp;A246,報告入力!$CM$7:$CM$696,0),"")</f>
        <v>328</v>
      </c>
      <c r="C246" s="5" t="str">
        <f aca="false">IF(B246="","",INDEX(報告入力!$C$7:$C$696,B246))</f>
        <v>未受領</v>
      </c>
      <c r="D246" s="5" t="str">
        <f aca="false">設定!$A$40</f>
        <v>短期経理</v>
      </c>
      <c r="E246" s="5" t="str">
        <f aca="false">設定!$B$40&amp;""</f>
        <v/>
      </c>
      <c r="F246" s="5" t="str">
        <f aca="false">設定!$D$51&amp;""</f>
        <v/>
      </c>
      <c r="G246" s="5" t="str">
        <f aca="false">設定!$E$51&amp;""</f>
        <v/>
      </c>
      <c r="H246" s="5" t="n">
        <f aca="false">IF(B246="",0,N(INDEX(報告入力!$BD$7:$BD$696,B246)))</f>
        <v>190331</v>
      </c>
      <c r="I246" s="5" t="str">
        <f aca="false">設定!$C$40&amp;""</f>
        <v/>
      </c>
      <c r="J246" s="5" t="str">
        <f aca="false">設定!$D$40&amp;""</f>
        <v/>
      </c>
      <c r="K246" s="5" t="n">
        <f aca="false">IF(AND(H246&lt;&gt;0,IF(設定!$B$6="入金確認済のみ",C246="入金確認済",OR(C246="入金確認済",C246="受領済"))),1,0)</f>
        <v>0</v>
      </c>
      <c r="L246" s="5" t="str">
        <f aca="false">2&amp;"|"&amp;6</f>
        <v>2|6</v>
      </c>
      <c r="M246" s="5" t="n">
        <f aca="false">IF(L246=L245,M245,0)+K246</f>
        <v>0</v>
      </c>
      <c r="N246" s="5" t="n">
        <f aca="false">IF(AND(K246=1,M246=1),1,0)</f>
        <v>0</v>
      </c>
      <c r="O246" s="5" t="str">
        <f aca="false">IF(K246=1,MAX($O$5:O245)+1,"")</f>
        <v/>
      </c>
      <c r="P246" s="5" t="str">
        <f aca="false">IF(K246=1,SUM($N$6:N246),"")</f>
        <v/>
      </c>
      <c r="Q246" s="5" t="str">
        <f aca="false">IF(K246=1,SUMIFS($H$6:$H$511,$L$6:$L$511,L246,$K$6:$K$511,1),"")</f>
        <v/>
      </c>
      <c r="R246" s="103" t="str">
        <f aca="false">IF(B246="","",IF(INDEX(報告入力!$AB$7:$AB$696,B246)="","",INDEX(報告入力!$AB$7:$AB$696,B246)))</f>
        <v/>
      </c>
      <c r="S246" s="5" t="str">
        <f aca="false">設定!$C$51</f>
        <v>短期：掛金</v>
      </c>
    </row>
    <row r="247" customFormat="false" ht="15" hidden="false" customHeight="false" outlineLevel="0" collapsed="false">
      <c r="A247" s="5" t="str">
        <f aca="false">設定!B66</f>
        <v>選挙管理委員会</v>
      </c>
      <c r="B247" s="5" t="n">
        <f aca="false">IFERROR(MATCH(ホーム!$C$4&amp;"|"&amp;A247,報告入力!$CM$7:$CM$696,0),"")</f>
        <v>328</v>
      </c>
      <c r="C247" s="5" t="str">
        <f aca="false">IF(B247="","",INDEX(報告入力!$C$7:$C$696,B247))</f>
        <v>未受領</v>
      </c>
      <c r="D247" s="5" t="str">
        <f aca="false">設定!$A$40</f>
        <v>短期経理</v>
      </c>
      <c r="E247" s="5" t="str">
        <f aca="false">設定!$B$40&amp;""</f>
        <v/>
      </c>
      <c r="F247" s="5" t="str">
        <f aca="false">設定!$D$52&amp;""</f>
        <v/>
      </c>
      <c r="G247" s="5" t="str">
        <f aca="false">設定!$E$52&amp;""</f>
        <v/>
      </c>
      <c r="H247" s="5" t="n">
        <f aca="false">IF(B247="",0,N(INDEX(報告入力!$BE$7:$BE$696,B247)))</f>
        <v>216641</v>
      </c>
      <c r="I247" s="5" t="str">
        <f aca="false">設定!$C$40&amp;""</f>
        <v/>
      </c>
      <c r="J247" s="5" t="str">
        <f aca="false">設定!$D$40&amp;""</f>
        <v/>
      </c>
      <c r="K247" s="5" t="n">
        <f aca="false">IF(AND(H247&lt;&gt;0,IF(設定!$B$6="入金確認済のみ",C247="入金確認済",OR(C247="入金確認済",C247="受領済"))),1,0)</f>
        <v>0</v>
      </c>
      <c r="L247" s="5" t="str">
        <f aca="false">2&amp;"|"&amp;6</f>
        <v>2|6</v>
      </c>
      <c r="M247" s="5" t="n">
        <f aca="false">IF(L247=L246,M246,0)+K247</f>
        <v>0</v>
      </c>
      <c r="N247" s="5" t="n">
        <f aca="false">IF(AND(K247=1,M247=1),1,0)</f>
        <v>0</v>
      </c>
      <c r="O247" s="5" t="str">
        <f aca="false">IF(K247=1,MAX($O$5:O246)+1,"")</f>
        <v/>
      </c>
      <c r="P247" s="5" t="str">
        <f aca="false">IF(K247=1,SUM($N$6:N247),"")</f>
        <v/>
      </c>
      <c r="Q247" s="5" t="str">
        <f aca="false">IF(K247=1,SUMIFS($H$6:$H$511,$L$6:$L$511,L247,$K$6:$K$511,1),"")</f>
        <v/>
      </c>
      <c r="R247" s="103" t="str">
        <f aca="false">IF(B247="","",IF(INDEX(報告入力!$AB$7:$AB$696,B247)="","",INDEX(報告入力!$AB$7:$AB$696,B247)))</f>
        <v/>
      </c>
      <c r="S247" s="5" t="str">
        <f aca="false">設定!$C$52</f>
        <v>短期：負担金</v>
      </c>
    </row>
    <row r="248" customFormat="false" ht="15" hidden="false" customHeight="false" outlineLevel="0" collapsed="false">
      <c r="A248" s="5" t="str">
        <f aca="false">設定!B67</f>
        <v>人事委員会</v>
      </c>
      <c r="B248" s="5" t="n">
        <f aca="false">IFERROR(MATCH(ホーム!$C$4&amp;"|"&amp;A248,報告入力!$CM$7:$CM$696,0),"")</f>
        <v>329</v>
      </c>
      <c r="C248" s="5" t="str">
        <f aca="false">IF(B248="","",INDEX(報告入力!$C$7:$C$696,B248))</f>
        <v>未受領</v>
      </c>
      <c r="D248" s="5" t="str">
        <f aca="false">設定!$A$40</f>
        <v>短期経理</v>
      </c>
      <c r="E248" s="5" t="str">
        <f aca="false">設定!$B$40&amp;""</f>
        <v/>
      </c>
      <c r="F248" s="5" t="str">
        <f aca="false">設定!$D$51&amp;""</f>
        <v/>
      </c>
      <c r="G248" s="5" t="str">
        <f aca="false">設定!$E$51&amp;""</f>
        <v/>
      </c>
      <c r="H248" s="5" t="n">
        <f aca="false">IF(B248="",0,N(INDEX(報告入力!$BD$7:$BD$696,B248)))</f>
        <v>351070</v>
      </c>
      <c r="I248" s="5" t="str">
        <f aca="false">設定!$C$40&amp;""</f>
        <v/>
      </c>
      <c r="J248" s="5" t="str">
        <f aca="false">設定!$D$40&amp;""</f>
        <v/>
      </c>
      <c r="K248" s="5" t="n">
        <f aca="false">IF(AND(H248&lt;&gt;0,IF(設定!$B$6="入金確認済のみ",C248="入金確認済",OR(C248="入金確認済",C248="受領済"))),1,0)</f>
        <v>0</v>
      </c>
      <c r="L248" s="5" t="str">
        <f aca="false">2&amp;"|"&amp;7</f>
        <v>2|7</v>
      </c>
      <c r="M248" s="5" t="n">
        <f aca="false">IF(L248=L247,M247,0)+K248</f>
        <v>0</v>
      </c>
      <c r="N248" s="5" t="n">
        <f aca="false">IF(AND(K248=1,M248=1),1,0)</f>
        <v>0</v>
      </c>
      <c r="O248" s="5" t="str">
        <f aca="false">IF(K248=1,MAX($O$5:O247)+1,"")</f>
        <v/>
      </c>
      <c r="P248" s="5" t="str">
        <f aca="false">IF(K248=1,SUM($N$6:N248),"")</f>
        <v/>
      </c>
      <c r="Q248" s="5" t="str">
        <f aca="false">IF(K248=1,SUMIFS($H$6:$H$511,$L$6:$L$511,L248,$K$6:$K$511,1),"")</f>
        <v/>
      </c>
      <c r="R248" s="103" t="str">
        <f aca="false">IF(B248="","",IF(INDEX(報告入力!$AB$7:$AB$696,B248)="","",INDEX(報告入力!$AB$7:$AB$696,B248)))</f>
        <v/>
      </c>
      <c r="S248" s="5" t="str">
        <f aca="false">設定!$C$51</f>
        <v>短期：掛金</v>
      </c>
    </row>
    <row r="249" customFormat="false" ht="15" hidden="false" customHeight="false" outlineLevel="0" collapsed="false">
      <c r="A249" s="5" t="str">
        <f aca="false">設定!B67</f>
        <v>人事委員会</v>
      </c>
      <c r="B249" s="5" t="n">
        <f aca="false">IFERROR(MATCH(ホーム!$C$4&amp;"|"&amp;A249,報告入力!$CM$7:$CM$696,0),"")</f>
        <v>329</v>
      </c>
      <c r="C249" s="5" t="str">
        <f aca="false">IF(B249="","",INDEX(報告入力!$C$7:$C$696,B249))</f>
        <v>未受領</v>
      </c>
      <c r="D249" s="5" t="str">
        <f aca="false">設定!$A$40</f>
        <v>短期経理</v>
      </c>
      <c r="E249" s="5" t="str">
        <f aca="false">設定!$B$40&amp;""</f>
        <v/>
      </c>
      <c r="F249" s="5" t="str">
        <f aca="false">設定!$D$52&amp;""</f>
        <v/>
      </c>
      <c r="G249" s="5" t="str">
        <f aca="false">設定!$E$52&amp;""</f>
        <v/>
      </c>
      <c r="H249" s="5" t="n">
        <f aca="false">IF(B249="",0,N(INDEX(報告入力!$BE$7:$BE$696,B249)))</f>
        <v>357264</v>
      </c>
      <c r="I249" s="5" t="str">
        <f aca="false">設定!$C$40&amp;""</f>
        <v/>
      </c>
      <c r="J249" s="5" t="str">
        <f aca="false">設定!$D$40&amp;""</f>
        <v/>
      </c>
      <c r="K249" s="5" t="n">
        <f aca="false">IF(AND(H249&lt;&gt;0,IF(設定!$B$6="入金確認済のみ",C249="入金確認済",OR(C249="入金確認済",C249="受領済"))),1,0)</f>
        <v>0</v>
      </c>
      <c r="L249" s="5" t="str">
        <f aca="false">2&amp;"|"&amp;7</f>
        <v>2|7</v>
      </c>
      <c r="M249" s="5" t="n">
        <f aca="false">IF(L249=L248,M248,0)+K249</f>
        <v>0</v>
      </c>
      <c r="N249" s="5" t="n">
        <f aca="false">IF(AND(K249=1,M249=1),1,0)</f>
        <v>0</v>
      </c>
      <c r="O249" s="5" t="str">
        <f aca="false">IF(K249=1,MAX($O$5:O248)+1,"")</f>
        <v/>
      </c>
      <c r="P249" s="5" t="str">
        <f aca="false">IF(K249=1,SUM($N$6:N249),"")</f>
        <v/>
      </c>
      <c r="Q249" s="5" t="str">
        <f aca="false">IF(K249=1,SUMIFS($H$6:$H$511,$L$6:$L$511,L249,$K$6:$K$511,1),"")</f>
        <v/>
      </c>
      <c r="R249" s="103" t="str">
        <f aca="false">IF(B249="","",IF(INDEX(報告入力!$AB$7:$AB$696,B249)="","",INDEX(報告入力!$AB$7:$AB$696,B249)))</f>
        <v/>
      </c>
      <c r="S249" s="5" t="str">
        <f aca="false">設定!$C$52</f>
        <v>短期：負担金</v>
      </c>
    </row>
    <row r="250" customFormat="false" ht="15" hidden="false" customHeight="false" outlineLevel="0" collapsed="false">
      <c r="A250" s="5" t="str">
        <f aca="false">設定!B68</f>
        <v>監査事務局</v>
      </c>
      <c r="B250" s="5" t="n">
        <f aca="false">IFERROR(MATCH(ホーム!$C$4&amp;"|"&amp;A250,報告入力!$CM$7:$CM$696,0),"")</f>
        <v>330</v>
      </c>
      <c r="C250" s="5" t="str">
        <f aca="false">IF(B250="","",INDEX(報告入力!$C$7:$C$696,B250))</f>
        <v>未受領</v>
      </c>
      <c r="D250" s="5" t="str">
        <f aca="false">設定!$A$40</f>
        <v>短期経理</v>
      </c>
      <c r="E250" s="5" t="str">
        <f aca="false">設定!$B$40&amp;""</f>
        <v/>
      </c>
      <c r="F250" s="5" t="str">
        <f aca="false">設定!$D$51&amp;""</f>
        <v/>
      </c>
      <c r="G250" s="5" t="str">
        <f aca="false">設定!$E$51&amp;""</f>
        <v/>
      </c>
      <c r="H250" s="5" t="n">
        <f aca="false">IF(B250="",0,N(INDEX(報告入力!$BD$7:$BD$696,B250)))</f>
        <v>836690</v>
      </c>
      <c r="I250" s="5" t="str">
        <f aca="false">設定!$C$40&amp;""</f>
        <v/>
      </c>
      <c r="J250" s="5" t="str">
        <f aca="false">設定!$D$40&amp;""</f>
        <v/>
      </c>
      <c r="K250" s="5" t="n">
        <f aca="false">IF(AND(H250&lt;&gt;0,IF(設定!$B$6="入金確認済のみ",C250="入金確認済",OR(C250="入金確認済",C250="受領済"))),1,0)</f>
        <v>0</v>
      </c>
      <c r="L250" s="5" t="str">
        <f aca="false">2&amp;"|"&amp;8</f>
        <v>2|8</v>
      </c>
      <c r="M250" s="5" t="n">
        <f aca="false">IF(L250=L249,M249,0)+K250</f>
        <v>0</v>
      </c>
      <c r="N250" s="5" t="n">
        <f aca="false">IF(AND(K250=1,M250=1),1,0)</f>
        <v>0</v>
      </c>
      <c r="O250" s="5" t="str">
        <f aca="false">IF(K250=1,MAX($O$5:O249)+1,"")</f>
        <v/>
      </c>
      <c r="P250" s="5" t="str">
        <f aca="false">IF(K250=1,SUM($N$6:N250),"")</f>
        <v/>
      </c>
      <c r="Q250" s="5" t="str">
        <f aca="false">IF(K250=1,SUMIFS($H$6:$H$511,$L$6:$L$511,L250,$K$6:$K$511,1),"")</f>
        <v/>
      </c>
      <c r="R250" s="103" t="str">
        <f aca="false">IF(B250="","",IF(INDEX(報告入力!$AB$7:$AB$696,B250)="","",INDEX(報告入力!$AB$7:$AB$696,B250)))</f>
        <v/>
      </c>
      <c r="S250" s="5" t="str">
        <f aca="false">設定!$C$51</f>
        <v>短期：掛金</v>
      </c>
    </row>
    <row r="251" customFormat="false" ht="15" hidden="false" customHeight="false" outlineLevel="0" collapsed="false">
      <c r="A251" s="5" t="str">
        <f aca="false">設定!B68</f>
        <v>監査事務局</v>
      </c>
      <c r="B251" s="5" t="n">
        <f aca="false">IFERROR(MATCH(ホーム!$C$4&amp;"|"&amp;A251,報告入力!$CM$7:$CM$696,0),"")</f>
        <v>330</v>
      </c>
      <c r="C251" s="5" t="str">
        <f aca="false">IF(B251="","",INDEX(報告入力!$C$7:$C$696,B251))</f>
        <v>未受領</v>
      </c>
      <c r="D251" s="5" t="str">
        <f aca="false">設定!$A$40</f>
        <v>短期経理</v>
      </c>
      <c r="E251" s="5" t="str">
        <f aca="false">設定!$B$40&amp;""</f>
        <v/>
      </c>
      <c r="F251" s="5" t="str">
        <f aca="false">設定!$D$52&amp;""</f>
        <v/>
      </c>
      <c r="G251" s="5" t="str">
        <f aca="false">設定!$E$52&amp;""</f>
        <v/>
      </c>
      <c r="H251" s="5" t="n">
        <f aca="false">IF(B251="",0,N(INDEX(報告入力!$BE$7:$BE$696,B251)))</f>
        <v>851727</v>
      </c>
      <c r="I251" s="5" t="str">
        <f aca="false">設定!$C$40&amp;""</f>
        <v/>
      </c>
      <c r="J251" s="5" t="str">
        <f aca="false">設定!$D$40&amp;""</f>
        <v/>
      </c>
      <c r="K251" s="5" t="n">
        <f aca="false">IF(AND(H251&lt;&gt;0,IF(設定!$B$6="入金確認済のみ",C251="入金確認済",OR(C251="入金確認済",C251="受領済"))),1,0)</f>
        <v>0</v>
      </c>
      <c r="L251" s="5" t="str">
        <f aca="false">2&amp;"|"&amp;8</f>
        <v>2|8</v>
      </c>
      <c r="M251" s="5" t="n">
        <f aca="false">IF(L251=L250,M250,0)+K251</f>
        <v>0</v>
      </c>
      <c r="N251" s="5" t="n">
        <f aca="false">IF(AND(K251=1,M251=1),1,0)</f>
        <v>0</v>
      </c>
      <c r="O251" s="5" t="str">
        <f aca="false">IF(K251=1,MAX($O$5:O250)+1,"")</f>
        <v/>
      </c>
      <c r="P251" s="5" t="str">
        <f aca="false">IF(K251=1,SUM($N$6:N251),"")</f>
        <v/>
      </c>
      <c r="Q251" s="5" t="str">
        <f aca="false">IF(K251=1,SUMIFS($H$6:$H$511,$L$6:$L$511,L251,$K$6:$K$511,1),"")</f>
        <v/>
      </c>
      <c r="R251" s="103" t="str">
        <f aca="false">IF(B251="","",IF(INDEX(報告入力!$AB$7:$AB$696,B251)="","",INDEX(報告入力!$AB$7:$AB$696,B251)))</f>
        <v/>
      </c>
      <c r="S251" s="5" t="str">
        <f aca="false">設定!$C$52</f>
        <v>短期：負担金</v>
      </c>
    </row>
    <row r="252" customFormat="false" ht="15" hidden="false" customHeight="false" outlineLevel="0" collapsed="false">
      <c r="A252" s="5" t="str">
        <f aca="false">設定!B69</f>
        <v>農業委員会</v>
      </c>
      <c r="B252" s="5" t="n">
        <f aca="false">IFERROR(MATCH(ホーム!$C$4&amp;"|"&amp;A252,報告入力!$CM$7:$CM$696,0),"")</f>
        <v>331</v>
      </c>
      <c r="C252" s="5" t="str">
        <f aca="false">IF(B252="","",INDEX(報告入力!$C$7:$C$696,B252))</f>
        <v>未受領</v>
      </c>
      <c r="D252" s="5" t="str">
        <f aca="false">設定!$A$40</f>
        <v>短期経理</v>
      </c>
      <c r="E252" s="5" t="str">
        <f aca="false">設定!$B$40&amp;""</f>
        <v/>
      </c>
      <c r="F252" s="5" t="str">
        <f aca="false">設定!$D$51&amp;""</f>
        <v/>
      </c>
      <c r="G252" s="5" t="str">
        <f aca="false">設定!$E$51&amp;""</f>
        <v/>
      </c>
      <c r="H252" s="5" t="n">
        <f aca="false">IF(B252="",0,N(INDEX(報告入力!$BD$7:$BD$696,B252)))</f>
        <v>308930</v>
      </c>
      <c r="I252" s="5" t="str">
        <f aca="false">設定!$C$40&amp;""</f>
        <v/>
      </c>
      <c r="J252" s="5" t="str">
        <f aca="false">設定!$D$40&amp;""</f>
        <v/>
      </c>
      <c r="K252" s="5" t="n">
        <f aca="false">IF(AND(H252&lt;&gt;0,IF(設定!$B$6="入金確認済のみ",C252="入金確認済",OR(C252="入金確認済",C252="受領済"))),1,0)</f>
        <v>0</v>
      </c>
      <c r="L252" s="5" t="str">
        <f aca="false">2&amp;"|"&amp;9</f>
        <v>2|9</v>
      </c>
      <c r="M252" s="5" t="n">
        <f aca="false">IF(L252=L251,M251,0)+K252</f>
        <v>0</v>
      </c>
      <c r="N252" s="5" t="n">
        <f aca="false">IF(AND(K252=1,M252=1),1,0)</f>
        <v>0</v>
      </c>
      <c r="O252" s="5" t="str">
        <f aca="false">IF(K252=1,MAX($O$5:O251)+1,"")</f>
        <v/>
      </c>
      <c r="P252" s="5" t="str">
        <f aca="false">IF(K252=1,SUM($N$6:N252),"")</f>
        <v/>
      </c>
      <c r="Q252" s="5" t="str">
        <f aca="false">IF(K252=1,SUMIFS($H$6:$H$511,$L$6:$L$511,L252,$K$6:$K$511,1),"")</f>
        <v/>
      </c>
      <c r="R252" s="103" t="str">
        <f aca="false">IF(B252="","",IF(INDEX(報告入力!$AB$7:$AB$696,B252)="","",INDEX(報告入力!$AB$7:$AB$696,B252)))</f>
        <v/>
      </c>
      <c r="S252" s="5" t="str">
        <f aca="false">設定!$C$51</f>
        <v>短期：掛金</v>
      </c>
    </row>
    <row r="253" customFormat="false" ht="15" hidden="false" customHeight="false" outlineLevel="0" collapsed="false">
      <c r="A253" s="5" t="str">
        <f aca="false">設定!B69</f>
        <v>農業委員会</v>
      </c>
      <c r="B253" s="5" t="n">
        <f aca="false">IFERROR(MATCH(ホーム!$C$4&amp;"|"&amp;A253,報告入力!$CM$7:$CM$696,0),"")</f>
        <v>331</v>
      </c>
      <c r="C253" s="5" t="str">
        <f aca="false">IF(B253="","",INDEX(報告入力!$C$7:$C$696,B253))</f>
        <v>未受領</v>
      </c>
      <c r="D253" s="5" t="str">
        <f aca="false">設定!$A$40</f>
        <v>短期経理</v>
      </c>
      <c r="E253" s="5" t="str">
        <f aca="false">設定!$B$40&amp;""</f>
        <v/>
      </c>
      <c r="F253" s="5" t="str">
        <f aca="false">設定!$D$52&amp;""</f>
        <v/>
      </c>
      <c r="G253" s="5" t="str">
        <f aca="false">設定!$E$52&amp;""</f>
        <v/>
      </c>
      <c r="H253" s="5" t="n">
        <f aca="false">IF(B253="",0,N(INDEX(報告入力!$BE$7:$BE$696,B253)))</f>
        <v>314382</v>
      </c>
      <c r="I253" s="5" t="str">
        <f aca="false">設定!$C$40&amp;""</f>
        <v/>
      </c>
      <c r="J253" s="5" t="str">
        <f aca="false">設定!$D$40&amp;""</f>
        <v/>
      </c>
      <c r="K253" s="5" t="n">
        <f aca="false">IF(AND(H253&lt;&gt;0,IF(設定!$B$6="入金確認済のみ",C253="入金確認済",OR(C253="入金確認済",C253="受領済"))),1,0)</f>
        <v>0</v>
      </c>
      <c r="L253" s="5" t="str">
        <f aca="false">2&amp;"|"&amp;9</f>
        <v>2|9</v>
      </c>
      <c r="M253" s="5" t="n">
        <f aca="false">IF(L253=L252,M252,0)+K253</f>
        <v>0</v>
      </c>
      <c r="N253" s="5" t="n">
        <f aca="false">IF(AND(K253=1,M253=1),1,0)</f>
        <v>0</v>
      </c>
      <c r="O253" s="5" t="str">
        <f aca="false">IF(K253=1,MAX($O$5:O252)+1,"")</f>
        <v/>
      </c>
      <c r="P253" s="5" t="str">
        <f aca="false">IF(K253=1,SUM($N$6:N253),"")</f>
        <v/>
      </c>
      <c r="Q253" s="5" t="str">
        <f aca="false">IF(K253=1,SUMIFS($H$6:$H$511,$L$6:$L$511,L253,$K$6:$K$511,1),"")</f>
        <v/>
      </c>
      <c r="R253" s="103" t="str">
        <f aca="false">IF(B253="","",IF(INDEX(報告入力!$AB$7:$AB$696,B253)="","",INDEX(報告入力!$AB$7:$AB$696,B253)))</f>
        <v/>
      </c>
      <c r="S253" s="5" t="str">
        <f aca="false">設定!$C$52</f>
        <v>短期：負担金</v>
      </c>
    </row>
    <row r="254" customFormat="false" ht="15" hidden="false" customHeight="false" outlineLevel="0" collapsed="false">
      <c r="A254" s="5" t="str">
        <f aca="false">設定!B70</f>
        <v>水道局</v>
      </c>
      <c r="B254" s="5" t="n">
        <f aca="false">IFERROR(MATCH(ホーム!$C$4&amp;"|"&amp;A254,報告入力!$CM$7:$CM$696,0),"")</f>
        <v>332</v>
      </c>
      <c r="C254" s="5" t="str">
        <f aca="false">IF(B254="","",INDEX(報告入力!$C$7:$C$696,B254))</f>
        <v>未受領</v>
      </c>
      <c r="D254" s="5" t="str">
        <f aca="false">設定!$A$40</f>
        <v>短期経理</v>
      </c>
      <c r="E254" s="5" t="str">
        <f aca="false">設定!$B$40&amp;""</f>
        <v/>
      </c>
      <c r="F254" s="5" t="str">
        <f aca="false">設定!$D$51&amp;""</f>
        <v/>
      </c>
      <c r="G254" s="5" t="str">
        <f aca="false">設定!$E$51&amp;""</f>
        <v/>
      </c>
      <c r="H254" s="5" t="n">
        <f aca="false">IF(B254="",0,N(INDEX(報告入力!$BD$7:$BD$696,B254)))</f>
        <v>14207723</v>
      </c>
      <c r="I254" s="5" t="str">
        <f aca="false">設定!$C$40&amp;""</f>
        <v/>
      </c>
      <c r="J254" s="5" t="str">
        <f aca="false">設定!$D$40&amp;""</f>
        <v/>
      </c>
      <c r="K254" s="5" t="n">
        <f aca="false">IF(AND(H254&lt;&gt;0,IF(設定!$B$6="入金確認済のみ",C254="入金確認済",OR(C254="入金確認済",C254="受領済"))),1,0)</f>
        <v>0</v>
      </c>
      <c r="L254" s="5" t="str">
        <f aca="false">2&amp;"|"&amp;10</f>
        <v>2|10</v>
      </c>
      <c r="M254" s="5" t="n">
        <f aca="false">IF(L254=L253,M253,0)+K254</f>
        <v>0</v>
      </c>
      <c r="N254" s="5" t="n">
        <f aca="false">IF(AND(K254=1,M254=1),1,0)</f>
        <v>0</v>
      </c>
      <c r="O254" s="5" t="str">
        <f aca="false">IF(K254=1,MAX($O$5:O253)+1,"")</f>
        <v/>
      </c>
      <c r="P254" s="5" t="str">
        <f aca="false">IF(K254=1,SUM($N$6:N254),"")</f>
        <v/>
      </c>
      <c r="Q254" s="5" t="str">
        <f aca="false">IF(K254=1,SUMIFS($H$6:$H$511,$L$6:$L$511,L254,$K$6:$K$511,1),"")</f>
        <v/>
      </c>
      <c r="R254" s="103" t="str">
        <f aca="false">IF(B254="","",IF(INDEX(報告入力!$AB$7:$AB$696,B254)="","",INDEX(報告入力!$AB$7:$AB$696,B254)))</f>
        <v/>
      </c>
      <c r="S254" s="5" t="str">
        <f aca="false">設定!$C$51</f>
        <v>短期：掛金</v>
      </c>
    </row>
    <row r="255" customFormat="false" ht="15" hidden="false" customHeight="false" outlineLevel="0" collapsed="false">
      <c r="A255" s="5" t="str">
        <f aca="false">設定!B70</f>
        <v>水道局</v>
      </c>
      <c r="B255" s="5" t="n">
        <f aca="false">IFERROR(MATCH(ホーム!$C$4&amp;"|"&amp;A255,報告入力!$CM$7:$CM$696,0),"")</f>
        <v>332</v>
      </c>
      <c r="C255" s="5" t="str">
        <f aca="false">IF(B255="","",INDEX(報告入力!$C$7:$C$696,B255))</f>
        <v>未受領</v>
      </c>
      <c r="D255" s="5" t="str">
        <f aca="false">設定!$A$40</f>
        <v>短期経理</v>
      </c>
      <c r="E255" s="5" t="str">
        <f aca="false">設定!$B$40&amp;""</f>
        <v/>
      </c>
      <c r="F255" s="5" t="str">
        <f aca="false">設定!$D$52&amp;""</f>
        <v/>
      </c>
      <c r="G255" s="5" t="str">
        <f aca="false">設定!$E$52&amp;""</f>
        <v/>
      </c>
      <c r="H255" s="5" t="n">
        <f aca="false">IF(B255="",0,N(INDEX(報告入力!$BE$7:$BE$696,B255)))</f>
        <v>14461569</v>
      </c>
      <c r="I255" s="5" t="str">
        <f aca="false">設定!$C$40&amp;""</f>
        <v/>
      </c>
      <c r="J255" s="5" t="str">
        <f aca="false">設定!$D$40&amp;""</f>
        <v/>
      </c>
      <c r="K255" s="5" t="n">
        <f aca="false">IF(AND(H255&lt;&gt;0,IF(設定!$B$6="入金確認済のみ",C255="入金確認済",OR(C255="入金確認済",C255="受領済"))),1,0)</f>
        <v>0</v>
      </c>
      <c r="L255" s="5" t="str">
        <f aca="false">2&amp;"|"&amp;10</f>
        <v>2|10</v>
      </c>
      <c r="M255" s="5" t="n">
        <f aca="false">IF(L255=L254,M254,0)+K255</f>
        <v>0</v>
      </c>
      <c r="N255" s="5" t="n">
        <f aca="false">IF(AND(K255=1,M255=1),1,0)</f>
        <v>0</v>
      </c>
      <c r="O255" s="5" t="str">
        <f aca="false">IF(K255=1,MAX($O$5:O254)+1,"")</f>
        <v/>
      </c>
      <c r="P255" s="5" t="str">
        <f aca="false">IF(K255=1,SUM($N$6:N255),"")</f>
        <v/>
      </c>
      <c r="Q255" s="5" t="str">
        <f aca="false">IF(K255=1,SUMIFS($H$6:$H$511,$L$6:$L$511,L255,$K$6:$K$511,1),"")</f>
        <v/>
      </c>
      <c r="R255" s="103" t="str">
        <f aca="false">IF(B255="","",IF(INDEX(報告入力!$AB$7:$AB$696,B255)="","",INDEX(報告入力!$AB$7:$AB$696,B255)))</f>
        <v/>
      </c>
      <c r="S255" s="5" t="str">
        <f aca="false">設定!$C$52</f>
        <v>短期：負担金</v>
      </c>
    </row>
    <row r="256" customFormat="false" ht="15" hidden="false" customHeight="false" outlineLevel="0" collapsed="false">
      <c r="A256" s="5" t="str">
        <f aca="false">設定!B71</f>
        <v>医療政策課(安芸市民)</v>
      </c>
      <c r="B256" s="5" t="n">
        <f aca="false">IFERROR(MATCH(ホーム!$C$4&amp;"|"&amp;A256,報告入力!$CM$7:$CM$696,0),"")</f>
        <v>333</v>
      </c>
      <c r="C256" s="5" t="str">
        <f aca="false">IF(B256="","",INDEX(報告入力!$C$7:$C$696,B256))</f>
        <v>未受領</v>
      </c>
      <c r="D256" s="5" t="str">
        <f aca="false">設定!$A$40</f>
        <v>短期経理</v>
      </c>
      <c r="E256" s="5" t="str">
        <f aca="false">設定!$B$40&amp;""</f>
        <v/>
      </c>
      <c r="F256" s="5" t="str">
        <f aca="false">設定!$D$51&amp;""</f>
        <v/>
      </c>
      <c r="G256" s="5" t="str">
        <f aca="false">設定!$E$51&amp;""</f>
        <v/>
      </c>
      <c r="H256" s="5" t="n">
        <f aca="false">IF(B256="",0,N(INDEX(報告入力!$BD$7:$BD$696,B256)))</f>
        <v>29155</v>
      </c>
      <c r="I256" s="5" t="str">
        <f aca="false">設定!$C$40&amp;""</f>
        <v/>
      </c>
      <c r="J256" s="5" t="str">
        <f aca="false">設定!$D$40&amp;""</f>
        <v/>
      </c>
      <c r="K256" s="5" t="n">
        <f aca="false">IF(AND(H256&lt;&gt;0,IF(設定!$B$6="入金確認済のみ",C256="入金確認済",OR(C256="入金確認済",C256="受領済"))),1,0)</f>
        <v>0</v>
      </c>
      <c r="L256" s="5" t="str">
        <f aca="false">2&amp;"|"&amp;11</f>
        <v>2|11</v>
      </c>
      <c r="M256" s="5" t="n">
        <f aca="false">IF(L256=L255,M255,0)+K256</f>
        <v>0</v>
      </c>
      <c r="N256" s="5" t="n">
        <f aca="false">IF(AND(K256=1,M256=1),1,0)</f>
        <v>0</v>
      </c>
      <c r="O256" s="5" t="str">
        <f aca="false">IF(K256=1,MAX($O$5:O255)+1,"")</f>
        <v/>
      </c>
      <c r="P256" s="5" t="str">
        <f aca="false">IF(K256=1,SUM($N$6:N256),"")</f>
        <v/>
      </c>
      <c r="Q256" s="5" t="str">
        <f aca="false">IF(K256=1,SUMIFS($H$6:$H$511,$L$6:$L$511,L256,$K$6:$K$511,1),"")</f>
        <v/>
      </c>
      <c r="R256" s="103" t="str">
        <f aca="false">IF(B256="","",IF(INDEX(報告入力!$AB$7:$AB$696,B256)="","",INDEX(報告入力!$AB$7:$AB$696,B256)))</f>
        <v/>
      </c>
      <c r="S256" s="5" t="str">
        <f aca="false">設定!$C$51</f>
        <v>短期：掛金</v>
      </c>
    </row>
    <row r="257" customFormat="false" ht="15" hidden="false" customHeight="false" outlineLevel="0" collapsed="false">
      <c r="A257" s="5" t="str">
        <f aca="false">設定!B71</f>
        <v>医療政策課(安芸市民)</v>
      </c>
      <c r="B257" s="5" t="n">
        <f aca="false">IFERROR(MATCH(ホーム!$C$4&amp;"|"&amp;A257,報告入力!$CM$7:$CM$696,0),"")</f>
        <v>333</v>
      </c>
      <c r="C257" s="5" t="str">
        <f aca="false">IF(B257="","",INDEX(報告入力!$C$7:$C$696,B257))</f>
        <v>未受領</v>
      </c>
      <c r="D257" s="5" t="str">
        <f aca="false">設定!$A$40</f>
        <v>短期経理</v>
      </c>
      <c r="E257" s="5" t="str">
        <f aca="false">設定!$B$40&amp;""</f>
        <v/>
      </c>
      <c r="F257" s="5" t="str">
        <f aca="false">設定!$D$52&amp;""</f>
        <v/>
      </c>
      <c r="G257" s="5" t="str">
        <f aca="false">設定!$E$52&amp;""</f>
        <v/>
      </c>
      <c r="H257" s="5" t="n">
        <f aca="false">IF(B257="",0,N(INDEX(報告入力!$BE$7:$BE$696,B257)))</f>
        <v>29669</v>
      </c>
      <c r="I257" s="5" t="str">
        <f aca="false">設定!$C$40&amp;""</f>
        <v/>
      </c>
      <c r="J257" s="5" t="str">
        <f aca="false">設定!$D$40&amp;""</f>
        <v/>
      </c>
      <c r="K257" s="5" t="n">
        <f aca="false">IF(AND(H257&lt;&gt;0,IF(設定!$B$6="入金確認済のみ",C257="入金確認済",OR(C257="入金確認済",C257="受領済"))),1,0)</f>
        <v>0</v>
      </c>
      <c r="L257" s="5" t="str">
        <f aca="false">2&amp;"|"&amp;11</f>
        <v>2|11</v>
      </c>
      <c r="M257" s="5" t="n">
        <f aca="false">IF(L257=L256,M256,0)+K257</f>
        <v>0</v>
      </c>
      <c r="N257" s="5" t="n">
        <f aca="false">IF(AND(K257=1,M257=1),1,0)</f>
        <v>0</v>
      </c>
      <c r="O257" s="5" t="str">
        <f aca="false">IF(K257=1,MAX($O$5:O256)+1,"")</f>
        <v/>
      </c>
      <c r="P257" s="5" t="str">
        <f aca="false">IF(K257=1,SUM($N$6:N257),"")</f>
        <v/>
      </c>
      <c r="Q257" s="5" t="str">
        <f aca="false">IF(K257=1,SUMIFS($H$6:$H$511,$L$6:$L$511,L257,$K$6:$K$511,1),"")</f>
        <v/>
      </c>
      <c r="R257" s="103" t="str">
        <f aca="false">IF(B257="","",IF(INDEX(報告入力!$AB$7:$AB$696,B257)="","",INDEX(報告入力!$AB$7:$AB$696,B257)))</f>
        <v/>
      </c>
      <c r="S257" s="5" t="str">
        <f aca="false">設定!$C$52</f>
        <v>短期：負担金</v>
      </c>
    </row>
    <row r="258" customFormat="false" ht="15" hidden="false" customHeight="false" outlineLevel="0" collapsed="false">
      <c r="A258" s="5" t="str">
        <f aca="false">設定!B72</f>
        <v>教育委員会（教育給与課）</v>
      </c>
      <c r="B258" s="5" t="n">
        <f aca="false">IFERROR(MATCH(ホーム!$C$4&amp;"|"&amp;A258,報告入力!$CM$7:$CM$696,0),"")</f>
        <v>334</v>
      </c>
      <c r="C258" s="5" t="str">
        <f aca="false">IF(B258="","",INDEX(報告入力!$C$7:$C$696,B258))</f>
        <v>未受領</v>
      </c>
      <c r="D258" s="5" t="str">
        <f aca="false">設定!$A$40</f>
        <v>短期経理</v>
      </c>
      <c r="E258" s="5" t="str">
        <f aca="false">設定!$B$40&amp;""</f>
        <v/>
      </c>
      <c r="F258" s="5" t="str">
        <f aca="false">設定!$D$51&amp;""</f>
        <v/>
      </c>
      <c r="G258" s="5" t="str">
        <f aca="false">設定!$E$51&amp;""</f>
        <v/>
      </c>
      <c r="H258" s="5" t="n">
        <f aca="false">IF(B258="",0,N(INDEX(報告入力!$BD$7:$BD$696,B258)))</f>
        <v>264840</v>
      </c>
      <c r="I258" s="5" t="str">
        <f aca="false">設定!$C$40&amp;""</f>
        <v/>
      </c>
      <c r="J258" s="5" t="str">
        <f aca="false">設定!$D$40&amp;""</f>
        <v/>
      </c>
      <c r="K258" s="5" t="n">
        <f aca="false">IF(AND(H258&lt;&gt;0,IF(設定!$B$6="入金確認済のみ",C258="入金確認済",OR(C258="入金確認済",C258="受領済"))),1,0)</f>
        <v>0</v>
      </c>
      <c r="L258" s="5" t="str">
        <f aca="false">2&amp;"|"&amp;12</f>
        <v>2|12</v>
      </c>
      <c r="M258" s="5" t="n">
        <f aca="false">IF(L258=L257,M257,0)+K258</f>
        <v>0</v>
      </c>
      <c r="N258" s="5" t="n">
        <f aca="false">IF(AND(K258=1,M258=1),1,0)</f>
        <v>0</v>
      </c>
      <c r="O258" s="5" t="str">
        <f aca="false">IF(K258=1,MAX($O$5:O257)+1,"")</f>
        <v/>
      </c>
      <c r="P258" s="5" t="str">
        <f aca="false">IF(K258=1,SUM($N$6:N258),"")</f>
        <v/>
      </c>
      <c r="Q258" s="5" t="str">
        <f aca="false">IF(K258=1,SUMIFS($H$6:$H$511,$L$6:$L$511,L258,$K$6:$K$511,1),"")</f>
        <v/>
      </c>
      <c r="R258" s="103" t="str">
        <f aca="false">IF(B258="","",IF(INDEX(報告入力!$AB$7:$AB$696,B258)="","",INDEX(報告入力!$AB$7:$AB$696,B258)))</f>
        <v/>
      </c>
      <c r="S258" s="5" t="str">
        <f aca="false">設定!$C$51</f>
        <v>短期：掛金</v>
      </c>
    </row>
    <row r="259" customFormat="false" ht="15" hidden="false" customHeight="false" outlineLevel="0" collapsed="false">
      <c r="A259" s="5" t="str">
        <f aca="false">設定!B72</f>
        <v>教育委員会（教育給与課）</v>
      </c>
      <c r="B259" s="5" t="n">
        <f aca="false">IFERROR(MATCH(ホーム!$C$4&amp;"|"&amp;A259,報告入力!$CM$7:$CM$696,0),"")</f>
        <v>334</v>
      </c>
      <c r="C259" s="5" t="str">
        <f aca="false">IF(B259="","",INDEX(報告入力!$C$7:$C$696,B259))</f>
        <v>未受領</v>
      </c>
      <c r="D259" s="5" t="str">
        <f aca="false">設定!$A$40</f>
        <v>短期経理</v>
      </c>
      <c r="E259" s="5" t="str">
        <f aca="false">設定!$B$40&amp;""</f>
        <v/>
      </c>
      <c r="F259" s="5" t="str">
        <f aca="false">設定!$D$52&amp;""</f>
        <v/>
      </c>
      <c r="G259" s="5" t="str">
        <f aca="false">設定!$E$52&amp;""</f>
        <v/>
      </c>
      <c r="H259" s="5" t="n">
        <f aca="false">IF(B259="",0,N(INDEX(報告入力!$BE$7:$BE$696,B259)))</f>
        <v>257493</v>
      </c>
      <c r="I259" s="5" t="str">
        <f aca="false">設定!$C$40&amp;""</f>
        <v/>
      </c>
      <c r="J259" s="5" t="str">
        <f aca="false">設定!$D$40&amp;""</f>
        <v/>
      </c>
      <c r="K259" s="5" t="n">
        <f aca="false">IF(AND(H259&lt;&gt;0,IF(設定!$B$6="入金確認済のみ",C259="入金確認済",OR(C259="入金確認済",C259="受領済"))),1,0)</f>
        <v>0</v>
      </c>
      <c r="L259" s="5" t="str">
        <f aca="false">2&amp;"|"&amp;12</f>
        <v>2|12</v>
      </c>
      <c r="M259" s="5" t="n">
        <f aca="false">IF(L259=L258,M258,0)+K259</f>
        <v>0</v>
      </c>
      <c r="N259" s="5" t="n">
        <f aca="false">IF(AND(K259=1,M259=1),1,0)</f>
        <v>0</v>
      </c>
      <c r="O259" s="5" t="str">
        <f aca="false">IF(K259=1,MAX($O$5:O258)+1,"")</f>
        <v/>
      </c>
      <c r="P259" s="5" t="str">
        <f aca="false">IF(K259=1,SUM($N$6:N259),"")</f>
        <v/>
      </c>
      <c r="Q259" s="5" t="str">
        <f aca="false">IF(K259=1,SUMIFS($H$6:$H$511,$L$6:$L$511,L259,$K$6:$K$511,1),"")</f>
        <v/>
      </c>
      <c r="R259" s="103" t="str">
        <f aca="false">IF(B259="","",IF(INDEX(報告入力!$AB$7:$AB$696,B259)="","",INDEX(報告入力!$AB$7:$AB$696,B259)))</f>
        <v/>
      </c>
      <c r="S259" s="5" t="str">
        <f aca="false">設定!$C$52</f>
        <v>短期：負担金</v>
      </c>
    </row>
    <row r="260" customFormat="false" ht="15" hidden="false" customHeight="false" outlineLevel="0" collapsed="false">
      <c r="A260" s="5" t="str">
        <f aca="false">設定!B73</f>
        <v>地方税共同機構</v>
      </c>
      <c r="B260" s="5" t="n">
        <f aca="false">IFERROR(MATCH(ホーム!$C$4&amp;"|"&amp;A260,報告入力!$CM$7:$CM$696,0),"")</f>
        <v>335</v>
      </c>
      <c r="C260" s="5" t="str">
        <f aca="false">IF(B260="","",INDEX(報告入力!$C$7:$C$696,B260))</f>
        <v>報告なし</v>
      </c>
      <c r="D260" s="5" t="str">
        <f aca="false">設定!$A$40</f>
        <v>短期経理</v>
      </c>
      <c r="E260" s="5" t="str">
        <f aca="false">設定!$B$40&amp;""</f>
        <v/>
      </c>
      <c r="F260" s="5" t="str">
        <f aca="false">設定!$D$51&amp;""</f>
        <v/>
      </c>
      <c r="G260" s="5" t="str">
        <f aca="false">設定!$E$51&amp;""</f>
        <v/>
      </c>
      <c r="H260" s="5" t="n">
        <f aca="false">IF(B260="",0,N(INDEX(報告入力!$BD$7:$BD$696,B260)))</f>
        <v>0</v>
      </c>
      <c r="I260" s="5" t="str">
        <f aca="false">設定!$C$40&amp;""</f>
        <v/>
      </c>
      <c r="J260" s="5" t="str">
        <f aca="false">設定!$D$40&amp;""</f>
        <v/>
      </c>
      <c r="K260" s="5" t="n">
        <f aca="false">IF(AND(H260&lt;&gt;0,IF(設定!$B$6="入金確認済のみ",C260="入金確認済",OR(C260="入金確認済",C260="受領済"))),1,0)</f>
        <v>0</v>
      </c>
      <c r="L260" s="5" t="str">
        <f aca="false">2&amp;"|"&amp;13</f>
        <v>2|13</v>
      </c>
      <c r="M260" s="5" t="n">
        <f aca="false">IF(L260=L259,M259,0)+K260</f>
        <v>0</v>
      </c>
      <c r="N260" s="5" t="n">
        <f aca="false">IF(AND(K260=1,M260=1),1,0)</f>
        <v>0</v>
      </c>
      <c r="O260" s="5" t="str">
        <f aca="false">IF(K260=1,MAX($O$5:O259)+1,"")</f>
        <v/>
      </c>
      <c r="P260" s="5" t="str">
        <f aca="false">IF(K260=1,SUM($N$6:N260),"")</f>
        <v/>
      </c>
      <c r="Q260" s="5" t="str">
        <f aca="false">IF(K260=1,SUMIFS($H$6:$H$511,$L$6:$L$511,L260,$K$6:$K$511,1),"")</f>
        <v/>
      </c>
      <c r="R260" s="103" t="str">
        <f aca="false">IF(B260="","",IF(INDEX(報告入力!$AB$7:$AB$696,B260)="","",INDEX(報告入力!$AB$7:$AB$696,B260)))</f>
        <v/>
      </c>
      <c r="S260" s="5" t="str">
        <f aca="false">設定!$C$51</f>
        <v>短期：掛金</v>
      </c>
    </row>
    <row r="261" customFormat="false" ht="15" hidden="false" customHeight="false" outlineLevel="0" collapsed="false">
      <c r="A261" s="5" t="str">
        <f aca="false">設定!B73</f>
        <v>地方税共同機構</v>
      </c>
      <c r="B261" s="5" t="n">
        <f aca="false">IFERROR(MATCH(ホーム!$C$4&amp;"|"&amp;A261,報告入力!$CM$7:$CM$696,0),"")</f>
        <v>335</v>
      </c>
      <c r="C261" s="5" t="str">
        <f aca="false">IF(B261="","",INDEX(報告入力!$C$7:$C$696,B261))</f>
        <v>報告なし</v>
      </c>
      <c r="D261" s="5" t="str">
        <f aca="false">設定!$A$40</f>
        <v>短期経理</v>
      </c>
      <c r="E261" s="5" t="str">
        <f aca="false">設定!$B$40&amp;""</f>
        <v/>
      </c>
      <c r="F261" s="5" t="str">
        <f aca="false">設定!$D$52&amp;""</f>
        <v/>
      </c>
      <c r="G261" s="5" t="str">
        <f aca="false">設定!$E$52&amp;""</f>
        <v/>
      </c>
      <c r="H261" s="5" t="n">
        <f aca="false">IF(B261="",0,N(INDEX(報告入力!$BE$7:$BE$696,B261)))</f>
        <v>0</v>
      </c>
      <c r="I261" s="5" t="str">
        <f aca="false">設定!$C$40&amp;""</f>
        <v/>
      </c>
      <c r="J261" s="5" t="str">
        <f aca="false">設定!$D$40&amp;""</f>
        <v/>
      </c>
      <c r="K261" s="5" t="n">
        <f aca="false">IF(AND(H261&lt;&gt;0,IF(設定!$B$6="入金確認済のみ",C261="入金確認済",OR(C261="入金確認済",C261="受領済"))),1,0)</f>
        <v>0</v>
      </c>
      <c r="L261" s="5" t="str">
        <f aca="false">2&amp;"|"&amp;13</f>
        <v>2|13</v>
      </c>
      <c r="M261" s="5" t="n">
        <f aca="false">IF(L261=L260,M260,0)+K261</f>
        <v>0</v>
      </c>
      <c r="N261" s="5" t="n">
        <f aca="false">IF(AND(K261=1,M261=1),1,0)</f>
        <v>0</v>
      </c>
      <c r="O261" s="5" t="str">
        <f aca="false">IF(K261=1,MAX($O$5:O260)+1,"")</f>
        <v/>
      </c>
      <c r="P261" s="5" t="str">
        <f aca="false">IF(K261=1,SUM($N$6:N261),"")</f>
        <v/>
      </c>
      <c r="Q261" s="5" t="str">
        <f aca="false">IF(K261=1,SUMIFS($H$6:$H$511,$L$6:$L$511,L261,$K$6:$K$511,1),"")</f>
        <v/>
      </c>
      <c r="R261" s="103" t="str">
        <f aca="false">IF(B261="","",IF(INDEX(報告入力!$AB$7:$AB$696,B261)="","",INDEX(報告入力!$AB$7:$AB$696,B261)))</f>
        <v/>
      </c>
      <c r="S261" s="5" t="str">
        <f aca="false">設定!$C$52</f>
        <v>短期：負担金</v>
      </c>
    </row>
    <row r="262" customFormat="false" ht="15" hidden="false" customHeight="false" outlineLevel="0" collapsed="false">
      <c r="A262" s="5" t="str">
        <f aca="false">設定!B74</f>
        <v>平和文化センター</v>
      </c>
      <c r="B262" s="5" t="n">
        <f aca="false">IFERROR(MATCH(ホーム!$C$4&amp;"|"&amp;A262,報告入力!$CM$7:$CM$696,0),"")</f>
        <v>336</v>
      </c>
      <c r="C262" s="5" t="str">
        <f aca="false">IF(B262="","",INDEX(報告入力!$C$7:$C$696,B262))</f>
        <v>未受領</v>
      </c>
      <c r="D262" s="5" t="str">
        <f aca="false">設定!$A$40</f>
        <v>短期経理</v>
      </c>
      <c r="E262" s="5" t="str">
        <f aca="false">設定!$B$40&amp;""</f>
        <v/>
      </c>
      <c r="F262" s="5" t="str">
        <f aca="false">設定!$D$51&amp;""</f>
        <v/>
      </c>
      <c r="G262" s="5" t="str">
        <f aca="false">設定!$E$51&amp;""</f>
        <v/>
      </c>
      <c r="H262" s="5" t="n">
        <f aca="false">IF(B262="",0,N(INDEX(報告入力!$BD$7:$BD$696,B262)))</f>
        <v>0</v>
      </c>
      <c r="I262" s="5" t="str">
        <f aca="false">設定!$C$40&amp;""</f>
        <v/>
      </c>
      <c r="J262" s="5" t="str">
        <f aca="false">設定!$D$40&amp;""</f>
        <v/>
      </c>
      <c r="K262" s="5" t="n">
        <f aca="false">IF(AND(H262&lt;&gt;0,IF(設定!$B$6="入金確認済のみ",C262="入金確認済",OR(C262="入金確認済",C262="受領済"))),1,0)</f>
        <v>0</v>
      </c>
      <c r="L262" s="5" t="str">
        <f aca="false">2&amp;"|"&amp;14</f>
        <v>2|14</v>
      </c>
      <c r="M262" s="5" t="n">
        <f aca="false">IF(L262=L261,M261,0)+K262</f>
        <v>0</v>
      </c>
      <c r="N262" s="5" t="n">
        <f aca="false">IF(AND(K262=1,M262=1),1,0)</f>
        <v>0</v>
      </c>
      <c r="O262" s="5" t="str">
        <f aca="false">IF(K262=1,MAX($O$5:O261)+1,"")</f>
        <v/>
      </c>
      <c r="P262" s="5" t="str">
        <f aca="false">IF(K262=1,SUM($N$6:N262),"")</f>
        <v/>
      </c>
      <c r="Q262" s="5" t="str">
        <f aca="false">IF(K262=1,SUMIFS($H$6:$H$511,$L$6:$L$511,L262,$K$6:$K$511,1),"")</f>
        <v/>
      </c>
      <c r="R262" s="103" t="str">
        <f aca="false">IF(B262="","",IF(INDEX(報告入力!$AB$7:$AB$696,B262)="","",INDEX(報告入力!$AB$7:$AB$696,B262)))</f>
        <v/>
      </c>
      <c r="S262" s="5" t="str">
        <f aca="false">設定!$C$51</f>
        <v>短期：掛金</v>
      </c>
    </row>
    <row r="263" customFormat="false" ht="15" hidden="false" customHeight="false" outlineLevel="0" collapsed="false">
      <c r="A263" s="5" t="str">
        <f aca="false">設定!B74</f>
        <v>平和文化センター</v>
      </c>
      <c r="B263" s="5" t="n">
        <f aca="false">IFERROR(MATCH(ホーム!$C$4&amp;"|"&amp;A263,報告入力!$CM$7:$CM$696,0),"")</f>
        <v>336</v>
      </c>
      <c r="C263" s="5" t="str">
        <f aca="false">IF(B263="","",INDEX(報告入力!$C$7:$C$696,B263))</f>
        <v>未受領</v>
      </c>
      <c r="D263" s="5" t="str">
        <f aca="false">設定!$A$40</f>
        <v>短期経理</v>
      </c>
      <c r="E263" s="5" t="str">
        <f aca="false">設定!$B$40&amp;""</f>
        <v/>
      </c>
      <c r="F263" s="5" t="str">
        <f aca="false">設定!$D$52&amp;""</f>
        <v/>
      </c>
      <c r="G263" s="5" t="str">
        <f aca="false">設定!$E$52&amp;""</f>
        <v/>
      </c>
      <c r="H263" s="5" t="n">
        <f aca="false">IF(B263="",0,N(INDEX(報告入力!$BE$7:$BE$696,B263)))</f>
        <v>420489</v>
      </c>
      <c r="I263" s="5" t="str">
        <f aca="false">設定!$C$40&amp;""</f>
        <v/>
      </c>
      <c r="J263" s="5" t="str">
        <f aca="false">設定!$D$40&amp;""</f>
        <v/>
      </c>
      <c r="K263" s="5" t="n">
        <f aca="false">IF(AND(H263&lt;&gt;0,IF(設定!$B$6="入金確認済のみ",C263="入金確認済",OR(C263="入金確認済",C263="受領済"))),1,0)</f>
        <v>0</v>
      </c>
      <c r="L263" s="5" t="str">
        <f aca="false">2&amp;"|"&amp;14</f>
        <v>2|14</v>
      </c>
      <c r="M263" s="5" t="n">
        <f aca="false">IF(L263=L262,M262,0)+K263</f>
        <v>0</v>
      </c>
      <c r="N263" s="5" t="n">
        <f aca="false">IF(AND(K263=1,M263=1),1,0)</f>
        <v>0</v>
      </c>
      <c r="O263" s="5" t="str">
        <f aca="false">IF(K263=1,MAX($O$5:O262)+1,"")</f>
        <v/>
      </c>
      <c r="P263" s="5" t="str">
        <f aca="false">IF(K263=1,SUM($N$6:N263),"")</f>
        <v/>
      </c>
      <c r="Q263" s="5" t="str">
        <f aca="false">IF(K263=1,SUMIFS($H$6:$H$511,$L$6:$L$511,L263,$K$6:$K$511,1),"")</f>
        <v/>
      </c>
      <c r="R263" s="103" t="str">
        <f aca="false">IF(B263="","",IF(INDEX(報告入力!$AB$7:$AB$696,B263)="","",INDEX(報告入力!$AB$7:$AB$696,B263)))</f>
        <v/>
      </c>
      <c r="S263" s="5" t="str">
        <f aca="false">設定!$C$52</f>
        <v>短期：負担金</v>
      </c>
    </row>
    <row r="264" customFormat="false" ht="15" hidden="false" customHeight="false" outlineLevel="0" collapsed="false">
      <c r="A264" s="5" t="str">
        <f aca="false">設定!B75</f>
        <v>社会福祉事業団</v>
      </c>
      <c r="B264" s="5" t="n">
        <f aca="false">IFERROR(MATCH(ホーム!$C$4&amp;"|"&amp;A264,報告入力!$CM$7:$CM$696,0),"")</f>
        <v>337</v>
      </c>
      <c r="C264" s="5" t="str">
        <f aca="false">IF(B264="","",INDEX(報告入力!$C$7:$C$696,B264))</f>
        <v>未受領</v>
      </c>
      <c r="D264" s="5" t="str">
        <f aca="false">設定!$A$40</f>
        <v>短期経理</v>
      </c>
      <c r="E264" s="5" t="str">
        <f aca="false">設定!$B$40&amp;""</f>
        <v/>
      </c>
      <c r="F264" s="5" t="str">
        <f aca="false">設定!$D$51&amp;""</f>
        <v/>
      </c>
      <c r="G264" s="5" t="str">
        <f aca="false">設定!$E$51&amp;""</f>
        <v/>
      </c>
      <c r="H264" s="5" t="n">
        <f aca="false">IF(B264="",0,N(INDEX(報告入力!$BD$7:$BD$696,B264)))</f>
        <v>0</v>
      </c>
      <c r="I264" s="5" t="str">
        <f aca="false">設定!$C$40&amp;""</f>
        <v/>
      </c>
      <c r="J264" s="5" t="str">
        <f aca="false">設定!$D$40&amp;""</f>
        <v/>
      </c>
      <c r="K264" s="5" t="n">
        <f aca="false">IF(AND(H264&lt;&gt;0,IF(設定!$B$6="入金確認済のみ",C264="入金確認済",OR(C264="入金確認済",C264="受領済"))),1,0)</f>
        <v>0</v>
      </c>
      <c r="L264" s="5" t="str">
        <f aca="false">2&amp;"|"&amp;15</f>
        <v>2|15</v>
      </c>
      <c r="M264" s="5" t="n">
        <f aca="false">IF(L264=L263,M263,0)+K264</f>
        <v>0</v>
      </c>
      <c r="N264" s="5" t="n">
        <f aca="false">IF(AND(K264=1,M264=1),1,0)</f>
        <v>0</v>
      </c>
      <c r="O264" s="5" t="str">
        <f aca="false">IF(K264=1,MAX($O$5:O263)+1,"")</f>
        <v/>
      </c>
      <c r="P264" s="5" t="str">
        <f aca="false">IF(K264=1,SUM($N$6:N264),"")</f>
        <v/>
      </c>
      <c r="Q264" s="5" t="str">
        <f aca="false">IF(K264=1,SUMIFS($H$6:$H$511,$L$6:$L$511,L264,$K$6:$K$511,1),"")</f>
        <v/>
      </c>
      <c r="R264" s="103" t="str">
        <f aca="false">IF(B264="","",IF(INDEX(報告入力!$AB$7:$AB$696,B264)="","",INDEX(報告入力!$AB$7:$AB$696,B264)))</f>
        <v/>
      </c>
      <c r="S264" s="5" t="str">
        <f aca="false">設定!$C$51</f>
        <v>短期：掛金</v>
      </c>
    </row>
    <row r="265" customFormat="false" ht="15" hidden="false" customHeight="false" outlineLevel="0" collapsed="false">
      <c r="A265" s="5" t="str">
        <f aca="false">設定!B75</f>
        <v>社会福祉事業団</v>
      </c>
      <c r="B265" s="5" t="n">
        <f aca="false">IFERROR(MATCH(ホーム!$C$4&amp;"|"&amp;A265,報告入力!$CM$7:$CM$696,0),"")</f>
        <v>337</v>
      </c>
      <c r="C265" s="5" t="str">
        <f aca="false">IF(B265="","",INDEX(報告入力!$C$7:$C$696,B265))</f>
        <v>未受領</v>
      </c>
      <c r="D265" s="5" t="str">
        <f aca="false">設定!$A$40</f>
        <v>短期経理</v>
      </c>
      <c r="E265" s="5" t="str">
        <f aca="false">設定!$B$40&amp;""</f>
        <v/>
      </c>
      <c r="F265" s="5" t="str">
        <f aca="false">設定!$D$52&amp;""</f>
        <v/>
      </c>
      <c r="G265" s="5" t="str">
        <f aca="false">設定!$E$52&amp;""</f>
        <v/>
      </c>
      <c r="H265" s="5" t="n">
        <f aca="false">IF(B265="",0,N(INDEX(報告入力!$BE$7:$BE$696,B265)))</f>
        <v>1271974</v>
      </c>
      <c r="I265" s="5" t="str">
        <f aca="false">設定!$C$40&amp;""</f>
        <v/>
      </c>
      <c r="J265" s="5" t="str">
        <f aca="false">設定!$D$40&amp;""</f>
        <v/>
      </c>
      <c r="K265" s="5" t="n">
        <f aca="false">IF(AND(H265&lt;&gt;0,IF(設定!$B$6="入金確認済のみ",C265="入金確認済",OR(C265="入金確認済",C265="受領済"))),1,0)</f>
        <v>0</v>
      </c>
      <c r="L265" s="5" t="str">
        <f aca="false">2&amp;"|"&amp;15</f>
        <v>2|15</v>
      </c>
      <c r="M265" s="5" t="n">
        <f aca="false">IF(L265=L264,M264,0)+K265</f>
        <v>0</v>
      </c>
      <c r="N265" s="5" t="n">
        <f aca="false">IF(AND(K265=1,M265=1),1,0)</f>
        <v>0</v>
      </c>
      <c r="O265" s="5" t="str">
        <f aca="false">IF(K265=1,MAX($O$5:O264)+1,"")</f>
        <v/>
      </c>
      <c r="P265" s="5" t="str">
        <f aca="false">IF(K265=1,SUM($N$6:N265),"")</f>
        <v/>
      </c>
      <c r="Q265" s="5" t="str">
        <f aca="false">IF(K265=1,SUMIFS($H$6:$H$511,$L$6:$L$511,L265,$K$6:$K$511,1),"")</f>
        <v/>
      </c>
      <c r="R265" s="103" t="str">
        <f aca="false">IF(B265="","",IF(INDEX(報告入力!$AB$7:$AB$696,B265)="","",INDEX(報告入力!$AB$7:$AB$696,B265)))</f>
        <v/>
      </c>
      <c r="S265" s="5" t="str">
        <f aca="false">設定!$C$52</f>
        <v>短期：負担金</v>
      </c>
    </row>
    <row r="266" customFormat="false" ht="15" hidden="false" customHeight="false" outlineLevel="0" collapsed="false">
      <c r="A266" s="5" t="str">
        <f aca="false">設定!B76</f>
        <v>原爆障害対策協議会</v>
      </c>
      <c r="B266" s="5" t="n">
        <f aca="false">IFERROR(MATCH(ホーム!$C$4&amp;"|"&amp;A266,報告入力!$CM$7:$CM$696,0),"")</f>
        <v>338</v>
      </c>
      <c r="C266" s="5" t="str">
        <f aca="false">IF(B266="","",INDEX(報告入力!$C$7:$C$696,B266))</f>
        <v>未受領</v>
      </c>
      <c r="D266" s="5" t="str">
        <f aca="false">設定!$A$40</f>
        <v>短期経理</v>
      </c>
      <c r="E266" s="5" t="str">
        <f aca="false">設定!$B$40&amp;""</f>
        <v/>
      </c>
      <c r="F266" s="5" t="str">
        <f aca="false">設定!$D$51&amp;""</f>
        <v/>
      </c>
      <c r="G266" s="5" t="str">
        <f aca="false">設定!$E$51&amp;""</f>
        <v/>
      </c>
      <c r="H266" s="5" t="n">
        <f aca="false">IF(B266="",0,N(INDEX(報告入力!$BD$7:$BD$696,B266)))</f>
        <v>0</v>
      </c>
      <c r="I266" s="5" t="str">
        <f aca="false">設定!$C$40&amp;""</f>
        <v/>
      </c>
      <c r="J266" s="5" t="str">
        <f aca="false">設定!$D$40&amp;""</f>
        <v/>
      </c>
      <c r="K266" s="5" t="n">
        <f aca="false">IF(AND(H266&lt;&gt;0,IF(設定!$B$6="入金確認済のみ",C266="入金確認済",OR(C266="入金確認済",C266="受領済"))),1,0)</f>
        <v>0</v>
      </c>
      <c r="L266" s="5" t="str">
        <f aca="false">2&amp;"|"&amp;16</f>
        <v>2|16</v>
      </c>
      <c r="M266" s="5" t="n">
        <f aca="false">IF(L266=L265,M265,0)+K266</f>
        <v>0</v>
      </c>
      <c r="N266" s="5" t="n">
        <f aca="false">IF(AND(K266=1,M266=1),1,0)</f>
        <v>0</v>
      </c>
      <c r="O266" s="5" t="str">
        <f aca="false">IF(K266=1,MAX($O$5:O265)+1,"")</f>
        <v/>
      </c>
      <c r="P266" s="5" t="str">
        <f aca="false">IF(K266=1,SUM($N$6:N266),"")</f>
        <v/>
      </c>
      <c r="Q266" s="5" t="str">
        <f aca="false">IF(K266=1,SUMIFS($H$6:$H$511,$L$6:$L$511,L266,$K$6:$K$511,1),"")</f>
        <v/>
      </c>
      <c r="R266" s="103" t="str">
        <f aca="false">IF(B266="","",IF(INDEX(報告入力!$AB$7:$AB$696,B266)="","",INDEX(報告入力!$AB$7:$AB$696,B266)))</f>
        <v/>
      </c>
      <c r="S266" s="5" t="str">
        <f aca="false">設定!$C$51</f>
        <v>短期：掛金</v>
      </c>
    </row>
    <row r="267" customFormat="false" ht="15" hidden="false" customHeight="false" outlineLevel="0" collapsed="false">
      <c r="A267" s="5" t="str">
        <f aca="false">設定!B76</f>
        <v>原爆障害対策協議会</v>
      </c>
      <c r="B267" s="5" t="n">
        <f aca="false">IFERROR(MATCH(ホーム!$C$4&amp;"|"&amp;A267,報告入力!$CM$7:$CM$696,0),"")</f>
        <v>338</v>
      </c>
      <c r="C267" s="5" t="str">
        <f aca="false">IF(B267="","",INDEX(報告入力!$C$7:$C$696,B267))</f>
        <v>未受領</v>
      </c>
      <c r="D267" s="5" t="str">
        <f aca="false">設定!$A$40</f>
        <v>短期経理</v>
      </c>
      <c r="E267" s="5" t="str">
        <f aca="false">設定!$B$40&amp;""</f>
        <v/>
      </c>
      <c r="F267" s="5" t="str">
        <f aca="false">設定!$D$52&amp;""</f>
        <v/>
      </c>
      <c r="G267" s="5" t="str">
        <f aca="false">設定!$E$52&amp;""</f>
        <v/>
      </c>
      <c r="H267" s="5" t="n">
        <f aca="false">IF(B267="",0,N(INDEX(報告入力!$BE$7:$BE$696,B267)))</f>
        <v>29208</v>
      </c>
      <c r="I267" s="5" t="str">
        <f aca="false">設定!$C$40&amp;""</f>
        <v/>
      </c>
      <c r="J267" s="5" t="str">
        <f aca="false">設定!$D$40&amp;""</f>
        <v/>
      </c>
      <c r="K267" s="5" t="n">
        <f aca="false">IF(AND(H267&lt;&gt;0,IF(設定!$B$6="入金確認済のみ",C267="入金確認済",OR(C267="入金確認済",C267="受領済"))),1,0)</f>
        <v>0</v>
      </c>
      <c r="L267" s="5" t="str">
        <f aca="false">2&amp;"|"&amp;16</f>
        <v>2|16</v>
      </c>
      <c r="M267" s="5" t="n">
        <f aca="false">IF(L267=L266,M266,0)+K267</f>
        <v>0</v>
      </c>
      <c r="N267" s="5" t="n">
        <f aca="false">IF(AND(K267=1,M267=1),1,0)</f>
        <v>0</v>
      </c>
      <c r="O267" s="5" t="str">
        <f aca="false">IF(K267=1,MAX($O$5:O266)+1,"")</f>
        <v/>
      </c>
      <c r="P267" s="5" t="str">
        <f aca="false">IF(K267=1,SUM($N$6:N267),"")</f>
        <v/>
      </c>
      <c r="Q267" s="5" t="str">
        <f aca="false">IF(K267=1,SUMIFS($H$6:$H$511,$L$6:$L$511,L267,$K$6:$K$511,1),"")</f>
        <v/>
      </c>
      <c r="R267" s="103" t="str">
        <f aca="false">IF(B267="","",IF(INDEX(報告入力!$AB$7:$AB$696,B267)="","",INDEX(報告入力!$AB$7:$AB$696,B267)))</f>
        <v/>
      </c>
      <c r="S267" s="5" t="str">
        <f aca="false">設定!$C$52</f>
        <v>短期：負担金</v>
      </c>
    </row>
    <row r="268" customFormat="false" ht="15" hidden="false" customHeight="false" outlineLevel="0" collapsed="false">
      <c r="A268" s="5" t="str">
        <f aca="false">設定!B77</f>
        <v>産業振興センター</v>
      </c>
      <c r="B268" s="5" t="n">
        <f aca="false">IFERROR(MATCH(ホーム!$C$4&amp;"|"&amp;A268,報告入力!$CM$7:$CM$696,0),"")</f>
        <v>339</v>
      </c>
      <c r="C268" s="5" t="str">
        <f aca="false">IF(B268="","",INDEX(報告入力!$C$7:$C$696,B268))</f>
        <v>未受領</v>
      </c>
      <c r="D268" s="5" t="str">
        <f aca="false">設定!$A$40</f>
        <v>短期経理</v>
      </c>
      <c r="E268" s="5" t="str">
        <f aca="false">設定!$B$40&amp;""</f>
        <v/>
      </c>
      <c r="F268" s="5" t="str">
        <f aca="false">設定!$D$51&amp;""</f>
        <v/>
      </c>
      <c r="G268" s="5" t="str">
        <f aca="false">設定!$E$51&amp;""</f>
        <v/>
      </c>
      <c r="H268" s="5" t="n">
        <f aca="false">IF(B268="",0,N(INDEX(報告入力!$BD$7:$BD$696,B268)))</f>
        <v>0</v>
      </c>
      <c r="I268" s="5" t="str">
        <f aca="false">設定!$C$40&amp;""</f>
        <v/>
      </c>
      <c r="J268" s="5" t="str">
        <f aca="false">設定!$D$40&amp;""</f>
        <v/>
      </c>
      <c r="K268" s="5" t="n">
        <f aca="false">IF(AND(H268&lt;&gt;0,IF(設定!$B$6="入金確認済のみ",C268="入金確認済",OR(C268="入金確認済",C268="受領済"))),1,0)</f>
        <v>0</v>
      </c>
      <c r="L268" s="5" t="str">
        <f aca="false">2&amp;"|"&amp;17</f>
        <v>2|17</v>
      </c>
      <c r="M268" s="5" t="n">
        <f aca="false">IF(L268=L267,M267,0)+K268</f>
        <v>0</v>
      </c>
      <c r="N268" s="5" t="n">
        <f aca="false">IF(AND(K268=1,M268=1),1,0)</f>
        <v>0</v>
      </c>
      <c r="O268" s="5" t="str">
        <f aca="false">IF(K268=1,MAX($O$5:O267)+1,"")</f>
        <v/>
      </c>
      <c r="P268" s="5" t="str">
        <f aca="false">IF(K268=1,SUM($N$6:N268),"")</f>
        <v/>
      </c>
      <c r="Q268" s="5" t="str">
        <f aca="false">IF(K268=1,SUMIFS($H$6:$H$511,$L$6:$L$511,L268,$K$6:$K$511,1),"")</f>
        <v/>
      </c>
      <c r="R268" s="103" t="str">
        <f aca="false">IF(B268="","",IF(INDEX(報告入力!$AB$7:$AB$696,B268)="","",INDEX(報告入力!$AB$7:$AB$696,B268)))</f>
        <v/>
      </c>
      <c r="S268" s="5" t="str">
        <f aca="false">設定!$C$51</f>
        <v>短期：掛金</v>
      </c>
    </row>
    <row r="269" customFormat="false" ht="15" hidden="false" customHeight="false" outlineLevel="0" collapsed="false">
      <c r="A269" s="5" t="str">
        <f aca="false">設定!B77</f>
        <v>産業振興センター</v>
      </c>
      <c r="B269" s="5" t="n">
        <f aca="false">IFERROR(MATCH(ホーム!$C$4&amp;"|"&amp;A269,報告入力!$CM$7:$CM$696,0),"")</f>
        <v>339</v>
      </c>
      <c r="C269" s="5" t="str">
        <f aca="false">IF(B269="","",INDEX(報告入力!$C$7:$C$696,B269))</f>
        <v>未受領</v>
      </c>
      <c r="D269" s="5" t="str">
        <f aca="false">設定!$A$40</f>
        <v>短期経理</v>
      </c>
      <c r="E269" s="5" t="str">
        <f aca="false">設定!$B$40&amp;""</f>
        <v/>
      </c>
      <c r="F269" s="5" t="str">
        <f aca="false">設定!$D$52&amp;""</f>
        <v/>
      </c>
      <c r="G269" s="5" t="str">
        <f aca="false">設定!$E$52&amp;""</f>
        <v/>
      </c>
      <c r="H269" s="5" t="n">
        <f aca="false">IF(B269="",0,N(INDEX(報告入力!$BE$7:$BE$696,B269)))</f>
        <v>256260</v>
      </c>
      <c r="I269" s="5" t="str">
        <f aca="false">設定!$C$40&amp;""</f>
        <v/>
      </c>
      <c r="J269" s="5" t="str">
        <f aca="false">設定!$D$40&amp;""</f>
        <v/>
      </c>
      <c r="K269" s="5" t="n">
        <f aca="false">IF(AND(H269&lt;&gt;0,IF(設定!$B$6="入金確認済のみ",C269="入金確認済",OR(C269="入金確認済",C269="受領済"))),1,0)</f>
        <v>0</v>
      </c>
      <c r="L269" s="5" t="str">
        <f aca="false">2&amp;"|"&amp;17</f>
        <v>2|17</v>
      </c>
      <c r="M269" s="5" t="n">
        <f aca="false">IF(L269=L268,M268,0)+K269</f>
        <v>0</v>
      </c>
      <c r="N269" s="5" t="n">
        <f aca="false">IF(AND(K269=1,M269=1),1,0)</f>
        <v>0</v>
      </c>
      <c r="O269" s="5" t="str">
        <f aca="false">IF(K269=1,MAX($O$5:O268)+1,"")</f>
        <v/>
      </c>
      <c r="P269" s="5" t="str">
        <f aca="false">IF(K269=1,SUM($N$6:N269),"")</f>
        <v/>
      </c>
      <c r="Q269" s="5" t="str">
        <f aca="false">IF(K269=1,SUMIFS($H$6:$H$511,$L$6:$L$511,L269,$K$6:$K$511,1),"")</f>
        <v/>
      </c>
      <c r="R269" s="103" t="str">
        <f aca="false">IF(B269="","",IF(INDEX(報告入力!$AB$7:$AB$696,B269)="","",INDEX(報告入力!$AB$7:$AB$696,B269)))</f>
        <v/>
      </c>
      <c r="S269" s="5" t="str">
        <f aca="false">設定!$C$52</f>
        <v>短期：負担金</v>
      </c>
    </row>
    <row r="270" customFormat="false" ht="15" hidden="false" customHeight="false" outlineLevel="0" collapsed="false">
      <c r="A270" s="5" t="str">
        <f aca="false">設定!B78</f>
        <v>ひろしま産業振興</v>
      </c>
      <c r="B270" s="5" t="n">
        <f aca="false">IFERROR(MATCH(ホーム!$C$4&amp;"|"&amp;A270,報告入力!$CM$7:$CM$696,0),"")</f>
        <v>340</v>
      </c>
      <c r="C270" s="5" t="str">
        <f aca="false">IF(B270="","",INDEX(報告入力!$C$7:$C$696,B270))</f>
        <v>未受領</v>
      </c>
      <c r="D270" s="5" t="str">
        <f aca="false">設定!$A$40</f>
        <v>短期経理</v>
      </c>
      <c r="E270" s="5" t="str">
        <f aca="false">設定!$B$40&amp;""</f>
        <v/>
      </c>
      <c r="F270" s="5" t="str">
        <f aca="false">設定!$D$51&amp;""</f>
        <v/>
      </c>
      <c r="G270" s="5" t="str">
        <f aca="false">設定!$E$51&amp;""</f>
        <v/>
      </c>
      <c r="H270" s="5" t="n">
        <f aca="false">IF(B270="",0,N(INDEX(報告入力!$BD$7:$BD$696,B270)))</f>
        <v>0</v>
      </c>
      <c r="I270" s="5" t="str">
        <f aca="false">設定!$C$40&amp;""</f>
        <v/>
      </c>
      <c r="J270" s="5" t="str">
        <f aca="false">設定!$D$40&amp;""</f>
        <v/>
      </c>
      <c r="K270" s="5" t="n">
        <f aca="false">IF(AND(H270&lt;&gt;0,IF(設定!$B$6="入金確認済のみ",C270="入金確認済",OR(C270="入金確認済",C270="受領済"))),1,0)</f>
        <v>0</v>
      </c>
      <c r="L270" s="5" t="str">
        <f aca="false">2&amp;"|"&amp;18</f>
        <v>2|18</v>
      </c>
      <c r="M270" s="5" t="n">
        <f aca="false">IF(L270=L269,M269,0)+K270</f>
        <v>0</v>
      </c>
      <c r="N270" s="5" t="n">
        <f aca="false">IF(AND(K270=1,M270=1),1,0)</f>
        <v>0</v>
      </c>
      <c r="O270" s="5" t="str">
        <f aca="false">IF(K270=1,MAX($O$5:O269)+1,"")</f>
        <v/>
      </c>
      <c r="P270" s="5" t="str">
        <f aca="false">IF(K270=1,SUM($N$6:N270),"")</f>
        <v/>
      </c>
      <c r="Q270" s="5" t="str">
        <f aca="false">IF(K270=1,SUMIFS($H$6:$H$511,$L$6:$L$511,L270,$K$6:$K$511,1),"")</f>
        <v/>
      </c>
      <c r="R270" s="103" t="str">
        <f aca="false">IF(B270="","",IF(INDEX(報告入力!$AB$7:$AB$696,B270)="","",INDEX(報告入力!$AB$7:$AB$696,B270)))</f>
        <v/>
      </c>
      <c r="S270" s="5" t="str">
        <f aca="false">設定!$C$51</f>
        <v>短期：掛金</v>
      </c>
    </row>
    <row r="271" customFormat="false" ht="15" hidden="false" customHeight="false" outlineLevel="0" collapsed="false">
      <c r="A271" s="5" t="str">
        <f aca="false">設定!B78</f>
        <v>ひろしま産業振興</v>
      </c>
      <c r="B271" s="5" t="n">
        <f aca="false">IFERROR(MATCH(ホーム!$C$4&amp;"|"&amp;A271,報告入力!$CM$7:$CM$696,0),"")</f>
        <v>340</v>
      </c>
      <c r="C271" s="5" t="str">
        <f aca="false">IF(B271="","",INDEX(報告入力!$C$7:$C$696,B271))</f>
        <v>未受領</v>
      </c>
      <c r="D271" s="5" t="str">
        <f aca="false">設定!$A$40</f>
        <v>短期経理</v>
      </c>
      <c r="E271" s="5" t="str">
        <f aca="false">設定!$B$40&amp;""</f>
        <v/>
      </c>
      <c r="F271" s="5" t="str">
        <f aca="false">設定!$D$52&amp;""</f>
        <v/>
      </c>
      <c r="G271" s="5" t="str">
        <f aca="false">設定!$E$52&amp;""</f>
        <v/>
      </c>
      <c r="H271" s="5" t="n">
        <f aca="false">IF(B271="",0,N(INDEX(報告入力!$BE$7:$BE$696,B271)))</f>
        <v>51803</v>
      </c>
      <c r="I271" s="5" t="str">
        <f aca="false">設定!$C$40&amp;""</f>
        <v/>
      </c>
      <c r="J271" s="5" t="str">
        <f aca="false">設定!$D$40&amp;""</f>
        <v/>
      </c>
      <c r="K271" s="5" t="n">
        <f aca="false">IF(AND(H271&lt;&gt;0,IF(設定!$B$6="入金確認済のみ",C271="入金確認済",OR(C271="入金確認済",C271="受領済"))),1,0)</f>
        <v>0</v>
      </c>
      <c r="L271" s="5" t="str">
        <f aca="false">2&amp;"|"&amp;18</f>
        <v>2|18</v>
      </c>
      <c r="M271" s="5" t="n">
        <f aca="false">IF(L271=L270,M270,0)+K271</f>
        <v>0</v>
      </c>
      <c r="N271" s="5" t="n">
        <f aca="false">IF(AND(K271=1,M271=1),1,0)</f>
        <v>0</v>
      </c>
      <c r="O271" s="5" t="str">
        <f aca="false">IF(K271=1,MAX($O$5:O270)+1,"")</f>
        <v/>
      </c>
      <c r="P271" s="5" t="str">
        <f aca="false">IF(K271=1,SUM($N$6:N271),"")</f>
        <v/>
      </c>
      <c r="Q271" s="5" t="str">
        <f aca="false">IF(K271=1,SUMIFS($H$6:$H$511,$L$6:$L$511,L271,$K$6:$K$511,1),"")</f>
        <v/>
      </c>
      <c r="R271" s="103" t="str">
        <f aca="false">IF(B271="","",IF(INDEX(報告入力!$AB$7:$AB$696,B271)="","",INDEX(報告入力!$AB$7:$AB$696,B271)))</f>
        <v/>
      </c>
      <c r="S271" s="5" t="str">
        <f aca="false">設定!$C$52</f>
        <v>短期：負担金</v>
      </c>
    </row>
    <row r="272" customFormat="false" ht="15" hidden="false" customHeight="false" outlineLevel="0" collapsed="false">
      <c r="A272" s="5" t="str">
        <f aca="false">設定!B79</f>
        <v>都市整備公社　市</v>
      </c>
      <c r="B272" s="5" t="n">
        <f aca="false">IFERROR(MATCH(ホーム!$C$4&amp;"|"&amp;A272,報告入力!$CM$7:$CM$696,0),"")</f>
        <v>341</v>
      </c>
      <c r="C272" s="5" t="str">
        <f aca="false">IF(B272="","",INDEX(報告入力!$C$7:$C$696,B272))</f>
        <v>未受領</v>
      </c>
      <c r="D272" s="5" t="str">
        <f aca="false">設定!$A$40</f>
        <v>短期経理</v>
      </c>
      <c r="E272" s="5" t="str">
        <f aca="false">設定!$B$40&amp;""</f>
        <v/>
      </c>
      <c r="F272" s="5" t="str">
        <f aca="false">設定!$D$51&amp;""</f>
        <v/>
      </c>
      <c r="G272" s="5" t="str">
        <f aca="false">設定!$E$51&amp;""</f>
        <v/>
      </c>
      <c r="H272" s="5" t="n">
        <f aca="false">IF(B272="",0,N(INDEX(報告入力!$BD$7:$BD$696,B272)))</f>
        <v>0</v>
      </c>
      <c r="I272" s="5" t="str">
        <f aca="false">設定!$C$40&amp;""</f>
        <v/>
      </c>
      <c r="J272" s="5" t="str">
        <f aca="false">設定!$D$40&amp;""</f>
        <v/>
      </c>
      <c r="K272" s="5" t="n">
        <f aca="false">IF(AND(H272&lt;&gt;0,IF(設定!$B$6="入金確認済のみ",C272="入金確認済",OR(C272="入金確認済",C272="受領済"))),1,0)</f>
        <v>0</v>
      </c>
      <c r="L272" s="5" t="str">
        <f aca="false">2&amp;"|"&amp;19</f>
        <v>2|19</v>
      </c>
      <c r="M272" s="5" t="n">
        <f aca="false">IF(L272=L271,M271,0)+K272</f>
        <v>0</v>
      </c>
      <c r="N272" s="5" t="n">
        <f aca="false">IF(AND(K272=1,M272=1),1,0)</f>
        <v>0</v>
      </c>
      <c r="O272" s="5" t="str">
        <f aca="false">IF(K272=1,MAX($O$5:O271)+1,"")</f>
        <v/>
      </c>
      <c r="P272" s="5" t="str">
        <f aca="false">IF(K272=1,SUM($N$6:N272),"")</f>
        <v/>
      </c>
      <c r="Q272" s="5" t="str">
        <f aca="false">IF(K272=1,SUMIFS($H$6:$H$511,$L$6:$L$511,L272,$K$6:$K$511,1),"")</f>
        <v/>
      </c>
      <c r="R272" s="103" t="str">
        <f aca="false">IF(B272="","",IF(INDEX(報告入力!$AB$7:$AB$696,B272)="","",INDEX(報告入力!$AB$7:$AB$696,B272)))</f>
        <v/>
      </c>
      <c r="S272" s="5" t="str">
        <f aca="false">設定!$C$51</f>
        <v>短期：掛金</v>
      </c>
    </row>
    <row r="273" customFormat="false" ht="15" hidden="false" customHeight="false" outlineLevel="0" collapsed="false">
      <c r="A273" s="5" t="str">
        <f aca="false">設定!B79</f>
        <v>都市整備公社　市</v>
      </c>
      <c r="B273" s="5" t="n">
        <f aca="false">IFERROR(MATCH(ホーム!$C$4&amp;"|"&amp;A273,報告入力!$CM$7:$CM$696,0),"")</f>
        <v>341</v>
      </c>
      <c r="C273" s="5" t="str">
        <f aca="false">IF(B273="","",INDEX(報告入力!$C$7:$C$696,B273))</f>
        <v>未受領</v>
      </c>
      <c r="D273" s="5" t="str">
        <f aca="false">設定!$A$40</f>
        <v>短期経理</v>
      </c>
      <c r="E273" s="5" t="str">
        <f aca="false">設定!$B$40&amp;""</f>
        <v/>
      </c>
      <c r="F273" s="5" t="str">
        <f aca="false">設定!$D$52&amp;""</f>
        <v/>
      </c>
      <c r="G273" s="5" t="str">
        <f aca="false">設定!$E$52&amp;""</f>
        <v/>
      </c>
      <c r="H273" s="5" t="n">
        <f aca="false">IF(B273="",0,N(INDEX(報告入力!$BE$7:$BE$696,B273)))</f>
        <v>29208</v>
      </c>
      <c r="I273" s="5" t="str">
        <f aca="false">設定!$C$40&amp;""</f>
        <v/>
      </c>
      <c r="J273" s="5" t="str">
        <f aca="false">設定!$D$40&amp;""</f>
        <v/>
      </c>
      <c r="K273" s="5" t="n">
        <f aca="false">IF(AND(H273&lt;&gt;0,IF(設定!$B$6="入金確認済のみ",C273="入金確認済",OR(C273="入金確認済",C273="受領済"))),1,0)</f>
        <v>0</v>
      </c>
      <c r="L273" s="5" t="str">
        <f aca="false">2&amp;"|"&amp;19</f>
        <v>2|19</v>
      </c>
      <c r="M273" s="5" t="n">
        <f aca="false">IF(L273=L272,M272,0)+K273</f>
        <v>0</v>
      </c>
      <c r="N273" s="5" t="n">
        <f aca="false">IF(AND(K273=1,M273=1),1,0)</f>
        <v>0</v>
      </c>
      <c r="O273" s="5" t="str">
        <f aca="false">IF(K273=1,MAX($O$5:O272)+1,"")</f>
        <v/>
      </c>
      <c r="P273" s="5" t="str">
        <f aca="false">IF(K273=1,SUM($N$6:N273),"")</f>
        <v/>
      </c>
      <c r="Q273" s="5" t="str">
        <f aca="false">IF(K273=1,SUMIFS($H$6:$H$511,$L$6:$L$511,L273,$K$6:$K$511,1),"")</f>
        <v/>
      </c>
      <c r="R273" s="103" t="str">
        <f aca="false">IF(B273="","",IF(INDEX(報告入力!$AB$7:$AB$696,B273)="","",INDEX(報告入力!$AB$7:$AB$696,B273)))</f>
        <v/>
      </c>
      <c r="S273" s="5" t="str">
        <f aca="false">設定!$C$52</f>
        <v>短期：負担金</v>
      </c>
    </row>
    <row r="274" customFormat="false" ht="15" hidden="false" customHeight="false" outlineLevel="0" collapsed="false">
      <c r="A274" s="5" t="str">
        <f aca="false">設定!B80</f>
        <v>都市整備公社　消防</v>
      </c>
      <c r="B274" s="5" t="n">
        <f aca="false">IFERROR(MATCH(ホーム!$C$4&amp;"|"&amp;A274,報告入力!$CM$7:$CM$696,0),"")</f>
        <v>342</v>
      </c>
      <c r="C274" s="5" t="str">
        <f aca="false">IF(B274="","",INDEX(報告入力!$C$7:$C$696,B274))</f>
        <v>未受領</v>
      </c>
      <c r="D274" s="5" t="str">
        <f aca="false">設定!$A$40</f>
        <v>短期経理</v>
      </c>
      <c r="E274" s="5" t="str">
        <f aca="false">設定!$B$40&amp;""</f>
        <v/>
      </c>
      <c r="F274" s="5" t="str">
        <f aca="false">設定!$D$51&amp;""</f>
        <v/>
      </c>
      <c r="G274" s="5" t="str">
        <f aca="false">設定!$E$51&amp;""</f>
        <v/>
      </c>
      <c r="H274" s="5" t="n">
        <f aca="false">IF(B274="",0,N(INDEX(報告入力!$BD$7:$BD$696,B274)))</f>
        <v>0</v>
      </c>
      <c r="I274" s="5" t="str">
        <f aca="false">設定!$C$40&amp;""</f>
        <v/>
      </c>
      <c r="J274" s="5" t="str">
        <f aca="false">設定!$D$40&amp;""</f>
        <v/>
      </c>
      <c r="K274" s="5" t="n">
        <f aca="false">IF(AND(H274&lt;&gt;0,IF(設定!$B$6="入金確認済のみ",C274="入金確認済",OR(C274="入金確認済",C274="受領済"))),1,0)</f>
        <v>0</v>
      </c>
      <c r="L274" s="5" t="str">
        <f aca="false">2&amp;"|"&amp;20</f>
        <v>2|20</v>
      </c>
      <c r="M274" s="5" t="n">
        <f aca="false">IF(L274=L273,M273,0)+K274</f>
        <v>0</v>
      </c>
      <c r="N274" s="5" t="n">
        <f aca="false">IF(AND(K274=1,M274=1),1,0)</f>
        <v>0</v>
      </c>
      <c r="O274" s="5" t="str">
        <f aca="false">IF(K274=1,MAX($O$5:O273)+1,"")</f>
        <v/>
      </c>
      <c r="P274" s="5" t="str">
        <f aca="false">IF(K274=1,SUM($N$6:N274),"")</f>
        <v/>
      </c>
      <c r="Q274" s="5" t="str">
        <f aca="false">IF(K274=1,SUMIFS($H$6:$H$511,$L$6:$L$511,L274,$K$6:$K$511,1),"")</f>
        <v/>
      </c>
      <c r="R274" s="103" t="str">
        <f aca="false">IF(B274="","",IF(INDEX(報告入力!$AB$7:$AB$696,B274)="","",INDEX(報告入力!$AB$7:$AB$696,B274)))</f>
        <v/>
      </c>
      <c r="S274" s="5" t="str">
        <f aca="false">設定!$C$51</f>
        <v>短期：掛金</v>
      </c>
    </row>
    <row r="275" customFormat="false" ht="15" hidden="false" customHeight="false" outlineLevel="0" collapsed="false">
      <c r="A275" s="5" t="str">
        <f aca="false">設定!B80</f>
        <v>都市整備公社　消防</v>
      </c>
      <c r="B275" s="5" t="n">
        <f aca="false">IFERROR(MATCH(ホーム!$C$4&amp;"|"&amp;A275,報告入力!$CM$7:$CM$696,0),"")</f>
        <v>342</v>
      </c>
      <c r="C275" s="5" t="str">
        <f aca="false">IF(B275="","",INDEX(報告入力!$C$7:$C$696,B275))</f>
        <v>未受領</v>
      </c>
      <c r="D275" s="5" t="str">
        <f aca="false">設定!$A$40</f>
        <v>短期経理</v>
      </c>
      <c r="E275" s="5" t="str">
        <f aca="false">設定!$B$40&amp;""</f>
        <v/>
      </c>
      <c r="F275" s="5" t="str">
        <f aca="false">設定!$D$52&amp;""</f>
        <v/>
      </c>
      <c r="G275" s="5" t="str">
        <f aca="false">設定!$E$52&amp;""</f>
        <v/>
      </c>
      <c r="H275" s="5" t="n">
        <f aca="false">IF(B275="",0,N(INDEX(報告入力!$BE$7:$BE$696,B275)))</f>
        <v>74949</v>
      </c>
      <c r="I275" s="5" t="str">
        <f aca="false">設定!$C$40&amp;""</f>
        <v/>
      </c>
      <c r="J275" s="5" t="str">
        <f aca="false">設定!$D$40&amp;""</f>
        <v/>
      </c>
      <c r="K275" s="5" t="n">
        <f aca="false">IF(AND(H275&lt;&gt;0,IF(設定!$B$6="入金確認済のみ",C275="入金確認済",OR(C275="入金確認済",C275="受領済"))),1,0)</f>
        <v>0</v>
      </c>
      <c r="L275" s="5" t="str">
        <f aca="false">2&amp;"|"&amp;20</f>
        <v>2|20</v>
      </c>
      <c r="M275" s="5" t="n">
        <f aca="false">IF(L275=L274,M274,0)+K275</f>
        <v>0</v>
      </c>
      <c r="N275" s="5" t="n">
        <f aca="false">IF(AND(K275=1,M275=1),1,0)</f>
        <v>0</v>
      </c>
      <c r="O275" s="5" t="str">
        <f aca="false">IF(K275=1,MAX($O$5:O274)+1,"")</f>
        <v/>
      </c>
      <c r="P275" s="5" t="str">
        <f aca="false">IF(K275=1,SUM($N$6:N275),"")</f>
        <v/>
      </c>
      <c r="Q275" s="5" t="str">
        <f aca="false">IF(K275=1,SUMIFS($H$6:$H$511,$L$6:$L$511,L275,$K$6:$K$511,1),"")</f>
        <v/>
      </c>
      <c r="R275" s="103" t="str">
        <f aca="false">IF(B275="","",IF(INDEX(報告入力!$AB$7:$AB$696,B275)="","",INDEX(報告入力!$AB$7:$AB$696,B275)))</f>
        <v/>
      </c>
      <c r="S275" s="5" t="str">
        <f aca="false">設定!$C$52</f>
        <v>短期：負担金</v>
      </c>
    </row>
    <row r="276" customFormat="false" ht="15" hidden="false" customHeight="false" outlineLevel="0" collapsed="false">
      <c r="A276" s="5" t="str">
        <f aca="false">設定!B81</f>
        <v>日本下水道事業団</v>
      </c>
      <c r="B276" s="5" t="n">
        <f aca="false">IFERROR(MATCH(ホーム!$C$4&amp;"|"&amp;A276,報告入力!$CM$7:$CM$696,0),"")</f>
        <v>343</v>
      </c>
      <c r="C276" s="5" t="str">
        <f aca="false">IF(B276="","",INDEX(報告入力!$C$7:$C$696,B276))</f>
        <v>受領済</v>
      </c>
      <c r="D276" s="5" t="str">
        <f aca="false">設定!$A$40</f>
        <v>短期経理</v>
      </c>
      <c r="E276" s="5" t="str">
        <f aca="false">設定!$B$40&amp;""</f>
        <v/>
      </c>
      <c r="F276" s="5" t="str">
        <f aca="false">設定!$D$51&amp;""</f>
        <v/>
      </c>
      <c r="G276" s="5" t="str">
        <f aca="false">設定!$E$51&amp;""</f>
        <v/>
      </c>
      <c r="H276" s="5" t="n">
        <f aca="false">IF(B276="",0,N(INDEX(報告入力!$BD$7:$BD$696,B276)))</f>
        <v>140021</v>
      </c>
      <c r="I276" s="5" t="str">
        <f aca="false">設定!$C$40&amp;""</f>
        <v/>
      </c>
      <c r="J276" s="5" t="str">
        <f aca="false">設定!$D$40&amp;""</f>
        <v/>
      </c>
      <c r="K276" s="5" t="n">
        <f aca="false">IF(AND(H276&lt;&gt;0,IF(設定!$B$6="入金確認済のみ",C276="入金確認済",OR(C276="入金確認済",C276="受領済"))),1,0)</f>
        <v>0</v>
      </c>
      <c r="L276" s="5" t="str">
        <f aca="false">2&amp;"|"&amp;21</f>
        <v>2|21</v>
      </c>
      <c r="M276" s="5" t="n">
        <f aca="false">IF(L276=L275,M275,0)+K276</f>
        <v>0</v>
      </c>
      <c r="N276" s="5" t="n">
        <f aca="false">IF(AND(K276=1,M276=1),1,0)</f>
        <v>0</v>
      </c>
      <c r="O276" s="5" t="str">
        <f aca="false">IF(K276=1,MAX($O$5:O275)+1,"")</f>
        <v/>
      </c>
      <c r="P276" s="5" t="str">
        <f aca="false">IF(K276=1,SUM($N$6:N276),"")</f>
        <v/>
      </c>
      <c r="Q276" s="5" t="str">
        <f aca="false">IF(K276=1,SUMIFS($H$6:$H$511,$L$6:$L$511,L276,$K$6:$K$511,1),"")</f>
        <v/>
      </c>
      <c r="R276" s="103" t="str">
        <f aca="false">IF(B276="","",IF(INDEX(報告入力!$AB$7:$AB$696,B276)="","",INDEX(報告入力!$AB$7:$AB$696,B276)))</f>
        <v/>
      </c>
      <c r="S276" s="5" t="str">
        <f aca="false">設定!$C$51</f>
        <v>短期：掛金</v>
      </c>
    </row>
    <row r="277" customFormat="false" ht="15" hidden="false" customHeight="false" outlineLevel="0" collapsed="false">
      <c r="A277" s="5" t="str">
        <f aca="false">設定!B81</f>
        <v>日本下水道事業団</v>
      </c>
      <c r="B277" s="5" t="n">
        <f aca="false">IFERROR(MATCH(ホーム!$C$4&amp;"|"&amp;A277,報告入力!$CM$7:$CM$696,0),"")</f>
        <v>343</v>
      </c>
      <c r="C277" s="5" t="str">
        <f aca="false">IF(B277="","",INDEX(報告入力!$C$7:$C$696,B277))</f>
        <v>受領済</v>
      </c>
      <c r="D277" s="5" t="str">
        <f aca="false">設定!$A$40</f>
        <v>短期経理</v>
      </c>
      <c r="E277" s="5" t="str">
        <f aca="false">設定!$B$40&amp;""</f>
        <v/>
      </c>
      <c r="F277" s="5" t="str">
        <f aca="false">設定!$D$52&amp;""</f>
        <v/>
      </c>
      <c r="G277" s="5" t="str">
        <f aca="false">設定!$E$52&amp;""</f>
        <v/>
      </c>
      <c r="H277" s="5" t="n">
        <f aca="false">IF(B277="",0,N(INDEX(報告入力!$BE$7:$BE$696,B277)))</f>
        <v>140157</v>
      </c>
      <c r="I277" s="5" t="str">
        <f aca="false">設定!$C$40&amp;""</f>
        <v/>
      </c>
      <c r="J277" s="5" t="str">
        <f aca="false">設定!$D$40&amp;""</f>
        <v/>
      </c>
      <c r="K277" s="5" t="n">
        <f aca="false">IF(AND(H277&lt;&gt;0,IF(設定!$B$6="入金確認済のみ",C277="入金確認済",OR(C277="入金確認済",C277="受領済"))),1,0)</f>
        <v>0</v>
      </c>
      <c r="L277" s="5" t="str">
        <f aca="false">2&amp;"|"&amp;21</f>
        <v>2|21</v>
      </c>
      <c r="M277" s="5" t="n">
        <f aca="false">IF(L277=L276,M276,0)+K277</f>
        <v>0</v>
      </c>
      <c r="N277" s="5" t="n">
        <f aca="false">IF(AND(K277=1,M277=1),1,0)</f>
        <v>0</v>
      </c>
      <c r="O277" s="5" t="str">
        <f aca="false">IF(K277=1,MAX($O$5:O276)+1,"")</f>
        <v/>
      </c>
      <c r="P277" s="5" t="str">
        <f aca="false">IF(K277=1,SUM($N$6:N277),"")</f>
        <v/>
      </c>
      <c r="Q277" s="5" t="str">
        <f aca="false">IF(K277=1,SUMIFS($H$6:$H$511,$L$6:$L$511,L277,$K$6:$K$511,1),"")</f>
        <v/>
      </c>
      <c r="R277" s="103" t="str">
        <f aca="false">IF(B277="","",IF(INDEX(報告入力!$AB$7:$AB$696,B277)="","",INDEX(報告入力!$AB$7:$AB$696,B277)))</f>
        <v/>
      </c>
      <c r="S277" s="5" t="str">
        <f aca="false">設定!$C$52</f>
        <v>短期：負担金</v>
      </c>
    </row>
    <row r="278" customFormat="false" ht="15" hidden="false" customHeight="false" outlineLevel="0" collapsed="false">
      <c r="A278" s="5" t="str">
        <f aca="false">設定!B82</f>
        <v>地方公務員災害補償基金本部</v>
      </c>
      <c r="B278" s="5" t="n">
        <f aca="false">IFERROR(MATCH(ホーム!$C$4&amp;"|"&amp;A278,報告入力!$CM$7:$CM$696,0),"")</f>
        <v>344</v>
      </c>
      <c r="C278" s="5" t="str">
        <f aca="false">IF(B278="","",INDEX(報告入力!$C$7:$C$696,B278))</f>
        <v>受領済</v>
      </c>
      <c r="D278" s="5" t="str">
        <f aca="false">設定!$A$40</f>
        <v>短期経理</v>
      </c>
      <c r="E278" s="5" t="str">
        <f aca="false">設定!$B$40&amp;""</f>
        <v/>
      </c>
      <c r="F278" s="5" t="str">
        <f aca="false">設定!$D$51&amp;""</f>
        <v/>
      </c>
      <c r="G278" s="5" t="str">
        <f aca="false">設定!$E$51&amp;""</f>
        <v/>
      </c>
      <c r="H278" s="5" t="n">
        <f aca="false">IF(B278="",0,N(INDEX(報告入力!$BD$7:$BD$696,B278)))</f>
        <v>24374</v>
      </c>
      <c r="I278" s="5" t="str">
        <f aca="false">設定!$C$40&amp;""</f>
        <v/>
      </c>
      <c r="J278" s="5" t="str">
        <f aca="false">設定!$D$40&amp;""</f>
        <v/>
      </c>
      <c r="K278" s="5" t="n">
        <f aca="false">IF(AND(H278&lt;&gt;0,IF(設定!$B$6="入金確認済のみ",C278="入金確認済",OR(C278="入金確認済",C278="受領済"))),1,0)</f>
        <v>0</v>
      </c>
      <c r="L278" s="5" t="str">
        <f aca="false">2&amp;"|"&amp;22</f>
        <v>2|22</v>
      </c>
      <c r="M278" s="5" t="n">
        <f aca="false">IF(L278=L277,M277,0)+K278</f>
        <v>0</v>
      </c>
      <c r="N278" s="5" t="n">
        <f aca="false">IF(AND(K278=1,M278=1),1,0)</f>
        <v>0</v>
      </c>
      <c r="O278" s="5" t="str">
        <f aca="false">IF(K278=1,MAX($O$5:O277)+1,"")</f>
        <v/>
      </c>
      <c r="P278" s="5" t="str">
        <f aca="false">IF(K278=1,SUM($N$6:N278),"")</f>
        <v/>
      </c>
      <c r="Q278" s="5" t="str">
        <f aca="false">IF(K278=1,SUMIFS($H$6:$H$511,$L$6:$L$511,L278,$K$6:$K$511,1),"")</f>
        <v/>
      </c>
      <c r="R278" s="103" t="str">
        <f aca="false">IF(B278="","",IF(INDEX(報告入力!$AB$7:$AB$696,B278)="","",INDEX(報告入力!$AB$7:$AB$696,B278)))</f>
        <v/>
      </c>
      <c r="S278" s="5" t="str">
        <f aca="false">設定!$C$51</f>
        <v>短期：掛金</v>
      </c>
    </row>
    <row r="279" customFormat="false" ht="15" hidden="false" customHeight="false" outlineLevel="0" collapsed="false">
      <c r="A279" s="5" t="str">
        <f aca="false">設定!B82</f>
        <v>地方公務員災害補償基金本部</v>
      </c>
      <c r="B279" s="5" t="n">
        <f aca="false">IFERROR(MATCH(ホーム!$C$4&amp;"|"&amp;A279,報告入力!$CM$7:$CM$696,0),"")</f>
        <v>344</v>
      </c>
      <c r="C279" s="5" t="str">
        <f aca="false">IF(B279="","",INDEX(報告入力!$C$7:$C$696,B279))</f>
        <v>受領済</v>
      </c>
      <c r="D279" s="5" t="str">
        <f aca="false">設定!$A$40</f>
        <v>短期経理</v>
      </c>
      <c r="E279" s="5" t="str">
        <f aca="false">設定!$B$40&amp;""</f>
        <v/>
      </c>
      <c r="F279" s="5" t="str">
        <f aca="false">設定!$D$52&amp;""</f>
        <v/>
      </c>
      <c r="G279" s="5" t="str">
        <f aca="false">設定!$E$52&amp;""</f>
        <v/>
      </c>
      <c r="H279" s="5" t="n">
        <f aca="false">IF(B279="",0,N(INDEX(報告入力!$BE$7:$BE$696,B279)))</f>
        <v>24397</v>
      </c>
      <c r="I279" s="5" t="str">
        <f aca="false">設定!$C$40&amp;""</f>
        <v/>
      </c>
      <c r="J279" s="5" t="str">
        <f aca="false">設定!$D$40&amp;""</f>
        <v/>
      </c>
      <c r="K279" s="5" t="n">
        <f aca="false">IF(AND(H279&lt;&gt;0,IF(設定!$B$6="入金確認済のみ",C279="入金確認済",OR(C279="入金確認済",C279="受領済"))),1,0)</f>
        <v>0</v>
      </c>
      <c r="L279" s="5" t="str">
        <f aca="false">2&amp;"|"&amp;22</f>
        <v>2|22</v>
      </c>
      <c r="M279" s="5" t="n">
        <f aca="false">IF(L279=L278,M278,0)+K279</f>
        <v>0</v>
      </c>
      <c r="N279" s="5" t="n">
        <f aca="false">IF(AND(K279=1,M279=1),1,0)</f>
        <v>0</v>
      </c>
      <c r="O279" s="5" t="str">
        <f aca="false">IF(K279=1,MAX($O$5:O278)+1,"")</f>
        <v/>
      </c>
      <c r="P279" s="5" t="str">
        <f aca="false">IF(K279=1,SUM($N$6:N279),"")</f>
        <v/>
      </c>
      <c r="Q279" s="5" t="str">
        <f aca="false">IF(K279=1,SUMIFS($H$6:$H$511,$L$6:$L$511,L279,$K$6:$K$511,1),"")</f>
        <v/>
      </c>
      <c r="R279" s="103" t="str">
        <f aca="false">IF(B279="","",IF(INDEX(報告入力!$AB$7:$AB$696,B279)="","",INDEX(報告入力!$AB$7:$AB$696,B279)))</f>
        <v/>
      </c>
      <c r="S279" s="5" t="str">
        <f aca="false">設定!$C$52</f>
        <v>短期：負担金</v>
      </c>
    </row>
    <row r="280" customFormat="false" ht="15" hidden="false" customHeight="false" outlineLevel="0" collapsed="false">
      <c r="A280" s="5" t="str">
        <f aca="false">設定!B83</f>
        <v>救急振興財団</v>
      </c>
      <c r="B280" s="5" t="n">
        <f aca="false">IFERROR(MATCH(ホーム!$C$4&amp;"|"&amp;A280,報告入力!$CM$7:$CM$696,0),"")</f>
        <v>345</v>
      </c>
      <c r="C280" s="5" t="str">
        <f aca="false">IF(B280="","",INDEX(報告入力!$C$7:$C$696,B280))</f>
        <v>未受領</v>
      </c>
      <c r="D280" s="5" t="str">
        <f aca="false">設定!$A$40</f>
        <v>短期経理</v>
      </c>
      <c r="E280" s="5" t="str">
        <f aca="false">設定!$B$40&amp;""</f>
        <v/>
      </c>
      <c r="F280" s="5" t="str">
        <f aca="false">設定!$D$51&amp;""</f>
        <v/>
      </c>
      <c r="G280" s="5" t="str">
        <f aca="false">設定!$E$51&amp;""</f>
        <v/>
      </c>
      <c r="H280" s="5" t="n">
        <f aca="false">IF(B280="",0,N(INDEX(報告入力!$BD$7:$BD$696,B280)))</f>
        <v>61610</v>
      </c>
      <c r="I280" s="5" t="str">
        <f aca="false">設定!$C$40&amp;""</f>
        <v/>
      </c>
      <c r="J280" s="5" t="str">
        <f aca="false">設定!$D$40&amp;""</f>
        <v/>
      </c>
      <c r="K280" s="5" t="n">
        <f aca="false">IF(AND(H280&lt;&gt;0,IF(設定!$B$6="入金確認済のみ",C280="入金確認済",OR(C280="入金確認済",C280="受領済"))),1,0)</f>
        <v>0</v>
      </c>
      <c r="L280" s="5" t="str">
        <f aca="false">2&amp;"|"&amp;23</f>
        <v>2|23</v>
      </c>
      <c r="M280" s="5" t="n">
        <f aca="false">IF(L280=L279,M279,0)+K280</f>
        <v>0</v>
      </c>
      <c r="N280" s="5" t="n">
        <f aca="false">IF(AND(K280=1,M280=1),1,0)</f>
        <v>0</v>
      </c>
      <c r="O280" s="5" t="str">
        <f aca="false">IF(K280=1,MAX($O$5:O279)+1,"")</f>
        <v/>
      </c>
      <c r="P280" s="5" t="str">
        <f aca="false">IF(K280=1,SUM($N$6:N280),"")</f>
        <v/>
      </c>
      <c r="Q280" s="5" t="str">
        <f aca="false">IF(K280=1,SUMIFS($H$6:$H$511,$L$6:$L$511,L280,$K$6:$K$511,1),"")</f>
        <v/>
      </c>
      <c r="R280" s="103" t="str">
        <f aca="false">IF(B280="","",IF(INDEX(報告入力!$AB$7:$AB$696,B280)="","",INDEX(報告入力!$AB$7:$AB$696,B280)))</f>
        <v/>
      </c>
      <c r="S280" s="5" t="str">
        <f aca="false">設定!$C$51</f>
        <v>短期：掛金</v>
      </c>
    </row>
    <row r="281" customFormat="false" ht="15" hidden="false" customHeight="false" outlineLevel="0" collapsed="false">
      <c r="A281" s="5" t="str">
        <f aca="false">設定!B83</f>
        <v>救急振興財団</v>
      </c>
      <c r="B281" s="5" t="n">
        <f aca="false">IFERROR(MATCH(ホーム!$C$4&amp;"|"&amp;A281,報告入力!$CM$7:$CM$696,0),"")</f>
        <v>345</v>
      </c>
      <c r="C281" s="5" t="str">
        <f aca="false">IF(B281="","",INDEX(報告入力!$C$7:$C$696,B281))</f>
        <v>未受領</v>
      </c>
      <c r="D281" s="5" t="str">
        <f aca="false">設定!$A$40</f>
        <v>短期経理</v>
      </c>
      <c r="E281" s="5" t="str">
        <f aca="false">設定!$B$40&amp;""</f>
        <v/>
      </c>
      <c r="F281" s="5" t="str">
        <f aca="false">設定!$D$52&amp;""</f>
        <v/>
      </c>
      <c r="G281" s="5" t="str">
        <f aca="false">設定!$E$52&amp;""</f>
        <v/>
      </c>
      <c r="H281" s="5" t="n">
        <f aca="false">IF(B281="",0,N(INDEX(報告入力!$BE$7:$BE$696,B281)))</f>
        <v>61723</v>
      </c>
      <c r="I281" s="5" t="str">
        <f aca="false">設定!$C$40&amp;""</f>
        <v/>
      </c>
      <c r="J281" s="5" t="str">
        <f aca="false">設定!$D$40&amp;""</f>
        <v/>
      </c>
      <c r="K281" s="5" t="n">
        <f aca="false">IF(AND(H281&lt;&gt;0,IF(設定!$B$6="入金確認済のみ",C281="入金確認済",OR(C281="入金確認済",C281="受領済"))),1,0)</f>
        <v>0</v>
      </c>
      <c r="L281" s="5" t="str">
        <f aca="false">2&amp;"|"&amp;23</f>
        <v>2|23</v>
      </c>
      <c r="M281" s="5" t="n">
        <f aca="false">IF(L281=L280,M280,0)+K281</f>
        <v>0</v>
      </c>
      <c r="N281" s="5" t="n">
        <f aca="false">IF(AND(K281=1,M281=1),1,0)</f>
        <v>0</v>
      </c>
      <c r="O281" s="5" t="str">
        <f aca="false">IF(K281=1,MAX($O$5:O280)+1,"")</f>
        <v/>
      </c>
      <c r="P281" s="5" t="str">
        <f aca="false">IF(K281=1,SUM($N$6:N281),"")</f>
        <v/>
      </c>
      <c r="Q281" s="5" t="str">
        <f aca="false">IF(K281=1,SUMIFS($H$6:$H$511,$L$6:$L$511,L281,$K$6:$K$511,1),"")</f>
        <v/>
      </c>
      <c r="R281" s="103" t="str">
        <f aca="false">IF(B281="","",IF(INDEX(報告入力!$AB$7:$AB$696,B281)="","",INDEX(報告入力!$AB$7:$AB$696,B281)))</f>
        <v/>
      </c>
      <c r="S281" s="5" t="str">
        <f aca="false">設定!$C$52</f>
        <v>短期：負担金</v>
      </c>
    </row>
    <row r="282" customFormat="false" ht="15" hidden="false" customHeight="false" outlineLevel="0" collapsed="false">
      <c r="A282" s="5" t="str">
        <f aca="false">設定!B84</f>
        <v>高速道路公社</v>
      </c>
      <c r="B282" s="5" t="n">
        <f aca="false">IFERROR(MATCH(ホーム!$C$4&amp;"|"&amp;A282,報告入力!$CM$7:$CM$696,0),"")</f>
        <v>346</v>
      </c>
      <c r="C282" s="5" t="str">
        <f aca="false">IF(B282="","",INDEX(報告入力!$C$7:$C$696,B282))</f>
        <v>未受領</v>
      </c>
      <c r="D282" s="5" t="str">
        <f aca="false">設定!$A$40</f>
        <v>短期経理</v>
      </c>
      <c r="E282" s="5" t="str">
        <f aca="false">設定!$B$40&amp;""</f>
        <v/>
      </c>
      <c r="F282" s="5" t="str">
        <f aca="false">設定!$D$51&amp;""</f>
        <v/>
      </c>
      <c r="G282" s="5" t="str">
        <f aca="false">設定!$E$51&amp;""</f>
        <v/>
      </c>
      <c r="H282" s="5" t="n">
        <f aca="false">IF(B282="",0,N(INDEX(報告入力!$BD$7:$BD$696,B282)))</f>
        <v>548442</v>
      </c>
      <c r="I282" s="5" t="str">
        <f aca="false">設定!$C$40&amp;""</f>
        <v/>
      </c>
      <c r="J282" s="5" t="str">
        <f aca="false">設定!$D$40&amp;""</f>
        <v/>
      </c>
      <c r="K282" s="5" t="n">
        <f aca="false">IF(AND(H282&lt;&gt;0,IF(設定!$B$6="入金確認済のみ",C282="入金確認済",OR(C282="入金確認済",C282="受領済"))),1,0)</f>
        <v>0</v>
      </c>
      <c r="L282" s="5" t="str">
        <f aca="false">2&amp;"|"&amp;24</f>
        <v>2|24</v>
      </c>
      <c r="M282" s="5" t="n">
        <f aca="false">IF(L282=L281,M281,0)+K282</f>
        <v>0</v>
      </c>
      <c r="N282" s="5" t="n">
        <f aca="false">IF(AND(K282=1,M282=1),1,0)</f>
        <v>0</v>
      </c>
      <c r="O282" s="5" t="str">
        <f aca="false">IF(K282=1,MAX($O$5:O281)+1,"")</f>
        <v/>
      </c>
      <c r="P282" s="5" t="str">
        <f aca="false">IF(K282=1,SUM($N$6:N282),"")</f>
        <v/>
      </c>
      <c r="Q282" s="5" t="str">
        <f aca="false">IF(K282=1,SUMIFS($H$6:$H$511,$L$6:$L$511,L282,$K$6:$K$511,1),"")</f>
        <v/>
      </c>
      <c r="R282" s="103" t="str">
        <f aca="false">IF(B282="","",IF(INDEX(報告入力!$AB$7:$AB$696,B282)="","",INDEX(報告入力!$AB$7:$AB$696,B282)))</f>
        <v/>
      </c>
      <c r="S282" s="5" t="str">
        <f aca="false">設定!$C$51</f>
        <v>短期：掛金</v>
      </c>
    </row>
    <row r="283" customFormat="false" ht="15" hidden="false" customHeight="false" outlineLevel="0" collapsed="false">
      <c r="A283" s="5" t="str">
        <f aca="false">設定!B84</f>
        <v>高速道路公社</v>
      </c>
      <c r="B283" s="5" t="n">
        <f aca="false">IFERROR(MATCH(ホーム!$C$4&amp;"|"&amp;A283,報告入力!$CM$7:$CM$696,0),"")</f>
        <v>346</v>
      </c>
      <c r="C283" s="5" t="str">
        <f aca="false">IF(B283="","",INDEX(報告入力!$C$7:$C$696,B283))</f>
        <v>未受領</v>
      </c>
      <c r="D283" s="5" t="str">
        <f aca="false">設定!$A$40</f>
        <v>短期経理</v>
      </c>
      <c r="E283" s="5" t="str">
        <f aca="false">設定!$B$40&amp;""</f>
        <v/>
      </c>
      <c r="F283" s="5" t="str">
        <f aca="false">設定!$D$52&amp;""</f>
        <v/>
      </c>
      <c r="G283" s="5" t="str">
        <f aca="false">設定!$E$52&amp;""</f>
        <v/>
      </c>
      <c r="H283" s="5" t="n">
        <f aca="false">IF(B283="",0,N(INDEX(報告入力!$BE$7:$BE$696,B283)))</f>
        <v>549446</v>
      </c>
      <c r="I283" s="5" t="str">
        <f aca="false">設定!$C$40&amp;""</f>
        <v/>
      </c>
      <c r="J283" s="5" t="str">
        <f aca="false">設定!$D$40&amp;""</f>
        <v/>
      </c>
      <c r="K283" s="5" t="n">
        <f aca="false">IF(AND(H283&lt;&gt;0,IF(設定!$B$6="入金確認済のみ",C283="入金確認済",OR(C283="入金確認済",C283="受領済"))),1,0)</f>
        <v>0</v>
      </c>
      <c r="L283" s="5" t="str">
        <f aca="false">2&amp;"|"&amp;24</f>
        <v>2|24</v>
      </c>
      <c r="M283" s="5" t="n">
        <f aca="false">IF(L283=L282,M282,0)+K283</f>
        <v>0</v>
      </c>
      <c r="N283" s="5" t="n">
        <f aca="false">IF(AND(K283=1,M283=1),1,0)</f>
        <v>0</v>
      </c>
      <c r="O283" s="5" t="str">
        <f aca="false">IF(K283=1,MAX($O$5:O282)+1,"")</f>
        <v/>
      </c>
      <c r="P283" s="5" t="str">
        <f aca="false">IF(K283=1,SUM($N$6:N283),"")</f>
        <v/>
      </c>
      <c r="Q283" s="5" t="str">
        <f aca="false">IF(K283=1,SUMIFS($H$6:$H$511,$L$6:$L$511,L283,$K$6:$K$511,1),"")</f>
        <v/>
      </c>
      <c r="R283" s="103" t="str">
        <f aca="false">IF(B283="","",IF(INDEX(報告入力!$AB$7:$AB$696,B283)="","",INDEX(報告入力!$AB$7:$AB$696,B283)))</f>
        <v/>
      </c>
      <c r="S283" s="5" t="str">
        <f aca="false">設定!$C$52</f>
        <v>短期：負担金</v>
      </c>
    </row>
    <row r="284" customFormat="false" ht="15" hidden="false" customHeight="false" outlineLevel="0" collapsed="false">
      <c r="A284" s="5" t="str">
        <f aca="false">設定!B85</f>
        <v>農林水産振興センタ</v>
      </c>
      <c r="B284" s="5" t="n">
        <f aca="false">IFERROR(MATCH(ホーム!$C$4&amp;"|"&amp;A284,報告入力!$CM$7:$CM$696,0),"")</f>
        <v>347</v>
      </c>
      <c r="C284" s="5" t="str">
        <f aca="false">IF(B284="","",INDEX(報告入力!$C$7:$C$696,B284))</f>
        <v>未受領</v>
      </c>
      <c r="D284" s="5" t="str">
        <f aca="false">設定!$A$40</f>
        <v>短期経理</v>
      </c>
      <c r="E284" s="5" t="str">
        <f aca="false">設定!$B$40&amp;""</f>
        <v/>
      </c>
      <c r="F284" s="5" t="str">
        <f aca="false">設定!$D$51&amp;""</f>
        <v/>
      </c>
      <c r="G284" s="5" t="str">
        <f aca="false">設定!$E$51&amp;""</f>
        <v/>
      </c>
      <c r="H284" s="5" t="n">
        <f aca="false">IF(B284="",0,N(INDEX(報告入力!$BD$7:$BD$696,B284)))</f>
        <v>0</v>
      </c>
      <c r="I284" s="5" t="str">
        <f aca="false">設定!$C$40&amp;""</f>
        <v/>
      </c>
      <c r="J284" s="5" t="str">
        <f aca="false">設定!$D$40&amp;""</f>
        <v/>
      </c>
      <c r="K284" s="5" t="n">
        <f aca="false">IF(AND(H284&lt;&gt;0,IF(設定!$B$6="入金確認済のみ",C284="入金確認済",OR(C284="入金確認済",C284="受領済"))),1,0)</f>
        <v>0</v>
      </c>
      <c r="L284" s="5" t="str">
        <f aca="false">2&amp;"|"&amp;25</f>
        <v>2|25</v>
      </c>
      <c r="M284" s="5" t="n">
        <f aca="false">IF(L284=L283,M283,0)+K284</f>
        <v>0</v>
      </c>
      <c r="N284" s="5" t="n">
        <f aca="false">IF(AND(K284=1,M284=1),1,0)</f>
        <v>0</v>
      </c>
      <c r="O284" s="5" t="str">
        <f aca="false">IF(K284=1,MAX($O$5:O283)+1,"")</f>
        <v/>
      </c>
      <c r="P284" s="5" t="str">
        <f aca="false">IF(K284=1,SUM($N$6:N284),"")</f>
        <v/>
      </c>
      <c r="Q284" s="5" t="str">
        <f aca="false">IF(K284=1,SUMIFS($H$6:$H$511,$L$6:$L$511,L284,$K$6:$K$511,1),"")</f>
        <v/>
      </c>
      <c r="R284" s="103" t="str">
        <f aca="false">IF(B284="","",IF(INDEX(報告入力!$AB$7:$AB$696,B284)="","",INDEX(報告入力!$AB$7:$AB$696,B284)))</f>
        <v/>
      </c>
      <c r="S284" s="5" t="str">
        <f aca="false">設定!$C$51</f>
        <v>短期：掛金</v>
      </c>
    </row>
    <row r="285" customFormat="false" ht="15" hidden="false" customHeight="false" outlineLevel="0" collapsed="false">
      <c r="A285" s="5" t="str">
        <f aca="false">設定!B85</f>
        <v>農林水産振興センタ</v>
      </c>
      <c r="B285" s="5" t="n">
        <f aca="false">IFERROR(MATCH(ホーム!$C$4&amp;"|"&amp;A285,報告入力!$CM$7:$CM$696,0),"")</f>
        <v>347</v>
      </c>
      <c r="C285" s="5" t="str">
        <f aca="false">IF(B285="","",INDEX(報告入力!$C$7:$C$696,B285))</f>
        <v>未受領</v>
      </c>
      <c r="D285" s="5" t="str">
        <f aca="false">設定!$A$40</f>
        <v>短期経理</v>
      </c>
      <c r="E285" s="5" t="str">
        <f aca="false">設定!$B$40&amp;""</f>
        <v/>
      </c>
      <c r="F285" s="5" t="str">
        <f aca="false">設定!$D$52&amp;""</f>
        <v/>
      </c>
      <c r="G285" s="5" t="str">
        <f aca="false">設定!$E$52&amp;""</f>
        <v/>
      </c>
      <c r="H285" s="5" t="n">
        <f aca="false">IF(B285="",0,N(INDEX(報告入力!$BE$7:$BE$696,B285)))</f>
        <v>362070</v>
      </c>
      <c r="I285" s="5" t="str">
        <f aca="false">設定!$C$40&amp;""</f>
        <v/>
      </c>
      <c r="J285" s="5" t="str">
        <f aca="false">設定!$D$40&amp;""</f>
        <v/>
      </c>
      <c r="K285" s="5" t="n">
        <f aca="false">IF(AND(H285&lt;&gt;0,IF(設定!$B$6="入金確認済のみ",C285="入金確認済",OR(C285="入金確認済",C285="受領済"))),1,0)</f>
        <v>0</v>
      </c>
      <c r="L285" s="5" t="str">
        <f aca="false">2&amp;"|"&amp;25</f>
        <v>2|25</v>
      </c>
      <c r="M285" s="5" t="n">
        <f aca="false">IF(L285=L284,M284,0)+K285</f>
        <v>0</v>
      </c>
      <c r="N285" s="5" t="n">
        <f aca="false">IF(AND(K285=1,M285=1),1,0)</f>
        <v>0</v>
      </c>
      <c r="O285" s="5" t="str">
        <f aca="false">IF(K285=1,MAX($O$5:O284)+1,"")</f>
        <v/>
      </c>
      <c r="P285" s="5" t="str">
        <f aca="false">IF(K285=1,SUM($N$6:N285),"")</f>
        <v/>
      </c>
      <c r="Q285" s="5" t="str">
        <f aca="false">IF(K285=1,SUMIFS($H$6:$H$511,$L$6:$L$511,L285,$K$6:$K$511,1),"")</f>
        <v/>
      </c>
      <c r="R285" s="103" t="str">
        <f aca="false">IF(B285="","",IF(INDEX(報告入力!$AB$7:$AB$696,B285)="","",INDEX(報告入力!$AB$7:$AB$696,B285)))</f>
        <v/>
      </c>
      <c r="S285" s="5" t="str">
        <f aca="false">設定!$C$52</f>
        <v>短期：負担金</v>
      </c>
    </row>
    <row r="286" customFormat="false" ht="15" hidden="false" customHeight="false" outlineLevel="0" collapsed="false">
      <c r="A286" s="5" t="str">
        <f aca="false">設定!B86</f>
        <v>文化財団　市長部局</v>
      </c>
      <c r="B286" s="5" t="n">
        <f aca="false">IFERROR(MATCH(ホーム!$C$4&amp;"|"&amp;A286,報告入力!$CM$7:$CM$696,0),"")</f>
        <v>348</v>
      </c>
      <c r="C286" s="5" t="str">
        <f aca="false">IF(B286="","",INDEX(報告入力!$C$7:$C$696,B286))</f>
        <v>未受領</v>
      </c>
      <c r="D286" s="5" t="str">
        <f aca="false">設定!$A$40</f>
        <v>短期経理</v>
      </c>
      <c r="E286" s="5" t="str">
        <f aca="false">設定!$B$40&amp;""</f>
        <v/>
      </c>
      <c r="F286" s="5" t="str">
        <f aca="false">設定!$D$51&amp;""</f>
        <v/>
      </c>
      <c r="G286" s="5" t="str">
        <f aca="false">設定!$E$51&amp;""</f>
        <v/>
      </c>
      <c r="H286" s="5" t="n">
        <f aca="false">IF(B286="",0,N(INDEX(報告入力!$BD$7:$BD$696,B286)))</f>
        <v>0</v>
      </c>
      <c r="I286" s="5" t="str">
        <f aca="false">設定!$C$40&amp;""</f>
        <v/>
      </c>
      <c r="J286" s="5" t="str">
        <f aca="false">設定!$D$40&amp;""</f>
        <v/>
      </c>
      <c r="K286" s="5" t="n">
        <f aca="false">IF(AND(H286&lt;&gt;0,IF(設定!$B$6="入金確認済のみ",C286="入金確認済",OR(C286="入金確認済",C286="受領済"))),1,0)</f>
        <v>0</v>
      </c>
      <c r="L286" s="5" t="str">
        <f aca="false">2&amp;"|"&amp;26</f>
        <v>2|26</v>
      </c>
      <c r="M286" s="5" t="n">
        <f aca="false">IF(L286=L285,M285,0)+K286</f>
        <v>0</v>
      </c>
      <c r="N286" s="5" t="n">
        <f aca="false">IF(AND(K286=1,M286=1),1,0)</f>
        <v>0</v>
      </c>
      <c r="O286" s="5" t="str">
        <f aca="false">IF(K286=1,MAX($O$5:O285)+1,"")</f>
        <v/>
      </c>
      <c r="P286" s="5" t="str">
        <f aca="false">IF(K286=1,SUM($N$6:N286),"")</f>
        <v/>
      </c>
      <c r="Q286" s="5" t="str">
        <f aca="false">IF(K286=1,SUMIFS($H$6:$H$511,$L$6:$L$511,L286,$K$6:$K$511,1),"")</f>
        <v/>
      </c>
      <c r="R286" s="103" t="str">
        <f aca="false">IF(B286="","",IF(INDEX(報告入力!$AB$7:$AB$696,B286)="","",INDEX(報告入力!$AB$7:$AB$696,B286)))</f>
        <v/>
      </c>
      <c r="S286" s="5" t="str">
        <f aca="false">設定!$C$51</f>
        <v>短期：掛金</v>
      </c>
    </row>
    <row r="287" customFormat="false" ht="15" hidden="false" customHeight="false" outlineLevel="0" collapsed="false">
      <c r="A287" s="5" t="str">
        <f aca="false">設定!B86</f>
        <v>文化財団　市長部局</v>
      </c>
      <c r="B287" s="5" t="n">
        <f aca="false">IFERROR(MATCH(ホーム!$C$4&amp;"|"&amp;A287,報告入力!$CM$7:$CM$696,0),"")</f>
        <v>348</v>
      </c>
      <c r="C287" s="5" t="str">
        <f aca="false">IF(B287="","",INDEX(報告入力!$C$7:$C$696,B287))</f>
        <v>未受領</v>
      </c>
      <c r="D287" s="5" t="str">
        <f aca="false">設定!$A$40</f>
        <v>短期経理</v>
      </c>
      <c r="E287" s="5" t="str">
        <f aca="false">設定!$B$40&amp;""</f>
        <v/>
      </c>
      <c r="F287" s="5" t="str">
        <f aca="false">設定!$D$52&amp;""</f>
        <v/>
      </c>
      <c r="G287" s="5" t="str">
        <f aca="false">設定!$E$52&amp;""</f>
        <v/>
      </c>
      <c r="H287" s="5" t="n">
        <f aca="false">IF(B287="",0,N(INDEX(報告入力!$BE$7:$BE$696,B287)))</f>
        <v>698790</v>
      </c>
      <c r="I287" s="5" t="str">
        <f aca="false">設定!$C$40&amp;""</f>
        <v/>
      </c>
      <c r="J287" s="5" t="str">
        <f aca="false">設定!$D$40&amp;""</f>
        <v/>
      </c>
      <c r="K287" s="5" t="n">
        <f aca="false">IF(AND(H287&lt;&gt;0,IF(設定!$B$6="入金確認済のみ",C287="入金確認済",OR(C287="入金確認済",C287="受領済"))),1,0)</f>
        <v>0</v>
      </c>
      <c r="L287" s="5" t="str">
        <f aca="false">2&amp;"|"&amp;26</f>
        <v>2|26</v>
      </c>
      <c r="M287" s="5" t="n">
        <f aca="false">IF(L287=L286,M286,0)+K287</f>
        <v>0</v>
      </c>
      <c r="N287" s="5" t="n">
        <f aca="false">IF(AND(K287=1,M287=1),1,0)</f>
        <v>0</v>
      </c>
      <c r="O287" s="5" t="str">
        <f aca="false">IF(K287=1,MAX($O$5:O286)+1,"")</f>
        <v/>
      </c>
      <c r="P287" s="5" t="str">
        <f aca="false">IF(K287=1,SUM($N$6:N287),"")</f>
        <v/>
      </c>
      <c r="Q287" s="5" t="str">
        <f aca="false">IF(K287=1,SUMIFS($H$6:$H$511,$L$6:$L$511,L287,$K$6:$K$511,1),"")</f>
        <v/>
      </c>
      <c r="R287" s="103" t="str">
        <f aca="false">IF(B287="","",IF(INDEX(報告入力!$AB$7:$AB$696,B287)="","",INDEX(報告入力!$AB$7:$AB$696,B287)))</f>
        <v/>
      </c>
      <c r="S287" s="5" t="str">
        <f aca="false">設定!$C$52</f>
        <v>短期：負担金</v>
      </c>
    </row>
    <row r="288" customFormat="false" ht="15" hidden="false" customHeight="false" outlineLevel="0" collapsed="false">
      <c r="A288" s="5" t="str">
        <f aca="false">設定!B87</f>
        <v>文化財団　教育委員会</v>
      </c>
      <c r="B288" s="5" t="n">
        <f aca="false">IFERROR(MATCH(ホーム!$C$4&amp;"|"&amp;A288,報告入力!$CM$7:$CM$696,0),"")</f>
        <v>349</v>
      </c>
      <c r="C288" s="5" t="str">
        <f aca="false">IF(B288="","",INDEX(報告入力!$C$7:$C$696,B288))</f>
        <v>未受領</v>
      </c>
      <c r="D288" s="5" t="str">
        <f aca="false">設定!$A$40</f>
        <v>短期経理</v>
      </c>
      <c r="E288" s="5" t="str">
        <f aca="false">設定!$B$40&amp;""</f>
        <v/>
      </c>
      <c r="F288" s="5" t="str">
        <f aca="false">設定!$D$51&amp;""</f>
        <v/>
      </c>
      <c r="G288" s="5" t="str">
        <f aca="false">設定!$E$51&amp;""</f>
        <v/>
      </c>
      <c r="H288" s="5" t="n">
        <f aca="false">IF(B288="",0,N(INDEX(報告入力!$BD$7:$BD$696,B288)))</f>
        <v>0</v>
      </c>
      <c r="I288" s="5" t="str">
        <f aca="false">設定!$C$40&amp;""</f>
        <v/>
      </c>
      <c r="J288" s="5" t="str">
        <f aca="false">設定!$D$40&amp;""</f>
        <v/>
      </c>
      <c r="K288" s="5" t="n">
        <f aca="false">IF(AND(H288&lt;&gt;0,IF(設定!$B$6="入金確認済のみ",C288="入金確認済",OR(C288="入金確認済",C288="受領済"))),1,0)</f>
        <v>0</v>
      </c>
      <c r="L288" s="5" t="str">
        <f aca="false">2&amp;"|"&amp;27</f>
        <v>2|27</v>
      </c>
      <c r="M288" s="5" t="n">
        <f aca="false">IF(L288=L287,M287,0)+K288</f>
        <v>0</v>
      </c>
      <c r="N288" s="5" t="n">
        <f aca="false">IF(AND(K288=1,M288=1),1,0)</f>
        <v>0</v>
      </c>
      <c r="O288" s="5" t="str">
        <f aca="false">IF(K288=1,MAX($O$5:O287)+1,"")</f>
        <v/>
      </c>
      <c r="P288" s="5" t="str">
        <f aca="false">IF(K288=1,SUM($N$6:N288),"")</f>
        <v/>
      </c>
      <c r="Q288" s="5" t="str">
        <f aca="false">IF(K288=1,SUMIFS($H$6:$H$511,$L$6:$L$511,L288,$K$6:$K$511,1),"")</f>
        <v/>
      </c>
      <c r="R288" s="103" t="str">
        <f aca="false">IF(B288="","",IF(INDEX(報告入力!$AB$7:$AB$696,B288)="","",INDEX(報告入力!$AB$7:$AB$696,B288)))</f>
        <v/>
      </c>
      <c r="S288" s="5" t="str">
        <f aca="false">設定!$C$51</f>
        <v>短期：掛金</v>
      </c>
    </row>
    <row r="289" customFormat="false" ht="15" hidden="false" customHeight="false" outlineLevel="0" collapsed="false">
      <c r="A289" s="5" t="str">
        <f aca="false">設定!B87</f>
        <v>文化財団　教育委員会</v>
      </c>
      <c r="B289" s="5" t="n">
        <f aca="false">IFERROR(MATCH(ホーム!$C$4&amp;"|"&amp;A289,報告入力!$CM$7:$CM$696,0),"")</f>
        <v>349</v>
      </c>
      <c r="C289" s="5" t="str">
        <f aca="false">IF(B289="","",INDEX(報告入力!$C$7:$C$696,B289))</f>
        <v>未受領</v>
      </c>
      <c r="D289" s="5" t="str">
        <f aca="false">設定!$A$40</f>
        <v>短期経理</v>
      </c>
      <c r="E289" s="5" t="str">
        <f aca="false">設定!$B$40&amp;""</f>
        <v/>
      </c>
      <c r="F289" s="5" t="str">
        <f aca="false">設定!$D$52&amp;""</f>
        <v/>
      </c>
      <c r="G289" s="5" t="str">
        <f aca="false">設定!$E$52&amp;""</f>
        <v/>
      </c>
      <c r="H289" s="5" t="n">
        <f aca="false">IF(B289="",0,N(INDEX(報告入力!$BE$7:$BE$696,B289)))</f>
        <v>0</v>
      </c>
      <c r="I289" s="5" t="str">
        <f aca="false">設定!$C$40&amp;""</f>
        <v/>
      </c>
      <c r="J289" s="5" t="str">
        <f aca="false">設定!$D$40&amp;""</f>
        <v/>
      </c>
      <c r="K289" s="5" t="n">
        <f aca="false">IF(AND(H289&lt;&gt;0,IF(設定!$B$6="入金確認済のみ",C289="入金確認済",OR(C289="入金確認済",C289="受領済"))),1,0)</f>
        <v>0</v>
      </c>
      <c r="L289" s="5" t="str">
        <f aca="false">2&amp;"|"&amp;27</f>
        <v>2|27</v>
      </c>
      <c r="M289" s="5" t="n">
        <f aca="false">IF(L289=L288,M288,0)+K289</f>
        <v>0</v>
      </c>
      <c r="N289" s="5" t="n">
        <f aca="false">IF(AND(K289=1,M289=1),1,0)</f>
        <v>0</v>
      </c>
      <c r="O289" s="5" t="str">
        <f aca="false">IF(K289=1,MAX($O$5:O288)+1,"")</f>
        <v/>
      </c>
      <c r="P289" s="5" t="str">
        <f aca="false">IF(K289=1,SUM($N$6:N289),"")</f>
        <v/>
      </c>
      <c r="Q289" s="5" t="str">
        <f aca="false">IF(K289=1,SUMIFS($H$6:$H$511,$L$6:$L$511,L289,$K$6:$K$511,1),"")</f>
        <v/>
      </c>
      <c r="R289" s="103" t="str">
        <f aca="false">IF(B289="","",IF(INDEX(報告入力!$AB$7:$AB$696,B289)="","",INDEX(報告入力!$AB$7:$AB$696,B289)))</f>
        <v/>
      </c>
      <c r="S289" s="5" t="str">
        <f aca="false">設定!$C$52</f>
        <v>短期：負担金</v>
      </c>
    </row>
    <row r="290" customFormat="false" ht="15" hidden="false" customHeight="false" outlineLevel="0" collapsed="false">
      <c r="A290" s="5" t="str">
        <f aca="false">設定!B88</f>
        <v>みどり生きもの協会</v>
      </c>
      <c r="B290" s="5" t="n">
        <f aca="false">IFERROR(MATCH(ホーム!$C$4&amp;"|"&amp;A290,報告入力!$CM$7:$CM$696,0),"")</f>
        <v>350</v>
      </c>
      <c r="C290" s="5" t="str">
        <f aca="false">IF(B290="","",INDEX(報告入力!$C$7:$C$696,B290))</f>
        <v>未受領</v>
      </c>
      <c r="D290" s="5" t="str">
        <f aca="false">設定!$A$40</f>
        <v>短期経理</v>
      </c>
      <c r="E290" s="5" t="str">
        <f aca="false">設定!$B$40&amp;""</f>
        <v/>
      </c>
      <c r="F290" s="5" t="str">
        <f aca="false">設定!$D$51&amp;""</f>
        <v/>
      </c>
      <c r="G290" s="5" t="str">
        <f aca="false">設定!$E$51&amp;""</f>
        <v/>
      </c>
      <c r="H290" s="5" t="n">
        <f aca="false">IF(B290="",0,N(INDEX(報告入力!$BD$7:$BD$696,B290)))</f>
        <v>0</v>
      </c>
      <c r="I290" s="5" t="str">
        <f aca="false">設定!$C$40&amp;""</f>
        <v/>
      </c>
      <c r="J290" s="5" t="str">
        <f aca="false">設定!$D$40&amp;""</f>
        <v/>
      </c>
      <c r="K290" s="5" t="n">
        <f aca="false">IF(AND(H290&lt;&gt;0,IF(設定!$B$6="入金確認済のみ",C290="入金確認済",OR(C290="入金確認済",C290="受領済"))),1,0)</f>
        <v>0</v>
      </c>
      <c r="L290" s="5" t="str">
        <f aca="false">2&amp;"|"&amp;28</f>
        <v>2|28</v>
      </c>
      <c r="M290" s="5" t="n">
        <f aca="false">IF(L290=L289,M289,0)+K290</f>
        <v>0</v>
      </c>
      <c r="N290" s="5" t="n">
        <f aca="false">IF(AND(K290=1,M290=1),1,0)</f>
        <v>0</v>
      </c>
      <c r="O290" s="5" t="str">
        <f aca="false">IF(K290=1,MAX($O$5:O289)+1,"")</f>
        <v/>
      </c>
      <c r="P290" s="5" t="str">
        <f aca="false">IF(K290=1,SUM($N$6:N290),"")</f>
        <v/>
      </c>
      <c r="Q290" s="5" t="str">
        <f aca="false">IF(K290=1,SUMIFS($H$6:$H$511,$L$6:$L$511,L290,$K$6:$K$511,1),"")</f>
        <v/>
      </c>
      <c r="R290" s="103" t="str">
        <f aca="false">IF(B290="","",IF(INDEX(報告入力!$AB$7:$AB$696,B290)="","",INDEX(報告入力!$AB$7:$AB$696,B290)))</f>
        <v/>
      </c>
      <c r="S290" s="5" t="str">
        <f aca="false">設定!$C$51</f>
        <v>短期：掛金</v>
      </c>
    </row>
    <row r="291" customFormat="false" ht="15" hidden="false" customHeight="false" outlineLevel="0" collapsed="false">
      <c r="A291" s="5" t="str">
        <f aca="false">設定!B88</f>
        <v>みどり生きもの協会</v>
      </c>
      <c r="B291" s="5" t="n">
        <f aca="false">IFERROR(MATCH(ホーム!$C$4&amp;"|"&amp;A291,報告入力!$CM$7:$CM$696,0),"")</f>
        <v>350</v>
      </c>
      <c r="C291" s="5" t="str">
        <f aca="false">IF(B291="","",INDEX(報告入力!$C$7:$C$696,B291))</f>
        <v>未受領</v>
      </c>
      <c r="D291" s="5" t="str">
        <f aca="false">設定!$A$40</f>
        <v>短期経理</v>
      </c>
      <c r="E291" s="5" t="str">
        <f aca="false">設定!$B$40&amp;""</f>
        <v/>
      </c>
      <c r="F291" s="5" t="str">
        <f aca="false">設定!$D$52&amp;""</f>
        <v/>
      </c>
      <c r="G291" s="5" t="str">
        <f aca="false">設定!$E$52&amp;""</f>
        <v/>
      </c>
      <c r="H291" s="5" t="n">
        <f aca="false">IF(B291="",0,N(INDEX(報告入力!$BE$7:$BE$696,B291)))</f>
        <v>237523</v>
      </c>
      <c r="I291" s="5" t="str">
        <f aca="false">設定!$C$40&amp;""</f>
        <v/>
      </c>
      <c r="J291" s="5" t="str">
        <f aca="false">設定!$D$40&amp;""</f>
        <v/>
      </c>
      <c r="K291" s="5" t="n">
        <f aca="false">IF(AND(H291&lt;&gt;0,IF(設定!$B$6="入金確認済のみ",C291="入金確認済",OR(C291="入金確認済",C291="受領済"))),1,0)</f>
        <v>0</v>
      </c>
      <c r="L291" s="5" t="str">
        <f aca="false">2&amp;"|"&amp;28</f>
        <v>2|28</v>
      </c>
      <c r="M291" s="5" t="n">
        <f aca="false">IF(L291=L290,M290,0)+K291</f>
        <v>0</v>
      </c>
      <c r="N291" s="5" t="n">
        <f aca="false">IF(AND(K291=1,M291=1),1,0)</f>
        <v>0</v>
      </c>
      <c r="O291" s="5" t="str">
        <f aca="false">IF(K291=1,MAX($O$5:O290)+1,"")</f>
        <v/>
      </c>
      <c r="P291" s="5" t="str">
        <f aca="false">IF(K291=1,SUM($N$6:N291),"")</f>
        <v/>
      </c>
      <c r="Q291" s="5" t="str">
        <f aca="false">IF(K291=1,SUMIFS($H$6:$H$511,$L$6:$L$511,L291,$K$6:$K$511,1),"")</f>
        <v/>
      </c>
      <c r="R291" s="103" t="str">
        <f aca="false">IF(B291="","",IF(INDEX(報告入力!$AB$7:$AB$696,B291)="","",INDEX(報告入力!$AB$7:$AB$696,B291)))</f>
        <v/>
      </c>
      <c r="S291" s="5" t="str">
        <f aca="false">設定!$C$52</f>
        <v>短期：負担金</v>
      </c>
    </row>
    <row r="292" customFormat="false" ht="15" hidden="false" customHeight="false" outlineLevel="0" collapsed="false">
      <c r="A292" s="5" t="str">
        <f aca="false">設定!B89</f>
        <v>県下水道公社</v>
      </c>
      <c r="B292" s="5" t="n">
        <f aca="false">IFERROR(MATCH(ホーム!$C$4&amp;"|"&amp;A292,報告入力!$CM$7:$CM$696,0),"")</f>
        <v>351</v>
      </c>
      <c r="C292" s="5" t="str">
        <f aca="false">IF(B292="","",INDEX(報告入力!$C$7:$C$696,B292))</f>
        <v>未受領</v>
      </c>
      <c r="D292" s="5" t="str">
        <f aca="false">設定!$A$40</f>
        <v>短期経理</v>
      </c>
      <c r="E292" s="5" t="str">
        <f aca="false">設定!$B$40&amp;""</f>
        <v/>
      </c>
      <c r="F292" s="5" t="str">
        <f aca="false">設定!$D$51&amp;""</f>
        <v/>
      </c>
      <c r="G292" s="5" t="str">
        <f aca="false">設定!$E$51&amp;""</f>
        <v/>
      </c>
      <c r="H292" s="5" t="n">
        <f aca="false">IF(B292="",0,N(INDEX(報告入力!$BD$7:$BD$696,B292)))</f>
        <v>82514</v>
      </c>
      <c r="I292" s="5" t="str">
        <f aca="false">設定!$C$40&amp;""</f>
        <v/>
      </c>
      <c r="J292" s="5" t="str">
        <f aca="false">設定!$D$40&amp;""</f>
        <v/>
      </c>
      <c r="K292" s="5" t="n">
        <f aca="false">IF(AND(H292&lt;&gt;0,IF(設定!$B$6="入金確認済のみ",C292="入金確認済",OR(C292="入金確認済",C292="受領済"))),1,0)</f>
        <v>0</v>
      </c>
      <c r="L292" s="5" t="str">
        <f aca="false">2&amp;"|"&amp;29</f>
        <v>2|29</v>
      </c>
      <c r="M292" s="5" t="n">
        <f aca="false">IF(L292=L291,M291,0)+K292</f>
        <v>0</v>
      </c>
      <c r="N292" s="5" t="n">
        <f aca="false">IF(AND(K292=1,M292=1),1,0)</f>
        <v>0</v>
      </c>
      <c r="O292" s="5" t="str">
        <f aca="false">IF(K292=1,MAX($O$5:O291)+1,"")</f>
        <v/>
      </c>
      <c r="P292" s="5" t="str">
        <f aca="false">IF(K292=1,SUM($N$6:N292),"")</f>
        <v/>
      </c>
      <c r="Q292" s="5" t="str">
        <f aca="false">IF(K292=1,SUMIFS($H$6:$H$511,$L$6:$L$511,L292,$K$6:$K$511,1),"")</f>
        <v/>
      </c>
      <c r="R292" s="103" t="str">
        <f aca="false">IF(B292="","",IF(INDEX(報告入力!$AB$7:$AB$696,B292)="","",INDEX(報告入力!$AB$7:$AB$696,B292)))</f>
        <v/>
      </c>
      <c r="S292" s="5" t="str">
        <f aca="false">設定!$C$51</f>
        <v>短期：掛金</v>
      </c>
    </row>
    <row r="293" customFormat="false" ht="15" hidden="false" customHeight="false" outlineLevel="0" collapsed="false">
      <c r="A293" s="5" t="str">
        <f aca="false">設定!B89</f>
        <v>県下水道公社</v>
      </c>
      <c r="B293" s="5" t="n">
        <f aca="false">IFERROR(MATCH(ホーム!$C$4&amp;"|"&amp;A293,報告入力!$CM$7:$CM$696,0),"")</f>
        <v>351</v>
      </c>
      <c r="C293" s="5" t="str">
        <f aca="false">IF(B293="","",INDEX(報告入力!$C$7:$C$696,B293))</f>
        <v>未受領</v>
      </c>
      <c r="D293" s="5" t="str">
        <f aca="false">設定!$A$40</f>
        <v>短期経理</v>
      </c>
      <c r="E293" s="5" t="str">
        <f aca="false">設定!$B$40&amp;""</f>
        <v/>
      </c>
      <c r="F293" s="5" t="str">
        <f aca="false">設定!$D$52&amp;""</f>
        <v/>
      </c>
      <c r="G293" s="5" t="str">
        <f aca="false">設定!$E$52&amp;""</f>
        <v/>
      </c>
      <c r="H293" s="5" t="n">
        <f aca="false">IF(B293="",0,N(INDEX(報告入力!$BE$7:$BE$696,B293)))</f>
        <v>82665</v>
      </c>
      <c r="I293" s="5" t="str">
        <f aca="false">設定!$C$40&amp;""</f>
        <v/>
      </c>
      <c r="J293" s="5" t="str">
        <f aca="false">設定!$D$40&amp;""</f>
        <v/>
      </c>
      <c r="K293" s="5" t="n">
        <f aca="false">IF(AND(H293&lt;&gt;0,IF(設定!$B$6="入金確認済のみ",C293="入金確認済",OR(C293="入金確認済",C293="受領済"))),1,0)</f>
        <v>0</v>
      </c>
      <c r="L293" s="5" t="str">
        <f aca="false">2&amp;"|"&amp;29</f>
        <v>2|29</v>
      </c>
      <c r="M293" s="5" t="n">
        <f aca="false">IF(L293=L292,M292,0)+K293</f>
        <v>0</v>
      </c>
      <c r="N293" s="5" t="n">
        <f aca="false">IF(AND(K293=1,M293=1),1,0)</f>
        <v>0</v>
      </c>
      <c r="O293" s="5" t="str">
        <f aca="false">IF(K293=1,MAX($O$5:O292)+1,"")</f>
        <v/>
      </c>
      <c r="P293" s="5" t="str">
        <f aca="false">IF(K293=1,SUM($N$6:N293),"")</f>
        <v/>
      </c>
      <c r="Q293" s="5" t="str">
        <f aca="false">IF(K293=1,SUMIFS($H$6:$H$511,$L$6:$L$511,L293,$K$6:$K$511,1),"")</f>
        <v/>
      </c>
      <c r="R293" s="103" t="str">
        <f aca="false">IF(B293="","",IF(INDEX(報告入力!$AB$7:$AB$696,B293)="","",INDEX(報告入力!$AB$7:$AB$696,B293)))</f>
        <v/>
      </c>
      <c r="S293" s="5" t="str">
        <f aca="false">設定!$C$52</f>
        <v>短期：負担金</v>
      </c>
    </row>
    <row r="294" customFormat="false" ht="25.35" hidden="false" customHeight="false" outlineLevel="0" collapsed="false">
      <c r="A294" s="104" t="str">
        <f aca="false">設定!B90</f>
        <v>バス協調・共創
プラットフォーム</v>
      </c>
      <c r="B294" s="5" t="n">
        <f aca="false">IFERROR(MATCH(ホーム!$C$4&amp;"|"&amp;A294,報告入力!$CM$7:$CM$696,0),"")</f>
        <v>352</v>
      </c>
      <c r="C294" s="5" t="str">
        <f aca="false">IF(B294="","",INDEX(報告入力!$C$7:$C$696,B294))</f>
        <v>未受領</v>
      </c>
      <c r="D294" s="5" t="str">
        <f aca="false">設定!$A$40</f>
        <v>短期経理</v>
      </c>
      <c r="E294" s="5" t="str">
        <f aca="false">設定!$B$40&amp;""</f>
        <v/>
      </c>
      <c r="F294" s="5" t="str">
        <f aca="false">設定!$D$51&amp;""</f>
        <v/>
      </c>
      <c r="G294" s="5" t="str">
        <f aca="false">設定!$E$51&amp;""</f>
        <v/>
      </c>
      <c r="H294" s="5" t="n">
        <f aca="false">IF(B294="",0,N(INDEX(報告入力!$BD$7:$BD$696,B294)))</f>
        <v>0</v>
      </c>
      <c r="I294" s="5" t="str">
        <f aca="false">設定!$C$40&amp;""</f>
        <v/>
      </c>
      <c r="J294" s="5" t="str">
        <f aca="false">設定!$D$40&amp;""</f>
        <v/>
      </c>
      <c r="K294" s="5" t="n">
        <f aca="false">IF(AND(H294&lt;&gt;0,IF(設定!$B$6="入金確認済のみ",C294="入金確認済",OR(C294="入金確認済",C294="受領済"))),1,0)</f>
        <v>0</v>
      </c>
      <c r="L294" s="5" t="str">
        <f aca="false">2&amp;"|"&amp;30</f>
        <v>2|30</v>
      </c>
      <c r="M294" s="5" t="n">
        <f aca="false">IF(L294=L293,M293,0)+K294</f>
        <v>0</v>
      </c>
      <c r="N294" s="5" t="n">
        <f aca="false">IF(AND(K294=1,M294=1),1,0)</f>
        <v>0</v>
      </c>
      <c r="O294" s="5" t="str">
        <f aca="false">IF(K294=1,MAX($O$5:O293)+1,"")</f>
        <v/>
      </c>
      <c r="P294" s="5" t="str">
        <f aca="false">IF(K294=1,SUM($N$6:N294),"")</f>
        <v/>
      </c>
      <c r="Q294" s="5" t="str">
        <f aca="false">IF(K294=1,SUMIFS($H$6:$H$511,$L$6:$L$511,L294,$K$6:$K$511,1),"")</f>
        <v/>
      </c>
      <c r="R294" s="103" t="str">
        <f aca="false">IF(B294="","",IF(INDEX(報告入力!$AB$7:$AB$696,B294)="","",INDEX(報告入力!$AB$7:$AB$696,B294)))</f>
        <v/>
      </c>
      <c r="S294" s="5" t="str">
        <f aca="false">設定!$C$51</f>
        <v>短期：掛金</v>
      </c>
    </row>
    <row r="295" customFormat="false" ht="25.35" hidden="false" customHeight="false" outlineLevel="0" collapsed="false">
      <c r="A295" s="104" t="str">
        <f aca="false">設定!B90</f>
        <v>バス協調・共創
プラットフォーム</v>
      </c>
      <c r="B295" s="5" t="n">
        <f aca="false">IFERROR(MATCH(ホーム!$C$4&amp;"|"&amp;A295,報告入力!$CM$7:$CM$696,0),"")</f>
        <v>352</v>
      </c>
      <c r="C295" s="5" t="str">
        <f aca="false">IF(B295="","",INDEX(報告入力!$C$7:$C$696,B295))</f>
        <v>未受領</v>
      </c>
      <c r="D295" s="5" t="str">
        <f aca="false">設定!$A$40</f>
        <v>短期経理</v>
      </c>
      <c r="E295" s="5" t="str">
        <f aca="false">設定!$B$40&amp;""</f>
        <v/>
      </c>
      <c r="F295" s="5" t="str">
        <f aca="false">設定!$D$52&amp;""</f>
        <v/>
      </c>
      <c r="G295" s="5" t="str">
        <f aca="false">設定!$E$52&amp;""</f>
        <v/>
      </c>
      <c r="H295" s="5" t="n">
        <f aca="false">IF(B295="",0,N(INDEX(報告入力!$BE$7:$BE$696,B295)))</f>
        <v>289878</v>
      </c>
      <c r="I295" s="5" t="str">
        <f aca="false">設定!$C$40&amp;""</f>
        <v/>
      </c>
      <c r="J295" s="5" t="str">
        <f aca="false">設定!$D$40&amp;""</f>
        <v/>
      </c>
      <c r="K295" s="5" t="n">
        <f aca="false">IF(AND(H295&lt;&gt;0,IF(設定!$B$6="入金確認済のみ",C295="入金確認済",OR(C295="入金確認済",C295="受領済"))),1,0)</f>
        <v>0</v>
      </c>
      <c r="L295" s="5" t="str">
        <f aca="false">2&amp;"|"&amp;30</f>
        <v>2|30</v>
      </c>
      <c r="M295" s="5" t="n">
        <f aca="false">IF(L295=L294,M294,0)+K295</f>
        <v>0</v>
      </c>
      <c r="N295" s="5" t="n">
        <f aca="false">IF(AND(K295=1,M295=1),1,0)</f>
        <v>0</v>
      </c>
      <c r="O295" s="5" t="str">
        <f aca="false">IF(K295=1,MAX($O$5:O294)+1,"")</f>
        <v/>
      </c>
      <c r="P295" s="5" t="str">
        <f aca="false">IF(K295=1,SUM($N$6:N295),"")</f>
        <v/>
      </c>
      <c r="Q295" s="5" t="str">
        <f aca="false">IF(K295=1,SUMIFS($H$6:$H$511,$L$6:$L$511,L295,$K$6:$K$511,1),"")</f>
        <v/>
      </c>
      <c r="R295" s="103" t="str">
        <f aca="false">IF(B295="","",IF(INDEX(報告入力!$AB$7:$AB$696,B295)="","",INDEX(報告入力!$AB$7:$AB$696,B295)))</f>
        <v/>
      </c>
      <c r="S295" s="5" t="str">
        <f aca="false">設定!$C$52</f>
        <v>短期：負担金</v>
      </c>
    </row>
    <row r="296" customFormat="false" ht="15" hidden="false" customHeight="false" outlineLevel="0" collapsed="false">
      <c r="A296" s="5" t="str">
        <f aca="false">設定!B91</f>
        <v>広島県市長会</v>
      </c>
      <c r="B296" s="5" t="n">
        <f aca="false">IFERROR(MATCH(ホーム!$C$4&amp;"|"&amp;A296,報告入力!$CM$7:$CM$696,0),"")</f>
        <v>353</v>
      </c>
      <c r="C296" s="5" t="str">
        <f aca="false">IF(B296="","",INDEX(報告入力!$C$7:$C$696,B296))</f>
        <v>受領済</v>
      </c>
      <c r="D296" s="5" t="str">
        <f aca="false">設定!$A$40</f>
        <v>短期経理</v>
      </c>
      <c r="E296" s="5" t="str">
        <f aca="false">設定!$B$40&amp;""</f>
        <v/>
      </c>
      <c r="F296" s="5" t="str">
        <f aca="false">設定!$D$51&amp;""</f>
        <v/>
      </c>
      <c r="G296" s="5" t="str">
        <f aca="false">設定!$E$51&amp;""</f>
        <v/>
      </c>
      <c r="H296" s="5" t="n">
        <f aca="false">IF(B296="",0,N(INDEX(報告入力!$BD$7:$BD$696,B296)))</f>
        <v>30597</v>
      </c>
      <c r="I296" s="5" t="str">
        <f aca="false">設定!$C$40&amp;""</f>
        <v/>
      </c>
      <c r="J296" s="5" t="str">
        <f aca="false">設定!$D$40&amp;""</f>
        <v/>
      </c>
      <c r="K296" s="5" t="n">
        <f aca="false">IF(AND(H296&lt;&gt;0,IF(設定!$B$6="入金確認済のみ",C296="入金確認済",OR(C296="入金確認済",C296="受領済"))),1,0)</f>
        <v>0</v>
      </c>
      <c r="L296" s="5" t="str">
        <f aca="false">2&amp;"|"&amp;31</f>
        <v>2|31</v>
      </c>
      <c r="M296" s="5" t="n">
        <f aca="false">IF(L296=L295,M295,0)+K296</f>
        <v>0</v>
      </c>
      <c r="N296" s="5" t="n">
        <f aca="false">IF(AND(K296=1,M296=1),1,0)</f>
        <v>0</v>
      </c>
      <c r="O296" s="5" t="str">
        <f aca="false">IF(K296=1,MAX($O$5:O295)+1,"")</f>
        <v/>
      </c>
      <c r="P296" s="5" t="str">
        <f aca="false">IF(K296=1,SUM($N$6:N296),"")</f>
        <v/>
      </c>
      <c r="Q296" s="5" t="str">
        <f aca="false">IF(K296=1,SUMIFS($H$6:$H$511,$L$6:$L$511,L296,$K$6:$K$511,1),"")</f>
        <v/>
      </c>
      <c r="R296" s="103" t="str">
        <f aca="false">IF(B296="","",IF(INDEX(報告入力!$AB$7:$AB$696,B296)="","",INDEX(報告入力!$AB$7:$AB$696,B296)))</f>
        <v/>
      </c>
      <c r="S296" s="5" t="str">
        <f aca="false">設定!$C$51</f>
        <v>短期：掛金</v>
      </c>
    </row>
    <row r="297" customFormat="false" ht="15" hidden="false" customHeight="false" outlineLevel="0" collapsed="false">
      <c r="A297" s="5" t="str">
        <f aca="false">設定!B91</f>
        <v>広島県市長会</v>
      </c>
      <c r="B297" s="5" t="n">
        <f aca="false">IFERROR(MATCH(ホーム!$C$4&amp;"|"&amp;A297,報告入力!$CM$7:$CM$696,0),"")</f>
        <v>353</v>
      </c>
      <c r="C297" s="5" t="str">
        <f aca="false">IF(B297="","",INDEX(報告入力!$C$7:$C$696,B297))</f>
        <v>受領済</v>
      </c>
      <c r="D297" s="5" t="str">
        <f aca="false">設定!$A$40</f>
        <v>短期経理</v>
      </c>
      <c r="E297" s="5" t="str">
        <f aca="false">設定!$B$40&amp;""</f>
        <v/>
      </c>
      <c r="F297" s="5" t="str">
        <f aca="false">設定!$D$52&amp;""</f>
        <v/>
      </c>
      <c r="G297" s="5" t="str">
        <f aca="false">設定!$E$52&amp;""</f>
        <v/>
      </c>
      <c r="H297" s="5" t="n">
        <f aca="false">IF(B297="",0,N(INDEX(報告入力!$BE$7:$BE$696,B297)))</f>
        <v>30626</v>
      </c>
      <c r="I297" s="5" t="str">
        <f aca="false">設定!$C$40&amp;""</f>
        <v/>
      </c>
      <c r="J297" s="5" t="str">
        <f aca="false">設定!$D$40&amp;""</f>
        <v/>
      </c>
      <c r="K297" s="5" t="n">
        <f aca="false">IF(AND(H297&lt;&gt;0,IF(設定!$B$6="入金確認済のみ",C297="入金確認済",OR(C297="入金確認済",C297="受領済"))),1,0)</f>
        <v>0</v>
      </c>
      <c r="L297" s="5" t="str">
        <f aca="false">2&amp;"|"&amp;31</f>
        <v>2|31</v>
      </c>
      <c r="M297" s="5" t="n">
        <f aca="false">IF(L297=L296,M296,0)+K297</f>
        <v>0</v>
      </c>
      <c r="N297" s="5" t="n">
        <f aca="false">IF(AND(K297=1,M297=1),1,0)</f>
        <v>0</v>
      </c>
      <c r="O297" s="5" t="str">
        <f aca="false">IF(K297=1,MAX($O$5:O296)+1,"")</f>
        <v/>
      </c>
      <c r="P297" s="5" t="str">
        <f aca="false">IF(K297=1,SUM($N$6:N297),"")</f>
        <v/>
      </c>
      <c r="Q297" s="5" t="str">
        <f aca="false">IF(K297=1,SUMIFS($H$6:$H$511,$L$6:$L$511,L297,$K$6:$K$511,1),"")</f>
        <v/>
      </c>
      <c r="R297" s="103" t="str">
        <f aca="false">IF(B297="","",IF(INDEX(報告入力!$AB$7:$AB$696,B297)="","",INDEX(報告入力!$AB$7:$AB$696,B297)))</f>
        <v/>
      </c>
      <c r="S297" s="5" t="str">
        <f aca="false">設定!$C$52</f>
        <v>短期：負担金</v>
      </c>
    </row>
    <row r="298" customFormat="false" ht="15" hidden="false" customHeight="false" outlineLevel="0" collapsed="false">
      <c r="A298" s="5" t="str">
        <f aca="false">設定!B92</f>
        <v>全国市町村研修財団</v>
      </c>
      <c r="B298" s="5" t="n">
        <f aca="false">IFERROR(MATCH(ホーム!$C$4&amp;"|"&amp;A298,報告入力!$CM$7:$CM$696,0),"")</f>
        <v>354</v>
      </c>
      <c r="C298" s="5" t="str">
        <f aca="false">IF(B298="","",INDEX(報告入力!$C$7:$C$696,B298))</f>
        <v>受領済</v>
      </c>
      <c r="D298" s="5" t="str">
        <f aca="false">設定!$A$40</f>
        <v>短期経理</v>
      </c>
      <c r="E298" s="5" t="str">
        <f aca="false">設定!$B$40&amp;""</f>
        <v/>
      </c>
      <c r="F298" s="5" t="str">
        <f aca="false">設定!$D$51&amp;""</f>
        <v/>
      </c>
      <c r="G298" s="5" t="str">
        <f aca="false">設定!$E$51&amp;""</f>
        <v/>
      </c>
      <c r="H298" s="5" t="n">
        <f aca="false">IF(B298="",0,N(INDEX(報告入力!$BD$7:$BD$696,B298)))</f>
        <v>36820</v>
      </c>
      <c r="I298" s="5" t="str">
        <f aca="false">設定!$C$40&amp;""</f>
        <v/>
      </c>
      <c r="J298" s="5" t="str">
        <f aca="false">設定!$D$40&amp;""</f>
        <v/>
      </c>
      <c r="K298" s="5" t="n">
        <f aca="false">IF(AND(H298&lt;&gt;0,IF(設定!$B$6="入金確認済のみ",C298="入金確認済",OR(C298="入金確認済",C298="受領済"))),1,0)</f>
        <v>0</v>
      </c>
      <c r="L298" s="5" t="str">
        <f aca="false">2&amp;"|"&amp;32</f>
        <v>2|32</v>
      </c>
      <c r="M298" s="5" t="n">
        <f aca="false">IF(L298=L297,M297,0)+K298</f>
        <v>0</v>
      </c>
      <c r="N298" s="5" t="n">
        <f aca="false">IF(AND(K298=1,M298=1),1,0)</f>
        <v>0</v>
      </c>
      <c r="O298" s="5" t="str">
        <f aca="false">IF(K298=1,MAX($O$5:O297)+1,"")</f>
        <v/>
      </c>
      <c r="P298" s="5" t="str">
        <f aca="false">IF(K298=1,SUM($N$6:N298),"")</f>
        <v/>
      </c>
      <c r="Q298" s="5" t="str">
        <f aca="false">IF(K298=1,SUMIFS($H$6:$H$511,$L$6:$L$511,L298,$K$6:$K$511,1),"")</f>
        <v/>
      </c>
      <c r="R298" s="103" t="str">
        <f aca="false">IF(B298="","",IF(INDEX(報告入力!$AB$7:$AB$696,B298)="","",INDEX(報告入力!$AB$7:$AB$696,B298)))</f>
        <v/>
      </c>
      <c r="S298" s="5" t="str">
        <f aca="false">設定!$C$51</f>
        <v>短期：掛金</v>
      </c>
    </row>
    <row r="299" customFormat="false" ht="15" hidden="false" customHeight="false" outlineLevel="0" collapsed="false">
      <c r="A299" s="5" t="str">
        <f aca="false">設定!B92</f>
        <v>全国市町村研修財団</v>
      </c>
      <c r="B299" s="5" t="n">
        <f aca="false">IFERROR(MATCH(ホーム!$C$4&amp;"|"&amp;A299,報告入力!$CM$7:$CM$696,0),"")</f>
        <v>354</v>
      </c>
      <c r="C299" s="5" t="str">
        <f aca="false">IF(B299="","",INDEX(報告入力!$C$7:$C$696,B299))</f>
        <v>受領済</v>
      </c>
      <c r="D299" s="5" t="str">
        <f aca="false">設定!$A$40</f>
        <v>短期経理</v>
      </c>
      <c r="E299" s="5" t="str">
        <f aca="false">設定!$B$40&amp;""</f>
        <v/>
      </c>
      <c r="F299" s="5" t="str">
        <f aca="false">設定!$D$52&amp;""</f>
        <v/>
      </c>
      <c r="G299" s="5" t="str">
        <f aca="false">設定!$E$52&amp;""</f>
        <v/>
      </c>
      <c r="H299" s="5" t="n">
        <f aca="false">IF(B299="",0,N(INDEX(報告入力!$BE$7:$BE$696,B299)))</f>
        <v>36856</v>
      </c>
      <c r="I299" s="5" t="str">
        <f aca="false">設定!$C$40&amp;""</f>
        <v/>
      </c>
      <c r="J299" s="5" t="str">
        <f aca="false">設定!$D$40&amp;""</f>
        <v/>
      </c>
      <c r="K299" s="5" t="n">
        <f aca="false">IF(AND(H299&lt;&gt;0,IF(設定!$B$6="入金確認済のみ",C299="入金確認済",OR(C299="入金確認済",C299="受領済"))),1,0)</f>
        <v>0</v>
      </c>
      <c r="L299" s="5" t="str">
        <f aca="false">2&amp;"|"&amp;32</f>
        <v>2|32</v>
      </c>
      <c r="M299" s="5" t="n">
        <f aca="false">IF(L299=L298,M298,0)+K299</f>
        <v>0</v>
      </c>
      <c r="N299" s="5" t="n">
        <f aca="false">IF(AND(K299=1,M299=1),1,0)</f>
        <v>0</v>
      </c>
      <c r="O299" s="5" t="str">
        <f aca="false">IF(K299=1,MAX($O$5:O298)+1,"")</f>
        <v/>
      </c>
      <c r="P299" s="5" t="str">
        <f aca="false">IF(K299=1,SUM($N$6:N299),"")</f>
        <v/>
      </c>
      <c r="Q299" s="5" t="str">
        <f aca="false">IF(K299=1,SUMIFS($H$6:$H$511,$L$6:$L$511,L299,$K$6:$K$511,1),"")</f>
        <v/>
      </c>
      <c r="R299" s="103" t="str">
        <f aca="false">IF(B299="","",IF(INDEX(報告入力!$AB$7:$AB$696,B299)="","",INDEX(報告入力!$AB$7:$AB$696,B299)))</f>
        <v/>
      </c>
      <c r="S299" s="5" t="str">
        <f aca="false">設定!$C$52</f>
        <v>短期：負担金</v>
      </c>
    </row>
    <row r="300" customFormat="false" ht="15" hidden="false" customHeight="false" outlineLevel="0" collapsed="false">
      <c r="A300" s="5" t="str">
        <f aca="false">設定!B93</f>
        <v>都市再生機構</v>
      </c>
      <c r="B300" s="5" t="n">
        <f aca="false">IFERROR(MATCH(ホーム!$C$4&amp;"|"&amp;A300,報告入力!$CM$7:$CM$696,0),"")</f>
        <v>355</v>
      </c>
      <c r="C300" s="5" t="str">
        <f aca="false">IF(B300="","",INDEX(報告入力!$C$7:$C$696,B300))</f>
        <v>受領済</v>
      </c>
      <c r="D300" s="5" t="str">
        <f aca="false">設定!$A$40</f>
        <v>短期経理</v>
      </c>
      <c r="E300" s="5" t="str">
        <f aca="false">設定!$B$40&amp;""</f>
        <v/>
      </c>
      <c r="F300" s="5" t="str">
        <f aca="false">設定!$D$51&amp;""</f>
        <v/>
      </c>
      <c r="G300" s="5" t="str">
        <f aca="false">設定!$E$51&amp;""</f>
        <v/>
      </c>
      <c r="H300" s="5" t="n">
        <f aca="false">IF(B300="",0,N(INDEX(報告入力!$BD$7:$BD$696,B300)))</f>
        <v>25930</v>
      </c>
      <c r="I300" s="5" t="str">
        <f aca="false">設定!$C$40&amp;""</f>
        <v/>
      </c>
      <c r="J300" s="5" t="str">
        <f aca="false">設定!$D$40&amp;""</f>
        <v/>
      </c>
      <c r="K300" s="5" t="n">
        <f aca="false">IF(AND(H300&lt;&gt;0,IF(設定!$B$6="入金確認済のみ",C300="入金確認済",OR(C300="入金確認済",C300="受領済"))),1,0)</f>
        <v>0</v>
      </c>
      <c r="L300" s="5" t="str">
        <f aca="false">2&amp;"|"&amp;33</f>
        <v>2|33</v>
      </c>
      <c r="M300" s="5" t="n">
        <f aca="false">IF(L300=L299,M299,0)+K300</f>
        <v>0</v>
      </c>
      <c r="N300" s="5" t="n">
        <f aca="false">IF(AND(K300=1,M300=1),1,0)</f>
        <v>0</v>
      </c>
      <c r="O300" s="5" t="str">
        <f aca="false">IF(K300=1,MAX($O$5:O299)+1,"")</f>
        <v/>
      </c>
      <c r="P300" s="5" t="str">
        <f aca="false">IF(K300=1,SUM($N$6:N300),"")</f>
        <v/>
      </c>
      <c r="Q300" s="5" t="str">
        <f aca="false">IF(K300=1,SUMIFS($H$6:$H$511,$L$6:$L$511,L300,$K$6:$K$511,1),"")</f>
        <v/>
      </c>
      <c r="R300" s="103" t="str">
        <f aca="false">IF(B300="","",IF(INDEX(報告入力!$AB$7:$AB$696,B300)="","",INDEX(報告入力!$AB$7:$AB$696,B300)))</f>
        <v/>
      </c>
      <c r="S300" s="5" t="str">
        <f aca="false">設定!$C$51</f>
        <v>短期：掛金</v>
      </c>
    </row>
    <row r="301" customFormat="false" ht="15" hidden="false" customHeight="false" outlineLevel="0" collapsed="false">
      <c r="A301" s="5" t="str">
        <f aca="false">設定!B93</f>
        <v>都市再生機構</v>
      </c>
      <c r="B301" s="5" t="n">
        <f aca="false">IFERROR(MATCH(ホーム!$C$4&amp;"|"&amp;A301,報告入力!$CM$7:$CM$696,0),"")</f>
        <v>355</v>
      </c>
      <c r="C301" s="5" t="str">
        <f aca="false">IF(B301="","",INDEX(報告入力!$C$7:$C$696,B301))</f>
        <v>受領済</v>
      </c>
      <c r="D301" s="5" t="str">
        <f aca="false">設定!$A$40</f>
        <v>短期経理</v>
      </c>
      <c r="E301" s="5" t="str">
        <f aca="false">設定!$B$40&amp;""</f>
        <v/>
      </c>
      <c r="F301" s="5" t="str">
        <f aca="false">設定!$D$52&amp;""</f>
        <v/>
      </c>
      <c r="G301" s="5" t="str">
        <f aca="false">設定!$E$52&amp;""</f>
        <v/>
      </c>
      <c r="H301" s="5" t="n">
        <f aca="false">IF(B301="",0,N(INDEX(報告入力!$BE$7:$BE$696,B301)))</f>
        <v>25955</v>
      </c>
      <c r="I301" s="5" t="str">
        <f aca="false">設定!$C$40&amp;""</f>
        <v/>
      </c>
      <c r="J301" s="5" t="str">
        <f aca="false">設定!$D$40&amp;""</f>
        <v/>
      </c>
      <c r="K301" s="5" t="n">
        <f aca="false">IF(AND(H301&lt;&gt;0,IF(設定!$B$6="入金確認済のみ",C301="入金確認済",OR(C301="入金確認済",C301="受領済"))),1,0)</f>
        <v>0</v>
      </c>
      <c r="L301" s="5" t="str">
        <f aca="false">2&amp;"|"&amp;33</f>
        <v>2|33</v>
      </c>
      <c r="M301" s="5" t="n">
        <f aca="false">IF(L301=L300,M300,0)+K301</f>
        <v>0</v>
      </c>
      <c r="N301" s="5" t="n">
        <f aca="false">IF(AND(K301=1,M301=1),1,0)</f>
        <v>0</v>
      </c>
      <c r="O301" s="5" t="str">
        <f aca="false">IF(K301=1,MAX($O$5:O300)+1,"")</f>
        <v/>
      </c>
      <c r="P301" s="5" t="str">
        <f aca="false">IF(K301=1,SUM($N$6:N301),"")</f>
        <v/>
      </c>
      <c r="Q301" s="5" t="str">
        <f aca="false">IF(K301=1,SUMIFS($H$6:$H$511,$L$6:$L$511,L301,$K$6:$K$511,1),"")</f>
        <v/>
      </c>
      <c r="R301" s="103" t="str">
        <f aca="false">IF(B301="","",IF(INDEX(報告入力!$AB$7:$AB$696,B301)="","",INDEX(報告入力!$AB$7:$AB$696,B301)))</f>
        <v/>
      </c>
      <c r="S301" s="5" t="str">
        <f aca="false">設定!$C$52</f>
        <v>短期：負担金</v>
      </c>
    </row>
    <row r="302" customFormat="false" ht="15" hidden="false" customHeight="false" outlineLevel="0" collapsed="false">
      <c r="A302" s="5" t="str">
        <f aca="false">設定!B94</f>
        <v>広島市立大学</v>
      </c>
      <c r="B302" s="5" t="n">
        <f aca="false">IFERROR(MATCH(ホーム!$C$4&amp;"|"&amp;A302,報告入力!$CM$7:$CM$696,0),"")</f>
        <v>356</v>
      </c>
      <c r="C302" s="5" t="str">
        <f aca="false">IF(B302="","",INDEX(報告入力!$C$7:$C$696,B302))</f>
        <v>未受領</v>
      </c>
      <c r="D302" s="5" t="str">
        <f aca="false">設定!$A$40</f>
        <v>短期経理</v>
      </c>
      <c r="E302" s="5" t="str">
        <f aca="false">設定!$B$40&amp;""</f>
        <v/>
      </c>
      <c r="F302" s="5" t="str">
        <f aca="false">設定!$D$51&amp;""</f>
        <v/>
      </c>
      <c r="G302" s="5" t="str">
        <f aca="false">設定!$E$51&amp;""</f>
        <v/>
      </c>
      <c r="H302" s="5" t="n">
        <f aca="false">IF(B302="",0,N(INDEX(報告入力!$BD$7:$BD$696,B302)))</f>
        <v>742074</v>
      </c>
      <c r="I302" s="5" t="str">
        <f aca="false">設定!$C$40&amp;""</f>
        <v/>
      </c>
      <c r="J302" s="5" t="str">
        <f aca="false">設定!$D$40&amp;""</f>
        <v/>
      </c>
      <c r="K302" s="5" t="n">
        <f aca="false">IF(AND(H302&lt;&gt;0,IF(設定!$B$6="入金確認済のみ",C302="入金確認済",OR(C302="入金確認済",C302="受領済"))),1,0)</f>
        <v>0</v>
      </c>
      <c r="L302" s="5" t="str">
        <f aca="false">2&amp;"|"&amp;34</f>
        <v>2|34</v>
      </c>
      <c r="M302" s="5" t="n">
        <f aca="false">IF(L302=L301,M301,0)+K302</f>
        <v>0</v>
      </c>
      <c r="N302" s="5" t="n">
        <f aca="false">IF(AND(K302=1,M302=1),1,0)</f>
        <v>0</v>
      </c>
      <c r="O302" s="5" t="str">
        <f aca="false">IF(K302=1,MAX($O$5:O301)+1,"")</f>
        <v/>
      </c>
      <c r="P302" s="5" t="str">
        <f aca="false">IF(K302=1,SUM($N$6:N302),"")</f>
        <v/>
      </c>
      <c r="Q302" s="5" t="str">
        <f aca="false">IF(K302=1,SUMIFS($H$6:$H$511,$L$6:$L$511,L302,$K$6:$K$511,1),"")</f>
        <v/>
      </c>
      <c r="R302" s="103" t="str">
        <f aca="false">IF(B302="","",IF(INDEX(報告入力!$AB$7:$AB$696,B302)="","",INDEX(報告入力!$AB$7:$AB$696,B302)))</f>
        <v/>
      </c>
      <c r="S302" s="5" t="str">
        <f aca="false">設定!$C$51</f>
        <v>短期：掛金</v>
      </c>
    </row>
    <row r="303" customFormat="false" ht="15" hidden="false" customHeight="false" outlineLevel="0" collapsed="false">
      <c r="A303" s="5" t="str">
        <f aca="false">設定!B94</f>
        <v>広島市立大学</v>
      </c>
      <c r="B303" s="5" t="n">
        <f aca="false">IFERROR(MATCH(ホーム!$C$4&amp;"|"&amp;A303,報告入力!$CM$7:$CM$696,0),"")</f>
        <v>356</v>
      </c>
      <c r="C303" s="5" t="str">
        <f aca="false">IF(B303="","",INDEX(報告入力!$C$7:$C$696,B303))</f>
        <v>未受領</v>
      </c>
      <c r="D303" s="5" t="str">
        <f aca="false">設定!$A$40</f>
        <v>短期経理</v>
      </c>
      <c r="E303" s="5" t="str">
        <f aca="false">設定!$B$40&amp;""</f>
        <v/>
      </c>
      <c r="F303" s="5" t="str">
        <f aca="false">設定!$D$52&amp;""</f>
        <v/>
      </c>
      <c r="G303" s="5" t="str">
        <f aca="false">設定!$E$52&amp;""</f>
        <v/>
      </c>
      <c r="H303" s="5" t="n">
        <f aca="false">IF(B303="",0,N(INDEX(報告入力!$BE$7:$BE$696,B303)))</f>
        <v>743509</v>
      </c>
      <c r="I303" s="5" t="str">
        <f aca="false">設定!$C$40&amp;""</f>
        <v/>
      </c>
      <c r="J303" s="5" t="str">
        <f aca="false">設定!$D$40&amp;""</f>
        <v/>
      </c>
      <c r="K303" s="5" t="n">
        <f aca="false">IF(AND(H303&lt;&gt;0,IF(設定!$B$6="入金確認済のみ",C303="入金確認済",OR(C303="入金確認済",C303="受領済"))),1,0)</f>
        <v>0</v>
      </c>
      <c r="L303" s="5" t="str">
        <f aca="false">2&amp;"|"&amp;34</f>
        <v>2|34</v>
      </c>
      <c r="M303" s="5" t="n">
        <f aca="false">IF(L303=L302,M302,0)+K303</f>
        <v>0</v>
      </c>
      <c r="N303" s="5" t="n">
        <f aca="false">IF(AND(K303=1,M303=1),1,0)</f>
        <v>0</v>
      </c>
      <c r="O303" s="5" t="str">
        <f aca="false">IF(K303=1,MAX($O$5:O302)+1,"")</f>
        <v/>
      </c>
      <c r="P303" s="5" t="str">
        <f aca="false">IF(K303=1,SUM($N$6:N303),"")</f>
        <v/>
      </c>
      <c r="Q303" s="5" t="str">
        <f aca="false">IF(K303=1,SUMIFS($H$6:$H$511,$L$6:$L$511,L303,$K$6:$K$511,1),"")</f>
        <v/>
      </c>
      <c r="R303" s="103" t="str">
        <f aca="false">IF(B303="","",IF(INDEX(報告入力!$AB$7:$AB$696,B303)="","",INDEX(報告入力!$AB$7:$AB$696,B303)))</f>
        <v/>
      </c>
      <c r="S303" s="5" t="str">
        <f aca="false">設定!$C$52</f>
        <v>短期：負担金</v>
      </c>
    </row>
    <row r="304" customFormat="false" ht="15" hidden="false" customHeight="false" outlineLevel="0" collapsed="false">
      <c r="A304" s="5" t="str">
        <f aca="false">設定!B95</f>
        <v>社会福祉協議会</v>
      </c>
      <c r="B304" s="5" t="n">
        <f aca="false">IFERROR(MATCH(ホーム!$C$4&amp;"|"&amp;A304,報告入力!$CM$7:$CM$696,0),"")</f>
        <v>357</v>
      </c>
      <c r="C304" s="5" t="str">
        <f aca="false">IF(B304="","",INDEX(報告入力!$C$7:$C$696,B304))</f>
        <v>未受領</v>
      </c>
      <c r="D304" s="5" t="str">
        <f aca="false">設定!$A$40</f>
        <v>短期経理</v>
      </c>
      <c r="E304" s="5" t="str">
        <f aca="false">設定!$B$40&amp;""</f>
        <v/>
      </c>
      <c r="F304" s="5" t="str">
        <f aca="false">設定!$D$51&amp;""</f>
        <v/>
      </c>
      <c r="G304" s="5" t="str">
        <f aca="false">設定!$E$51&amp;""</f>
        <v/>
      </c>
      <c r="H304" s="5" t="n">
        <f aca="false">IF(B304="",0,N(INDEX(報告入力!$BD$7:$BD$696,B304)))</f>
        <v>0</v>
      </c>
      <c r="I304" s="5" t="str">
        <f aca="false">設定!$C$40&amp;""</f>
        <v/>
      </c>
      <c r="J304" s="5" t="str">
        <f aca="false">設定!$D$40&amp;""</f>
        <v/>
      </c>
      <c r="K304" s="5" t="n">
        <f aca="false">IF(AND(H304&lt;&gt;0,IF(設定!$B$6="入金確認済のみ",C304="入金確認済",OR(C304="入金確認済",C304="受領済"))),1,0)</f>
        <v>0</v>
      </c>
      <c r="L304" s="5" t="str">
        <f aca="false">2&amp;"|"&amp;35</f>
        <v>2|35</v>
      </c>
      <c r="M304" s="5" t="n">
        <f aca="false">IF(L304=L303,M303,0)+K304</f>
        <v>0</v>
      </c>
      <c r="N304" s="5" t="n">
        <f aca="false">IF(AND(K304=1,M304=1),1,0)</f>
        <v>0</v>
      </c>
      <c r="O304" s="5" t="str">
        <f aca="false">IF(K304=1,MAX($O$5:O303)+1,"")</f>
        <v/>
      </c>
      <c r="P304" s="5" t="str">
        <f aca="false">IF(K304=1,SUM($N$6:N304),"")</f>
        <v/>
      </c>
      <c r="Q304" s="5" t="str">
        <f aca="false">IF(K304=1,SUMIFS($H$6:$H$511,$L$6:$L$511,L304,$K$6:$K$511,1),"")</f>
        <v/>
      </c>
      <c r="R304" s="103" t="str">
        <f aca="false">IF(B304="","",IF(INDEX(報告入力!$AB$7:$AB$696,B304)="","",INDEX(報告入力!$AB$7:$AB$696,B304)))</f>
        <v/>
      </c>
      <c r="S304" s="5" t="str">
        <f aca="false">設定!$C$51</f>
        <v>短期：掛金</v>
      </c>
    </row>
    <row r="305" customFormat="false" ht="15" hidden="false" customHeight="false" outlineLevel="0" collapsed="false">
      <c r="A305" s="5" t="str">
        <f aca="false">設定!B95</f>
        <v>社会福祉協議会</v>
      </c>
      <c r="B305" s="5" t="n">
        <f aca="false">IFERROR(MATCH(ホーム!$C$4&amp;"|"&amp;A305,報告入力!$CM$7:$CM$696,0),"")</f>
        <v>357</v>
      </c>
      <c r="C305" s="5" t="str">
        <f aca="false">IF(B305="","",INDEX(報告入力!$C$7:$C$696,B305))</f>
        <v>未受領</v>
      </c>
      <c r="D305" s="5" t="str">
        <f aca="false">設定!$A$40</f>
        <v>短期経理</v>
      </c>
      <c r="E305" s="5" t="str">
        <f aca="false">設定!$B$40&amp;""</f>
        <v/>
      </c>
      <c r="F305" s="5" t="str">
        <f aca="false">設定!$D$52&amp;""</f>
        <v/>
      </c>
      <c r="G305" s="5" t="str">
        <f aca="false">設定!$E$52&amp;""</f>
        <v/>
      </c>
      <c r="H305" s="5" t="n">
        <f aca="false">IF(B305="",0,N(INDEX(報告入力!$BE$7:$BE$696,B305)))</f>
        <v>151001</v>
      </c>
      <c r="I305" s="5" t="str">
        <f aca="false">設定!$C$40&amp;""</f>
        <v/>
      </c>
      <c r="J305" s="5" t="str">
        <f aca="false">設定!$D$40&amp;""</f>
        <v/>
      </c>
      <c r="K305" s="5" t="n">
        <f aca="false">IF(AND(H305&lt;&gt;0,IF(設定!$B$6="入金確認済のみ",C305="入金確認済",OR(C305="入金確認済",C305="受領済"))),1,0)</f>
        <v>0</v>
      </c>
      <c r="L305" s="5" t="str">
        <f aca="false">2&amp;"|"&amp;35</f>
        <v>2|35</v>
      </c>
      <c r="M305" s="5" t="n">
        <f aca="false">IF(L305=L304,M304,0)+K305</f>
        <v>0</v>
      </c>
      <c r="N305" s="5" t="n">
        <f aca="false">IF(AND(K305=1,M305=1),1,0)</f>
        <v>0</v>
      </c>
      <c r="O305" s="5" t="str">
        <f aca="false">IF(K305=1,MAX($O$5:O304)+1,"")</f>
        <v/>
      </c>
      <c r="P305" s="5" t="str">
        <f aca="false">IF(K305=1,SUM($N$6:N305),"")</f>
        <v/>
      </c>
      <c r="Q305" s="5" t="str">
        <f aca="false">IF(K305=1,SUMIFS($H$6:$H$511,$L$6:$L$511,L305,$K$6:$K$511,1),"")</f>
        <v/>
      </c>
      <c r="R305" s="103" t="str">
        <f aca="false">IF(B305="","",IF(INDEX(報告入力!$AB$7:$AB$696,B305)="","",INDEX(報告入力!$AB$7:$AB$696,B305)))</f>
        <v/>
      </c>
      <c r="S305" s="5" t="str">
        <f aca="false">設定!$C$52</f>
        <v>短期：負担金</v>
      </c>
    </row>
    <row r="306" customFormat="false" ht="15" hidden="false" customHeight="false" outlineLevel="0" collapsed="false">
      <c r="A306" s="5" t="str">
        <f aca="false">設定!B96</f>
        <v>市立病院機構</v>
      </c>
      <c r="B306" s="5" t="n">
        <f aca="false">IFERROR(MATCH(ホーム!$C$4&amp;"|"&amp;A306,報告入力!$CM$7:$CM$696,0),"")</f>
        <v>358</v>
      </c>
      <c r="C306" s="5" t="str">
        <f aca="false">IF(B306="","",INDEX(報告入力!$C$7:$C$696,B306))</f>
        <v>未受領</v>
      </c>
      <c r="D306" s="5" t="str">
        <f aca="false">設定!$A$40</f>
        <v>短期経理</v>
      </c>
      <c r="E306" s="5" t="str">
        <f aca="false">設定!$B$40&amp;""</f>
        <v/>
      </c>
      <c r="F306" s="5" t="str">
        <f aca="false">設定!$D$51&amp;""</f>
        <v/>
      </c>
      <c r="G306" s="5" t="str">
        <f aca="false">設定!$E$51&amp;""</f>
        <v/>
      </c>
      <c r="H306" s="5" t="n">
        <f aca="false">IF(B306="",0,N(INDEX(報告入力!$BD$7:$BD$696,B306)))</f>
        <v>96329196</v>
      </c>
      <c r="I306" s="5" t="str">
        <f aca="false">設定!$C$40&amp;""</f>
        <v/>
      </c>
      <c r="J306" s="5" t="str">
        <f aca="false">設定!$D$40&amp;""</f>
        <v/>
      </c>
      <c r="K306" s="5" t="n">
        <f aca="false">IF(AND(H306&lt;&gt;0,IF(設定!$B$6="入金確認済のみ",C306="入金確認済",OR(C306="入金確認済",C306="受領済"))),1,0)</f>
        <v>0</v>
      </c>
      <c r="L306" s="5" t="str">
        <f aca="false">2&amp;"|"&amp;36</f>
        <v>2|36</v>
      </c>
      <c r="M306" s="5" t="n">
        <f aca="false">IF(L306=L305,M305,0)+K306</f>
        <v>0</v>
      </c>
      <c r="N306" s="5" t="n">
        <f aca="false">IF(AND(K306=1,M306=1),1,0)</f>
        <v>0</v>
      </c>
      <c r="O306" s="5" t="str">
        <f aca="false">IF(K306=1,MAX($O$5:O305)+1,"")</f>
        <v/>
      </c>
      <c r="P306" s="5" t="str">
        <f aca="false">IF(K306=1,SUM($N$6:N306),"")</f>
        <v/>
      </c>
      <c r="Q306" s="5" t="str">
        <f aca="false">IF(K306=1,SUMIFS($H$6:$H$511,$L$6:$L$511,L306,$K$6:$K$511,1),"")</f>
        <v/>
      </c>
      <c r="R306" s="103" t="str">
        <f aca="false">IF(B306="","",IF(INDEX(報告入力!$AB$7:$AB$696,B306)="","",INDEX(報告入力!$AB$7:$AB$696,B306)))</f>
        <v/>
      </c>
      <c r="S306" s="5" t="str">
        <f aca="false">設定!$C$51</f>
        <v>短期：掛金</v>
      </c>
    </row>
    <row r="307" customFormat="false" ht="15" hidden="false" customHeight="false" outlineLevel="0" collapsed="false">
      <c r="A307" s="5" t="str">
        <f aca="false">設定!B96</f>
        <v>市立病院機構</v>
      </c>
      <c r="B307" s="5" t="n">
        <f aca="false">IFERROR(MATCH(ホーム!$C$4&amp;"|"&amp;A307,報告入力!$CM$7:$CM$696,0),"")</f>
        <v>358</v>
      </c>
      <c r="C307" s="5" t="str">
        <f aca="false">IF(B307="","",INDEX(報告入力!$C$7:$C$696,B307))</f>
        <v>未受領</v>
      </c>
      <c r="D307" s="5" t="str">
        <f aca="false">設定!$A$40</f>
        <v>短期経理</v>
      </c>
      <c r="E307" s="5" t="str">
        <f aca="false">設定!$B$40&amp;""</f>
        <v/>
      </c>
      <c r="F307" s="5" t="str">
        <f aca="false">設定!$D$52&amp;""</f>
        <v/>
      </c>
      <c r="G307" s="5" t="str">
        <f aca="false">設定!$E$52&amp;""</f>
        <v/>
      </c>
      <c r="H307" s="5" t="n">
        <f aca="false">IF(B307="",0,N(INDEX(報告入力!$BE$7:$BE$696,B307)))</f>
        <v>96541373</v>
      </c>
      <c r="I307" s="5" t="str">
        <f aca="false">設定!$C$40&amp;""</f>
        <v/>
      </c>
      <c r="J307" s="5" t="str">
        <f aca="false">設定!$D$40&amp;""</f>
        <v/>
      </c>
      <c r="K307" s="5" t="n">
        <f aca="false">IF(AND(H307&lt;&gt;0,IF(設定!$B$6="入金確認済のみ",C307="入金確認済",OR(C307="入金確認済",C307="受領済"))),1,0)</f>
        <v>0</v>
      </c>
      <c r="L307" s="5" t="str">
        <f aca="false">2&amp;"|"&amp;36</f>
        <v>2|36</v>
      </c>
      <c r="M307" s="5" t="n">
        <f aca="false">IF(L307=L306,M306,0)+K307</f>
        <v>0</v>
      </c>
      <c r="N307" s="5" t="n">
        <f aca="false">IF(AND(K307=1,M307=1),1,0)</f>
        <v>0</v>
      </c>
      <c r="O307" s="5" t="str">
        <f aca="false">IF(K307=1,MAX($O$5:O306)+1,"")</f>
        <v/>
      </c>
      <c r="P307" s="5" t="str">
        <f aca="false">IF(K307=1,SUM($N$6:N307),"")</f>
        <v/>
      </c>
      <c r="Q307" s="5" t="str">
        <f aca="false">IF(K307=1,SUMIFS($H$6:$H$511,$L$6:$L$511,L307,$K$6:$K$511,1),"")</f>
        <v/>
      </c>
      <c r="R307" s="103" t="str">
        <f aca="false">IF(B307="","",IF(INDEX(報告入力!$AB$7:$AB$696,B307)="","",INDEX(報告入力!$AB$7:$AB$696,B307)))</f>
        <v/>
      </c>
      <c r="S307" s="5" t="str">
        <f aca="false">設定!$C$52</f>
        <v>短期：負担金</v>
      </c>
    </row>
    <row r="308" customFormat="false" ht="15" hidden="false" customHeight="false" outlineLevel="0" collapsed="false">
      <c r="A308" s="5" t="str">
        <f aca="false">設定!B97</f>
        <v>職員共済組合</v>
      </c>
      <c r="B308" s="5" t="n">
        <f aca="false">IFERROR(MATCH(ホーム!$C$4&amp;"|"&amp;A308,報告入力!$CM$7:$CM$696,0),"")</f>
        <v>359</v>
      </c>
      <c r="C308" s="5" t="str">
        <f aca="false">IF(B308="","",INDEX(報告入力!$C$7:$C$696,B308))</f>
        <v>未受領</v>
      </c>
      <c r="D308" s="5" t="str">
        <f aca="false">設定!$A$40</f>
        <v>短期経理</v>
      </c>
      <c r="E308" s="5" t="str">
        <f aca="false">設定!$B$40&amp;""</f>
        <v/>
      </c>
      <c r="F308" s="5" t="str">
        <f aca="false">設定!$D$51&amp;""</f>
        <v/>
      </c>
      <c r="G308" s="5" t="str">
        <f aca="false">設定!$E$51&amp;""</f>
        <v/>
      </c>
      <c r="H308" s="5" t="n">
        <f aca="false">IF(B308="",0,N(INDEX(報告入力!$BD$7:$BD$696,B308)))</f>
        <v>88012</v>
      </c>
      <c r="I308" s="5" t="str">
        <f aca="false">設定!$C$40&amp;""</f>
        <v/>
      </c>
      <c r="J308" s="5" t="str">
        <f aca="false">設定!$D$40&amp;""</f>
        <v/>
      </c>
      <c r="K308" s="5" t="n">
        <f aca="false">IF(AND(H308&lt;&gt;0,IF(設定!$B$6="入金確認済のみ",C308="入金確認済",OR(C308="入金確認済",C308="受領済"))),1,0)</f>
        <v>0</v>
      </c>
      <c r="L308" s="5" t="str">
        <f aca="false">2&amp;"|"&amp;37</f>
        <v>2|37</v>
      </c>
      <c r="M308" s="5" t="n">
        <f aca="false">IF(L308=L307,M307,0)+K308</f>
        <v>0</v>
      </c>
      <c r="N308" s="5" t="n">
        <f aca="false">IF(AND(K308=1,M308=1),1,0)</f>
        <v>0</v>
      </c>
      <c r="O308" s="5" t="str">
        <f aca="false">IF(K308=1,MAX($O$5:O307)+1,"")</f>
        <v/>
      </c>
      <c r="P308" s="5" t="str">
        <f aca="false">IF(K308=1,SUM($N$6:N308),"")</f>
        <v/>
      </c>
      <c r="Q308" s="5" t="str">
        <f aca="false">IF(K308=1,SUMIFS($H$6:$H$511,$L$6:$L$511,L308,$K$6:$K$511,1),"")</f>
        <v/>
      </c>
      <c r="R308" s="103" t="str">
        <f aca="false">IF(B308="","",IF(INDEX(報告入力!$AB$7:$AB$696,B308)="","",INDEX(報告入力!$AB$7:$AB$696,B308)))</f>
        <v/>
      </c>
      <c r="S308" s="5" t="str">
        <f aca="false">設定!$C$51</f>
        <v>短期：掛金</v>
      </c>
    </row>
    <row r="309" customFormat="false" ht="15" hidden="false" customHeight="false" outlineLevel="0" collapsed="false">
      <c r="A309" s="5" t="str">
        <f aca="false">設定!B97</f>
        <v>職員共済組合</v>
      </c>
      <c r="B309" s="5" t="n">
        <f aca="false">IFERROR(MATCH(ホーム!$C$4&amp;"|"&amp;A309,報告入力!$CM$7:$CM$696,0),"")</f>
        <v>359</v>
      </c>
      <c r="C309" s="5" t="str">
        <f aca="false">IF(B309="","",INDEX(報告入力!$C$7:$C$696,B309))</f>
        <v>未受領</v>
      </c>
      <c r="D309" s="5" t="str">
        <f aca="false">設定!$A$40</f>
        <v>短期経理</v>
      </c>
      <c r="E309" s="5" t="str">
        <f aca="false">設定!$B$40&amp;""</f>
        <v/>
      </c>
      <c r="F309" s="5" t="str">
        <f aca="false">設定!$D$52&amp;""</f>
        <v/>
      </c>
      <c r="G309" s="5" t="str">
        <f aca="false">設定!$E$52&amp;""</f>
        <v/>
      </c>
      <c r="H309" s="5" t="n">
        <f aca="false">IF(B309="",0,N(INDEX(報告入力!$BE$7:$BE$696,B309)))</f>
        <v>108566</v>
      </c>
      <c r="I309" s="5" t="str">
        <f aca="false">設定!$C$40&amp;""</f>
        <v/>
      </c>
      <c r="J309" s="5" t="str">
        <f aca="false">設定!$D$40&amp;""</f>
        <v/>
      </c>
      <c r="K309" s="5" t="n">
        <f aca="false">IF(AND(H309&lt;&gt;0,IF(設定!$B$6="入金確認済のみ",C309="入金確認済",OR(C309="入金確認済",C309="受領済"))),1,0)</f>
        <v>0</v>
      </c>
      <c r="L309" s="5" t="str">
        <f aca="false">2&amp;"|"&amp;37</f>
        <v>2|37</v>
      </c>
      <c r="M309" s="5" t="n">
        <f aca="false">IF(L309=L308,M308,0)+K309</f>
        <v>0</v>
      </c>
      <c r="N309" s="5" t="n">
        <f aca="false">IF(AND(K309=1,M309=1),1,0)</f>
        <v>0</v>
      </c>
      <c r="O309" s="5" t="str">
        <f aca="false">IF(K309=1,MAX($O$5:O308)+1,"")</f>
        <v/>
      </c>
      <c r="P309" s="5" t="str">
        <f aca="false">IF(K309=1,SUM($N$6:N309),"")</f>
        <v/>
      </c>
      <c r="Q309" s="5" t="str">
        <f aca="false">IF(K309=1,SUMIFS($H$6:$H$511,$L$6:$L$511,L309,$K$6:$K$511,1),"")</f>
        <v/>
      </c>
      <c r="R309" s="103" t="str">
        <f aca="false">IF(B309="","",IF(INDEX(報告入力!$AB$7:$AB$696,B309)="","",INDEX(報告入力!$AB$7:$AB$696,B309)))</f>
        <v/>
      </c>
      <c r="S309" s="5" t="str">
        <f aca="false">設定!$C$52</f>
        <v>短期：負担金</v>
      </c>
    </row>
    <row r="310" customFormat="false" ht="25.35" hidden="false" customHeight="false" outlineLevel="0" collapsed="false">
      <c r="A310" s="104" t="str">
        <f aca="false">設定!B98</f>
        <v>地方公共団体
情報システム機構</v>
      </c>
      <c r="B310" s="5" t="n">
        <f aca="false">IFERROR(MATCH(ホーム!$C$4&amp;"|"&amp;A310,報告入力!$CM$7:$CM$696,0),"")</f>
        <v>360</v>
      </c>
      <c r="C310" s="5" t="str">
        <f aca="false">IF(B310="","",INDEX(報告入力!$C$7:$C$696,B310))</f>
        <v>報告なし</v>
      </c>
      <c r="D310" s="5" t="str">
        <f aca="false">設定!$A$40</f>
        <v>短期経理</v>
      </c>
      <c r="E310" s="5" t="str">
        <f aca="false">設定!$B$40&amp;""</f>
        <v/>
      </c>
      <c r="F310" s="5" t="str">
        <f aca="false">設定!$D$51&amp;""</f>
        <v/>
      </c>
      <c r="G310" s="5" t="str">
        <f aca="false">設定!$E$51&amp;""</f>
        <v/>
      </c>
      <c r="H310" s="5" t="n">
        <f aca="false">IF(B310="",0,N(INDEX(報告入力!$BD$7:$BD$696,B310)))</f>
        <v>0</v>
      </c>
      <c r="I310" s="5" t="str">
        <f aca="false">設定!$C$40&amp;""</f>
        <v/>
      </c>
      <c r="J310" s="5" t="str">
        <f aca="false">設定!$D$40&amp;""</f>
        <v/>
      </c>
      <c r="K310" s="5" t="n">
        <f aca="false">IF(AND(H310&lt;&gt;0,IF(設定!$B$6="入金確認済のみ",C310="入金確認済",OR(C310="入金確認済",C310="受領済"))),1,0)</f>
        <v>0</v>
      </c>
      <c r="L310" s="5" t="str">
        <f aca="false">2&amp;"|"&amp;38</f>
        <v>2|38</v>
      </c>
      <c r="M310" s="5" t="n">
        <f aca="false">IF(L310=L309,M309,0)+K310</f>
        <v>0</v>
      </c>
      <c r="N310" s="5" t="n">
        <f aca="false">IF(AND(K310=1,M310=1),1,0)</f>
        <v>0</v>
      </c>
      <c r="O310" s="5" t="str">
        <f aca="false">IF(K310=1,MAX($O$5:O309)+1,"")</f>
        <v/>
      </c>
      <c r="P310" s="5" t="str">
        <f aca="false">IF(K310=1,SUM($N$6:N310),"")</f>
        <v/>
      </c>
      <c r="Q310" s="5" t="str">
        <f aca="false">IF(K310=1,SUMIFS($H$6:$H$511,$L$6:$L$511,L310,$K$6:$K$511,1),"")</f>
        <v/>
      </c>
      <c r="R310" s="103" t="str">
        <f aca="false">IF(B310="","",IF(INDEX(報告入力!$AB$7:$AB$696,B310)="","",INDEX(報告入力!$AB$7:$AB$696,B310)))</f>
        <v/>
      </c>
      <c r="S310" s="5" t="str">
        <f aca="false">設定!$C$51</f>
        <v>短期：掛金</v>
      </c>
    </row>
    <row r="311" customFormat="false" ht="25.35" hidden="false" customHeight="false" outlineLevel="0" collapsed="false">
      <c r="A311" s="104" t="str">
        <f aca="false">設定!B98</f>
        <v>地方公共団体
情報システム機構</v>
      </c>
      <c r="B311" s="5" t="n">
        <f aca="false">IFERROR(MATCH(ホーム!$C$4&amp;"|"&amp;A311,報告入力!$CM$7:$CM$696,0),"")</f>
        <v>360</v>
      </c>
      <c r="C311" s="5" t="str">
        <f aca="false">IF(B311="","",INDEX(報告入力!$C$7:$C$696,B311))</f>
        <v>報告なし</v>
      </c>
      <c r="D311" s="5" t="str">
        <f aca="false">設定!$A$40</f>
        <v>短期経理</v>
      </c>
      <c r="E311" s="5" t="str">
        <f aca="false">設定!$B$40&amp;""</f>
        <v/>
      </c>
      <c r="F311" s="5" t="str">
        <f aca="false">設定!$D$52&amp;""</f>
        <v/>
      </c>
      <c r="G311" s="5" t="str">
        <f aca="false">設定!$E$52&amp;""</f>
        <v/>
      </c>
      <c r="H311" s="5" t="n">
        <f aca="false">IF(B311="",0,N(INDEX(報告入力!$BE$7:$BE$696,B311)))</f>
        <v>0</v>
      </c>
      <c r="I311" s="5" t="str">
        <f aca="false">設定!$C$40&amp;""</f>
        <v/>
      </c>
      <c r="J311" s="5" t="str">
        <f aca="false">設定!$D$40&amp;""</f>
        <v/>
      </c>
      <c r="K311" s="5" t="n">
        <f aca="false">IF(AND(H311&lt;&gt;0,IF(設定!$B$6="入金確認済のみ",C311="入金確認済",OR(C311="入金確認済",C311="受領済"))),1,0)</f>
        <v>0</v>
      </c>
      <c r="L311" s="5" t="str">
        <f aca="false">2&amp;"|"&amp;38</f>
        <v>2|38</v>
      </c>
      <c r="M311" s="5" t="n">
        <f aca="false">IF(L311=L310,M310,0)+K311</f>
        <v>0</v>
      </c>
      <c r="N311" s="5" t="n">
        <f aca="false">IF(AND(K311=1,M311=1),1,0)</f>
        <v>0</v>
      </c>
      <c r="O311" s="5" t="str">
        <f aca="false">IF(K311=1,MAX($O$5:O310)+1,"")</f>
        <v/>
      </c>
      <c r="P311" s="5" t="str">
        <f aca="false">IF(K311=1,SUM($N$6:N311),"")</f>
        <v/>
      </c>
      <c r="Q311" s="5" t="str">
        <f aca="false">IF(K311=1,SUMIFS($H$6:$H$511,$L$6:$L$511,L311,$K$6:$K$511,1),"")</f>
        <v/>
      </c>
      <c r="R311" s="103" t="str">
        <f aca="false">IF(B311="","",IF(INDEX(報告入力!$AB$7:$AB$696,B311)="","",INDEX(報告入力!$AB$7:$AB$696,B311)))</f>
        <v/>
      </c>
      <c r="S311" s="5" t="str">
        <f aca="false">設定!$C$52</f>
        <v>短期：負担金</v>
      </c>
    </row>
    <row r="312" customFormat="false" ht="15" hidden="false" customHeight="false" outlineLevel="0" collapsed="false">
      <c r="A312" s="5" t="str">
        <f aca="false">設定!B99</f>
        <v>全国市長会</v>
      </c>
      <c r="B312" s="5" t="n">
        <f aca="false">IFERROR(MATCH(ホーム!$C$4&amp;"|"&amp;A312,報告入力!$CM$7:$CM$696,0),"")</f>
        <v>361</v>
      </c>
      <c r="C312" s="5" t="str">
        <f aca="false">IF(B312="","",INDEX(報告入力!$C$7:$C$696,B312))</f>
        <v>受領済</v>
      </c>
      <c r="D312" s="5" t="str">
        <f aca="false">設定!$A$40</f>
        <v>短期経理</v>
      </c>
      <c r="E312" s="5" t="str">
        <f aca="false">設定!$B$40&amp;""</f>
        <v/>
      </c>
      <c r="F312" s="5" t="str">
        <f aca="false">設定!$D$51&amp;""</f>
        <v/>
      </c>
      <c r="G312" s="5" t="str">
        <f aca="false">設定!$E$51&amp;""</f>
        <v/>
      </c>
      <c r="H312" s="5" t="n">
        <f aca="false">IF(B312="",0,N(INDEX(報告入力!$BD$7:$BD$696,B312)))</f>
        <v>86605</v>
      </c>
      <c r="I312" s="5" t="str">
        <f aca="false">設定!$C$40&amp;""</f>
        <v/>
      </c>
      <c r="J312" s="5" t="str">
        <f aca="false">設定!$D$40&amp;""</f>
        <v/>
      </c>
      <c r="K312" s="5" t="n">
        <f aca="false">IF(AND(H312&lt;&gt;0,IF(設定!$B$6="入金確認済のみ",C312="入金確認済",OR(C312="入金確認済",C312="受領済"))),1,0)</f>
        <v>0</v>
      </c>
      <c r="L312" s="5" t="str">
        <f aca="false">2&amp;"|"&amp;39</f>
        <v>2|39</v>
      </c>
      <c r="M312" s="5" t="n">
        <f aca="false">IF(L312=L311,M311,0)+K312</f>
        <v>0</v>
      </c>
      <c r="N312" s="5" t="n">
        <f aca="false">IF(AND(K312=1,M312=1),1,0)</f>
        <v>0</v>
      </c>
      <c r="O312" s="5" t="str">
        <f aca="false">IF(K312=1,MAX($O$5:O311)+1,"")</f>
        <v/>
      </c>
      <c r="P312" s="5" t="str">
        <f aca="false">IF(K312=1,SUM($N$6:N312),"")</f>
        <v/>
      </c>
      <c r="Q312" s="5" t="str">
        <f aca="false">IF(K312=1,SUMIFS($H$6:$H$511,$L$6:$L$511,L312,$K$6:$K$511,1),"")</f>
        <v/>
      </c>
      <c r="R312" s="103" t="str">
        <f aca="false">IF(B312="","",IF(INDEX(報告入力!$AB$7:$AB$696,B312)="","",INDEX(報告入力!$AB$7:$AB$696,B312)))</f>
        <v/>
      </c>
      <c r="S312" s="5" t="str">
        <f aca="false">設定!$C$51</f>
        <v>短期：掛金</v>
      </c>
    </row>
    <row r="313" customFormat="false" ht="15" hidden="false" customHeight="false" outlineLevel="0" collapsed="false">
      <c r="A313" s="5" t="str">
        <f aca="false">設定!B99</f>
        <v>全国市長会</v>
      </c>
      <c r="B313" s="5" t="n">
        <f aca="false">IFERROR(MATCH(ホーム!$C$4&amp;"|"&amp;A313,報告入力!$CM$7:$CM$696,0),"")</f>
        <v>361</v>
      </c>
      <c r="C313" s="5" t="str">
        <f aca="false">IF(B313="","",INDEX(報告入力!$C$7:$C$696,B313))</f>
        <v>受領済</v>
      </c>
      <c r="D313" s="5" t="str">
        <f aca="false">設定!$A$40</f>
        <v>短期経理</v>
      </c>
      <c r="E313" s="5" t="str">
        <f aca="false">設定!$B$40&amp;""</f>
        <v/>
      </c>
      <c r="F313" s="5" t="str">
        <f aca="false">設定!$D$52&amp;""</f>
        <v/>
      </c>
      <c r="G313" s="5" t="str">
        <f aca="false">設定!$E$52&amp;""</f>
        <v/>
      </c>
      <c r="H313" s="5" t="n">
        <f aca="false">IF(B313="",0,N(INDEX(報告入力!$BE$7:$BE$696,B313)))</f>
        <v>86689</v>
      </c>
      <c r="I313" s="5" t="str">
        <f aca="false">設定!$C$40&amp;""</f>
        <v/>
      </c>
      <c r="J313" s="5" t="str">
        <f aca="false">設定!$D$40&amp;""</f>
        <v/>
      </c>
      <c r="K313" s="5" t="n">
        <f aca="false">IF(AND(H313&lt;&gt;0,IF(設定!$B$6="入金確認済のみ",C313="入金確認済",OR(C313="入金確認済",C313="受領済"))),1,0)</f>
        <v>0</v>
      </c>
      <c r="L313" s="5" t="str">
        <f aca="false">2&amp;"|"&amp;39</f>
        <v>2|39</v>
      </c>
      <c r="M313" s="5" t="n">
        <f aca="false">IF(L313=L312,M312,0)+K313</f>
        <v>0</v>
      </c>
      <c r="N313" s="5" t="n">
        <f aca="false">IF(AND(K313=1,M313=1),1,0)</f>
        <v>0</v>
      </c>
      <c r="O313" s="5" t="str">
        <f aca="false">IF(K313=1,MAX($O$5:O312)+1,"")</f>
        <v/>
      </c>
      <c r="P313" s="5" t="str">
        <f aca="false">IF(K313=1,SUM($N$6:N313),"")</f>
        <v/>
      </c>
      <c r="Q313" s="5" t="str">
        <f aca="false">IF(K313=1,SUMIFS($H$6:$H$511,$L$6:$L$511,L313,$K$6:$K$511,1),"")</f>
        <v/>
      </c>
      <c r="R313" s="103" t="str">
        <f aca="false">IF(B313="","",IF(INDEX(報告入力!$AB$7:$AB$696,B313)="","",INDEX(報告入力!$AB$7:$AB$696,B313)))</f>
        <v/>
      </c>
      <c r="S313" s="5" t="str">
        <f aca="false">設定!$C$52</f>
        <v>短期：負担金</v>
      </c>
    </row>
    <row r="314" customFormat="false" ht="15" hidden="false" customHeight="false" outlineLevel="0" collapsed="false">
      <c r="A314" s="5" t="str">
        <f aca="false">設定!B100</f>
        <v>高速交通（株）</v>
      </c>
      <c r="B314" s="5" t="n">
        <f aca="false">IFERROR(MATCH(ホーム!$C$4&amp;"|"&amp;A314,報告入力!$CM$7:$CM$696,0),"")</f>
        <v>362</v>
      </c>
      <c r="C314" s="5" t="str">
        <f aca="false">IF(B314="","",INDEX(報告入力!$C$7:$C$696,B314))</f>
        <v>未受領</v>
      </c>
      <c r="D314" s="5" t="str">
        <f aca="false">設定!$A$40</f>
        <v>短期経理</v>
      </c>
      <c r="E314" s="5" t="str">
        <f aca="false">設定!$B$40&amp;""</f>
        <v/>
      </c>
      <c r="F314" s="5" t="str">
        <f aca="false">設定!$D$51&amp;""</f>
        <v/>
      </c>
      <c r="G314" s="5" t="str">
        <f aca="false">設定!$E$51&amp;""</f>
        <v/>
      </c>
      <c r="H314" s="5" t="n">
        <f aca="false">IF(B314="",0,N(INDEX(報告入力!$BD$7:$BD$696,B314)))</f>
        <v>0</v>
      </c>
      <c r="I314" s="5" t="str">
        <f aca="false">設定!$C$40&amp;""</f>
        <v/>
      </c>
      <c r="J314" s="5" t="str">
        <f aca="false">設定!$D$40&amp;""</f>
        <v/>
      </c>
      <c r="K314" s="5" t="n">
        <f aca="false">IF(AND(H314&lt;&gt;0,IF(設定!$B$6="入金確認済のみ",C314="入金確認済",OR(C314="入金確認済",C314="受領済"))),1,0)</f>
        <v>0</v>
      </c>
      <c r="L314" s="5" t="str">
        <f aca="false">2&amp;"|"&amp;40</f>
        <v>2|40</v>
      </c>
      <c r="M314" s="5" t="n">
        <f aca="false">IF(L314=L313,M313,0)+K314</f>
        <v>0</v>
      </c>
      <c r="N314" s="5" t="n">
        <f aca="false">IF(AND(K314=1,M314=1),1,0)</f>
        <v>0</v>
      </c>
      <c r="O314" s="5" t="str">
        <f aca="false">IF(K314=1,MAX($O$5:O313)+1,"")</f>
        <v/>
      </c>
      <c r="P314" s="5" t="str">
        <f aca="false">IF(K314=1,SUM($N$6:N314),"")</f>
        <v/>
      </c>
      <c r="Q314" s="5" t="str">
        <f aca="false">IF(K314=1,SUMIFS($H$6:$H$511,$L$6:$L$511,L314,$K$6:$K$511,1),"")</f>
        <v/>
      </c>
      <c r="R314" s="103" t="str">
        <f aca="false">IF(B314="","",IF(INDEX(報告入力!$AB$7:$AB$696,B314)="","",INDEX(報告入力!$AB$7:$AB$696,B314)))</f>
        <v/>
      </c>
      <c r="S314" s="5" t="str">
        <f aca="false">設定!$C$51</f>
        <v>短期：掛金</v>
      </c>
    </row>
    <row r="315" customFormat="false" ht="15" hidden="false" customHeight="false" outlineLevel="0" collapsed="false">
      <c r="A315" s="5" t="str">
        <f aca="false">設定!B100</f>
        <v>高速交通（株）</v>
      </c>
      <c r="B315" s="5" t="n">
        <f aca="false">IFERROR(MATCH(ホーム!$C$4&amp;"|"&amp;A315,報告入力!$CM$7:$CM$696,0),"")</f>
        <v>362</v>
      </c>
      <c r="C315" s="5" t="str">
        <f aca="false">IF(B315="","",INDEX(報告入力!$C$7:$C$696,B315))</f>
        <v>未受領</v>
      </c>
      <c r="D315" s="5" t="str">
        <f aca="false">設定!$A$40</f>
        <v>短期経理</v>
      </c>
      <c r="E315" s="5" t="str">
        <f aca="false">設定!$B$40&amp;""</f>
        <v/>
      </c>
      <c r="F315" s="5" t="str">
        <f aca="false">設定!$D$52&amp;""</f>
        <v/>
      </c>
      <c r="G315" s="5" t="str">
        <f aca="false">設定!$E$52&amp;""</f>
        <v/>
      </c>
      <c r="H315" s="5" t="n">
        <f aca="false">IF(B315="",0,N(INDEX(報告入力!$BE$7:$BE$696,B315)))</f>
        <v>0</v>
      </c>
      <c r="I315" s="5" t="str">
        <f aca="false">設定!$C$40&amp;""</f>
        <v/>
      </c>
      <c r="J315" s="5" t="str">
        <f aca="false">設定!$D$40&amp;""</f>
        <v/>
      </c>
      <c r="K315" s="5" t="n">
        <f aca="false">IF(AND(H315&lt;&gt;0,IF(設定!$B$6="入金確認済のみ",C315="入金確認済",OR(C315="入金確認済",C315="受領済"))),1,0)</f>
        <v>0</v>
      </c>
      <c r="L315" s="5" t="str">
        <f aca="false">2&amp;"|"&amp;40</f>
        <v>2|40</v>
      </c>
      <c r="M315" s="5" t="n">
        <f aca="false">IF(L315=L314,M314,0)+K315</f>
        <v>0</v>
      </c>
      <c r="N315" s="5" t="n">
        <f aca="false">IF(AND(K315=1,M315=1),1,0)</f>
        <v>0</v>
      </c>
      <c r="O315" s="5" t="str">
        <f aca="false">IF(K315=1,MAX($O$5:O314)+1,"")</f>
        <v/>
      </c>
      <c r="P315" s="5" t="str">
        <f aca="false">IF(K315=1,SUM($N$6:N315),"")</f>
        <v/>
      </c>
      <c r="Q315" s="5" t="str">
        <f aca="false">IF(K315=1,SUMIFS($H$6:$H$511,$L$6:$L$511,L315,$K$6:$K$511,1),"")</f>
        <v/>
      </c>
      <c r="R315" s="103" t="str">
        <f aca="false">IF(B315="","",IF(INDEX(報告入力!$AB$7:$AB$696,B315)="","",INDEX(報告入力!$AB$7:$AB$696,B315)))</f>
        <v/>
      </c>
      <c r="S315" s="5" t="str">
        <f aca="false">設定!$C$52</f>
        <v>短期：負担金</v>
      </c>
    </row>
    <row r="316" customFormat="false" ht="15" hidden="false" customHeight="false" outlineLevel="0" collapsed="false">
      <c r="A316" s="5" t="str">
        <f aca="false">設定!B101</f>
        <v>広島駅南口開発（株）</v>
      </c>
      <c r="B316" s="5" t="n">
        <f aca="false">IFERROR(MATCH(ホーム!$C$4&amp;"|"&amp;A316,報告入力!$CM$7:$CM$696,0),"")</f>
        <v>363</v>
      </c>
      <c r="C316" s="5" t="str">
        <f aca="false">IF(B316="","",INDEX(報告入力!$C$7:$C$696,B316))</f>
        <v>受領済</v>
      </c>
      <c r="D316" s="5" t="str">
        <f aca="false">設定!$A$40</f>
        <v>短期経理</v>
      </c>
      <c r="E316" s="5" t="str">
        <f aca="false">設定!$B$40&amp;""</f>
        <v/>
      </c>
      <c r="F316" s="5" t="str">
        <f aca="false">設定!$D$51&amp;""</f>
        <v/>
      </c>
      <c r="G316" s="5" t="str">
        <f aca="false">設定!$E$51&amp;""</f>
        <v/>
      </c>
      <c r="H316" s="5" t="n">
        <f aca="false">IF(B316="",0,N(INDEX(報告入力!$BD$7:$BD$696,B316)))</f>
        <v>0</v>
      </c>
      <c r="I316" s="5" t="str">
        <f aca="false">設定!$C$40&amp;""</f>
        <v/>
      </c>
      <c r="J316" s="5" t="str">
        <f aca="false">設定!$D$40&amp;""</f>
        <v/>
      </c>
      <c r="K316" s="5" t="n">
        <f aca="false">IF(AND(H316&lt;&gt;0,IF(設定!$B$6="入金確認済のみ",C316="入金確認済",OR(C316="入金確認済",C316="受領済"))),1,0)</f>
        <v>0</v>
      </c>
      <c r="L316" s="5" t="str">
        <f aca="false">2&amp;"|"&amp;41</f>
        <v>2|41</v>
      </c>
      <c r="M316" s="5" t="n">
        <f aca="false">IF(L316=L315,M315,0)+K316</f>
        <v>0</v>
      </c>
      <c r="N316" s="5" t="n">
        <f aca="false">IF(AND(K316=1,M316=1),1,0)</f>
        <v>0</v>
      </c>
      <c r="O316" s="5" t="str">
        <f aca="false">IF(K316=1,MAX($O$5:O315)+1,"")</f>
        <v/>
      </c>
      <c r="P316" s="5" t="str">
        <f aca="false">IF(K316=1,SUM($N$6:N316),"")</f>
        <v/>
      </c>
      <c r="Q316" s="5" t="str">
        <f aca="false">IF(K316=1,SUMIFS($H$6:$H$511,$L$6:$L$511,L316,$K$6:$K$511,1),"")</f>
        <v/>
      </c>
      <c r="R316" s="103" t="str">
        <f aca="false">IF(B316="","",IF(INDEX(報告入力!$AB$7:$AB$696,B316)="","",INDEX(報告入力!$AB$7:$AB$696,B316)))</f>
        <v/>
      </c>
      <c r="S316" s="5" t="str">
        <f aca="false">設定!$C$51</f>
        <v>短期：掛金</v>
      </c>
    </row>
    <row r="317" customFormat="false" ht="15" hidden="false" customHeight="false" outlineLevel="0" collapsed="false">
      <c r="A317" s="5" t="str">
        <f aca="false">設定!B101</f>
        <v>広島駅南口開発（株）</v>
      </c>
      <c r="B317" s="5" t="n">
        <f aca="false">IFERROR(MATCH(ホーム!$C$4&amp;"|"&amp;A317,報告入力!$CM$7:$CM$696,0),"")</f>
        <v>363</v>
      </c>
      <c r="C317" s="5" t="str">
        <f aca="false">IF(B317="","",INDEX(報告入力!$C$7:$C$696,B317))</f>
        <v>受領済</v>
      </c>
      <c r="D317" s="5" t="str">
        <f aca="false">設定!$A$40</f>
        <v>短期経理</v>
      </c>
      <c r="E317" s="5" t="str">
        <f aca="false">設定!$B$40&amp;""</f>
        <v/>
      </c>
      <c r="F317" s="5" t="str">
        <f aca="false">設定!$D$52&amp;""</f>
        <v/>
      </c>
      <c r="G317" s="5" t="str">
        <f aca="false">設定!$E$52&amp;""</f>
        <v/>
      </c>
      <c r="H317" s="5" t="n">
        <f aca="false">IF(B317="",0,N(INDEX(報告入力!$BE$7:$BE$696,B317)))</f>
        <v>0</v>
      </c>
      <c r="I317" s="5" t="str">
        <f aca="false">設定!$C$40&amp;""</f>
        <v/>
      </c>
      <c r="J317" s="5" t="str">
        <f aca="false">設定!$D$40&amp;""</f>
        <v/>
      </c>
      <c r="K317" s="5" t="n">
        <f aca="false">IF(AND(H317&lt;&gt;0,IF(設定!$B$6="入金確認済のみ",C317="入金確認済",OR(C317="入金確認済",C317="受領済"))),1,0)</f>
        <v>0</v>
      </c>
      <c r="L317" s="5" t="str">
        <f aca="false">2&amp;"|"&amp;41</f>
        <v>2|41</v>
      </c>
      <c r="M317" s="5" t="n">
        <f aca="false">IF(L317=L316,M316,0)+K317</f>
        <v>0</v>
      </c>
      <c r="N317" s="5" t="n">
        <f aca="false">IF(AND(K317=1,M317=1),1,0)</f>
        <v>0</v>
      </c>
      <c r="O317" s="5" t="str">
        <f aca="false">IF(K317=1,MAX($O$5:O316)+1,"")</f>
        <v/>
      </c>
      <c r="P317" s="5" t="str">
        <f aca="false">IF(K317=1,SUM($N$6:N317),"")</f>
        <v/>
      </c>
      <c r="Q317" s="5" t="str">
        <f aca="false">IF(K317=1,SUMIFS($H$6:$H$511,$L$6:$L$511,L317,$K$6:$K$511,1),"")</f>
        <v/>
      </c>
      <c r="R317" s="103" t="str">
        <f aca="false">IF(B317="","",IF(INDEX(報告入力!$AB$7:$AB$696,B317)="","",INDEX(報告入力!$AB$7:$AB$696,B317)))</f>
        <v/>
      </c>
      <c r="S317" s="5" t="str">
        <f aca="false">設定!$C$52</f>
        <v>短期：負担金</v>
      </c>
    </row>
    <row r="318" customFormat="false" ht="15" hidden="false" customHeight="false" outlineLevel="0" collapsed="false">
      <c r="A318" s="5" t="str">
        <f aca="false">設定!B102</f>
        <v>市職員労働組合</v>
      </c>
      <c r="B318" s="5" t="n">
        <f aca="false">IFERROR(MATCH(ホーム!$C$4&amp;"|"&amp;A318,報告入力!$CM$7:$CM$696,0),"")</f>
        <v>364</v>
      </c>
      <c r="C318" s="5" t="str">
        <f aca="false">IF(B318="","",INDEX(報告入力!$C$7:$C$696,B318))</f>
        <v>未受領</v>
      </c>
      <c r="D318" s="5" t="str">
        <f aca="false">設定!$A$40</f>
        <v>短期経理</v>
      </c>
      <c r="E318" s="5" t="str">
        <f aca="false">設定!$B$40&amp;""</f>
        <v/>
      </c>
      <c r="F318" s="5" t="str">
        <f aca="false">設定!$D$51&amp;""</f>
        <v/>
      </c>
      <c r="G318" s="5" t="str">
        <f aca="false">設定!$E$51&amp;""</f>
        <v/>
      </c>
      <c r="H318" s="5" t="n">
        <f aca="false">IF(B318="",0,N(INDEX(報告入力!$BD$7:$BD$696,B318)))</f>
        <v>17603</v>
      </c>
      <c r="I318" s="5" t="str">
        <f aca="false">設定!$C$40&amp;""</f>
        <v/>
      </c>
      <c r="J318" s="5" t="str">
        <f aca="false">設定!$D$40&amp;""</f>
        <v/>
      </c>
      <c r="K318" s="5" t="n">
        <f aca="false">IF(AND(H318&lt;&gt;0,IF(設定!$B$6="入金確認済のみ",C318="入金確認済",OR(C318="入金確認済",C318="受領済"))),1,0)</f>
        <v>0</v>
      </c>
      <c r="L318" s="5" t="str">
        <f aca="false">2&amp;"|"&amp;42</f>
        <v>2|42</v>
      </c>
      <c r="M318" s="5" t="n">
        <f aca="false">IF(L318=L317,M317,0)+K318</f>
        <v>0</v>
      </c>
      <c r="N318" s="5" t="n">
        <f aca="false">IF(AND(K318=1,M318=1),1,0)</f>
        <v>0</v>
      </c>
      <c r="O318" s="5" t="str">
        <f aca="false">IF(K318=1,MAX($O$5:O317)+1,"")</f>
        <v/>
      </c>
      <c r="P318" s="5" t="str">
        <f aca="false">IF(K318=1,SUM($N$6:N318),"")</f>
        <v/>
      </c>
      <c r="Q318" s="5" t="str">
        <f aca="false">IF(K318=1,SUMIFS($H$6:$H$511,$L$6:$L$511,L318,$K$6:$K$511,1),"")</f>
        <v/>
      </c>
      <c r="R318" s="103" t="str">
        <f aca="false">IF(B318="","",IF(INDEX(報告入力!$AB$7:$AB$696,B318)="","",INDEX(報告入力!$AB$7:$AB$696,B318)))</f>
        <v/>
      </c>
      <c r="S318" s="5" t="str">
        <f aca="false">設定!$C$51</f>
        <v>短期：掛金</v>
      </c>
    </row>
    <row r="319" customFormat="false" ht="15" hidden="false" customHeight="false" outlineLevel="0" collapsed="false">
      <c r="A319" s="5" t="str">
        <f aca="false">設定!B102</f>
        <v>市職員労働組合</v>
      </c>
      <c r="B319" s="5" t="n">
        <f aca="false">IFERROR(MATCH(ホーム!$C$4&amp;"|"&amp;A319,報告入力!$CM$7:$CM$696,0),"")</f>
        <v>364</v>
      </c>
      <c r="C319" s="5" t="str">
        <f aca="false">IF(B319="","",INDEX(報告入力!$C$7:$C$696,B319))</f>
        <v>未受領</v>
      </c>
      <c r="D319" s="5" t="str">
        <f aca="false">設定!$A$40</f>
        <v>短期経理</v>
      </c>
      <c r="E319" s="5" t="str">
        <f aca="false">設定!$B$40&amp;""</f>
        <v/>
      </c>
      <c r="F319" s="5" t="str">
        <f aca="false">設定!$D$52&amp;""</f>
        <v/>
      </c>
      <c r="G319" s="5" t="str">
        <f aca="false">設定!$E$52&amp;""</f>
        <v/>
      </c>
      <c r="H319" s="5" t="n">
        <f aca="false">IF(B319="",0,N(INDEX(報告入力!$BE$7:$BE$696,B319)))</f>
        <v>17635</v>
      </c>
      <c r="I319" s="5" t="str">
        <f aca="false">設定!$C$40&amp;""</f>
        <v/>
      </c>
      <c r="J319" s="5" t="str">
        <f aca="false">設定!$D$40&amp;""</f>
        <v/>
      </c>
      <c r="K319" s="5" t="n">
        <f aca="false">IF(AND(H319&lt;&gt;0,IF(設定!$B$6="入金確認済のみ",C319="入金確認済",OR(C319="入金確認済",C319="受領済"))),1,0)</f>
        <v>0</v>
      </c>
      <c r="L319" s="5" t="str">
        <f aca="false">2&amp;"|"&amp;42</f>
        <v>2|42</v>
      </c>
      <c r="M319" s="5" t="n">
        <f aca="false">IF(L319=L318,M318,0)+K319</f>
        <v>0</v>
      </c>
      <c r="N319" s="5" t="n">
        <f aca="false">IF(AND(K319=1,M319=1),1,0)</f>
        <v>0</v>
      </c>
      <c r="O319" s="5" t="str">
        <f aca="false">IF(K319=1,MAX($O$5:O318)+1,"")</f>
        <v/>
      </c>
      <c r="P319" s="5" t="str">
        <f aca="false">IF(K319=1,SUM($N$6:N319),"")</f>
        <v/>
      </c>
      <c r="Q319" s="5" t="str">
        <f aca="false">IF(K319=1,SUMIFS($H$6:$H$511,$L$6:$L$511,L319,$K$6:$K$511,1),"")</f>
        <v/>
      </c>
      <c r="R319" s="103" t="str">
        <f aca="false">IF(B319="","",IF(INDEX(報告入力!$AB$7:$AB$696,B319)="","",INDEX(報告入力!$AB$7:$AB$696,B319)))</f>
        <v/>
      </c>
      <c r="S319" s="5" t="str">
        <f aca="false">設定!$C$52</f>
        <v>短期：負担金</v>
      </c>
    </row>
    <row r="320" customFormat="false" ht="15" hidden="false" customHeight="false" outlineLevel="0" collapsed="false">
      <c r="A320" s="5" t="str">
        <f aca="false">設定!B103</f>
        <v>自治労労働組合</v>
      </c>
      <c r="B320" s="5" t="n">
        <f aca="false">IFERROR(MATCH(ホーム!$C$4&amp;"|"&amp;A320,報告入力!$CM$7:$CM$696,0),"")</f>
        <v>365</v>
      </c>
      <c r="C320" s="5" t="str">
        <f aca="false">IF(B320="","",INDEX(報告入力!$C$7:$C$696,B320))</f>
        <v>未受領</v>
      </c>
      <c r="D320" s="5" t="str">
        <f aca="false">設定!$A$40</f>
        <v>短期経理</v>
      </c>
      <c r="E320" s="5" t="str">
        <f aca="false">設定!$B$40&amp;""</f>
        <v/>
      </c>
      <c r="F320" s="5" t="str">
        <f aca="false">設定!$D$51&amp;""</f>
        <v/>
      </c>
      <c r="G320" s="5" t="str">
        <f aca="false">設定!$E$51&amp;""</f>
        <v/>
      </c>
      <c r="H320" s="5" t="n">
        <f aca="false">IF(B320="",0,N(INDEX(報告入力!$BD$7:$BD$696,B320)))</f>
        <v>0</v>
      </c>
      <c r="I320" s="5" t="str">
        <f aca="false">設定!$C$40&amp;""</f>
        <v/>
      </c>
      <c r="J320" s="5" t="str">
        <f aca="false">設定!$D$40&amp;""</f>
        <v/>
      </c>
      <c r="K320" s="5" t="n">
        <f aca="false">IF(AND(H320&lt;&gt;0,IF(設定!$B$6="入金確認済のみ",C320="入金確認済",OR(C320="入金確認済",C320="受領済"))),1,0)</f>
        <v>0</v>
      </c>
      <c r="L320" s="5" t="str">
        <f aca="false">2&amp;"|"&amp;43</f>
        <v>2|43</v>
      </c>
      <c r="M320" s="5" t="n">
        <f aca="false">IF(L320=L319,M319,0)+K320</f>
        <v>0</v>
      </c>
      <c r="N320" s="5" t="n">
        <f aca="false">IF(AND(K320=1,M320=1),1,0)</f>
        <v>0</v>
      </c>
      <c r="O320" s="5" t="str">
        <f aca="false">IF(K320=1,MAX($O$5:O319)+1,"")</f>
        <v/>
      </c>
      <c r="P320" s="5" t="str">
        <f aca="false">IF(K320=1,SUM($N$6:N320),"")</f>
        <v/>
      </c>
      <c r="Q320" s="5" t="str">
        <f aca="false">IF(K320=1,SUMIFS($H$6:$H$511,$L$6:$L$511,L320,$K$6:$K$511,1),"")</f>
        <v/>
      </c>
      <c r="R320" s="103" t="str">
        <f aca="false">IF(B320="","",IF(INDEX(報告入力!$AB$7:$AB$696,B320)="","",INDEX(報告入力!$AB$7:$AB$696,B320)))</f>
        <v/>
      </c>
      <c r="S320" s="5" t="str">
        <f aca="false">設定!$C$51</f>
        <v>短期：掛金</v>
      </c>
    </row>
    <row r="321" customFormat="false" ht="15" hidden="false" customHeight="false" outlineLevel="0" collapsed="false">
      <c r="A321" s="5" t="str">
        <f aca="false">設定!B103</f>
        <v>自治労労働組合</v>
      </c>
      <c r="B321" s="5" t="n">
        <f aca="false">IFERROR(MATCH(ホーム!$C$4&amp;"|"&amp;A321,報告入力!$CM$7:$CM$696,0),"")</f>
        <v>365</v>
      </c>
      <c r="C321" s="5" t="str">
        <f aca="false">IF(B321="","",INDEX(報告入力!$C$7:$C$696,B321))</f>
        <v>未受領</v>
      </c>
      <c r="D321" s="5" t="str">
        <f aca="false">設定!$A$40</f>
        <v>短期経理</v>
      </c>
      <c r="E321" s="5" t="str">
        <f aca="false">設定!$B$40&amp;""</f>
        <v/>
      </c>
      <c r="F321" s="5" t="str">
        <f aca="false">設定!$D$52&amp;""</f>
        <v/>
      </c>
      <c r="G321" s="5" t="str">
        <f aca="false">設定!$E$52&amp;""</f>
        <v/>
      </c>
      <c r="H321" s="5" t="n">
        <f aca="false">IF(B321="",0,N(INDEX(報告入力!$BE$7:$BE$696,B321)))</f>
        <v>0</v>
      </c>
      <c r="I321" s="5" t="str">
        <f aca="false">設定!$C$40&amp;""</f>
        <v/>
      </c>
      <c r="J321" s="5" t="str">
        <f aca="false">設定!$D$40&amp;""</f>
        <v/>
      </c>
      <c r="K321" s="5" t="n">
        <f aca="false">IF(AND(H321&lt;&gt;0,IF(設定!$B$6="入金確認済のみ",C321="入金確認済",OR(C321="入金確認済",C321="受領済"))),1,0)</f>
        <v>0</v>
      </c>
      <c r="L321" s="5" t="str">
        <f aca="false">2&amp;"|"&amp;43</f>
        <v>2|43</v>
      </c>
      <c r="M321" s="5" t="n">
        <f aca="false">IF(L321=L320,M320,0)+K321</f>
        <v>0</v>
      </c>
      <c r="N321" s="5" t="n">
        <f aca="false">IF(AND(K321=1,M321=1),1,0)</f>
        <v>0</v>
      </c>
      <c r="O321" s="5" t="str">
        <f aca="false">IF(K321=1,MAX($O$5:O320)+1,"")</f>
        <v/>
      </c>
      <c r="P321" s="5" t="str">
        <f aca="false">IF(K321=1,SUM($N$6:N321),"")</f>
        <v/>
      </c>
      <c r="Q321" s="5" t="str">
        <f aca="false">IF(K321=1,SUMIFS($H$6:$H$511,$L$6:$L$511,L321,$K$6:$K$511,1),"")</f>
        <v/>
      </c>
      <c r="R321" s="103" t="str">
        <f aca="false">IF(B321="","",IF(INDEX(報告入力!$AB$7:$AB$696,B321)="","",INDEX(報告入力!$AB$7:$AB$696,B321)))</f>
        <v/>
      </c>
      <c r="S321" s="5" t="str">
        <f aca="false">設定!$C$52</f>
        <v>短期：負担金</v>
      </c>
    </row>
    <row r="322" customFormat="false" ht="15" hidden="false" customHeight="false" outlineLevel="0" collapsed="false">
      <c r="A322" s="5" t="str">
        <f aca="false">設定!B104</f>
        <v>病院労働組合</v>
      </c>
      <c r="B322" s="5" t="n">
        <f aca="false">IFERROR(MATCH(ホーム!$C$4&amp;"|"&amp;A322,報告入力!$CM$7:$CM$696,0),"")</f>
        <v>366</v>
      </c>
      <c r="C322" s="5" t="str">
        <f aca="false">IF(B322="","",INDEX(報告入力!$C$7:$C$696,B322))</f>
        <v>受領済</v>
      </c>
      <c r="D322" s="5" t="str">
        <f aca="false">設定!$A$40</f>
        <v>短期経理</v>
      </c>
      <c r="E322" s="5" t="str">
        <f aca="false">設定!$B$40&amp;""</f>
        <v/>
      </c>
      <c r="F322" s="5" t="str">
        <f aca="false">設定!$D$51&amp;""</f>
        <v/>
      </c>
      <c r="G322" s="5" t="str">
        <f aca="false">設定!$E$51&amp;""</f>
        <v/>
      </c>
      <c r="H322" s="5" t="n">
        <f aca="false">IF(B322="",0,N(INDEX(報告入力!$BD$7:$BD$696,B322)))</f>
        <v>32153</v>
      </c>
      <c r="I322" s="5" t="str">
        <f aca="false">設定!$C$40&amp;""</f>
        <v/>
      </c>
      <c r="J322" s="5" t="str">
        <f aca="false">設定!$D$40&amp;""</f>
        <v/>
      </c>
      <c r="K322" s="5" t="n">
        <f aca="false">IF(AND(H322&lt;&gt;0,IF(設定!$B$6="入金確認済のみ",C322="入金確認済",OR(C322="入金確認済",C322="受領済"))),1,0)</f>
        <v>0</v>
      </c>
      <c r="L322" s="5" t="str">
        <f aca="false">2&amp;"|"&amp;44</f>
        <v>2|44</v>
      </c>
      <c r="M322" s="5" t="n">
        <f aca="false">IF(L322=L321,M321,0)+K322</f>
        <v>0</v>
      </c>
      <c r="N322" s="5" t="n">
        <f aca="false">IF(AND(K322=1,M322=1),1,0)</f>
        <v>0</v>
      </c>
      <c r="O322" s="5" t="str">
        <f aca="false">IF(K322=1,MAX($O$5:O321)+1,"")</f>
        <v/>
      </c>
      <c r="P322" s="5" t="str">
        <f aca="false">IF(K322=1,SUM($N$6:N322),"")</f>
        <v/>
      </c>
      <c r="Q322" s="5" t="str">
        <f aca="false">IF(K322=1,SUMIFS($H$6:$H$511,$L$6:$L$511,L322,$K$6:$K$511,1),"")</f>
        <v/>
      </c>
      <c r="R322" s="103" t="str">
        <f aca="false">IF(B322="","",IF(INDEX(報告入力!$AB$7:$AB$696,B322)="","",INDEX(報告入力!$AB$7:$AB$696,B322)))</f>
        <v/>
      </c>
      <c r="S322" s="5" t="str">
        <f aca="false">設定!$C$51</f>
        <v>短期：掛金</v>
      </c>
    </row>
    <row r="323" customFormat="false" ht="15" hidden="false" customHeight="false" outlineLevel="0" collapsed="false">
      <c r="A323" s="5" t="str">
        <f aca="false">設定!B104</f>
        <v>病院労働組合</v>
      </c>
      <c r="B323" s="5" t="n">
        <f aca="false">IFERROR(MATCH(ホーム!$C$4&amp;"|"&amp;A323,報告入力!$CM$7:$CM$696,0),"")</f>
        <v>366</v>
      </c>
      <c r="C323" s="5" t="str">
        <f aca="false">IF(B323="","",INDEX(報告入力!$C$7:$C$696,B323))</f>
        <v>受領済</v>
      </c>
      <c r="D323" s="5" t="str">
        <f aca="false">設定!$A$40</f>
        <v>短期経理</v>
      </c>
      <c r="E323" s="5" t="str">
        <f aca="false">設定!$B$40&amp;""</f>
        <v/>
      </c>
      <c r="F323" s="5" t="str">
        <f aca="false">設定!$D$52&amp;""</f>
        <v/>
      </c>
      <c r="G323" s="5" t="str">
        <f aca="false">設定!$E$52&amp;""</f>
        <v/>
      </c>
      <c r="H323" s="5" t="n">
        <f aca="false">IF(B323="",0,N(INDEX(報告入力!$BE$7:$BE$696,B323)))</f>
        <v>32184</v>
      </c>
      <c r="I323" s="5" t="str">
        <f aca="false">設定!$C$40&amp;""</f>
        <v/>
      </c>
      <c r="J323" s="5" t="str">
        <f aca="false">設定!$D$40&amp;""</f>
        <v/>
      </c>
      <c r="K323" s="5" t="n">
        <f aca="false">IF(AND(H323&lt;&gt;0,IF(設定!$B$6="入金確認済のみ",C323="入金確認済",OR(C323="入金確認済",C323="受領済"))),1,0)</f>
        <v>0</v>
      </c>
      <c r="L323" s="5" t="str">
        <f aca="false">2&amp;"|"&amp;44</f>
        <v>2|44</v>
      </c>
      <c r="M323" s="5" t="n">
        <f aca="false">IF(L323=L322,M322,0)+K323</f>
        <v>0</v>
      </c>
      <c r="N323" s="5" t="n">
        <f aca="false">IF(AND(K323=1,M323=1),1,0)</f>
        <v>0</v>
      </c>
      <c r="O323" s="5" t="str">
        <f aca="false">IF(K323=1,MAX($O$5:O322)+1,"")</f>
        <v/>
      </c>
      <c r="P323" s="5" t="str">
        <f aca="false">IF(K323=1,SUM($N$6:N323),"")</f>
        <v/>
      </c>
      <c r="Q323" s="5" t="str">
        <f aca="false">IF(K323=1,SUMIFS($H$6:$H$511,$L$6:$L$511,L323,$K$6:$K$511,1),"")</f>
        <v/>
      </c>
      <c r="R323" s="103" t="str">
        <f aca="false">IF(B323="","",IF(INDEX(報告入力!$AB$7:$AB$696,B323)="","",INDEX(報告入力!$AB$7:$AB$696,B323)))</f>
        <v/>
      </c>
      <c r="S323" s="5" t="str">
        <f aca="false">設定!$C$52</f>
        <v>短期：負担金</v>
      </c>
    </row>
    <row r="324" customFormat="false" ht="15" hidden="false" customHeight="false" outlineLevel="0" collapsed="false">
      <c r="A324" s="5" t="str">
        <f aca="false">設定!B105</f>
        <v>水道労働組合</v>
      </c>
      <c r="B324" s="5" t="n">
        <f aca="false">IFERROR(MATCH(ホーム!$C$4&amp;"|"&amp;A324,報告入力!$CM$7:$CM$696,0),"")</f>
        <v>367</v>
      </c>
      <c r="C324" s="5" t="str">
        <f aca="false">IF(B324="","",INDEX(報告入力!$C$7:$C$696,B324))</f>
        <v>報告なし</v>
      </c>
      <c r="D324" s="5" t="str">
        <f aca="false">設定!$A$40</f>
        <v>短期経理</v>
      </c>
      <c r="E324" s="5" t="str">
        <f aca="false">設定!$B$40&amp;""</f>
        <v/>
      </c>
      <c r="F324" s="5" t="str">
        <f aca="false">設定!$D$51&amp;""</f>
        <v/>
      </c>
      <c r="G324" s="5" t="str">
        <f aca="false">設定!$E$51&amp;""</f>
        <v/>
      </c>
      <c r="H324" s="5" t="n">
        <f aca="false">IF(B324="",0,N(INDEX(報告入力!$BD$7:$BD$696,B324)))</f>
        <v>0</v>
      </c>
      <c r="I324" s="5" t="str">
        <f aca="false">設定!$C$40&amp;""</f>
        <v/>
      </c>
      <c r="J324" s="5" t="str">
        <f aca="false">設定!$D$40&amp;""</f>
        <v/>
      </c>
      <c r="K324" s="5" t="n">
        <f aca="false">IF(AND(H324&lt;&gt;0,IF(設定!$B$6="入金確認済のみ",C324="入金確認済",OR(C324="入金確認済",C324="受領済"))),1,0)</f>
        <v>0</v>
      </c>
      <c r="L324" s="5" t="str">
        <f aca="false">2&amp;"|"&amp;45</f>
        <v>2|45</v>
      </c>
      <c r="M324" s="5" t="n">
        <f aca="false">IF(L324=L323,M323,0)+K324</f>
        <v>0</v>
      </c>
      <c r="N324" s="5" t="n">
        <f aca="false">IF(AND(K324=1,M324=1),1,0)</f>
        <v>0</v>
      </c>
      <c r="O324" s="5" t="str">
        <f aca="false">IF(K324=1,MAX($O$5:O323)+1,"")</f>
        <v/>
      </c>
      <c r="P324" s="5" t="str">
        <f aca="false">IF(K324=1,SUM($N$6:N324),"")</f>
        <v/>
      </c>
      <c r="Q324" s="5" t="str">
        <f aca="false">IF(K324=1,SUMIFS($H$6:$H$511,$L$6:$L$511,L324,$K$6:$K$511,1),"")</f>
        <v/>
      </c>
      <c r="R324" s="103" t="str">
        <f aca="false">IF(B324="","",IF(INDEX(報告入力!$AB$7:$AB$696,B324)="","",INDEX(報告入力!$AB$7:$AB$696,B324)))</f>
        <v/>
      </c>
      <c r="S324" s="5" t="str">
        <f aca="false">設定!$C$51</f>
        <v>短期：掛金</v>
      </c>
    </row>
    <row r="325" customFormat="false" ht="15" hidden="false" customHeight="false" outlineLevel="0" collapsed="false">
      <c r="A325" s="5" t="str">
        <f aca="false">設定!B105</f>
        <v>水道労働組合</v>
      </c>
      <c r="B325" s="5" t="n">
        <f aca="false">IFERROR(MATCH(ホーム!$C$4&amp;"|"&amp;A325,報告入力!$CM$7:$CM$696,0),"")</f>
        <v>367</v>
      </c>
      <c r="C325" s="5" t="str">
        <f aca="false">IF(B325="","",INDEX(報告入力!$C$7:$C$696,B325))</f>
        <v>報告なし</v>
      </c>
      <c r="D325" s="5" t="str">
        <f aca="false">設定!$A$40</f>
        <v>短期経理</v>
      </c>
      <c r="E325" s="5" t="str">
        <f aca="false">設定!$B$40&amp;""</f>
        <v/>
      </c>
      <c r="F325" s="5" t="str">
        <f aca="false">設定!$D$52&amp;""</f>
        <v/>
      </c>
      <c r="G325" s="5" t="str">
        <f aca="false">設定!$E$52&amp;""</f>
        <v/>
      </c>
      <c r="H325" s="5" t="n">
        <f aca="false">IF(B325="",0,N(INDEX(報告入力!$BE$7:$BE$696,B325)))</f>
        <v>0</v>
      </c>
      <c r="I325" s="5" t="str">
        <f aca="false">設定!$C$40&amp;""</f>
        <v/>
      </c>
      <c r="J325" s="5" t="str">
        <f aca="false">設定!$D$40&amp;""</f>
        <v/>
      </c>
      <c r="K325" s="5" t="n">
        <f aca="false">IF(AND(H325&lt;&gt;0,IF(設定!$B$6="入金確認済のみ",C325="入金確認済",OR(C325="入金確認済",C325="受領済"))),1,0)</f>
        <v>0</v>
      </c>
      <c r="L325" s="5" t="str">
        <f aca="false">2&amp;"|"&amp;45</f>
        <v>2|45</v>
      </c>
      <c r="M325" s="5" t="n">
        <f aca="false">IF(L325=L324,M324,0)+K325</f>
        <v>0</v>
      </c>
      <c r="N325" s="5" t="n">
        <f aca="false">IF(AND(K325=1,M325=1),1,0)</f>
        <v>0</v>
      </c>
      <c r="O325" s="5" t="str">
        <f aca="false">IF(K325=1,MAX($O$5:O324)+1,"")</f>
        <v/>
      </c>
      <c r="P325" s="5" t="str">
        <f aca="false">IF(K325=1,SUM($N$6:N325),"")</f>
        <v/>
      </c>
      <c r="Q325" s="5" t="str">
        <f aca="false">IF(K325=1,SUMIFS($H$6:$H$511,$L$6:$L$511,L325,$K$6:$K$511,1),"")</f>
        <v/>
      </c>
      <c r="R325" s="103" t="str">
        <f aca="false">IF(B325="","",IF(INDEX(報告入力!$AB$7:$AB$696,B325)="","",INDEX(報告入力!$AB$7:$AB$696,B325)))</f>
        <v/>
      </c>
      <c r="S325" s="5" t="str">
        <f aca="false">設定!$C$52</f>
        <v>短期：負担金</v>
      </c>
    </row>
    <row r="326" customFormat="false" ht="15" hidden="false" customHeight="false" outlineLevel="0" collapsed="false">
      <c r="A326" s="5" t="str">
        <f aca="false">設定!B106</f>
        <v>任意継続組合員</v>
      </c>
      <c r="B326" s="5" t="n">
        <f aca="false">IFERROR(MATCH(ホーム!$C$4&amp;"|"&amp;A326,報告入力!$CM$7:$CM$696,0),"")</f>
        <v>368</v>
      </c>
      <c r="C326" s="5" t="str">
        <f aca="false">IF(B326="","",INDEX(報告入力!$C$7:$C$696,B326))</f>
        <v>未受領</v>
      </c>
      <c r="D326" s="5" t="str">
        <f aca="false">設定!$A$40</f>
        <v>短期経理</v>
      </c>
      <c r="E326" s="5" t="str">
        <f aca="false">設定!$B$40&amp;""</f>
        <v/>
      </c>
      <c r="F326" s="5" t="str">
        <f aca="false">設定!$D$51&amp;""</f>
        <v/>
      </c>
      <c r="G326" s="5" t="str">
        <f aca="false">設定!$E$51&amp;""</f>
        <v/>
      </c>
      <c r="H326" s="5" t="n">
        <f aca="false">IF(B326="",0,N(INDEX(報告入力!$BD$7:$BD$696,B326)))</f>
        <v>2637097</v>
      </c>
      <c r="I326" s="5" t="str">
        <f aca="false">設定!$C$40&amp;""</f>
        <v/>
      </c>
      <c r="J326" s="5" t="str">
        <f aca="false">設定!$D$40&amp;""</f>
        <v/>
      </c>
      <c r="K326" s="5" t="n">
        <f aca="false">IF(AND(H326&lt;&gt;0,IF(設定!$B$6="入金確認済のみ",C326="入金確認済",OR(C326="入金確認済",C326="受領済"))),1,0)</f>
        <v>0</v>
      </c>
      <c r="L326" s="5" t="str">
        <f aca="false">2&amp;"|"&amp;46</f>
        <v>2|46</v>
      </c>
      <c r="M326" s="5" t="n">
        <f aca="false">IF(L326=L325,M325,0)+K326</f>
        <v>0</v>
      </c>
      <c r="N326" s="5" t="n">
        <f aca="false">IF(AND(K326=1,M326=1),1,0)</f>
        <v>0</v>
      </c>
      <c r="O326" s="5" t="str">
        <f aca="false">IF(K326=1,MAX($O$5:O325)+1,"")</f>
        <v/>
      </c>
      <c r="P326" s="5" t="str">
        <f aca="false">IF(K326=1,SUM($N$6:N326),"")</f>
        <v/>
      </c>
      <c r="Q326" s="5" t="str">
        <f aca="false">IF(K326=1,SUMIFS($H$6:$H$511,$L$6:$L$511,L326,$K$6:$K$511,1),"")</f>
        <v/>
      </c>
      <c r="R326" s="103" t="str">
        <f aca="false">IF(B326="","",IF(INDEX(報告入力!$AB$7:$AB$696,B326)="","",INDEX(報告入力!$AB$7:$AB$696,B326)))</f>
        <v/>
      </c>
      <c r="S326" s="5" t="str">
        <f aca="false">設定!$C$51</f>
        <v>短期：掛金</v>
      </c>
    </row>
    <row r="327" customFormat="false" ht="15" hidden="false" customHeight="false" outlineLevel="0" collapsed="false">
      <c r="A327" s="5" t="str">
        <f aca="false">設定!B106</f>
        <v>任意継続組合員</v>
      </c>
      <c r="B327" s="5" t="n">
        <f aca="false">IFERROR(MATCH(ホーム!$C$4&amp;"|"&amp;A327,報告入力!$CM$7:$CM$696,0),"")</f>
        <v>368</v>
      </c>
      <c r="C327" s="5" t="str">
        <f aca="false">IF(B327="","",INDEX(報告入力!$C$7:$C$696,B327))</f>
        <v>未受領</v>
      </c>
      <c r="D327" s="5" t="str">
        <f aca="false">設定!$A$40</f>
        <v>短期経理</v>
      </c>
      <c r="E327" s="5" t="str">
        <f aca="false">設定!$B$40&amp;""</f>
        <v/>
      </c>
      <c r="F327" s="5" t="str">
        <f aca="false">設定!$D$52&amp;""</f>
        <v/>
      </c>
      <c r="G327" s="5" t="str">
        <f aca="false">設定!$E$52&amp;""</f>
        <v/>
      </c>
      <c r="H327" s="5" t="n">
        <f aca="false">IF(B327="",0,N(INDEX(報告入力!$BE$7:$BE$696,B327)))</f>
        <v>0</v>
      </c>
      <c r="I327" s="5" t="str">
        <f aca="false">設定!$C$40&amp;""</f>
        <v/>
      </c>
      <c r="J327" s="5" t="str">
        <f aca="false">設定!$D$40&amp;""</f>
        <v/>
      </c>
      <c r="K327" s="5" t="n">
        <f aca="false">IF(AND(H327&lt;&gt;0,IF(設定!$B$6="入金確認済のみ",C327="入金確認済",OR(C327="入金確認済",C327="受領済"))),1,0)</f>
        <v>0</v>
      </c>
      <c r="L327" s="5" t="str">
        <f aca="false">2&amp;"|"&amp;46</f>
        <v>2|46</v>
      </c>
      <c r="M327" s="5" t="n">
        <f aca="false">IF(L327=L326,M326,0)+K327</f>
        <v>0</v>
      </c>
      <c r="N327" s="5" t="n">
        <f aca="false">IF(AND(K327=1,M327=1),1,0)</f>
        <v>0</v>
      </c>
      <c r="O327" s="5" t="str">
        <f aca="false">IF(K327=1,MAX($O$5:O326)+1,"")</f>
        <v/>
      </c>
      <c r="P327" s="5" t="str">
        <f aca="false">IF(K327=1,SUM($N$6:N327),"")</f>
        <v/>
      </c>
      <c r="Q327" s="5" t="str">
        <f aca="false">IF(K327=1,SUMIFS($H$6:$H$511,$L$6:$L$511,L327,$K$6:$K$511,1),"")</f>
        <v/>
      </c>
      <c r="R327" s="103" t="str">
        <f aca="false">IF(B327="","",IF(INDEX(報告入力!$AB$7:$AB$696,B327)="","",INDEX(報告入力!$AB$7:$AB$696,B327)))</f>
        <v/>
      </c>
      <c r="S327" s="5" t="str">
        <f aca="false">設定!$C$52</f>
        <v>短期：負担金</v>
      </c>
    </row>
    <row r="328" customFormat="false" ht="15" hidden="false" customHeight="false" outlineLevel="0" collapsed="false">
      <c r="A328" s="5" t="str">
        <f aca="false">設定!B61</f>
        <v>市長部局</v>
      </c>
      <c r="B328" s="5" t="n">
        <f aca="false">IFERROR(MATCH(ホーム!$C$4&amp;"|"&amp;A328,報告入力!$CM$7:$CM$696,0),"")</f>
        <v>323</v>
      </c>
      <c r="C328" s="5" t="str">
        <f aca="false">IF(B328="","",INDEX(報告入力!$C$7:$C$696,B328))</f>
        <v>未受領</v>
      </c>
      <c r="D328" s="5" t="str">
        <f aca="false">設定!$A$41</f>
        <v>介護経理</v>
      </c>
      <c r="E328" s="5" t="str">
        <f aca="false">設定!$B$41&amp;""</f>
        <v/>
      </c>
      <c r="F328" s="5" t="str">
        <f aca="false">設定!$D$53&amp;""</f>
        <v/>
      </c>
      <c r="G328" s="5" t="str">
        <f aca="false">設定!$E$53&amp;""</f>
        <v/>
      </c>
      <c r="H328" s="5" t="n">
        <f aca="false">IF(B328="",0,N(INDEX(報告入力!$BF$7:$BF$696,B328)))</f>
        <v>15720292</v>
      </c>
      <c r="I328" s="5" t="str">
        <f aca="false">設定!$C$41&amp;""</f>
        <v/>
      </c>
      <c r="J328" s="5" t="str">
        <f aca="false">設定!$D$41&amp;""</f>
        <v/>
      </c>
      <c r="K328" s="5" t="n">
        <f aca="false">IF(AND(H328&lt;&gt;0,IF(設定!$B$6="入金確認済のみ",C328="入金確認済",OR(C328="入金確認済",C328="受領済"))),1,0)</f>
        <v>0</v>
      </c>
      <c r="L328" s="5" t="str">
        <f aca="false">3&amp;"|"&amp;1</f>
        <v>3|1</v>
      </c>
      <c r="M328" s="5" t="n">
        <f aca="false">IF(L328=L327,M327,0)+K328</f>
        <v>0</v>
      </c>
      <c r="N328" s="5" t="n">
        <f aca="false">IF(AND(K328=1,M328=1),1,0)</f>
        <v>0</v>
      </c>
      <c r="O328" s="5" t="str">
        <f aca="false">IF(K328=1,MAX($O$5:O327)+1,"")</f>
        <v/>
      </c>
      <c r="P328" s="5" t="str">
        <f aca="false">IF(K328=1,SUM($N$6:N328),"")</f>
        <v/>
      </c>
      <c r="Q328" s="5" t="str">
        <f aca="false">IF(K328=1,SUMIFS($H$6:$H$511,$L$6:$L$511,L328,$K$6:$K$511,1),"")</f>
        <v/>
      </c>
      <c r="R328" s="103" t="str">
        <f aca="false">IF(B328="","",IF(INDEX(報告入力!$AB$7:$AB$696,B328)="","",INDEX(報告入力!$AB$7:$AB$696,B328)))</f>
        <v/>
      </c>
      <c r="S328" s="5" t="str">
        <f aca="false">設定!$C$53</f>
        <v>介護：掛金</v>
      </c>
    </row>
    <row r="329" customFormat="false" ht="15" hidden="false" customHeight="false" outlineLevel="0" collapsed="false">
      <c r="A329" s="5" t="str">
        <f aca="false">設定!B61</f>
        <v>市長部局</v>
      </c>
      <c r="B329" s="5" t="n">
        <f aca="false">IFERROR(MATCH(ホーム!$C$4&amp;"|"&amp;A329,報告入力!$CM$7:$CM$696,0),"")</f>
        <v>323</v>
      </c>
      <c r="C329" s="5" t="str">
        <f aca="false">IF(B329="","",INDEX(報告入力!$C$7:$C$696,B329))</f>
        <v>未受領</v>
      </c>
      <c r="D329" s="5" t="str">
        <f aca="false">設定!$A$41</f>
        <v>介護経理</v>
      </c>
      <c r="E329" s="5" t="str">
        <f aca="false">設定!$B$41&amp;""</f>
        <v/>
      </c>
      <c r="F329" s="5" t="str">
        <f aca="false">設定!$D$54&amp;""</f>
        <v/>
      </c>
      <c r="G329" s="5" t="str">
        <f aca="false">設定!$E$54&amp;""</f>
        <v/>
      </c>
      <c r="H329" s="5" t="n">
        <f aca="false">IF(B329="",0,N(INDEX(報告入力!$BG$7:$BG$696,B329)))</f>
        <v>15284428</v>
      </c>
      <c r="I329" s="5" t="str">
        <f aca="false">設定!$C$41&amp;""</f>
        <v/>
      </c>
      <c r="J329" s="5" t="str">
        <f aca="false">設定!$D$41&amp;""</f>
        <v/>
      </c>
      <c r="K329" s="5" t="n">
        <f aca="false">IF(AND(H329&lt;&gt;0,IF(設定!$B$6="入金確認済のみ",C329="入金確認済",OR(C329="入金確認済",C329="受領済"))),1,0)</f>
        <v>0</v>
      </c>
      <c r="L329" s="5" t="str">
        <f aca="false">3&amp;"|"&amp;1</f>
        <v>3|1</v>
      </c>
      <c r="M329" s="5" t="n">
        <f aca="false">IF(L329=L328,M328,0)+K329</f>
        <v>0</v>
      </c>
      <c r="N329" s="5" t="n">
        <f aca="false">IF(AND(K329=1,M329=1),1,0)</f>
        <v>0</v>
      </c>
      <c r="O329" s="5" t="str">
        <f aca="false">IF(K329=1,MAX($O$5:O328)+1,"")</f>
        <v/>
      </c>
      <c r="P329" s="5" t="str">
        <f aca="false">IF(K329=1,SUM($N$6:N329),"")</f>
        <v/>
      </c>
      <c r="Q329" s="5" t="str">
        <f aca="false">IF(K329=1,SUMIFS($H$6:$H$511,$L$6:$L$511,L329,$K$6:$K$511,1),"")</f>
        <v/>
      </c>
      <c r="R329" s="103" t="str">
        <f aca="false">IF(B329="","",IF(INDEX(報告入力!$AB$7:$AB$696,B329)="","",INDEX(報告入力!$AB$7:$AB$696,B329)))</f>
        <v/>
      </c>
      <c r="S329" s="5" t="str">
        <f aca="false">設定!$C$54</f>
        <v>介護：負担金</v>
      </c>
    </row>
    <row r="330" customFormat="false" ht="15" hidden="false" customHeight="false" outlineLevel="0" collapsed="false">
      <c r="A330" s="5" t="str">
        <f aca="false">設定!B62</f>
        <v>下水道局</v>
      </c>
      <c r="B330" s="5" t="n">
        <f aca="false">IFERROR(MATCH(ホーム!$C$4&amp;"|"&amp;A330,報告入力!$CM$7:$CM$696,0),"")</f>
        <v>324</v>
      </c>
      <c r="C330" s="5" t="str">
        <f aca="false">IF(B330="","",INDEX(報告入力!$C$7:$C$696,B330))</f>
        <v>未受領</v>
      </c>
      <c r="D330" s="5" t="str">
        <f aca="false">設定!$A$41</f>
        <v>介護経理</v>
      </c>
      <c r="E330" s="5" t="str">
        <f aca="false">設定!$B$41&amp;""</f>
        <v/>
      </c>
      <c r="F330" s="5" t="str">
        <f aca="false">設定!$D$53&amp;""</f>
        <v/>
      </c>
      <c r="G330" s="5" t="str">
        <f aca="false">設定!$E$53&amp;""</f>
        <v/>
      </c>
      <c r="H330" s="5" t="n">
        <f aca="false">IF(B330="",0,N(INDEX(報告入力!$BF$7:$BF$696,B330)))</f>
        <v>1038485</v>
      </c>
      <c r="I330" s="5" t="str">
        <f aca="false">設定!$C$41&amp;""</f>
        <v/>
      </c>
      <c r="J330" s="5" t="str">
        <f aca="false">設定!$D$41&amp;""</f>
        <v/>
      </c>
      <c r="K330" s="5" t="n">
        <f aca="false">IF(AND(H330&lt;&gt;0,IF(設定!$B$6="入金確認済のみ",C330="入金確認済",OR(C330="入金確認済",C330="受領済"))),1,0)</f>
        <v>0</v>
      </c>
      <c r="L330" s="5" t="str">
        <f aca="false">3&amp;"|"&amp;2</f>
        <v>3|2</v>
      </c>
      <c r="M330" s="5" t="n">
        <f aca="false">IF(L330=L329,M329,0)+K330</f>
        <v>0</v>
      </c>
      <c r="N330" s="5" t="n">
        <f aca="false">IF(AND(K330=1,M330=1),1,0)</f>
        <v>0</v>
      </c>
      <c r="O330" s="5" t="str">
        <f aca="false">IF(K330=1,MAX($O$5:O329)+1,"")</f>
        <v/>
      </c>
      <c r="P330" s="5" t="str">
        <f aca="false">IF(K330=1,SUM($N$6:N330),"")</f>
        <v/>
      </c>
      <c r="Q330" s="5" t="str">
        <f aca="false">IF(K330=1,SUMIFS($H$6:$H$511,$L$6:$L$511,L330,$K$6:$K$511,1),"")</f>
        <v/>
      </c>
      <c r="R330" s="103" t="str">
        <f aca="false">IF(B330="","",IF(INDEX(報告入力!$AB$7:$AB$696,B330)="","",INDEX(報告入力!$AB$7:$AB$696,B330)))</f>
        <v/>
      </c>
      <c r="S330" s="5" t="str">
        <f aca="false">設定!$C$53</f>
        <v>介護：掛金</v>
      </c>
    </row>
    <row r="331" customFormat="false" ht="15" hidden="false" customHeight="false" outlineLevel="0" collapsed="false">
      <c r="A331" s="5" t="str">
        <f aca="false">設定!B62</f>
        <v>下水道局</v>
      </c>
      <c r="B331" s="5" t="n">
        <f aca="false">IFERROR(MATCH(ホーム!$C$4&amp;"|"&amp;A331,報告入力!$CM$7:$CM$696,0),"")</f>
        <v>324</v>
      </c>
      <c r="C331" s="5" t="str">
        <f aca="false">IF(B331="","",INDEX(報告入力!$C$7:$C$696,B331))</f>
        <v>未受領</v>
      </c>
      <c r="D331" s="5" t="str">
        <f aca="false">設定!$A$41</f>
        <v>介護経理</v>
      </c>
      <c r="E331" s="5" t="str">
        <f aca="false">設定!$B$41&amp;""</f>
        <v/>
      </c>
      <c r="F331" s="5" t="str">
        <f aca="false">設定!$D$54&amp;""</f>
        <v/>
      </c>
      <c r="G331" s="5" t="str">
        <f aca="false">設定!$E$54&amp;""</f>
        <v/>
      </c>
      <c r="H331" s="5" t="n">
        <f aca="false">IF(B331="",0,N(INDEX(報告入力!$BG$7:$BG$696,B331)))</f>
        <v>1038485</v>
      </c>
      <c r="I331" s="5" t="str">
        <f aca="false">設定!$C$41&amp;""</f>
        <v/>
      </c>
      <c r="J331" s="5" t="str">
        <f aca="false">設定!$D$41&amp;""</f>
        <v/>
      </c>
      <c r="K331" s="5" t="n">
        <f aca="false">IF(AND(H331&lt;&gt;0,IF(設定!$B$6="入金確認済のみ",C331="入金確認済",OR(C331="入金確認済",C331="受領済"))),1,0)</f>
        <v>0</v>
      </c>
      <c r="L331" s="5" t="str">
        <f aca="false">3&amp;"|"&amp;2</f>
        <v>3|2</v>
      </c>
      <c r="M331" s="5" t="n">
        <f aca="false">IF(L331=L330,M330,0)+K331</f>
        <v>0</v>
      </c>
      <c r="N331" s="5" t="n">
        <f aca="false">IF(AND(K331=1,M331=1),1,0)</f>
        <v>0</v>
      </c>
      <c r="O331" s="5" t="str">
        <f aca="false">IF(K331=1,MAX($O$5:O330)+1,"")</f>
        <v/>
      </c>
      <c r="P331" s="5" t="str">
        <f aca="false">IF(K331=1,SUM($N$6:N331),"")</f>
        <v/>
      </c>
      <c r="Q331" s="5" t="str">
        <f aca="false">IF(K331=1,SUMIFS($H$6:$H$511,$L$6:$L$511,L331,$K$6:$K$511,1),"")</f>
        <v/>
      </c>
      <c r="R331" s="103" t="str">
        <f aca="false">IF(B331="","",IF(INDEX(報告入力!$AB$7:$AB$696,B331)="","",INDEX(報告入力!$AB$7:$AB$696,B331)))</f>
        <v/>
      </c>
      <c r="S331" s="5" t="str">
        <f aca="false">設定!$C$54</f>
        <v>介護：負担金</v>
      </c>
    </row>
    <row r="332" customFormat="false" ht="15" hidden="false" customHeight="false" outlineLevel="0" collapsed="false">
      <c r="A332" s="5" t="str">
        <f aca="false">設定!B63</f>
        <v>消防局</v>
      </c>
      <c r="B332" s="5" t="n">
        <f aca="false">IFERROR(MATCH(ホーム!$C$4&amp;"|"&amp;A332,報告入力!$CM$7:$CM$696,0),"")</f>
        <v>325</v>
      </c>
      <c r="C332" s="5" t="str">
        <f aca="false">IF(B332="","",INDEX(報告入力!$C$7:$C$696,B332))</f>
        <v>未受領</v>
      </c>
      <c r="D332" s="5" t="str">
        <f aca="false">設定!$A$41</f>
        <v>介護経理</v>
      </c>
      <c r="E332" s="5" t="str">
        <f aca="false">設定!$B$41&amp;""</f>
        <v/>
      </c>
      <c r="F332" s="5" t="str">
        <f aca="false">設定!$D$53&amp;""</f>
        <v/>
      </c>
      <c r="G332" s="5" t="str">
        <f aca="false">設定!$E$53&amp;""</f>
        <v/>
      </c>
      <c r="H332" s="5" t="n">
        <f aca="false">IF(B332="",0,N(INDEX(報告入力!$BF$7:$BF$696,B332)))</f>
        <v>1962484</v>
      </c>
      <c r="I332" s="5" t="str">
        <f aca="false">設定!$C$41&amp;""</f>
        <v/>
      </c>
      <c r="J332" s="5" t="str">
        <f aca="false">設定!$D$41&amp;""</f>
        <v/>
      </c>
      <c r="K332" s="5" t="n">
        <f aca="false">IF(AND(H332&lt;&gt;0,IF(設定!$B$6="入金確認済のみ",C332="入金確認済",OR(C332="入金確認済",C332="受領済"))),1,0)</f>
        <v>0</v>
      </c>
      <c r="L332" s="5" t="str">
        <f aca="false">3&amp;"|"&amp;3</f>
        <v>3|3</v>
      </c>
      <c r="M332" s="5" t="n">
        <f aca="false">IF(L332=L331,M331,0)+K332</f>
        <v>0</v>
      </c>
      <c r="N332" s="5" t="n">
        <f aca="false">IF(AND(K332=1,M332=1),1,0)</f>
        <v>0</v>
      </c>
      <c r="O332" s="5" t="str">
        <f aca="false">IF(K332=1,MAX($O$5:O331)+1,"")</f>
        <v/>
      </c>
      <c r="P332" s="5" t="str">
        <f aca="false">IF(K332=1,SUM($N$6:N332),"")</f>
        <v/>
      </c>
      <c r="Q332" s="5" t="str">
        <f aca="false">IF(K332=1,SUMIFS($H$6:$H$511,$L$6:$L$511,L332,$K$6:$K$511,1),"")</f>
        <v/>
      </c>
      <c r="R332" s="103" t="str">
        <f aca="false">IF(B332="","",IF(INDEX(報告入力!$AB$7:$AB$696,B332)="","",INDEX(報告入力!$AB$7:$AB$696,B332)))</f>
        <v/>
      </c>
      <c r="S332" s="5" t="str">
        <f aca="false">設定!$C$53</f>
        <v>介護：掛金</v>
      </c>
    </row>
    <row r="333" customFormat="false" ht="15" hidden="false" customHeight="false" outlineLevel="0" collapsed="false">
      <c r="A333" s="5" t="str">
        <f aca="false">設定!B63</f>
        <v>消防局</v>
      </c>
      <c r="B333" s="5" t="n">
        <f aca="false">IFERROR(MATCH(ホーム!$C$4&amp;"|"&amp;A333,報告入力!$CM$7:$CM$696,0),"")</f>
        <v>325</v>
      </c>
      <c r="C333" s="5" t="str">
        <f aca="false">IF(B333="","",INDEX(報告入力!$C$7:$C$696,B333))</f>
        <v>未受領</v>
      </c>
      <c r="D333" s="5" t="str">
        <f aca="false">設定!$A$41</f>
        <v>介護経理</v>
      </c>
      <c r="E333" s="5" t="str">
        <f aca="false">設定!$B$41&amp;""</f>
        <v/>
      </c>
      <c r="F333" s="5" t="str">
        <f aca="false">設定!$D$54&amp;""</f>
        <v/>
      </c>
      <c r="G333" s="5" t="str">
        <f aca="false">設定!$E$54&amp;""</f>
        <v/>
      </c>
      <c r="H333" s="5" t="n">
        <f aca="false">IF(B333="",0,N(INDEX(報告入力!$BG$7:$BG$696,B333)))</f>
        <v>1955455</v>
      </c>
      <c r="I333" s="5" t="str">
        <f aca="false">設定!$C$41&amp;""</f>
        <v/>
      </c>
      <c r="J333" s="5" t="str">
        <f aca="false">設定!$D$41&amp;""</f>
        <v/>
      </c>
      <c r="K333" s="5" t="n">
        <f aca="false">IF(AND(H333&lt;&gt;0,IF(設定!$B$6="入金確認済のみ",C333="入金確認済",OR(C333="入金確認済",C333="受領済"))),1,0)</f>
        <v>0</v>
      </c>
      <c r="L333" s="5" t="str">
        <f aca="false">3&amp;"|"&amp;3</f>
        <v>3|3</v>
      </c>
      <c r="M333" s="5" t="n">
        <f aca="false">IF(L333=L332,M332,0)+K333</f>
        <v>0</v>
      </c>
      <c r="N333" s="5" t="n">
        <f aca="false">IF(AND(K333=1,M333=1),1,0)</f>
        <v>0</v>
      </c>
      <c r="O333" s="5" t="str">
        <f aca="false">IF(K333=1,MAX($O$5:O332)+1,"")</f>
        <v/>
      </c>
      <c r="P333" s="5" t="str">
        <f aca="false">IF(K333=1,SUM($N$6:N333),"")</f>
        <v/>
      </c>
      <c r="Q333" s="5" t="str">
        <f aca="false">IF(K333=1,SUMIFS($H$6:$H$511,$L$6:$L$511,L333,$K$6:$K$511,1),"")</f>
        <v/>
      </c>
      <c r="R333" s="103" t="str">
        <f aca="false">IF(B333="","",IF(INDEX(報告入力!$AB$7:$AB$696,B333)="","",INDEX(報告入力!$AB$7:$AB$696,B333)))</f>
        <v/>
      </c>
      <c r="S333" s="5" t="str">
        <f aca="false">設定!$C$54</f>
        <v>介護：負担金</v>
      </c>
    </row>
    <row r="334" customFormat="false" ht="15" hidden="false" customHeight="false" outlineLevel="0" collapsed="false">
      <c r="A334" s="5" t="str">
        <f aca="false">設定!B64</f>
        <v>議会事務局</v>
      </c>
      <c r="B334" s="5" t="n">
        <f aca="false">IFERROR(MATCH(ホーム!$C$4&amp;"|"&amp;A334,報告入力!$CM$7:$CM$696,0),"")</f>
        <v>326</v>
      </c>
      <c r="C334" s="5" t="str">
        <f aca="false">IF(B334="","",INDEX(報告入力!$C$7:$C$696,B334))</f>
        <v>未受領</v>
      </c>
      <c r="D334" s="5" t="str">
        <f aca="false">設定!$A$41</f>
        <v>介護経理</v>
      </c>
      <c r="E334" s="5" t="str">
        <f aca="false">設定!$B$41&amp;""</f>
        <v/>
      </c>
      <c r="F334" s="5" t="str">
        <f aca="false">設定!$D$53&amp;""</f>
        <v/>
      </c>
      <c r="G334" s="5" t="str">
        <f aca="false">設定!$E$53&amp;""</f>
        <v/>
      </c>
      <c r="H334" s="5" t="n">
        <f aca="false">IF(B334="",0,N(INDEX(報告入力!$BF$7:$BF$696,B334)))</f>
        <v>96696</v>
      </c>
      <c r="I334" s="5" t="str">
        <f aca="false">設定!$C$41&amp;""</f>
        <v/>
      </c>
      <c r="J334" s="5" t="str">
        <f aca="false">設定!$D$41&amp;""</f>
        <v/>
      </c>
      <c r="K334" s="5" t="n">
        <f aca="false">IF(AND(H334&lt;&gt;0,IF(設定!$B$6="入金確認済のみ",C334="入金確認済",OR(C334="入金確認済",C334="受領済"))),1,0)</f>
        <v>0</v>
      </c>
      <c r="L334" s="5" t="str">
        <f aca="false">3&amp;"|"&amp;4</f>
        <v>3|4</v>
      </c>
      <c r="M334" s="5" t="n">
        <f aca="false">IF(L334=L333,M333,0)+K334</f>
        <v>0</v>
      </c>
      <c r="N334" s="5" t="n">
        <f aca="false">IF(AND(K334=1,M334=1),1,0)</f>
        <v>0</v>
      </c>
      <c r="O334" s="5" t="str">
        <f aca="false">IF(K334=1,MAX($O$5:O333)+1,"")</f>
        <v/>
      </c>
      <c r="P334" s="5" t="str">
        <f aca="false">IF(K334=1,SUM($N$6:N334),"")</f>
        <v/>
      </c>
      <c r="Q334" s="5" t="str">
        <f aca="false">IF(K334=1,SUMIFS($H$6:$H$511,$L$6:$L$511,L334,$K$6:$K$511,1),"")</f>
        <v/>
      </c>
      <c r="R334" s="103" t="str">
        <f aca="false">IF(B334="","",IF(INDEX(報告入力!$AB$7:$AB$696,B334)="","",INDEX(報告入力!$AB$7:$AB$696,B334)))</f>
        <v/>
      </c>
      <c r="S334" s="5" t="str">
        <f aca="false">設定!$C$53</f>
        <v>介護：掛金</v>
      </c>
    </row>
    <row r="335" customFormat="false" ht="15" hidden="false" customHeight="false" outlineLevel="0" collapsed="false">
      <c r="A335" s="5" t="str">
        <f aca="false">設定!B64</f>
        <v>議会事務局</v>
      </c>
      <c r="B335" s="5" t="n">
        <f aca="false">IFERROR(MATCH(ホーム!$C$4&amp;"|"&amp;A335,報告入力!$CM$7:$CM$696,0),"")</f>
        <v>326</v>
      </c>
      <c r="C335" s="5" t="str">
        <f aca="false">IF(B335="","",INDEX(報告入力!$C$7:$C$696,B335))</f>
        <v>未受領</v>
      </c>
      <c r="D335" s="5" t="str">
        <f aca="false">設定!$A$41</f>
        <v>介護経理</v>
      </c>
      <c r="E335" s="5" t="str">
        <f aca="false">設定!$B$41&amp;""</f>
        <v/>
      </c>
      <c r="F335" s="5" t="str">
        <f aca="false">設定!$D$54&amp;""</f>
        <v/>
      </c>
      <c r="G335" s="5" t="str">
        <f aca="false">設定!$E$54&amp;""</f>
        <v/>
      </c>
      <c r="H335" s="5" t="n">
        <f aca="false">IF(B335="",0,N(INDEX(報告入力!$BG$7:$BG$696,B335)))</f>
        <v>96696</v>
      </c>
      <c r="I335" s="5" t="str">
        <f aca="false">設定!$C$41&amp;""</f>
        <v/>
      </c>
      <c r="J335" s="5" t="str">
        <f aca="false">設定!$D$41&amp;""</f>
        <v/>
      </c>
      <c r="K335" s="5" t="n">
        <f aca="false">IF(AND(H335&lt;&gt;0,IF(設定!$B$6="入金確認済のみ",C335="入金確認済",OR(C335="入金確認済",C335="受領済"))),1,0)</f>
        <v>0</v>
      </c>
      <c r="L335" s="5" t="str">
        <f aca="false">3&amp;"|"&amp;4</f>
        <v>3|4</v>
      </c>
      <c r="M335" s="5" t="n">
        <f aca="false">IF(L335=L334,M334,0)+K335</f>
        <v>0</v>
      </c>
      <c r="N335" s="5" t="n">
        <f aca="false">IF(AND(K335=1,M335=1),1,0)</f>
        <v>0</v>
      </c>
      <c r="O335" s="5" t="str">
        <f aca="false">IF(K335=1,MAX($O$5:O334)+1,"")</f>
        <v/>
      </c>
      <c r="P335" s="5" t="str">
        <f aca="false">IF(K335=1,SUM($N$6:N335),"")</f>
        <v/>
      </c>
      <c r="Q335" s="5" t="str">
        <f aca="false">IF(K335=1,SUMIFS($H$6:$H$511,$L$6:$L$511,L335,$K$6:$K$511,1),"")</f>
        <v/>
      </c>
      <c r="R335" s="103" t="str">
        <f aca="false">IF(B335="","",IF(INDEX(報告入力!$AB$7:$AB$696,B335)="","",INDEX(報告入力!$AB$7:$AB$696,B335)))</f>
        <v/>
      </c>
      <c r="S335" s="5" t="str">
        <f aca="false">設定!$C$54</f>
        <v>介護：負担金</v>
      </c>
    </row>
    <row r="336" customFormat="false" ht="15" hidden="false" customHeight="false" outlineLevel="0" collapsed="false">
      <c r="A336" s="5" t="str">
        <f aca="false">設定!B65</f>
        <v>教育委員会（総務課）</v>
      </c>
      <c r="B336" s="5" t="n">
        <f aca="false">IFERROR(MATCH(ホーム!$C$4&amp;"|"&amp;A336,報告入力!$CM$7:$CM$696,0),"")</f>
        <v>327</v>
      </c>
      <c r="C336" s="5" t="str">
        <f aca="false">IF(B336="","",INDEX(報告入力!$C$7:$C$696,B336))</f>
        <v>未受領</v>
      </c>
      <c r="D336" s="5" t="str">
        <f aca="false">設定!$A$41</f>
        <v>介護経理</v>
      </c>
      <c r="E336" s="5" t="str">
        <f aca="false">設定!$B$41&amp;""</f>
        <v/>
      </c>
      <c r="F336" s="5" t="str">
        <f aca="false">設定!$D$53&amp;""</f>
        <v/>
      </c>
      <c r="G336" s="5" t="str">
        <f aca="false">設定!$E$53&amp;""</f>
        <v/>
      </c>
      <c r="H336" s="5" t="n">
        <f aca="false">IF(B336="",0,N(INDEX(報告入力!$BF$7:$BF$696,B336)))</f>
        <v>2801103</v>
      </c>
      <c r="I336" s="5" t="str">
        <f aca="false">設定!$C$41&amp;""</f>
        <v/>
      </c>
      <c r="J336" s="5" t="str">
        <f aca="false">設定!$D$41&amp;""</f>
        <v/>
      </c>
      <c r="K336" s="5" t="n">
        <f aca="false">IF(AND(H336&lt;&gt;0,IF(設定!$B$6="入金確認済のみ",C336="入金確認済",OR(C336="入金確認済",C336="受領済"))),1,0)</f>
        <v>0</v>
      </c>
      <c r="L336" s="5" t="str">
        <f aca="false">3&amp;"|"&amp;5</f>
        <v>3|5</v>
      </c>
      <c r="M336" s="5" t="n">
        <f aca="false">IF(L336=L335,M335,0)+K336</f>
        <v>0</v>
      </c>
      <c r="N336" s="5" t="n">
        <f aca="false">IF(AND(K336=1,M336=1),1,0)</f>
        <v>0</v>
      </c>
      <c r="O336" s="5" t="str">
        <f aca="false">IF(K336=1,MAX($O$5:O335)+1,"")</f>
        <v/>
      </c>
      <c r="P336" s="5" t="str">
        <f aca="false">IF(K336=1,SUM($N$6:N336),"")</f>
        <v/>
      </c>
      <c r="Q336" s="5" t="str">
        <f aca="false">IF(K336=1,SUMIFS($H$6:$H$511,$L$6:$L$511,L336,$K$6:$K$511,1),"")</f>
        <v/>
      </c>
      <c r="R336" s="103" t="str">
        <f aca="false">IF(B336="","",IF(INDEX(報告入力!$AB$7:$AB$696,B336)="","",INDEX(報告入力!$AB$7:$AB$696,B336)))</f>
        <v/>
      </c>
      <c r="S336" s="5" t="str">
        <f aca="false">設定!$C$53</f>
        <v>介護：掛金</v>
      </c>
    </row>
    <row r="337" customFormat="false" ht="15" hidden="false" customHeight="false" outlineLevel="0" collapsed="false">
      <c r="A337" s="5" t="str">
        <f aca="false">設定!B65</f>
        <v>教育委員会（総務課）</v>
      </c>
      <c r="B337" s="5" t="n">
        <f aca="false">IFERROR(MATCH(ホーム!$C$4&amp;"|"&amp;A337,報告入力!$CM$7:$CM$696,0),"")</f>
        <v>327</v>
      </c>
      <c r="C337" s="5" t="str">
        <f aca="false">IF(B337="","",INDEX(報告入力!$C$7:$C$696,B337))</f>
        <v>未受領</v>
      </c>
      <c r="D337" s="5" t="str">
        <f aca="false">設定!$A$41</f>
        <v>介護経理</v>
      </c>
      <c r="E337" s="5" t="str">
        <f aca="false">設定!$B$41&amp;""</f>
        <v/>
      </c>
      <c r="F337" s="5" t="str">
        <f aca="false">設定!$D$54&amp;""</f>
        <v/>
      </c>
      <c r="G337" s="5" t="str">
        <f aca="false">設定!$E$54&amp;""</f>
        <v/>
      </c>
      <c r="H337" s="5" t="n">
        <f aca="false">IF(B337="",0,N(INDEX(報告入力!$BG$7:$BG$696,B337)))</f>
        <v>2793876</v>
      </c>
      <c r="I337" s="5" t="str">
        <f aca="false">設定!$C$41&amp;""</f>
        <v/>
      </c>
      <c r="J337" s="5" t="str">
        <f aca="false">設定!$D$41&amp;""</f>
        <v/>
      </c>
      <c r="K337" s="5" t="n">
        <f aca="false">IF(AND(H337&lt;&gt;0,IF(設定!$B$6="入金確認済のみ",C337="入金確認済",OR(C337="入金確認済",C337="受領済"))),1,0)</f>
        <v>0</v>
      </c>
      <c r="L337" s="5" t="str">
        <f aca="false">3&amp;"|"&amp;5</f>
        <v>3|5</v>
      </c>
      <c r="M337" s="5" t="n">
        <f aca="false">IF(L337=L336,M336,0)+K337</f>
        <v>0</v>
      </c>
      <c r="N337" s="5" t="n">
        <f aca="false">IF(AND(K337=1,M337=1),1,0)</f>
        <v>0</v>
      </c>
      <c r="O337" s="5" t="str">
        <f aca="false">IF(K337=1,MAX($O$5:O336)+1,"")</f>
        <v/>
      </c>
      <c r="P337" s="5" t="str">
        <f aca="false">IF(K337=1,SUM($N$6:N337),"")</f>
        <v/>
      </c>
      <c r="Q337" s="5" t="str">
        <f aca="false">IF(K337=1,SUMIFS($H$6:$H$511,$L$6:$L$511,L337,$K$6:$K$511,1),"")</f>
        <v/>
      </c>
      <c r="R337" s="103" t="str">
        <f aca="false">IF(B337="","",IF(INDEX(報告入力!$AB$7:$AB$696,B337)="","",INDEX(報告入力!$AB$7:$AB$696,B337)))</f>
        <v/>
      </c>
      <c r="S337" s="5" t="str">
        <f aca="false">設定!$C$54</f>
        <v>介護：負担金</v>
      </c>
    </row>
    <row r="338" customFormat="false" ht="15" hidden="false" customHeight="false" outlineLevel="0" collapsed="false">
      <c r="A338" s="5" t="str">
        <f aca="false">設定!B66</f>
        <v>選挙管理委員会</v>
      </c>
      <c r="B338" s="5" t="n">
        <f aca="false">IFERROR(MATCH(ホーム!$C$4&amp;"|"&amp;A338,報告入力!$CM$7:$CM$696,0),"")</f>
        <v>328</v>
      </c>
      <c r="C338" s="5" t="str">
        <f aca="false">IF(B338="","",INDEX(報告入力!$C$7:$C$696,B338))</f>
        <v>未受領</v>
      </c>
      <c r="D338" s="5" t="str">
        <f aca="false">設定!$A$41</f>
        <v>介護経理</v>
      </c>
      <c r="E338" s="5" t="str">
        <f aca="false">設定!$B$41&amp;""</f>
        <v/>
      </c>
      <c r="F338" s="5" t="str">
        <f aca="false">設定!$D$53&amp;""</f>
        <v/>
      </c>
      <c r="G338" s="5" t="str">
        <f aca="false">設定!$E$53&amp;""</f>
        <v/>
      </c>
      <c r="H338" s="5" t="n">
        <f aca="false">IF(B338="",0,N(INDEX(報告入力!$BF$7:$BF$696,B338)))</f>
        <v>15326</v>
      </c>
      <c r="I338" s="5" t="str">
        <f aca="false">設定!$C$41&amp;""</f>
        <v/>
      </c>
      <c r="J338" s="5" t="str">
        <f aca="false">設定!$D$41&amp;""</f>
        <v/>
      </c>
      <c r="K338" s="5" t="n">
        <f aca="false">IF(AND(H338&lt;&gt;0,IF(設定!$B$6="入金確認済のみ",C338="入金確認済",OR(C338="入金確認済",C338="受領済"))),1,0)</f>
        <v>0</v>
      </c>
      <c r="L338" s="5" t="str">
        <f aca="false">3&amp;"|"&amp;6</f>
        <v>3|6</v>
      </c>
      <c r="M338" s="5" t="n">
        <f aca="false">IF(L338=L337,M337,0)+K338</f>
        <v>0</v>
      </c>
      <c r="N338" s="5" t="n">
        <f aca="false">IF(AND(K338=1,M338=1),1,0)</f>
        <v>0</v>
      </c>
      <c r="O338" s="5" t="str">
        <f aca="false">IF(K338=1,MAX($O$5:O337)+1,"")</f>
        <v/>
      </c>
      <c r="P338" s="5" t="str">
        <f aca="false">IF(K338=1,SUM($N$6:N338),"")</f>
        <v/>
      </c>
      <c r="Q338" s="5" t="str">
        <f aca="false">IF(K338=1,SUMIFS($H$6:$H$511,$L$6:$L$511,L338,$K$6:$K$511,1),"")</f>
        <v/>
      </c>
      <c r="R338" s="103" t="str">
        <f aca="false">IF(B338="","",IF(INDEX(報告入力!$AB$7:$AB$696,B338)="","",INDEX(報告入力!$AB$7:$AB$696,B338)))</f>
        <v/>
      </c>
      <c r="S338" s="5" t="str">
        <f aca="false">設定!$C$53</f>
        <v>介護：掛金</v>
      </c>
    </row>
    <row r="339" customFormat="false" ht="15" hidden="false" customHeight="false" outlineLevel="0" collapsed="false">
      <c r="A339" s="5" t="str">
        <f aca="false">設定!B66</f>
        <v>選挙管理委員会</v>
      </c>
      <c r="B339" s="5" t="n">
        <f aca="false">IFERROR(MATCH(ホーム!$C$4&amp;"|"&amp;A339,報告入力!$CM$7:$CM$696,0),"")</f>
        <v>328</v>
      </c>
      <c r="C339" s="5" t="str">
        <f aca="false">IF(B339="","",INDEX(報告入力!$C$7:$C$696,B339))</f>
        <v>未受領</v>
      </c>
      <c r="D339" s="5" t="str">
        <f aca="false">設定!$A$41</f>
        <v>介護経理</v>
      </c>
      <c r="E339" s="5" t="str">
        <f aca="false">設定!$B$41&amp;""</f>
        <v/>
      </c>
      <c r="F339" s="5" t="str">
        <f aca="false">設定!$D$54&amp;""</f>
        <v/>
      </c>
      <c r="G339" s="5" t="str">
        <f aca="false">設定!$E$54&amp;""</f>
        <v/>
      </c>
      <c r="H339" s="5" t="n">
        <f aca="false">IF(B339="",0,N(INDEX(報告入力!$BG$7:$BG$696,B339)))</f>
        <v>18565</v>
      </c>
      <c r="I339" s="5" t="str">
        <f aca="false">設定!$C$41&amp;""</f>
        <v/>
      </c>
      <c r="J339" s="5" t="str">
        <f aca="false">設定!$D$41&amp;""</f>
        <v/>
      </c>
      <c r="K339" s="5" t="n">
        <f aca="false">IF(AND(H339&lt;&gt;0,IF(設定!$B$6="入金確認済のみ",C339="入金確認済",OR(C339="入金確認済",C339="受領済"))),1,0)</f>
        <v>0</v>
      </c>
      <c r="L339" s="5" t="str">
        <f aca="false">3&amp;"|"&amp;6</f>
        <v>3|6</v>
      </c>
      <c r="M339" s="5" t="n">
        <f aca="false">IF(L339=L338,M338,0)+K339</f>
        <v>0</v>
      </c>
      <c r="N339" s="5" t="n">
        <f aca="false">IF(AND(K339=1,M339=1),1,0)</f>
        <v>0</v>
      </c>
      <c r="O339" s="5" t="str">
        <f aca="false">IF(K339=1,MAX($O$5:O338)+1,"")</f>
        <v/>
      </c>
      <c r="P339" s="5" t="str">
        <f aca="false">IF(K339=1,SUM($N$6:N339),"")</f>
        <v/>
      </c>
      <c r="Q339" s="5" t="str">
        <f aca="false">IF(K339=1,SUMIFS($H$6:$H$511,$L$6:$L$511,L339,$K$6:$K$511,1),"")</f>
        <v/>
      </c>
      <c r="R339" s="103" t="str">
        <f aca="false">IF(B339="","",IF(INDEX(報告入力!$AB$7:$AB$696,B339)="","",INDEX(報告入力!$AB$7:$AB$696,B339)))</f>
        <v/>
      </c>
      <c r="S339" s="5" t="str">
        <f aca="false">設定!$C$54</f>
        <v>介護：負担金</v>
      </c>
    </row>
    <row r="340" customFormat="false" ht="15" hidden="false" customHeight="false" outlineLevel="0" collapsed="false">
      <c r="A340" s="5" t="str">
        <f aca="false">設定!B67</f>
        <v>人事委員会</v>
      </c>
      <c r="B340" s="5" t="n">
        <f aca="false">IFERROR(MATCH(ホーム!$C$4&amp;"|"&amp;A340,報告入力!$CM$7:$CM$696,0),"")</f>
        <v>329</v>
      </c>
      <c r="C340" s="5" t="str">
        <f aca="false">IF(B340="","",INDEX(報告入力!$C$7:$C$696,B340))</f>
        <v>未受領</v>
      </c>
      <c r="D340" s="5" t="str">
        <f aca="false">設定!$A$41</f>
        <v>介護経理</v>
      </c>
      <c r="E340" s="5" t="str">
        <f aca="false">設定!$B$41&amp;""</f>
        <v/>
      </c>
      <c r="F340" s="5" t="str">
        <f aca="false">設定!$D$53&amp;""</f>
        <v/>
      </c>
      <c r="G340" s="5" t="str">
        <f aca="false">設定!$E$53&amp;""</f>
        <v/>
      </c>
      <c r="H340" s="5" t="n">
        <f aca="false">IF(B340="",0,N(INDEX(報告入力!$BF$7:$BF$696,B340)))</f>
        <v>33353</v>
      </c>
      <c r="I340" s="5" t="str">
        <f aca="false">設定!$C$41&amp;""</f>
        <v/>
      </c>
      <c r="J340" s="5" t="str">
        <f aca="false">設定!$D$41&amp;""</f>
        <v/>
      </c>
      <c r="K340" s="5" t="n">
        <f aca="false">IF(AND(H340&lt;&gt;0,IF(設定!$B$6="入金確認済のみ",C340="入金確認済",OR(C340="入金確認済",C340="受領済"))),1,0)</f>
        <v>0</v>
      </c>
      <c r="L340" s="5" t="str">
        <f aca="false">3&amp;"|"&amp;7</f>
        <v>3|7</v>
      </c>
      <c r="M340" s="5" t="n">
        <f aca="false">IF(L340=L339,M339,0)+K340</f>
        <v>0</v>
      </c>
      <c r="N340" s="5" t="n">
        <f aca="false">IF(AND(K340=1,M340=1),1,0)</f>
        <v>0</v>
      </c>
      <c r="O340" s="5" t="str">
        <f aca="false">IF(K340=1,MAX($O$5:O339)+1,"")</f>
        <v/>
      </c>
      <c r="P340" s="5" t="str">
        <f aca="false">IF(K340=1,SUM($N$6:N340),"")</f>
        <v/>
      </c>
      <c r="Q340" s="5" t="str">
        <f aca="false">IF(K340=1,SUMIFS($H$6:$H$511,$L$6:$L$511,L340,$K$6:$K$511,1),"")</f>
        <v/>
      </c>
      <c r="R340" s="103" t="str">
        <f aca="false">IF(B340="","",IF(INDEX(報告入力!$AB$7:$AB$696,B340)="","",INDEX(報告入力!$AB$7:$AB$696,B340)))</f>
        <v/>
      </c>
      <c r="S340" s="5" t="str">
        <f aca="false">設定!$C$53</f>
        <v>介護：掛金</v>
      </c>
    </row>
    <row r="341" customFormat="false" ht="15" hidden="false" customHeight="false" outlineLevel="0" collapsed="false">
      <c r="A341" s="5" t="str">
        <f aca="false">設定!B67</f>
        <v>人事委員会</v>
      </c>
      <c r="B341" s="5" t="n">
        <f aca="false">IFERROR(MATCH(ホーム!$C$4&amp;"|"&amp;A341,報告入力!$CM$7:$CM$696,0),"")</f>
        <v>329</v>
      </c>
      <c r="C341" s="5" t="str">
        <f aca="false">IF(B341="","",INDEX(報告入力!$C$7:$C$696,B341))</f>
        <v>未受領</v>
      </c>
      <c r="D341" s="5" t="str">
        <f aca="false">設定!$A$41</f>
        <v>介護経理</v>
      </c>
      <c r="E341" s="5" t="str">
        <f aca="false">設定!$B$41&amp;""</f>
        <v/>
      </c>
      <c r="F341" s="5" t="str">
        <f aca="false">設定!$D$54&amp;""</f>
        <v/>
      </c>
      <c r="G341" s="5" t="str">
        <f aca="false">設定!$E$54&amp;""</f>
        <v/>
      </c>
      <c r="H341" s="5" t="n">
        <f aca="false">IF(B341="",0,N(INDEX(報告入力!$BG$7:$BG$696,B341)))</f>
        <v>33353</v>
      </c>
      <c r="I341" s="5" t="str">
        <f aca="false">設定!$C$41&amp;""</f>
        <v/>
      </c>
      <c r="J341" s="5" t="str">
        <f aca="false">設定!$D$41&amp;""</f>
        <v/>
      </c>
      <c r="K341" s="5" t="n">
        <f aca="false">IF(AND(H341&lt;&gt;0,IF(設定!$B$6="入金確認済のみ",C341="入金確認済",OR(C341="入金確認済",C341="受領済"))),1,0)</f>
        <v>0</v>
      </c>
      <c r="L341" s="5" t="str">
        <f aca="false">3&amp;"|"&amp;7</f>
        <v>3|7</v>
      </c>
      <c r="M341" s="5" t="n">
        <f aca="false">IF(L341=L340,M340,0)+K341</f>
        <v>0</v>
      </c>
      <c r="N341" s="5" t="n">
        <f aca="false">IF(AND(K341=1,M341=1),1,0)</f>
        <v>0</v>
      </c>
      <c r="O341" s="5" t="str">
        <f aca="false">IF(K341=1,MAX($O$5:O340)+1,"")</f>
        <v/>
      </c>
      <c r="P341" s="5" t="str">
        <f aca="false">IF(K341=1,SUM($N$6:N341),"")</f>
        <v/>
      </c>
      <c r="Q341" s="5" t="str">
        <f aca="false">IF(K341=1,SUMIFS($H$6:$H$511,$L$6:$L$511,L341,$K$6:$K$511,1),"")</f>
        <v/>
      </c>
      <c r="R341" s="103" t="str">
        <f aca="false">IF(B341="","",IF(INDEX(報告入力!$AB$7:$AB$696,B341)="","",INDEX(報告入力!$AB$7:$AB$696,B341)))</f>
        <v/>
      </c>
      <c r="S341" s="5" t="str">
        <f aca="false">設定!$C$54</f>
        <v>介護：負担金</v>
      </c>
    </row>
    <row r="342" customFormat="false" ht="15" hidden="false" customHeight="false" outlineLevel="0" collapsed="false">
      <c r="A342" s="5" t="str">
        <f aca="false">設定!B68</f>
        <v>監査事務局</v>
      </c>
      <c r="B342" s="5" t="n">
        <f aca="false">IFERROR(MATCH(ホーム!$C$4&amp;"|"&amp;A342,報告入力!$CM$7:$CM$696,0),"")</f>
        <v>330</v>
      </c>
      <c r="C342" s="5" t="str">
        <f aca="false">IF(B342="","",INDEX(報告入力!$C$7:$C$696,B342))</f>
        <v>未受領</v>
      </c>
      <c r="D342" s="5" t="str">
        <f aca="false">設定!$A$41</f>
        <v>介護経理</v>
      </c>
      <c r="E342" s="5" t="str">
        <f aca="false">設定!$B$41&amp;""</f>
        <v/>
      </c>
      <c r="F342" s="5" t="str">
        <f aca="false">設定!$D$53&amp;""</f>
        <v/>
      </c>
      <c r="G342" s="5" t="str">
        <f aca="false">設定!$E$53&amp;""</f>
        <v/>
      </c>
      <c r="H342" s="5" t="n">
        <f aca="false">IF(B342="",0,N(INDEX(報告入力!$BF$7:$BF$696,B342)))</f>
        <v>108309</v>
      </c>
      <c r="I342" s="5" t="str">
        <f aca="false">設定!$C$41&amp;""</f>
        <v/>
      </c>
      <c r="J342" s="5" t="str">
        <f aca="false">設定!$D$41&amp;""</f>
        <v/>
      </c>
      <c r="K342" s="5" t="n">
        <f aca="false">IF(AND(H342&lt;&gt;0,IF(設定!$B$6="入金確認済のみ",C342="入金確認済",OR(C342="入金確認済",C342="受領済"))),1,0)</f>
        <v>0</v>
      </c>
      <c r="L342" s="5" t="str">
        <f aca="false">3&amp;"|"&amp;8</f>
        <v>3|8</v>
      </c>
      <c r="M342" s="5" t="n">
        <f aca="false">IF(L342=L341,M341,0)+K342</f>
        <v>0</v>
      </c>
      <c r="N342" s="5" t="n">
        <f aca="false">IF(AND(K342=1,M342=1),1,0)</f>
        <v>0</v>
      </c>
      <c r="O342" s="5" t="str">
        <f aca="false">IF(K342=1,MAX($O$5:O341)+1,"")</f>
        <v/>
      </c>
      <c r="P342" s="5" t="str">
        <f aca="false">IF(K342=1,SUM($N$6:N342),"")</f>
        <v/>
      </c>
      <c r="Q342" s="5" t="str">
        <f aca="false">IF(K342=1,SUMIFS($H$6:$H$511,$L$6:$L$511,L342,$K$6:$K$511,1),"")</f>
        <v/>
      </c>
      <c r="R342" s="103" t="str">
        <f aca="false">IF(B342="","",IF(INDEX(報告入力!$AB$7:$AB$696,B342)="","",INDEX(報告入力!$AB$7:$AB$696,B342)))</f>
        <v/>
      </c>
      <c r="S342" s="5" t="str">
        <f aca="false">設定!$C$53</f>
        <v>介護：掛金</v>
      </c>
    </row>
    <row r="343" customFormat="false" ht="15" hidden="false" customHeight="false" outlineLevel="0" collapsed="false">
      <c r="A343" s="5" t="str">
        <f aca="false">設定!B68</f>
        <v>監査事務局</v>
      </c>
      <c r="B343" s="5" t="n">
        <f aca="false">IFERROR(MATCH(ホーム!$C$4&amp;"|"&amp;A343,報告入力!$CM$7:$CM$696,0),"")</f>
        <v>330</v>
      </c>
      <c r="C343" s="5" t="str">
        <f aca="false">IF(B343="","",INDEX(報告入力!$C$7:$C$696,B343))</f>
        <v>未受領</v>
      </c>
      <c r="D343" s="5" t="str">
        <f aca="false">設定!$A$41</f>
        <v>介護経理</v>
      </c>
      <c r="E343" s="5" t="str">
        <f aca="false">設定!$B$41&amp;""</f>
        <v/>
      </c>
      <c r="F343" s="5" t="str">
        <f aca="false">設定!$D$54&amp;""</f>
        <v/>
      </c>
      <c r="G343" s="5" t="str">
        <f aca="false">設定!$E$54&amp;""</f>
        <v/>
      </c>
      <c r="H343" s="5" t="n">
        <f aca="false">IF(B343="",0,N(INDEX(報告入力!$BG$7:$BG$696,B343)))</f>
        <v>108309</v>
      </c>
      <c r="I343" s="5" t="str">
        <f aca="false">設定!$C$41&amp;""</f>
        <v/>
      </c>
      <c r="J343" s="5" t="str">
        <f aca="false">設定!$D$41&amp;""</f>
        <v/>
      </c>
      <c r="K343" s="5" t="n">
        <f aca="false">IF(AND(H343&lt;&gt;0,IF(設定!$B$6="入金確認済のみ",C343="入金確認済",OR(C343="入金確認済",C343="受領済"))),1,0)</f>
        <v>0</v>
      </c>
      <c r="L343" s="5" t="str">
        <f aca="false">3&amp;"|"&amp;8</f>
        <v>3|8</v>
      </c>
      <c r="M343" s="5" t="n">
        <f aca="false">IF(L343=L342,M342,0)+K343</f>
        <v>0</v>
      </c>
      <c r="N343" s="5" t="n">
        <f aca="false">IF(AND(K343=1,M343=1),1,0)</f>
        <v>0</v>
      </c>
      <c r="O343" s="5" t="str">
        <f aca="false">IF(K343=1,MAX($O$5:O342)+1,"")</f>
        <v/>
      </c>
      <c r="P343" s="5" t="str">
        <f aca="false">IF(K343=1,SUM($N$6:N343),"")</f>
        <v/>
      </c>
      <c r="Q343" s="5" t="str">
        <f aca="false">IF(K343=1,SUMIFS($H$6:$H$511,$L$6:$L$511,L343,$K$6:$K$511,1),"")</f>
        <v/>
      </c>
      <c r="R343" s="103" t="str">
        <f aca="false">IF(B343="","",IF(INDEX(報告入力!$AB$7:$AB$696,B343)="","",INDEX(報告入力!$AB$7:$AB$696,B343)))</f>
        <v/>
      </c>
      <c r="S343" s="5" t="str">
        <f aca="false">設定!$C$54</f>
        <v>介護：負担金</v>
      </c>
    </row>
    <row r="344" customFormat="false" ht="15" hidden="false" customHeight="false" outlineLevel="0" collapsed="false">
      <c r="A344" s="5" t="str">
        <f aca="false">設定!B69</f>
        <v>農業委員会</v>
      </c>
      <c r="B344" s="5" t="n">
        <f aca="false">IFERROR(MATCH(ホーム!$C$4&amp;"|"&amp;A344,報告入力!$CM$7:$CM$696,0),"")</f>
        <v>331</v>
      </c>
      <c r="C344" s="5" t="str">
        <f aca="false">IF(B344="","",INDEX(報告入力!$C$7:$C$696,B344))</f>
        <v>未受領</v>
      </c>
      <c r="D344" s="5" t="str">
        <f aca="false">設定!$A$41</f>
        <v>介護経理</v>
      </c>
      <c r="E344" s="5" t="str">
        <f aca="false">設定!$B$41&amp;""</f>
        <v/>
      </c>
      <c r="F344" s="5" t="str">
        <f aca="false">設定!$D$53&amp;""</f>
        <v/>
      </c>
      <c r="G344" s="5" t="str">
        <f aca="false">設定!$E$53&amp;""</f>
        <v/>
      </c>
      <c r="H344" s="5" t="n">
        <f aca="false">IF(B344="",0,N(INDEX(報告入力!$BF$7:$BF$696,B344)))</f>
        <v>34410</v>
      </c>
      <c r="I344" s="5" t="str">
        <f aca="false">設定!$C$41&amp;""</f>
        <v/>
      </c>
      <c r="J344" s="5" t="str">
        <f aca="false">設定!$D$41&amp;""</f>
        <v/>
      </c>
      <c r="K344" s="5" t="n">
        <f aca="false">IF(AND(H344&lt;&gt;0,IF(設定!$B$6="入金確認済のみ",C344="入金確認済",OR(C344="入金確認済",C344="受領済"))),1,0)</f>
        <v>0</v>
      </c>
      <c r="L344" s="5" t="str">
        <f aca="false">3&amp;"|"&amp;9</f>
        <v>3|9</v>
      </c>
      <c r="M344" s="5" t="n">
        <f aca="false">IF(L344=L343,M343,0)+K344</f>
        <v>0</v>
      </c>
      <c r="N344" s="5" t="n">
        <f aca="false">IF(AND(K344=1,M344=1),1,0)</f>
        <v>0</v>
      </c>
      <c r="O344" s="5" t="str">
        <f aca="false">IF(K344=1,MAX($O$5:O343)+1,"")</f>
        <v/>
      </c>
      <c r="P344" s="5" t="str">
        <f aca="false">IF(K344=1,SUM($N$6:N344),"")</f>
        <v/>
      </c>
      <c r="Q344" s="5" t="str">
        <f aca="false">IF(K344=1,SUMIFS($H$6:$H$511,$L$6:$L$511,L344,$K$6:$K$511,1),"")</f>
        <v/>
      </c>
      <c r="R344" s="103" t="str">
        <f aca="false">IF(B344="","",IF(INDEX(報告入力!$AB$7:$AB$696,B344)="","",INDEX(報告入力!$AB$7:$AB$696,B344)))</f>
        <v/>
      </c>
      <c r="S344" s="5" t="str">
        <f aca="false">設定!$C$53</f>
        <v>介護：掛金</v>
      </c>
    </row>
    <row r="345" customFormat="false" ht="15" hidden="false" customHeight="false" outlineLevel="0" collapsed="false">
      <c r="A345" s="5" t="str">
        <f aca="false">設定!B69</f>
        <v>農業委員会</v>
      </c>
      <c r="B345" s="5" t="n">
        <f aca="false">IFERROR(MATCH(ホーム!$C$4&amp;"|"&amp;A345,報告入力!$CM$7:$CM$696,0),"")</f>
        <v>331</v>
      </c>
      <c r="C345" s="5" t="str">
        <f aca="false">IF(B345="","",INDEX(報告入力!$C$7:$C$696,B345))</f>
        <v>未受領</v>
      </c>
      <c r="D345" s="5" t="str">
        <f aca="false">設定!$A$41</f>
        <v>介護経理</v>
      </c>
      <c r="E345" s="5" t="str">
        <f aca="false">設定!$B$41&amp;""</f>
        <v/>
      </c>
      <c r="F345" s="5" t="str">
        <f aca="false">設定!$D$54&amp;""</f>
        <v/>
      </c>
      <c r="G345" s="5" t="str">
        <f aca="false">設定!$E$54&amp;""</f>
        <v/>
      </c>
      <c r="H345" s="5" t="n">
        <f aca="false">IF(B345="",0,N(INDEX(報告入力!$BG$7:$BG$696,B345)))</f>
        <v>34412</v>
      </c>
      <c r="I345" s="5" t="str">
        <f aca="false">設定!$C$41&amp;""</f>
        <v/>
      </c>
      <c r="J345" s="5" t="str">
        <f aca="false">設定!$D$41&amp;""</f>
        <v/>
      </c>
      <c r="K345" s="5" t="n">
        <f aca="false">IF(AND(H345&lt;&gt;0,IF(設定!$B$6="入金確認済のみ",C345="入金確認済",OR(C345="入金確認済",C345="受領済"))),1,0)</f>
        <v>0</v>
      </c>
      <c r="L345" s="5" t="str">
        <f aca="false">3&amp;"|"&amp;9</f>
        <v>3|9</v>
      </c>
      <c r="M345" s="5" t="n">
        <f aca="false">IF(L345=L344,M344,0)+K345</f>
        <v>0</v>
      </c>
      <c r="N345" s="5" t="n">
        <f aca="false">IF(AND(K345=1,M345=1),1,0)</f>
        <v>0</v>
      </c>
      <c r="O345" s="5" t="str">
        <f aca="false">IF(K345=1,MAX($O$5:O344)+1,"")</f>
        <v/>
      </c>
      <c r="P345" s="5" t="str">
        <f aca="false">IF(K345=1,SUM($N$6:N345),"")</f>
        <v/>
      </c>
      <c r="Q345" s="5" t="str">
        <f aca="false">IF(K345=1,SUMIFS($H$6:$H$511,$L$6:$L$511,L345,$K$6:$K$511,1),"")</f>
        <v/>
      </c>
      <c r="R345" s="103" t="str">
        <f aca="false">IF(B345="","",IF(INDEX(報告入力!$AB$7:$AB$696,B345)="","",INDEX(報告入力!$AB$7:$AB$696,B345)))</f>
        <v/>
      </c>
      <c r="S345" s="5" t="str">
        <f aca="false">設定!$C$54</f>
        <v>介護：負担金</v>
      </c>
    </row>
    <row r="346" customFormat="false" ht="15" hidden="false" customHeight="false" outlineLevel="0" collapsed="false">
      <c r="A346" s="5" t="str">
        <f aca="false">設定!B70</f>
        <v>水道局</v>
      </c>
      <c r="B346" s="5" t="n">
        <f aca="false">IFERROR(MATCH(ホーム!$C$4&amp;"|"&amp;A346,報告入力!$CM$7:$CM$696,0),"")</f>
        <v>332</v>
      </c>
      <c r="C346" s="5" t="str">
        <f aca="false">IF(B346="","",INDEX(報告入力!$C$7:$C$696,B346))</f>
        <v>未受領</v>
      </c>
      <c r="D346" s="5" t="str">
        <f aca="false">設定!$A$41</f>
        <v>介護経理</v>
      </c>
      <c r="E346" s="5" t="str">
        <f aca="false">設定!$B$41&amp;""</f>
        <v/>
      </c>
      <c r="F346" s="5" t="str">
        <f aca="false">設定!$D$53&amp;""</f>
        <v/>
      </c>
      <c r="G346" s="5" t="str">
        <f aca="false">設定!$E$53&amp;""</f>
        <v/>
      </c>
      <c r="H346" s="5" t="n">
        <f aca="false">IF(B346="",0,N(INDEX(報告入力!$BF$7:$BF$696,B346)))</f>
        <v>1349557</v>
      </c>
      <c r="I346" s="5" t="str">
        <f aca="false">設定!$C$41&amp;""</f>
        <v/>
      </c>
      <c r="J346" s="5" t="str">
        <f aca="false">設定!$D$41&amp;""</f>
        <v/>
      </c>
      <c r="K346" s="5" t="n">
        <f aca="false">IF(AND(H346&lt;&gt;0,IF(設定!$B$6="入金確認済のみ",C346="入金確認済",OR(C346="入金確認済",C346="受領済"))),1,0)</f>
        <v>0</v>
      </c>
      <c r="L346" s="5" t="str">
        <f aca="false">3&amp;"|"&amp;10</f>
        <v>3|10</v>
      </c>
      <c r="M346" s="5" t="n">
        <f aca="false">IF(L346=L345,M345,0)+K346</f>
        <v>0</v>
      </c>
      <c r="N346" s="5" t="n">
        <f aca="false">IF(AND(K346=1,M346=1),1,0)</f>
        <v>0</v>
      </c>
      <c r="O346" s="5" t="str">
        <f aca="false">IF(K346=1,MAX($O$5:O345)+1,"")</f>
        <v/>
      </c>
      <c r="P346" s="5" t="str">
        <f aca="false">IF(K346=1,SUM($N$6:N346),"")</f>
        <v/>
      </c>
      <c r="Q346" s="5" t="str">
        <f aca="false">IF(K346=1,SUMIFS($H$6:$H$511,$L$6:$L$511,L346,$K$6:$K$511,1),"")</f>
        <v/>
      </c>
      <c r="R346" s="103" t="str">
        <f aca="false">IF(B346="","",IF(INDEX(報告入力!$AB$7:$AB$696,B346)="","",INDEX(報告入力!$AB$7:$AB$696,B346)))</f>
        <v/>
      </c>
      <c r="S346" s="5" t="str">
        <f aca="false">設定!$C$53</f>
        <v>介護：掛金</v>
      </c>
    </row>
    <row r="347" customFormat="false" ht="15" hidden="false" customHeight="false" outlineLevel="0" collapsed="false">
      <c r="A347" s="5" t="str">
        <f aca="false">設定!B70</f>
        <v>水道局</v>
      </c>
      <c r="B347" s="5" t="n">
        <f aca="false">IFERROR(MATCH(ホーム!$C$4&amp;"|"&amp;A347,報告入力!$CM$7:$CM$696,0),"")</f>
        <v>332</v>
      </c>
      <c r="C347" s="5" t="str">
        <f aca="false">IF(B347="","",INDEX(報告入力!$C$7:$C$696,B347))</f>
        <v>未受領</v>
      </c>
      <c r="D347" s="5" t="str">
        <f aca="false">設定!$A$41</f>
        <v>介護経理</v>
      </c>
      <c r="E347" s="5" t="str">
        <f aca="false">設定!$B$41&amp;""</f>
        <v/>
      </c>
      <c r="F347" s="5" t="str">
        <f aca="false">設定!$D$54&amp;""</f>
        <v/>
      </c>
      <c r="G347" s="5" t="str">
        <f aca="false">設定!$E$54&amp;""</f>
        <v/>
      </c>
      <c r="H347" s="5" t="n">
        <f aca="false">IF(B347="",0,N(INDEX(報告入力!$BG$7:$BG$696,B347)))</f>
        <v>1349557</v>
      </c>
      <c r="I347" s="5" t="str">
        <f aca="false">設定!$C$41&amp;""</f>
        <v/>
      </c>
      <c r="J347" s="5" t="str">
        <f aca="false">設定!$D$41&amp;""</f>
        <v/>
      </c>
      <c r="K347" s="5" t="n">
        <f aca="false">IF(AND(H347&lt;&gt;0,IF(設定!$B$6="入金確認済のみ",C347="入金確認済",OR(C347="入金確認済",C347="受領済"))),1,0)</f>
        <v>0</v>
      </c>
      <c r="L347" s="5" t="str">
        <f aca="false">3&amp;"|"&amp;10</f>
        <v>3|10</v>
      </c>
      <c r="M347" s="5" t="n">
        <f aca="false">IF(L347=L346,M346,0)+K347</f>
        <v>0</v>
      </c>
      <c r="N347" s="5" t="n">
        <f aca="false">IF(AND(K347=1,M347=1),1,0)</f>
        <v>0</v>
      </c>
      <c r="O347" s="5" t="str">
        <f aca="false">IF(K347=1,MAX($O$5:O346)+1,"")</f>
        <v/>
      </c>
      <c r="P347" s="5" t="str">
        <f aca="false">IF(K347=1,SUM($N$6:N347),"")</f>
        <v/>
      </c>
      <c r="Q347" s="5" t="str">
        <f aca="false">IF(K347=1,SUMIFS($H$6:$H$511,$L$6:$L$511,L347,$K$6:$K$511,1),"")</f>
        <v/>
      </c>
      <c r="R347" s="103" t="str">
        <f aca="false">IF(B347="","",IF(INDEX(報告入力!$AB$7:$AB$696,B347)="","",INDEX(報告入力!$AB$7:$AB$696,B347)))</f>
        <v/>
      </c>
      <c r="S347" s="5" t="str">
        <f aca="false">設定!$C$54</f>
        <v>介護：負担金</v>
      </c>
    </row>
    <row r="348" customFormat="false" ht="15" hidden="false" customHeight="false" outlineLevel="0" collapsed="false">
      <c r="A348" s="5" t="str">
        <f aca="false">設定!B71</f>
        <v>医療政策課(安芸市民)</v>
      </c>
      <c r="B348" s="5" t="n">
        <f aca="false">IFERROR(MATCH(ホーム!$C$4&amp;"|"&amp;A348,報告入力!$CM$7:$CM$696,0),"")</f>
        <v>333</v>
      </c>
      <c r="C348" s="5" t="str">
        <f aca="false">IF(B348="","",INDEX(報告入力!$C$7:$C$696,B348))</f>
        <v>未受領</v>
      </c>
      <c r="D348" s="5" t="str">
        <f aca="false">設定!$A$41</f>
        <v>介護経理</v>
      </c>
      <c r="E348" s="5" t="str">
        <f aca="false">設定!$B$41&amp;""</f>
        <v/>
      </c>
      <c r="F348" s="5" t="str">
        <f aca="false">設定!$D$53&amp;""</f>
        <v/>
      </c>
      <c r="G348" s="5" t="str">
        <f aca="false">設定!$E$53&amp;""</f>
        <v/>
      </c>
      <c r="H348" s="5" t="n">
        <f aca="false">IF(B348="",0,N(INDEX(報告入力!$BF$7:$BF$696,B348)))</f>
        <v>4187</v>
      </c>
      <c r="I348" s="5" t="str">
        <f aca="false">設定!$C$41&amp;""</f>
        <v/>
      </c>
      <c r="J348" s="5" t="str">
        <f aca="false">設定!$D$41&amp;""</f>
        <v/>
      </c>
      <c r="K348" s="5" t="n">
        <f aca="false">IF(AND(H348&lt;&gt;0,IF(設定!$B$6="入金確認済のみ",C348="入金確認済",OR(C348="入金確認済",C348="受領済"))),1,0)</f>
        <v>0</v>
      </c>
      <c r="L348" s="5" t="str">
        <f aca="false">3&amp;"|"&amp;11</f>
        <v>3|11</v>
      </c>
      <c r="M348" s="5" t="n">
        <f aca="false">IF(L348=L347,M347,0)+K348</f>
        <v>0</v>
      </c>
      <c r="N348" s="5" t="n">
        <f aca="false">IF(AND(K348=1,M348=1),1,0)</f>
        <v>0</v>
      </c>
      <c r="O348" s="5" t="str">
        <f aca="false">IF(K348=1,MAX($O$5:O347)+1,"")</f>
        <v/>
      </c>
      <c r="P348" s="5" t="str">
        <f aca="false">IF(K348=1,SUM($N$6:N348),"")</f>
        <v/>
      </c>
      <c r="Q348" s="5" t="str">
        <f aca="false">IF(K348=1,SUMIFS($H$6:$H$511,$L$6:$L$511,L348,$K$6:$K$511,1),"")</f>
        <v/>
      </c>
      <c r="R348" s="103" t="str">
        <f aca="false">IF(B348="","",IF(INDEX(報告入力!$AB$7:$AB$696,B348)="","",INDEX(報告入力!$AB$7:$AB$696,B348)))</f>
        <v/>
      </c>
      <c r="S348" s="5" t="str">
        <f aca="false">設定!$C$53</f>
        <v>介護：掛金</v>
      </c>
    </row>
    <row r="349" customFormat="false" ht="15" hidden="false" customHeight="false" outlineLevel="0" collapsed="false">
      <c r="A349" s="5" t="str">
        <f aca="false">設定!B71</f>
        <v>医療政策課(安芸市民)</v>
      </c>
      <c r="B349" s="5" t="n">
        <f aca="false">IFERROR(MATCH(ホーム!$C$4&amp;"|"&amp;A349,報告入力!$CM$7:$CM$696,0),"")</f>
        <v>333</v>
      </c>
      <c r="C349" s="5" t="str">
        <f aca="false">IF(B349="","",INDEX(報告入力!$C$7:$C$696,B349))</f>
        <v>未受領</v>
      </c>
      <c r="D349" s="5" t="str">
        <f aca="false">設定!$A$41</f>
        <v>介護経理</v>
      </c>
      <c r="E349" s="5" t="str">
        <f aca="false">設定!$B$41&amp;""</f>
        <v/>
      </c>
      <c r="F349" s="5" t="str">
        <f aca="false">設定!$D$54&amp;""</f>
        <v/>
      </c>
      <c r="G349" s="5" t="str">
        <f aca="false">設定!$E$54&amp;""</f>
        <v/>
      </c>
      <c r="H349" s="5" t="n">
        <f aca="false">IF(B349="",0,N(INDEX(報告入力!$BG$7:$BG$696,B349)))</f>
        <v>4187</v>
      </c>
      <c r="I349" s="5" t="str">
        <f aca="false">設定!$C$41&amp;""</f>
        <v/>
      </c>
      <c r="J349" s="5" t="str">
        <f aca="false">設定!$D$41&amp;""</f>
        <v/>
      </c>
      <c r="K349" s="5" t="n">
        <f aca="false">IF(AND(H349&lt;&gt;0,IF(設定!$B$6="入金確認済のみ",C349="入金確認済",OR(C349="入金確認済",C349="受領済"))),1,0)</f>
        <v>0</v>
      </c>
      <c r="L349" s="5" t="str">
        <f aca="false">3&amp;"|"&amp;11</f>
        <v>3|11</v>
      </c>
      <c r="M349" s="5" t="n">
        <f aca="false">IF(L349=L348,M348,0)+K349</f>
        <v>0</v>
      </c>
      <c r="N349" s="5" t="n">
        <f aca="false">IF(AND(K349=1,M349=1),1,0)</f>
        <v>0</v>
      </c>
      <c r="O349" s="5" t="str">
        <f aca="false">IF(K349=1,MAX($O$5:O348)+1,"")</f>
        <v/>
      </c>
      <c r="P349" s="5" t="str">
        <f aca="false">IF(K349=1,SUM($N$6:N349),"")</f>
        <v/>
      </c>
      <c r="Q349" s="5" t="str">
        <f aca="false">IF(K349=1,SUMIFS($H$6:$H$511,$L$6:$L$511,L349,$K$6:$K$511,1),"")</f>
        <v/>
      </c>
      <c r="R349" s="103" t="str">
        <f aca="false">IF(B349="","",IF(INDEX(報告入力!$AB$7:$AB$696,B349)="","",INDEX(報告入力!$AB$7:$AB$696,B349)))</f>
        <v/>
      </c>
      <c r="S349" s="5" t="str">
        <f aca="false">設定!$C$54</f>
        <v>介護：負担金</v>
      </c>
    </row>
    <row r="350" customFormat="false" ht="15" hidden="false" customHeight="false" outlineLevel="0" collapsed="false">
      <c r="A350" s="5" t="str">
        <f aca="false">設定!B72</f>
        <v>教育委員会（教育給与課）</v>
      </c>
      <c r="B350" s="5" t="n">
        <f aca="false">IFERROR(MATCH(ホーム!$C$4&amp;"|"&amp;A350,報告入力!$CM$7:$CM$696,0),"")</f>
        <v>334</v>
      </c>
      <c r="C350" s="5" t="str">
        <f aca="false">IF(B350="","",INDEX(報告入力!$C$7:$C$696,B350))</f>
        <v>未受領</v>
      </c>
      <c r="D350" s="5" t="str">
        <f aca="false">設定!$A$41</f>
        <v>介護経理</v>
      </c>
      <c r="E350" s="5" t="str">
        <f aca="false">設定!$B$41&amp;""</f>
        <v/>
      </c>
      <c r="F350" s="5" t="str">
        <f aca="false">設定!$D$53&amp;""</f>
        <v/>
      </c>
      <c r="G350" s="5" t="str">
        <f aca="false">設定!$E$53&amp;""</f>
        <v/>
      </c>
      <c r="H350" s="5" t="n">
        <f aca="false">IF(B350="",0,N(INDEX(報告入力!$BF$7:$BF$696,B350)))</f>
        <v>8068</v>
      </c>
      <c r="I350" s="5" t="str">
        <f aca="false">設定!$C$41&amp;""</f>
        <v/>
      </c>
      <c r="J350" s="5" t="str">
        <f aca="false">設定!$D$41&amp;""</f>
        <v/>
      </c>
      <c r="K350" s="5" t="n">
        <f aca="false">IF(AND(H350&lt;&gt;0,IF(設定!$B$6="入金確認済のみ",C350="入金確認済",OR(C350="入金確認済",C350="受領済"))),1,0)</f>
        <v>0</v>
      </c>
      <c r="L350" s="5" t="str">
        <f aca="false">3&amp;"|"&amp;12</f>
        <v>3|12</v>
      </c>
      <c r="M350" s="5" t="n">
        <f aca="false">IF(L350=L349,M349,0)+K350</f>
        <v>0</v>
      </c>
      <c r="N350" s="5" t="n">
        <f aca="false">IF(AND(K350=1,M350=1),1,0)</f>
        <v>0</v>
      </c>
      <c r="O350" s="5" t="str">
        <f aca="false">IF(K350=1,MAX($O$5:O349)+1,"")</f>
        <v/>
      </c>
      <c r="P350" s="5" t="str">
        <f aca="false">IF(K350=1,SUM($N$6:N350),"")</f>
        <v/>
      </c>
      <c r="Q350" s="5" t="str">
        <f aca="false">IF(K350=1,SUMIFS($H$6:$H$511,$L$6:$L$511,L350,$K$6:$K$511,1),"")</f>
        <v/>
      </c>
      <c r="R350" s="103" t="str">
        <f aca="false">IF(B350="","",IF(INDEX(報告入力!$AB$7:$AB$696,B350)="","",INDEX(報告入力!$AB$7:$AB$696,B350)))</f>
        <v/>
      </c>
      <c r="S350" s="5" t="str">
        <f aca="false">設定!$C$53</f>
        <v>介護：掛金</v>
      </c>
    </row>
    <row r="351" customFormat="false" ht="15" hidden="false" customHeight="false" outlineLevel="0" collapsed="false">
      <c r="A351" s="5" t="str">
        <f aca="false">設定!B72</f>
        <v>教育委員会（教育給与課）</v>
      </c>
      <c r="B351" s="5" t="n">
        <f aca="false">IFERROR(MATCH(ホーム!$C$4&amp;"|"&amp;A351,報告入力!$CM$7:$CM$696,0),"")</f>
        <v>334</v>
      </c>
      <c r="C351" s="5" t="str">
        <f aca="false">IF(B351="","",INDEX(報告入力!$C$7:$C$696,B351))</f>
        <v>未受領</v>
      </c>
      <c r="D351" s="5" t="str">
        <f aca="false">設定!$A$41</f>
        <v>介護経理</v>
      </c>
      <c r="E351" s="5" t="str">
        <f aca="false">設定!$B$41&amp;""</f>
        <v/>
      </c>
      <c r="F351" s="5" t="str">
        <f aca="false">設定!$D$54&amp;""</f>
        <v/>
      </c>
      <c r="G351" s="5" t="str">
        <f aca="false">設定!$E$54&amp;""</f>
        <v/>
      </c>
      <c r="H351" s="5" t="n">
        <f aca="false">IF(B351="",0,N(INDEX(報告入力!$BG$7:$BG$696,B351)))</f>
        <v>8068</v>
      </c>
      <c r="I351" s="5" t="str">
        <f aca="false">設定!$C$41&amp;""</f>
        <v/>
      </c>
      <c r="J351" s="5" t="str">
        <f aca="false">設定!$D$41&amp;""</f>
        <v/>
      </c>
      <c r="K351" s="5" t="n">
        <f aca="false">IF(AND(H351&lt;&gt;0,IF(設定!$B$6="入金確認済のみ",C351="入金確認済",OR(C351="入金確認済",C351="受領済"))),1,0)</f>
        <v>0</v>
      </c>
      <c r="L351" s="5" t="str">
        <f aca="false">3&amp;"|"&amp;12</f>
        <v>3|12</v>
      </c>
      <c r="M351" s="5" t="n">
        <f aca="false">IF(L351=L350,M350,0)+K351</f>
        <v>0</v>
      </c>
      <c r="N351" s="5" t="n">
        <f aca="false">IF(AND(K351=1,M351=1),1,0)</f>
        <v>0</v>
      </c>
      <c r="O351" s="5" t="str">
        <f aca="false">IF(K351=1,MAX($O$5:O350)+1,"")</f>
        <v/>
      </c>
      <c r="P351" s="5" t="str">
        <f aca="false">IF(K351=1,SUM($N$6:N351),"")</f>
        <v/>
      </c>
      <c r="Q351" s="5" t="str">
        <f aca="false">IF(K351=1,SUMIFS($H$6:$H$511,$L$6:$L$511,L351,$K$6:$K$511,1),"")</f>
        <v/>
      </c>
      <c r="R351" s="103" t="str">
        <f aca="false">IF(B351="","",IF(INDEX(報告入力!$AB$7:$AB$696,B351)="","",INDEX(報告入力!$AB$7:$AB$696,B351)))</f>
        <v/>
      </c>
      <c r="S351" s="5" t="str">
        <f aca="false">設定!$C$54</f>
        <v>介護：負担金</v>
      </c>
    </row>
    <row r="352" customFormat="false" ht="15" hidden="false" customHeight="false" outlineLevel="0" collapsed="false">
      <c r="A352" s="5" t="str">
        <f aca="false">設定!B73</f>
        <v>地方税共同機構</v>
      </c>
      <c r="B352" s="5" t="n">
        <f aca="false">IFERROR(MATCH(ホーム!$C$4&amp;"|"&amp;A352,報告入力!$CM$7:$CM$696,0),"")</f>
        <v>335</v>
      </c>
      <c r="C352" s="5" t="str">
        <f aca="false">IF(B352="","",INDEX(報告入力!$C$7:$C$696,B352))</f>
        <v>報告なし</v>
      </c>
      <c r="D352" s="5" t="str">
        <f aca="false">設定!$A$41</f>
        <v>介護経理</v>
      </c>
      <c r="E352" s="5" t="str">
        <f aca="false">設定!$B$41&amp;""</f>
        <v/>
      </c>
      <c r="F352" s="5" t="str">
        <f aca="false">設定!$D$53&amp;""</f>
        <v/>
      </c>
      <c r="G352" s="5" t="str">
        <f aca="false">設定!$E$53&amp;""</f>
        <v/>
      </c>
      <c r="H352" s="5" t="n">
        <f aca="false">IF(B352="",0,N(INDEX(報告入力!$BF$7:$BF$696,B352)))</f>
        <v>0</v>
      </c>
      <c r="I352" s="5" t="str">
        <f aca="false">設定!$C$41&amp;""</f>
        <v/>
      </c>
      <c r="J352" s="5" t="str">
        <f aca="false">設定!$D$41&amp;""</f>
        <v/>
      </c>
      <c r="K352" s="5" t="n">
        <f aca="false">IF(AND(H352&lt;&gt;0,IF(設定!$B$6="入金確認済のみ",C352="入金確認済",OR(C352="入金確認済",C352="受領済"))),1,0)</f>
        <v>0</v>
      </c>
      <c r="L352" s="5" t="str">
        <f aca="false">3&amp;"|"&amp;13</f>
        <v>3|13</v>
      </c>
      <c r="M352" s="5" t="n">
        <f aca="false">IF(L352=L351,M351,0)+K352</f>
        <v>0</v>
      </c>
      <c r="N352" s="5" t="n">
        <f aca="false">IF(AND(K352=1,M352=1),1,0)</f>
        <v>0</v>
      </c>
      <c r="O352" s="5" t="str">
        <f aca="false">IF(K352=1,MAX($O$5:O351)+1,"")</f>
        <v/>
      </c>
      <c r="P352" s="5" t="str">
        <f aca="false">IF(K352=1,SUM($N$6:N352),"")</f>
        <v/>
      </c>
      <c r="Q352" s="5" t="str">
        <f aca="false">IF(K352=1,SUMIFS($H$6:$H$511,$L$6:$L$511,L352,$K$6:$K$511,1),"")</f>
        <v/>
      </c>
      <c r="R352" s="103" t="str">
        <f aca="false">IF(B352="","",IF(INDEX(報告入力!$AB$7:$AB$696,B352)="","",INDEX(報告入力!$AB$7:$AB$696,B352)))</f>
        <v/>
      </c>
      <c r="S352" s="5" t="str">
        <f aca="false">設定!$C$53</f>
        <v>介護：掛金</v>
      </c>
    </row>
    <row r="353" customFormat="false" ht="15" hidden="false" customHeight="false" outlineLevel="0" collapsed="false">
      <c r="A353" s="5" t="str">
        <f aca="false">設定!B73</f>
        <v>地方税共同機構</v>
      </c>
      <c r="B353" s="5" t="n">
        <f aca="false">IFERROR(MATCH(ホーム!$C$4&amp;"|"&amp;A353,報告入力!$CM$7:$CM$696,0),"")</f>
        <v>335</v>
      </c>
      <c r="C353" s="5" t="str">
        <f aca="false">IF(B353="","",INDEX(報告入力!$C$7:$C$696,B353))</f>
        <v>報告なし</v>
      </c>
      <c r="D353" s="5" t="str">
        <f aca="false">設定!$A$41</f>
        <v>介護経理</v>
      </c>
      <c r="E353" s="5" t="str">
        <f aca="false">設定!$B$41&amp;""</f>
        <v/>
      </c>
      <c r="F353" s="5" t="str">
        <f aca="false">設定!$D$54&amp;""</f>
        <v/>
      </c>
      <c r="G353" s="5" t="str">
        <f aca="false">設定!$E$54&amp;""</f>
        <v/>
      </c>
      <c r="H353" s="5" t="n">
        <f aca="false">IF(B353="",0,N(INDEX(報告入力!$BG$7:$BG$696,B353)))</f>
        <v>0</v>
      </c>
      <c r="I353" s="5" t="str">
        <f aca="false">設定!$C$41&amp;""</f>
        <v/>
      </c>
      <c r="J353" s="5" t="str">
        <f aca="false">設定!$D$41&amp;""</f>
        <v/>
      </c>
      <c r="K353" s="5" t="n">
        <f aca="false">IF(AND(H353&lt;&gt;0,IF(設定!$B$6="入金確認済のみ",C353="入金確認済",OR(C353="入金確認済",C353="受領済"))),1,0)</f>
        <v>0</v>
      </c>
      <c r="L353" s="5" t="str">
        <f aca="false">3&amp;"|"&amp;13</f>
        <v>3|13</v>
      </c>
      <c r="M353" s="5" t="n">
        <f aca="false">IF(L353=L352,M352,0)+K353</f>
        <v>0</v>
      </c>
      <c r="N353" s="5" t="n">
        <f aca="false">IF(AND(K353=1,M353=1),1,0)</f>
        <v>0</v>
      </c>
      <c r="O353" s="5" t="str">
        <f aca="false">IF(K353=1,MAX($O$5:O352)+1,"")</f>
        <v/>
      </c>
      <c r="P353" s="5" t="str">
        <f aca="false">IF(K353=1,SUM($N$6:N353),"")</f>
        <v/>
      </c>
      <c r="Q353" s="5" t="str">
        <f aca="false">IF(K353=1,SUMIFS($H$6:$H$511,$L$6:$L$511,L353,$K$6:$K$511,1),"")</f>
        <v/>
      </c>
      <c r="R353" s="103" t="str">
        <f aca="false">IF(B353="","",IF(INDEX(報告入力!$AB$7:$AB$696,B353)="","",INDEX(報告入力!$AB$7:$AB$696,B353)))</f>
        <v/>
      </c>
      <c r="S353" s="5" t="str">
        <f aca="false">設定!$C$54</f>
        <v>介護：負担金</v>
      </c>
    </row>
    <row r="354" customFormat="false" ht="15" hidden="false" customHeight="false" outlineLevel="0" collapsed="false">
      <c r="A354" s="5" t="str">
        <f aca="false">設定!B74</f>
        <v>平和文化センター</v>
      </c>
      <c r="B354" s="5" t="n">
        <f aca="false">IFERROR(MATCH(ホーム!$C$4&amp;"|"&amp;A354,報告入力!$CM$7:$CM$696,0),"")</f>
        <v>336</v>
      </c>
      <c r="C354" s="5" t="str">
        <f aca="false">IF(B354="","",INDEX(報告入力!$C$7:$C$696,B354))</f>
        <v>未受領</v>
      </c>
      <c r="D354" s="5" t="str">
        <f aca="false">設定!$A$41</f>
        <v>介護経理</v>
      </c>
      <c r="E354" s="5" t="str">
        <f aca="false">設定!$B$41&amp;""</f>
        <v/>
      </c>
      <c r="F354" s="5" t="str">
        <f aca="false">設定!$D$53&amp;""</f>
        <v/>
      </c>
      <c r="G354" s="5" t="str">
        <f aca="false">設定!$E$53&amp;""</f>
        <v/>
      </c>
      <c r="H354" s="5" t="n">
        <f aca="false">IF(B354="",0,N(INDEX(報告入力!$BF$7:$BF$696,B354)))</f>
        <v>0</v>
      </c>
      <c r="I354" s="5" t="str">
        <f aca="false">設定!$C$41&amp;""</f>
        <v/>
      </c>
      <c r="J354" s="5" t="str">
        <f aca="false">設定!$D$41&amp;""</f>
        <v/>
      </c>
      <c r="K354" s="5" t="n">
        <f aca="false">IF(AND(H354&lt;&gt;0,IF(設定!$B$6="入金確認済のみ",C354="入金確認済",OR(C354="入金確認済",C354="受領済"))),1,0)</f>
        <v>0</v>
      </c>
      <c r="L354" s="5" t="str">
        <f aca="false">3&amp;"|"&amp;14</f>
        <v>3|14</v>
      </c>
      <c r="M354" s="5" t="n">
        <f aca="false">IF(L354=L353,M353,0)+K354</f>
        <v>0</v>
      </c>
      <c r="N354" s="5" t="n">
        <f aca="false">IF(AND(K354=1,M354=1),1,0)</f>
        <v>0</v>
      </c>
      <c r="O354" s="5" t="str">
        <f aca="false">IF(K354=1,MAX($O$5:O353)+1,"")</f>
        <v/>
      </c>
      <c r="P354" s="5" t="str">
        <f aca="false">IF(K354=1,SUM($N$6:N354),"")</f>
        <v/>
      </c>
      <c r="Q354" s="5" t="str">
        <f aca="false">IF(K354=1,SUMIFS($H$6:$H$511,$L$6:$L$511,L354,$K$6:$K$511,1),"")</f>
        <v/>
      </c>
      <c r="R354" s="103" t="str">
        <f aca="false">IF(B354="","",IF(INDEX(報告入力!$AB$7:$AB$696,B354)="","",INDEX(報告入力!$AB$7:$AB$696,B354)))</f>
        <v/>
      </c>
      <c r="S354" s="5" t="str">
        <f aca="false">設定!$C$53</f>
        <v>介護：掛金</v>
      </c>
    </row>
    <row r="355" customFormat="false" ht="15" hidden="false" customHeight="false" outlineLevel="0" collapsed="false">
      <c r="A355" s="5" t="str">
        <f aca="false">設定!B74</f>
        <v>平和文化センター</v>
      </c>
      <c r="B355" s="5" t="n">
        <f aca="false">IFERROR(MATCH(ホーム!$C$4&amp;"|"&amp;A355,報告入力!$CM$7:$CM$696,0),"")</f>
        <v>336</v>
      </c>
      <c r="C355" s="5" t="str">
        <f aca="false">IF(B355="","",INDEX(報告入力!$C$7:$C$696,B355))</f>
        <v>未受領</v>
      </c>
      <c r="D355" s="5" t="str">
        <f aca="false">設定!$A$41</f>
        <v>介護経理</v>
      </c>
      <c r="E355" s="5" t="str">
        <f aca="false">設定!$B$41&amp;""</f>
        <v/>
      </c>
      <c r="F355" s="5" t="str">
        <f aca="false">設定!$D$54&amp;""</f>
        <v/>
      </c>
      <c r="G355" s="5" t="str">
        <f aca="false">設定!$E$54&amp;""</f>
        <v/>
      </c>
      <c r="H355" s="5" t="n">
        <f aca="false">IF(B355="",0,N(INDEX(報告入力!$BG$7:$BG$696,B355)))</f>
        <v>51903</v>
      </c>
      <c r="I355" s="5" t="str">
        <f aca="false">設定!$C$41&amp;""</f>
        <v/>
      </c>
      <c r="J355" s="5" t="str">
        <f aca="false">設定!$D$41&amp;""</f>
        <v/>
      </c>
      <c r="K355" s="5" t="n">
        <f aca="false">IF(AND(H355&lt;&gt;0,IF(設定!$B$6="入金確認済のみ",C355="入金確認済",OR(C355="入金確認済",C355="受領済"))),1,0)</f>
        <v>0</v>
      </c>
      <c r="L355" s="5" t="str">
        <f aca="false">3&amp;"|"&amp;14</f>
        <v>3|14</v>
      </c>
      <c r="M355" s="5" t="n">
        <f aca="false">IF(L355=L354,M354,0)+K355</f>
        <v>0</v>
      </c>
      <c r="N355" s="5" t="n">
        <f aca="false">IF(AND(K355=1,M355=1),1,0)</f>
        <v>0</v>
      </c>
      <c r="O355" s="5" t="str">
        <f aca="false">IF(K355=1,MAX($O$5:O354)+1,"")</f>
        <v/>
      </c>
      <c r="P355" s="5" t="str">
        <f aca="false">IF(K355=1,SUM($N$6:N355),"")</f>
        <v/>
      </c>
      <c r="Q355" s="5" t="str">
        <f aca="false">IF(K355=1,SUMIFS($H$6:$H$511,$L$6:$L$511,L355,$K$6:$K$511,1),"")</f>
        <v/>
      </c>
      <c r="R355" s="103" t="str">
        <f aca="false">IF(B355="","",IF(INDEX(報告入力!$AB$7:$AB$696,B355)="","",INDEX(報告入力!$AB$7:$AB$696,B355)))</f>
        <v/>
      </c>
      <c r="S355" s="5" t="str">
        <f aca="false">設定!$C$54</f>
        <v>介護：負担金</v>
      </c>
    </row>
    <row r="356" customFormat="false" ht="15" hidden="false" customHeight="false" outlineLevel="0" collapsed="false">
      <c r="A356" s="5" t="str">
        <f aca="false">設定!B75</f>
        <v>社会福祉事業団</v>
      </c>
      <c r="B356" s="5" t="n">
        <f aca="false">IFERROR(MATCH(ホーム!$C$4&amp;"|"&amp;A356,報告入力!$CM$7:$CM$696,0),"")</f>
        <v>337</v>
      </c>
      <c r="C356" s="5" t="str">
        <f aca="false">IF(B356="","",INDEX(報告入力!$C$7:$C$696,B356))</f>
        <v>未受領</v>
      </c>
      <c r="D356" s="5" t="str">
        <f aca="false">設定!$A$41</f>
        <v>介護経理</v>
      </c>
      <c r="E356" s="5" t="str">
        <f aca="false">設定!$B$41&amp;""</f>
        <v/>
      </c>
      <c r="F356" s="5" t="str">
        <f aca="false">設定!$D$53&amp;""</f>
        <v/>
      </c>
      <c r="G356" s="5" t="str">
        <f aca="false">設定!$E$53&amp;""</f>
        <v/>
      </c>
      <c r="H356" s="5" t="n">
        <f aca="false">IF(B356="",0,N(INDEX(報告入力!$BF$7:$BF$696,B356)))</f>
        <v>0</v>
      </c>
      <c r="I356" s="5" t="str">
        <f aca="false">設定!$C$41&amp;""</f>
        <v/>
      </c>
      <c r="J356" s="5" t="str">
        <f aca="false">設定!$D$41&amp;""</f>
        <v/>
      </c>
      <c r="K356" s="5" t="n">
        <f aca="false">IF(AND(H356&lt;&gt;0,IF(設定!$B$6="入金確認済のみ",C356="入金確認済",OR(C356="入金確認済",C356="受領済"))),1,0)</f>
        <v>0</v>
      </c>
      <c r="L356" s="5" t="str">
        <f aca="false">3&amp;"|"&amp;15</f>
        <v>3|15</v>
      </c>
      <c r="M356" s="5" t="n">
        <f aca="false">IF(L356=L355,M355,0)+K356</f>
        <v>0</v>
      </c>
      <c r="N356" s="5" t="n">
        <f aca="false">IF(AND(K356=1,M356=1),1,0)</f>
        <v>0</v>
      </c>
      <c r="O356" s="5" t="str">
        <f aca="false">IF(K356=1,MAX($O$5:O355)+1,"")</f>
        <v/>
      </c>
      <c r="P356" s="5" t="str">
        <f aca="false">IF(K356=1,SUM($N$6:N356),"")</f>
        <v/>
      </c>
      <c r="Q356" s="5" t="str">
        <f aca="false">IF(K356=1,SUMIFS($H$6:$H$511,$L$6:$L$511,L356,$K$6:$K$511,1),"")</f>
        <v/>
      </c>
      <c r="R356" s="103" t="str">
        <f aca="false">IF(B356="","",IF(INDEX(報告入力!$AB$7:$AB$696,B356)="","",INDEX(報告入力!$AB$7:$AB$696,B356)))</f>
        <v/>
      </c>
      <c r="S356" s="5" t="str">
        <f aca="false">設定!$C$53</f>
        <v>介護：掛金</v>
      </c>
    </row>
    <row r="357" customFormat="false" ht="15" hidden="false" customHeight="false" outlineLevel="0" collapsed="false">
      <c r="A357" s="5" t="str">
        <f aca="false">設定!B75</f>
        <v>社会福祉事業団</v>
      </c>
      <c r="B357" s="5" t="n">
        <f aca="false">IFERROR(MATCH(ホーム!$C$4&amp;"|"&amp;A357,報告入力!$CM$7:$CM$696,0),"")</f>
        <v>337</v>
      </c>
      <c r="C357" s="5" t="str">
        <f aca="false">IF(B357="","",INDEX(報告入力!$C$7:$C$696,B357))</f>
        <v>未受領</v>
      </c>
      <c r="D357" s="5" t="str">
        <f aca="false">設定!$A$41</f>
        <v>介護経理</v>
      </c>
      <c r="E357" s="5" t="str">
        <f aca="false">設定!$B$41&amp;""</f>
        <v/>
      </c>
      <c r="F357" s="5" t="str">
        <f aca="false">設定!$D$54&amp;""</f>
        <v/>
      </c>
      <c r="G357" s="5" t="str">
        <f aca="false">設定!$E$54&amp;""</f>
        <v/>
      </c>
      <c r="H357" s="5" t="n">
        <f aca="false">IF(B357="",0,N(INDEX(報告入力!$BG$7:$BG$696,B357)))</f>
        <v>141252</v>
      </c>
      <c r="I357" s="5" t="str">
        <f aca="false">設定!$C$41&amp;""</f>
        <v/>
      </c>
      <c r="J357" s="5" t="str">
        <f aca="false">設定!$D$41&amp;""</f>
        <v/>
      </c>
      <c r="K357" s="5" t="n">
        <f aca="false">IF(AND(H357&lt;&gt;0,IF(設定!$B$6="入金確認済のみ",C357="入金確認済",OR(C357="入金確認済",C357="受領済"))),1,0)</f>
        <v>0</v>
      </c>
      <c r="L357" s="5" t="str">
        <f aca="false">3&amp;"|"&amp;15</f>
        <v>3|15</v>
      </c>
      <c r="M357" s="5" t="n">
        <f aca="false">IF(L357=L356,M356,0)+K357</f>
        <v>0</v>
      </c>
      <c r="N357" s="5" t="n">
        <f aca="false">IF(AND(K357=1,M357=1),1,0)</f>
        <v>0</v>
      </c>
      <c r="O357" s="5" t="str">
        <f aca="false">IF(K357=1,MAX($O$5:O356)+1,"")</f>
        <v/>
      </c>
      <c r="P357" s="5" t="str">
        <f aca="false">IF(K357=1,SUM($N$6:N357),"")</f>
        <v/>
      </c>
      <c r="Q357" s="5" t="str">
        <f aca="false">IF(K357=1,SUMIFS($H$6:$H$511,$L$6:$L$511,L357,$K$6:$K$511,1),"")</f>
        <v/>
      </c>
      <c r="R357" s="103" t="str">
        <f aca="false">IF(B357="","",IF(INDEX(報告入力!$AB$7:$AB$696,B357)="","",INDEX(報告入力!$AB$7:$AB$696,B357)))</f>
        <v/>
      </c>
      <c r="S357" s="5" t="str">
        <f aca="false">設定!$C$54</f>
        <v>介護：負担金</v>
      </c>
    </row>
    <row r="358" customFormat="false" ht="15" hidden="false" customHeight="false" outlineLevel="0" collapsed="false">
      <c r="A358" s="5" t="str">
        <f aca="false">設定!B76</f>
        <v>原爆障害対策協議会</v>
      </c>
      <c r="B358" s="5" t="n">
        <f aca="false">IFERROR(MATCH(ホーム!$C$4&amp;"|"&amp;A358,報告入力!$CM$7:$CM$696,0),"")</f>
        <v>338</v>
      </c>
      <c r="C358" s="5" t="str">
        <f aca="false">IF(B358="","",INDEX(報告入力!$C$7:$C$696,B358))</f>
        <v>未受領</v>
      </c>
      <c r="D358" s="5" t="str">
        <f aca="false">設定!$A$41</f>
        <v>介護経理</v>
      </c>
      <c r="E358" s="5" t="str">
        <f aca="false">設定!$B$41&amp;""</f>
        <v/>
      </c>
      <c r="F358" s="5" t="str">
        <f aca="false">設定!$D$53&amp;""</f>
        <v/>
      </c>
      <c r="G358" s="5" t="str">
        <f aca="false">設定!$E$53&amp;""</f>
        <v/>
      </c>
      <c r="H358" s="5" t="n">
        <f aca="false">IF(B358="",0,N(INDEX(報告入力!$BF$7:$BF$696,B358)))</f>
        <v>0</v>
      </c>
      <c r="I358" s="5" t="str">
        <f aca="false">設定!$C$41&amp;""</f>
        <v/>
      </c>
      <c r="J358" s="5" t="str">
        <f aca="false">設定!$D$41&amp;""</f>
        <v/>
      </c>
      <c r="K358" s="5" t="n">
        <f aca="false">IF(AND(H358&lt;&gt;0,IF(設定!$B$6="入金確認済のみ",C358="入金確認済",OR(C358="入金確認済",C358="受領済"))),1,0)</f>
        <v>0</v>
      </c>
      <c r="L358" s="5" t="str">
        <f aca="false">3&amp;"|"&amp;16</f>
        <v>3|16</v>
      </c>
      <c r="M358" s="5" t="n">
        <f aca="false">IF(L358=L357,M357,0)+K358</f>
        <v>0</v>
      </c>
      <c r="N358" s="5" t="n">
        <f aca="false">IF(AND(K358=1,M358=1),1,0)</f>
        <v>0</v>
      </c>
      <c r="O358" s="5" t="str">
        <f aca="false">IF(K358=1,MAX($O$5:O357)+1,"")</f>
        <v/>
      </c>
      <c r="P358" s="5" t="str">
        <f aca="false">IF(K358=1,SUM($N$6:N358),"")</f>
        <v/>
      </c>
      <c r="Q358" s="5" t="str">
        <f aca="false">IF(K358=1,SUMIFS($H$6:$H$511,$L$6:$L$511,L358,$K$6:$K$511,1),"")</f>
        <v/>
      </c>
      <c r="R358" s="103" t="str">
        <f aca="false">IF(B358="","",IF(INDEX(報告入力!$AB$7:$AB$696,B358)="","",INDEX(報告入力!$AB$7:$AB$696,B358)))</f>
        <v/>
      </c>
      <c r="S358" s="5" t="str">
        <f aca="false">設定!$C$53</f>
        <v>介護：掛金</v>
      </c>
    </row>
    <row r="359" customFormat="false" ht="15" hidden="false" customHeight="false" outlineLevel="0" collapsed="false">
      <c r="A359" s="5" t="str">
        <f aca="false">設定!B76</f>
        <v>原爆障害対策協議会</v>
      </c>
      <c r="B359" s="5" t="n">
        <f aca="false">IFERROR(MATCH(ホーム!$C$4&amp;"|"&amp;A359,報告入力!$CM$7:$CM$696,0),"")</f>
        <v>338</v>
      </c>
      <c r="C359" s="5" t="str">
        <f aca="false">IF(B359="","",INDEX(報告入力!$C$7:$C$696,B359))</f>
        <v>未受領</v>
      </c>
      <c r="D359" s="5" t="str">
        <f aca="false">設定!$A$41</f>
        <v>介護経理</v>
      </c>
      <c r="E359" s="5" t="str">
        <f aca="false">設定!$B$41&amp;""</f>
        <v/>
      </c>
      <c r="F359" s="5" t="str">
        <f aca="false">設定!$D$54&amp;""</f>
        <v/>
      </c>
      <c r="G359" s="5" t="str">
        <f aca="false">設定!$E$54&amp;""</f>
        <v/>
      </c>
      <c r="H359" s="5" t="n">
        <f aca="false">IF(B359="",0,N(INDEX(報告入力!$BG$7:$BG$696,B359)))</f>
        <v>4187</v>
      </c>
      <c r="I359" s="5" t="str">
        <f aca="false">設定!$C$41&amp;""</f>
        <v/>
      </c>
      <c r="J359" s="5" t="str">
        <f aca="false">設定!$D$41&amp;""</f>
        <v/>
      </c>
      <c r="K359" s="5" t="n">
        <f aca="false">IF(AND(H359&lt;&gt;0,IF(設定!$B$6="入金確認済のみ",C359="入金確認済",OR(C359="入金確認済",C359="受領済"))),1,0)</f>
        <v>0</v>
      </c>
      <c r="L359" s="5" t="str">
        <f aca="false">3&amp;"|"&amp;16</f>
        <v>3|16</v>
      </c>
      <c r="M359" s="5" t="n">
        <f aca="false">IF(L359=L358,M358,0)+K359</f>
        <v>0</v>
      </c>
      <c r="N359" s="5" t="n">
        <f aca="false">IF(AND(K359=1,M359=1),1,0)</f>
        <v>0</v>
      </c>
      <c r="O359" s="5" t="str">
        <f aca="false">IF(K359=1,MAX($O$5:O358)+1,"")</f>
        <v/>
      </c>
      <c r="P359" s="5" t="str">
        <f aca="false">IF(K359=1,SUM($N$6:N359),"")</f>
        <v/>
      </c>
      <c r="Q359" s="5" t="str">
        <f aca="false">IF(K359=1,SUMIFS($H$6:$H$511,$L$6:$L$511,L359,$K$6:$K$511,1),"")</f>
        <v/>
      </c>
      <c r="R359" s="103" t="str">
        <f aca="false">IF(B359="","",IF(INDEX(報告入力!$AB$7:$AB$696,B359)="","",INDEX(報告入力!$AB$7:$AB$696,B359)))</f>
        <v/>
      </c>
      <c r="S359" s="5" t="str">
        <f aca="false">設定!$C$54</f>
        <v>介護：負担金</v>
      </c>
    </row>
    <row r="360" customFormat="false" ht="15" hidden="false" customHeight="false" outlineLevel="0" collapsed="false">
      <c r="A360" s="5" t="str">
        <f aca="false">設定!B77</f>
        <v>産業振興センター</v>
      </c>
      <c r="B360" s="5" t="n">
        <f aca="false">IFERROR(MATCH(ホーム!$C$4&amp;"|"&amp;A360,報告入力!$CM$7:$CM$696,0),"")</f>
        <v>339</v>
      </c>
      <c r="C360" s="5" t="str">
        <f aca="false">IF(B360="","",INDEX(報告入力!$C$7:$C$696,B360))</f>
        <v>未受領</v>
      </c>
      <c r="D360" s="5" t="str">
        <f aca="false">設定!$A$41</f>
        <v>介護経理</v>
      </c>
      <c r="E360" s="5" t="str">
        <f aca="false">設定!$B$41&amp;""</f>
        <v/>
      </c>
      <c r="F360" s="5" t="str">
        <f aca="false">設定!$D$53&amp;""</f>
        <v/>
      </c>
      <c r="G360" s="5" t="str">
        <f aca="false">設定!$E$53&amp;""</f>
        <v/>
      </c>
      <c r="H360" s="5" t="n">
        <f aca="false">IF(B360="",0,N(INDEX(報告入力!$BF$7:$BF$696,B360)))</f>
        <v>0</v>
      </c>
      <c r="I360" s="5" t="str">
        <f aca="false">設定!$C$41&amp;""</f>
        <v/>
      </c>
      <c r="J360" s="5" t="str">
        <f aca="false">設定!$D$41&amp;""</f>
        <v/>
      </c>
      <c r="K360" s="5" t="n">
        <f aca="false">IF(AND(H360&lt;&gt;0,IF(設定!$B$6="入金確認済のみ",C360="入金確認済",OR(C360="入金確認済",C360="受領済"))),1,0)</f>
        <v>0</v>
      </c>
      <c r="L360" s="5" t="str">
        <f aca="false">3&amp;"|"&amp;17</f>
        <v>3|17</v>
      </c>
      <c r="M360" s="5" t="n">
        <f aca="false">IF(L360=L359,M359,0)+K360</f>
        <v>0</v>
      </c>
      <c r="N360" s="5" t="n">
        <f aca="false">IF(AND(K360=1,M360=1),1,0)</f>
        <v>0</v>
      </c>
      <c r="O360" s="5" t="str">
        <f aca="false">IF(K360=1,MAX($O$5:O359)+1,"")</f>
        <v/>
      </c>
      <c r="P360" s="5" t="str">
        <f aca="false">IF(K360=1,SUM($N$6:N360),"")</f>
        <v/>
      </c>
      <c r="Q360" s="5" t="str">
        <f aca="false">IF(K360=1,SUMIFS($H$6:$H$511,$L$6:$L$511,L360,$K$6:$K$511,1),"")</f>
        <v/>
      </c>
      <c r="R360" s="103" t="str">
        <f aca="false">IF(B360="","",IF(INDEX(報告入力!$AB$7:$AB$696,B360)="","",INDEX(報告入力!$AB$7:$AB$696,B360)))</f>
        <v/>
      </c>
      <c r="S360" s="5" t="str">
        <f aca="false">設定!$C$53</f>
        <v>介護：掛金</v>
      </c>
    </row>
    <row r="361" customFormat="false" ht="15" hidden="false" customHeight="false" outlineLevel="0" collapsed="false">
      <c r="A361" s="5" t="str">
        <f aca="false">設定!B77</f>
        <v>産業振興センター</v>
      </c>
      <c r="B361" s="5" t="n">
        <f aca="false">IFERROR(MATCH(ホーム!$C$4&amp;"|"&amp;A361,報告入力!$CM$7:$CM$696,0),"")</f>
        <v>339</v>
      </c>
      <c r="C361" s="5" t="str">
        <f aca="false">IF(B361="","",INDEX(報告入力!$C$7:$C$696,B361))</f>
        <v>未受領</v>
      </c>
      <c r="D361" s="5" t="str">
        <f aca="false">設定!$A$41</f>
        <v>介護経理</v>
      </c>
      <c r="E361" s="5" t="str">
        <f aca="false">設定!$B$41&amp;""</f>
        <v/>
      </c>
      <c r="F361" s="5" t="str">
        <f aca="false">設定!$D$54&amp;""</f>
        <v/>
      </c>
      <c r="G361" s="5" t="str">
        <f aca="false">設定!$E$54&amp;""</f>
        <v/>
      </c>
      <c r="H361" s="5" t="n">
        <f aca="false">IF(B361="",0,N(INDEX(報告入力!$BG$7:$BG$696,B361)))</f>
        <v>34207</v>
      </c>
      <c r="I361" s="5" t="str">
        <f aca="false">設定!$C$41&amp;""</f>
        <v/>
      </c>
      <c r="J361" s="5" t="str">
        <f aca="false">設定!$D$41&amp;""</f>
        <v/>
      </c>
      <c r="K361" s="5" t="n">
        <f aca="false">IF(AND(H361&lt;&gt;0,IF(設定!$B$6="入金確認済のみ",C361="入金確認済",OR(C361="入金確認済",C361="受領済"))),1,0)</f>
        <v>0</v>
      </c>
      <c r="L361" s="5" t="str">
        <f aca="false">3&amp;"|"&amp;17</f>
        <v>3|17</v>
      </c>
      <c r="M361" s="5" t="n">
        <f aca="false">IF(L361=L360,M360,0)+K361</f>
        <v>0</v>
      </c>
      <c r="N361" s="5" t="n">
        <f aca="false">IF(AND(K361=1,M361=1),1,0)</f>
        <v>0</v>
      </c>
      <c r="O361" s="5" t="str">
        <f aca="false">IF(K361=1,MAX($O$5:O360)+1,"")</f>
        <v/>
      </c>
      <c r="P361" s="5" t="str">
        <f aca="false">IF(K361=1,SUM($N$6:N361),"")</f>
        <v/>
      </c>
      <c r="Q361" s="5" t="str">
        <f aca="false">IF(K361=1,SUMIFS($H$6:$H$511,$L$6:$L$511,L361,$K$6:$K$511,1),"")</f>
        <v/>
      </c>
      <c r="R361" s="103" t="str">
        <f aca="false">IF(B361="","",IF(INDEX(報告入力!$AB$7:$AB$696,B361)="","",INDEX(報告入力!$AB$7:$AB$696,B361)))</f>
        <v/>
      </c>
      <c r="S361" s="5" t="str">
        <f aca="false">設定!$C$54</f>
        <v>介護：負担金</v>
      </c>
    </row>
    <row r="362" customFormat="false" ht="15" hidden="false" customHeight="false" outlineLevel="0" collapsed="false">
      <c r="A362" s="5" t="str">
        <f aca="false">設定!B78</f>
        <v>ひろしま産業振興</v>
      </c>
      <c r="B362" s="5" t="n">
        <f aca="false">IFERROR(MATCH(ホーム!$C$4&amp;"|"&amp;A362,報告入力!$CM$7:$CM$696,0),"")</f>
        <v>340</v>
      </c>
      <c r="C362" s="5" t="str">
        <f aca="false">IF(B362="","",INDEX(報告入力!$C$7:$C$696,B362))</f>
        <v>未受領</v>
      </c>
      <c r="D362" s="5" t="str">
        <f aca="false">設定!$A$41</f>
        <v>介護経理</v>
      </c>
      <c r="E362" s="5" t="str">
        <f aca="false">設定!$B$41&amp;""</f>
        <v/>
      </c>
      <c r="F362" s="5" t="str">
        <f aca="false">設定!$D$53&amp;""</f>
        <v/>
      </c>
      <c r="G362" s="5" t="str">
        <f aca="false">設定!$E$53&amp;""</f>
        <v/>
      </c>
      <c r="H362" s="5" t="n">
        <f aca="false">IF(B362="",0,N(INDEX(報告入力!$BF$7:$BF$696,B362)))</f>
        <v>0</v>
      </c>
      <c r="I362" s="5" t="str">
        <f aca="false">設定!$C$41&amp;""</f>
        <v/>
      </c>
      <c r="J362" s="5" t="str">
        <f aca="false">設定!$D$41&amp;""</f>
        <v/>
      </c>
      <c r="K362" s="5" t="n">
        <f aca="false">IF(AND(H362&lt;&gt;0,IF(設定!$B$6="入金確認済のみ",C362="入金確認済",OR(C362="入金確認済",C362="受領済"))),1,0)</f>
        <v>0</v>
      </c>
      <c r="L362" s="5" t="str">
        <f aca="false">3&amp;"|"&amp;18</f>
        <v>3|18</v>
      </c>
      <c r="M362" s="5" t="n">
        <f aca="false">IF(L362=L361,M361,0)+K362</f>
        <v>0</v>
      </c>
      <c r="N362" s="5" t="n">
        <f aca="false">IF(AND(K362=1,M362=1),1,0)</f>
        <v>0</v>
      </c>
      <c r="O362" s="5" t="str">
        <f aca="false">IF(K362=1,MAX($O$5:O361)+1,"")</f>
        <v/>
      </c>
      <c r="P362" s="5" t="str">
        <f aca="false">IF(K362=1,SUM($N$6:N362),"")</f>
        <v/>
      </c>
      <c r="Q362" s="5" t="str">
        <f aca="false">IF(K362=1,SUMIFS($H$6:$H$511,$L$6:$L$511,L362,$K$6:$K$511,1),"")</f>
        <v/>
      </c>
      <c r="R362" s="103" t="str">
        <f aca="false">IF(B362="","",IF(INDEX(報告入力!$AB$7:$AB$696,B362)="","",INDEX(報告入力!$AB$7:$AB$696,B362)))</f>
        <v/>
      </c>
      <c r="S362" s="5" t="str">
        <f aca="false">設定!$C$53</f>
        <v>介護：掛金</v>
      </c>
    </row>
    <row r="363" customFormat="false" ht="15" hidden="false" customHeight="false" outlineLevel="0" collapsed="false">
      <c r="A363" s="5" t="str">
        <f aca="false">設定!B78</f>
        <v>ひろしま産業振興</v>
      </c>
      <c r="B363" s="5" t="n">
        <f aca="false">IFERROR(MATCH(ホーム!$C$4&amp;"|"&amp;A363,報告入力!$CM$7:$CM$696,0),"")</f>
        <v>340</v>
      </c>
      <c r="C363" s="5" t="str">
        <f aca="false">IF(B363="","",INDEX(報告入力!$C$7:$C$696,B363))</f>
        <v>未受領</v>
      </c>
      <c r="D363" s="5" t="str">
        <f aca="false">設定!$A$41</f>
        <v>介護経理</v>
      </c>
      <c r="E363" s="5" t="str">
        <f aca="false">設定!$B$41&amp;""</f>
        <v/>
      </c>
      <c r="F363" s="5" t="str">
        <f aca="false">設定!$D$54&amp;""</f>
        <v/>
      </c>
      <c r="G363" s="5" t="str">
        <f aca="false">設定!$E$54&amp;""</f>
        <v/>
      </c>
      <c r="H363" s="5" t="n">
        <f aca="false">IF(B363="",0,N(INDEX(報告入力!$BG$7:$BG$696,B363)))</f>
        <v>7426</v>
      </c>
      <c r="I363" s="5" t="str">
        <f aca="false">設定!$C$41&amp;""</f>
        <v/>
      </c>
      <c r="J363" s="5" t="str">
        <f aca="false">設定!$D$41&amp;""</f>
        <v/>
      </c>
      <c r="K363" s="5" t="n">
        <f aca="false">IF(AND(H363&lt;&gt;0,IF(設定!$B$6="入金確認済のみ",C363="入金確認済",OR(C363="入金確認済",C363="受領済"))),1,0)</f>
        <v>0</v>
      </c>
      <c r="L363" s="5" t="str">
        <f aca="false">3&amp;"|"&amp;18</f>
        <v>3|18</v>
      </c>
      <c r="M363" s="5" t="n">
        <f aca="false">IF(L363=L362,M362,0)+K363</f>
        <v>0</v>
      </c>
      <c r="N363" s="5" t="n">
        <f aca="false">IF(AND(K363=1,M363=1),1,0)</f>
        <v>0</v>
      </c>
      <c r="O363" s="5" t="str">
        <f aca="false">IF(K363=1,MAX($O$5:O362)+1,"")</f>
        <v/>
      </c>
      <c r="P363" s="5" t="str">
        <f aca="false">IF(K363=1,SUM($N$6:N363),"")</f>
        <v/>
      </c>
      <c r="Q363" s="5" t="str">
        <f aca="false">IF(K363=1,SUMIFS($H$6:$H$511,$L$6:$L$511,L363,$K$6:$K$511,1),"")</f>
        <v/>
      </c>
      <c r="R363" s="103" t="str">
        <f aca="false">IF(B363="","",IF(INDEX(報告入力!$AB$7:$AB$696,B363)="","",INDEX(報告入力!$AB$7:$AB$696,B363)))</f>
        <v/>
      </c>
      <c r="S363" s="5" t="str">
        <f aca="false">設定!$C$54</f>
        <v>介護：負担金</v>
      </c>
    </row>
    <row r="364" customFormat="false" ht="15" hidden="false" customHeight="false" outlineLevel="0" collapsed="false">
      <c r="A364" s="5" t="str">
        <f aca="false">設定!B79</f>
        <v>都市整備公社　市</v>
      </c>
      <c r="B364" s="5" t="n">
        <f aca="false">IFERROR(MATCH(ホーム!$C$4&amp;"|"&amp;A364,報告入力!$CM$7:$CM$696,0),"")</f>
        <v>341</v>
      </c>
      <c r="C364" s="5" t="str">
        <f aca="false">IF(B364="","",INDEX(報告入力!$C$7:$C$696,B364))</f>
        <v>未受領</v>
      </c>
      <c r="D364" s="5" t="str">
        <f aca="false">設定!$A$41</f>
        <v>介護経理</v>
      </c>
      <c r="E364" s="5" t="str">
        <f aca="false">設定!$B$41&amp;""</f>
        <v/>
      </c>
      <c r="F364" s="5" t="str">
        <f aca="false">設定!$D$53&amp;""</f>
        <v/>
      </c>
      <c r="G364" s="5" t="str">
        <f aca="false">設定!$E$53&amp;""</f>
        <v/>
      </c>
      <c r="H364" s="5" t="n">
        <f aca="false">IF(B364="",0,N(INDEX(報告入力!$BF$7:$BF$696,B364)))</f>
        <v>0</v>
      </c>
      <c r="I364" s="5" t="str">
        <f aca="false">設定!$C$41&amp;""</f>
        <v/>
      </c>
      <c r="J364" s="5" t="str">
        <f aca="false">設定!$D$41&amp;""</f>
        <v/>
      </c>
      <c r="K364" s="5" t="n">
        <f aca="false">IF(AND(H364&lt;&gt;0,IF(設定!$B$6="入金確認済のみ",C364="入金確認済",OR(C364="入金確認済",C364="受領済"))),1,0)</f>
        <v>0</v>
      </c>
      <c r="L364" s="5" t="str">
        <f aca="false">3&amp;"|"&amp;19</f>
        <v>3|19</v>
      </c>
      <c r="M364" s="5" t="n">
        <f aca="false">IF(L364=L363,M363,0)+K364</f>
        <v>0</v>
      </c>
      <c r="N364" s="5" t="n">
        <f aca="false">IF(AND(K364=1,M364=1),1,0)</f>
        <v>0</v>
      </c>
      <c r="O364" s="5" t="str">
        <f aca="false">IF(K364=1,MAX($O$5:O363)+1,"")</f>
        <v/>
      </c>
      <c r="P364" s="5" t="str">
        <f aca="false">IF(K364=1,SUM($N$6:N364),"")</f>
        <v/>
      </c>
      <c r="Q364" s="5" t="str">
        <f aca="false">IF(K364=1,SUMIFS($H$6:$H$511,$L$6:$L$511,L364,$K$6:$K$511,1),"")</f>
        <v/>
      </c>
      <c r="R364" s="103" t="str">
        <f aca="false">IF(B364="","",IF(INDEX(報告入力!$AB$7:$AB$696,B364)="","",INDEX(報告入力!$AB$7:$AB$696,B364)))</f>
        <v/>
      </c>
      <c r="S364" s="5" t="str">
        <f aca="false">設定!$C$53</f>
        <v>介護：掛金</v>
      </c>
    </row>
    <row r="365" customFormat="false" ht="15" hidden="false" customHeight="false" outlineLevel="0" collapsed="false">
      <c r="A365" s="5" t="str">
        <f aca="false">設定!B79</f>
        <v>都市整備公社　市</v>
      </c>
      <c r="B365" s="5" t="n">
        <f aca="false">IFERROR(MATCH(ホーム!$C$4&amp;"|"&amp;A365,報告入力!$CM$7:$CM$696,0),"")</f>
        <v>341</v>
      </c>
      <c r="C365" s="5" t="str">
        <f aca="false">IF(B365="","",INDEX(報告入力!$C$7:$C$696,B365))</f>
        <v>未受領</v>
      </c>
      <c r="D365" s="5" t="str">
        <f aca="false">設定!$A$41</f>
        <v>介護経理</v>
      </c>
      <c r="E365" s="5" t="str">
        <f aca="false">設定!$B$41&amp;""</f>
        <v/>
      </c>
      <c r="F365" s="5" t="str">
        <f aca="false">設定!$D$54&amp;""</f>
        <v/>
      </c>
      <c r="G365" s="5" t="str">
        <f aca="false">設定!$E$54&amp;""</f>
        <v/>
      </c>
      <c r="H365" s="5" t="n">
        <f aca="false">IF(B365="",0,N(INDEX(報告入力!$BG$7:$BG$696,B365)))</f>
        <v>4187</v>
      </c>
      <c r="I365" s="5" t="str">
        <f aca="false">設定!$C$41&amp;""</f>
        <v/>
      </c>
      <c r="J365" s="5" t="str">
        <f aca="false">設定!$D$41&amp;""</f>
        <v/>
      </c>
      <c r="K365" s="5" t="n">
        <f aca="false">IF(AND(H365&lt;&gt;0,IF(設定!$B$6="入金確認済のみ",C365="入金確認済",OR(C365="入金確認済",C365="受領済"))),1,0)</f>
        <v>0</v>
      </c>
      <c r="L365" s="5" t="str">
        <f aca="false">3&amp;"|"&amp;19</f>
        <v>3|19</v>
      </c>
      <c r="M365" s="5" t="n">
        <f aca="false">IF(L365=L364,M364,0)+K365</f>
        <v>0</v>
      </c>
      <c r="N365" s="5" t="n">
        <f aca="false">IF(AND(K365=1,M365=1),1,0)</f>
        <v>0</v>
      </c>
      <c r="O365" s="5" t="str">
        <f aca="false">IF(K365=1,MAX($O$5:O364)+1,"")</f>
        <v/>
      </c>
      <c r="P365" s="5" t="str">
        <f aca="false">IF(K365=1,SUM($N$6:N365),"")</f>
        <v/>
      </c>
      <c r="Q365" s="5" t="str">
        <f aca="false">IF(K365=1,SUMIFS($H$6:$H$511,$L$6:$L$511,L365,$K$6:$K$511,1),"")</f>
        <v/>
      </c>
      <c r="R365" s="103" t="str">
        <f aca="false">IF(B365="","",IF(INDEX(報告入力!$AB$7:$AB$696,B365)="","",INDEX(報告入力!$AB$7:$AB$696,B365)))</f>
        <v/>
      </c>
      <c r="S365" s="5" t="str">
        <f aca="false">設定!$C$54</f>
        <v>介護：負担金</v>
      </c>
    </row>
    <row r="366" customFormat="false" ht="15" hidden="false" customHeight="false" outlineLevel="0" collapsed="false">
      <c r="A366" s="5" t="str">
        <f aca="false">設定!B80</f>
        <v>都市整備公社　消防</v>
      </c>
      <c r="B366" s="5" t="n">
        <f aca="false">IFERROR(MATCH(ホーム!$C$4&amp;"|"&amp;A366,報告入力!$CM$7:$CM$696,0),"")</f>
        <v>342</v>
      </c>
      <c r="C366" s="5" t="str">
        <f aca="false">IF(B366="","",INDEX(報告入力!$C$7:$C$696,B366))</f>
        <v>未受領</v>
      </c>
      <c r="D366" s="5" t="str">
        <f aca="false">設定!$A$41</f>
        <v>介護経理</v>
      </c>
      <c r="E366" s="5" t="str">
        <f aca="false">設定!$B$41&amp;""</f>
        <v/>
      </c>
      <c r="F366" s="5" t="str">
        <f aca="false">設定!$D$53&amp;""</f>
        <v/>
      </c>
      <c r="G366" s="5" t="str">
        <f aca="false">設定!$E$53&amp;""</f>
        <v/>
      </c>
      <c r="H366" s="5" t="n">
        <f aca="false">IF(B366="",0,N(INDEX(報告入力!$BF$7:$BF$696,B366)))</f>
        <v>0</v>
      </c>
      <c r="I366" s="5" t="str">
        <f aca="false">設定!$C$41&amp;""</f>
        <v/>
      </c>
      <c r="J366" s="5" t="str">
        <f aca="false">設定!$D$41&amp;""</f>
        <v/>
      </c>
      <c r="K366" s="5" t="n">
        <f aca="false">IF(AND(H366&lt;&gt;0,IF(設定!$B$6="入金確認済のみ",C366="入金確認済",OR(C366="入金確認済",C366="受領済"))),1,0)</f>
        <v>0</v>
      </c>
      <c r="L366" s="5" t="str">
        <f aca="false">3&amp;"|"&amp;20</f>
        <v>3|20</v>
      </c>
      <c r="M366" s="5" t="n">
        <f aca="false">IF(L366=L365,M365,0)+K366</f>
        <v>0</v>
      </c>
      <c r="N366" s="5" t="n">
        <f aca="false">IF(AND(K366=1,M366=1),1,0)</f>
        <v>0</v>
      </c>
      <c r="O366" s="5" t="str">
        <f aca="false">IF(K366=1,MAX($O$5:O365)+1,"")</f>
        <v/>
      </c>
      <c r="P366" s="5" t="str">
        <f aca="false">IF(K366=1,SUM($N$6:N366),"")</f>
        <v/>
      </c>
      <c r="Q366" s="5" t="str">
        <f aca="false">IF(K366=1,SUMIFS($H$6:$H$511,$L$6:$L$511,L366,$K$6:$K$511,1),"")</f>
        <v/>
      </c>
      <c r="R366" s="103" t="str">
        <f aca="false">IF(B366="","",IF(INDEX(報告入力!$AB$7:$AB$696,B366)="","",INDEX(報告入力!$AB$7:$AB$696,B366)))</f>
        <v/>
      </c>
      <c r="S366" s="5" t="str">
        <f aca="false">設定!$C$53</f>
        <v>介護：掛金</v>
      </c>
    </row>
    <row r="367" customFormat="false" ht="15" hidden="false" customHeight="false" outlineLevel="0" collapsed="false">
      <c r="A367" s="5" t="str">
        <f aca="false">設定!B80</f>
        <v>都市整備公社　消防</v>
      </c>
      <c r="B367" s="5" t="n">
        <f aca="false">IFERROR(MATCH(ホーム!$C$4&amp;"|"&amp;A367,報告入力!$CM$7:$CM$696,0),"")</f>
        <v>342</v>
      </c>
      <c r="C367" s="5" t="str">
        <f aca="false">IF(B367="","",INDEX(報告入力!$C$7:$C$696,B367))</f>
        <v>未受領</v>
      </c>
      <c r="D367" s="5" t="str">
        <f aca="false">設定!$A$41</f>
        <v>介護経理</v>
      </c>
      <c r="E367" s="5" t="str">
        <f aca="false">設定!$B$41&amp;""</f>
        <v/>
      </c>
      <c r="F367" s="5" t="str">
        <f aca="false">設定!$D$54&amp;""</f>
        <v/>
      </c>
      <c r="G367" s="5" t="str">
        <f aca="false">設定!$E$54&amp;""</f>
        <v/>
      </c>
      <c r="H367" s="5" t="n">
        <f aca="false">IF(B367="",0,N(INDEX(報告入力!$BG$7:$BG$696,B367)))</f>
        <v>7031</v>
      </c>
      <c r="I367" s="5" t="str">
        <f aca="false">設定!$C$41&amp;""</f>
        <v/>
      </c>
      <c r="J367" s="5" t="str">
        <f aca="false">設定!$D$41&amp;""</f>
        <v/>
      </c>
      <c r="K367" s="5" t="n">
        <f aca="false">IF(AND(H367&lt;&gt;0,IF(設定!$B$6="入金確認済のみ",C367="入金確認済",OR(C367="入金確認済",C367="受領済"))),1,0)</f>
        <v>0</v>
      </c>
      <c r="L367" s="5" t="str">
        <f aca="false">3&amp;"|"&amp;20</f>
        <v>3|20</v>
      </c>
      <c r="M367" s="5" t="n">
        <f aca="false">IF(L367=L366,M366,0)+K367</f>
        <v>0</v>
      </c>
      <c r="N367" s="5" t="n">
        <f aca="false">IF(AND(K367=1,M367=1),1,0)</f>
        <v>0</v>
      </c>
      <c r="O367" s="5" t="str">
        <f aca="false">IF(K367=1,MAX($O$5:O366)+1,"")</f>
        <v/>
      </c>
      <c r="P367" s="5" t="str">
        <f aca="false">IF(K367=1,SUM($N$6:N367),"")</f>
        <v/>
      </c>
      <c r="Q367" s="5" t="str">
        <f aca="false">IF(K367=1,SUMIFS($H$6:$H$511,$L$6:$L$511,L367,$K$6:$K$511,1),"")</f>
        <v/>
      </c>
      <c r="R367" s="103" t="str">
        <f aca="false">IF(B367="","",IF(INDEX(報告入力!$AB$7:$AB$696,B367)="","",INDEX(報告入力!$AB$7:$AB$696,B367)))</f>
        <v/>
      </c>
      <c r="S367" s="5" t="str">
        <f aca="false">設定!$C$54</f>
        <v>介護：負担金</v>
      </c>
    </row>
    <row r="368" customFormat="false" ht="15" hidden="false" customHeight="false" outlineLevel="0" collapsed="false">
      <c r="A368" s="5" t="str">
        <f aca="false">設定!B81</f>
        <v>日本下水道事業団</v>
      </c>
      <c r="B368" s="5" t="n">
        <f aca="false">IFERROR(MATCH(ホーム!$C$4&amp;"|"&amp;A368,報告入力!$CM$7:$CM$696,0),"")</f>
        <v>343</v>
      </c>
      <c r="C368" s="5" t="str">
        <f aca="false">IF(B368="","",INDEX(報告入力!$C$7:$C$696,B368))</f>
        <v>受領済</v>
      </c>
      <c r="D368" s="5" t="str">
        <f aca="false">設定!$A$41</f>
        <v>介護経理</v>
      </c>
      <c r="E368" s="5" t="str">
        <f aca="false">設定!$B$41&amp;""</f>
        <v/>
      </c>
      <c r="F368" s="5" t="str">
        <f aca="false">設定!$D$53&amp;""</f>
        <v/>
      </c>
      <c r="G368" s="5" t="str">
        <f aca="false">設定!$E$53&amp;""</f>
        <v/>
      </c>
      <c r="H368" s="5" t="n">
        <f aca="false">IF(B368="",0,N(INDEX(報告入力!$BF$7:$BF$696,B368)))</f>
        <v>10270</v>
      </c>
      <c r="I368" s="5" t="str">
        <f aca="false">設定!$C$41&amp;""</f>
        <v/>
      </c>
      <c r="J368" s="5" t="str">
        <f aca="false">設定!$D$41&amp;""</f>
        <v/>
      </c>
      <c r="K368" s="5" t="n">
        <f aca="false">IF(AND(H368&lt;&gt;0,IF(設定!$B$6="入金確認済のみ",C368="入金確認済",OR(C368="入金確認済",C368="受領済"))),1,0)</f>
        <v>0</v>
      </c>
      <c r="L368" s="5" t="str">
        <f aca="false">3&amp;"|"&amp;21</f>
        <v>3|21</v>
      </c>
      <c r="M368" s="5" t="n">
        <f aca="false">IF(L368=L367,M367,0)+K368</f>
        <v>0</v>
      </c>
      <c r="N368" s="5" t="n">
        <f aca="false">IF(AND(K368=1,M368=1),1,0)</f>
        <v>0</v>
      </c>
      <c r="O368" s="5" t="str">
        <f aca="false">IF(K368=1,MAX($O$5:O367)+1,"")</f>
        <v/>
      </c>
      <c r="P368" s="5" t="str">
        <f aca="false">IF(K368=1,SUM($N$6:N368),"")</f>
        <v/>
      </c>
      <c r="Q368" s="5" t="str">
        <f aca="false">IF(K368=1,SUMIFS($H$6:$H$511,$L$6:$L$511,L368,$K$6:$K$511,1),"")</f>
        <v/>
      </c>
      <c r="R368" s="103" t="str">
        <f aca="false">IF(B368="","",IF(INDEX(報告入力!$AB$7:$AB$696,B368)="","",INDEX(報告入力!$AB$7:$AB$696,B368)))</f>
        <v/>
      </c>
      <c r="S368" s="5" t="str">
        <f aca="false">設定!$C$53</f>
        <v>介護：掛金</v>
      </c>
    </row>
    <row r="369" customFormat="false" ht="15" hidden="false" customHeight="false" outlineLevel="0" collapsed="false">
      <c r="A369" s="5" t="str">
        <f aca="false">設定!B81</f>
        <v>日本下水道事業団</v>
      </c>
      <c r="B369" s="5" t="n">
        <f aca="false">IFERROR(MATCH(ホーム!$C$4&amp;"|"&amp;A369,報告入力!$CM$7:$CM$696,0),"")</f>
        <v>343</v>
      </c>
      <c r="C369" s="5" t="str">
        <f aca="false">IF(B369="","",INDEX(報告入力!$C$7:$C$696,B369))</f>
        <v>受領済</v>
      </c>
      <c r="D369" s="5" t="str">
        <f aca="false">設定!$A$41</f>
        <v>介護経理</v>
      </c>
      <c r="E369" s="5" t="str">
        <f aca="false">設定!$B$41&amp;""</f>
        <v/>
      </c>
      <c r="F369" s="5" t="str">
        <f aca="false">設定!$D$54&amp;""</f>
        <v/>
      </c>
      <c r="G369" s="5" t="str">
        <f aca="false">設定!$E$54&amp;""</f>
        <v/>
      </c>
      <c r="H369" s="5" t="n">
        <f aca="false">IF(B369="",0,N(INDEX(報告入力!$BG$7:$BG$696,B369)))</f>
        <v>10270</v>
      </c>
      <c r="I369" s="5" t="str">
        <f aca="false">設定!$C$41&amp;""</f>
        <v/>
      </c>
      <c r="J369" s="5" t="str">
        <f aca="false">設定!$D$41&amp;""</f>
        <v/>
      </c>
      <c r="K369" s="5" t="n">
        <f aca="false">IF(AND(H369&lt;&gt;0,IF(設定!$B$6="入金確認済のみ",C369="入金確認済",OR(C369="入金確認済",C369="受領済"))),1,0)</f>
        <v>0</v>
      </c>
      <c r="L369" s="5" t="str">
        <f aca="false">3&amp;"|"&amp;21</f>
        <v>3|21</v>
      </c>
      <c r="M369" s="5" t="n">
        <f aca="false">IF(L369=L368,M368,0)+K369</f>
        <v>0</v>
      </c>
      <c r="N369" s="5" t="n">
        <f aca="false">IF(AND(K369=1,M369=1),1,0)</f>
        <v>0</v>
      </c>
      <c r="O369" s="5" t="str">
        <f aca="false">IF(K369=1,MAX($O$5:O368)+1,"")</f>
        <v/>
      </c>
      <c r="P369" s="5" t="str">
        <f aca="false">IF(K369=1,SUM($N$6:N369),"")</f>
        <v/>
      </c>
      <c r="Q369" s="5" t="str">
        <f aca="false">IF(K369=1,SUMIFS($H$6:$H$511,$L$6:$L$511,L369,$K$6:$K$511,1),"")</f>
        <v/>
      </c>
      <c r="R369" s="103" t="str">
        <f aca="false">IF(B369="","",IF(INDEX(報告入力!$AB$7:$AB$696,B369)="","",INDEX(報告入力!$AB$7:$AB$696,B369)))</f>
        <v/>
      </c>
      <c r="S369" s="5" t="str">
        <f aca="false">設定!$C$54</f>
        <v>介護：負担金</v>
      </c>
    </row>
    <row r="370" customFormat="false" ht="15" hidden="false" customHeight="false" outlineLevel="0" collapsed="false">
      <c r="A370" s="5" t="str">
        <f aca="false">設定!B82</f>
        <v>地方公務員災害補償基金本部</v>
      </c>
      <c r="B370" s="5" t="n">
        <f aca="false">IFERROR(MATCH(ホーム!$C$4&amp;"|"&amp;A370,報告入力!$CM$7:$CM$696,0),"")</f>
        <v>344</v>
      </c>
      <c r="C370" s="5" t="str">
        <f aca="false">IF(B370="","",INDEX(報告入力!$C$7:$C$696,B370))</f>
        <v>受領済</v>
      </c>
      <c r="D370" s="5" t="str">
        <f aca="false">設定!$A$41</f>
        <v>介護経理</v>
      </c>
      <c r="E370" s="5" t="str">
        <f aca="false">設定!$B$41&amp;""</f>
        <v/>
      </c>
      <c r="F370" s="5" t="str">
        <f aca="false">設定!$D$53&amp;""</f>
        <v/>
      </c>
      <c r="G370" s="5" t="str">
        <f aca="false">設定!$E$53&amp;""</f>
        <v/>
      </c>
      <c r="H370" s="5" t="n">
        <f aca="false">IF(B370="",0,N(INDEX(報告入力!$BF$7:$BF$696,B370)))</f>
        <v>0</v>
      </c>
      <c r="I370" s="5" t="str">
        <f aca="false">設定!$C$41&amp;""</f>
        <v/>
      </c>
      <c r="J370" s="5" t="str">
        <f aca="false">設定!$D$41&amp;""</f>
        <v/>
      </c>
      <c r="K370" s="5" t="n">
        <f aca="false">IF(AND(H370&lt;&gt;0,IF(設定!$B$6="入金確認済のみ",C370="入金確認済",OR(C370="入金確認済",C370="受領済"))),1,0)</f>
        <v>0</v>
      </c>
      <c r="L370" s="5" t="str">
        <f aca="false">3&amp;"|"&amp;22</f>
        <v>3|22</v>
      </c>
      <c r="M370" s="5" t="n">
        <f aca="false">IF(L370=L369,M369,0)+K370</f>
        <v>0</v>
      </c>
      <c r="N370" s="5" t="n">
        <f aca="false">IF(AND(K370=1,M370=1),1,0)</f>
        <v>0</v>
      </c>
      <c r="O370" s="5" t="str">
        <f aca="false">IF(K370=1,MAX($O$5:O369)+1,"")</f>
        <v/>
      </c>
      <c r="P370" s="5" t="str">
        <f aca="false">IF(K370=1,SUM($N$6:N370),"")</f>
        <v/>
      </c>
      <c r="Q370" s="5" t="str">
        <f aca="false">IF(K370=1,SUMIFS($H$6:$H$511,$L$6:$L$511,L370,$K$6:$K$511,1),"")</f>
        <v/>
      </c>
      <c r="R370" s="103" t="str">
        <f aca="false">IF(B370="","",IF(INDEX(報告入力!$AB$7:$AB$696,B370)="","",INDEX(報告入力!$AB$7:$AB$696,B370)))</f>
        <v/>
      </c>
      <c r="S370" s="5" t="str">
        <f aca="false">設定!$C$53</f>
        <v>介護：掛金</v>
      </c>
    </row>
    <row r="371" customFormat="false" ht="15" hidden="false" customHeight="false" outlineLevel="0" collapsed="false">
      <c r="A371" s="5" t="str">
        <f aca="false">設定!B82</f>
        <v>地方公務員災害補償基金本部</v>
      </c>
      <c r="B371" s="5" t="n">
        <f aca="false">IFERROR(MATCH(ホーム!$C$4&amp;"|"&amp;A371,報告入力!$CM$7:$CM$696,0),"")</f>
        <v>344</v>
      </c>
      <c r="C371" s="5" t="str">
        <f aca="false">IF(B371="","",INDEX(報告入力!$C$7:$C$696,B371))</f>
        <v>受領済</v>
      </c>
      <c r="D371" s="5" t="str">
        <f aca="false">設定!$A$41</f>
        <v>介護経理</v>
      </c>
      <c r="E371" s="5" t="str">
        <f aca="false">設定!$B$41&amp;""</f>
        <v/>
      </c>
      <c r="F371" s="5" t="str">
        <f aca="false">設定!$D$54&amp;""</f>
        <v/>
      </c>
      <c r="G371" s="5" t="str">
        <f aca="false">設定!$E$54&amp;""</f>
        <v/>
      </c>
      <c r="H371" s="5" t="n">
        <f aca="false">IF(B371="",0,N(INDEX(報告入力!$BG$7:$BG$696,B371)))</f>
        <v>0</v>
      </c>
      <c r="I371" s="5" t="str">
        <f aca="false">設定!$C$41&amp;""</f>
        <v/>
      </c>
      <c r="J371" s="5" t="str">
        <f aca="false">設定!$D$41&amp;""</f>
        <v/>
      </c>
      <c r="K371" s="5" t="n">
        <f aca="false">IF(AND(H371&lt;&gt;0,IF(設定!$B$6="入金確認済のみ",C371="入金確認済",OR(C371="入金確認済",C371="受領済"))),1,0)</f>
        <v>0</v>
      </c>
      <c r="L371" s="5" t="str">
        <f aca="false">3&amp;"|"&amp;22</f>
        <v>3|22</v>
      </c>
      <c r="M371" s="5" t="n">
        <f aca="false">IF(L371=L370,M370,0)+K371</f>
        <v>0</v>
      </c>
      <c r="N371" s="5" t="n">
        <f aca="false">IF(AND(K371=1,M371=1),1,0)</f>
        <v>0</v>
      </c>
      <c r="O371" s="5" t="str">
        <f aca="false">IF(K371=1,MAX($O$5:O370)+1,"")</f>
        <v/>
      </c>
      <c r="P371" s="5" t="str">
        <f aca="false">IF(K371=1,SUM($N$6:N371),"")</f>
        <v/>
      </c>
      <c r="Q371" s="5" t="str">
        <f aca="false">IF(K371=1,SUMIFS($H$6:$H$511,$L$6:$L$511,L371,$K$6:$K$511,1),"")</f>
        <v/>
      </c>
      <c r="R371" s="103" t="str">
        <f aca="false">IF(B371="","",IF(INDEX(報告入力!$AB$7:$AB$696,B371)="","",INDEX(報告入力!$AB$7:$AB$696,B371)))</f>
        <v/>
      </c>
      <c r="S371" s="5" t="str">
        <f aca="false">設定!$C$54</f>
        <v>介護：負担金</v>
      </c>
    </row>
    <row r="372" customFormat="false" ht="15" hidden="false" customHeight="false" outlineLevel="0" collapsed="false">
      <c r="A372" s="5" t="str">
        <f aca="false">設定!B83</f>
        <v>救急振興財団</v>
      </c>
      <c r="B372" s="5" t="n">
        <f aca="false">IFERROR(MATCH(ホーム!$C$4&amp;"|"&amp;A372,報告入力!$CM$7:$CM$696,0),"")</f>
        <v>345</v>
      </c>
      <c r="C372" s="5" t="str">
        <f aca="false">IF(B372="","",INDEX(報告入力!$C$7:$C$696,B372))</f>
        <v>未受領</v>
      </c>
      <c r="D372" s="5" t="str">
        <f aca="false">設定!$A$41</f>
        <v>介護経理</v>
      </c>
      <c r="E372" s="5" t="str">
        <f aca="false">設定!$B$41&amp;""</f>
        <v/>
      </c>
      <c r="F372" s="5" t="str">
        <f aca="false">設定!$D$53&amp;""</f>
        <v/>
      </c>
      <c r="G372" s="5" t="str">
        <f aca="false">設定!$E$53&amp;""</f>
        <v/>
      </c>
      <c r="H372" s="5" t="n">
        <f aca="false">IF(B372="",0,N(INDEX(報告入力!$BF$7:$BF$696,B372)))</f>
        <v>4661</v>
      </c>
      <c r="I372" s="5" t="str">
        <f aca="false">設定!$C$41&amp;""</f>
        <v/>
      </c>
      <c r="J372" s="5" t="str">
        <f aca="false">設定!$D$41&amp;""</f>
        <v/>
      </c>
      <c r="K372" s="5" t="n">
        <f aca="false">IF(AND(H372&lt;&gt;0,IF(設定!$B$6="入金確認済のみ",C372="入金確認済",OR(C372="入金確認済",C372="受領済"))),1,0)</f>
        <v>0</v>
      </c>
      <c r="L372" s="5" t="str">
        <f aca="false">3&amp;"|"&amp;23</f>
        <v>3|23</v>
      </c>
      <c r="M372" s="5" t="n">
        <f aca="false">IF(L372=L371,M371,0)+K372</f>
        <v>0</v>
      </c>
      <c r="N372" s="5" t="n">
        <f aca="false">IF(AND(K372=1,M372=1),1,0)</f>
        <v>0</v>
      </c>
      <c r="O372" s="5" t="str">
        <f aca="false">IF(K372=1,MAX($O$5:O371)+1,"")</f>
        <v/>
      </c>
      <c r="P372" s="5" t="str">
        <f aca="false">IF(K372=1,SUM($N$6:N372),"")</f>
        <v/>
      </c>
      <c r="Q372" s="5" t="str">
        <f aca="false">IF(K372=1,SUMIFS($H$6:$H$511,$L$6:$L$511,L372,$K$6:$K$511,1),"")</f>
        <v/>
      </c>
      <c r="R372" s="103" t="str">
        <f aca="false">IF(B372="","",IF(INDEX(報告入力!$AB$7:$AB$696,B372)="","",INDEX(報告入力!$AB$7:$AB$696,B372)))</f>
        <v/>
      </c>
      <c r="S372" s="5" t="str">
        <f aca="false">設定!$C$53</f>
        <v>介護：掛金</v>
      </c>
    </row>
    <row r="373" customFormat="false" ht="15" hidden="false" customHeight="false" outlineLevel="0" collapsed="false">
      <c r="A373" s="5" t="str">
        <f aca="false">設定!B83</f>
        <v>救急振興財団</v>
      </c>
      <c r="B373" s="5" t="n">
        <f aca="false">IFERROR(MATCH(ホーム!$C$4&amp;"|"&amp;A373,報告入力!$CM$7:$CM$696,0),"")</f>
        <v>345</v>
      </c>
      <c r="C373" s="5" t="str">
        <f aca="false">IF(B373="","",INDEX(報告入力!$C$7:$C$696,B373))</f>
        <v>未受領</v>
      </c>
      <c r="D373" s="5" t="str">
        <f aca="false">設定!$A$41</f>
        <v>介護経理</v>
      </c>
      <c r="E373" s="5" t="str">
        <f aca="false">設定!$B$41&amp;""</f>
        <v/>
      </c>
      <c r="F373" s="5" t="str">
        <f aca="false">設定!$D$54&amp;""</f>
        <v/>
      </c>
      <c r="G373" s="5" t="str">
        <f aca="false">設定!$E$54&amp;""</f>
        <v/>
      </c>
      <c r="H373" s="5" t="n">
        <f aca="false">IF(B373="",0,N(INDEX(報告入力!$BG$7:$BG$696,B373)))</f>
        <v>4661</v>
      </c>
      <c r="I373" s="5" t="str">
        <f aca="false">設定!$C$41&amp;""</f>
        <v/>
      </c>
      <c r="J373" s="5" t="str">
        <f aca="false">設定!$D$41&amp;""</f>
        <v/>
      </c>
      <c r="K373" s="5" t="n">
        <f aca="false">IF(AND(H373&lt;&gt;0,IF(設定!$B$6="入金確認済のみ",C373="入金確認済",OR(C373="入金確認済",C373="受領済"))),1,0)</f>
        <v>0</v>
      </c>
      <c r="L373" s="5" t="str">
        <f aca="false">3&amp;"|"&amp;23</f>
        <v>3|23</v>
      </c>
      <c r="M373" s="5" t="n">
        <f aca="false">IF(L373=L372,M372,0)+K373</f>
        <v>0</v>
      </c>
      <c r="N373" s="5" t="n">
        <f aca="false">IF(AND(K373=1,M373=1),1,0)</f>
        <v>0</v>
      </c>
      <c r="O373" s="5" t="str">
        <f aca="false">IF(K373=1,MAX($O$5:O372)+1,"")</f>
        <v/>
      </c>
      <c r="P373" s="5" t="str">
        <f aca="false">IF(K373=1,SUM($N$6:N373),"")</f>
        <v/>
      </c>
      <c r="Q373" s="5" t="str">
        <f aca="false">IF(K373=1,SUMIFS($H$6:$H$511,$L$6:$L$511,L373,$K$6:$K$511,1),"")</f>
        <v/>
      </c>
      <c r="R373" s="103" t="str">
        <f aca="false">IF(B373="","",IF(INDEX(報告入力!$AB$7:$AB$696,B373)="","",INDEX(報告入力!$AB$7:$AB$696,B373)))</f>
        <v/>
      </c>
      <c r="S373" s="5" t="str">
        <f aca="false">設定!$C$54</f>
        <v>介護：負担金</v>
      </c>
    </row>
    <row r="374" customFormat="false" ht="15" hidden="false" customHeight="false" outlineLevel="0" collapsed="false">
      <c r="A374" s="5" t="str">
        <f aca="false">設定!B84</f>
        <v>高速道路公社</v>
      </c>
      <c r="B374" s="5" t="n">
        <f aca="false">IFERROR(MATCH(ホーム!$C$4&amp;"|"&amp;A374,報告入力!$CM$7:$CM$696,0),"")</f>
        <v>346</v>
      </c>
      <c r="C374" s="5" t="str">
        <f aca="false">IF(B374="","",INDEX(報告入力!$C$7:$C$696,B374))</f>
        <v>未受領</v>
      </c>
      <c r="D374" s="5" t="str">
        <f aca="false">設定!$A$41</f>
        <v>介護経理</v>
      </c>
      <c r="E374" s="5" t="str">
        <f aca="false">設定!$B$41&amp;""</f>
        <v/>
      </c>
      <c r="F374" s="5" t="str">
        <f aca="false">設定!$D$53&amp;""</f>
        <v/>
      </c>
      <c r="G374" s="5" t="str">
        <f aca="false">設定!$E$53&amp;""</f>
        <v/>
      </c>
      <c r="H374" s="5" t="n">
        <f aca="false">IF(B374="",0,N(INDEX(報告入力!$BF$7:$BF$696,B374)))</f>
        <v>50086</v>
      </c>
      <c r="I374" s="5" t="str">
        <f aca="false">設定!$C$41&amp;""</f>
        <v/>
      </c>
      <c r="J374" s="5" t="str">
        <f aca="false">設定!$D$41&amp;""</f>
        <v/>
      </c>
      <c r="K374" s="5" t="n">
        <f aca="false">IF(AND(H374&lt;&gt;0,IF(設定!$B$6="入金確認済のみ",C374="入金確認済",OR(C374="入金確認済",C374="受領済"))),1,0)</f>
        <v>0</v>
      </c>
      <c r="L374" s="5" t="str">
        <f aca="false">3&amp;"|"&amp;24</f>
        <v>3|24</v>
      </c>
      <c r="M374" s="5" t="n">
        <f aca="false">IF(L374=L373,M373,0)+K374</f>
        <v>0</v>
      </c>
      <c r="N374" s="5" t="n">
        <f aca="false">IF(AND(K374=1,M374=1),1,0)</f>
        <v>0</v>
      </c>
      <c r="O374" s="5" t="str">
        <f aca="false">IF(K374=1,MAX($O$5:O373)+1,"")</f>
        <v/>
      </c>
      <c r="P374" s="5" t="str">
        <f aca="false">IF(K374=1,SUM($N$6:N374),"")</f>
        <v/>
      </c>
      <c r="Q374" s="5" t="str">
        <f aca="false">IF(K374=1,SUMIFS($H$6:$H$511,$L$6:$L$511,L374,$K$6:$K$511,1),"")</f>
        <v/>
      </c>
      <c r="R374" s="103" t="str">
        <f aca="false">IF(B374="","",IF(INDEX(報告入力!$AB$7:$AB$696,B374)="","",INDEX(報告入力!$AB$7:$AB$696,B374)))</f>
        <v/>
      </c>
      <c r="S374" s="5" t="str">
        <f aca="false">設定!$C$53</f>
        <v>介護：掛金</v>
      </c>
    </row>
    <row r="375" customFormat="false" ht="15" hidden="false" customHeight="false" outlineLevel="0" collapsed="false">
      <c r="A375" s="5" t="str">
        <f aca="false">設定!B84</f>
        <v>高速道路公社</v>
      </c>
      <c r="B375" s="5" t="n">
        <f aca="false">IFERROR(MATCH(ホーム!$C$4&amp;"|"&amp;A375,報告入力!$CM$7:$CM$696,0),"")</f>
        <v>346</v>
      </c>
      <c r="C375" s="5" t="str">
        <f aca="false">IF(B375="","",INDEX(報告入力!$C$7:$C$696,B375))</f>
        <v>未受領</v>
      </c>
      <c r="D375" s="5" t="str">
        <f aca="false">設定!$A$41</f>
        <v>介護経理</v>
      </c>
      <c r="E375" s="5" t="str">
        <f aca="false">設定!$B$41&amp;""</f>
        <v/>
      </c>
      <c r="F375" s="5" t="str">
        <f aca="false">設定!$D$54&amp;""</f>
        <v/>
      </c>
      <c r="G375" s="5" t="str">
        <f aca="false">設定!$E$54&amp;""</f>
        <v/>
      </c>
      <c r="H375" s="5" t="n">
        <f aca="false">IF(B375="",0,N(INDEX(報告入力!$BG$7:$BG$696,B375)))</f>
        <v>50086</v>
      </c>
      <c r="I375" s="5" t="str">
        <f aca="false">設定!$C$41&amp;""</f>
        <v/>
      </c>
      <c r="J375" s="5" t="str">
        <f aca="false">設定!$D$41&amp;""</f>
        <v/>
      </c>
      <c r="K375" s="5" t="n">
        <f aca="false">IF(AND(H375&lt;&gt;0,IF(設定!$B$6="入金確認済のみ",C375="入金確認済",OR(C375="入金確認済",C375="受領済"))),1,0)</f>
        <v>0</v>
      </c>
      <c r="L375" s="5" t="str">
        <f aca="false">3&amp;"|"&amp;24</f>
        <v>3|24</v>
      </c>
      <c r="M375" s="5" t="n">
        <f aca="false">IF(L375=L374,M374,0)+K375</f>
        <v>0</v>
      </c>
      <c r="N375" s="5" t="n">
        <f aca="false">IF(AND(K375=1,M375=1),1,0)</f>
        <v>0</v>
      </c>
      <c r="O375" s="5" t="str">
        <f aca="false">IF(K375=1,MAX($O$5:O374)+1,"")</f>
        <v/>
      </c>
      <c r="P375" s="5" t="str">
        <f aca="false">IF(K375=1,SUM($N$6:N375),"")</f>
        <v/>
      </c>
      <c r="Q375" s="5" t="str">
        <f aca="false">IF(K375=1,SUMIFS($H$6:$H$511,$L$6:$L$511,L375,$K$6:$K$511,1),"")</f>
        <v/>
      </c>
      <c r="R375" s="103" t="str">
        <f aca="false">IF(B375="","",IF(INDEX(報告入力!$AB$7:$AB$696,B375)="","",INDEX(報告入力!$AB$7:$AB$696,B375)))</f>
        <v/>
      </c>
      <c r="S375" s="5" t="str">
        <f aca="false">設定!$C$54</f>
        <v>介護：負担金</v>
      </c>
    </row>
    <row r="376" customFormat="false" ht="15" hidden="false" customHeight="false" outlineLevel="0" collapsed="false">
      <c r="A376" s="5" t="str">
        <f aca="false">設定!B85</f>
        <v>農林水産振興センタ</v>
      </c>
      <c r="B376" s="5" t="n">
        <f aca="false">IFERROR(MATCH(ホーム!$C$4&amp;"|"&amp;A376,報告入力!$CM$7:$CM$696,0),"")</f>
        <v>347</v>
      </c>
      <c r="C376" s="5" t="str">
        <f aca="false">IF(B376="","",INDEX(報告入力!$C$7:$C$696,B376))</f>
        <v>未受領</v>
      </c>
      <c r="D376" s="5" t="str">
        <f aca="false">設定!$A$41</f>
        <v>介護経理</v>
      </c>
      <c r="E376" s="5" t="str">
        <f aca="false">設定!$B$41&amp;""</f>
        <v/>
      </c>
      <c r="F376" s="5" t="str">
        <f aca="false">設定!$D$53&amp;""</f>
        <v/>
      </c>
      <c r="G376" s="5" t="str">
        <f aca="false">設定!$E$53&amp;""</f>
        <v/>
      </c>
      <c r="H376" s="5" t="n">
        <f aca="false">IF(B376="",0,N(INDEX(報告入力!$BF$7:$BF$696,B376)))</f>
        <v>0</v>
      </c>
      <c r="I376" s="5" t="str">
        <f aca="false">設定!$C$41&amp;""</f>
        <v/>
      </c>
      <c r="J376" s="5" t="str">
        <f aca="false">設定!$D$41&amp;""</f>
        <v/>
      </c>
      <c r="K376" s="5" t="n">
        <f aca="false">IF(AND(H376&lt;&gt;0,IF(設定!$B$6="入金確認済のみ",C376="入金確認済",OR(C376="入金確認済",C376="受領済"))),1,0)</f>
        <v>0</v>
      </c>
      <c r="L376" s="5" t="str">
        <f aca="false">3&amp;"|"&amp;25</f>
        <v>3|25</v>
      </c>
      <c r="M376" s="5" t="n">
        <f aca="false">IF(L376=L375,M375,0)+K376</f>
        <v>0</v>
      </c>
      <c r="N376" s="5" t="n">
        <f aca="false">IF(AND(K376=1,M376=1),1,0)</f>
        <v>0</v>
      </c>
      <c r="O376" s="5" t="str">
        <f aca="false">IF(K376=1,MAX($O$5:O375)+1,"")</f>
        <v/>
      </c>
      <c r="P376" s="5" t="str">
        <f aca="false">IF(K376=1,SUM($N$6:N376),"")</f>
        <v/>
      </c>
      <c r="Q376" s="5" t="str">
        <f aca="false">IF(K376=1,SUMIFS($H$6:$H$511,$L$6:$L$511,L376,$K$6:$K$511,1),"")</f>
        <v/>
      </c>
      <c r="R376" s="103" t="str">
        <f aca="false">IF(B376="","",IF(INDEX(報告入力!$AB$7:$AB$696,B376)="","",INDEX(報告入力!$AB$7:$AB$696,B376)))</f>
        <v/>
      </c>
      <c r="S376" s="5" t="str">
        <f aca="false">設定!$C$53</f>
        <v>介護：掛金</v>
      </c>
    </row>
    <row r="377" customFormat="false" ht="15" hidden="false" customHeight="false" outlineLevel="0" collapsed="false">
      <c r="A377" s="5" t="str">
        <f aca="false">設定!B85</f>
        <v>農林水産振興センタ</v>
      </c>
      <c r="B377" s="5" t="n">
        <f aca="false">IFERROR(MATCH(ホーム!$C$4&amp;"|"&amp;A377,報告入力!$CM$7:$CM$696,0),"")</f>
        <v>347</v>
      </c>
      <c r="C377" s="5" t="str">
        <f aca="false">IF(B377="","",INDEX(報告入力!$C$7:$C$696,B377))</f>
        <v>未受領</v>
      </c>
      <c r="D377" s="5" t="str">
        <f aca="false">設定!$A$41</f>
        <v>介護経理</v>
      </c>
      <c r="E377" s="5" t="str">
        <f aca="false">設定!$B$41&amp;""</f>
        <v/>
      </c>
      <c r="F377" s="5" t="str">
        <f aca="false">設定!$D$54&amp;""</f>
        <v/>
      </c>
      <c r="G377" s="5" t="str">
        <f aca="false">設定!$E$54&amp;""</f>
        <v/>
      </c>
      <c r="H377" s="5" t="n">
        <f aca="false">IF(B377="",0,N(INDEX(報告入力!$BG$7:$BG$696,B377)))</f>
        <v>27255</v>
      </c>
      <c r="I377" s="5" t="str">
        <f aca="false">設定!$C$41&amp;""</f>
        <v/>
      </c>
      <c r="J377" s="5" t="str">
        <f aca="false">設定!$D$41&amp;""</f>
        <v/>
      </c>
      <c r="K377" s="5" t="n">
        <f aca="false">IF(AND(H377&lt;&gt;0,IF(設定!$B$6="入金確認済のみ",C377="入金確認済",OR(C377="入金確認済",C377="受領済"))),1,0)</f>
        <v>0</v>
      </c>
      <c r="L377" s="5" t="str">
        <f aca="false">3&amp;"|"&amp;25</f>
        <v>3|25</v>
      </c>
      <c r="M377" s="5" t="n">
        <f aca="false">IF(L377=L376,M376,0)+K377</f>
        <v>0</v>
      </c>
      <c r="N377" s="5" t="n">
        <f aca="false">IF(AND(K377=1,M377=1),1,0)</f>
        <v>0</v>
      </c>
      <c r="O377" s="5" t="str">
        <f aca="false">IF(K377=1,MAX($O$5:O376)+1,"")</f>
        <v/>
      </c>
      <c r="P377" s="5" t="str">
        <f aca="false">IF(K377=1,SUM($N$6:N377),"")</f>
        <v/>
      </c>
      <c r="Q377" s="5" t="str">
        <f aca="false">IF(K377=1,SUMIFS($H$6:$H$511,$L$6:$L$511,L377,$K$6:$K$511,1),"")</f>
        <v/>
      </c>
      <c r="R377" s="103" t="str">
        <f aca="false">IF(B377="","",IF(INDEX(報告入力!$AB$7:$AB$696,B377)="","",INDEX(報告入力!$AB$7:$AB$696,B377)))</f>
        <v/>
      </c>
      <c r="S377" s="5" t="str">
        <f aca="false">設定!$C$54</f>
        <v>介護：負担金</v>
      </c>
    </row>
    <row r="378" customFormat="false" ht="15" hidden="false" customHeight="false" outlineLevel="0" collapsed="false">
      <c r="A378" s="5" t="str">
        <f aca="false">設定!B86</f>
        <v>文化財団　市長部局</v>
      </c>
      <c r="B378" s="5" t="n">
        <f aca="false">IFERROR(MATCH(ホーム!$C$4&amp;"|"&amp;A378,報告入力!$CM$7:$CM$696,0),"")</f>
        <v>348</v>
      </c>
      <c r="C378" s="5" t="str">
        <f aca="false">IF(B378="","",INDEX(報告入力!$C$7:$C$696,B378))</f>
        <v>未受領</v>
      </c>
      <c r="D378" s="5" t="str">
        <f aca="false">設定!$A$41</f>
        <v>介護経理</v>
      </c>
      <c r="E378" s="5" t="str">
        <f aca="false">設定!$B$41&amp;""</f>
        <v/>
      </c>
      <c r="F378" s="5" t="str">
        <f aca="false">設定!$D$53&amp;""</f>
        <v/>
      </c>
      <c r="G378" s="5" t="str">
        <f aca="false">設定!$E$53&amp;""</f>
        <v/>
      </c>
      <c r="H378" s="5" t="n">
        <f aca="false">IF(B378="",0,N(INDEX(報告入力!$BF$7:$BF$696,B378)))</f>
        <v>0</v>
      </c>
      <c r="I378" s="5" t="str">
        <f aca="false">設定!$C$41&amp;""</f>
        <v/>
      </c>
      <c r="J378" s="5" t="str">
        <f aca="false">設定!$D$41&amp;""</f>
        <v/>
      </c>
      <c r="K378" s="5" t="n">
        <f aca="false">IF(AND(H378&lt;&gt;0,IF(設定!$B$6="入金確認済のみ",C378="入金確認済",OR(C378="入金確認済",C378="受領済"))),1,0)</f>
        <v>0</v>
      </c>
      <c r="L378" s="5" t="str">
        <f aca="false">3&amp;"|"&amp;26</f>
        <v>3|26</v>
      </c>
      <c r="M378" s="5" t="n">
        <f aca="false">IF(L378=L377,M377,0)+K378</f>
        <v>0</v>
      </c>
      <c r="N378" s="5" t="n">
        <f aca="false">IF(AND(K378=1,M378=1),1,0)</f>
        <v>0</v>
      </c>
      <c r="O378" s="5" t="str">
        <f aca="false">IF(K378=1,MAX($O$5:O377)+1,"")</f>
        <v/>
      </c>
      <c r="P378" s="5" t="str">
        <f aca="false">IF(K378=1,SUM($N$6:N378),"")</f>
        <v/>
      </c>
      <c r="Q378" s="5" t="str">
        <f aca="false">IF(K378=1,SUMIFS($H$6:$H$511,$L$6:$L$511,L378,$K$6:$K$511,1),"")</f>
        <v/>
      </c>
      <c r="R378" s="103" t="str">
        <f aca="false">IF(B378="","",IF(INDEX(報告入力!$AB$7:$AB$696,B378)="","",INDEX(報告入力!$AB$7:$AB$696,B378)))</f>
        <v/>
      </c>
      <c r="S378" s="5" t="str">
        <f aca="false">設定!$C$53</f>
        <v>介護：掛金</v>
      </c>
    </row>
    <row r="379" customFormat="false" ht="15" hidden="false" customHeight="false" outlineLevel="0" collapsed="false">
      <c r="A379" s="5" t="str">
        <f aca="false">設定!B86</f>
        <v>文化財団　市長部局</v>
      </c>
      <c r="B379" s="5" t="n">
        <f aca="false">IFERROR(MATCH(ホーム!$C$4&amp;"|"&amp;A379,報告入力!$CM$7:$CM$696,0),"")</f>
        <v>348</v>
      </c>
      <c r="C379" s="5" t="str">
        <f aca="false">IF(B379="","",INDEX(報告入力!$C$7:$C$696,B379))</f>
        <v>未受領</v>
      </c>
      <c r="D379" s="5" t="str">
        <f aca="false">設定!$A$41</f>
        <v>介護経理</v>
      </c>
      <c r="E379" s="5" t="str">
        <f aca="false">設定!$B$41&amp;""</f>
        <v/>
      </c>
      <c r="F379" s="5" t="str">
        <f aca="false">設定!$D$54&amp;""</f>
        <v/>
      </c>
      <c r="G379" s="5" t="str">
        <f aca="false">設定!$E$54&amp;""</f>
        <v/>
      </c>
      <c r="H379" s="5" t="n">
        <f aca="false">IF(B379="",0,N(INDEX(報告入力!$BG$7:$BG$696,B379)))</f>
        <v>94721</v>
      </c>
      <c r="I379" s="5" t="str">
        <f aca="false">設定!$C$41&amp;""</f>
        <v/>
      </c>
      <c r="J379" s="5" t="str">
        <f aca="false">設定!$D$41&amp;""</f>
        <v/>
      </c>
      <c r="K379" s="5" t="n">
        <f aca="false">IF(AND(H379&lt;&gt;0,IF(設定!$B$6="入金確認済のみ",C379="入金確認済",OR(C379="入金確認済",C379="受領済"))),1,0)</f>
        <v>0</v>
      </c>
      <c r="L379" s="5" t="str">
        <f aca="false">3&amp;"|"&amp;26</f>
        <v>3|26</v>
      </c>
      <c r="M379" s="5" t="n">
        <f aca="false">IF(L379=L378,M378,0)+K379</f>
        <v>0</v>
      </c>
      <c r="N379" s="5" t="n">
        <f aca="false">IF(AND(K379=1,M379=1),1,0)</f>
        <v>0</v>
      </c>
      <c r="O379" s="5" t="str">
        <f aca="false">IF(K379=1,MAX($O$5:O378)+1,"")</f>
        <v/>
      </c>
      <c r="P379" s="5" t="str">
        <f aca="false">IF(K379=1,SUM($N$6:N379),"")</f>
        <v/>
      </c>
      <c r="Q379" s="5" t="str">
        <f aca="false">IF(K379=1,SUMIFS($H$6:$H$511,$L$6:$L$511,L379,$K$6:$K$511,1),"")</f>
        <v/>
      </c>
      <c r="R379" s="103" t="str">
        <f aca="false">IF(B379="","",IF(INDEX(報告入力!$AB$7:$AB$696,B379)="","",INDEX(報告入力!$AB$7:$AB$696,B379)))</f>
        <v/>
      </c>
      <c r="S379" s="5" t="str">
        <f aca="false">設定!$C$54</f>
        <v>介護：負担金</v>
      </c>
    </row>
    <row r="380" customFormat="false" ht="15" hidden="false" customHeight="false" outlineLevel="0" collapsed="false">
      <c r="A380" s="5" t="str">
        <f aca="false">設定!B87</f>
        <v>文化財団　教育委員会</v>
      </c>
      <c r="B380" s="5" t="n">
        <f aca="false">IFERROR(MATCH(ホーム!$C$4&amp;"|"&amp;A380,報告入力!$CM$7:$CM$696,0),"")</f>
        <v>349</v>
      </c>
      <c r="C380" s="5" t="str">
        <f aca="false">IF(B380="","",INDEX(報告入力!$C$7:$C$696,B380))</f>
        <v>未受領</v>
      </c>
      <c r="D380" s="5" t="str">
        <f aca="false">設定!$A$41</f>
        <v>介護経理</v>
      </c>
      <c r="E380" s="5" t="str">
        <f aca="false">設定!$B$41&amp;""</f>
        <v/>
      </c>
      <c r="F380" s="5" t="str">
        <f aca="false">設定!$D$53&amp;""</f>
        <v/>
      </c>
      <c r="G380" s="5" t="str">
        <f aca="false">設定!$E$53&amp;""</f>
        <v/>
      </c>
      <c r="H380" s="5" t="n">
        <f aca="false">IF(B380="",0,N(INDEX(報告入力!$BF$7:$BF$696,B380)))</f>
        <v>0</v>
      </c>
      <c r="I380" s="5" t="str">
        <f aca="false">設定!$C$41&amp;""</f>
        <v/>
      </c>
      <c r="J380" s="5" t="str">
        <f aca="false">設定!$D$41&amp;""</f>
        <v/>
      </c>
      <c r="K380" s="5" t="n">
        <f aca="false">IF(AND(H380&lt;&gt;0,IF(設定!$B$6="入金確認済のみ",C380="入金確認済",OR(C380="入金確認済",C380="受領済"))),1,0)</f>
        <v>0</v>
      </c>
      <c r="L380" s="5" t="str">
        <f aca="false">3&amp;"|"&amp;27</f>
        <v>3|27</v>
      </c>
      <c r="M380" s="5" t="n">
        <f aca="false">IF(L380=L379,M379,0)+K380</f>
        <v>0</v>
      </c>
      <c r="N380" s="5" t="n">
        <f aca="false">IF(AND(K380=1,M380=1),1,0)</f>
        <v>0</v>
      </c>
      <c r="O380" s="5" t="str">
        <f aca="false">IF(K380=1,MAX($O$5:O379)+1,"")</f>
        <v/>
      </c>
      <c r="P380" s="5" t="str">
        <f aca="false">IF(K380=1,SUM($N$6:N380),"")</f>
        <v/>
      </c>
      <c r="Q380" s="5" t="str">
        <f aca="false">IF(K380=1,SUMIFS($H$6:$H$511,$L$6:$L$511,L380,$K$6:$K$511,1),"")</f>
        <v/>
      </c>
      <c r="R380" s="103" t="str">
        <f aca="false">IF(B380="","",IF(INDEX(報告入力!$AB$7:$AB$696,B380)="","",INDEX(報告入力!$AB$7:$AB$696,B380)))</f>
        <v/>
      </c>
      <c r="S380" s="5" t="str">
        <f aca="false">設定!$C$53</f>
        <v>介護：掛金</v>
      </c>
    </row>
    <row r="381" customFormat="false" ht="15" hidden="false" customHeight="false" outlineLevel="0" collapsed="false">
      <c r="A381" s="5" t="str">
        <f aca="false">設定!B87</f>
        <v>文化財団　教育委員会</v>
      </c>
      <c r="B381" s="5" t="n">
        <f aca="false">IFERROR(MATCH(ホーム!$C$4&amp;"|"&amp;A381,報告入力!$CM$7:$CM$696,0),"")</f>
        <v>349</v>
      </c>
      <c r="C381" s="5" t="str">
        <f aca="false">IF(B381="","",INDEX(報告入力!$C$7:$C$696,B381))</f>
        <v>未受領</v>
      </c>
      <c r="D381" s="5" t="str">
        <f aca="false">設定!$A$41</f>
        <v>介護経理</v>
      </c>
      <c r="E381" s="5" t="str">
        <f aca="false">設定!$B$41&amp;""</f>
        <v/>
      </c>
      <c r="F381" s="5" t="str">
        <f aca="false">設定!$D$54&amp;""</f>
        <v/>
      </c>
      <c r="G381" s="5" t="str">
        <f aca="false">設定!$E$54&amp;""</f>
        <v/>
      </c>
      <c r="H381" s="5" t="n">
        <f aca="false">IF(B381="",0,N(INDEX(報告入力!$BG$7:$BG$696,B381)))</f>
        <v>0</v>
      </c>
      <c r="I381" s="5" t="str">
        <f aca="false">設定!$C$41&amp;""</f>
        <v/>
      </c>
      <c r="J381" s="5" t="str">
        <f aca="false">設定!$D$41&amp;""</f>
        <v/>
      </c>
      <c r="K381" s="5" t="n">
        <f aca="false">IF(AND(H381&lt;&gt;0,IF(設定!$B$6="入金確認済のみ",C381="入金確認済",OR(C381="入金確認済",C381="受領済"))),1,0)</f>
        <v>0</v>
      </c>
      <c r="L381" s="5" t="str">
        <f aca="false">3&amp;"|"&amp;27</f>
        <v>3|27</v>
      </c>
      <c r="M381" s="5" t="n">
        <f aca="false">IF(L381=L380,M380,0)+K381</f>
        <v>0</v>
      </c>
      <c r="N381" s="5" t="n">
        <f aca="false">IF(AND(K381=1,M381=1),1,0)</f>
        <v>0</v>
      </c>
      <c r="O381" s="5" t="str">
        <f aca="false">IF(K381=1,MAX($O$5:O380)+1,"")</f>
        <v/>
      </c>
      <c r="P381" s="5" t="str">
        <f aca="false">IF(K381=1,SUM($N$6:N381),"")</f>
        <v/>
      </c>
      <c r="Q381" s="5" t="str">
        <f aca="false">IF(K381=1,SUMIFS($H$6:$H$511,$L$6:$L$511,L381,$K$6:$K$511,1),"")</f>
        <v/>
      </c>
      <c r="R381" s="103" t="str">
        <f aca="false">IF(B381="","",IF(INDEX(報告入力!$AB$7:$AB$696,B381)="","",INDEX(報告入力!$AB$7:$AB$696,B381)))</f>
        <v/>
      </c>
      <c r="S381" s="5" t="str">
        <f aca="false">設定!$C$54</f>
        <v>介護：負担金</v>
      </c>
    </row>
    <row r="382" customFormat="false" ht="15" hidden="false" customHeight="false" outlineLevel="0" collapsed="false">
      <c r="A382" s="5" t="str">
        <f aca="false">設定!B88</f>
        <v>みどり生きもの協会</v>
      </c>
      <c r="B382" s="5" t="n">
        <f aca="false">IFERROR(MATCH(ホーム!$C$4&amp;"|"&amp;A382,報告入力!$CM$7:$CM$696,0),"")</f>
        <v>350</v>
      </c>
      <c r="C382" s="5" t="str">
        <f aca="false">IF(B382="","",INDEX(報告入力!$C$7:$C$696,B382))</f>
        <v>未受領</v>
      </c>
      <c r="D382" s="5" t="str">
        <f aca="false">設定!$A$41</f>
        <v>介護経理</v>
      </c>
      <c r="E382" s="5" t="str">
        <f aca="false">設定!$B$41&amp;""</f>
        <v/>
      </c>
      <c r="F382" s="5" t="str">
        <f aca="false">設定!$D$53&amp;""</f>
        <v/>
      </c>
      <c r="G382" s="5" t="str">
        <f aca="false">設定!$E$53&amp;""</f>
        <v/>
      </c>
      <c r="H382" s="5" t="n">
        <f aca="false">IF(B382="",0,N(INDEX(報告入力!$BF$7:$BF$696,B382)))</f>
        <v>0</v>
      </c>
      <c r="I382" s="5" t="str">
        <f aca="false">設定!$C$41&amp;""</f>
        <v/>
      </c>
      <c r="J382" s="5" t="str">
        <f aca="false">設定!$D$41&amp;""</f>
        <v/>
      </c>
      <c r="K382" s="5" t="n">
        <f aca="false">IF(AND(H382&lt;&gt;0,IF(設定!$B$6="入金確認済のみ",C382="入金確認済",OR(C382="入金確認済",C382="受領済"))),1,0)</f>
        <v>0</v>
      </c>
      <c r="L382" s="5" t="str">
        <f aca="false">3&amp;"|"&amp;28</f>
        <v>3|28</v>
      </c>
      <c r="M382" s="5" t="n">
        <f aca="false">IF(L382=L381,M381,0)+K382</f>
        <v>0</v>
      </c>
      <c r="N382" s="5" t="n">
        <f aca="false">IF(AND(K382=1,M382=1),1,0)</f>
        <v>0</v>
      </c>
      <c r="O382" s="5" t="str">
        <f aca="false">IF(K382=1,MAX($O$5:O381)+1,"")</f>
        <v/>
      </c>
      <c r="P382" s="5" t="str">
        <f aca="false">IF(K382=1,SUM($N$6:N382),"")</f>
        <v/>
      </c>
      <c r="Q382" s="5" t="str">
        <f aca="false">IF(K382=1,SUMIFS($H$6:$H$511,$L$6:$L$511,L382,$K$6:$K$511,1),"")</f>
        <v/>
      </c>
      <c r="R382" s="103" t="str">
        <f aca="false">IF(B382="","",IF(INDEX(報告入力!$AB$7:$AB$696,B382)="","",INDEX(報告入力!$AB$7:$AB$696,B382)))</f>
        <v/>
      </c>
      <c r="S382" s="5" t="str">
        <f aca="false">設定!$C$53</f>
        <v>介護：掛金</v>
      </c>
    </row>
    <row r="383" customFormat="false" ht="15" hidden="false" customHeight="false" outlineLevel="0" collapsed="false">
      <c r="A383" s="5" t="str">
        <f aca="false">設定!B88</f>
        <v>みどり生きもの協会</v>
      </c>
      <c r="B383" s="5" t="n">
        <f aca="false">IFERROR(MATCH(ホーム!$C$4&amp;"|"&amp;A383,報告入力!$CM$7:$CM$696,0),"")</f>
        <v>350</v>
      </c>
      <c r="C383" s="5" t="str">
        <f aca="false">IF(B383="","",INDEX(報告入力!$C$7:$C$696,B383))</f>
        <v>未受領</v>
      </c>
      <c r="D383" s="5" t="str">
        <f aca="false">設定!$A$41</f>
        <v>介護経理</v>
      </c>
      <c r="E383" s="5" t="str">
        <f aca="false">設定!$B$41&amp;""</f>
        <v/>
      </c>
      <c r="F383" s="5" t="str">
        <f aca="false">設定!$D$54&amp;""</f>
        <v/>
      </c>
      <c r="G383" s="5" t="str">
        <f aca="false">設定!$E$54&amp;""</f>
        <v/>
      </c>
      <c r="H383" s="5" t="n">
        <f aca="false">IF(B383="",0,N(INDEX(報告入力!$BG$7:$BG$696,B383)))</f>
        <v>34049</v>
      </c>
      <c r="I383" s="5" t="str">
        <f aca="false">設定!$C$41&amp;""</f>
        <v/>
      </c>
      <c r="J383" s="5" t="str">
        <f aca="false">設定!$D$41&amp;""</f>
        <v/>
      </c>
      <c r="K383" s="5" t="n">
        <f aca="false">IF(AND(H383&lt;&gt;0,IF(設定!$B$6="入金確認済のみ",C383="入金確認済",OR(C383="入金確認済",C383="受領済"))),1,0)</f>
        <v>0</v>
      </c>
      <c r="L383" s="5" t="str">
        <f aca="false">3&amp;"|"&amp;28</f>
        <v>3|28</v>
      </c>
      <c r="M383" s="5" t="n">
        <f aca="false">IF(L383=L382,M382,0)+K383</f>
        <v>0</v>
      </c>
      <c r="N383" s="5" t="n">
        <f aca="false">IF(AND(K383=1,M383=1),1,0)</f>
        <v>0</v>
      </c>
      <c r="O383" s="5" t="str">
        <f aca="false">IF(K383=1,MAX($O$5:O382)+1,"")</f>
        <v/>
      </c>
      <c r="P383" s="5" t="str">
        <f aca="false">IF(K383=1,SUM($N$6:N383),"")</f>
        <v/>
      </c>
      <c r="Q383" s="5" t="str">
        <f aca="false">IF(K383=1,SUMIFS($H$6:$H$511,$L$6:$L$511,L383,$K$6:$K$511,1),"")</f>
        <v/>
      </c>
      <c r="R383" s="103" t="str">
        <f aca="false">IF(B383="","",IF(INDEX(報告入力!$AB$7:$AB$696,B383)="","",INDEX(報告入力!$AB$7:$AB$696,B383)))</f>
        <v/>
      </c>
      <c r="S383" s="5" t="str">
        <f aca="false">設定!$C$54</f>
        <v>介護：負担金</v>
      </c>
    </row>
    <row r="384" customFormat="false" ht="15" hidden="false" customHeight="false" outlineLevel="0" collapsed="false">
      <c r="A384" s="5" t="str">
        <f aca="false">設定!B89</f>
        <v>県下水道公社</v>
      </c>
      <c r="B384" s="5" t="n">
        <f aca="false">IFERROR(MATCH(ホーム!$C$4&amp;"|"&amp;A384,報告入力!$CM$7:$CM$696,0),"")</f>
        <v>351</v>
      </c>
      <c r="C384" s="5" t="str">
        <f aca="false">IF(B384="","",INDEX(報告入力!$C$7:$C$696,B384))</f>
        <v>未受領</v>
      </c>
      <c r="D384" s="5" t="str">
        <f aca="false">設定!$A$41</f>
        <v>介護経理</v>
      </c>
      <c r="E384" s="5" t="str">
        <f aca="false">設定!$B$41&amp;""</f>
        <v/>
      </c>
      <c r="F384" s="5" t="str">
        <f aca="false">設定!$D$53&amp;""</f>
        <v/>
      </c>
      <c r="G384" s="5" t="str">
        <f aca="false">設定!$E$53&amp;""</f>
        <v/>
      </c>
      <c r="H384" s="5" t="n">
        <f aca="false">IF(B384="",0,N(INDEX(報告入力!$BF$7:$BF$696,B384)))</f>
        <v>8611</v>
      </c>
      <c r="I384" s="5" t="str">
        <f aca="false">設定!$C$41&amp;""</f>
        <v/>
      </c>
      <c r="J384" s="5" t="str">
        <f aca="false">設定!$D$41&amp;""</f>
        <v/>
      </c>
      <c r="K384" s="5" t="n">
        <f aca="false">IF(AND(H384&lt;&gt;0,IF(設定!$B$6="入金確認済のみ",C384="入金確認済",OR(C384="入金確認済",C384="受領済"))),1,0)</f>
        <v>0</v>
      </c>
      <c r="L384" s="5" t="str">
        <f aca="false">3&amp;"|"&amp;29</f>
        <v>3|29</v>
      </c>
      <c r="M384" s="5" t="n">
        <f aca="false">IF(L384=L383,M383,0)+K384</f>
        <v>0</v>
      </c>
      <c r="N384" s="5" t="n">
        <f aca="false">IF(AND(K384=1,M384=1),1,0)</f>
        <v>0</v>
      </c>
      <c r="O384" s="5" t="str">
        <f aca="false">IF(K384=1,MAX($O$5:O383)+1,"")</f>
        <v/>
      </c>
      <c r="P384" s="5" t="str">
        <f aca="false">IF(K384=1,SUM($N$6:N384),"")</f>
        <v/>
      </c>
      <c r="Q384" s="5" t="str">
        <f aca="false">IF(K384=1,SUMIFS($H$6:$H$511,$L$6:$L$511,L384,$K$6:$K$511,1),"")</f>
        <v/>
      </c>
      <c r="R384" s="103" t="str">
        <f aca="false">IF(B384="","",IF(INDEX(報告入力!$AB$7:$AB$696,B384)="","",INDEX(報告入力!$AB$7:$AB$696,B384)))</f>
        <v/>
      </c>
      <c r="S384" s="5" t="str">
        <f aca="false">設定!$C$53</f>
        <v>介護：掛金</v>
      </c>
    </row>
    <row r="385" customFormat="false" ht="15" hidden="false" customHeight="false" outlineLevel="0" collapsed="false">
      <c r="A385" s="5" t="str">
        <f aca="false">設定!B89</f>
        <v>県下水道公社</v>
      </c>
      <c r="B385" s="5" t="n">
        <f aca="false">IFERROR(MATCH(ホーム!$C$4&amp;"|"&amp;A385,報告入力!$CM$7:$CM$696,0),"")</f>
        <v>351</v>
      </c>
      <c r="C385" s="5" t="str">
        <f aca="false">IF(B385="","",INDEX(報告入力!$C$7:$C$696,B385))</f>
        <v>未受領</v>
      </c>
      <c r="D385" s="5" t="str">
        <f aca="false">設定!$A$41</f>
        <v>介護経理</v>
      </c>
      <c r="E385" s="5" t="str">
        <f aca="false">設定!$B$41&amp;""</f>
        <v/>
      </c>
      <c r="F385" s="5" t="str">
        <f aca="false">設定!$D$54&amp;""</f>
        <v/>
      </c>
      <c r="G385" s="5" t="str">
        <f aca="false">設定!$E$54&amp;""</f>
        <v/>
      </c>
      <c r="H385" s="5" t="n">
        <f aca="false">IF(B385="",0,N(INDEX(報告入力!$BG$7:$BG$696,B385)))</f>
        <v>8611</v>
      </c>
      <c r="I385" s="5" t="str">
        <f aca="false">設定!$C$41&amp;""</f>
        <v/>
      </c>
      <c r="J385" s="5" t="str">
        <f aca="false">設定!$D$41&amp;""</f>
        <v/>
      </c>
      <c r="K385" s="5" t="n">
        <f aca="false">IF(AND(H385&lt;&gt;0,IF(設定!$B$6="入金確認済のみ",C385="入金確認済",OR(C385="入金確認済",C385="受領済"))),1,0)</f>
        <v>0</v>
      </c>
      <c r="L385" s="5" t="str">
        <f aca="false">3&amp;"|"&amp;29</f>
        <v>3|29</v>
      </c>
      <c r="M385" s="5" t="n">
        <f aca="false">IF(L385=L384,M384,0)+K385</f>
        <v>0</v>
      </c>
      <c r="N385" s="5" t="n">
        <f aca="false">IF(AND(K385=1,M385=1),1,0)</f>
        <v>0</v>
      </c>
      <c r="O385" s="5" t="str">
        <f aca="false">IF(K385=1,MAX($O$5:O384)+1,"")</f>
        <v/>
      </c>
      <c r="P385" s="5" t="str">
        <f aca="false">IF(K385=1,SUM($N$6:N385),"")</f>
        <v/>
      </c>
      <c r="Q385" s="5" t="str">
        <f aca="false">IF(K385=1,SUMIFS($H$6:$H$511,$L$6:$L$511,L385,$K$6:$K$511,1),"")</f>
        <v/>
      </c>
      <c r="R385" s="103" t="str">
        <f aca="false">IF(B385="","",IF(INDEX(報告入力!$AB$7:$AB$696,B385)="","",INDEX(報告入力!$AB$7:$AB$696,B385)))</f>
        <v/>
      </c>
      <c r="S385" s="5" t="str">
        <f aca="false">設定!$C$54</f>
        <v>介護：負担金</v>
      </c>
    </row>
    <row r="386" customFormat="false" ht="25.35" hidden="false" customHeight="false" outlineLevel="0" collapsed="false">
      <c r="A386" s="104" t="str">
        <f aca="false">設定!B90</f>
        <v>バス協調・共創
プラットフォーム</v>
      </c>
      <c r="B386" s="5" t="n">
        <f aca="false">IFERROR(MATCH(ホーム!$C$4&amp;"|"&amp;A386,報告入力!$CM$7:$CM$696,0),"")</f>
        <v>352</v>
      </c>
      <c r="C386" s="5" t="str">
        <f aca="false">IF(B386="","",INDEX(報告入力!$C$7:$C$696,B386))</f>
        <v>未受領</v>
      </c>
      <c r="D386" s="5" t="str">
        <f aca="false">設定!$A$41</f>
        <v>介護経理</v>
      </c>
      <c r="E386" s="5" t="str">
        <f aca="false">設定!$B$41&amp;""</f>
        <v/>
      </c>
      <c r="F386" s="5" t="str">
        <f aca="false">設定!$D$53&amp;""</f>
        <v/>
      </c>
      <c r="G386" s="5" t="str">
        <f aca="false">設定!$E$53&amp;""</f>
        <v/>
      </c>
      <c r="H386" s="5" t="n">
        <f aca="false">IF(B386="",0,N(INDEX(報告入力!$BF$7:$BF$696,B386)))</f>
        <v>0</v>
      </c>
      <c r="I386" s="5" t="str">
        <f aca="false">設定!$C$41&amp;""</f>
        <v/>
      </c>
      <c r="J386" s="5" t="str">
        <f aca="false">設定!$D$41&amp;""</f>
        <v/>
      </c>
      <c r="K386" s="5" t="n">
        <f aca="false">IF(AND(H386&lt;&gt;0,IF(設定!$B$6="入金確認済のみ",C386="入金確認済",OR(C386="入金確認済",C386="受領済"))),1,0)</f>
        <v>0</v>
      </c>
      <c r="L386" s="5" t="str">
        <f aca="false">3&amp;"|"&amp;30</f>
        <v>3|30</v>
      </c>
      <c r="M386" s="5" t="n">
        <f aca="false">IF(L386=L385,M385,0)+K386</f>
        <v>0</v>
      </c>
      <c r="N386" s="5" t="n">
        <f aca="false">IF(AND(K386=1,M386=1),1,0)</f>
        <v>0</v>
      </c>
      <c r="O386" s="5" t="str">
        <f aca="false">IF(K386=1,MAX($O$5:O385)+1,"")</f>
        <v/>
      </c>
      <c r="P386" s="5" t="str">
        <f aca="false">IF(K386=1,SUM($N$6:N386),"")</f>
        <v/>
      </c>
      <c r="Q386" s="5" t="str">
        <f aca="false">IF(K386=1,SUMIFS($H$6:$H$511,$L$6:$L$511,L386,$K$6:$K$511,1),"")</f>
        <v/>
      </c>
      <c r="R386" s="103" t="str">
        <f aca="false">IF(B386="","",IF(INDEX(報告入力!$AB$7:$AB$696,B386)="","",INDEX(報告入力!$AB$7:$AB$696,B386)))</f>
        <v/>
      </c>
      <c r="S386" s="5" t="str">
        <f aca="false">設定!$C$53</f>
        <v>介護：掛金</v>
      </c>
    </row>
    <row r="387" customFormat="false" ht="25.35" hidden="false" customHeight="false" outlineLevel="0" collapsed="false">
      <c r="A387" s="104" t="str">
        <f aca="false">設定!B90</f>
        <v>バス協調・共創
プラットフォーム</v>
      </c>
      <c r="B387" s="5" t="n">
        <f aca="false">IFERROR(MATCH(ホーム!$C$4&amp;"|"&amp;A387,報告入力!$CM$7:$CM$696,0),"")</f>
        <v>352</v>
      </c>
      <c r="C387" s="5" t="str">
        <f aca="false">IF(B387="","",INDEX(報告入力!$C$7:$C$696,B387))</f>
        <v>未受領</v>
      </c>
      <c r="D387" s="5" t="str">
        <f aca="false">設定!$A$41</f>
        <v>介護経理</v>
      </c>
      <c r="E387" s="5" t="str">
        <f aca="false">設定!$B$41&amp;""</f>
        <v/>
      </c>
      <c r="F387" s="5" t="str">
        <f aca="false">設定!$D$54&amp;""</f>
        <v/>
      </c>
      <c r="G387" s="5" t="str">
        <f aca="false">設定!$E$54&amp;""</f>
        <v/>
      </c>
      <c r="H387" s="5" t="n">
        <f aca="false">IF(B387="",0,N(INDEX(報告入力!$BG$7:$BG$696,B387)))</f>
        <v>25517</v>
      </c>
      <c r="I387" s="5" t="str">
        <f aca="false">設定!$C$41&amp;""</f>
        <v/>
      </c>
      <c r="J387" s="5" t="str">
        <f aca="false">設定!$D$41&amp;""</f>
        <v/>
      </c>
      <c r="K387" s="5" t="n">
        <f aca="false">IF(AND(H387&lt;&gt;0,IF(設定!$B$6="入金確認済のみ",C387="入金確認済",OR(C387="入金確認済",C387="受領済"))),1,0)</f>
        <v>0</v>
      </c>
      <c r="L387" s="5" t="str">
        <f aca="false">3&amp;"|"&amp;30</f>
        <v>3|30</v>
      </c>
      <c r="M387" s="5" t="n">
        <f aca="false">IF(L387=L386,M386,0)+K387</f>
        <v>0</v>
      </c>
      <c r="N387" s="5" t="n">
        <f aca="false">IF(AND(K387=1,M387=1),1,0)</f>
        <v>0</v>
      </c>
      <c r="O387" s="5" t="str">
        <f aca="false">IF(K387=1,MAX($O$5:O386)+1,"")</f>
        <v/>
      </c>
      <c r="P387" s="5" t="str">
        <f aca="false">IF(K387=1,SUM($N$6:N387),"")</f>
        <v/>
      </c>
      <c r="Q387" s="5" t="str">
        <f aca="false">IF(K387=1,SUMIFS($H$6:$H$511,$L$6:$L$511,L387,$K$6:$K$511,1),"")</f>
        <v/>
      </c>
      <c r="R387" s="103" t="str">
        <f aca="false">IF(B387="","",IF(INDEX(報告入力!$AB$7:$AB$696,B387)="","",INDEX(報告入力!$AB$7:$AB$696,B387)))</f>
        <v/>
      </c>
      <c r="S387" s="5" t="str">
        <f aca="false">設定!$C$54</f>
        <v>介護：負担金</v>
      </c>
    </row>
    <row r="388" customFormat="false" ht="15" hidden="false" customHeight="false" outlineLevel="0" collapsed="false">
      <c r="A388" s="5" t="str">
        <f aca="false">設定!B91</f>
        <v>広島県市長会</v>
      </c>
      <c r="B388" s="5" t="n">
        <f aca="false">IFERROR(MATCH(ホーム!$C$4&amp;"|"&amp;A388,報告入力!$CM$7:$CM$696,0),"")</f>
        <v>353</v>
      </c>
      <c r="C388" s="5" t="str">
        <f aca="false">IF(B388="","",INDEX(報告入力!$C$7:$C$696,B388))</f>
        <v>受領済</v>
      </c>
      <c r="D388" s="5" t="str">
        <f aca="false">設定!$A$41</f>
        <v>介護経理</v>
      </c>
      <c r="E388" s="5" t="str">
        <f aca="false">設定!$B$41&amp;""</f>
        <v/>
      </c>
      <c r="F388" s="5" t="str">
        <f aca="false">設定!$D$53&amp;""</f>
        <v/>
      </c>
      <c r="G388" s="5" t="str">
        <f aca="false">設定!$E$53&amp;""</f>
        <v/>
      </c>
      <c r="H388" s="5" t="n">
        <f aca="false">IF(B388="",0,N(INDEX(報告入力!$BF$7:$BF$696,B388)))</f>
        <v>4661</v>
      </c>
      <c r="I388" s="5" t="str">
        <f aca="false">設定!$C$41&amp;""</f>
        <v/>
      </c>
      <c r="J388" s="5" t="str">
        <f aca="false">設定!$D$41&amp;""</f>
        <v/>
      </c>
      <c r="K388" s="5" t="n">
        <f aca="false">IF(AND(H388&lt;&gt;0,IF(設定!$B$6="入金確認済のみ",C388="入金確認済",OR(C388="入金確認済",C388="受領済"))),1,0)</f>
        <v>0</v>
      </c>
      <c r="L388" s="5" t="str">
        <f aca="false">3&amp;"|"&amp;31</f>
        <v>3|31</v>
      </c>
      <c r="M388" s="5" t="n">
        <f aca="false">IF(L388=L387,M387,0)+K388</f>
        <v>0</v>
      </c>
      <c r="N388" s="5" t="n">
        <f aca="false">IF(AND(K388=1,M388=1),1,0)</f>
        <v>0</v>
      </c>
      <c r="O388" s="5" t="str">
        <f aca="false">IF(K388=1,MAX($O$5:O387)+1,"")</f>
        <v/>
      </c>
      <c r="P388" s="5" t="str">
        <f aca="false">IF(K388=1,SUM($N$6:N388),"")</f>
        <v/>
      </c>
      <c r="Q388" s="5" t="str">
        <f aca="false">IF(K388=1,SUMIFS($H$6:$H$511,$L$6:$L$511,L388,$K$6:$K$511,1),"")</f>
        <v/>
      </c>
      <c r="R388" s="103" t="str">
        <f aca="false">IF(B388="","",IF(INDEX(報告入力!$AB$7:$AB$696,B388)="","",INDEX(報告入力!$AB$7:$AB$696,B388)))</f>
        <v/>
      </c>
      <c r="S388" s="5" t="str">
        <f aca="false">設定!$C$53</f>
        <v>介護：掛金</v>
      </c>
    </row>
    <row r="389" customFormat="false" ht="15" hidden="false" customHeight="false" outlineLevel="0" collapsed="false">
      <c r="A389" s="5" t="str">
        <f aca="false">設定!B91</f>
        <v>広島県市長会</v>
      </c>
      <c r="B389" s="5" t="n">
        <f aca="false">IFERROR(MATCH(ホーム!$C$4&amp;"|"&amp;A389,報告入力!$CM$7:$CM$696,0),"")</f>
        <v>353</v>
      </c>
      <c r="C389" s="5" t="str">
        <f aca="false">IF(B389="","",INDEX(報告入力!$C$7:$C$696,B389))</f>
        <v>受領済</v>
      </c>
      <c r="D389" s="5" t="str">
        <f aca="false">設定!$A$41</f>
        <v>介護経理</v>
      </c>
      <c r="E389" s="5" t="str">
        <f aca="false">設定!$B$41&amp;""</f>
        <v/>
      </c>
      <c r="F389" s="5" t="str">
        <f aca="false">設定!$D$54&amp;""</f>
        <v/>
      </c>
      <c r="G389" s="5" t="str">
        <f aca="false">設定!$E$54&amp;""</f>
        <v/>
      </c>
      <c r="H389" s="5" t="n">
        <f aca="false">IF(B389="",0,N(INDEX(報告入力!$BG$7:$BG$696,B389)))</f>
        <v>4661</v>
      </c>
      <c r="I389" s="5" t="str">
        <f aca="false">設定!$C$41&amp;""</f>
        <v/>
      </c>
      <c r="J389" s="5" t="str">
        <f aca="false">設定!$D$41&amp;""</f>
        <v/>
      </c>
      <c r="K389" s="5" t="n">
        <f aca="false">IF(AND(H389&lt;&gt;0,IF(設定!$B$6="入金確認済のみ",C389="入金確認済",OR(C389="入金確認済",C389="受領済"))),1,0)</f>
        <v>0</v>
      </c>
      <c r="L389" s="5" t="str">
        <f aca="false">3&amp;"|"&amp;31</f>
        <v>3|31</v>
      </c>
      <c r="M389" s="5" t="n">
        <f aca="false">IF(L389=L388,M388,0)+K389</f>
        <v>0</v>
      </c>
      <c r="N389" s="5" t="n">
        <f aca="false">IF(AND(K389=1,M389=1),1,0)</f>
        <v>0</v>
      </c>
      <c r="O389" s="5" t="str">
        <f aca="false">IF(K389=1,MAX($O$5:O388)+1,"")</f>
        <v/>
      </c>
      <c r="P389" s="5" t="str">
        <f aca="false">IF(K389=1,SUM($N$6:N389),"")</f>
        <v/>
      </c>
      <c r="Q389" s="5" t="str">
        <f aca="false">IF(K389=1,SUMIFS($H$6:$H$511,$L$6:$L$511,L389,$K$6:$K$511,1),"")</f>
        <v/>
      </c>
      <c r="R389" s="103" t="str">
        <f aca="false">IF(B389="","",IF(INDEX(報告入力!$AB$7:$AB$696,B389)="","",INDEX(報告入力!$AB$7:$AB$696,B389)))</f>
        <v/>
      </c>
      <c r="S389" s="5" t="str">
        <f aca="false">設定!$C$54</f>
        <v>介護：負担金</v>
      </c>
    </row>
    <row r="390" customFormat="false" ht="15" hidden="false" customHeight="false" outlineLevel="0" collapsed="false">
      <c r="A390" s="5" t="str">
        <f aca="false">設定!B92</f>
        <v>全国市町村研修財団</v>
      </c>
      <c r="B390" s="5" t="n">
        <f aca="false">IFERROR(MATCH(ホーム!$C$4&amp;"|"&amp;A390,報告入力!$CM$7:$CM$696,0),"")</f>
        <v>354</v>
      </c>
      <c r="C390" s="5" t="str">
        <f aca="false">IF(B390="","",INDEX(報告入力!$C$7:$C$696,B390))</f>
        <v>受領済</v>
      </c>
      <c r="D390" s="5" t="str">
        <f aca="false">設定!$A$41</f>
        <v>介護経理</v>
      </c>
      <c r="E390" s="5" t="str">
        <f aca="false">設定!$B$41&amp;""</f>
        <v/>
      </c>
      <c r="F390" s="5" t="str">
        <f aca="false">設定!$D$53&amp;""</f>
        <v/>
      </c>
      <c r="G390" s="5" t="str">
        <f aca="false">設定!$E$53&amp;""</f>
        <v/>
      </c>
      <c r="H390" s="5" t="n">
        <f aca="false">IF(B390="",0,N(INDEX(報告入力!$BF$7:$BF$696,B390)))</f>
        <v>5609</v>
      </c>
      <c r="I390" s="5" t="str">
        <f aca="false">設定!$C$41&amp;""</f>
        <v/>
      </c>
      <c r="J390" s="5" t="str">
        <f aca="false">設定!$D$41&amp;""</f>
        <v/>
      </c>
      <c r="K390" s="5" t="n">
        <f aca="false">IF(AND(H390&lt;&gt;0,IF(設定!$B$6="入金確認済のみ",C390="入金確認済",OR(C390="入金確認済",C390="受領済"))),1,0)</f>
        <v>0</v>
      </c>
      <c r="L390" s="5" t="str">
        <f aca="false">3&amp;"|"&amp;32</f>
        <v>3|32</v>
      </c>
      <c r="M390" s="5" t="n">
        <f aca="false">IF(L390=L389,M389,0)+K390</f>
        <v>0</v>
      </c>
      <c r="N390" s="5" t="n">
        <f aca="false">IF(AND(K390=1,M390=1),1,0)</f>
        <v>0</v>
      </c>
      <c r="O390" s="5" t="str">
        <f aca="false">IF(K390=1,MAX($O$5:O389)+1,"")</f>
        <v/>
      </c>
      <c r="P390" s="5" t="str">
        <f aca="false">IF(K390=1,SUM($N$6:N390),"")</f>
        <v/>
      </c>
      <c r="Q390" s="5" t="str">
        <f aca="false">IF(K390=1,SUMIFS($H$6:$H$511,$L$6:$L$511,L390,$K$6:$K$511,1),"")</f>
        <v/>
      </c>
      <c r="R390" s="103" t="str">
        <f aca="false">IF(B390="","",IF(INDEX(報告入力!$AB$7:$AB$696,B390)="","",INDEX(報告入力!$AB$7:$AB$696,B390)))</f>
        <v/>
      </c>
      <c r="S390" s="5" t="str">
        <f aca="false">設定!$C$53</f>
        <v>介護：掛金</v>
      </c>
    </row>
    <row r="391" customFormat="false" ht="15" hidden="false" customHeight="false" outlineLevel="0" collapsed="false">
      <c r="A391" s="5" t="str">
        <f aca="false">設定!B92</f>
        <v>全国市町村研修財団</v>
      </c>
      <c r="B391" s="5" t="n">
        <f aca="false">IFERROR(MATCH(ホーム!$C$4&amp;"|"&amp;A391,報告入力!$CM$7:$CM$696,0),"")</f>
        <v>354</v>
      </c>
      <c r="C391" s="5" t="str">
        <f aca="false">IF(B391="","",INDEX(報告入力!$C$7:$C$696,B391))</f>
        <v>受領済</v>
      </c>
      <c r="D391" s="5" t="str">
        <f aca="false">設定!$A$41</f>
        <v>介護経理</v>
      </c>
      <c r="E391" s="5" t="str">
        <f aca="false">設定!$B$41&amp;""</f>
        <v/>
      </c>
      <c r="F391" s="5" t="str">
        <f aca="false">設定!$D$54&amp;""</f>
        <v/>
      </c>
      <c r="G391" s="5" t="str">
        <f aca="false">設定!$E$54&amp;""</f>
        <v/>
      </c>
      <c r="H391" s="5" t="n">
        <f aca="false">IF(B391="",0,N(INDEX(報告入力!$BG$7:$BG$696,B391)))</f>
        <v>5609</v>
      </c>
      <c r="I391" s="5" t="str">
        <f aca="false">設定!$C$41&amp;""</f>
        <v/>
      </c>
      <c r="J391" s="5" t="str">
        <f aca="false">設定!$D$41&amp;""</f>
        <v/>
      </c>
      <c r="K391" s="5" t="n">
        <f aca="false">IF(AND(H391&lt;&gt;0,IF(設定!$B$6="入金確認済のみ",C391="入金確認済",OR(C391="入金確認済",C391="受領済"))),1,0)</f>
        <v>0</v>
      </c>
      <c r="L391" s="5" t="str">
        <f aca="false">3&amp;"|"&amp;32</f>
        <v>3|32</v>
      </c>
      <c r="M391" s="5" t="n">
        <f aca="false">IF(L391=L390,M390,0)+K391</f>
        <v>0</v>
      </c>
      <c r="N391" s="5" t="n">
        <f aca="false">IF(AND(K391=1,M391=1),1,0)</f>
        <v>0</v>
      </c>
      <c r="O391" s="5" t="str">
        <f aca="false">IF(K391=1,MAX($O$5:O390)+1,"")</f>
        <v/>
      </c>
      <c r="P391" s="5" t="str">
        <f aca="false">IF(K391=1,SUM($N$6:N391),"")</f>
        <v/>
      </c>
      <c r="Q391" s="5" t="str">
        <f aca="false">IF(K391=1,SUMIFS($H$6:$H$511,$L$6:$L$511,L391,$K$6:$K$511,1),"")</f>
        <v/>
      </c>
      <c r="R391" s="103" t="str">
        <f aca="false">IF(B391="","",IF(INDEX(報告入力!$AB$7:$AB$696,B391)="","",INDEX(報告入力!$AB$7:$AB$696,B391)))</f>
        <v/>
      </c>
      <c r="S391" s="5" t="str">
        <f aca="false">設定!$C$54</f>
        <v>介護：負担金</v>
      </c>
    </row>
    <row r="392" customFormat="false" ht="15" hidden="false" customHeight="false" outlineLevel="0" collapsed="false">
      <c r="A392" s="5" t="str">
        <f aca="false">設定!B93</f>
        <v>都市再生機構</v>
      </c>
      <c r="B392" s="5" t="n">
        <f aca="false">IFERROR(MATCH(ホーム!$C$4&amp;"|"&amp;A392,報告入力!$CM$7:$CM$696,0),"")</f>
        <v>355</v>
      </c>
      <c r="C392" s="5" t="str">
        <f aca="false">IF(B392="","",INDEX(報告入力!$C$7:$C$696,B392))</f>
        <v>受領済</v>
      </c>
      <c r="D392" s="5" t="str">
        <f aca="false">設定!$A$41</f>
        <v>介護経理</v>
      </c>
      <c r="E392" s="5" t="str">
        <f aca="false">設定!$B$41&amp;""</f>
        <v/>
      </c>
      <c r="F392" s="5" t="str">
        <f aca="false">設定!$D$53&amp;""</f>
        <v/>
      </c>
      <c r="G392" s="5" t="str">
        <f aca="false">設定!$E$53&amp;""</f>
        <v/>
      </c>
      <c r="H392" s="5" t="n">
        <f aca="false">IF(B392="",0,N(INDEX(報告入力!$BF$7:$BF$696,B392)))</f>
        <v>0</v>
      </c>
      <c r="I392" s="5" t="str">
        <f aca="false">設定!$C$41&amp;""</f>
        <v/>
      </c>
      <c r="J392" s="5" t="str">
        <f aca="false">設定!$D$41&amp;""</f>
        <v/>
      </c>
      <c r="K392" s="5" t="n">
        <f aca="false">IF(AND(H392&lt;&gt;0,IF(設定!$B$6="入金確認済のみ",C392="入金確認済",OR(C392="入金確認済",C392="受領済"))),1,0)</f>
        <v>0</v>
      </c>
      <c r="L392" s="5" t="str">
        <f aca="false">3&amp;"|"&amp;33</f>
        <v>3|33</v>
      </c>
      <c r="M392" s="5" t="n">
        <f aca="false">IF(L392=L391,M391,0)+K392</f>
        <v>0</v>
      </c>
      <c r="N392" s="5" t="n">
        <f aca="false">IF(AND(K392=1,M392=1),1,0)</f>
        <v>0</v>
      </c>
      <c r="O392" s="5" t="str">
        <f aca="false">IF(K392=1,MAX($O$5:O391)+1,"")</f>
        <v/>
      </c>
      <c r="P392" s="5" t="str">
        <f aca="false">IF(K392=1,SUM($N$6:N392),"")</f>
        <v/>
      </c>
      <c r="Q392" s="5" t="str">
        <f aca="false">IF(K392=1,SUMIFS($H$6:$H$511,$L$6:$L$511,L392,$K$6:$K$511,1),"")</f>
        <v/>
      </c>
      <c r="R392" s="103" t="str">
        <f aca="false">IF(B392="","",IF(INDEX(報告入力!$AB$7:$AB$696,B392)="","",INDEX(報告入力!$AB$7:$AB$696,B392)))</f>
        <v/>
      </c>
      <c r="S392" s="5" t="str">
        <f aca="false">設定!$C$53</f>
        <v>介護：掛金</v>
      </c>
    </row>
    <row r="393" customFormat="false" ht="15" hidden="false" customHeight="false" outlineLevel="0" collapsed="false">
      <c r="A393" s="5" t="str">
        <f aca="false">設定!B93</f>
        <v>都市再生機構</v>
      </c>
      <c r="B393" s="5" t="n">
        <f aca="false">IFERROR(MATCH(ホーム!$C$4&amp;"|"&amp;A393,報告入力!$CM$7:$CM$696,0),"")</f>
        <v>355</v>
      </c>
      <c r="C393" s="5" t="str">
        <f aca="false">IF(B393="","",INDEX(報告入力!$C$7:$C$696,B393))</f>
        <v>受領済</v>
      </c>
      <c r="D393" s="5" t="str">
        <f aca="false">設定!$A$41</f>
        <v>介護経理</v>
      </c>
      <c r="E393" s="5" t="str">
        <f aca="false">設定!$B$41&amp;""</f>
        <v/>
      </c>
      <c r="F393" s="5" t="str">
        <f aca="false">設定!$D$54&amp;""</f>
        <v/>
      </c>
      <c r="G393" s="5" t="str">
        <f aca="false">設定!$E$54&amp;""</f>
        <v/>
      </c>
      <c r="H393" s="5" t="n">
        <f aca="false">IF(B393="",0,N(INDEX(報告入力!$BG$7:$BG$696,B393)))</f>
        <v>0</v>
      </c>
      <c r="I393" s="5" t="str">
        <f aca="false">設定!$C$41&amp;""</f>
        <v/>
      </c>
      <c r="J393" s="5" t="str">
        <f aca="false">設定!$D$41&amp;""</f>
        <v/>
      </c>
      <c r="K393" s="5" t="n">
        <f aca="false">IF(AND(H393&lt;&gt;0,IF(設定!$B$6="入金確認済のみ",C393="入金確認済",OR(C393="入金確認済",C393="受領済"))),1,0)</f>
        <v>0</v>
      </c>
      <c r="L393" s="5" t="str">
        <f aca="false">3&amp;"|"&amp;33</f>
        <v>3|33</v>
      </c>
      <c r="M393" s="5" t="n">
        <f aca="false">IF(L393=L392,M392,0)+K393</f>
        <v>0</v>
      </c>
      <c r="N393" s="5" t="n">
        <f aca="false">IF(AND(K393=1,M393=1),1,0)</f>
        <v>0</v>
      </c>
      <c r="O393" s="5" t="str">
        <f aca="false">IF(K393=1,MAX($O$5:O392)+1,"")</f>
        <v/>
      </c>
      <c r="P393" s="5" t="str">
        <f aca="false">IF(K393=1,SUM($N$6:N393),"")</f>
        <v/>
      </c>
      <c r="Q393" s="5" t="str">
        <f aca="false">IF(K393=1,SUMIFS($H$6:$H$511,$L$6:$L$511,L393,$K$6:$K$511,1),"")</f>
        <v/>
      </c>
      <c r="R393" s="103" t="str">
        <f aca="false">IF(B393="","",IF(INDEX(報告入力!$AB$7:$AB$696,B393)="","",INDEX(報告入力!$AB$7:$AB$696,B393)))</f>
        <v/>
      </c>
      <c r="S393" s="5" t="str">
        <f aca="false">設定!$C$54</f>
        <v>介護：負担金</v>
      </c>
    </row>
    <row r="394" customFormat="false" ht="15" hidden="false" customHeight="false" outlineLevel="0" collapsed="false">
      <c r="A394" s="5" t="str">
        <f aca="false">設定!B94</f>
        <v>広島市立大学</v>
      </c>
      <c r="B394" s="5" t="n">
        <f aca="false">IFERROR(MATCH(ホーム!$C$4&amp;"|"&amp;A394,報告入力!$CM$7:$CM$696,0),"")</f>
        <v>356</v>
      </c>
      <c r="C394" s="5" t="str">
        <f aca="false">IF(B394="","",INDEX(報告入力!$C$7:$C$696,B394))</f>
        <v>未受領</v>
      </c>
      <c r="D394" s="5" t="str">
        <f aca="false">設定!$A$41</f>
        <v>介護経理</v>
      </c>
      <c r="E394" s="5" t="str">
        <f aca="false">設定!$B$41&amp;""</f>
        <v/>
      </c>
      <c r="F394" s="5" t="str">
        <f aca="false">設定!$D$53&amp;""</f>
        <v/>
      </c>
      <c r="G394" s="5" t="str">
        <f aca="false">設定!$E$53&amp;""</f>
        <v/>
      </c>
      <c r="H394" s="5" t="n">
        <f aca="false">IF(B394="",0,N(INDEX(報告入力!$BF$7:$BF$696,B394)))</f>
        <v>64227</v>
      </c>
      <c r="I394" s="5" t="str">
        <f aca="false">設定!$C$41&amp;""</f>
        <v/>
      </c>
      <c r="J394" s="5" t="str">
        <f aca="false">設定!$D$41&amp;""</f>
        <v/>
      </c>
      <c r="K394" s="5" t="n">
        <f aca="false">IF(AND(H394&lt;&gt;0,IF(設定!$B$6="入金確認済のみ",C394="入金確認済",OR(C394="入金確認済",C394="受領済"))),1,0)</f>
        <v>0</v>
      </c>
      <c r="L394" s="5" t="str">
        <f aca="false">3&amp;"|"&amp;34</f>
        <v>3|34</v>
      </c>
      <c r="M394" s="5" t="n">
        <f aca="false">IF(L394=L393,M393,0)+K394</f>
        <v>0</v>
      </c>
      <c r="N394" s="5" t="n">
        <f aca="false">IF(AND(K394=1,M394=1),1,0)</f>
        <v>0</v>
      </c>
      <c r="O394" s="5" t="str">
        <f aca="false">IF(K394=1,MAX($O$5:O393)+1,"")</f>
        <v/>
      </c>
      <c r="P394" s="5" t="str">
        <f aca="false">IF(K394=1,SUM($N$6:N394),"")</f>
        <v/>
      </c>
      <c r="Q394" s="5" t="str">
        <f aca="false">IF(K394=1,SUMIFS($H$6:$H$511,$L$6:$L$511,L394,$K$6:$K$511,1),"")</f>
        <v/>
      </c>
      <c r="R394" s="103" t="str">
        <f aca="false">IF(B394="","",IF(INDEX(報告入力!$AB$7:$AB$696,B394)="","",INDEX(報告入力!$AB$7:$AB$696,B394)))</f>
        <v/>
      </c>
      <c r="S394" s="5" t="str">
        <f aca="false">設定!$C$53</f>
        <v>介護：掛金</v>
      </c>
    </row>
    <row r="395" customFormat="false" ht="15" hidden="false" customHeight="false" outlineLevel="0" collapsed="false">
      <c r="A395" s="5" t="str">
        <f aca="false">設定!B94</f>
        <v>広島市立大学</v>
      </c>
      <c r="B395" s="5" t="n">
        <f aca="false">IFERROR(MATCH(ホーム!$C$4&amp;"|"&amp;A395,報告入力!$CM$7:$CM$696,0),"")</f>
        <v>356</v>
      </c>
      <c r="C395" s="5" t="str">
        <f aca="false">IF(B395="","",INDEX(報告入力!$C$7:$C$696,B395))</f>
        <v>未受領</v>
      </c>
      <c r="D395" s="5" t="str">
        <f aca="false">設定!$A$41</f>
        <v>介護経理</v>
      </c>
      <c r="E395" s="5" t="str">
        <f aca="false">設定!$B$41&amp;""</f>
        <v/>
      </c>
      <c r="F395" s="5" t="str">
        <f aca="false">設定!$D$54&amp;""</f>
        <v/>
      </c>
      <c r="G395" s="5" t="str">
        <f aca="false">設定!$E$54&amp;""</f>
        <v/>
      </c>
      <c r="H395" s="5" t="n">
        <f aca="false">IF(B395="",0,N(INDEX(報告入力!$BG$7:$BG$696,B395)))</f>
        <v>64227</v>
      </c>
      <c r="I395" s="5" t="str">
        <f aca="false">設定!$C$41&amp;""</f>
        <v/>
      </c>
      <c r="J395" s="5" t="str">
        <f aca="false">設定!$D$41&amp;""</f>
        <v/>
      </c>
      <c r="K395" s="5" t="n">
        <f aca="false">IF(AND(H395&lt;&gt;0,IF(設定!$B$6="入金確認済のみ",C395="入金確認済",OR(C395="入金確認済",C395="受領済"))),1,0)</f>
        <v>0</v>
      </c>
      <c r="L395" s="5" t="str">
        <f aca="false">3&amp;"|"&amp;34</f>
        <v>3|34</v>
      </c>
      <c r="M395" s="5" t="n">
        <f aca="false">IF(L395=L394,M394,0)+K395</f>
        <v>0</v>
      </c>
      <c r="N395" s="5" t="n">
        <f aca="false">IF(AND(K395=1,M395=1),1,0)</f>
        <v>0</v>
      </c>
      <c r="O395" s="5" t="str">
        <f aca="false">IF(K395=1,MAX($O$5:O394)+1,"")</f>
        <v/>
      </c>
      <c r="P395" s="5" t="str">
        <f aca="false">IF(K395=1,SUM($N$6:N395),"")</f>
        <v/>
      </c>
      <c r="Q395" s="5" t="str">
        <f aca="false">IF(K395=1,SUMIFS($H$6:$H$511,$L$6:$L$511,L395,$K$6:$K$511,1),"")</f>
        <v/>
      </c>
      <c r="R395" s="103" t="str">
        <f aca="false">IF(B395="","",IF(INDEX(報告入力!$AB$7:$AB$696,B395)="","",INDEX(報告入力!$AB$7:$AB$696,B395)))</f>
        <v/>
      </c>
      <c r="S395" s="5" t="str">
        <f aca="false">設定!$C$54</f>
        <v>介護：負担金</v>
      </c>
    </row>
    <row r="396" customFormat="false" ht="15" hidden="false" customHeight="false" outlineLevel="0" collapsed="false">
      <c r="A396" s="5" t="str">
        <f aca="false">設定!B95</f>
        <v>社会福祉協議会</v>
      </c>
      <c r="B396" s="5" t="n">
        <f aca="false">IFERROR(MATCH(ホーム!$C$4&amp;"|"&amp;A396,報告入力!$CM$7:$CM$696,0),"")</f>
        <v>357</v>
      </c>
      <c r="C396" s="5" t="str">
        <f aca="false">IF(B396="","",INDEX(報告入力!$C$7:$C$696,B396))</f>
        <v>未受領</v>
      </c>
      <c r="D396" s="5" t="str">
        <f aca="false">設定!$A$41</f>
        <v>介護経理</v>
      </c>
      <c r="E396" s="5" t="str">
        <f aca="false">設定!$B$41&amp;""</f>
        <v/>
      </c>
      <c r="F396" s="5" t="str">
        <f aca="false">設定!$D$53&amp;""</f>
        <v/>
      </c>
      <c r="G396" s="5" t="str">
        <f aca="false">設定!$E$53&amp;""</f>
        <v/>
      </c>
      <c r="H396" s="5" t="n">
        <f aca="false">IF(B396="",0,N(INDEX(報告入力!$BF$7:$BF$696,B396)))</f>
        <v>0</v>
      </c>
      <c r="I396" s="5" t="str">
        <f aca="false">設定!$C$41&amp;""</f>
        <v/>
      </c>
      <c r="J396" s="5" t="str">
        <f aca="false">設定!$D$41&amp;""</f>
        <v/>
      </c>
      <c r="K396" s="5" t="n">
        <f aca="false">IF(AND(H396&lt;&gt;0,IF(設定!$B$6="入金確認済のみ",C396="入金確認済",OR(C396="入金確認済",C396="受領済"))),1,0)</f>
        <v>0</v>
      </c>
      <c r="L396" s="5" t="str">
        <f aca="false">3&amp;"|"&amp;35</f>
        <v>3|35</v>
      </c>
      <c r="M396" s="5" t="n">
        <f aca="false">IF(L396=L395,M395,0)+K396</f>
        <v>0</v>
      </c>
      <c r="N396" s="5" t="n">
        <f aca="false">IF(AND(K396=1,M396=1),1,0)</f>
        <v>0</v>
      </c>
      <c r="O396" s="5" t="str">
        <f aca="false">IF(K396=1,MAX($O$5:O395)+1,"")</f>
        <v/>
      </c>
      <c r="P396" s="5" t="str">
        <f aca="false">IF(K396=1,SUM($N$6:N396),"")</f>
        <v/>
      </c>
      <c r="Q396" s="5" t="str">
        <f aca="false">IF(K396=1,SUMIFS($H$6:$H$511,$L$6:$L$511,L396,$K$6:$K$511,1),"")</f>
        <v/>
      </c>
      <c r="R396" s="103" t="str">
        <f aca="false">IF(B396="","",IF(INDEX(報告入力!$AB$7:$AB$696,B396)="","",INDEX(報告入力!$AB$7:$AB$696,B396)))</f>
        <v/>
      </c>
      <c r="S396" s="5" t="str">
        <f aca="false">設定!$C$53</f>
        <v>介護：掛金</v>
      </c>
    </row>
    <row r="397" customFormat="false" ht="15" hidden="false" customHeight="false" outlineLevel="0" collapsed="false">
      <c r="A397" s="5" t="str">
        <f aca="false">設定!B95</f>
        <v>社会福祉協議会</v>
      </c>
      <c r="B397" s="5" t="n">
        <f aca="false">IFERROR(MATCH(ホーム!$C$4&amp;"|"&amp;A397,報告入力!$CM$7:$CM$696,0),"")</f>
        <v>357</v>
      </c>
      <c r="C397" s="5" t="str">
        <f aca="false">IF(B397="","",INDEX(報告入力!$C$7:$C$696,B397))</f>
        <v>未受領</v>
      </c>
      <c r="D397" s="5" t="str">
        <f aca="false">設定!$A$41</f>
        <v>介護経理</v>
      </c>
      <c r="E397" s="5" t="str">
        <f aca="false">設定!$B$41&amp;""</f>
        <v/>
      </c>
      <c r="F397" s="5" t="str">
        <f aca="false">設定!$D$54&amp;""</f>
        <v/>
      </c>
      <c r="G397" s="5" t="str">
        <f aca="false">設定!$E$54&amp;""</f>
        <v/>
      </c>
      <c r="H397" s="5" t="n">
        <f aca="false">IF(B397="",0,N(INDEX(報告入力!$BG$7:$BG$696,B397)))</f>
        <v>10744</v>
      </c>
      <c r="I397" s="5" t="str">
        <f aca="false">設定!$C$41&amp;""</f>
        <v/>
      </c>
      <c r="J397" s="5" t="str">
        <f aca="false">設定!$D$41&amp;""</f>
        <v/>
      </c>
      <c r="K397" s="5" t="n">
        <f aca="false">IF(AND(H397&lt;&gt;0,IF(設定!$B$6="入金確認済のみ",C397="入金確認済",OR(C397="入金確認済",C397="受領済"))),1,0)</f>
        <v>0</v>
      </c>
      <c r="L397" s="5" t="str">
        <f aca="false">3&amp;"|"&amp;35</f>
        <v>3|35</v>
      </c>
      <c r="M397" s="5" t="n">
        <f aca="false">IF(L397=L396,M396,0)+K397</f>
        <v>0</v>
      </c>
      <c r="N397" s="5" t="n">
        <f aca="false">IF(AND(K397=1,M397=1),1,0)</f>
        <v>0</v>
      </c>
      <c r="O397" s="5" t="str">
        <f aca="false">IF(K397=1,MAX($O$5:O396)+1,"")</f>
        <v/>
      </c>
      <c r="P397" s="5" t="str">
        <f aca="false">IF(K397=1,SUM($N$6:N397),"")</f>
        <v/>
      </c>
      <c r="Q397" s="5" t="str">
        <f aca="false">IF(K397=1,SUMIFS($H$6:$H$511,$L$6:$L$511,L397,$K$6:$K$511,1),"")</f>
        <v/>
      </c>
      <c r="R397" s="103" t="str">
        <f aca="false">IF(B397="","",IF(INDEX(報告入力!$AB$7:$AB$696,B397)="","",INDEX(報告入力!$AB$7:$AB$696,B397)))</f>
        <v/>
      </c>
      <c r="S397" s="5" t="str">
        <f aca="false">設定!$C$54</f>
        <v>介護：負担金</v>
      </c>
    </row>
    <row r="398" customFormat="false" ht="15" hidden="false" customHeight="false" outlineLevel="0" collapsed="false">
      <c r="A398" s="5" t="str">
        <f aca="false">設定!B96</f>
        <v>市立病院機構</v>
      </c>
      <c r="B398" s="5" t="n">
        <f aca="false">IFERROR(MATCH(ホーム!$C$4&amp;"|"&amp;A398,報告入力!$CM$7:$CM$696,0),"")</f>
        <v>358</v>
      </c>
      <c r="C398" s="5" t="str">
        <f aca="false">IF(B398="","",INDEX(報告入力!$C$7:$C$696,B398))</f>
        <v>未受領</v>
      </c>
      <c r="D398" s="5" t="str">
        <f aca="false">設定!$A$41</f>
        <v>介護経理</v>
      </c>
      <c r="E398" s="5" t="str">
        <f aca="false">設定!$B$41&amp;""</f>
        <v/>
      </c>
      <c r="F398" s="5" t="str">
        <f aca="false">設定!$D$53&amp;""</f>
        <v/>
      </c>
      <c r="G398" s="5" t="str">
        <f aca="false">設定!$E$53&amp;""</f>
        <v/>
      </c>
      <c r="H398" s="5" t="n">
        <f aca="false">IF(B398="",0,N(INDEX(報告入力!$BF$7:$BF$696,B398)))</f>
        <v>7758167</v>
      </c>
      <c r="I398" s="5" t="str">
        <f aca="false">設定!$C$41&amp;""</f>
        <v/>
      </c>
      <c r="J398" s="5" t="str">
        <f aca="false">設定!$D$41&amp;""</f>
        <v/>
      </c>
      <c r="K398" s="5" t="n">
        <f aca="false">IF(AND(H398&lt;&gt;0,IF(設定!$B$6="入金確認済のみ",C398="入金確認済",OR(C398="入金確認済",C398="受領済"))),1,0)</f>
        <v>0</v>
      </c>
      <c r="L398" s="5" t="str">
        <f aca="false">3&amp;"|"&amp;36</f>
        <v>3|36</v>
      </c>
      <c r="M398" s="5" t="n">
        <f aca="false">IF(L398=L397,M397,0)+K398</f>
        <v>0</v>
      </c>
      <c r="N398" s="5" t="n">
        <f aca="false">IF(AND(K398=1,M398=1),1,0)</f>
        <v>0</v>
      </c>
      <c r="O398" s="5" t="str">
        <f aca="false">IF(K398=1,MAX($O$5:O397)+1,"")</f>
        <v/>
      </c>
      <c r="P398" s="5" t="str">
        <f aca="false">IF(K398=1,SUM($N$6:N398),"")</f>
        <v/>
      </c>
      <c r="Q398" s="5" t="str">
        <f aca="false">IF(K398=1,SUMIFS($H$6:$H$511,$L$6:$L$511,L398,$K$6:$K$511,1),"")</f>
        <v/>
      </c>
      <c r="R398" s="103" t="str">
        <f aca="false">IF(B398="","",IF(INDEX(報告入力!$AB$7:$AB$696,B398)="","",INDEX(報告入力!$AB$7:$AB$696,B398)))</f>
        <v/>
      </c>
      <c r="S398" s="5" t="str">
        <f aca="false">設定!$C$53</f>
        <v>介護：掛金</v>
      </c>
    </row>
    <row r="399" customFormat="false" ht="15" hidden="false" customHeight="false" outlineLevel="0" collapsed="false">
      <c r="A399" s="5" t="str">
        <f aca="false">設定!B96</f>
        <v>市立病院機構</v>
      </c>
      <c r="B399" s="5" t="n">
        <f aca="false">IFERROR(MATCH(ホーム!$C$4&amp;"|"&amp;A399,報告入力!$CM$7:$CM$696,0),"")</f>
        <v>358</v>
      </c>
      <c r="C399" s="5" t="str">
        <f aca="false">IF(B399="","",INDEX(報告入力!$C$7:$C$696,B399))</f>
        <v>未受領</v>
      </c>
      <c r="D399" s="5" t="str">
        <f aca="false">設定!$A$41</f>
        <v>介護経理</v>
      </c>
      <c r="E399" s="5" t="str">
        <f aca="false">設定!$B$41&amp;""</f>
        <v/>
      </c>
      <c r="F399" s="5" t="str">
        <f aca="false">設定!$D$54&amp;""</f>
        <v/>
      </c>
      <c r="G399" s="5" t="str">
        <f aca="false">設定!$E$54&amp;""</f>
        <v/>
      </c>
      <c r="H399" s="5" t="n">
        <f aca="false">IF(B399="",0,N(INDEX(報告入力!$BG$7:$BG$696,B399)))</f>
        <v>7761643</v>
      </c>
      <c r="I399" s="5" t="str">
        <f aca="false">設定!$C$41&amp;""</f>
        <v/>
      </c>
      <c r="J399" s="5" t="str">
        <f aca="false">設定!$D$41&amp;""</f>
        <v/>
      </c>
      <c r="K399" s="5" t="n">
        <f aca="false">IF(AND(H399&lt;&gt;0,IF(設定!$B$6="入金確認済のみ",C399="入金確認済",OR(C399="入金確認済",C399="受領済"))),1,0)</f>
        <v>0</v>
      </c>
      <c r="L399" s="5" t="str">
        <f aca="false">3&amp;"|"&amp;36</f>
        <v>3|36</v>
      </c>
      <c r="M399" s="5" t="n">
        <f aca="false">IF(L399=L398,M398,0)+K399</f>
        <v>0</v>
      </c>
      <c r="N399" s="5" t="n">
        <f aca="false">IF(AND(K399=1,M399=1),1,0)</f>
        <v>0</v>
      </c>
      <c r="O399" s="5" t="str">
        <f aca="false">IF(K399=1,MAX($O$5:O398)+1,"")</f>
        <v/>
      </c>
      <c r="P399" s="5" t="str">
        <f aca="false">IF(K399=1,SUM($N$6:N399),"")</f>
        <v/>
      </c>
      <c r="Q399" s="5" t="str">
        <f aca="false">IF(K399=1,SUMIFS($H$6:$H$511,$L$6:$L$511,L399,$K$6:$K$511,1),"")</f>
        <v/>
      </c>
      <c r="R399" s="103" t="str">
        <f aca="false">IF(B399="","",IF(INDEX(報告入力!$AB$7:$AB$696,B399)="","",INDEX(報告入力!$AB$7:$AB$696,B399)))</f>
        <v/>
      </c>
      <c r="S399" s="5" t="str">
        <f aca="false">設定!$C$54</f>
        <v>介護：負担金</v>
      </c>
    </row>
    <row r="400" customFormat="false" ht="15" hidden="false" customHeight="false" outlineLevel="0" collapsed="false">
      <c r="A400" s="5" t="str">
        <f aca="false">設定!B97</f>
        <v>職員共済組合</v>
      </c>
      <c r="B400" s="5" t="n">
        <f aca="false">IFERROR(MATCH(ホーム!$C$4&amp;"|"&amp;A400,報告入力!$CM$7:$CM$696,0),"")</f>
        <v>359</v>
      </c>
      <c r="C400" s="5" t="str">
        <f aca="false">IF(B400="","",INDEX(報告入力!$C$7:$C$696,B400))</f>
        <v>未受領</v>
      </c>
      <c r="D400" s="5" t="str">
        <f aca="false">設定!$A$41</f>
        <v>介護経理</v>
      </c>
      <c r="E400" s="5" t="str">
        <f aca="false">設定!$B$41&amp;""</f>
        <v/>
      </c>
      <c r="F400" s="5" t="str">
        <f aca="false">設定!$D$53&amp;""</f>
        <v/>
      </c>
      <c r="G400" s="5" t="str">
        <f aca="false">設定!$E$53&amp;""</f>
        <v/>
      </c>
      <c r="H400" s="5" t="n">
        <f aca="false">IF(B400="",0,N(INDEX(報告入力!$BF$7:$BF$696,B400)))</f>
        <v>9322</v>
      </c>
      <c r="I400" s="5" t="str">
        <f aca="false">設定!$C$41&amp;""</f>
        <v/>
      </c>
      <c r="J400" s="5" t="str">
        <f aca="false">設定!$D$41&amp;""</f>
        <v/>
      </c>
      <c r="K400" s="5" t="n">
        <f aca="false">IF(AND(H400&lt;&gt;0,IF(設定!$B$6="入金確認済のみ",C400="入金確認済",OR(C400="入金確認済",C400="受領済"))),1,0)</f>
        <v>0</v>
      </c>
      <c r="L400" s="5" t="str">
        <f aca="false">3&amp;"|"&amp;37</f>
        <v>3|37</v>
      </c>
      <c r="M400" s="5" t="n">
        <f aca="false">IF(L400=L399,M399,0)+K400</f>
        <v>0</v>
      </c>
      <c r="N400" s="5" t="n">
        <f aca="false">IF(AND(K400=1,M400=1),1,0)</f>
        <v>0</v>
      </c>
      <c r="O400" s="5" t="str">
        <f aca="false">IF(K400=1,MAX($O$5:O399)+1,"")</f>
        <v/>
      </c>
      <c r="P400" s="5" t="str">
        <f aca="false">IF(K400=1,SUM($N$6:N400),"")</f>
        <v/>
      </c>
      <c r="Q400" s="5" t="str">
        <f aca="false">IF(K400=1,SUMIFS($H$6:$H$511,$L$6:$L$511,L400,$K$6:$K$511,1),"")</f>
        <v/>
      </c>
      <c r="R400" s="103" t="str">
        <f aca="false">IF(B400="","",IF(INDEX(報告入力!$AB$7:$AB$696,B400)="","",INDEX(報告入力!$AB$7:$AB$696,B400)))</f>
        <v/>
      </c>
      <c r="S400" s="5" t="str">
        <f aca="false">設定!$C$53</f>
        <v>介護：掛金</v>
      </c>
    </row>
    <row r="401" customFormat="false" ht="15" hidden="false" customHeight="false" outlineLevel="0" collapsed="false">
      <c r="A401" s="5" t="str">
        <f aca="false">設定!B97</f>
        <v>職員共済組合</v>
      </c>
      <c r="B401" s="5" t="n">
        <f aca="false">IFERROR(MATCH(ホーム!$C$4&amp;"|"&amp;A401,報告入力!$CM$7:$CM$696,0),"")</f>
        <v>359</v>
      </c>
      <c r="C401" s="5" t="str">
        <f aca="false">IF(B401="","",INDEX(報告入力!$C$7:$C$696,B401))</f>
        <v>未受領</v>
      </c>
      <c r="D401" s="5" t="str">
        <f aca="false">設定!$A$41</f>
        <v>介護経理</v>
      </c>
      <c r="E401" s="5" t="str">
        <f aca="false">設定!$B$41&amp;""</f>
        <v/>
      </c>
      <c r="F401" s="5" t="str">
        <f aca="false">設定!$D$54&amp;""</f>
        <v/>
      </c>
      <c r="G401" s="5" t="str">
        <f aca="false">設定!$E$54&amp;""</f>
        <v/>
      </c>
      <c r="H401" s="5" t="n">
        <f aca="false">IF(B401="",0,N(INDEX(報告入力!$BG$7:$BG$696,B401)))</f>
        <v>12245</v>
      </c>
      <c r="I401" s="5" t="str">
        <f aca="false">設定!$C$41&amp;""</f>
        <v/>
      </c>
      <c r="J401" s="5" t="str">
        <f aca="false">設定!$D$41&amp;""</f>
        <v/>
      </c>
      <c r="K401" s="5" t="n">
        <f aca="false">IF(AND(H401&lt;&gt;0,IF(設定!$B$6="入金確認済のみ",C401="入金確認済",OR(C401="入金確認済",C401="受領済"))),1,0)</f>
        <v>0</v>
      </c>
      <c r="L401" s="5" t="str">
        <f aca="false">3&amp;"|"&amp;37</f>
        <v>3|37</v>
      </c>
      <c r="M401" s="5" t="n">
        <f aca="false">IF(L401=L400,M400,0)+K401</f>
        <v>0</v>
      </c>
      <c r="N401" s="5" t="n">
        <f aca="false">IF(AND(K401=1,M401=1),1,0)</f>
        <v>0</v>
      </c>
      <c r="O401" s="5" t="str">
        <f aca="false">IF(K401=1,MAX($O$5:O400)+1,"")</f>
        <v/>
      </c>
      <c r="P401" s="5" t="str">
        <f aca="false">IF(K401=1,SUM($N$6:N401),"")</f>
        <v/>
      </c>
      <c r="Q401" s="5" t="str">
        <f aca="false">IF(K401=1,SUMIFS($H$6:$H$511,$L$6:$L$511,L401,$K$6:$K$511,1),"")</f>
        <v/>
      </c>
      <c r="R401" s="103" t="str">
        <f aca="false">IF(B401="","",IF(INDEX(報告入力!$AB$7:$AB$696,B401)="","",INDEX(報告入力!$AB$7:$AB$696,B401)))</f>
        <v/>
      </c>
      <c r="S401" s="5" t="str">
        <f aca="false">設定!$C$54</f>
        <v>介護：負担金</v>
      </c>
    </row>
    <row r="402" customFormat="false" ht="25.35" hidden="false" customHeight="false" outlineLevel="0" collapsed="false">
      <c r="A402" s="104" t="str">
        <f aca="false">設定!B98</f>
        <v>地方公共団体
情報システム機構</v>
      </c>
      <c r="B402" s="5" t="n">
        <f aca="false">IFERROR(MATCH(ホーム!$C$4&amp;"|"&amp;A402,報告入力!$CM$7:$CM$696,0),"")</f>
        <v>360</v>
      </c>
      <c r="C402" s="5" t="str">
        <f aca="false">IF(B402="","",INDEX(報告入力!$C$7:$C$696,B402))</f>
        <v>報告なし</v>
      </c>
      <c r="D402" s="5" t="str">
        <f aca="false">設定!$A$41</f>
        <v>介護経理</v>
      </c>
      <c r="E402" s="5" t="str">
        <f aca="false">設定!$B$41&amp;""</f>
        <v/>
      </c>
      <c r="F402" s="5" t="str">
        <f aca="false">設定!$D$53&amp;""</f>
        <v/>
      </c>
      <c r="G402" s="5" t="str">
        <f aca="false">設定!$E$53&amp;""</f>
        <v/>
      </c>
      <c r="H402" s="5" t="n">
        <f aca="false">IF(B402="",0,N(INDEX(報告入力!$BF$7:$BF$696,B402)))</f>
        <v>0</v>
      </c>
      <c r="I402" s="5" t="str">
        <f aca="false">設定!$C$41&amp;""</f>
        <v/>
      </c>
      <c r="J402" s="5" t="str">
        <f aca="false">設定!$D$41&amp;""</f>
        <v/>
      </c>
      <c r="K402" s="5" t="n">
        <f aca="false">IF(AND(H402&lt;&gt;0,IF(設定!$B$6="入金確認済のみ",C402="入金確認済",OR(C402="入金確認済",C402="受領済"))),1,0)</f>
        <v>0</v>
      </c>
      <c r="L402" s="5" t="str">
        <f aca="false">3&amp;"|"&amp;38</f>
        <v>3|38</v>
      </c>
      <c r="M402" s="5" t="n">
        <f aca="false">IF(L402=L401,M401,0)+K402</f>
        <v>0</v>
      </c>
      <c r="N402" s="5" t="n">
        <f aca="false">IF(AND(K402=1,M402=1),1,0)</f>
        <v>0</v>
      </c>
      <c r="O402" s="5" t="str">
        <f aca="false">IF(K402=1,MAX($O$5:O401)+1,"")</f>
        <v/>
      </c>
      <c r="P402" s="5" t="str">
        <f aca="false">IF(K402=1,SUM($N$6:N402),"")</f>
        <v/>
      </c>
      <c r="Q402" s="5" t="str">
        <f aca="false">IF(K402=1,SUMIFS($H$6:$H$511,$L$6:$L$511,L402,$K$6:$K$511,1),"")</f>
        <v/>
      </c>
      <c r="R402" s="103" t="str">
        <f aca="false">IF(B402="","",IF(INDEX(報告入力!$AB$7:$AB$696,B402)="","",INDEX(報告入力!$AB$7:$AB$696,B402)))</f>
        <v/>
      </c>
      <c r="S402" s="5" t="str">
        <f aca="false">設定!$C$53</f>
        <v>介護：掛金</v>
      </c>
    </row>
    <row r="403" customFormat="false" ht="25.35" hidden="false" customHeight="false" outlineLevel="0" collapsed="false">
      <c r="A403" s="104" t="str">
        <f aca="false">設定!B98</f>
        <v>地方公共団体
情報システム機構</v>
      </c>
      <c r="B403" s="5" t="n">
        <f aca="false">IFERROR(MATCH(ホーム!$C$4&amp;"|"&amp;A403,報告入力!$CM$7:$CM$696,0),"")</f>
        <v>360</v>
      </c>
      <c r="C403" s="5" t="str">
        <f aca="false">IF(B403="","",INDEX(報告入力!$C$7:$C$696,B403))</f>
        <v>報告なし</v>
      </c>
      <c r="D403" s="5" t="str">
        <f aca="false">設定!$A$41</f>
        <v>介護経理</v>
      </c>
      <c r="E403" s="5" t="str">
        <f aca="false">設定!$B$41&amp;""</f>
        <v/>
      </c>
      <c r="F403" s="5" t="str">
        <f aca="false">設定!$D$54&amp;""</f>
        <v/>
      </c>
      <c r="G403" s="5" t="str">
        <f aca="false">設定!$E$54&amp;""</f>
        <v/>
      </c>
      <c r="H403" s="5" t="n">
        <f aca="false">IF(B403="",0,N(INDEX(報告入力!$BG$7:$BG$696,B403)))</f>
        <v>0</v>
      </c>
      <c r="I403" s="5" t="str">
        <f aca="false">設定!$C$41&amp;""</f>
        <v/>
      </c>
      <c r="J403" s="5" t="str">
        <f aca="false">設定!$D$41&amp;""</f>
        <v/>
      </c>
      <c r="K403" s="5" t="n">
        <f aca="false">IF(AND(H403&lt;&gt;0,IF(設定!$B$6="入金確認済のみ",C403="入金確認済",OR(C403="入金確認済",C403="受領済"))),1,0)</f>
        <v>0</v>
      </c>
      <c r="L403" s="5" t="str">
        <f aca="false">3&amp;"|"&amp;38</f>
        <v>3|38</v>
      </c>
      <c r="M403" s="5" t="n">
        <f aca="false">IF(L403=L402,M402,0)+K403</f>
        <v>0</v>
      </c>
      <c r="N403" s="5" t="n">
        <f aca="false">IF(AND(K403=1,M403=1),1,0)</f>
        <v>0</v>
      </c>
      <c r="O403" s="5" t="str">
        <f aca="false">IF(K403=1,MAX($O$5:O402)+1,"")</f>
        <v/>
      </c>
      <c r="P403" s="5" t="str">
        <f aca="false">IF(K403=1,SUM($N$6:N403),"")</f>
        <v/>
      </c>
      <c r="Q403" s="5" t="str">
        <f aca="false">IF(K403=1,SUMIFS($H$6:$H$511,$L$6:$L$511,L403,$K$6:$K$511,1),"")</f>
        <v/>
      </c>
      <c r="R403" s="103" t="str">
        <f aca="false">IF(B403="","",IF(INDEX(報告入力!$AB$7:$AB$696,B403)="","",INDEX(報告入力!$AB$7:$AB$696,B403)))</f>
        <v/>
      </c>
      <c r="S403" s="5" t="str">
        <f aca="false">設定!$C$54</f>
        <v>介護：負担金</v>
      </c>
    </row>
    <row r="404" customFormat="false" ht="15" hidden="false" customHeight="false" outlineLevel="0" collapsed="false">
      <c r="A404" s="5" t="str">
        <f aca="false">設定!B99</f>
        <v>全国市長会</v>
      </c>
      <c r="B404" s="5" t="n">
        <f aca="false">IFERROR(MATCH(ホーム!$C$4&amp;"|"&amp;A404,報告入力!$CM$7:$CM$696,0),"")</f>
        <v>361</v>
      </c>
      <c r="C404" s="5" t="str">
        <f aca="false">IF(B404="","",INDEX(報告入力!$C$7:$C$696,B404))</f>
        <v>受領済</v>
      </c>
      <c r="D404" s="5" t="str">
        <f aca="false">設定!$A$41</f>
        <v>介護経理</v>
      </c>
      <c r="E404" s="5" t="str">
        <f aca="false">設定!$B$41&amp;""</f>
        <v/>
      </c>
      <c r="F404" s="5" t="str">
        <f aca="false">設定!$D$53&amp;""</f>
        <v/>
      </c>
      <c r="G404" s="5" t="str">
        <f aca="false">設定!$E$53&amp;""</f>
        <v/>
      </c>
      <c r="H404" s="5" t="n">
        <f aca="false">IF(B404="",0,N(INDEX(報告入力!$BF$7:$BF$696,B404)))</f>
        <v>13193</v>
      </c>
      <c r="I404" s="5" t="str">
        <f aca="false">設定!$C$41&amp;""</f>
        <v/>
      </c>
      <c r="J404" s="5" t="str">
        <f aca="false">設定!$D$41&amp;""</f>
        <v/>
      </c>
      <c r="K404" s="5" t="n">
        <f aca="false">IF(AND(H404&lt;&gt;0,IF(設定!$B$6="入金確認済のみ",C404="入金確認済",OR(C404="入金確認済",C404="受領済"))),1,0)</f>
        <v>0</v>
      </c>
      <c r="L404" s="5" t="str">
        <f aca="false">3&amp;"|"&amp;39</f>
        <v>3|39</v>
      </c>
      <c r="M404" s="5" t="n">
        <f aca="false">IF(L404=L403,M403,0)+K404</f>
        <v>0</v>
      </c>
      <c r="N404" s="5" t="n">
        <f aca="false">IF(AND(K404=1,M404=1),1,0)</f>
        <v>0</v>
      </c>
      <c r="O404" s="5" t="str">
        <f aca="false">IF(K404=1,MAX($O$5:O403)+1,"")</f>
        <v/>
      </c>
      <c r="P404" s="5" t="str">
        <f aca="false">IF(K404=1,SUM($N$6:N404),"")</f>
        <v/>
      </c>
      <c r="Q404" s="5" t="str">
        <f aca="false">IF(K404=1,SUMIFS($H$6:$H$511,$L$6:$L$511,L404,$K$6:$K$511,1),"")</f>
        <v/>
      </c>
      <c r="R404" s="103" t="str">
        <f aca="false">IF(B404="","",IF(INDEX(報告入力!$AB$7:$AB$696,B404)="","",INDEX(報告入力!$AB$7:$AB$696,B404)))</f>
        <v/>
      </c>
      <c r="S404" s="5" t="str">
        <f aca="false">設定!$C$53</f>
        <v>介護：掛金</v>
      </c>
    </row>
    <row r="405" customFormat="false" ht="15" hidden="false" customHeight="false" outlineLevel="0" collapsed="false">
      <c r="A405" s="5" t="str">
        <f aca="false">設定!B99</f>
        <v>全国市長会</v>
      </c>
      <c r="B405" s="5" t="n">
        <f aca="false">IFERROR(MATCH(ホーム!$C$4&amp;"|"&amp;A405,報告入力!$CM$7:$CM$696,0),"")</f>
        <v>361</v>
      </c>
      <c r="C405" s="5" t="str">
        <f aca="false">IF(B405="","",INDEX(報告入力!$C$7:$C$696,B405))</f>
        <v>受領済</v>
      </c>
      <c r="D405" s="5" t="str">
        <f aca="false">設定!$A$41</f>
        <v>介護経理</v>
      </c>
      <c r="E405" s="5" t="str">
        <f aca="false">設定!$B$41&amp;""</f>
        <v/>
      </c>
      <c r="F405" s="5" t="str">
        <f aca="false">設定!$D$54&amp;""</f>
        <v/>
      </c>
      <c r="G405" s="5" t="str">
        <f aca="false">設定!$E$54&amp;""</f>
        <v/>
      </c>
      <c r="H405" s="5" t="n">
        <f aca="false">IF(B405="",0,N(INDEX(報告入力!$BG$7:$BG$696,B405)))</f>
        <v>13193</v>
      </c>
      <c r="I405" s="5" t="str">
        <f aca="false">設定!$C$41&amp;""</f>
        <v/>
      </c>
      <c r="J405" s="5" t="str">
        <f aca="false">設定!$D$41&amp;""</f>
        <v/>
      </c>
      <c r="K405" s="5" t="n">
        <f aca="false">IF(AND(H405&lt;&gt;0,IF(設定!$B$6="入金確認済のみ",C405="入金確認済",OR(C405="入金確認済",C405="受領済"))),1,0)</f>
        <v>0</v>
      </c>
      <c r="L405" s="5" t="str">
        <f aca="false">3&amp;"|"&amp;39</f>
        <v>3|39</v>
      </c>
      <c r="M405" s="5" t="n">
        <f aca="false">IF(L405=L404,M404,0)+K405</f>
        <v>0</v>
      </c>
      <c r="N405" s="5" t="n">
        <f aca="false">IF(AND(K405=1,M405=1),1,0)</f>
        <v>0</v>
      </c>
      <c r="O405" s="5" t="str">
        <f aca="false">IF(K405=1,MAX($O$5:O404)+1,"")</f>
        <v/>
      </c>
      <c r="P405" s="5" t="str">
        <f aca="false">IF(K405=1,SUM($N$6:N405),"")</f>
        <v/>
      </c>
      <c r="Q405" s="5" t="str">
        <f aca="false">IF(K405=1,SUMIFS($H$6:$H$511,$L$6:$L$511,L405,$K$6:$K$511,1),"")</f>
        <v/>
      </c>
      <c r="R405" s="103" t="str">
        <f aca="false">IF(B405="","",IF(INDEX(報告入力!$AB$7:$AB$696,B405)="","",INDEX(報告入力!$AB$7:$AB$696,B405)))</f>
        <v/>
      </c>
      <c r="S405" s="5" t="str">
        <f aca="false">設定!$C$54</f>
        <v>介護：負担金</v>
      </c>
    </row>
    <row r="406" customFormat="false" ht="15" hidden="false" customHeight="false" outlineLevel="0" collapsed="false">
      <c r="A406" s="5" t="str">
        <f aca="false">設定!B100</f>
        <v>高速交通（株）</v>
      </c>
      <c r="B406" s="5" t="n">
        <f aca="false">IFERROR(MATCH(ホーム!$C$4&amp;"|"&amp;A406,報告入力!$CM$7:$CM$696,0),"")</f>
        <v>362</v>
      </c>
      <c r="C406" s="5" t="str">
        <f aca="false">IF(B406="","",INDEX(報告入力!$C$7:$C$696,B406))</f>
        <v>未受領</v>
      </c>
      <c r="D406" s="5" t="str">
        <f aca="false">設定!$A$41</f>
        <v>介護経理</v>
      </c>
      <c r="E406" s="5" t="str">
        <f aca="false">設定!$B$41&amp;""</f>
        <v/>
      </c>
      <c r="F406" s="5" t="str">
        <f aca="false">設定!$D$53&amp;""</f>
        <v/>
      </c>
      <c r="G406" s="5" t="str">
        <f aca="false">設定!$E$53&amp;""</f>
        <v/>
      </c>
      <c r="H406" s="5" t="n">
        <f aca="false">IF(B406="",0,N(INDEX(報告入力!$BF$7:$BF$696,B406)))</f>
        <v>0</v>
      </c>
      <c r="I406" s="5" t="str">
        <f aca="false">設定!$C$41&amp;""</f>
        <v/>
      </c>
      <c r="J406" s="5" t="str">
        <f aca="false">設定!$D$41&amp;""</f>
        <v/>
      </c>
      <c r="K406" s="5" t="n">
        <f aca="false">IF(AND(H406&lt;&gt;0,IF(設定!$B$6="入金確認済のみ",C406="入金確認済",OR(C406="入金確認済",C406="受領済"))),1,0)</f>
        <v>0</v>
      </c>
      <c r="L406" s="5" t="str">
        <f aca="false">3&amp;"|"&amp;40</f>
        <v>3|40</v>
      </c>
      <c r="M406" s="5" t="n">
        <f aca="false">IF(L406=L405,M405,0)+K406</f>
        <v>0</v>
      </c>
      <c r="N406" s="5" t="n">
        <f aca="false">IF(AND(K406=1,M406=1),1,0)</f>
        <v>0</v>
      </c>
      <c r="O406" s="5" t="str">
        <f aca="false">IF(K406=1,MAX($O$5:O405)+1,"")</f>
        <v/>
      </c>
      <c r="P406" s="5" t="str">
        <f aca="false">IF(K406=1,SUM($N$6:N406),"")</f>
        <v/>
      </c>
      <c r="Q406" s="5" t="str">
        <f aca="false">IF(K406=1,SUMIFS($H$6:$H$511,$L$6:$L$511,L406,$K$6:$K$511,1),"")</f>
        <v/>
      </c>
      <c r="R406" s="103" t="str">
        <f aca="false">IF(B406="","",IF(INDEX(報告入力!$AB$7:$AB$696,B406)="","",INDEX(報告入力!$AB$7:$AB$696,B406)))</f>
        <v/>
      </c>
      <c r="S406" s="5" t="str">
        <f aca="false">設定!$C$53</f>
        <v>介護：掛金</v>
      </c>
    </row>
    <row r="407" customFormat="false" ht="15" hidden="false" customHeight="false" outlineLevel="0" collapsed="false">
      <c r="A407" s="5" t="str">
        <f aca="false">設定!B100</f>
        <v>高速交通（株）</v>
      </c>
      <c r="B407" s="5" t="n">
        <f aca="false">IFERROR(MATCH(ホーム!$C$4&amp;"|"&amp;A407,報告入力!$CM$7:$CM$696,0),"")</f>
        <v>362</v>
      </c>
      <c r="C407" s="5" t="str">
        <f aca="false">IF(B407="","",INDEX(報告入力!$C$7:$C$696,B407))</f>
        <v>未受領</v>
      </c>
      <c r="D407" s="5" t="str">
        <f aca="false">設定!$A$41</f>
        <v>介護経理</v>
      </c>
      <c r="E407" s="5" t="str">
        <f aca="false">設定!$B$41&amp;""</f>
        <v/>
      </c>
      <c r="F407" s="5" t="str">
        <f aca="false">設定!$D$54&amp;""</f>
        <v/>
      </c>
      <c r="G407" s="5" t="str">
        <f aca="false">設定!$E$54&amp;""</f>
        <v/>
      </c>
      <c r="H407" s="5" t="n">
        <f aca="false">IF(B407="",0,N(INDEX(報告入力!$BG$7:$BG$696,B407)))</f>
        <v>0</v>
      </c>
      <c r="I407" s="5" t="str">
        <f aca="false">設定!$C$41&amp;""</f>
        <v/>
      </c>
      <c r="J407" s="5" t="str">
        <f aca="false">設定!$D$41&amp;""</f>
        <v/>
      </c>
      <c r="K407" s="5" t="n">
        <f aca="false">IF(AND(H407&lt;&gt;0,IF(設定!$B$6="入金確認済のみ",C407="入金確認済",OR(C407="入金確認済",C407="受領済"))),1,0)</f>
        <v>0</v>
      </c>
      <c r="L407" s="5" t="str">
        <f aca="false">3&amp;"|"&amp;40</f>
        <v>3|40</v>
      </c>
      <c r="M407" s="5" t="n">
        <f aca="false">IF(L407=L406,M406,0)+K407</f>
        <v>0</v>
      </c>
      <c r="N407" s="5" t="n">
        <f aca="false">IF(AND(K407=1,M407=1),1,0)</f>
        <v>0</v>
      </c>
      <c r="O407" s="5" t="str">
        <f aca="false">IF(K407=1,MAX($O$5:O406)+1,"")</f>
        <v/>
      </c>
      <c r="P407" s="5" t="str">
        <f aca="false">IF(K407=1,SUM($N$6:N407),"")</f>
        <v/>
      </c>
      <c r="Q407" s="5" t="str">
        <f aca="false">IF(K407=1,SUMIFS($H$6:$H$511,$L$6:$L$511,L407,$K$6:$K$511,1),"")</f>
        <v/>
      </c>
      <c r="R407" s="103" t="str">
        <f aca="false">IF(B407="","",IF(INDEX(報告入力!$AB$7:$AB$696,B407)="","",INDEX(報告入力!$AB$7:$AB$696,B407)))</f>
        <v/>
      </c>
      <c r="S407" s="5" t="str">
        <f aca="false">設定!$C$54</f>
        <v>介護：負担金</v>
      </c>
    </row>
    <row r="408" customFormat="false" ht="15" hidden="false" customHeight="false" outlineLevel="0" collapsed="false">
      <c r="A408" s="5" t="str">
        <f aca="false">設定!B101</f>
        <v>広島駅南口開発（株）</v>
      </c>
      <c r="B408" s="5" t="n">
        <f aca="false">IFERROR(MATCH(ホーム!$C$4&amp;"|"&amp;A408,報告入力!$CM$7:$CM$696,0),"")</f>
        <v>363</v>
      </c>
      <c r="C408" s="5" t="str">
        <f aca="false">IF(B408="","",INDEX(報告入力!$C$7:$C$696,B408))</f>
        <v>受領済</v>
      </c>
      <c r="D408" s="5" t="str">
        <f aca="false">設定!$A$41</f>
        <v>介護経理</v>
      </c>
      <c r="E408" s="5" t="str">
        <f aca="false">設定!$B$41&amp;""</f>
        <v/>
      </c>
      <c r="F408" s="5" t="str">
        <f aca="false">設定!$D$53&amp;""</f>
        <v/>
      </c>
      <c r="G408" s="5" t="str">
        <f aca="false">設定!$E$53&amp;""</f>
        <v/>
      </c>
      <c r="H408" s="5" t="n">
        <f aca="false">IF(B408="",0,N(INDEX(報告入力!$BF$7:$BF$696,B408)))</f>
        <v>0</v>
      </c>
      <c r="I408" s="5" t="str">
        <f aca="false">設定!$C$41&amp;""</f>
        <v/>
      </c>
      <c r="J408" s="5" t="str">
        <f aca="false">設定!$D$41&amp;""</f>
        <v/>
      </c>
      <c r="K408" s="5" t="n">
        <f aca="false">IF(AND(H408&lt;&gt;0,IF(設定!$B$6="入金確認済のみ",C408="入金確認済",OR(C408="入金確認済",C408="受領済"))),1,0)</f>
        <v>0</v>
      </c>
      <c r="L408" s="5" t="str">
        <f aca="false">3&amp;"|"&amp;41</f>
        <v>3|41</v>
      </c>
      <c r="M408" s="5" t="n">
        <f aca="false">IF(L408=L407,M407,0)+K408</f>
        <v>0</v>
      </c>
      <c r="N408" s="5" t="n">
        <f aca="false">IF(AND(K408=1,M408=1),1,0)</f>
        <v>0</v>
      </c>
      <c r="O408" s="5" t="str">
        <f aca="false">IF(K408=1,MAX($O$5:O407)+1,"")</f>
        <v/>
      </c>
      <c r="P408" s="5" t="str">
        <f aca="false">IF(K408=1,SUM($N$6:N408),"")</f>
        <v/>
      </c>
      <c r="Q408" s="5" t="str">
        <f aca="false">IF(K408=1,SUMIFS($H$6:$H$511,$L$6:$L$511,L408,$K$6:$K$511,1),"")</f>
        <v/>
      </c>
      <c r="R408" s="103" t="str">
        <f aca="false">IF(B408="","",IF(INDEX(報告入力!$AB$7:$AB$696,B408)="","",INDEX(報告入力!$AB$7:$AB$696,B408)))</f>
        <v/>
      </c>
      <c r="S408" s="5" t="str">
        <f aca="false">設定!$C$53</f>
        <v>介護：掛金</v>
      </c>
    </row>
    <row r="409" customFormat="false" ht="15" hidden="false" customHeight="false" outlineLevel="0" collapsed="false">
      <c r="A409" s="5" t="str">
        <f aca="false">設定!B101</f>
        <v>広島駅南口開発（株）</v>
      </c>
      <c r="B409" s="5" t="n">
        <f aca="false">IFERROR(MATCH(ホーム!$C$4&amp;"|"&amp;A409,報告入力!$CM$7:$CM$696,0),"")</f>
        <v>363</v>
      </c>
      <c r="C409" s="5" t="str">
        <f aca="false">IF(B409="","",INDEX(報告入力!$C$7:$C$696,B409))</f>
        <v>受領済</v>
      </c>
      <c r="D409" s="5" t="str">
        <f aca="false">設定!$A$41</f>
        <v>介護経理</v>
      </c>
      <c r="E409" s="5" t="str">
        <f aca="false">設定!$B$41&amp;""</f>
        <v/>
      </c>
      <c r="F409" s="5" t="str">
        <f aca="false">設定!$D$54&amp;""</f>
        <v/>
      </c>
      <c r="G409" s="5" t="str">
        <f aca="false">設定!$E$54&amp;""</f>
        <v/>
      </c>
      <c r="H409" s="5" t="n">
        <f aca="false">IF(B409="",0,N(INDEX(報告入力!$BG$7:$BG$696,B409)))</f>
        <v>0</v>
      </c>
      <c r="I409" s="5" t="str">
        <f aca="false">設定!$C$41&amp;""</f>
        <v/>
      </c>
      <c r="J409" s="5" t="str">
        <f aca="false">設定!$D$41&amp;""</f>
        <v/>
      </c>
      <c r="K409" s="5" t="n">
        <f aca="false">IF(AND(H409&lt;&gt;0,IF(設定!$B$6="入金確認済のみ",C409="入金確認済",OR(C409="入金確認済",C409="受領済"))),1,0)</f>
        <v>0</v>
      </c>
      <c r="L409" s="5" t="str">
        <f aca="false">3&amp;"|"&amp;41</f>
        <v>3|41</v>
      </c>
      <c r="M409" s="5" t="n">
        <f aca="false">IF(L409=L408,M408,0)+K409</f>
        <v>0</v>
      </c>
      <c r="N409" s="5" t="n">
        <f aca="false">IF(AND(K409=1,M409=1),1,0)</f>
        <v>0</v>
      </c>
      <c r="O409" s="5" t="str">
        <f aca="false">IF(K409=1,MAX($O$5:O408)+1,"")</f>
        <v/>
      </c>
      <c r="P409" s="5" t="str">
        <f aca="false">IF(K409=1,SUM($N$6:N409),"")</f>
        <v/>
      </c>
      <c r="Q409" s="5" t="str">
        <f aca="false">IF(K409=1,SUMIFS($H$6:$H$511,$L$6:$L$511,L409,$K$6:$K$511,1),"")</f>
        <v/>
      </c>
      <c r="R409" s="103" t="str">
        <f aca="false">IF(B409="","",IF(INDEX(報告入力!$AB$7:$AB$696,B409)="","",INDEX(報告入力!$AB$7:$AB$696,B409)))</f>
        <v/>
      </c>
      <c r="S409" s="5" t="str">
        <f aca="false">設定!$C$54</f>
        <v>介護：負担金</v>
      </c>
    </row>
    <row r="410" customFormat="false" ht="15" hidden="false" customHeight="false" outlineLevel="0" collapsed="false">
      <c r="A410" s="5" t="str">
        <f aca="false">設定!B102</f>
        <v>市職員労働組合</v>
      </c>
      <c r="B410" s="5" t="n">
        <f aca="false">IFERROR(MATCH(ホーム!$C$4&amp;"|"&amp;A410,報告入力!$CM$7:$CM$696,0),"")</f>
        <v>364</v>
      </c>
      <c r="C410" s="5" t="str">
        <f aca="false">IF(B410="","",INDEX(報告入力!$C$7:$C$696,B410))</f>
        <v>未受領</v>
      </c>
      <c r="D410" s="5" t="str">
        <f aca="false">設定!$A$41</f>
        <v>介護経理</v>
      </c>
      <c r="E410" s="5" t="str">
        <f aca="false">設定!$B$41&amp;""</f>
        <v/>
      </c>
      <c r="F410" s="5" t="str">
        <f aca="false">設定!$D$53&amp;""</f>
        <v/>
      </c>
      <c r="G410" s="5" t="str">
        <f aca="false">設定!$E$53&amp;""</f>
        <v/>
      </c>
      <c r="H410" s="5" t="n">
        <f aca="false">IF(B410="",0,N(INDEX(報告入力!$BF$7:$BF$696,B410)))</f>
        <v>2528</v>
      </c>
      <c r="I410" s="5" t="str">
        <f aca="false">設定!$C$41&amp;""</f>
        <v/>
      </c>
      <c r="J410" s="5" t="str">
        <f aca="false">設定!$D$41&amp;""</f>
        <v/>
      </c>
      <c r="K410" s="5" t="n">
        <f aca="false">IF(AND(H410&lt;&gt;0,IF(設定!$B$6="入金確認済のみ",C410="入金確認済",OR(C410="入金確認済",C410="受領済"))),1,0)</f>
        <v>0</v>
      </c>
      <c r="L410" s="5" t="str">
        <f aca="false">3&amp;"|"&amp;42</f>
        <v>3|42</v>
      </c>
      <c r="M410" s="5" t="n">
        <f aca="false">IF(L410=L409,M409,0)+K410</f>
        <v>0</v>
      </c>
      <c r="N410" s="5" t="n">
        <f aca="false">IF(AND(K410=1,M410=1),1,0)</f>
        <v>0</v>
      </c>
      <c r="O410" s="5" t="str">
        <f aca="false">IF(K410=1,MAX($O$5:O409)+1,"")</f>
        <v/>
      </c>
      <c r="P410" s="5" t="str">
        <f aca="false">IF(K410=1,SUM($N$6:N410),"")</f>
        <v/>
      </c>
      <c r="Q410" s="5" t="str">
        <f aca="false">IF(K410=1,SUMIFS($H$6:$H$511,$L$6:$L$511,L410,$K$6:$K$511,1),"")</f>
        <v/>
      </c>
      <c r="R410" s="103" t="str">
        <f aca="false">IF(B410="","",IF(INDEX(報告入力!$AB$7:$AB$696,B410)="","",INDEX(報告入力!$AB$7:$AB$696,B410)))</f>
        <v/>
      </c>
      <c r="S410" s="5" t="str">
        <f aca="false">設定!$C$53</f>
        <v>介護：掛金</v>
      </c>
    </row>
    <row r="411" customFormat="false" ht="15" hidden="false" customHeight="false" outlineLevel="0" collapsed="false">
      <c r="A411" s="5" t="str">
        <f aca="false">設定!B102</f>
        <v>市職員労働組合</v>
      </c>
      <c r="B411" s="5" t="n">
        <f aca="false">IFERROR(MATCH(ホーム!$C$4&amp;"|"&amp;A411,報告入力!$CM$7:$CM$696,0),"")</f>
        <v>364</v>
      </c>
      <c r="C411" s="5" t="str">
        <f aca="false">IF(B411="","",INDEX(報告入力!$C$7:$C$696,B411))</f>
        <v>未受領</v>
      </c>
      <c r="D411" s="5" t="str">
        <f aca="false">設定!$A$41</f>
        <v>介護経理</v>
      </c>
      <c r="E411" s="5" t="str">
        <f aca="false">設定!$B$41&amp;""</f>
        <v/>
      </c>
      <c r="F411" s="5" t="str">
        <f aca="false">設定!$D$54&amp;""</f>
        <v/>
      </c>
      <c r="G411" s="5" t="str">
        <f aca="false">設定!$E$54&amp;""</f>
        <v/>
      </c>
      <c r="H411" s="5" t="n">
        <f aca="false">IF(B411="",0,N(INDEX(報告入力!$BG$7:$BG$696,B411)))</f>
        <v>2528</v>
      </c>
      <c r="I411" s="5" t="str">
        <f aca="false">設定!$C$41&amp;""</f>
        <v/>
      </c>
      <c r="J411" s="5" t="str">
        <f aca="false">設定!$D$41&amp;""</f>
        <v/>
      </c>
      <c r="K411" s="5" t="n">
        <f aca="false">IF(AND(H411&lt;&gt;0,IF(設定!$B$6="入金確認済のみ",C411="入金確認済",OR(C411="入金確認済",C411="受領済"))),1,0)</f>
        <v>0</v>
      </c>
      <c r="L411" s="5" t="str">
        <f aca="false">3&amp;"|"&amp;42</f>
        <v>3|42</v>
      </c>
      <c r="M411" s="5" t="n">
        <f aca="false">IF(L411=L410,M410,0)+K411</f>
        <v>0</v>
      </c>
      <c r="N411" s="5" t="n">
        <f aca="false">IF(AND(K411=1,M411=1),1,0)</f>
        <v>0</v>
      </c>
      <c r="O411" s="5" t="str">
        <f aca="false">IF(K411=1,MAX($O$5:O410)+1,"")</f>
        <v/>
      </c>
      <c r="P411" s="5" t="str">
        <f aca="false">IF(K411=1,SUM($N$6:N411),"")</f>
        <v/>
      </c>
      <c r="Q411" s="5" t="str">
        <f aca="false">IF(K411=1,SUMIFS($H$6:$H$511,$L$6:$L$511,L411,$K$6:$K$511,1),"")</f>
        <v/>
      </c>
      <c r="R411" s="103" t="str">
        <f aca="false">IF(B411="","",IF(INDEX(報告入力!$AB$7:$AB$696,B411)="","",INDEX(報告入力!$AB$7:$AB$696,B411)))</f>
        <v/>
      </c>
      <c r="S411" s="5" t="str">
        <f aca="false">設定!$C$54</f>
        <v>介護：負担金</v>
      </c>
    </row>
    <row r="412" customFormat="false" ht="15" hidden="false" customHeight="false" outlineLevel="0" collapsed="false">
      <c r="A412" s="5" t="str">
        <f aca="false">設定!B103</f>
        <v>自治労労働組合</v>
      </c>
      <c r="B412" s="5" t="n">
        <f aca="false">IFERROR(MATCH(ホーム!$C$4&amp;"|"&amp;A412,報告入力!$CM$7:$CM$696,0),"")</f>
        <v>365</v>
      </c>
      <c r="C412" s="5" t="str">
        <f aca="false">IF(B412="","",INDEX(報告入力!$C$7:$C$696,B412))</f>
        <v>未受領</v>
      </c>
      <c r="D412" s="5" t="str">
        <f aca="false">設定!$A$41</f>
        <v>介護経理</v>
      </c>
      <c r="E412" s="5" t="str">
        <f aca="false">設定!$B$41&amp;""</f>
        <v/>
      </c>
      <c r="F412" s="5" t="str">
        <f aca="false">設定!$D$53&amp;""</f>
        <v/>
      </c>
      <c r="G412" s="5" t="str">
        <f aca="false">設定!$E$53&amp;""</f>
        <v/>
      </c>
      <c r="H412" s="5" t="n">
        <f aca="false">IF(B412="",0,N(INDEX(報告入力!$BF$7:$BF$696,B412)))</f>
        <v>0</v>
      </c>
      <c r="I412" s="5" t="str">
        <f aca="false">設定!$C$41&amp;""</f>
        <v/>
      </c>
      <c r="J412" s="5" t="str">
        <f aca="false">設定!$D$41&amp;""</f>
        <v/>
      </c>
      <c r="K412" s="5" t="n">
        <f aca="false">IF(AND(H412&lt;&gt;0,IF(設定!$B$6="入金確認済のみ",C412="入金確認済",OR(C412="入金確認済",C412="受領済"))),1,0)</f>
        <v>0</v>
      </c>
      <c r="L412" s="5" t="str">
        <f aca="false">3&amp;"|"&amp;43</f>
        <v>3|43</v>
      </c>
      <c r="M412" s="5" t="n">
        <f aca="false">IF(L412=L411,M411,0)+K412</f>
        <v>0</v>
      </c>
      <c r="N412" s="5" t="n">
        <f aca="false">IF(AND(K412=1,M412=1),1,0)</f>
        <v>0</v>
      </c>
      <c r="O412" s="5" t="str">
        <f aca="false">IF(K412=1,MAX($O$5:O411)+1,"")</f>
        <v/>
      </c>
      <c r="P412" s="5" t="str">
        <f aca="false">IF(K412=1,SUM($N$6:N412),"")</f>
        <v/>
      </c>
      <c r="Q412" s="5" t="str">
        <f aca="false">IF(K412=1,SUMIFS($H$6:$H$511,$L$6:$L$511,L412,$K$6:$K$511,1),"")</f>
        <v/>
      </c>
      <c r="R412" s="103" t="str">
        <f aca="false">IF(B412="","",IF(INDEX(報告入力!$AB$7:$AB$696,B412)="","",INDEX(報告入力!$AB$7:$AB$696,B412)))</f>
        <v/>
      </c>
      <c r="S412" s="5" t="str">
        <f aca="false">設定!$C$53</f>
        <v>介護：掛金</v>
      </c>
    </row>
    <row r="413" customFormat="false" ht="15" hidden="false" customHeight="false" outlineLevel="0" collapsed="false">
      <c r="A413" s="5" t="str">
        <f aca="false">設定!B103</f>
        <v>自治労労働組合</v>
      </c>
      <c r="B413" s="5" t="n">
        <f aca="false">IFERROR(MATCH(ホーム!$C$4&amp;"|"&amp;A413,報告入力!$CM$7:$CM$696,0),"")</f>
        <v>365</v>
      </c>
      <c r="C413" s="5" t="str">
        <f aca="false">IF(B413="","",INDEX(報告入力!$C$7:$C$696,B413))</f>
        <v>未受領</v>
      </c>
      <c r="D413" s="5" t="str">
        <f aca="false">設定!$A$41</f>
        <v>介護経理</v>
      </c>
      <c r="E413" s="5" t="str">
        <f aca="false">設定!$B$41&amp;""</f>
        <v/>
      </c>
      <c r="F413" s="5" t="str">
        <f aca="false">設定!$D$54&amp;""</f>
        <v/>
      </c>
      <c r="G413" s="5" t="str">
        <f aca="false">設定!$E$54&amp;""</f>
        <v/>
      </c>
      <c r="H413" s="5" t="n">
        <f aca="false">IF(B413="",0,N(INDEX(報告入力!$BG$7:$BG$696,B413)))</f>
        <v>0</v>
      </c>
      <c r="I413" s="5" t="str">
        <f aca="false">設定!$C$41&amp;""</f>
        <v/>
      </c>
      <c r="J413" s="5" t="str">
        <f aca="false">設定!$D$41&amp;""</f>
        <v/>
      </c>
      <c r="K413" s="5" t="n">
        <f aca="false">IF(AND(H413&lt;&gt;0,IF(設定!$B$6="入金確認済のみ",C413="入金確認済",OR(C413="入金確認済",C413="受領済"))),1,0)</f>
        <v>0</v>
      </c>
      <c r="L413" s="5" t="str">
        <f aca="false">3&amp;"|"&amp;43</f>
        <v>3|43</v>
      </c>
      <c r="M413" s="5" t="n">
        <f aca="false">IF(L413=L412,M412,0)+K413</f>
        <v>0</v>
      </c>
      <c r="N413" s="5" t="n">
        <f aca="false">IF(AND(K413=1,M413=1),1,0)</f>
        <v>0</v>
      </c>
      <c r="O413" s="5" t="str">
        <f aca="false">IF(K413=1,MAX($O$5:O412)+1,"")</f>
        <v/>
      </c>
      <c r="P413" s="5" t="str">
        <f aca="false">IF(K413=1,SUM($N$6:N413),"")</f>
        <v/>
      </c>
      <c r="Q413" s="5" t="str">
        <f aca="false">IF(K413=1,SUMIFS($H$6:$H$511,$L$6:$L$511,L413,$K$6:$K$511,1),"")</f>
        <v/>
      </c>
      <c r="R413" s="103" t="str">
        <f aca="false">IF(B413="","",IF(INDEX(報告入力!$AB$7:$AB$696,B413)="","",INDEX(報告入力!$AB$7:$AB$696,B413)))</f>
        <v/>
      </c>
      <c r="S413" s="5" t="str">
        <f aca="false">設定!$C$54</f>
        <v>介護：負担金</v>
      </c>
    </row>
    <row r="414" customFormat="false" ht="15" hidden="false" customHeight="false" outlineLevel="0" collapsed="false">
      <c r="A414" s="5" t="str">
        <f aca="false">設定!B104</f>
        <v>病院労働組合</v>
      </c>
      <c r="B414" s="5" t="n">
        <f aca="false">IFERROR(MATCH(ホーム!$C$4&amp;"|"&amp;A414,報告入力!$CM$7:$CM$696,0),"")</f>
        <v>366</v>
      </c>
      <c r="C414" s="5" t="str">
        <f aca="false">IF(B414="","",INDEX(報告入力!$C$7:$C$696,B414))</f>
        <v>受領済</v>
      </c>
      <c r="D414" s="5" t="str">
        <f aca="false">設定!$A$41</f>
        <v>介護経理</v>
      </c>
      <c r="E414" s="5" t="str">
        <f aca="false">設定!$B$41&amp;""</f>
        <v/>
      </c>
      <c r="F414" s="5" t="str">
        <f aca="false">設定!$D$53&amp;""</f>
        <v/>
      </c>
      <c r="G414" s="5" t="str">
        <f aca="false">設定!$E$53&amp;""</f>
        <v/>
      </c>
      <c r="H414" s="5" t="n">
        <f aca="false">IF(B414="",0,N(INDEX(報告入力!$BF$7:$BF$696,B414)))</f>
        <v>2370</v>
      </c>
      <c r="I414" s="5" t="str">
        <f aca="false">設定!$C$41&amp;""</f>
        <v/>
      </c>
      <c r="J414" s="5" t="str">
        <f aca="false">設定!$D$41&amp;""</f>
        <v/>
      </c>
      <c r="K414" s="5" t="n">
        <f aca="false">IF(AND(H414&lt;&gt;0,IF(設定!$B$6="入金確認済のみ",C414="入金確認済",OR(C414="入金確認済",C414="受領済"))),1,0)</f>
        <v>0</v>
      </c>
      <c r="L414" s="5" t="str">
        <f aca="false">3&amp;"|"&amp;44</f>
        <v>3|44</v>
      </c>
      <c r="M414" s="5" t="n">
        <f aca="false">IF(L414=L413,M413,0)+K414</f>
        <v>0</v>
      </c>
      <c r="N414" s="5" t="n">
        <f aca="false">IF(AND(K414=1,M414=1),1,0)</f>
        <v>0</v>
      </c>
      <c r="O414" s="5" t="str">
        <f aca="false">IF(K414=1,MAX($O$5:O413)+1,"")</f>
        <v/>
      </c>
      <c r="P414" s="5" t="str">
        <f aca="false">IF(K414=1,SUM($N$6:N414),"")</f>
        <v/>
      </c>
      <c r="Q414" s="5" t="str">
        <f aca="false">IF(K414=1,SUMIFS($H$6:$H$511,$L$6:$L$511,L414,$K$6:$K$511,1),"")</f>
        <v/>
      </c>
      <c r="R414" s="103" t="str">
        <f aca="false">IF(B414="","",IF(INDEX(報告入力!$AB$7:$AB$696,B414)="","",INDEX(報告入力!$AB$7:$AB$696,B414)))</f>
        <v/>
      </c>
      <c r="S414" s="5" t="str">
        <f aca="false">設定!$C$53</f>
        <v>介護：掛金</v>
      </c>
    </row>
    <row r="415" customFormat="false" ht="15" hidden="false" customHeight="false" outlineLevel="0" collapsed="false">
      <c r="A415" s="5" t="str">
        <f aca="false">設定!B104</f>
        <v>病院労働組合</v>
      </c>
      <c r="B415" s="5" t="n">
        <f aca="false">IFERROR(MATCH(ホーム!$C$4&amp;"|"&amp;A415,報告入力!$CM$7:$CM$696,0),"")</f>
        <v>366</v>
      </c>
      <c r="C415" s="5" t="str">
        <f aca="false">IF(B415="","",INDEX(報告入力!$C$7:$C$696,B415))</f>
        <v>受領済</v>
      </c>
      <c r="D415" s="5" t="str">
        <f aca="false">設定!$A$41</f>
        <v>介護経理</v>
      </c>
      <c r="E415" s="5" t="str">
        <f aca="false">設定!$B$41&amp;""</f>
        <v/>
      </c>
      <c r="F415" s="5" t="str">
        <f aca="false">設定!$D$54&amp;""</f>
        <v/>
      </c>
      <c r="G415" s="5" t="str">
        <f aca="false">設定!$E$54&amp;""</f>
        <v/>
      </c>
      <c r="H415" s="5" t="n">
        <f aca="false">IF(B415="",0,N(INDEX(報告入力!$BG$7:$BG$696,B415)))</f>
        <v>2370</v>
      </c>
      <c r="I415" s="5" t="str">
        <f aca="false">設定!$C$41&amp;""</f>
        <v/>
      </c>
      <c r="J415" s="5" t="str">
        <f aca="false">設定!$D$41&amp;""</f>
        <v/>
      </c>
      <c r="K415" s="5" t="n">
        <f aca="false">IF(AND(H415&lt;&gt;0,IF(設定!$B$6="入金確認済のみ",C415="入金確認済",OR(C415="入金確認済",C415="受領済"))),1,0)</f>
        <v>0</v>
      </c>
      <c r="L415" s="5" t="str">
        <f aca="false">3&amp;"|"&amp;44</f>
        <v>3|44</v>
      </c>
      <c r="M415" s="5" t="n">
        <f aca="false">IF(L415=L414,M414,0)+K415</f>
        <v>0</v>
      </c>
      <c r="N415" s="5" t="n">
        <f aca="false">IF(AND(K415=1,M415=1),1,0)</f>
        <v>0</v>
      </c>
      <c r="O415" s="5" t="str">
        <f aca="false">IF(K415=1,MAX($O$5:O414)+1,"")</f>
        <v/>
      </c>
      <c r="P415" s="5" t="str">
        <f aca="false">IF(K415=1,SUM($N$6:N415),"")</f>
        <v/>
      </c>
      <c r="Q415" s="5" t="str">
        <f aca="false">IF(K415=1,SUMIFS($H$6:$H$511,$L$6:$L$511,L415,$K$6:$K$511,1),"")</f>
        <v/>
      </c>
      <c r="R415" s="103" t="str">
        <f aca="false">IF(B415="","",IF(INDEX(報告入力!$AB$7:$AB$696,B415)="","",INDEX(報告入力!$AB$7:$AB$696,B415)))</f>
        <v/>
      </c>
      <c r="S415" s="5" t="str">
        <f aca="false">設定!$C$54</f>
        <v>介護：負担金</v>
      </c>
    </row>
    <row r="416" customFormat="false" ht="15" hidden="false" customHeight="false" outlineLevel="0" collapsed="false">
      <c r="A416" s="5" t="str">
        <f aca="false">設定!B105</f>
        <v>水道労働組合</v>
      </c>
      <c r="B416" s="5" t="n">
        <f aca="false">IFERROR(MATCH(ホーム!$C$4&amp;"|"&amp;A416,報告入力!$CM$7:$CM$696,0),"")</f>
        <v>367</v>
      </c>
      <c r="C416" s="5" t="str">
        <f aca="false">IF(B416="","",INDEX(報告入力!$C$7:$C$696,B416))</f>
        <v>報告なし</v>
      </c>
      <c r="D416" s="5" t="str">
        <f aca="false">設定!$A$41</f>
        <v>介護経理</v>
      </c>
      <c r="E416" s="5" t="str">
        <f aca="false">設定!$B$41&amp;""</f>
        <v/>
      </c>
      <c r="F416" s="5" t="str">
        <f aca="false">設定!$D$53&amp;""</f>
        <v/>
      </c>
      <c r="G416" s="5" t="str">
        <f aca="false">設定!$E$53&amp;""</f>
        <v/>
      </c>
      <c r="H416" s="5" t="n">
        <f aca="false">IF(B416="",0,N(INDEX(報告入力!$BF$7:$BF$696,B416)))</f>
        <v>0</v>
      </c>
      <c r="I416" s="5" t="str">
        <f aca="false">設定!$C$41&amp;""</f>
        <v/>
      </c>
      <c r="J416" s="5" t="str">
        <f aca="false">設定!$D$41&amp;""</f>
        <v/>
      </c>
      <c r="K416" s="5" t="n">
        <f aca="false">IF(AND(H416&lt;&gt;0,IF(設定!$B$6="入金確認済のみ",C416="入金確認済",OR(C416="入金確認済",C416="受領済"))),1,0)</f>
        <v>0</v>
      </c>
      <c r="L416" s="5" t="str">
        <f aca="false">3&amp;"|"&amp;45</f>
        <v>3|45</v>
      </c>
      <c r="M416" s="5" t="n">
        <f aca="false">IF(L416=L415,M415,0)+K416</f>
        <v>0</v>
      </c>
      <c r="N416" s="5" t="n">
        <f aca="false">IF(AND(K416=1,M416=1),1,0)</f>
        <v>0</v>
      </c>
      <c r="O416" s="5" t="str">
        <f aca="false">IF(K416=1,MAX($O$5:O415)+1,"")</f>
        <v/>
      </c>
      <c r="P416" s="5" t="str">
        <f aca="false">IF(K416=1,SUM($N$6:N416),"")</f>
        <v/>
      </c>
      <c r="Q416" s="5" t="str">
        <f aca="false">IF(K416=1,SUMIFS($H$6:$H$511,$L$6:$L$511,L416,$K$6:$K$511,1),"")</f>
        <v/>
      </c>
      <c r="R416" s="103" t="str">
        <f aca="false">IF(B416="","",IF(INDEX(報告入力!$AB$7:$AB$696,B416)="","",INDEX(報告入力!$AB$7:$AB$696,B416)))</f>
        <v/>
      </c>
      <c r="S416" s="5" t="str">
        <f aca="false">設定!$C$53</f>
        <v>介護：掛金</v>
      </c>
    </row>
    <row r="417" customFormat="false" ht="15" hidden="false" customHeight="false" outlineLevel="0" collapsed="false">
      <c r="A417" s="5" t="str">
        <f aca="false">設定!B105</f>
        <v>水道労働組合</v>
      </c>
      <c r="B417" s="5" t="n">
        <f aca="false">IFERROR(MATCH(ホーム!$C$4&amp;"|"&amp;A417,報告入力!$CM$7:$CM$696,0),"")</f>
        <v>367</v>
      </c>
      <c r="C417" s="5" t="str">
        <f aca="false">IF(B417="","",INDEX(報告入力!$C$7:$C$696,B417))</f>
        <v>報告なし</v>
      </c>
      <c r="D417" s="5" t="str">
        <f aca="false">設定!$A$41</f>
        <v>介護経理</v>
      </c>
      <c r="E417" s="5" t="str">
        <f aca="false">設定!$B$41&amp;""</f>
        <v/>
      </c>
      <c r="F417" s="5" t="str">
        <f aca="false">設定!$D$54&amp;""</f>
        <v/>
      </c>
      <c r="G417" s="5" t="str">
        <f aca="false">設定!$E$54&amp;""</f>
        <v/>
      </c>
      <c r="H417" s="5" t="n">
        <f aca="false">IF(B417="",0,N(INDEX(報告入力!$BG$7:$BG$696,B417)))</f>
        <v>0</v>
      </c>
      <c r="I417" s="5" t="str">
        <f aca="false">設定!$C$41&amp;""</f>
        <v/>
      </c>
      <c r="J417" s="5" t="str">
        <f aca="false">設定!$D$41&amp;""</f>
        <v/>
      </c>
      <c r="K417" s="5" t="n">
        <f aca="false">IF(AND(H417&lt;&gt;0,IF(設定!$B$6="入金確認済のみ",C417="入金確認済",OR(C417="入金確認済",C417="受領済"))),1,0)</f>
        <v>0</v>
      </c>
      <c r="L417" s="5" t="str">
        <f aca="false">3&amp;"|"&amp;45</f>
        <v>3|45</v>
      </c>
      <c r="M417" s="5" t="n">
        <f aca="false">IF(L417=L416,M416,0)+K417</f>
        <v>0</v>
      </c>
      <c r="N417" s="5" t="n">
        <f aca="false">IF(AND(K417=1,M417=1),1,0)</f>
        <v>0</v>
      </c>
      <c r="O417" s="5" t="str">
        <f aca="false">IF(K417=1,MAX($O$5:O416)+1,"")</f>
        <v/>
      </c>
      <c r="P417" s="5" t="str">
        <f aca="false">IF(K417=1,SUM($N$6:N417),"")</f>
        <v/>
      </c>
      <c r="Q417" s="5" t="str">
        <f aca="false">IF(K417=1,SUMIFS($H$6:$H$511,$L$6:$L$511,L417,$K$6:$K$511,1),"")</f>
        <v/>
      </c>
      <c r="R417" s="103" t="str">
        <f aca="false">IF(B417="","",IF(INDEX(報告入力!$AB$7:$AB$696,B417)="","",INDEX(報告入力!$AB$7:$AB$696,B417)))</f>
        <v/>
      </c>
      <c r="S417" s="5" t="str">
        <f aca="false">設定!$C$54</f>
        <v>介護：負担金</v>
      </c>
    </row>
    <row r="418" customFormat="false" ht="15" hidden="false" customHeight="false" outlineLevel="0" collapsed="false">
      <c r="A418" s="5" t="str">
        <f aca="false">設定!B106</f>
        <v>任意継続組合員</v>
      </c>
      <c r="B418" s="5" t="n">
        <f aca="false">IFERROR(MATCH(ホーム!$C$4&amp;"|"&amp;A418,報告入力!$CM$7:$CM$696,0),"")</f>
        <v>368</v>
      </c>
      <c r="C418" s="5" t="str">
        <f aca="false">IF(B418="","",INDEX(報告入力!$C$7:$C$696,B418))</f>
        <v>未受領</v>
      </c>
      <c r="D418" s="5" t="str">
        <f aca="false">設定!$A$41</f>
        <v>介護経理</v>
      </c>
      <c r="E418" s="5" t="str">
        <f aca="false">設定!$B$41&amp;""</f>
        <v/>
      </c>
      <c r="F418" s="5" t="str">
        <f aca="false">設定!$D$53&amp;""</f>
        <v/>
      </c>
      <c r="G418" s="5" t="str">
        <f aca="false">設定!$E$53&amp;""</f>
        <v/>
      </c>
      <c r="H418" s="5" t="n">
        <f aca="false">IF(B418="",0,N(INDEX(報告入力!$BF$7:$BF$696,B418)))</f>
        <v>123617</v>
      </c>
      <c r="I418" s="5" t="str">
        <f aca="false">設定!$C$41&amp;""</f>
        <v/>
      </c>
      <c r="J418" s="5" t="str">
        <f aca="false">設定!$D$41&amp;""</f>
        <v/>
      </c>
      <c r="K418" s="5" t="n">
        <f aca="false">IF(AND(H418&lt;&gt;0,IF(設定!$B$6="入金確認済のみ",C418="入金確認済",OR(C418="入金確認済",C418="受領済"))),1,0)</f>
        <v>0</v>
      </c>
      <c r="L418" s="5" t="str">
        <f aca="false">3&amp;"|"&amp;46</f>
        <v>3|46</v>
      </c>
      <c r="M418" s="5" t="n">
        <f aca="false">IF(L418=L417,M417,0)+K418</f>
        <v>0</v>
      </c>
      <c r="N418" s="5" t="n">
        <f aca="false">IF(AND(K418=1,M418=1),1,0)</f>
        <v>0</v>
      </c>
      <c r="O418" s="5" t="str">
        <f aca="false">IF(K418=1,MAX($O$5:O417)+1,"")</f>
        <v/>
      </c>
      <c r="P418" s="5" t="str">
        <f aca="false">IF(K418=1,SUM($N$6:N418),"")</f>
        <v/>
      </c>
      <c r="Q418" s="5" t="str">
        <f aca="false">IF(K418=1,SUMIFS($H$6:$H$511,$L$6:$L$511,L418,$K$6:$K$511,1),"")</f>
        <v/>
      </c>
      <c r="R418" s="103" t="str">
        <f aca="false">IF(B418="","",IF(INDEX(報告入力!$AB$7:$AB$696,B418)="","",INDEX(報告入力!$AB$7:$AB$696,B418)))</f>
        <v/>
      </c>
      <c r="S418" s="5" t="str">
        <f aca="false">設定!$C$53</f>
        <v>介護：掛金</v>
      </c>
    </row>
    <row r="419" customFormat="false" ht="15" hidden="false" customHeight="false" outlineLevel="0" collapsed="false">
      <c r="A419" s="5" t="str">
        <f aca="false">設定!B106</f>
        <v>任意継続組合員</v>
      </c>
      <c r="B419" s="5" t="n">
        <f aca="false">IFERROR(MATCH(ホーム!$C$4&amp;"|"&amp;A419,報告入力!$CM$7:$CM$696,0),"")</f>
        <v>368</v>
      </c>
      <c r="C419" s="5" t="str">
        <f aca="false">IF(B419="","",INDEX(報告入力!$C$7:$C$696,B419))</f>
        <v>未受領</v>
      </c>
      <c r="D419" s="5" t="str">
        <f aca="false">設定!$A$41</f>
        <v>介護経理</v>
      </c>
      <c r="E419" s="5" t="str">
        <f aca="false">設定!$B$41&amp;""</f>
        <v/>
      </c>
      <c r="F419" s="5" t="str">
        <f aca="false">設定!$D$54&amp;""</f>
        <v/>
      </c>
      <c r="G419" s="5" t="str">
        <f aca="false">設定!$E$54&amp;""</f>
        <v/>
      </c>
      <c r="H419" s="5" t="n">
        <f aca="false">IF(B419="",0,N(INDEX(報告入力!$BG$7:$BG$696,B419)))</f>
        <v>0</v>
      </c>
      <c r="I419" s="5" t="str">
        <f aca="false">設定!$C$41&amp;""</f>
        <v/>
      </c>
      <c r="J419" s="5" t="str">
        <f aca="false">設定!$D$41&amp;""</f>
        <v/>
      </c>
      <c r="K419" s="5" t="n">
        <f aca="false">IF(AND(H419&lt;&gt;0,IF(設定!$B$6="入金確認済のみ",C419="入金確認済",OR(C419="入金確認済",C419="受領済"))),1,0)</f>
        <v>0</v>
      </c>
      <c r="L419" s="5" t="str">
        <f aca="false">3&amp;"|"&amp;46</f>
        <v>3|46</v>
      </c>
      <c r="M419" s="5" t="n">
        <f aca="false">IF(L419=L418,M418,0)+K419</f>
        <v>0</v>
      </c>
      <c r="N419" s="5" t="n">
        <f aca="false">IF(AND(K419=1,M419=1),1,0)</f>
        <v>0</v>
      </c>
      <c r="O419" s="5" t="str">
        <f aca="false">IF(K419=1,MAX($O$5:O418)+1,"")</f>
        <v/>
      </c>
      <c r="P419" s="5" t="str">
        <f aca="false">IF(K419=1,SUM($N$6:N419),"")</f>
        <v/>
      </c>
      <c r="Q419" s="5" t="str">
        <f aca="false">IF(K419=1,SUMIFS($H$6:$H$511,$L$6:$L$511,L419,$K$6:$K$511,1),"")</f>
        <v/>
      </c>
      <c r="R419" s="103" t="str">
        <f aca="false">IF(B419="","",IF(INDEX(報告入力!$AB$7:$AB$696,B419)="","",INDEX(報告入力!$AB$7:$AB$696,B419)))</f>
        <v/>
      </c>
      <c r="S419" s="5" t="str">
        <f aca="false">設定!$C$54</f>
        <v>介護：負担金</v>
      </c>
    </row>
    <row r="420" customFormat="false" ht="15" hidden="false" customHeight="false" outlineLevel="0" collapsed="false">
      <c r="A420" s="5" t="str">
        <f aca="false">設定!B61</f>
        <v>市長部局</v>
      </c>
      <c r="B420" s="5" t="n">
        <f aca="false">IFERROR(MATCH(ホーム!$C$4&amp;"|"&amp;A420,報告入力!$CM$7:$CM$696,0),"")</f>
        <v>323</v>
      </c>
      <c r="C420" s="5" t="str">
        <f aca="false">IF(B420="","",INDEX(報告入力!$C$7:$C$696,B420))</f>
        <v>未受領</v>
      </c>
      <c r="D420" s="5" t="str">
        <f aca="false">設定!$A$42</f>
        <v>子ども・子育て支援納付金経理</v>
      </c>
      <c r="E420" s="5" t="str">
        <f aca="false">設定!$B$42&amp;""</f>
        <v/>
      </c>
      <c r="F420" s="5" t="str">
        <f aca="false">設定!$D$55&amp;""</f>
        <v/>
      </c>
      <c r="G420" s="5" t="str">
        <f aca="false">設定!$E$55&amp;""</f>
        <v/>
      </c>
      <c r="H420" s="5" t="n">
        <f aca="false">IF(B420="",0,N(INDEX(報告入力!$BH$7:$BH$696,B420)))</f>
        <v>1</v>
      </c>
      <c r="I420" s="5" t="str">
        <f aca="false">設定!$C$42&amp;""</f>
        <v/>
      </c>
      <c r="J420" s="5" t="str">
        <f aca="false">設定!$D$42&amp;""</f>
        <v/>
      </c>
      <c r="K420" s="5" t="n">
        <f aca="false">IF(AND(H420&lt;&gt;0,IF(設定!$B$6="入金確認済のみ",C420="入金確認済",OR(C420="入金確認済",C420="受領済"))),1,0)</f>
        <v>0</v>
      </c>
      <c r="L420" s="5" t="str">
        <f aca="false">4&amp;"|"&amp;1</f>
        <v>4|1</v>
      </c>
      <c r="M420" s="5" t="n">
        <f aca="false">IF(L420=L419,M419,0)+K420</f>
        <v>0</v>
      </c>
      <c r="N420" s="5" t="n">
        <f aca="false">IF(AND(K420=1,M420=1),1,0)</f>
        <v>0</v>
      </c>
      <c r="O420" s="5" t="str">
        <f aca="false">IF(K420=1,MAX($O$5:O419)+1,"")</f>
        <v/>
      </c>
      <c r="P420" s="5" t="str">
        <f aca="false">IF(K420=1,SUM($N$6:N420),"")</f>
        <v/>
      </c>
      <c r="Q420" s="5" t="str">
        <f aca="false">IF(K420=1,SUMIFS($H$6:$H$511,$L$6:$L$511,L420,$K$6:$K$511,1),"")</f>
        <v/>
      </c>
      <c r="R420" s="103" t="str">
        <f aca="false">IF(B420="","",IF(INDEX(報告入力!$AB$7:$AB$696,B420)="","",INDEX(報告入力!$AB$7:$AB$696,B420)))</f>
        <v/>
      </c>
      <c r="S420" s="5" t="str">
        <f aca="false">設定!$C$55</f>
        <v>子ども・子育て支援納付金：掛金</v>
      </c>
    </row>
    <row r="421" customFormat="false" ht="15" hidden="false" customHeight="false" outlineLevel="0" collapsed="false">
      <c r="A421" s="5" t="str">
        <f aca="false">設定!B61</f>
        <v>市長部局</v>
      </c>
      <c r="B421" s="5" t="n">
        <f aca="false">IFERROR(MATCH(ホーム!$C$4&amp;"|"&amp;A421,報告入力!$CM$7:$CM$696,0),"")</f>
        <v>323</v>
      </c>
      <c r="C421" s="5" t="str">
        <f aca="false">IF(B421="","",INDEX(報告入力!$C$7:$C$696,B421))</f>
        <v>未受領</v>
      </c>
      <c r="D421" s="5" t="str">
        <f aca="false">設定!$A$42</f>
        <v>子ども・子育て支援納付金経理</v>
      </c>
      <c r="E421" s="5" t="str">
        <f aca="false">設定!$B$42&amp;""</f>
        <v/>
      </c>
      <c r="F421" s="5" t="str">
        <f aca="false">設定!$D$56&amp;""</f>
        <v/>
      </c>
      <c r="G421" s="5" t="str">
        <f aca="false">設定!$E$56&amp;""</f>
        <v/>
      </c>
      <c r="H421" s="5" t="n">
        <f aca="false">IF(B421="",0,N(INDEX(報告入力!$BI$7:$BI$696,B421)))</f>
        <v>1</v>
      </c>
      <c r="I421" s="5" t="str">
        <f aca="false">設定!$C$42&amp;""</f>
        <v/>
      </c>
      <c r="J421" s="5" t="str">
        <f aca="false">設定!$D$42&amp;""</f>
        <v/>
      </c>
      <c r="K421" s="5" t="n">
        <f aca="false">IF(AND(H421&lt;&gt;0,IF(設定!$B$6="入金確認済のみ",C421="入金確認済",OR(C421="入金確認済",C421="受領済"))),1,0)</f>
        <v>0</v>
      </c>
      <c r="L421" s="5" t="str">
        <f aca="false">4&amp;"|"&amp;1</f>
        <v>4|1</v>
      </c>
      <c r="M421" s="5" t="n">
        <f aca="false">IF(L421=L420,M420,0)+K421</f>
        <v>0</v>
      </c>
      <c r="N421" s="5" t="n">
        <f aca="false">IF(AND(K421=1,M421=1),1,0)</f>
        <v>0</v>
      </c>
      <c r="O421" s="5" t="str">
        <f aca="false">IF(K421=1,MAX($O$5:O420)+1,"")</f>
        <v/>
      </c>
      <c r="P421" s="5" t="str">
        <f aca="false">IF(K421=1,SUM($N$6:N421),"")</f>
        <v/>
      </c>
      <c r="Q421" s="5" t="str">
        <f aca="false">IF(K421=1,SUMIFS($H$6:$H$511,$L$6:$L$511,L421,$K$6:$K$511,1),"")</f>
        <v/>
      </c>
      <c r="R421" s="103" t="str">
        <f aca="false">IF(B421="","",IF(INDEX(報告入力!$AB$7:$AB$696,B421)="","",INDEX(報告入力!$AB$7:$AB$696,B421)))</f>
        <v/>
      </c>
      <c r="S421" s="5" t="str">
        <f aca="false">設定!$C$56</f>
        <v>子ども・子育て支援納付金：負担金</v>
      </c>
    </row>
    <row r="422" customFormat="false" ht="15" hidden="false" customHeight="false" outlineLevel="0" collapsed="false">
      <c r="A422" s="5" t="str">
        <f aca="false">設定!B62</f>
        <v>下水道局</v>
      </c>
      <c r="B422" s="5" t="n">
        <f aca="false">IFERROR(MATCH(ホーム!$C$4&amp;"|"&amp;A422,報告入力!$CM$7:$CM$696,0),"")</f>
        <v>324</v>
      </c>
      <c r="C422" s="5" t="str">
        <f aca="false">IF(B422="","",INDEX(報告入力!$C$7:$C$696,B422))</f>
        <v>未受領</v>
      </c>
      <c r="D422" s="5" t="str">
        <f aca="false">設定!$A$42</f>
        <v>子ども・子育て支援納付金経理</v>
      </c>
      <c r="E422" s="5" t="str">
        <f aca="false">設定!$B$42&amp;""</f>
        <v/>
      </c>
      <c r="F422" s="5" t="str">
        <f aca="false">設定!$D$55&amp;""</f>
        <v/>
      </c>
      <c r="G422" s="5" t="str">
        <f aca="false">設定!$E$55&amp;""</f>
        <v/>
      </c>
      <c r="H422" s="5" t="n">
        <f aca="false">IF(B422="",0,N(INDEX(報告入力!$BH$7:$BH$696,B422)))</f>
        <v>1</v>
      </c>
      <c r="I422" s="5" t="str">
        <f aca="false">設定!$C$42&amp;""</f>
        <v/>
      </c>
      <c r="J422" s="5" t="str">
        <f aca="false">設定!$D$42&amp;""</f>
        <v/>
      </c>
      <c r="K422" s="5" t="n">
        <f aca="false">IF(AND(H422&lt;&gt;0,IF(設定!$B$6="入金確認済のみ",C422="入金確認済",OR(C422="入金確認済",C422="受領済"))),1,0)</f>
        <v>0</v>
      </c>
      <c r="L422" s="5" t="str">
        <f aca="false">4&amp;"|"&amp;2</f>
        <v>4|2</v>
      </c>
      <c r="M422" s="5" t="n">
        <f aca="false">IF(L422=L421,M421,0)+K422</f>
        <v>0</v>
      </c>
      <c r="N422" s="5" t="n">
        <f aca="false">IF(AND(K422=1,M422=1),1,0)</f>
        <v>0</v>
      </c>
      <c r="O422" s="5" t="str">
        <f aca="false">IF(K422=1,MAX($O$5:O421)+1,"")</f>
        <v/>
      </c>
      <c r="P422" s="5" t="str">
        <f aca="false">IF(K422=1,SUM($N$6:N422),"")</f>
        <v/>
      </c>
      <c r="Q422" s="5" t="str">
        <f aca="false">IF(K422=1,SUMIFS($H$6:$H$511,$L$6:$L$511,L422,$K$6:$K$511,1),"")</f>
        <v/>
      </c>
      <c r="R422" s="103" t="str">
        <f aca="false">IF(B422="","",IF(INDEX(報告入力!$AB$7:$AB$696,B422)="","",INDEX(報告入力!$AB$7:$AB$696,B422)))</f>
        <v/>
      </c>
      <c r="S422" s="5" t="str">
        <f aca="false">設定!$C$55</f>
        <v>子ども・子育て支援納付金：掛金</v>
      </c>
    </row>
    <row r="423" customFormat="false" ht="15" hidden="false" customHeight="false" outlineLevel="0" collapsed="false">
      <c r="A423" s="5" t="str">
        <f aca="false">設定!B62</f>
        <v>下水道局</v>
      </c>
      <c r="B423" s="5" t="n">
        <f aca="false">IFERROR(MATCH(ホーム!$C$4&amp;"|"&amp;A423,報告入力!$CM$7:$CM$696,0),"")</f>
        <v>324</v>
      </c>
      <c r="C423" s="5" t="str">
        <f aca="false">IF(B423="","",INDEX(報告入力!$C$7:$C$696,B423))</f>
        <v>未受領</v>
      </c>
      <c r="D423" s="5" t="str">
        <f aca="false">設定!$A$42</f>
        <v>子ども・子育て支援納付金経理</v>
      </c>
      <c r="E423" s="5" t="str">
        <f aca="false">設定!$B$42&amp;""</f>
        <v/>
      </c>
      <c r="F423" s="5" t="str">
        <f aca="false">設定!$D$56&amp;""</f>
        <v/>
      </c>
      <c r="G423" s="5" t="str">
        <f aca="false">設定!$E$56&amp;""</f>
        <v/>
      </c>
      <c r="H423" s="5" t="n">
        <f aca="false">IF(B423="",0,N(INDEX(報告入力!$BI$7:$BI$696,B423)))</f>
        <v>1</v>
      </c>
      <c r="I423" s="5" t="str">
        <f aca="false">設定!$C$42&amp;""</f>
        <v/>
      </c>
      <c r="J423" s="5" t="str">
        <f aca="false">設定!$D$42&amp;""</f>
        <v/>
      </c>
      <c r="K423" s="5" t="n">
        <f aca="false">IF(AND(H423&lt;&gt;0,IF(設定!$B$6="入金確認済のみ",C423="入金確認済",OR(C423="入金確認済",C423="受領済"))),1,0)</f>
        <v>0</v>
      </c>
      <c r="L423" s="5" t="str">
        <f aca="false">4&amp;"|"&amp;2</f>
        <v>4|2</v>
      </c>
      <c r="M423" s="5" t="n">
        <f aca="false">IF(L423=L422,M422,0)+K423</f>
        <v>0</v>
      </c>
      <c r="N423" s="5" t="n">
        <f aca="false">IF(AND(K423=1,M423=1),1,0)</f>
        <v>0</v>
      </c>
      <c r="O423" s="5" t="str">
        <f aca="false">IF(K423=1,MAX($O$5:O422)+1,"")</f>
        <v/>
      </c>
      <c r="P423" s="5" t="str">
        <f aca="false">IF(K423=1,SUM($N$6:N423),"")</f>
        <v/>
      </c>
      <c r="Q423" s="5" t="str">
        <f aca="false">IF(K423=1,SUMIFS($H$6:$H$511,$L$6:$L$511,L423,$K$6:$K$511,1),"")</f>
        <v/>
      </c>
      <c r="R423" s="103" t="str">
        <f aca="false">IF(B423="","",IF(INDEX(報告入力!$AB$7:$AB$696,B423)="","",INDEX(報告入力!$AB$7:$AB$696,B423)))</f>
        <v/>
      </c>
      <c r="S423" s="5" t="str">
        <f aca="false">設定!$C$56</f>
        <v>子ども・子育て支援納付金：負担金</v>
      </c>
    </row>
    <row r="424" customFormat="false" ht="15" hidden="false" customHeight="false" outlineLevel="0" collapsed="false">
      <c r="A424" s="5" t="str">
        <f aca="false">設定!B63</f>
        <v>消防局</v>
      </c>
      <c r="B424" s="5" t="n">
        <f aca="false">IFERROR(MATCH(ホーム!$C$4&amp;"|"&amp;A424,報告入力!$CM$7:$CM$696,0),"")</f>
        <v>325</v>
      </c>
      <c r="C424" s="5" t="str">
        <f aca="false">IF(B424="","",INDEX(報告入力!$C$7:$C$696,B424))</f>
        <v>未受領</v>
      </c>
      <c r="D424" s="5" t="str">
        <f aca="false">設定!$A$42</f>
        <v>子ども・子育て支援納付金経理</v>
      </c>
      <c r="E424" s="5" t="str">
        <f aca="false">設定!$B$42&amp;""</f>
        <v/>
      </c>
      <c r="F424" s="5" t="str">
        <f aca="false">設定!$D$55&amp;""</f>
        <v/>
      </c>
      <c r="G424" s="5" t="str">
        <f aca="false">設定!$E$55&amp;""</f>
        <v/>
      </c>
      <c r="H424" s="5" t="n">
        <f aca="false">IF(B424="",0,N(INDEX(報告入力!$BH$7:$BH$696,B424)))</f>
        <v>1</v>
      </c>
      <c r="I424" s="5" t="str">
        <f aca="false">設定!$C$42&amp;""</f>
        <v/>
      </c>
      <c r="J424" s="5" t="str">
        <f aca="false">設定!$D$42&amp;""</f>
        <v/>
      </c>
      <c r="K424" s="5" t="n">
        <f aca="false">IF(AND(H424&lt;&gt;0,IF(設定!$B$6="入金確認済のみ",C424="入金確認済",OR(C424="入金確認済",C424="受領済"))),1,0)</f>
        <v>0</v>
      </c>
      <c r="L424" s="5" t="str">
        <f aca="false">4&amp;"|"&amp;3</f>
        <v>4|3</v>
      </c>
      <c r="M424" s="5" t="n">
        <f aca="false">IF(L424=L423,M423,0)+K424</f>
        <v>0</v>
      </c>
      <c r="N424" s="5" t="n">
        <f aca="false">IF(AND(K424=1,M424=1),1,0)</f>
        <v>0</v>
      </c>
      <c r="O424" s="5" t="str">
        <f aca="false">IF(K424=1,MAX($O$5:O423)+1,"")</f>
        <v/>
      </c>
      <c r="P424" s="5" t="str">
        <f aca="false">IF(K424=1,SUM($N$6:N424),"")</f>
        <v/>
      </c>
      <c r="Q424" s="5" t="str">
        <f aca="false">IF(K424=1,SUMIFS($H$6:$H$511,$L$6:$L$511,L424,$K$6:$K$511,1),"")</f>
        <v/>
      </c>
      <c r="R424" s="103" t="str">
        <f aca="false">IF(B424="","",IF(INDEX(報告入力!$AB$7:$AB$696,B424)="","",INDEX(報告入力!$AB$7:$AB$696,B424)))</f>
        <v/>
      </c>
      <c r="S424" s="5" t="str">
        <f aca="false">設定!$C$55</f>
        <v>子ども・子育て支援納付金：掛金</v>
      </c>
    </row>
    <row r="425" customFormat="false" ht="15" hidden="false" customHeight="false" outlineLevel="0" collapsed="false">
      <c r="A425" s="5" t="str">
        <f aca="false">設定!B63</f>
        <v>消防局</v>
      </c>
      <c r="B425" s="5" t="n">
        <f aca="false">IFERROR(MATCH(ホーム!$C$4&amp;"|"&amp;A425,報告入力!$CM$7:$CM$696,0),"")</f>
        <v>325</v>
      </c>
      <c r="C425" s="5" t="str">
        <f aca="false">IF(B425="","",INDEX(報告入力!$C$7:$C$696,B425))</f>
        <v>未受領</v>
      </c>
      <c r="D425" s="5" t="str">
        <f aca="false">設定!$A$42</f>
        <v>子ども・子育て支援納付金経理</v>
      </c>
      <c r="E425" s="5" t="str">
        <f aca="false">設定!$B$42&amp;""</f>
        <v/>
      </c>
      <c r="F425" s="5" t="str">
        <f aca="false">設定!$D$56&amp;""</f>
        <v/>
      </c>
      <c r="G425" s="5" t="str">
        <f aca="false">設定!$E$56&amp;""</f>
        <v/>
      </c>
      <c r="H425" s="5" t="n">
        <f aca="false">IF(B425="",0,N(INDEX(報告入力!$BI$7:$BI$696,B425)))</f>
        <v>1</v>
      </c>
      <c r="I425" s="5" t="str">
        <f aca="false">設定!$C$42&amp;""</f>
        <v/>
      </c>
      <c r="J425" s="5" t="str">
        <f aca="false">設定!$D$42&amp;""</f>
        <v/>
      </c>
      <c r="K425" s="5" t="n">
        <f aca="false">IF(AND(H425&lt;&gt;0,IF(設定!$B$6="入金確認済のみ",C425="入金確認済",OR(C425="入金確認済",C425="受領済"))),1,0)</f>
        <v>0</v>
      </c>
      <c r="L425" s="5" t="str">
        <f aca="false">4&amp;"|"&amp;3</f>
        <v>4|3</v>
      </c>
      <c r="M425" s="5" t="n">
        <f aca="false">IF(L425=L424,M424,0)+K425</f>
        <v>0</v>
      </c>
      <c r="N425" s="5" t="n">
        <f aca="false">IF(AND(K425=1,M425=1),1,0)</f>
        <v>0</v>
      </c>
      <c r="O425" s="5" t="str">
        <f aca="false">IF(K425=1,MAX($O$5:O424)+1,"")</f>
        <v/>
      </c>
      <c r="P425" s="5" t="str">
        <f aca="false">IF(K425=1,SUM($N$6:N425),"")</f>
        <v/>
      </c>
      <c r="Q425" s="5" t="str">
        <f aca="false">IF(K425=1,SUMIFS($H$6:$H$511,$L$6:$L$511,L425,$K$6:$K$511,1),"")</f>
        <v/>
      </c>
      <c r="R425" s="103" t="str">
        <f aca="false">IF(B425="","",IF(INDEX(報告入力!$AB$7:$AB$696,B425)="","",INDEX(報告入力!$AB$7:$AB$696,B425)))</f>
        <v/>
      </c>
      <c r="S425" s="5" t="str">
        <f aca="false">設定!$C$56</f>
        <v>子ども・子育て支援納付金：負担金</v>
      </c>
    </row>
    <row r="426" customFormat="false" ht="15" hidden="false" customHeight="false" outlineLevel="0" collapsed="false">
      <c r="A426" s="5" t="str">
        <f aca="false">設定!B64</f>
        <v>議会事務局</v>
      </c>
      <c r="B426" s="5" t="n">
        <f aca="false">IFERROR(MATCH(ホーム!$C$4&amp;"|"&amp;A426,報告入力!$CM$7:$CM$696,0),"")</f>
        <v>326</v>
      </c>
      <c r="C426" s="5" t="str">
        <f aca="false">IF(B426="","",INDEX(報告入力!$C$7:$C$696,B426))</f>
        <v>未受領</v>
      </c>
      <c r="D426" s="5" t="str">
        <f aca="false">設定!$A$42</f>
        <v>子ども・子育て支援納付金経理</v>
      </c>
      <c r="E426" s="5" t="str">
        <f aca="false">設定!$B$42&amp;""</f>
        <v/>
      </c>
      <c r="F426" s="5" t="str">
        <f aca="false">設定!$D$55&amp;""</f>
        <v/>
      </c>
      <c r="G426" s="5" t="str">
        <f aca="false">設定!$E$55&amp;""</f>
        <v/>
      </c>
      <c r="H426" s="5" t="n">
        <f aca="false">IF(B426="",0,N(INDEX(報告入力!$BH$7:$BH$696,B426)))</f>
        <v>1</v>
      </c>
      <c r="I426" s="5" t="str">
        <f aca="false">設定!$C$42&amp;""</f>
        <v/>
      </c>
      <c r="J426" s="5" t="str">
        <f aca="false">設定!$D$42&amp;""</f>
        <v/>
      </c>
      <c r="K426" s="5" t="n">
        <f aca="false">IF(AND(H426&lt;&gt;0,IF(設定!$B$6="入金確認済のみ",C426="入金確認済",OR(C426="入金確認済",C426="受領済"))),1,0)</f>
        <v>0</v>
      </c>
      <c r="L426" s="5" t="str">
        <f aca="false">4&amp;"|"&amp;4</f>
        <v>4|4</v>
      </c>
      <c r="M426" s="5" t="n">
        <f aca="false">IF(L426=L425,M425,0)+K426</f>
        <v>0</v>
      </c>
      <c r="N426" s="5" t="n">
        <f aca="false">IF(AND(K426=1,M426=1),1,0)</f>
        <v>0</v>
      </c>
      <c r="O426" s="5" t="str">
        <f aca="false">IF(K426=1,MAX($O$5:O425)+1,"")</f>
        <v/>
      </c>
      <c r="P426" s="5" t="str">
        <f aca="false">IF(K426=1,SUM($N$6:N426),"")</f>
        <v/>
      </c>
      <c r="Q426" s="5" t="str">
        <f aca="false">IF(K426=1,SUMIFS($H$6:$H$511,$L$6:$L$511,L426,$K$6:$K$511,1),"")</f>
        <v/>
      </c>
      <c r="R426" s="103" t="str">
        <f aca="false">IF(B426="","",IF(INDEX(報告入力!$AB$7:$AB$696,B426)="","",INDEX(報告入力!$AB$7:$AB$696,B426)))</f>
        <v/>
      </c>
      <c r="S426" s="5" t="str">
        <f aca="false">設定!$C$55</f>
        <v>子ども・子育て支援納付金：掛金</v>
      </c>
    </row>
    <row r="427" customFormat="false" ht="15" hidden="false" customHeight="false" outlineLevel="0" collapsed="false">
      <c r="A427" s="5" t="str">
        <f aca="false">設定!B64</f>
        <v>議会事務局</v>
      </c>
      <c r="B427" s="5" t="n">
        <f aca="false">IFERROR(MATCH(ホーム!$C$4&amp;"|"&amp;A427,報告入力!$CM$7:$CM$696,0),"")</f>
        <v>326</v>
      </c>
      <c r="C427" s="5" t="str">
        <f aca="false">IF(B427="","",INDEX(報告入力!$C$7:$C$696,B427))</f>
        <v>未受領</v>
      </c>
      <c r="D427" s="5" t="str">
        <f aca="false">設定!$A$42</f>
        <v>子ども・子育て支援納付金経理</v>
      </c>
      <c r="E427" s="5" t="str">
        <f aca="false">設定!$B$42&amp;""</f>
        <v/>
      </c>
      <c r="F427" s="5" t="str">
        <f aca="false">設定!$D$56&amp;""</f>
        <v/>
      </c>
      <c r="G427" s="5" t="str">
        <f aca="false">設定!$E$56&amp;""</f>
        <v/>
      </c>
      <c r="H427" s="5" t="n">
        <f aca="false">IF(B427="",0,N(INDEX(報告入力!$BI$7:$BI$696,B427)))</f>
        <v>1</v>
      </c>
      <c r="I427" s="5" t="str">
        <f aca="false">設定!$C$42&amp;""</f>
        <v/>
      </c>
      <c r="J427" s="5" t="str">
        <f aca="false">設定!$D$42&amp;""</f>
        <v/>
      </c>
      <c r="K427" s="5" t="n">
        <f aca="false">IF(AND(H427&lt;&gt;0,IF(設定!$B$6="入金確認済のみ",C427="入金確認済",OR(C427="入金確認済",C427="受領済"))),1,0)</f>
        <v>0</v>
      </c>
      <c r="L427" s="5" t="str">
        <f aca="false">4&amp;"|"&amp;4</f>
        <v>4|4</v>
      </c>
      <c r="M427" s="5" t="n">
        <f aca="false">IF(L427=L426,M426,0)+K427</f>
        <v>0</v>
      </c>
      <c r="N427" s="5" t="n">
        <f aca="false">IF(AND(K427=1,M427=1),1,0)</f>
        <v>0</v>
      </c>
      <c r="O427" s="5" t="str">
        <f aca="false">IF(K427=1,MAX($O$5:O426)+1,"")</f>
        <v/>
      </c>
      <c r="P427" s="5" t="str">
        <f aca="false">IF(K427=1,SUM($N$6:N427),"")</f>
        <v/>
      </c>
      <c r="Q427" s="5" t="str">
        <f aca="false">IF(K427=1,SUMIFS($H$6:$H$511,$L$6:$L$511,L427,$K$6:$K$511,1),"")</f>
        <v/>
      </c>
      <c r="R427" s="103" t="str">
        <f aca="false">IF(B427="","",IF(INDEX(報告入力!$AB$7:$AB$696,B427)="","",INDEX(報告入力!$AB$7:$AB$696,B427)))</f>
        <v/>
      </c>
      <c r="S427" s="5" t="str">
        <f aca="false">設定!$C$56</f>
        <v>子ども・子育て支援納付金：負担金</v>
      </c>
    </row>
    <row r="428" customFormat="false" ht="15" hidden="false" customHeight="false" outlineLevel="0" collapsed="false">
      <c r="A428" s="5" t="str">
        <f aca="false">設定!B65</f>
        <v>教育委員会（総務課）</v>
      </c>
      <c r="B428" s="5" t="n">
        <f aca="false">IFERROR(MATCH(ホーム!$C$4&amp;"|"&amp;A428,報告入力!$CM$7:$CM$696,0),"")</f>
        <v>327</v>
      </c>
      <c r="C428" s="5" t="str">
        <f aca="false">IF(B428="","",INDEX(報告入力!$C$7:$C$696,B428))</f>
        <v>未受領</v>
      </c>
      <c r="D428" s="5" t="str">
        <f aca="false">設定!$A$42</f>
        <v>子ども・子育て支援納付金経理</v>
      </c>
      <c r="E428" s="5" t="str">
        <f aca="false">設定!$B$42&amp;""</f>
        <v/>
      </c>
      <c r="F428" s="5" t="str">
        <f aca="false">設定!$D$55&amp;""</f>
        <v/>
      </c>
      <c r="G428" s="5" t="str">
        <f aca="false">設定!$E$55&amp;""</f>
        <v/>
      </c>
      <c r="H428" s="5" t="n">
        <f aca="false">IF(B428="",0,N(INDEX(報告入力!$BH$7:$BH$696,B428)))</f>
        <v>1</v>
      </c>
      <c r="I428" s="5" t="str">
        <f aca="false">設定!$C$42&amp;""</f>
        <v/>
      </c>
      <c r="J428" s="5" t="str">
        <f aca="false">設定!$D$42&amp;""</f>
        <v/>
      </c>
      <c r="K428" s="5" t="n">
        <f aca="false">IF(AND(H428&lt;&gt;0,IF(設定!$B$6="入金確認済のみ",C428="入金確認済",OR(C428="入金確認済",C428="受領済"))),1,0)</f>
        <v>0</v>
      </c>
      <c r="L428" s="5" t="str">
        <f aca="false">4&amp;"|"&amp;5</f>
        <v>4|5</v>
      </c>
      <c r="M428" s="5" t="n">
        <f aca="false">IF(L428=L427,M427,0)+K428</f>
        <v>0</v>
      </c>
      <c r="N428" s="5" t="n">
        <f aca="false">IF(AND(K428=1,M428=1),1,0)</f>
        <v>0</v>
      </c>
      <c r="O428" s="5" t="str">
        <f aca="false">IF(K428=1,MAX($O$5:O427)+1,"")</f>
        <v/>
      </c>
      <c r="P428" s="5" t="str">
        <f aca="false">IF(K428=1,SUM($N$6:N428),"")</f>
        <v/>
      </c>
      <c r="Q428" s="5" t="str">
        <f aca="false">IF(K428=1,SUMIFS($H$6:$H$511,$L$6:$L$511,L428,$K$6:$K$511,1),"")</f>
        <v/>
      </c>
      <c r="R428" s="103" t="str">
        <f aca="false">IF(B428="","",IF(INDEX(報告入力!$AB$7:$AB$696,B428)="","",INDEX(報告入力!$AB$7:$AB$696,B428)))</f>
        <v/>
      </c>
      <c r="S428" s="5" t="str">
        <f aca="false">設定!$C$55</f>
        <v>子ども・子育て支援納付金：掛金</v>
      </c>
    </row>
    <row r="429" customFormat="false" ht="15" hidden="false" customHeight="false" outlineLevel="0" collapsed="false">
      <c r="A429" s="5" t="str">
        <f aca="false">設定!B65</f>
        <v>教育委員会（総務課）</v>
      </c>
      <c r="B429" s="5" t="n">
        <f aca="false">IFERROR(MATCH(ホーム!$C$4&amp;"|"&amp;A429,報告入力!$CM$7:$CM$696,0),"")</f>
        <v>327</v>
      </c>
      <c r="C429" s="5" t="str">
        <f aca="false">IF(B429="","",INDEX(報告入力!$C$7:$C$696,B429))</f>
        <v>未受領</v>
      </c>
      <c r="D429" s="5" t="str">
        <f aca="false">設定!$A$42</f>
        <v>子ども・子育て支援納付金経理</v>
      </c>
      <c r="E429" s="5" t="str">
        <f aca="false">設定!$B$42&amp;""</f>
        <v/>
      </c>
      <c r="F429" s="5" t="str">
        <f aca="false">設定!$D$56&amp;""</f>
        <v/>
      </c>
      <c r="G429" s="5" t="str">
        <f aca="false">設定!$E$56&amp;""</f>
        <v/>
      </c>
      <c r="H429" s="5" t="n">
        <f aca="false">IF(B429="",0,N(INDEX(報告入力!$BI$7:$BI$696,B429)))</f>
        <v>1</v>
      </c>
      <c r="I429" s="5" t="str">
        <f aca="false">設定!$C$42&amp;""</f>
        <v/>
      </c>
      <c r="J429" s="5" t="str">
        <f aca="false">設定!$D$42&amp;""</f>
        <v/>
      </c>
      <c r="K429" s="5" t="n">
        <f aca="false">IF(AND(H429&lt;&gt;0,IF(設定!$B$6="入金確認済のみ",C429="入金確認済",OR(C429="入金確認済",C429="受領済"))),1,0)</f>
        <v>0</v>
      </c>
      <c r="L429" s="5" t="str">
        <f aca="false">4&amp;"|"&amp;5</f>
        <v>4|5</v>
      </c>
      <c r="M429" s="5" t="n">
        <f aca="false">IF(L429=L428,M428,0)+K429</f>
        <v>0</v>
      </c>
      <c r="N429" s="5" t="n">
        <f aca="false">IF(AND(K429=1,M429=1),1,0)</f>
        <v>0</v>
      </c>
      <c r="O429" s="5" t="str">
        <f aca="false">IF(K429=1,MAX($O$5:O428)+1,"")</f>
        <v/>
      </c>
      <c r="P429" s="5" t="str">
        <f aca="false">IF(K429=1,SUM($N$6:N429),"")</f>
        <v/>
      </c>
      <c r="Q429" s="5" t="str">
        <f aca="false">IF(K429=1,SUMIFS($H$6:$H$511,$L$6:$L$511,L429,$K$6:$K$511,1),"")</f>
        <v/>
      </c>
      <c r="R429" s="103" t="str">
        <f aca="false">IF(B429="","",IF(INDEX(報告入力!$AB$7:$AB$696,B429)="","",INDEX(報告入力!$AB$7:$AB$696,B429)))</f>
        <v/>
      </c>
      <c r="S429" s="5" t="str">
        <f aca="false">設定!$C$56</f>
        <v>子ども・子育て支援納付金：負担金</v>
      </c>
    </row>
    <row r="430" customFormat="false" ht="15" hidden="false" customHeight="false" outlineLevel="0" collapsed="false">
      <c r="A430" s="5" t="str">
        <f aca="false">設定!B66</f>
        <v>選挙管理委員会</v>
      </c>
      <c r="B430" s="5" t="n">
        <f aca="false">IFERROR(MATCH(ホーム!$C$4&amp;"|"&amp;A430,報告入力!$CM$7:$CM$696,0),"")</f>
        <v>328</v>
      </c>
      <c r="C430" s="5" t="str">
        <f aca="false">IF(B430="","",INDEX(報告入力!$C$7:$C$696,B430))</f>
        <v>未受領</v>
      </c>
      <c r="D430" s="5" t="str">
        <f aca="false">設定!$A$42</f>
        <v>子ども・子育て支援納付金経理</v>
      </c>
      <c r="E430" s="5" t="str">
        <f aca="false">設定!$B$42&amp;""</f>
        <v/>
      </c>
      <c r="F430" s="5" t="str">
        <f aca="false">設定!$D$55&amp;""</f>
        <v/>
      </c>
      <c r="G430" s="5" t="str">
        <f aca="false">設定!$E$55&amp;""</f>
        <v/>
      </c>
      <c r="H430" s="5" t="n">
        <f aca="false">IF(B430="",0,N(INDEX(報告入力!$BH$7:$BH$696,B430)))</f>
        <v>1</v>
      </c>
      <c r="I430" s="5" t="str">
        <f aca="false">設定!$C$42&amp;""</f>
        <v/>
      </c>
      <c r="J430" s="5" t="str">
        <f aca="false">設定!$D$42&amp;""</f>
        <v/>
      </c>
      <c r="K430" s="5" t="n">
        <f aca="false">IF(AND(H430&lt;&gt;0,IF(設定!$B$6="入金確認済のみ",C430="入金確認済",OR(C430="入金確認済",C430="受領済"))),1,0)</f>
        <v>0</v>
      </c>
      <c r="L430" s="5" t="str">
        <f aca="false">4&amp;"|"&amp;6</f>
        <v>4|6</v>
      </c>
      <c r="M430" s="5" t="n">
        <f aca="false">IF(L430=L429,M429,0)+K430</f>
        <v>0</v>
      </c>
      <c r="N430" s="5" t="n">
        <f aca="false">IF(AND(K430=1,M430=1),1,0)</f>
        <v>0</v>
      </c>
      <c r="O430" s="5" t="str">
        <f aca="false">IF(K430=1,MAX($O$5:O429)+1,"")</f>
        <v/>
      </c>
      <c r="P430" s="5" t="str">
        <f aca="false">IF(K430=1,SUM($N$6:N430),"")</f>
        <v/>
      </c>
      <c r="Q430" s="5" t="str">
        <f aca="false">IF(K430=1,SUMIFS($H$6:$H$511,$L$6:$L$511,L430,$K$6:$K$511,1),"")</f>
        <v/>
      </c>
      <c r="R430" s="103" t="str">
        <f aca="false">IF(B430="","",IF(INDEX(報告入力!$AB$7:$AB$696,B430)="","",INDEX(報告入力!$AB$7:$AB$696,B430)))</f>
        <v/>
      </c>
      <c r="S430" s="5" t="str">
        <f aca="false">設定!$C$55</f>
        <v>子ども・子育て支援納付金：掛金</v>
      </c>
    </row>
    <row r="431" customFormat="false" ht="15" hidden="false" customHeight="false" outlineLevel="0" collapsed="false">
      <c r="A431" s="5" t="str">
        <f aca="false">設定!B66</f>
        <v>選挙管理委員会</v>
      </c>
      <c r="B431" s="5" t="n">
        <f aca="false">IFERROR(MATCH(ホーム!$C$4&amp;"|"&amp;A431,報告入力!$CM$7:$CM$696,0),"")</f>
        <v>328</v>
      </c>
      <c r="C431" s="5" t="str">
        <f aca="false">IF(B431="","",INDEX(報告入力!$C$7:$C$696,B431))</f>
        <v>未受領</v>
      </c>
      <c r="D431" s="5" t="str">
        <f aca="false">設定!$A$42</f>
        <v>子ども・子育て支援納付金経理</v>
      </c>
      <c r="E431" s="5" t="str">
        <f aca="false">設定!$B$42&amp;""</f>
        <v/>
      </c>
      <c r="F431" s="5" t="str">
        <f aca="false">設定!$D$56&amp;""</f>
        <v/>
      </c>
      <c r="G431" s="5" t="str">
        <f aca="false">設定!$E$56&amp;""</f>
        <v/>
      </c>
      <c r="H431" s="5" t="n">
        <f aca="false">IF(B431="",0,N(INDEX(報告入力!$BI$7:$BI$696,B431)))</f>
        <v>1</v>
      </c>
      <c r="I431" s="5" t="str">
        <f aca="false">設定!$C$42&amp;""</f>
        <v/>
      </c>
      <c r="J431" s="5" t="str">
        <f aca="false">設定!$D$42&amp;""</f>
        <v/>
      </c>
      <c r="K431" s="5" t="n">
        <f aca="false">IF(AND(H431&lt;&gt;0,IF(設定!$B$6="入金確認済のみ",C431="入金確認済",OR(C431="入金確認済",C431="受領済"))),1,0)</f>
        <v>0</v>
      </c>
      <c r="L431" s="5" t="str">
        <f aca="false">4&amp;"|"&amp;6</f>
        <v>4|6</v>
      </c>
      <c r="M431" s="5" t="n">
        <f aca="false">IF(L431=L430,M430,0)+K431</f>
        <v>0</v>
      </c>
      <c r="N431" s="5" t="n">
        <f aca="false">IF(AND(K431=1,M431=1),1,0)</f>
        <v>0</v>
      </c>
      <c r="O431" s="5" t="str">
        <f aca="false">IF(K431=1,MAX($O$5:O430)+1,"")</f>
        <v/>
      </c>
      <c r="P431" s="5" t="str">
        <f aca="false">IF(K431=1,SUM($N$6:N431),"")</f>
        <v/>
      </c>
      <c r="Q431" s="5" t="str">
        <f aca="false">IF(K431=1,SUMIFS($H$6:$H$511,$L$6:$L$511,L431,$K$6:$K$511,1),"")</f>
        <v/>
      </c>
      <c r="R431" s="103" t="str">
        <f aca="false">IF(B431="","",IF(INDEX(報告入力!$AB$7:$AB$696,B431)="","",INDEX(報告入力!$AB$7:$AB$696,B431)))</f>
        <v/>
      </c>
      <c r="S431" s="5" t="str">
        <f aca="false">設定!$C$56</f>
        <v>子ども・子育て支援納付金：負担金</v>
      </c>
    </row>
    <row r="432" customFormat="false" ht="15" hidden="false" customHeight="false" outlineLevel="0" collapsed="false">
      <c r="A432" s="5" t="str">
        <f aca="false">設定!B67</f>
        <v>人事委員会</v>
      </c>
      <c r="B432" s="5" t="n">
        <f aca="false">IFERROR(MATCH(ホーム!$C$4&amp;"|"&amp;A432,報告入力!$CM$7:$CM$696,0),"")</f>
        <v>329</v>
      </c>
      <c r="C432" s="5" t="str">
        <f aca="false">IF(B432="","",INDEX(報告入力!$C$7:$C$696,B432))</f>
        <v>未受領</v>
      </c>
      <c r="D432" s="5" t="str">
        <f aca="false">設定!$A$42</f>
        <v>子ども・子育て支援納付金経理</v>
      </c>
      <c r="E432" s="5" t="str">
        <f aca="false">設定!$B$42&amp;""</f>
        <v/>
      </c>
      <c r="F432" s="5" t="str">
        <f aca="false">設定!$D$55&amp;""</f>
        <v/>
      </c>
      <c r="G432" s="5" t="str">
        <f aca="false">設定!$E$55&amp;""</f>
        <v/>
      </c>
      <c r="H432" s="5" t="n">
        <f aca="false">IF(B432="",0,N(INDEX(報告入力!$BH$7:$BH$696,B432)))</f>
        <v>1</v>
      </c>
      <c r="I432" s="5" t="str">
        <f aca="false">設定!$C$42&amp;""</f>
        <v/>
      </c>
      <c r="J432" s="5" t="str">
        <f aca="false">設定!$D$42&amp;""</f>
        <v/>
      </c>
      <c r="K432" s="5" t="n">
        <f aca="false">IF(AND(H432&lt;&gt;0,IF(設定!$B$6="入金確認済のみ",C432="入金確認済",OR(C432="入金確認済",C432="受領済"))),1,0)</f>
        <v>0</v>
      </c>
      <c r="L432" s="5" t="str">
        <f aca="false">4&amp;"|"&amp;7</f>
        <v>4|7</v>
      </c>
      <c r="M432" s="5" t="n">
        <f aca="false">IF(L432=L431,M431,0)+K432</f>
        <v>0</v>
      </c>
      <c r="N432" s="5" t="n">
        <f aca="false">IF(AND(K432=1,M432=1),1,0)</f>
        <v>0</v>
      </c>
      <c r="O432" s="5" t="str">
        <f aca="false">IF(K432=1,MAX($O$5:O431)+1,"")</f>
        <v/>
      </c>
      <c r="P432" s="5" t="str">
        <f aca="false">IF(K432=1,SUM($N$6:N432),"")</f>
        <v/>
      </c>
      <c r="Q432" s="5" t="str">
        <f aca="false">IF(K432=1,SUMIFS($H$6:$H$511,$L$6:$L$511,L432,$K$6:$K$511,1),"")</f>
        <v/>
      </c>
      <c r="R432" s="103" t="str">
        <f aca="false">IF(B432="","",IF(INDEX(報告入力!$AB$7:$AB$696,B432)="","",INDEX(報告入力!$AB$7:$AB$696,B432)))</f>
        <v/>
      </c>
      <c r="S432" s="5" t="str">
        <f aca="false">設定!$C$55</f>
        <v>子ども・子育て支援納付金：掛金</v>
      </c>
    </row>
    <row r="433" customFormat="false" ht="15" hidden="false" customHeight="false" outlineLevel="0" collapsed="false">
      <c r="A433" s="5" t="str">
        <f aca="false">設定!B67</f>
        <v>人事委員会</v>
      </c>
      <c r="B433" s="5" t="n">
        <f aca="false">IFERROR(MATCH(ホーム!$C$4&amp;"|"&amp;A433,報告入力!$CM$7:$CM$696,0),"")</f>
        <v>329</v>
      </c>
      <c r="C433" s="5" t="str">
        <f aca="false">IF(B433="","",INDEX(報告入力!$C$7:$C$696,B433))</f>
        <v>未受領</v>
      </c>
      <c r="D433" s="5" t="str">
        <f aca="false">設定!$A$42</f>
        <v>子ども・子育て支援納付金経理</v>
      </c>
      <c r="E433" s="5" t="str">
        <f aca="false">設定!$B$42&amp;""</f>
        <v/>
      </c>
      <c r="F433" s="5" t="str">
        <f aca="false">設定!$D$56&amp;""</f>
        <v/>
      </c>
      <c r="G433" s="5" t="str">
        <f aca="false">設定!$E$56&amp;""</f>
        <v/>
      </c>
      <c r="H433" s="5" t="n">
        <f aca="false">IF(B433="",0,N(INDEX(報告入力!$BI$7:$BI$696,B433)))</f>
        <v>1</v>
      </c>
      <c r="I433" s="5" t="str">
        <f aca="false">設定!$C$42&amp;""</f>
        <v/>
      </c>
      <c r="J433" s="5" t="str">
        <f aca="false">設定!$D$42&amp;""</f>
        <v/>
      </c>
      <c r="K433" s="5" t="n">
        <f aca="false">IF(AND(H433&lt;&gt;0,IF(設定!$B$6="入金確認済のみ",C433="入金確認済",OR(C433="入金確認済",C433="受領済"))),1,0)</f>
        <v>0</v>
      </c>
      <c r="L433" s="5" t="str">
        <f aca="false">4&amp;"|"&amp;7</f>
        <v>4|7</v>
      </c>
      <c r="M433" s="5" t="n">
        <f aca="false">IF(L433=L432,M432,0)+K433</f>
        <v>0</v>
      </c>
      <c r="N433" s="5" t="n">
        <f aca="false">IF(AND(K433=1,M433=1),1,0)</f>
        <v>0</v>
      </c>
      <c r="O433" s="5" t="str">
        <f aca="false">IF(K433=1,MAX($O$5:O432)+1,"")</f>
        <v/>
      </c>
      <c r="P433" s="5" t="str">
        <f aca="false">IF(K433=1,SUM($N$6:N433),"")</f>
        <v/>
      </c>
      <c r="Q433" s="5" t="str">
        <f aca="false">IF(K433=1,SUMIFS($H$6:$H$511,$L$6:$L$511,L433,$K$6:$K$511,1),"")</f>
        <v/>
      </c>
      <c r="R433" s="103" t="str">
        <f aca="false">IF(B433="","",IF(INDEX(報告入力!$AB$7:$AB$696,B433)="","",INDEX(報告入力!$AB$7:$AB$696,B433)))</f>
        <v/>
      </c>
      <c r="S433" s="5" t="str">
        <f aca="false">設定!$C$56</f>
        <v>子ども・子育て支援納付金：負担金</v>
      </c>
    </row>
    <row r="434" customFormat="false" ht="15" hidden="false" customHeight="false" outlineLevel="0" collapsed="false">
      <c r="A434" s="5" t="str">
        <f aca="false">設定!B68</f>
        <v>監査事務局</v>
      </c>
      <c r="B434" s="5" t="n">
        <f aca="false">IFERROR(MATCH(ホーム!$C$4&amp;"|"&amp;A434,報告入力!$CM$7:$CM$696,0),"")</f>
        <v>330</v>
      </c>
      <c r="C434" s="5" t="str">
        <f aca="false">IF(B434="","",INDEX(報告入力!$C$7:$C$696,B434))</f>
        <v>未受領</v>
      </c>
      <c r="D434" s="5" t="str">
        <f aca="false">設定!$A$42</f>
        <v>子ども・子育て支援納付金経理</v>
      </c>
      <c r="E434" s="5" t="str">
        <f aca="false">設定!$B$42&amp;""</f>
        <v/>
      </c>
      <c r="F434" s="5" t="str">
        <f aca="false">設定!$D$55&amp;""</f>
        <v/>
      </c>
      <c r="G434" s="5" t="str">
        <f aca="false">設定!$E$55&amp;""</f>
        <v/>
      </c>
      <c r="H434" s="5" t="n">
        <f aca="false">IF(B434="",0,N(INDEX(報告入力!$BH$7:$BH$696,B434)))</f>
        <v>1</v>
      </c>
      <c r="I434" s="5" t="str">
        <f aca="false">設定!$C$42&amp;""</f>
        <v/>
      </c>
      <c r="J434" s="5" t="str">
        <f aca="false">設定!$D$42&amp;""</f>
        <v/>
      </c>
      <c r="K434" s="5" t="n">
        <f aca="false">IF(AND(H434&lt;&gt;0,IF(設定!$B$6="入金確認済のみ",C434="入金確認済",OR(C434="入金確認済",C434="受領済"))),1,0)</f>
        <v>0</v>
      </c>
      <c r="L434" s="5" t="str">
        <f aca="false">4&amp;"|"&amp;8</f>
        <v>4|8</v>
      </c>
      <c r="M434" s="5" t="n">
        <f aca="false">IF(L434=L433,M433,0)+K434</f>
        <v>0</v>
      </c>
      <c r="N434" s="5" t="n">
        <f aca="false">IF(AND(K434=1,M434=1),1,0)</f>
        <v>0</v>
      </c>
      <c r="O434" s="5" t="str">
        <f aca="false">IF(K434=1,MAX($O$5:O433)+1,"")</f>
        <v/>
      </c>
      <c r="P434" s="5" t="str">
        <f aca="false">IF(K434=1,SUM($N$6:N434),"")</f>
        <v/>
      </c>
      <c r="Q434" s="5" t="str">
        <f aca="false">IF(K434=1,SUMIFS($H$6:$H$511,$L$6:$L$511,L434,$K$6:$K$511,1),"")</f>
        <v/>
      </c>
      <c r="R434" s="103" t="str">
        <f aca="false">IF(B434="","",IF(INDEX(報告入力!$AB$7:$AB$696,B434)="","",INDEX(報告入力!$AB$7:$AB$696,B434)))</f>
        <v/>
      </c>
      <c r="S434" s="5" t="str">
        <f aca="false">設定!$C$55</f>
        <v>子ども・子育て支援納付金：掛金</v>
      </c>
    </row>
    <row r="435" customFormat="false" ht="15" hidden="false" customHeight="false" outlineLevel="0" collapsed="false">
      <c r="A435" s="5" t="str">
        <f aca="false">設定!B68</f>
        <v>監査事務局</v>
      </c>
      <c r="B435" s="5" t="n">
        <f aca="false">IFERROR(MATCH(ホーム!$C$4&amp;"|"&amp;A435,報告入力!$CM$7:$CM$696,0),"")</f>
        <v>330</v>
      </c>
      <c r="C435" s="5" t="str">
        <f aca="false">IF(B435="","",INDEX(報告入力!$C$7:$C$696,B435))</f>
        <v>未受領</v>
      </c>
      <c r="D435" s="5" t="str">
        <f aca="false">設定!$A$42</f>
        <v>子ども・子育て支援納付金経理</v>
      </c>
      <c r="E435" s="5" t="str">
        <f aca="false">設定!$B$42&amp;""</f>
        <v/>
      </c>
      <c r="F435" s="5" t="str">
        <f aca="false">設定!$D$56&amp;""</f>
        <v/>
      </c>
      <c r="G435" s="5" t="str">
        <f aca="false">設定!$E$56&amp;""</f>
        <v/>
      </c>
      <c r="H435" s="5" t="n">
        <f aca="false">IF(B435="",0,N(INDEX(報告入力!$BI$7:$BI$696,B435)))</f>
        <v>1</v>
      </c>
      <c r="I435" s="5" t="str">
        <f aca="false">設定!$C$42&amp;""</f>
        <v/>
      </c>
      <c r="J435" s="5" t="str">
        <f aca="false">設定!$D$42&amp;""</f>
        <v/>
      </c>
      <c r="K435" s="5" t="n">
        <f aca="false">IF(AND(H435&lt;&gt;0,IF(設定!$B$6="入金確認済のみ",C435="入金確認済",OR(C435="入金確認済",C435="受領済"))),1,0)</f>
        <v>0</v>
      </c>
      <c r="L435" s="5" t="str">
        <f aca="false">4&amp;"|"&amp;8</f>
        <v>4|8</v>
      </c>
      <c r="M435" s="5" t="n">
        <f aca="false">IF(L435=L434,M434,0)+K435</f>
        <v>0</v>
      </c>
      <c r="N435" s="5" t="n">
        <f aca="false">IF(AND(K435=1,M435=1),1,0)</f>
        <v>0</v>
      </c>
      <c r="O435" s="5" t="str">
        <f aca="false">IF(K435=1,MAX($O$5:O434)+1,"")</f>
        <v/>
      </c>
      <c r="P435" s="5" t="str">
        <f aca="false">IF(K435=1,SUM($N$6:N435),"")</f>
        <v/>
      </c>
      <c r="Q435" s="5" t="str">
        <f aca="false">IF(K435=1,SUMIFS($H$6:$H$511,$L$6:$L$511,L435,$K$6:$K$511,1),"")</f>
        <v/>
      </c>
      <c r="R435" s="103" t="str">
        <f aca="false">IF(B435="","",IF(INDEX(報告入力!$AB$7:$AB$696,B435)="","",INDEX(報告入力!$AB$7:$AB$696,B435)))</f>
        <v/>
      </c>
      <c r="S435" s="5" t="str">
        <f aca="false">設定!$C$56</f>
        <v>子ども・子育て支援納付金：負担金</v>
      </c>
    </row>
    <row r="436" customFormat="false" ht="15" hidden="false" customHeight="false" outlineLevel="0" collapsed="false">
      <c r="A436" s="5" t="str">
        <f aca="false">設定!B69</f>
        <v>農業委員会</v>
      </c>
      <c r="B436" s="5" t="n">
        <f aca="false">IFERROR(MATCH(ホーム!$C$4&amp;"|"&amp;A436,報告入力!$CM$7:$CM$696,0),"")</f>
        <v>331</v>
      </c>
      <c r="C436" s="5" t="str">
        <f aca="false">IF(B436="","",INDEX(報告入力!$C$7:$C$696,B436))</f>
        <v>未受領</v>
      </c>
      <c r="D436" s="5" t="str">
        <f aca="false">設定!$A$42</f>
        <v>子ども・子育て支援納付金経理</v>
      </c>
      <c r="E436" s="5" t="str">
        <f aca="false">設定!$B$42&amp;""</f>
        <v/>
      </c>
      <c r="F436" s="5" t="str">
        <f aca="false">設定!$D$55&amp;""</f>
        <v/>
      </c>
      <c r="G436" s="5" t="str">
        <f aca="false">設定!$E$55&amp;""</f>
        <v/>
      </c>
      <c r="H436" s="5" t="n">
        <f aca="false">IF(B436="",0,N(INDEX(報告入力!$BH$7:$BH$696,B436)))</f>
        <v>1</v>
      </c>
      <c r="I436" s="5" t="str">
        <f aca="false">設定!$C$42&amp;""</f>
        <v/>
      </c>
      <c r="J436" s="5" t="str">
        <f aca="false">設定!$D$42&amp;""</f>
        <v/>
      </c>
      <c r="K436" s="5" t="n">
        <f aca="false">IF(AND(H436&lt;&gt;0,IF(設定!$B$6="入金確認済のみ",C436="入金確認済",OR(C436="入金確認済",C436="受領済"))),1,0)</f>
        <v>0</v>
      </c>
      <c r="L436" s="5" t="str">
        <f aca="false">4&amp;"|"&amp;9</f>
        <v>4|9</v>
      </c>
      <c r="M436" s="5" t="n">
        <f aca="false">IF(L436=L435,M435,0)+K436</f>
        <v>0</v>
      </c>
      <c r="N436" s="5" t="n">
        <f aca="false">IF(AND(K436=1,M436=1),1,0)</f>
        <v>0</v>
      </c>
      <c r="O436" s="5" t="str">
        <f aca="false">IF(K436=1,MAX($O$5:O435)+1,"")</f>
        <v/>
      </c>
      <c r="P436" s="5" t="str">
        <f aca="false">IF(K436=1,SUM($N$6:N436),"")</f>
        <v/>
      </c>
      <c r="Q436" s="5" t="str">
        <f aca="false">IF(K436=1,SUMIFS($H$6:$H$511,$L$6:$L$511,L436,$K$6:$K$511,1),"")</f>
        <v/>
      </c>
      <c r="R436" s="103" t="str">
        <f aca="false">IF(B436="","",IF(INDEX(報告入力!$AB$7:$AB$696,B436)="","",INDEX(報告入力!$AB$7:$AB$696,B436)))</f>
        <v/>
      </c>
      <c r="S436" s="5" t="str">
        <f aca="false">設定!$C$55</f>
        <v>子ども・子育て支援納付金：掛金</v>
      </c>
    </row>
    <row r="437" customFormat="false" ht="15" hidden="false" customHeight="false" outlineLevel="0" collapsed="false">
      <c r="A437" s="5" t="str">
        <f aca="false">設定!B69</f>
        <v>農業委員会</v>
      </c>
      <c r="B437" s="5" t="n">
        <f aca="false">IFERROR(MATCH(ホーム!$C$4&amp;"|"&amp;A437,報告入力!$CM$7:$CM$696,0),"")</f>
        <v>331</v>
      </c>
      <c r="C437" s="5" t="str">
        <f aca="false">IF(B437="","",INDEX(報告入力!$C$7:$C$696,B437))</f>
        <v>未受領</v>
      </c>
      <c r="D437" s="5" t="str">
        <f aca="false">設定!$A$42</f>
        <v>子ども・子育て支援納付金経理</v>
      </c>
      <c r="E437" s="5" t="str">
        <f aca="false">設定!$B$42&amp;""</f>
        <v/>
      </c>
      <c r="F437" s="5" t="str">
        <f aca="false">設定!$D$56&amp;""</f>
        <v/>
      </c>
      <c r="G437" s="5" t="str">
        <f aca="false">設定!$E$56&amp;""</f>
        <v/>
      </c>
      <c r="H437" s="5" t="n">
        <f aca="false">IF(B437="",0,N(INDEX(報告入力!$BI$7:$BI$696,B437)))</f>
        <v>1</v>
      </c>
      <c r="I437" s="5" t="str">
        <f aca="false">設定!$C$42&amp;""</f>
        <v/>
      </c>
      <c r="J437" s="5" t="str">
        <f aca="false">設定!$D$42&amp;""</f>
        <v/>
      </c>
      <c r="K437" s="5" t="n">
        <f aca="false">IF(AND(H437&lt;&gt;0,IF(設定!$B$6="入金確認済のみ",C437="入金確認済",OR(C437="入金確認済",C437="受領済"))),1,0)</f>
        <v>0</v>
      </c>
      <c r="L437" s="5" t="str">
        <f aca="false">4&amp;"|"&amp;9</f>
        <v>4|9</v>
      </c>
      <c r="M437" s="5" t="n">
        <f aca="false">IF(L437=L436,M436,0)+K437</f>
        <v>0</v>
      </c>
      <c r="N437" s="5" t="n">
        <f aca="false">IF(AND(K437=1,M437=1),1,0)</f>
        <v>0</v>
      </c>
      <c r="O437" s="5" t="str">
        <f aca="false">IF(K437=1,MAX($O$5:O436)+1,"")</f>
        <v/>
      </c>
      <c r="P437" s="5" t="str">
        <f aca="false">IF(K437=1,SUM($N$6:N437),"")</f>
        <v/>
      </c>
      <c r="Q437" s="5" t="str">
        <f aca="false">IF(K437=1,SUMIFS($H$6:$H$511,$L$6:$L$511,L437,$K$6:$K$511,1),"")</f>
        <v/>
      </c>
      <c r="R437" s="103" t="str">
        <f aca="false">IF(B437="","",IF(INDEX(報告入力!$AB$7:$AB$696,B437)="","",INDEX(報告入力!$AB$7:$AB$696,B437)))</f>
        <v/>
      </c>
      <c r="S437" s="5" t="str">
        <f aca="false">設定!$C$56</f>
        <v>子ども・子育て支援納付金：負担金</v>
      </c>
    </row>
    <row r="438" customFormat="false" ht="15" hidden="false" customHeight="false" outlineLevel="0" collapsed="false">
      <c r="A438" s="5" t="str">
        <f aca="false">設定!B70</f>
        <v>水道局</v>
      </c>
      <c r="B438" s="5" t="n">
        <f aca="false">IFERROR(MATCH(ホーム!$C$4&amp;"|"&amp;A438,報告入力!$CM$7:$CM$696,0),"")</f>
        <v>332</v>
      </c>
      <c r="C438" s="5" t="str">
        <f aca="false">IF(B438="","",INDEX(報告入力!$C$7:$C$696,B438))</f>
        <v>未受領</v>
      </c>
      <c r="D438" s="5" t="str">
        <f aca="false">設定!$A$42</f>
        <v>子ども・子育て支援納付金経理</v>
      </c>
      <c r="E438" s="5" t="str">
        <f aca="false">設定!$B$42&amp;""</f>
        <v/>
      </c>
      <c r="F438" s="5" t="str">
        <f aca="false">設定!$D$55&amp;""</f>
        <v/>
      </c>
      <c r="G438" s="5" t="str">
        <f aca="false">設定!$E$55&amp;""</f>
        <v/>
      </c>
      <c r="H438" s="5" t="n">
        <f aca="false">IF(B438="",0,N(INDEX(報告入力!$BH$7:$BH$696,B438)))</f>
        <v>1</v>
      </c>
      <c r="I438" s="5" t="str">
        <f aca="false">設定!$C$42&amp;""</f>
        <v/>
      </c>
      <c r="J438" s="5" t="str">
        <f aca="false">設定!$D$42&amp;""</f>
        <v/>
      </c>
      <c r="K438" s="5" t="n">
        <f aca="false">IF(AND(H438&lt;&gt;0,IF(設定!$B$6="入金確認済のみ",C438="入金確認済",OR(C438="入金確認済",C438="受領済"))),1,0)</f>
        <v>0</v>
      </c>
      <c r="L438" s="5" t="str">
        <f aca="false">4&amp;"|"&amp;10</f>
        <v>4|10</v>
      </c>
      <c r="M438" s="5" t="n">
        <f aca="false">IF(L438=L437,M437,0)+K438</f>
        <v>0</v>
      </c>
      <c r="N438" s="5" t="n">
        <f aca="false">IF(AND(K438=1,M438=1),1,0)</f>
        <v>0</v>
      </c>
      <c r="O438" s="5" t="str">
        <f aca="false">IF(K438=1,MAX($O$5:O437)+1,"")</f>
        <v/>
      </c>
      <c r="P438" s="5" t="str">
        <f aca="false">IF(K438=1,SUM($N$6:N438),"")</f>
        <v/>
      </c>
      <c r="Q438" s="5" t="str">
        <f aca="false">IF(K438=1,SUMIFS($H$6:$H$511,$L$6:$L$511,L438,$K$6:$K$511,1),"")</f>
        <v/>
      </c>
      <c r="R438" s="103" t="str">
        <f aca="false">IF(B438="","",IF(INDEX(報告入力!$AB$7:$AB$696,B438)="","",INDEX(報告入力!$AB$7:$AB$696,B438)))</f>
        <v/>
      </c>
      <c r="S438" s="5" t="str">
        <f aca="false">設定!$C$55</f>
        <v>子ども・子育て支援納付金：掛金</v>
      </c>
    </row>
    <row r="439" customFormat="false" ht="15" hidden="false" customHeight="false" outlineLevel="0" collapsed="false">
      <c r="A439" s="5" t="str">
        <f aca="false">設定!B70</f>
        <v>水道局</v>
      </c>
      <c r="B439" s="5" t="n">
        <f aca="false">IFERROR(MATCH(ホーム!$C$4&amp;"|"&amp;A439,報告入力!$CM$7:$CM$696,0),"")</f>
        <v>332</v>
      </c>
      <c r="C439" s="5" t="str">
        <f aca="false">IF(B439="","",INDEX(報告入力!$C$7:$C$696,B439))</f>
        <v>未受領</v>
      </c>
      <c r="D439" s="5" t="str">
        <f aca="false">設定!$A$42</f>
        <v>子ども・子育て支援納付金経理</v>
      </c>
      <c r="E439" s="5" t="str">
        <f aca="false">設定!$B$42&amp;""</f>
        <v/>
      </c>
      <c r="F439" s="5" t="str">
        <f aca="false">設定!$D$56&amp;""</f>
        <v/>
      </c>
      <c r="G439" s="5" t="str">
        <f aca="false">設定!$E$56&amp;""</f>
        <v/>
      </c>
      <c r="H439" s="5" t="n">
        <f aca="false">IF(B439="",0,N(INDEX(報告入力!$BI$7:$BI$696,B439)))</f>
        <v>1</v>
      </c>
      <c r="I439" s="5" t="str">
        <f aca="false">設定!$C$42&amp;""</f>
        <v/>
      </c>
      <c r="J439" s="5" t="str">
        <f aca="false">設定!$D$42&amp;""</f>
        <v/>
      </c>
      <c r="K439" s="5" t="n">
        <f aca="false">IF(AND(H439&lt;&gt;0,IF(設定!$B$6="入金確認済のみ",C439="入金確認済",OR(C439="入金確認済",C439="受領済"))),1,0)</f>
        <v>0</v>
      </c>
      <c r="L439" s="5" t="str">
        <f aca="false">4&amp;"|"&amp;10</f>
        <v>4|10</v>
      </c>
      <c r="M439" s="5" t="n">
        <f aca="false">IF(L439=L438,M438,0)+K439</f>
        <v>0</v>
      </c>
      <c r="N439" s="5" t="n">
        <f aca="false">IF(AND(K439=1,M439=1),1,0)</f>
        <v>0</v>
      </c>
      <c r="O439" s="5" t="str">
        <f aca="false">IF(K439=1,MAX($O$5:O438)+1,"")</f>
        <v/>
      </c>
      <c r="P439" s="5" t="str">
        <f aca="false">IF(K439=1,SUM($N$6:N439),"")</f>
        <v/>
      </c>
      <c r="Q439" s="5" t="str">
        <f aca="false">IF(K439=1,SUMIFS($H$6:$H$511,$L$6:$L$511,L439,$K$6:$K$511,1),"")</f>
        <v/>
      </c>
      <c r="R439" s="103" t="str">
        <f aca="false">IF(B439="","",IF(INDEX(報告入力!$AB$7:$AB$696,B439)="","",INDEX(報告入力!$AB$7:$AB$696,B439)))</f>
        <v/>
      </c>
      <c r="S439" s="5" t="str">
        <f aca="false">設定!$C$56</f>
        <v>子ども・子育て支援納付金：負担金</v>
      </c>
    </row>
    <row r="440" customFormat="false" ht="15" hidden="false" customHeight="false" outlineLevel="0" collapsed="false">
      <c r="A440" s="5" t="str">
        <f aca="false">設定!B71</f>
        <v>医療政策課(安芸市民)</v>
      </c>
      <c r="B440" s="5" t="n">
        <f aca="false">IFERROR(MATCH(ホーム!$C$4&amp;"|"&amp;A440,報告入力!$CM$7:$CM$696,0),"")</f>
        <v>333</v>
      </c>
      <c r="C440" s="5" t="str">
        <f aca="false">IF(B440="","",INDEX(報告入力!$C$7:$C$696,B440))</f>
        <v>未受領</v>
      </c>
      <c r="D440" s="5" t="str">
        <f aca="false">設定!$A$42</f>
        <v>子ども・子育て支援納付金経理</v>
      </c>
      <c r="E440" s="5" t="str">
        <f aca="false">設定!$B$42&amp;""</f>
        <v/>
      </c>
      <c r="F440" s="5" t="str">
        <f aca="false">設定!$D$55&amp;""</f>
        <v/>
      </c>
      <c r="G440" s="5" t="str">
        <f aca="false">設定!$E$55&amp;""</f>
        <v/>
      </c>
      <c r="H440" s="5" t="n">
        <f aca="false">IF(B440="",0,N(INDEX(報告入力!$BH$7:$BH$696,B440)))</f>
        <v>1</v>
      </c>
      <c r="I440" s="5" t="str">
        <f aca="false">設定!$C$42&amp;""</f>
        <v/>
      </c>
      <c r="J440" s="5" t="str">
        <f aca="false">設定!$D$42&amp;""</f>
        <v/>
      </c>
      <c r="K440" s="5" t="n">
        <f aca="false">IF(AND(H440&lt;&gt;0,IF(設定!$B$6="入金確認済のみ",C440="入金確認済",OR(C440="入金確認済",C440="受領済"))),1,0)</f>
        <v>0</v>
      </c>
      <c r="L440" s="5" t="str">
        <f aca="false">4&amp;"|"&amp;11</f>
        <v>4|11</v>
      </c>
      <c r="M440" s="5" t="n">
        <f aca="false">IF(L440=L439,M439,0)+K440</f>
        <v>0</v>
      </c>
      <c r="N440" s="5" t="n">
        <f aca="false">IF(AND(K440=1,M440=1),1,0)</f>
        <v>0</v>
      </c>
      <c r="O440" s="5" t="str">
        <f aca="false">IF(K440=1,MAX($O$5:O439)+1,"")</f>
        <v/>
      </c>
      <c r="P440" s="5" t="str">
        <f aca="false">IF(K440=1,SUM($N$6:N440),"")</f>
        <v/>
      </c>
      <c r="Q440" s="5" t="str">
        <f aca="false">IF(K440=1,SUMIFS($H$6:$H$511,$L$6:$L$511,L440,$K$6:$K$511,1),"")</f>
        <v/>
      </c>
      <c r="R440" s="103" t="str">
        <f aca="false">IF(B440="","",IF(INDEX(報告入力!$AB$7:$AB$696,B440)="","",INDEX(報告入力!$AB$7:$AB$696,B440)))</f>
        <v/>
      </c>
      <c r="S440" s="5" t="str">
        <f aca="false">設定!$C$55</f>
        <v>子ども・子育て支援納付金：掛金</v>
      </c>
    </row>
    <row r="441" customFormat="false" ht="15" hidden="false" customHeight="false" outlineLevel="0" collapsed="false">
      <c r="A441" s="5" t="str">
        <f aca="false">設定!B71</f>
        <v>医療政策課(安芸市民)</v>
      </c>
      <c r="B441" s="5" t="n">
        <f aca="false">IFERROR(MATCH(ホーム!$C$4&amp;"|"&amp;A441,報告入力!$CM$7:$CM$696,0),"")</f>
        <v>333</v>
      </c>
      <c r="C441" s="5" t="str">
        <f aca="false">IF(B441="","",INDEX(報告入力!$C$7:$C$696,B441))</f>
        <v>未受領</v>
      </c>
      <c r="D441" s="5" t="str">
        <f aca="false">設定!$A$42</f>
        <v>子ども・子育て支援納付金経理</v>
      </c>
      <c r="E441" s="5" t="str">
        <f aca="false">設定!$B$42&amp;""</f>
        <v/>
      </c>
      <c r="F441" s="5" t="str">
        <f aca="false">設定!$D$56&amp;""</f>
        <v/>
      </c>
      <c r="G441" s="5" t="str">
        <f aca="false">設定!$E$56&amp;""</f>
        <v/>
      </c>
      <c r="H441" s="5" t="n">
        <f aca="false">IF(B441="",0,N(INDEX(報告入力!$BI$7:$BI$696,B441)))</f>
        <v>1</v>
      </c>
      <c r="I441" s="5" t="str">
        <f aca="false">設定!$C$42&amp;""</f>
        <v/>
      </c>
      <c r="J441" s="5" t="str">
        <f aca="false">設定!$D$42&amp;""</f>
        <v/>
      </c>
      <c r="K441" s="5" t="n">
        <f aca="false">IF(AND(H441&lt;&gt;0,IF(設定!$B$6="入金確認済のみ",C441="入金確認済",OR(C441="入金確認済",C441="受領済"))),1,0)</f>
        <v>0</v>
      </c>
      <c r="L441" s="5" t="str">
        <f aca="false">4&amp;"|"&amp;11</f>
        <v>4|11</v>
      </c>
      <c r="M441" s="5" t="n">
        <f aca="false">IF(L441=L440,M440,0)+K441</f>
        <v>0</v>
      </c>
      <c r="N441" s="5" t="n">
        <f aca="false">IF(AND(K441=1,M441=1),1,0)</f>
        <v>0</v>
      </c>
      <c r="O441" s="5" t="str">
        <f aca="false">IF(K441=1,MAX($O$5:O440)+1,"")</f>
        <v/>
      </c>
      <c r="P441" s="5" t="str">
        <f aca="false">IF(K441=1,SUM($N$6:N441),"")</f>
        <v/>
      </c>
      <c r="Q441" s="5" t="str">
        <f aca="false">IF(K441=1,SUMIFS($H$6:$H$511,$L$6:$L$511,L441,$K$6:$K$511,1),"")</f>
        <v/>
      </c>
      <c r="R441" s="103" t="str">
        <f aca="false">IF(B441="","",IF(INDEX(報告入力!$AB$7:$AB$696,B441)="","",INDEX(報告入力!$AB$7:$AB$696,B441)))</f>
        <v/>
      </c>
      <c r="S441" s="5" t="str">
        <f aca="false">設定!$C$56</f>
        <v>子ども・子育て支援納付金：負担金</v>
      </c>
    </row>
    <row r="442" customFormat="false" ht="15" hidden="false" customHeight="false" outlineLevel="0" collapsed="false">
      <c r="A442" s="5" t="str">
        <f aca="false">設定!B72</f>
        <v>教育委員会（教育給与課）</v>
      </c>
      <c r="B442" s="5" t="n">
        <f aca="false">IFERROR(MATCH(ホーム!$C$4&amp;"|"&amp;A442,報告入力!$CM$7:$CM$696,0),"")</f>
        <v>334</v>
      </c>
      <c r="C442" s="5" t="str">
        <f aca="false">IF(B442="","",INDEX(報告入力!$C$7:$C$696,B442))</f>
        <v>未受領</v>
      </c>
      <c r="D442" s="5" t="str">
        <f aca="false">設定!$A$42</f>
        <v>子ども・子育て支援納付金経理</v>
      </c>
      <c r="E442" s="5" t="str">
        <f aca="false">設定!$B$42&amp;""</f>
        <v/>
      </c>
      <c r="F442" s="5" t="str">
        <f aca="false">設定!$D$55&amp;""</f>
        <v/>
      </c>
      <c r="G442" s="5" t="str">
        <f aca="false">設定!$E$55&amp;""</f>
        <v/>
      </c>
      <c r="H442" s="5" t="n">
        <f aca="false">IF(B442="",0,N(INDEX(報告入力!$BH$7:$BH$696,B442)))</f>
        <v>1</v>
      </c>
      <c r="I442" s="5" t="str">
        <f aca="false">設定!$C$42&amp;""</f>
        <v/>
      </c>
      <c r="J442" s="5" t="str">
        <f aca="false">設定!$D$42&amp;""</f>
        <v/>
      </c>
      <c r="K442" s="5" t="n">
        <f aca="false">IF(AND(H442&lt;&gt;0,IF(設定!$B$6="入金確認済のみ",C442="入金確認済",OR(C442="入金確認済",C442="受領済"))),1,0)</f>
        <v>0</v>
      </c>
      <c r="L442" s="5" t="str">
        <f aca="false">4&amp;"|"&amp;12</f>
        <v>4|12</v>
      </c>
      <c r="M442" s="5" t="n">
        <f aca="false">IF(L442=L441,M441,0)+K442</f>
        <v>0</v>
      </c>
      <c r="N442" s="5" t="n">
        <f aca="false">IF(AND(K442=1,M442=1),1,0)</f>
        <v>0</v>
      </c>
      <c r="O442" s="5" t="str">
        <f aca="false">IF(K442=1,MAX($O$5:O441)+1,"")</f>
        <v/>
      </c>
      <c r="P442" s="5" t="str">
        <f aca="false">IF(K442=1,SUM($N$6:N442),"")</f>
        <v/>
      </c>
      <c r="Q442" s="5" t="str">
        <f aca="false">IF(K442=1,SUMIFS($H$6:$H$511,$L$6:$L$511,L442,$K$6:$K$511,1),"")</f>
        <v/>
      </c>
      <c r="R442" s="103" t="str">
        <f aca="false">IF(B442="","",IF(INDEX(報告入力!$AB$7:$AB$696,B442)="","",INDEX(報告入力!$AB$7:$AB$696,B442)))</f>
        <v/>
      </c>
      <c r="S442" s="5" t="str">
        <f aca="false">設定!$C$55</f>
        <v>子ども・子育て支援納付金：掛金</v>
      </c>
    </row>
    <row r="443" customFormat="false" ht="15" hidden="false" customHeight="false" outlineLevel="0" collapsed="false">
      <c r="A443" s="5" t="str">
        <f aca="false">設定!B72</f>
        <v>教育委員会（教育給与課）</v>
      </c>
      <c r="B443" s="5" t="n">
        <f aca="false">IFERROR(MATCH(ホーム!$C$4&amp;"|"&amp;A443,報告入力!$CM$7:$CM$696,0),"")</f>
        <v>334</v>
      </c>
      <c r="C443" s="5" t="str">
        <f aca="false">IF(B443="","",INDEX(報告入力!$C$7:$C$696,B443))</f>
        <v>未受領</v>
      </c>
      <c r="D443" s="5" t="str">
        <f aca="false">設定!$A$42</f>
        <v>子ども・子育て支援納付金経理</v>
      </c>
      <c r="E443" s="5" t="str">
        <f aca="false">設定!$B$42&amp;""</f>
        <v/>
      </c>
      <c r="F443" s="5" t="str">
        <f aca="false">設定!$D$56&amp;""</f>
        <v/>
      </c>
      <c r="G443" s="5" t="str">
        <f aca="false">設定!$E$56&amp;""</f>
        <v/>
      </c>
      <c r="H443" s="5" t="n">
        <f aca="false">IF(B443="",0,N(INDEX(報告入力!$BI$7:$BI$696,B443)))</f>
        <v>1</v>
      </c>
      <c r="I443" s="5" t="str">
        <f aca="false">設定!$C$42&amp;""</f>
        <v/>
      </c>
      <c r="J443" s="5" t="str">
        <f aca="false">設定!$D$42&amp;""</f>
        <v/>
      </c>
      <c r="K443" s="5" t="n">
        <f aca="false">IF(AND(H443&lt;&gt;0,IF(設定!$B$6="入金確認済のみ",C443="入金確認済",OR(C443="入金確認済",C443="受領済"))),1,0)</f>
        <v>0</v>
      </c>
      <c r="L443" s="5" t="str">
        <f aca="false">4&amp;"|"&amp;12</f>
        <v>4|12</v>
      </c>
      <c r="M443" s="5" t="n">
        <f aca="false">IF(L443=L442,M442,0)+K443</f>
        <v>0</v>
      </c>
      <c r="N443" s="5" t="n">
        <f aca="false">IF(AND(K443=1,M443=1),1,0)</f>
        <v>0</v>
      </c>
      <c r="O443" s="5" t="str">
        <f aca="false">IF(K443=1,MAX($O$5:O442)+1,"")</f>
        <v/>
      </c>
      <c r="P443" s="5" t="str">
        <f aca="false">IF(K443=1,SUM($N$6:N443),"")</f>
        <v/>
      </c>
      <c r="Q443" s="5" t="str">
        <f aca="false">IF(K443=1,SUMIFS($H$6:$H$511,$L$6:$L$511,L443,$K$6:$K$511,1),"")</f>
        <v/>
      </c>
      <c r="R443" s="103" t="str">
        <f aca="false">IF(B443="","",IF(INDEX(報告入力!$AB$7:$AB$696,B443)="","",INDEX(報告入力!$AB$7:$AB$696,B443)))</f>
        <v/>
      </c>
      <c r="S443" s="5" t="str">
        <f aca="false">設定!$C$56</f>
        <v>子ども・子育て支援納付金：負担金</v>
      </c>
    </row>
    <row r="444" customFormat="false" ht="15" hidden="false" customHeight="false" outlineLevel="0" collapsed="false">
      <c r="A444" s="5" t="str">
        <f aca="false">設定!B73</f>
        <v>地方税共同機構</v>
      </c>
      <c r="B444" s="5" t="n">
        <f aca="false">IFERROR(MATCH(ホーム!$C$4&amp;"|"&amp;A444,報告入力!$CM$7:$CM$696,0),"")</f>
        <v>335</v>
      </c>
      <c r="C444" s="5" t="str">
        <f aca="false">IF(B444="","",INDEX(報告入力!$C$7:$C$696,B444))</f>
        <v>報告なし</v>
      </c>
      <c r="D444" s="5" t="str">
        <f aca="false">設定!$A$42</f>
        <v>子ども・子育て支援納付金経理</v>
      </c>
      <c r="E444" s="5" t="str">
        <f aca="false">設定!$B$42&amp;""</f>
        <v/>
      </c>
      <c r="F444" s="5" t="str">
        <f aca="false">設定!$D$55&amp;""</f>
        <v/>
      </c>
      <c r="G444" s="5" t="str">
        <f aca="false">設定!$E$55&amp;""</f>
        <v/>
      </c>
      <c r="H444" s="5" t="n">
        <f aca="false">IF(B444="",0,N(INDEX(報告入力!$BH$7:$BH$696,B444)))</f>
        <v>0</v>
      </c>
      <c r="I444" s="5" t="str">
        <f aca="false">設定!$C$42&amp;""</f>
        <v/>
      </c>
      <c r="J444" s="5" t="str">
        <f aca="false">設定!$D$42&amp;""</f>
        <v/>
      </c>
      <c r="K444" s="5" t="n">
        <f aca="false">IF(AND(H444&lt;&gt;0,IF(設定!$B$6="入金確認済のみ",C444="入金確認済",OR(C444="入金確認済",C444="受領済"))),1,0)</f>
        <v>0</v>
      </c>
      <c r="L444" s="5" t="str">
        <f aca="false">4&amp;"|"&amp;13</f>
        <v>4|13</v>
      </c>
      <c r="M444" s="5" t="n">
        <f aca="false">IF(L444=L443,M443,0)+K444</f>
        <v>0</v>
      </c>
      <c r="N444" s="5" t="n">
        <f aca="false">IF(AND(K444=1,M444=1),1,0)</f>
        <v>0</v>
      </c>
      <c r="O444" s="5" t="str">
        <f aca="false">IF(K444=1,MAX($O$5:O443)+1,"")</f>
        <v/>
      </c>
      <c r="P444" s="5" t="str">
        <f aca="false">IF(K444=1,SUM($N$6:N444),"")</f>
        <v/>
      </c>
      <c r="Q444" s="5" t="str">
        <f aca="false">IF(K444=1,SUMIFS($H$6:$H$511,$L$6:$L$511,L444,$K$6:$K$511,1),"")</f>
        <v/>
      </c>
      <c r="R444" s="103" t="str">
        <f aca="false">IF(B444="","",IF(INDEX(報告入力!$AB$7:$AB$696,B444)="","",INDEX(報告入力!$AB$7:$AB$696,B444)))</f>
        <v/>
      </c>
      <c r="S444" s="5" t="str">
        <f aca="false">設定!$C$55</f>
        <v>子ども・子育て支援納付金：掛金</v>
      </c>
    </row>
    <row r="445" customFormat="false" ht="15" hidden="false" customHeight="false" outlineLevel="0" collapsed="false">
      <c r="A445" s="5" t="str">
        <f aca="false">設定!B73</f>
        <v>地方税共同機構</v>
      </c>
      <c r="B445" s="5" t="n">
        <f aca="false">IFERROR(MATCH(ホーム!$C$4&amp;"|"&amp;A445,報告入力!$CM$7:$CM$696,0),"")</f>
        <v>335</v>
      </c>
      <c r="C445" s="5" t="str">
        <f aca="false">IF(B445="","",INDEX(報告入力!$C$7:$C$696,B445))</f>
        <v>報告なし</v>
      </c>
      <c r="D445" s="5" t="str">
        <f aca="false">設定!$A$42</f>
        <v>子ども・子育て支援納付金経理</v>
      </c>
      <c r="E445" s="5" t="str">
        <f aca="false">設定!$B$42&amp;""</f>
        <v/>
      </c>
      <c r="F445" s="5" t="str">
        <f aca="false">設定!$D$56&amp;""</f>
        <v/>
      </c>
      <c r="G445" s="5" t="str">
        <f aca="false">設定!$E$56&amp;""</f>
        <v/>
      </c>
      <c r="H445" s="5" t="n">
        <f aca="false">IF(B445="",0,N(INDEX(報告入力!$BI$7:$BI$696,B445)))</f>
        <v>0</v>
      </c>
      <c r="I445" s="5" t="str">
        <f aca="false">設定!$C$42&amp;""</f>
        <v/>
      </c>
      <c r="J445" s="5" t="str">
        <f aca="false">設定!$D$42&amp;""</f>
        <v/>
      </c>
      <c r="K445" s="5" t="n">
        <f aca="false">IF(AND(H445&lt;&gt;0,IF(設定!$B$6="入金確認済のみ",C445="入金確認済",OR(C445="入金確認済",C445="受領済"))),1,0)</f>
        <v>0</v>
      </c>
      <c r="L445" s="5" t="str">
        <f aca="false">4&amp;"|"&amp;13</f>
        <v>4|13</v>
      </c>
      <c r="M445" s="5" t="n">
        <f aca="false">IF(L445=L444,M444,0)+K445</f>
        <v>0</v>
      </c>
      <c r="N445" s="5" t="n">
        <f aca="false">IF(AND(K445=1,M445=1),1,0)</f>
        <v>0</v>
      </c>
      <c r="O445" s="5" t="str">
        <f aca="false">IF(K445=1,MAX($O$5:O444)+1,"")</f>
        <v/>
      </c>
      <c r="P445" s="5" t="str">
        <f aca="false">IF(K445=1,SUM($N$6:N445),"")</f>
        <v/>
      </c>
      <c r="Q445" s="5" t="str">
        <f aca="false">IF(K445=1,SUMIFS($H$6:$H$511,$L$6:$L$511,L445,$K$6:$K$511,1),"")</f>
        <v/>
      </c>
      <c r="R445" s="103" t="str">
        <f aca="false">IF(B445="","",IF(INDEX(報告入力!$AB$7:$AB$696,B445)="","",INDEX(報告入力!$AB$7:$AB$696,B445)))</f>
        <v/>
      </c>
      <c r="S445" s="5" t="str">
        <f aca="false">設定!$C$56</f>
        <v>子ども・子育て支援納付金：負担金</v>
      </c>
    </row>
    <row r="446" customFormat="false" ht="15" hidden="false" customHeight="false" outlineLevel="0" collapsed="false">
      <c r="A446" s="5" t="str">
        <f aca="false">設定!B74</f>
        <v>平和文化センター</v>
      </c>
      <c r="B446" s="5" t="n">
        <f aca="false">IFERROR(MATCH(ホーム!$C$4&amp;"|"&amp;A446,報告入力!$CM$7:$CM$696,0),"")</f>
        <v>336</v>
      </c>
      <c r="C446" s="5" t="str">
        <f aca="false">IF(B446="","",INDEX(報告入力!$C$7:$C$696,B446))</f>
        <v>未受領</v>
      </c>
      <c r="D446" s="5" t="str">
        <f aca="false">設定!$A$42</f>
        <v>子ども・子育て支援納付金経理</v>
      </c>
      <c r="E446" s="5" t="str">
        <f aca="false">設定!$B$42&amp;""</f>
        <v/>
      </c>
      <c r="F446" s="5" t="str">
        <f aca="false">設定!$D$55&amp;""</f>
        <v/>
      </c>
      <c r="G446" s="5" t="str">
        <f aca="false">設定!$E$55&amp;""</f>
        <v/>
      </c>
      <c r="H446" s="5" t="n">
        <f aca="false">IF(B446="",0,N(INDEX(報告入力!$BH$7:$BH$696,B446)))</f>
        <v>0</v>
      </c>
      <c r="I446" s="5" t="str">
        <f aca="false">設定!$C$42&amp;""</f>
        <v/>
      </c>
      <c r="J446" s="5" t="str">
        <f aca="false">設定!$D$42&amp;""</f>
        <v/>
      </c>
      <c r="K446" s="5" t="n">
        <f aca="false">IF(AND(H446&lt;&gt;0,IF(設定!$B$6="入金確認済のみ",C446="入金確認済",OR(C446="入金確認済",C446="受領済"))),1,0)</f>
        <v>0</v>
      </c>
      <c r="L446" s="5" t="str">
        <f aca="false">4&amp;"|"&amp;14</f>
        <v>4|14</v>
      </c>
      <c r="M446" s="5" t="n">
        <f aca="false">IF(L446=L445,M445,0)+K446</f>
        <v>0</v>
      </c>
      <c r="N446" s="5" t="n">
        <f aca="false">IF(AND(K446=1,M446=1),1,0)</f>
        <v>0</v>
      </c>
      <c r="O446" s="5" t="str">
        <f aca="false">IF(K446=1,MAX($O$5:O445)+1,"")</f>
        <v/>
      </c>
      <c r="P446" s="5" t="str">
        <f aca="false">IF(K446=1,SUM($N$6:N446),"")</f>
        <v/>
      </c>
      <c r="Q446" s="5" t="str">
        <f aca="false">IF(K446=1,SUMIFS($H$6:$H$511,$L$6:$L$511,L446,$K$6:$K$511,1),"")</f>
        <v/>
      </c>
      <c r="R446" s="103" t="str">
        <f aca="false">IF(B446="","",IF(INDEX(報告入力!$AB$7:$AB$696,B446)="","",INDEX(報告入力!$AB$7:$AB$696,B446)))</f>
        <v/>
      </c>
      <c r="S446" s="5" t="str">
        <f aca="false">設定!$C$55</f>
        <v>子ども・子育て支援納付金：掛金</v>
      </c>
    </row>
    <row r="447" customFormat="false" ht="15" hidden="false" customHeight="false" outlineLevel="0" collapsed="false">
      <c r="A447" s="5" t="str">
        <f aca="false">設定!B74</f>
        <v>平和文化センター</v>
      </c>
      <c r="B447" s="5" t="n">
        <f aca="false">IFERROR(MATCH(ホーム!$C$4&amp;"|"&amp;A447,報告入力!$CM$7:$CM$696,0),"")</f>
        <v>336</v>
      </c>
      <c r="C447" s="5" t="str">
        <f aca="false">IF(B447="","",INDEX(報告入力!$C$7:$C$696,B447))</f>
        <v>未受領</v>
      </c>
      <c r="D447" s="5" t="str">
        <f aca="false">設定!$A$42</f>
        <v>子ども・子育て支援納付金経理</v>
      </c>
      <c r="E447" s="5" t="str">
        <f aca="false">設定!$B$42&amp;""</f>
        <v/>
      </c>
      <c r="F447" s="5" t="str">
        <f aca="false">設定!$D$56&amp;""</f>
        <v/>
      </c>
      <c r="G447" s="5" t="str">
        <f aca="false">設定!$E$56&amp;""</f>
        <v/>
      </c>
      <c r="H447" s="5" t="n">
        <f aca="false">IF(B447="",0,N(INDEX(報告入力!$BI$7:$BI$696,B447)))</f>
        <v>1</v>
      </c>
      <c r="I447" s="5" t="str">
        <f aca="false">設定!$C$42&amp;""</f>
        <v/>
      </c>
      <c r="J447" s="5" t="str">
        <f aca="false">設定!$D$42&amp;""</f>
        <v/>
      </c>
      <c r="K447" s="5" t="n">
        <f aca="false">IF(AND(H447&lt;&gt;0,IF(設定!$B$6="入金確認済のみ",C447="入金確認済",OR(C447="入金確認済",C447="受領済"))),1,0)</f>
        <v>0</v>
      </c>
      <c r="L447" s="5" t="str">
        <f aca="false">4&amp;"|"&amp;14</f>
        <v>4|14</v>
      </c>
      <c r="M447" s="5" t="n">
        <f aca="false">IF(L447=L446,M446,0)+K447</f>
        <v>0</v>
      </c>
      <c r="N447" s="5" t="n">
        <f aca="false">IF(AND(K447=1,M447=1),1,0)</f>
        <v>0</v>
      </c>
      <c r="O447" s="5" t="str">
        <f aca="false">IF(K447=1,MAX($O$5:O446)+1,"")</f>
        <v/>
      </c>
      <c r="P447" s="5" t="str">
        <f aca="false">IF(K447=1,SUM($N$6:N447),"")</f>
        <v/>
      </c>
      <c r="Q447" s="5" t="str">
        <f aca="false">IF(K447=1,SUMIFS($H$6:$H$511,$L$6:$L$511,L447,$K$6:$K$511,1),"")</f>
        <v/>
      </c>
      <c r="R447" s="103" t="str">
        <f aca="false">IF(B447="","",IF(INDEX(報告入力!$AB$7:$AB$696,B447)="","",INDEX(報告入力!$AB$7:$AB$696,B447)))</f>
        <v/>
      </c>
      <c r="S447" s="5" t="str">
        <f aca="false">設定!$C$56</f>
        <v>子ども・子育て支援納付金：負担金</v>
      </c>
    </row>
    <row r="448" customFormat="false" ht="15" hidden="false" customHeight="false" outlineLevel="0" collapsed="false">
      <c r="A448" s="5" t="str">
        <f aca="false">設定!B75</f>
        <v>社会福祉事業団</v>
      </c>
      <c r="B448" s="5" t="n">
        <f aca="false">IFERROR(MATCH(ホーム!$C$4&amp;"|"&amp;A448,報告入力!$CM$7:$CM$696,0),"")</f>
        <v>337</v>
      </c>
      <c r="C448" s="5" t="str">
        <f aca="false">IF(B448="","",INDEX(報告入力!$C$7:$C$696,B448))</f>
        <v>未受領</v>
      </c>
      <c r="D448" s="5" t="str">
        <f aca="false">設定!$A$42</f>
        <v>子ども・子育て支援納付金経理</v>
      </c>
      <c r="E448" s="5" t="str">
        <f aca="false">設定!$B$42&amp;""</f>
        <v/>
      </c>
      <c r="F448" s="5" t="str">
        <f aca="false">設定!$D$55&amp;""</f>
        <v/>
      </c>
      <c r="G448" s="5" t="str">
        <f aca="false">設定!$E$55&amp;""</f>
        <v/>
      </c>
      <c r="H448" s="5" t="n">
        <f aca="false">IF(B448="",0,N(INDEX(報告入力!$BH$7:$BH$696,B448)))</f>
        <v>0</v>
      </c>
      <c r="I448" s="5" t="str">
        <f aca="false">設定!$C$42&amp;""</f>
        <v/>
      </c>
      <c r="J448" s="5" t="str">
        <f aca="false">設定!$D$42&amp;""</f>
        <v/>
      </c>
      <c r="K448" s="5" t="n">
        <f aca="false">IF(AND(H448&lt;&gt;0,IF(設定!$B$6="入金確認済のみ",C448="入金確認済",OR(C448="入金確認済",C448="受領済"))),1,0)</f>
        <v>0</v>
      </c>
      <c r="L448" s="5" t="str">
        <f aca="false">4&amp;"|"&amp;15</f>
        <v>4|15</v>
      </c>
      <c r="M448" s="5" t="n">
        <f aca="false">IF(L448=L447,M447,0)+K448</f>
        <v>0</v>
      </c>
      <c r="N448" s="5" t="n">
        <f aca="false">IF(AND(K448=1,M448=1),1,0)</f>
        <v>0</v>
      </c>
      <c r="O448" s="5" t="str">
        <f aca="false">IF(K448=1,MAX($O$5:O447)+1,"")</f>
        <v/>
      </c>
      <c r="P448" s="5" t="str">
        <f aca="false">IF(K448=1,SUM($N$6:N448),"")</f>
        <v/>
      </c>
      <c r="Q448" s="5" t="str">
        <f aca="false">IF(K448=1,SUMIFS($H$6:$H$511,$L$6:$L$511,L448,$K$6:$K$511,1),"")</f>
        <v/>
      </c>
      <c r="R448" s="103" t="str">
        <f aca="false">IF(B448="","",IF(INDEX(報告入力!$AB$7:$AB$696,B448)="","",INDEX(報告入力!$AB$7:$AB$696,B448)))</f>
        <v/>
      </c>
      <c r="S448" s="5" t="str">
        <f aca="false">設定!$C$55</f>
        <v>子ども・子育て支援納付金：掛金</v>
      </c>
    </row>
    <row r="449" customFormat="false" ht="15" hidden="false" customHeight="false" outlineLevel="0" collapsed="false">
      <c r="A449" s="5" t="str">
        <f aca="false">設定!B75</f>
        <v>社会福祉事業団</v>
      </c>
      <c r="B449" s="5" t="n">
        <f aca="false">IFERROR(MATCH(ホーム!$C$4&amp;"|"&amp;A449,報告入力!$CM$7:$CM$696,0),"")</f>
        <v>337</v>
      </c>
      <c r="C449" s="5" t="str">
        <f aca="false">IF(B449="","",INDEX(報告入力!$C$7:$C$696,B449))</f>
        <v>未受領</v>
      </c>
      <c r="D449" s="5" t="str">
        <f aca="false">設定!$A$42</f>
        <v>子ども・子育て支援納付金経理</v>
      </c>
      <c r="E449" s="5" t="str">
        <f aca="false">設定!$B$42&amp;""</f>
        <v/>
      </c>
      <c r="F449" s="5" t="str">
        <f aca="false">設定!$D$56&amp;""</f>
        <v/>
      </c>
      <c r="G449" s="5" t="str">
        <f aca="false">設定!$E$56&amp;""</f>
        <v/>
      </c>
      <c r="H449" s="5" t="n">
        <f aca="false">IF(B449="",0,N(INDEX(報告入力!$BI$7:$BI$696,B449)))</f>
        <v>1</v>
      </c>
      <c r="I449" s="5" t="str">
        <f aca="false">設定!$C$42&amp;""</f>
        <v/>
      </c>
      <c r="J449" s="5" t="str">
        <f aca="false">設定!$D$42&amp;""</f>
        <v/>
      </c>
      <c r="K449" s="5" t="n">
        <f aca="false">IF(AND(H449&lt;&gt;0,IF(設定!$B$6="入金確認済のみ",C449="入金確認済",OR(C449="入金確認済",C449="受領済"))),1,0)</f>
        <v>0</v>
      </c>
      <c r="L449" s="5" t="str">
        <f aca="false">4&amp;"|"&amp;15</f>
        <v>4|15</v>
      </c>
      <c r="M449" s="5" t="n">
        <f aca="false">IF(L449=L448,M448,0)+K449</f>
        <v>0</v>
      </c>
      <c r="N449" s="5" t="n">
        <f aca="false">IF(AND(K449=1,M449=1),1,0)</f>
        <v>0</v>
      </c>
      <c r="O449" s="5" t="str">
        <f aca="false">IF(K449=1,MAX($O$5:O448)+1,"")</f>
        <v/>
      </c>
      <c r="P449" s="5" t="str">
        <f aca="false">IF(K449=1,SUM($N$6:N449),"")</f>
        <v/>
      </c>
      <c r="Q449" s="5" t="str">
        <f aca="false">IF(K449=1,SUMIFS($H$6:$H$511,$L$6:$L$511,L449,$K$6:$K$511,1),"")</f>
        <v/>
      </c>
      <c r="R449" s="103" t="str">
        <f aca="false">IF(B449="","",IF(INDEX(報告入力!$AB$7:$AB$696,B449)="","",INDEX(報告入力!$AB$7:$AB$696,B449)))</f>
        <v/>
      </c>
      <c r="S449" s="5" t="str">
        <f aca="false">設定!$C$56</f>
        <v>子ども・子育て支援納付金：負担金</v>
      </c>
    </row>
    <row r="450" customFormat="false" ht="15" hidden="false" customHeight="false" outlineLevel="0" collapsed="false">
      <c r="A450" s="5" t="str">
        <f aca="false">設定!B76</f>
        <v>原爆障害対策協議会</v>
      </c>
      <c r="B450" s="5" t="n">
        <f aca="false">IFERROR(MATCH(ホーム!$C$4&amp;"|"&amp;A450,報告入力!$CM$7:$CM$696,0),"")</f>
        <v>338</v>
      </c>
      <c r="C450" s="5" t="str">
        <f aca="false">IF(B450="","",INDEX(報告入力!$C$7:$C$696,B450))</f>
        <v>未受領</v>
      </c>
      <c r="D450" s="5" t="str">
        <f aca="false">設定!$A$42</f>
        <v>子ども・子育て支援納付金経理</v>
      </c>
      <c r="E450" s="5" t="str">
        <f aca="false">設定!$B$42&amp;""</f>
        <v/>
      </c>
      <c r="F450" s="5" t="str">
        <f aca="false">設定!$D$55&amp;""</f>
        <v/>
      </c>
      <c r="G450" s="5" t="str">
        <f aca="false">設定!$E$55&amp;""</f>
        <v/>
      </c>
      <c r="H450" s="5" t="n">
        <f aca="false">IF(B450="",0,N(INDEX(報告入力!$BH$7:$BH$696,B450)))</f>
        <v>0</v>
      </c>
      <c r="I450" s="5" t="str">
        <f aca="false">設定!$C$42&amp;""</f>
        <v/>
      </c>
      <c r="J450" s="5" t="str">
        <f aca="false">設定!$D$42&amp;""</f>
        <v/>
      </c>
      <c r="K450" s="5" t="n">
        <f aca="false">IF(AND(H450&lt;&gt;0,IF(設定!$B$6="入金確認済のみ",C450="入金確認済",OR(C450="入金確認済",C450="受領済"))),1,0)</f>
        <v>0</v>
      </c>
      <c r="L450" s="5" t="str">
        <f aca="false">4&amp;"|"&amp;16</f>
        <v>4|16</v>
      </c>
      <c r="M450" s="5" t="n">
        <f aca="false">IF(L450=L449,M449,0)+K450</f>
        <v>0</v>
      </c>
      <c r="N450" s="5" t="n">
        <f aca="false">IF(AND(K450=1,M450=1),1,0)</f>
        <v>0</v>
      </c>
      <c r="O450" s="5" t="str">
        <f aca="false">IF(K450=1,MAX($O$5:O449)+1,"")</f>
        <v/>
      </c>
      <c r="P450" s="5" t="str">
        <f aca="false">IF(K450=1,SUM($N$6:N450),"")</f>
        <v/>
      </c>
      <c r="Q450" s="5" t="str">
        <f aca="false">IF(K450=1,SUMIFS($H$6:$H$511,$L$6:$L$511,L450,$K$6:$K$511,1),"")</f>
        <v/>
      </c>
      <c r="R450" s="103" t="str">
        <f aca="false">IF(B450="","",IF(INDEX(報告入力!$AB$7:$AB$696,B450)="","",INDEX(報告入力!$AB$7:$AB$696,B450)))</f>
        <v/>
      </c>
      <c r="S450" s="5" t="str">
        <f aca="false">設定!$C$55</f>
        <v>子ども・子育て支援納付金：掛金</v>
      </c>
    </row>
    <row r="451" customFormat="false" ht="15" hidden="false" customHeight="false" outlineLevel="0" collapsed="false">
      <c r="A451" s="5" t="str">
        <f aca="false">設定!B76</f>
        <v>原爆障害対策協議会</v>
      </c>
      <c r="B451" s="5" t="n">
        <f aca="false">IFERROR(MATCH(ホーム!$C$4&amp;"|"&amp;A451,報告入力!$CM$7:$CM$696,0),"")</f>
        <v>338</v>
      </c>
      <c r="C451" s="5" t="str">
        <f aca="false">IF(B451="","",INDEX(報告入力!$C$7:$C$696,B451))</f>
        <v>未受領</v>
      </c>
      <c r="D451" s="5" t="str">
        <f aca="false">設定!$A$42</f>
        <v>子ども・子育て支援納付金経理</v>
      </c>
      <c r="E451" s="5" t="str">
        <f aca="false">設定!$B$42&amp;""</f>
        <v/>
      </c>
      <c r="F451" s="5" t="str">
        <f aca="false">設定!$D$56&amp;""</f>
        <v/>
      </c>
      <c r="G451" s="5" t="str">
        <f aca="false">設定!$E$56&amp;""</f>
        <v/>
      </c>
      <c r="H451" s="5" t="n">
        <f aca="false">IF(B451="",0,N(INDEX(報告入力!$BI$7:$BI$696,B451)))</f>
        <v>1</v>
      </c>
      <c r="I451" s="5" t="str">
        <f aca="false">設定!$C$42&amp;""</f>
        <v/>
      </c>
      <c r="J451" s="5" t="str">
        <f aca="false">設定!$D$42&amp;""</f>
        <v/>
      </c>
      <c r="K451" s="5" t="n">
        <f aca="false">IF(AND(H451&lt;&gt;0,IF(設定!$B$6="入金確認済のみ",C451="入金確認済",OR(C451="入金確認済",C451="受領済"))),1,0)</f>
        <v>0</v>
      </c>
      <c r="L451" s="5" t="str">
        <f aca="false">4&amp;"|"&amp;16</f>
        <v>4|16</v>
      </c>
      <c r="M451" s="5" t="n">
        <f aca="false">IF(L451=L450,M450,0)+K451</f>
        <v>0</v>
      </c>
      <c r="N451" s="5" t="n">
        <f aca="false">IF(AND(K451=1,M451=1),1,0)</f>
        <v>0</v>
      </c>
      <c r="O451" s="5" t="str">
        <f aca="false">IF(K451=1,MAX($O$5:O450)+1,"")</f>
        <v/>
      </c>
      <c r="P451" s="5" t="str">
        <f aca="false">IF(K451=1,SUM($N$6:N451),"")</f>
        <v/>
      </c>
      <c r="Q451" s="5" t="str">
        <f aca="false">IF(K451=1,SUMIFS($H$6:$H$511,$L$6:$L$511,L451,$K$6:$K$511,1),"")</f>
        <v/>
      </c>
      <c r="R451" s="103" t="str">
        <f aca="false">IF(B451="","",IF(INDEX(報告入力!$AB$7:$AB$696,B451)="","",INDEX(報告入力!$AB$7:$AB$696,B451)))</f>
        <v/>
      </c>
      <c r="S451" s="5" t="str">
        <f aca="false">設定!$C$56</f>
        <v>子ども・子育て支援納付金：負担金</v>
      </c>
    </row>
    <row r="452" customFormat="false" ht="15" hidden="false" customHeight="false" outlineLevel="0" collapsed="false">
      <c r="A452" s="5" t="str">
        <f aca="false">設定!B77</f>
        <v>産業振興センター</v>
      </c>
      <c r="B452" s="5" t="n">
        <f aca="false">IFERROR(MATCH(ホーム!$C$4&amp;"|"&amp;A452,報告入力!$CM$7:$CM$696,0),"")</f>
        <v>339</v>
      </c>
      <c r="C452" s="5" t="str">
        <f aca="false">IF(B452="","",INDEX(報告入力!$C$7:$C$696,B452))</f>
        <v>未受領</v>
      </c>
      <c r="D452" s="5" t="str">
        <f aca="false">設定!$A$42</f>
        <v>子ども・子育て支援納付金経理</v>
      </c>
      <c r="E452" s="5" t="str">
        <f aca="false">設定!$B$42&amp;""</f>
        <v/>
      </c>
      <c r="F452" s="5" t="str">
        <f aca="false">設定!$D$55&amp;""</f>
        <v/>
      </c>
      <c r="G452" s="5" t="str">
        <f aca="false">設定!$E$55&amp;""</f>
        <v/>
      </c>
      <c r="H452" s="5" t="n">
        <f aca="false">IF(B452="",0,N(INDEX(報告入力!$BH$7:$BH$696,B452)))</f>
        <v>0</v>
      </c>
      <c r="I452" s="5" t="str">
        <f aca="false">設定!$C$42&amp;""</f>
        <v/>
      </c>
      <c r="J452" s="5" t="str">
        <f aca="false">設定!$D$42&amp;""</f>
        <v/>
      </c>
      <c r="K452" s="5" t="n">
        <f aca="false">IF(AND(H452&lt;&gt;0,IF(設定!$B$6="入金確認済のみ",C452="入金確認済",OR(C452="入金確認済",C452="受領済"))),1,0)</f>
        <v>0</v>
      </c>
      <c r="L452" s="5" t="str">
        <f aca="false">4&amp;"|"&amp;17</f>
        <v>4|17</v>
      </c>
      <c r="M452" s="5" t="n">
        <f aca="false">IF(L452=L451,M451,0)+K452</f>
        <v>0</v>
      </c>
      <c r="N452" s="5" t="n">
        <f aca="false">IF(AND(K452=1,M452=1),1,0)</f>
        <v>0</v>
      </c>
      <c r="O452" s="5" t="str">
        <f aca="false">IF(K452=1,MAX($O$5:O451)+1,"")</f>
        <v/>
      </c>
      <c r="P452" s="5" t="str">
        <f aca="false">IF(K452=1,SUM($N$6:N452),"")</f>
        <v/>
      </c>
      <c r="Q452" s="5" t="str">
        <f aca="false">IF(K452=1,SUMIFS($H$6:$H$511,$L$6:$L$511,L452,$K$6:$K$511,1),"")</f>
        <v/>
      </c>
      <c r="R452" s="103" t="str">
        <f aca="false">IF(B452="","",IF(INDEX(報告入力!$AB$7:$AB$696,B452)="","",INDEX(報告入力!$AB$7:$AB$696,B452)))</f>
        <v/>
      </c>
      <c r="S452" s="5" t="str">
        <f aca="false">設定!$C$55</f>
        <v>子ども・子育て支援納付金：掛金</v>
      </c>
    </row>
    <row r="453" customFormat="false" ht="15" hidden="false" customHeight="false" outlineLevel="0" collapsed="false">
      <c r="A453" s="5" t="str">
        <f aca="false">設定!B77</f>
        <v>産業振興センター</v>
      </c>
      <c r="B453" s="5" t="n">
        <f aca="false">IFERROR(MATCH(ホーム!$C$4&amp;"|"&amp;A453,報告入力!$CM$7:$CM$696,0),"")</f>
        <v>339</v>
      </c>
      <c r="C453" s="5" t="str">
        <f aca="false">IF(B453="","",INDEX(報告入力!$C$7:$C$696,B453))</f>
        <v>未受領</v>
      </c>
      <c r="D453" s="5" t="str">
        <f aca="false">設定!$A$42</f>
        <v>子ども・子育て支援納付金経理</v>
      </c>
      <c r="E453" s="5" t="str">
        <f aca="false">設定!$B$42&amp;""</f>
        <v/>
      </c>
      <c r="F453" s="5" t="str">
        <f aca="false">設定!$D$56&amp;""</f>
        <v/>
      </c>
      <c r="G453" s="5" t="str">
        <f aca="false">設定!$E$56&amp;""</f>
        <v/>
      </c>
      <c r="H453" s="5" t="n">
        <f aca="false">IF(B453="",0,N(INDEX(報告入力!$BI$7:$BI$696,B453)))</f>
        <v>1</v>
      </c>
      <c r="I453" s="5" t="str">
        <f aca="false">設定!$C$42&amp;""</f>
        <v/>
      </c>
      <c r="J453" s="5" t="str">
        <f aca="false">設定!$D$42&amp;""</f>
        <v/>
      </c>
      <c r="K453" s="5" t="n">
        <f aca="false">IF(AND(H453&lt;&gt;0,IF(設定!$B$6="入金確認済のみ",C453="入金確認済",OR(C453="入金確認済",C453="受領済"))),1,0)</f>
        <v>0</v>
      </c>
      <c r="L453" s="5" t="str">
        <f aca="false">4&amp;"|"&amp;17</f>
        <v>4|17</v>
      </c>
      <c r="M453" s="5" t="n">
        <f aca="false">IF(L453=L452,M452,0)+K453</f>
        <v>0</v>
      </c>
      <c r="N453" s="5" t="n">
        <f aca="false">IF(AND(K453=1,M453=1),1,0)</f>
        <v>0</v>
      </c>
      <c r="O453" s="5" t="str">
        <f aca="false">IF(K453=1,MAX($O$5:O452)+1,"")</f>
        <v/>
      </c>
      <c r="P453" s="5" t="str">
        <f aca="false">IF(K453=1,SUM($N$6:N453),"")</f>
        <v/>
      </c>
      <c r="Q453" s="5" t="str">
        <f aca="false">IF(K453=1,SUMIFS($H$6:$H$511,$L$6:$L$511,L453,$K$6:$K$511,1),"")</f>
        <v/>
      </c>
      <c r="R453" s="103" t="str">
        <f aca="false">IF(B453="","",IF(INDEX(報告入力!$AB$7:$AB$696,B453)="","",INDEX(報告入力!$AB$7:$AB$696,B453)))</f>
        <v/>
      </c>
      <c r="S453" s="5" t="str">
        <f aca="false">設定!$C$56</f>
        <v>子ども・子育て支援納付金：負担金</v>
      </c>
    </row>
    <row r="454" customFormat="false" ht="15" hidden="false" customHeight="false" outlineLevel="0" collapsed="false">
      <c r="A454" s="5" t="str">
        <f aca="false">設定!B78</f>
        <v>ひろしま産業振興</v>
      </c>
      <c r="B454" s="5" t="n">
        <f aca="false">IFERROR(MATCH(ホーム!$C$4&amp;"|"&amp;A454,報告入力!$CM$7:$CM$696,0),"")</f>
        <v>340</v>
      </c>
      <c r="C454" s="5" t="str">
        <f aca="false">IF(B454="","",INDEX(報告入力!$C$7:$C$696,B454))</f>
        <v>未受領</v>
      </c>
      <c r="D454" s="5" t="str">
        <f aca="false">設定!$A$42</f>
        <v>子ども・子育て支援納付金経理</v>
      </c>
      <c r="E454" s="5" t="str">
        <f aca="false">設定!$B$42&amp;""</f>
        <v/>
      </c>
      <c r="F454" s="5" t="str">
        <f aca="false">設定!$D$55&amp;""</f>
        <v/>
      </c>
      <c r="G454" s="5" t="str">
        <f aca="false">設定!$E$55&amp;""</f>
        <v/>
      </c>
      <c r="H454" s="5" t="n">
        <f aca="false">IF(B454="",0,N(INDEX(報告入力!$BH$7:$BH$696,B454)))</f>
        <v>0</v>
      </c>
      <c r="I454" s="5" t="str">
        <f aca="false">設定!$C$42&amp;""</f>
        <v/>
      </c>
      <c r="J454" s="5" t="str">
        <f aca="false">設定!$D$42&amp;""</f>
        <v/>
      </c>
      <c r="K454" s="5" t="n">
        <f aca="false">IF(AND(H454&lt;&gt;0,IF(設定!$B$6="入金確認済のみ",C454="入金確認済",OR(C454="入金確認済",C454="受領済"))),1,0)</f>
        <v>0</v>
      </c>
      <c r="L454" s="5" t="str">
        <f aca="false">4&amp;"|"&amp;18</f>
        <v>4|18</v>
      </c>
      <c r="M454" s="5" t="n">
        <f aca="false">IF(L454=L453,M453,0)+K454</f>
        <v>0</v>
      </c>
      <c r="N454" s="5" t="n">
        <f aca="false">IF(AND(K454=1,M454=1),1,0)</f>
        <v>0</v>
      </c>
      <c r="O454" s="5" t="str">
        <f aca="false">IF(K454=1,MAX($O$5:O453)+1,"")</f>
        <v/>
      </c>
      <c r="P454" s="5" t="str">
        <f aca="false">IF(K454=1,SUM($N$6:N454),"")</f>
        <v/>
      </c>
      <c r="Q454" s="5" t="str">
        <f aca="false">IF(K454=1,SUMIFS($H$6:$H$511,$L$6:$L$511,L454,$K$6:$K$511,1),"")</f>
        <v/>
      </c>
      <c r="R454" s="103" t="str">
        <f aca="false">IF(B454="","",IF(INDEX(報告入力!$AB$7:$AB$696,B454)="","",INDEX(報告入力!$AB$7:$AB$696,B454)))</f>
        <v/>
      </c>
      <c r="S454" s="5" t="str">
        <f aca="false">設定!$C$55</f>
        <v>子ども・子育て支援納付金：掛金</v>
      </c>
    </row>
    <row r="455" customFormat="false" ht="15" hidden="false" customHeight="false" outlineLevel="0" collapsed="false">
      <c r="A455" s="5" t="str">
        <f aca="false">設定!B78</f>
        <v>ひろしま産業振興</v>
      </c>
      <c r="B455" s="5" t="n">
        <f aca="false">IFERROR(MATCH(ホーム!$C$4&amp;"|"&amp;A455,報告入力!$CM$7:$CM$696,0),"")</f>
        <v>340</v>
      </c>
      <c r="C455" s="5" t="str">
        <f aca="false">IF(B455="","",INDEX(報告入力!$C$7:$C$696,B455))</f>
        <v>未受領</v>
      </c>
      <c r="D455" s="5" t="str">
        <f aca="false">設定!$A$42</f>
        <v>子ども・子育て支援納付金経理</v>
      </c>
      <c r="E455" s="5" t="str">
        <f aca="false">設定!$B$42&amp;""</f>
        <v/>
      </c>
      <c r="F455" s="5" t="str">
        <f aca="false">設定!$D$56&amp;""</f>
        <v/>
      </c>
      <c r="G455" s="5" t="str">
        <f aca="false">設定!$E$56&amp;""</f>
        <v/>
      </c>
      <c r="H455" s="5" t="n">
        <f aca="false">IF(B455="",0,N(INDEX(報告入力!$BI$7:$BI$696,B455)))</f>
        <v>1</v>
      </c>
      <c r="I455" s="5" t="str">
        <f aca="false">設定!$C$42&amp;""</f>
        <v/>
      </c>
      <c r="J455" s="5" t="str">
        <f aca="false">設定!$D$42&amp;""</f>
        <v/>
      </c>
      <c r="K455" s="5" t="n">
        <f aca="false">IF(AND(H455&lt;&gt;0,IF(設定!$B$6="入金確認済のみ",C455="入金確認済",OR(C455="入金確認済",C455="受領済"))),1,0)</f>
        <v>0</v>
      </c>
      <c r="L455" s="5" t="str">
        <f aca="false">4&amp;"|"&amp;18</f>
        <v>4|18</v>
      </c>
      <c r="M455" s="5" t="n">
        <f aca="false">IF(L455=L454,M454,0)+K455</f>
        <v>0</v>
      </c>
      <c r="N455" s="5" t="n">
        <f aca="false">IF(AND(K455=1,M455=1),1,0)</f>
        <v>0</v>
      </c>
      <c r="O455" s="5" t="str">
        <f aca="false">IF(K455=1,MAX($O$5:O454)+1,"")</f>
        <v/>
      </c>
      <c r="P455" s="5" t="str">
        <f aca="false">IF(K455=1,SUM($N$6:N455),"")</f>
        <v/>
      </c>
      <c r="Q455" s="5" t="str">
        <f aca="false">IF(K455=1,SUMIFS($H$6:$H$511,$L$6:$L$511,L455,$K$6:$K$511,1),"")</f>
        <v/>
      </c>
      <c r="R455" s="103" t="str">
        <f aca="false">IF(B455="","",IF(INDEX(報告入力!$AB$7:$AB$696,B455)="","",INDEX(報告入力!$AB$7:$AB$696,B455)))</f>
        <v/>
      </c>
      <c r="S455" s="5" t="str">
        <f aca="false">設定!$C$56</f>
        <v>子ども・子育て支援納付金：負担金</v>
      </c>
    </row>
    <row r="456" customFormat="false" ht="15" hidden="false" customHeight="false" outlineLevel="0" collapsed="false">
      <c r="A456" s="5" t="str">
        <f aca="false">設定!B79</f>
        <v>都市整備公社　市</v>
      </c>
      <c r="B456" s="5" t="n">
        <f aca="false">IFERROR(MATCH(ホーム!$C$4&amp;"|"&amp;A456,報告入力!$CM$7:$CM$696,0),"")</f>
        <v>341</v>
      </c>
      <c r="C456" s="5" t="str">
        <f aca="false">IF(B456="","",INDEX(報告入力!$C$7:$C$696,B456))</f>
        <v>未受領</v>
      </c>
      <c r="D456" s="5" t="str">
        <f aca="false">設定!$A$42</f>
        <v>子ども・子育て支援納付金経理</v>
      </c>
      <c r="E456" s="5" t="str">
        <f aca="false">設定!$B$42&amp;""</f>
        <v/>
      </c>
      <c r="F456" s="5" t="str">
        <f aca="false">設定!$D$55&amp;""</f>
        <v/>
      </c>
      <c r="G456" s="5" t="str">
        <f aca="false">設定!$E$55&amp;""</f>
        <v/>
      </c>
      <c r="H456" s="5" t="n">
        <f aca="false">IF(B456="",0,N(INDEX(報告入力!$BH$7:$BH$696,B456)))</f>
        <v>0</v>
      </c>
      <c r="I456" s="5" t="str">
        <f aca="false">設定!$C$42&amp;""</f>
        <v/>
      </c>
      <c r="J456" s="5" t="str">
        <f aca="false">設定!$D$42&amp;""</f>
        <v/>
      </c>
      <c r="K456" s="5" t="n">
        <f aca="false">IF(AND(H456&lt;&gt;0,IF(設定!$B$6="入金確認済のみ",C456="入金確認済",OR(C456="入金確認済",C456="受領済"))),1,0)</f>
        <v>0</v>
      </c>
      <c r="L456" s="5" t="str">
        <f aca="false">4&amp;"|"&amp;19</f>
        <v>4|19</v>
      </c>
      <c r="M456" s="5" t="n">
        <f aca="false">IF(L456=L455,M455,0)+K456</f>
        <v>0</v>
      </c>
      <c r="N456" s="5" t="n">
        <f aca="false">IF(AND(K456=1,M456=1),1,0)</f>
        <v>0</v>
      </c>
      <c r="O456" s="5" t="str">
        <f aca="false">IF(K456=1,MAX($O$5:O455)+1,"")</f>
        <v/>
      </c>
      <c r="P456" s="5" t="str">
        <f aca="false">IF(K456=1,SUM($N$6:N456),"")</f>
        <v/>
      </c>
      <c r="Q456" s="5" t="str">
        <f aca="false">IF(K456=1,SUMIFS($H$6:$H$511,$L$6:$L$511,L456,$K$6:$K$511,1),"")</f>
        <v/>
      </c>
      <c r="R456" s="103" t="str">
        <f aca="false">IF(B456="","",IF(INDEX(報告入力!$AB$7:$AB$696,B456)="","",INDEX(報告入力!$AB$7:$AB$696,B456)))</f>
        <v/>
      </c>
      <c r="S456" s="5" t="str">
        <f aca="false">設定!$C$55</f>
        <v>子ども・子育て支援納付金：掛金</v>
      </c>
    </row>
    <row r="457" customFormat="false" ht="15" hidden="false" customHeight="false" outlineLevel="0" collapsed="false">
      <c r="A457" s="5" t="str">
        <f aca="false">設定!B79</f>
        <v>都市整備公社　市</v>
      </c>
      <c r="B457" s="5" t="n">
        <f aca="false">IFERROR(MATCH(ホーム!$C$4&amp;"|"&amp;A457,報告入力!$CM$7:$CM$696,0),"")</f>
        <v>341</v>
      </c>
      <c r="C457" s="5" t="str">
        <f aca="false">IF(B457="","",INDEX(報告入力!$C$7:$C$696,B457))</f>
        <v>未受領</v>
      </c>
      <c r="D457" s="5" t="str">
        <f aca="false">設定!$A$42</f>
        <v>子ども・子育て支援納付金経理</v>
      </c>
      <c r="E457" s="5" t="str">
        <f aca="false">設定!$B$42&amp;""</f>
        <v/>
      </c>
      <c r="F457" s="5" t="str">
        <f aca="false">設定!$D$56&amp;""</f>
        <v/>
      </c>
      <c r="G457" s="5" t="str">
        <f aca="false">設定!$E$56&amp;""</f>
        <v/>
      </c>
      <c r="H457" s="5" t="n">
        <f aca="false">IF(B457="",0,N(INDEX(報告入力!$BI$7:$BI$696,B457)))</f>
        <v>1</v>
      </c>
      <c r="I457" s="5" t="str">
        <f aca="false">設定!$C$42&amp;""</f>
        <v/>
      </c>
      <c r="J457" s="5" t="str">
        <f aca="false">設定!$D$42&amp;""</f>
        <v/>
      </c>
      <c r="K457" s="5" t="n">
        <f aca="false">IF(AND(H457&lt;&gt;0,IF(設定!$B$6="入金確認済のみ",C457="入金確認済",OR(C457="入金確認済",C457="受領済"))),1,0)</f>
        <v>0</v>
      </c>
      <c r="L457" s="5" t="str">
        <f aca="false">4&amp;"|"&amp;19</f>
        <v>4|19</v>
      </c>
      <c r="M457" s="5" t="n">
        <f aca="false">IF(L457=L456,M456,0)+K457</f>
        <v>0</v>
      </c>
      <c r="N457" s="5" t="n">
        <f aca="false">IF(AND(K457=1,M457=1),1,0)</f>
        <v>0</v>
      </c>
      <c r="O457" s="5" t="str">
        <f aca="false">IF(K457=1,MAX($O$5:O456)+1,"")</f>
        <v/>
      </c>
      <c r="P457" s="5" t="str">
        <f aca="false">IF(K457=1,SUM($N$6:N457),"")</f>
        <v/>
      </c>
      <c r="Q457" s="5" t="str">
        <f aca="false">IF(K457=1,SUMIFS($H$6:$H$511,$L$6:$L$511,L457,$K$6:$K$511,1),"")</f>
        <v/>
      </c>
      <c r="R457" s="103" t="str">
        <f aca="false">IF(B457="","",IF(INDEX(報告入力!$AB$7:$AB$696,B457)="","",INDEX(報告入力!$AB$7:$AB$696,B457)))</f>
        <v/>
      </c>
      <c r="S457" s="5" t="str">
        <f aca="false">設定!$C$56</f>
        <v>子ども・子育て支援納付金：負担金</v>
      </c>
    </row>
    <row r="458" customFormat="false" ht="15" hidden="false" customHeight="false" outlineLevel="0" collapsed="false">
      <c r="A458" s="5" t="str">
        <f aca="false">設定!B80</f>
        <v>都市整備公社　消防</v>
      </c>
      <c r="B458" s="5" t="n">
        <f aca="false">IFERROR(MATCH(ホーム!$C$4&amp;"|"&amp;A458,報告入力!$CM$7:$CM$696,0),"")</f>
        <v>342</v>
      </c>
      <c r="C458" s="5" t="str">
        <f aca="false">IF(B458="","",INDEX(報告入力!$C$7:$C$696,B458))</f>
        <v>未受領</v>
      </c>
      <c r="D458" s="5" t="str">
        <f aca="false">設定!$A$42</f>
        <v>子ども・子育て支援納付金経理</v>
      </c>
      <c r="E458" s="5" t="str">
        <f aca="false">設定!$B$42&amp;""</f>
        <v/>
      </c>
      <c r="F458" s="5" t="str">
        <f aca="false">設定!$D$55&amp;""</f>
        <v/>
      </c>
      <c r="G458" s="5" t="str">
        <f aca="false">設定!$E$55&amp;""</f>
        <v/>
      </c>
      <c r="H458" s="5" t="n">
        <f aca="false">IF(B458="",0,N(INDEX(報告入力!$BH$7:$BH$696,B458)))</f>
        <v>0</v>
      </c>
      <c r="I458" s="5" t="str">
        <f aca="false">設定!$C$42&amp;""</f>
        <v/>
      </c>
      <c r="J458" s="5" t="str">
        <f aca="false">設定!$D$42&amp;""</f>
        <v/>
      </c>
      <c r="K458" s="5" t="n">
        <f aca="false">IF(AND(H458&lt;&gt;0,IF(設定!$B$6="入金確認済のみ",C458="入金確認済",OR(C458="入金確認済",C458="受領済"))),1,0)</f>
        <v>0</v>
      </c>
      <c r="L458" s="5" t="str">
        <f aca="false">4&amp;"|"&amp;20</f>
        <v>4|20</v>
      </c>
      <c r="M458" s="5" t="n">
        <f aca="false">IF(L458=L457,M457,0)+K458</f>
        <v>0</v>
      </c>
      <c r="N458" s="5" t="n">
        <f aca="false">IF(AND(K458=1,M458=1),1,0)</f>
        <v>0</v>
      </c>
      <c r="O458" s="5" t="str">
        <f aca="false">IF(K458=1,MAX($O$5:O457)+1,"")</f>
        <v/>
      </c>
      <c r="P458" s="5" t="str">
        <f aca="false">IF(K458=1,SUM($N$6:N458),"")</f>
        <v/>
      </c>
      <c r="Q458" s="5" t="str">
        <f aca="false">IF(K458=1,SUMIFS($H$6:$H$511,$L$6:$L$511,L458,$K$6:$K$511,1),"")</f>
        <v/>
      </c>
      <c r="R458" s="103" t="str">
        <f aca="false">IF(B458="","",IF(INDEX(報告入力!$AB$7:$AB$696,B458)="","",INDEX(報告入力!$AB$7:$AB$696,B458)))</f>
        <v/>
      </c>
      <c r="S458" s="5" t="str">
        <f aca="false">設定!$C$55</f>
        <v>子ども・子育て支援納付金：掛金</v>
      </c>
    </row>
    <row r="459" customFormat="false" ht="15" hidden="false" customHeight="false" outlineLevel="0" collapsed="false">
      <c r="A459" s="5" t="str">
        <f aca="false">設定!B80</f>
        <v>都市整備公社　消防</v>
      </c>
      <c r="B459" s="5" t="n">
        <f aca="false">IFERROR(MATCH(ホーム!$C$4&amp;"|"&amp;A459,報告入力!$CM$7:$CM$696,0),"")</f>
        <v>342</v>
      </c>
      <c r="C459" s="5" t="str">
        <f aca="false">IF(B459="","",INDEX(報告入力!$C$7:$C$696,B459))</f>
        <v>未受領</v>
      </c>
      <c r="D459" s="5" t="str">
        <f aca="false">設定!$A$42</f>
        <v>子ども・子育て支援納付金経理</v>
      </c>
      <c r="E459" s="5" t="str">
        <f aca="false">設定!$B$42&amp;""</f>
        <v/>
      </c>
      <c r="F459" s="5" t="str">
        <f aca="false">設定!$D$56&amp;""</f>
        <v/>
      </c>
      <c r="G459" s="5" t="str">
        <f aca="false">設定!$E$56&amp;""</f>
        <v/>
      </c>
      <c r="H459" s="5" t="n">
        <f aca="false">IF(B459="",0,N(INDEX(報告入力!$BI$7:$BI$696,B459)))</f>
        <v>1</v>
      </c>
      <c r="I459" s="5" t="str">
        <f aca="false">設定!$C$42&amp;""</f>
        <v/>
      </c>
      <c r="J459" s="5" t="str">
        <f aca="false">設定!$D$42&amp;""</f>
        <v/>
      </c>
      <c r="K459" s="5" t="n">
        <f aca="false">IF(AND(H459&lt;&gt;0,IF(設定!$B$6="入金確認済のみ",C459="入金確認済",OR(C459="入金確認済",C459="受領済"))),1,0)</f>
        <v>0</v>
      </c>
      <c r="L459" s="5" t="str">
        <f aca="false">4&amp;"|"&amp;20</f>
        <v>4|20</v>
      </c>
      <c r="M459" s="5" t="n">
        <f aca="false">IF(L459=L458,M458,0)+K459</f>
        <v>0</v>
      </c>
      <c r="N459" s="5" t="n">
        <f aca="false">IF(AND(K459=1,M459=1),1,0)</f>
        <v>0</v>
      </c>
      <c r="O459" s="5" t="str">
        <f aca="false">IF(K459=1,MAX($O$5:O458)+1,"")</f>
        <v/>
      </c>
      <c r="P459" s="5" t="str">
        <f aca="false">IF(K459=1,SUM($N$6:N459),"")</f>
        <v/>
      </c>
      <c r="Q459" s="5" t="str">
        <f aca="false">IF(K459=1,SUMIFS($H$6:$H$511,$L$6:$L$511,L459,$K$6:$K$511,1),"")</f>
        <v/>
      </c>
      <c r="R459" s="103" t="str">
        <f aca="false">IF(B459="","",IF(INDEX(報告入力!$AB$7:$AB$696,B459)="","",INDEX(報告入力!$AB$7:$AB$696,B459)))</f>
        <v/>
      </c>
      <c r="S459" s="5" t="str">
        <f aca="false">設定!$C$56</f>
        <v>子ども・子育て支援納付金：負担金</v>
      </c>
    </row>
    <row r="460" customFormat="false" ht="15" hidden="false" customHeight="false" outlineLevel="0" collapsed="false">
      <c r="A460" s="5" t="str">
        <f aca="false">設定!B81</f>
        <v>日本下水道事業団</v>
      </c>
      <c r="B460" s="5" t="n">
        <f aca="false">IFERROR(MATCH(ホーム!$C$4&amp;"|"&amp;A460,報告入力!$CM$7:$CM$696,0),"")</f>
        <v>343</v>
      </c>
      <c r="C460" s="5" t="str">
        <f aca="false">IF(B460="","",INDEX(報告入力!$C$7:$C$696,B460))</f>
        <v>受領済</v>
      </c>
      <c r="D460" s="5" t="str">
        <f aca="false">設定!$A$42</f>
        <v>子ども・子育て支援納付金経理</v>
      </c>
      <c r="E460" s="5" t="str">
        <f aca="false">設定!$B$42&amp;""</f>
        <v/>
      </c>
      <c r="F460" s="5" t="str">
        <f aca="false">設定!$D$55&amp;""</f>
        <v/>
      </c>
      <c r="G460" s="5" t="str">
        <f aca="false">設定!$E$55&amp;""</f>
        <v/>
      </c>
      <c r="H460" s="5" t="n">
        <f aca="false">IF(B460="",0,N(INDEX(報告入力!$BH$7:$BH$696,B460)))</f>
        <v>3104</v>
      </c>
      <c r="I460" s="5" t="str">
        <f aca="false">設定!$C$42&amp;""</f>
        <v/>
      </c>
      <c r="J460" s="5" t="str">
        <f aca="false">設定!$D$42&amp;""</f>
        <v/>
      </c>
      <c r="K460" s="5" t="n">
        <f aca="false">IF(AND(H460&lt;&gt;0,IF(設定!$B$6="入金確認済のみ",C460="入金確認済",OR(C460="入金確認済",C460="受領済"))),1,0)</f>
        <v>0</v>
      </c>
      <c r="L460" s="5" t="str">
        <f aca="false">4&amp;"|"&amp;21</f>
        <v>4|21</v>
      </c>
      <c r="M460" s="5" t="n">
        <f aca="false">IF(L460=L459,M459,0)+K460</f>
        <v>0</v>
      </c>
      <c r="N460" s="5" t="n">
        <f aca="false">IF(AND(K460=1,M460=1),1,0)</f>
        <v>0</v>
      </c>
      <c r="O460" s="5" t="str">
        <f aca="false">IF(K460=1,MAX($O$5:O459)+1,"")</f>
        <v/>
      </c>
      <c r="P460" s="5" t="str">
        <f aca="false">IF(K460=1,SUM($N$6:N460),"")</f>
        <v/>
      </c>
      <c r="Q460" s="5" t="str">
        <f aca="false">IF(K460=1,SUMIFS($H$6:$H$511,$L$6:$L$511,L460,$K$6:$K$511,1),"")</f>
        <v/>
      </c>
      <c r="R460" s="103" t="str">
        <f aca="false">IF(B460="","",IF(INDEX(報告入力!$AB$7:$AB$696,B460)="","",INDEX(報告入力!$AB$7:$AB$696,B460)))</f>
        <v/>
      </c>
      <c r="S460" s="5" t="str">
        <f aca="false">設定!$C$55</f>
        <v>子ども・子育て支援納付金：掛金</v>
      </c>
    </row>
    <row r="461" customFormat="false" ht="15" hidden="false" customHeight="false" outlineLevel="0" collapsed="false">
      <c r="A461" s="5" t="str">
        <f aca="false">設定!B81</f>
        <v>日本下水道事業団</v>
      </c>
      <c r="B461" s="5" t="n">
        <f aca="false">IFERROR(MATCH(ホーム!$C$4&amp;"|"&amp;A461,報告入力!$CM$7:$CM$696,0),"")</f>
        <v>343</v>
      </c>
      <c r="C461" s="5" t="str">
        <f aca="false">IF(B461="","",INDEX(報告入力!$C$7:$C$696,B461))</f>
        <v>受領済</v>
      </c>
      <c r="D461" s="5" t="str">
        <f aca="false">設定!$A$42</f>
        <v>子ども・子育て支援納付金経理</v>
      </c>
      <c r="E461" s="5" t="str">
        <f aca="false">設定!$B$42&amp;""</f>
        <v/>
      </c>
      <c r="F461" s="5" t="str">
        <f aca="false">設定!$D$56&amp;""</f>
        <v/>
      </c>
      <c r="G461" s="5" t="str">
        <f aca="false">設定!$E$56&amp;""</f>
        <v/>
      </c>
      <c r="H461" s="5" t="n">
        <f aca="false">IF(B461="",0,N(INDEX(報告入力!$BI$7:$BI$696,B461)))</f>
        <v>3105</v>
      </c>
      <c r="I461" s="5" t="str">
        <f aca="false">設定!$C$42&amp;""</f>
        <v/>
      </c>
      <c r="J461" s="5" t="str">
        <f aca="false">設定!$D$42&amp;""</f>
        <v/>
      </c>
      <c r="K461" s="5" t="n">
        <f aca="false">IF(AND(H461&lt;&gt;0,IF(設定!$B$6="入金確認済のみ",C461="入金確認済",OR(C461="入金確認済",C461="受領済"))),1,0)</f>
        <v>0</v>
      </c>
      <c r="L461" s="5" t="str">
        <f aca="false">4&amp;"|"&amp;21</f>
        <v>4|21</v>
      </c>
      <c r="M461" s="5" t="n">
        <f aca="false">IF(L461=L460,M460,0)+K461</f>
        <v>0</v>
      </c>
      <c r="N461" s="5" t="n">
        <f aca="false">IF(AND(K461=1,M461=1),1,0)</f>
        <v>0</v>
      </c>
      <c r="O461" s="5" t="str">
        <f aca="false">IF(K461=1,MAX($O$5:O460)+1,"")</f>
        <v/>
      </c>
      <c r="P461" s="5" t="str">
        <f aca="false">IF(K461=1,SUM($N$6:N461),"")</f>
        <v/>
      </c>
      <c r="Q461" s="5" t="str">
        <f aca="false">IF(K461=1,SUMIFS($H$6:$H$511,$L$6:$L$511,L461,$K$6:$K$511,1),"")</f>
        <v/>
      </c>
      <c r="R461" s="103" t="str">
        <f aca="false">IF(B461="","",IF(INDEX(報告入力!$AB$7:$AB$696,B461)="","",INDEX(報告入力!$AB$7:$AB$696,B461)))</f>
        <v/>
      </c>
      <c r="S461" s="5" t="str">
        <f aca="false">設定!$C$56</f>
        <v>子ども・子育て支援納付金：負担金</v>
      </c>
    </row>
    <row r="462" customFormat="false" ht="15" hidden="false" customHeight="false" outlineLevel="0" collapsed="false">
      <c r="A462" s="5" t="str">
        <f aca="false">設定!B82</f>
        <v>地方公務員災害補償基金本部</v>
      </c>
      <c r="B462" s="5" t="n">
        <f aca="false">IFERROR(MATCH(ホーム!$C$4&amp;"|"&amp;A462,報告入力!$CM$7:$CM$696,0),"")</f>
        <v>344</v>
      </c>
      <c r="C462" s="5" t="str">
        <f aca="false">IF(B462="","",INDEX(報告入力!$C$7:$C$696,B462))</f>
        <v>受領済</v>
      </c>
      <c r="D462" s="5" t="str">
        <f aca="false">設定!$A$42</f>
        <v>子ども・子育て支援納付金経理</v>
      </c>
      <c r="E462" s="5" t="str">
        <f aca="false">設定!$B$42&amp;""</f>
        <v/>
      </c>
      <c r="F462" s="5" t="str">
        <f aca="false">設定!$D$55&amp;""</f>
        <v/>
      </c>
      <c r="G462" s="5" t="str">
        <f aca="false">設定!$E$55&amp;""</f>
        <v/>
      </c>
      <c r="H462" s="5" t="n">
        <f aca="false">IF(B462="",0,N(INDEX(報告入力!$BH$7:$BH$696,B462)))</f>
        <v>540</v>
      </c>
      <c r="I462" s="5" t="str">
        <f aca="false">設定!$C$42&amp;""</f>
        <v/>
      </c>
      <c r="J462" s="5" t="str">
        <f aca="false">設定!$D$42&amp;""</f>
        <v/>
      </c>
      <c r="K462" s="5" t="n">
        <f aca="false">IF(AND(H462&lt;&gt;0,IF(設定!$B$6="入金確認済のみ",C462="入金確認済",OR(C462="入金確認済",C462="受領済"))),1,0)</f>
        <v>0</v>
      </c>
      <c r="L462" s="5" t="str">
        <f aca="false">4&amp;"|"&amp;22</f>
        <v>4|22</v>
      </c>
      <c r="M462" s="5" t="n">
        <f aca="false">IF(L462=L461,M461,0)+K462</f>
        <v>0</v>
      </c>
      <c r="N462" s="5" t="n">
        <f aca="false">IF(AND(K462=1,M462=1),1,0)</f>
        <v>0</v>
      </c>
      <c r="O462" s="5" t="str">
        <f aca="false">IF(K462=1,MAX($O$5:O461)+1,"")</f>
        <v/>
      </c>
      <c r="P462" s="5" t="str">
        <f aca="false">IF(K462=1,SUM($N$6:N462),"")</f>
        <v/>
      </c>
      <c r="Q462" s="5" t="str">
        <f aca="false">IF(K462=1,SUMIFS($H$6:$H$511,$L$6:$L$511,L462,$K$6:$K$511,1),"")</f>
        <v/>
      </c>
      <c r="R462" s="103" t="str">
        <f aca="false">IF(B462="","",IF(INDEX(報告入力!$AB$7:$AB$696,B462)="","",INDEX(報告入力!$AB$7:$AB$696,B462)))</f>
        <v/>
      </c>
      <c r="S462" s="5" t="str">
        <f aca="false">設定!$C$55</f>
        <v>子ども・子育て支援納付金：掛金</v>
      </c>
    </row>
    <row r="463" customFormat="false" ht="15" hidden="false" customHeight="false" outlineLevel="0" collapsed="false">
      <c r="A463" s="5" t="str">
        <f aca="false">設定!B82</f>
        <v>地方公務員災害補償基金本部</v>
      </c>
      <c r="B463" s="5" t="n">
        <f aca="false">IFERROR(MATCH(ホーム!$C$4&amp;"|"&amp;A463,報告入力!$CM$7:$CM$696,0),"")</f>
        <v>344</v>
      </c>
      <c r="C463" s="5" t="str">
        <f aca="false">IF(B463="","",INDEX(報告入力!$C$7:$C$696,B463))</f>
        <v>受領済</v>
      </c>
      <c r="D463" s="5" t="str">
        <f aca="false">設定!$A$42</f>
        <v>子ども・子育て支援納付金経理</v>
      </c>
      <c r="E463" s="5" t="str">
        <f aca="false">設定!$B$42&amp;""</f>
        <v/>
      </c>
      <c r="F463" s="5" t="str">
        <f aca="false">設定!$D$56&amp;""</f>
        <v/>
      </c>
      <c r="G463" s="5" t="str">
        <f aca="false">設定!$E$56&amp;""</f>
        <v/>
      </c>
      <c r="H463" s="5" t="n">
        <f aca="false">IF(B463="",0,N(INDEX(報告入力!$BI$7:$BI$696,B463)))</f>
        <v>540</v>
      </c>
      <c r="I463" s="5" t="str">
        <f aca="false">設定!$C$42&amp;""</f>
        <v/>
      </c>
      <c r="J463" s="5" t="str">
        <f aca="false">設定!$D$42&amp;""</f>
        <v/>
      </c>
      <c r="K463" s="5" t="n">
        <f aca="false">IF(AND(H463&lt;&gt;0,IF(設定!$B$6="入金確認済のみ",C463="入金確認済",OR(C463="入金確認済",C463="受領済"))),1,0)</f>
        <v>0</v>
      </c>
      <c r="L463" s="5" t="str">
        <f aca="false">4&amp;"|"&amp;22</f>
        <v>4|22</v>
      </c>
      <c r="M463" s="5" t="n">
        <f aca="false">IF(L463=L462,M462,0)+K463</f>
        <v>0</v>
      </c>
      <c r="N463" s="5" t="n">
        <f aca="false">IF(AND(K463=1,M463=1),1,0)</f>
        <v>0</v>
      </c>
      <c r="O463" s="5" t="str">
        <f aca="false">IF(K463=1,MAX($O$5:O462)+1,"")</f>
        <v/>
      </c>
      <c r="P463" s="5" t="str">
        <f aca="false">IF(K463=1,SUM($N$6:N463),"")</f>
        <v/>
      </c>
      <c r="Q463" s="5" t="str">
        <f aca="false">IF(K463=1,SUMIFS($H$6:$H$511,$L$6:$L$511,L463,$K$6:$K$511,1),"")</f>
        <v/>
      </c>
      <c r="R463" s="103" t="str">
        <f aca="false">IF(B463="","",IF(INDEX(報告入力!$AB$7:$AB$696,B463)="","",INDEX(報告入力!$AB$7:$AB$696,B463)))</f>
        <v/>
      </c>
      <c r="S463" s="5" t="str">
        <f aca="false">設定!$C$56</f>
        <v>子ども・子育て支援納付金：負担金</v>
      </c>
    </row>
    <row r="464" customFormat="false" ht="15" hidden="false" customHeight="false" outlineLevel="0" collapsed="false">
      <c r="A464" s="5" t="str">
        <f aca="false">設定!B83</f>
        <v>救急振興財団</v>
      </c>
      <c r="B464" s="5" t="n">
        <f aca="false">IFERROR(MATCH(ホーム!$C$4&amp;"|"&amp;A464,報告入力!$CM$7:$CM$696,0),"")</f>
        <v>345</v>
      </c>
      <c r="C464" s="5" t="str">
        <f aca="false">IF(B464="","",INDEX(報告入力!$C$7:$C$696,B464))</f>
        <v>未受領</v>
      </c>
      <c r="D464" s="5" t="str">
        <f aca="false">設定!$A$42</f>
        <v>子ども・子育て支援納付金経理</v>
      </c>
      <c r="E464" s="5" t="str">
        <f aca="false">設定!$B$42&amp;""</f>
        <v/>
      </c>
      <c r="F464" s="5" t="str">
        <f aca="false">設定!$D$55&amp;""</f>
        <v/>
      </c>
      <c r="G464" s="5" t="str">
        <f aca="false">設定!$E$55&amp;""</f>
        <v/>
      </c>
      <c r="H464" s="5" t="n">
        <f aca="false">IF(B464="",0,N(INDEX(報告入力!$BH$7:$BH$696,B464)))</f>
        <v>1</v>
      </c>
      <c r="I464" s="5" t="str">
        <f aca="false">設定!$C$42&amp;""</f>
        <v/>
      </c>
      <c r="J464" s="5" t="str">
        <f aca="false">設定!$D$42&amp;""</f>
        <v/>
      </c>
      <c r="K464" s="5" t="n">
        <f aca="false">IF(AND(H464&lt;&gt;0,IF(設定!$B$6="入金確認済のみ",C464="入金確認済",OR(C464="入金確認済",C464="受領済"))),1,0)</f>
        <v>0</v>
      </c>
      <c r="L464" s="5" t="str">
        <f aca="false">4&amp;"|"&amp;23</f>
        <v>4|23</v>
      </c>
      <c r="M464" s="5" t="n">
        <f aca="false">IF(L464=L463,M463,0)+K464</f>
        <v>0</v>
      </c>
      <c r="N464" s="5" t="n">
        <f aca="false">IF(AND(K464=1,M464=1),1,0)</f>
        <v>0</v>
      </c>
      <c r="O464" s="5" t="str">
        <f aca="false">IF(K464=1,MAX($O$5:O463)+1,"")</f>
        <v/>
      </c>
      <c r="P464" s="5" t="str">
        <f aca="false">IF(K464=1,SUM($N$6:N464),"")</f>
        <v/>
      </c>
      <c r="Q464" s="5" t="str">
        <f aca="false">IF(K464=1,SUMIFS($H$6:$H$511,$L$6:$L$511,L464,$K$6:$K$511,1),"")</f>
        <v/>
      </c>
      <c r="R464" s="103" t="str">
        <f aca="false">IF(B464="","",IF(INDEX(報告入力!$AB$7:$AB$696,B464)="","",INDEX(報告入力!$AB$7:$AB$696,B464)))</f>
        <v/>
      </c>
      <c r="S464" s="5" t="str">
        <f aca="false">設定!$C$55</f>
        <v>子ども・子育て支援納付金：掛金</v>
      </c>
    </row>
    <row r="465" customFormat="false" ht="15" hidden="false" customHeight="false" outlineLevel="0" collapsed="false">
      <c r="A465" s="5" t="str">
        <f aca="false">設定!B83</f>
        <v>救急振興財団</v>
      </c>
      <c r="B465" s="5" t="n">
        <f aca="false">IFERROR(MATCH(ホーム!$C$4&amp;"|"&amp;A465,報告入力!$CM$7:$CM$696,0),"")</f>
        <v>345</v>
      </c>
      <c r="C465" s="5" t="str">
        <f aca="false">IF(B465="","",INDEX(報告入力!$C$7:$C$696,B465))</f>
        <v>未受領</v>
      </c>
      <c r="D465" s="5" t="str">
        <f aca="false">設定!$A$42</f>
        <v>子ども・子育て支援納付金経理</v>
      </c>
      <c r="E465" s="5" t="str">
        <f aca="false">設定!$B$42&amp;""</f>
        <v/>
      </c>
      <c r="F465" s="5" t="str">
        <f aca="false">設定!$D$56&amp;""</f>
        <v/>
      </c>
      <c r="G465" s="5" t="str">
        <f aca="false">設定!$E$56&amp;""</f>
        <v/>
      </c>
      <c r="H465" s="5" t="n">
        <f aca="false">IF(B465="",0,N(INDEX(報告入力!$BI$7:$BI$696,B465)))</f>
        <v>1</v>
      </c>
      <c r="I465" s="5" t="str">
        <f aca="false">設定!$C$42&amp;""</f>
        <v/>
      </c>
      <c r="J465" s="5" t="str">
        <f aca="false">設定!$D$42&amp;""</f>
        <v/>
      </c>
      <c r="K465" s="5" t="n">
        <f aca="false">IF(AND(H465&lt;&gt;0,IF(設定!$B$6="入金確認済のみ",C465="入金確認済",OR(C465="入金確認済",C465="受領済"))),1,0)</f>
        <v>0</v>
      </c>
      <c r="L465" s="5" t="str">
        <f aca="false">4&amp;"|"&amp;23</f>
        <v>4|23</v>
      </c>
      <c r="M465" s="5" t="n">
        <f aca="false">IF(L465=L464,M464,0)+K465</f>
        <v>0</v>
      </c>
      <c r="N465" s="5" t="n">
        <f aca="false">IF(AND(K465=1,M465=1),1,0)</f>
        <v>0</v>
      </c>
      <c r="O465" s="5" t="str">
        <f aca="false">IF(K465=1,MAX($O$5:O464)+1,"")</f>
        <v/>
      </c>
      <c r="P465" s="5" t="str">
        <f aca="false">IF(K465=1,SUM($N$6:N465),"")</f>
        <v/>
      </c>
      <c r="Q465" s="5" t="str">
        <f aca="false">IF(K465=1,SUMIFS($H$6:$H$511,$L$6:$L$511,L465,$K$6:$K$511,1),"")</f>
        <v/>
      </c>
      <c r="R465" s="103" t="str">
        <f aca="false">IF(B465="","",IF(INDEX(報告入力!$AB$7:$AB$696,B465)="","",INDEX(報告入力!$AB$7:$AB$696,B465)))</f>
        <v/>
      </c>
      <c r="S465" s="5" t="str">
        <f aca="false">設定!$C$56</f>
        <v>子ども・子育て支援納付金：負担金</v>
      </c>
    </row>
    <row r="466" customFormat="false" ht="15" hidden="false" customHeight="false" outlineLevel="0" collapsed="false">
      <c r="A466" s="5" t="str">
        <f aca="false">設定!B84</f>
        <v>高速道路公社</v>
      </c>
      <c r="B466" s="5" t="n">
        <f aca="false">IFERROR(MATCH(ホーム!$C$4&amp;"|"&amp;A466,報告入力!$CM$7:$CM$696,0),"")</f>
        <v>346</v>
      </c>
      <c r="C466" s="5" t="str">
        <f aca="false">IF(B466="","",INDEX(報告入力!$C$7:$C$696,B466))</f>
        <v>未受領</v>
      </c>
      <c r="D466" s="5" t="str">
        <f aca="false">設定!$A$42</f>
        <v>子ども・子育て支援納付金経理</v>
      </c>
      <c r="E466" s="5" t="str">
        <f aca="false">設定!$B$42&amp;""</f>
        <v/>
      </c>
      <c r="F466" s="5" t="str">
        <f aca="false">設定!$D$55&amp;""</f>
        <v/>
      </c>
      <c r="G466" s="5" t="str">
        <f aca="false">設定!$E$55&amp;""</f>
        <v/>
      </c>
      <c r="H466" s="5" t="n">
        <f aca="false">IF(B466="",0,N(INDEX(報告入力!$BH$7:$BH$696,B466)))</f>
        <v>1</v>
      </c>
      <c r="I466" s="5" t="str">
        <f aca="false">設定!$C$42&amp;""</f>
        <v/>
      </c>
      <c r="J466" s="5" t="str">
        <f aca="false">設定!$D$42&amp;""</f>
        <v/>
      </c>
      <c r="K466" s="5" t="n">
        <f aca="false">IF(AND(H466&lt;&gt;0,IF(設定!$B$6="入金確認済のみ",C466="入金確認済",OR(C466="入金確認済",C466="受領済"))),1,0)</f>
        <v>0</v>
      </c>
      <c r="L466" s="5" t="str">
        <f aca="false">4&amp;"|"&amp;24</f>
        <v>4|24</v>
      </c>
      <c r="M466" s="5" t="n">
        <f aca="false">IF(L466=L465,M465,0)+K466</f>
        <v>0</v>
      </c>
      <c r="N466" s="5" t="n">
        <f aca="false">IF(AND(K466=1,M466=1),1,0)</f>
        <v>0</v>
      </c>
      <c r="O466" s="5" t="str">
        <f aca="false">IF(K466=1,MAX($O$5:O465)+1,"")</f>
        <v/>
      </c>
      <c r="P466" s="5" t="str">
        <f aca="false">IF(K466=1,SUM($N$6:N466),"")</f>
        <v/>
      </c>
      <c r="Q466" s="5" t="str">
        <f aca="false">IF(K466=1,SUMIFS($H$6:$H$511,$L$6:$L$511,L466,$K$6:$K$511,1),"")</f>
        <v/>
      </c>
      <c r="R466" s="103" t="str">
        <f aca="false">IF(B466="","",IF(INDEX(報告入力!$AB$7:$AB$696,B466)="","",INDEX(報告入力!$AB$7:$AB$696,B466)))</f>
        <v/>
      </c>
      <c r="S466" s="5" t="str">
        <f aca="false">設定!$C$55</f>
        <v>子ども・子育て支援納付金：掛金</v>
      </c>
    </row>
    <row r="467" customFormat="false" ht="15" hidden="false" customHeight="false" outlineLevel="0" collapsed="false">
      <c r="A467" s="5" t="str">
        <f aca="false">設定!B84</f>
        <v>高速道路公社</v>
      </c>
      <c r="B467" s="5" t="n">
        <f aca="false">IFERROR(MATCH(ホーム!$C$4&amp;"|"&amp;A467,報告入力!$CM$7:$CM$696,0),"")</f>
        <v>346</v>
      </c>
      <c r="C467" s="5" t="str">
        <f aca="false">IF(B467="","",INDEX(報告入力!$C$7:$C$696,B467))</f>
        <v>未受領</v>
      </c>
      <c r="D467" s="5" t="str">
        <f aca="false">設定!$A$42</f>
        <v>子ども・子育て支援納付金経理</v>
      </c>
      <c r="E467" s="5" t="str">
        <f aca="false">設定!$B$42&amp;""</f>
        <v/>
      </c>
      <c r="F467" s="5" t="str">
        <f aca="false">設定!$D$56&amp;""</f>
        <v/>
      </c>
      <c r="G467" s="5" t="str">
        <f aca="false">設定!$E$56&amp;""</f>
        <v/>
      </c>
      <c r="H467" s="5" t="n">
        <f aca="false">IF(B467="",0,N(INDEX(報告入力!$BI$7:$BI$696,B467)))</f>
        <v>1</v>
      </c>
      <c r="I467" s="5" t="str">
        <f aca="false">設定!$C$42&amp;""</f>
        <v/>
      </c>
      <c r="J467" s="5" t="str">
        <f aca="false">設定!$D$42&amp;""</f>
        <v/>
      </c>
      <c r="K467" s="5" t="n">
        <f aca="false">IF(AND(H467&lt;&gt;0,IF(設定!$B$6="入金確認済のみ",C467="入金確認済",OR(C467="入金確認済",C467="受領済"))),1,0)</f>
        <v>0</v>
      </c>
      <c r="L467" s="5" t="str">
        <f aca="false">4&amp;"|"&amp;24</f>
        <v>4|24</v>
      </c>
      <c r="M467" s="5" t="n">
        <f aca="false">IF(L467=L466,M466,0)+K467</f>
        <v>0</v>
      </c>
      <c r="N467" s="5" t="n">
        <f aca="false">IF(AND(K467=1,M467=1),1,0)</f>
        <v>0</v>
      </c>
      <c r="O467" s="5" t="str">
        <f aca="false">IF(K467=1,MAX($O$5:O466)+1,"")</f>
        <v/>
      </c>
      <c r="P467" s="5" t="str">
        <f aca="false">IF(K467=1,SUM($N$6:N467),"")</f>
        <v/>
      </c>
      <c r="Q467" s="5" t="str">
        <f aca="false">IF(K467=1,SUMIFS($H$6:$H$511,$L$6:$L$511,L467,$K$6:$K$511,1),"")</f>
        <v/>
      </c>
      <c r="R467" s="103" t="str">
        <f aca="false">IF(B467="","",IF(INDEX(報告入力!$AB$7:$AB$696,B467)="","",INDEX(報告入力!$AB$7:$AB$696,B467)))</f>
        <v/>
      </c>
      <c r="S467" s="5" t="str">
        <f aca="false">設定!$C$56</f>
        <v>子ども・子育て支援納付金：負担金</v>
      </c>
    </row>
    <row r="468" customFormat="false" ht="15" hidden="false" customHeight="false" outlineLevel="0" collapsed="false">
      <c r="A468" s="5" t="str">
        <f aca="false">設定!B85</f>
        <v>農林水産振興センタ</v>
      </c>
      <c r="B468" s="5" t="n">
        <f aca="false">IFERROR(MATCH(ホーム!$C$4&amp;"|"&amp;A468,報告入力!$CM$7:$CM$696,0),"")</f>
        <v>347</v>
      </c>
      <c r="C468" s="5" t="str">
        <f aca="false">IF(B468="","",INDEX(報告入力!$C$7:$C$696,B468))</f>
        <v>未受領</v>
      </c>
      <c r="D468" s="5" t="str">
        <f aca="false">設定!$A$42</f>
        <v>子ども・子育て支援納付金経理</v>
      </c>
      <c r="E468" s="5" t="str">
        <f aca="false">設定!$B$42&amp;""</f>
        <v/>
      </c>
      <c r="F468" s="5" t="str">
        <f aca="false">設定!$D$55&amp;""</f>
        <v/>
      </c>
      <c r="G468" s="5" t="str">
        <f aca="false">設定!$E$55&amp;""</f>
        <v/>
      </c>
      <c r="H468" s="5" t="n">
        <f aca="false">IF(B468="",0,N(INDEX(報告入力!$BH$7:$BH$696,B468)))</f>
        <v>0</v>
      </c>
      <c r="I468" s="5" t="str">
        <f aca="false">設定!$C$42&amp;""</f>
        <v/>
      </c>
      <c r="J468" s="5" t="str">
        <f aca="false">設定!$D$42&amp;""</f>
        <v/>
      </c>
      <c r="K468" s="5" t="n">
        <f aca="false">IF(AND(H468&lt;&gt;0,IF(設定!$B$6="入金確認済のみ",C468="入金確認済",OR(C468="入金確認済",C468="受領済"))),1,0)</f>
        <v>0</v>
      </c>
      <c r="L468" s="5" t="str">
        <f aca="false">4&amp;"|"&amp;25</f>
        <v>4|25</v>
      </c>
      <c r="M468" s="5" t="n">
        <f aca="false">IF(L468=L467,M467,0)+K468</f>
        <v>0</v>
      </c>
      <c r="N468" s="5" t="n">
        <f aca="false">IF(AND(K468=1,M468=1),1,0)</f>
        <v>0</v>
      </c>
      <c r="O468" s="5" t="str">
        <f aca="false">IF(K468=1,MAX($O$5:O467)+1,"")</f>
        <v/>
      </c>
      <c r="P468" s="5" t="str">
        <f aca="false">IF(K468=1,SUM($N$6:N468),"")</f>
        <v/>
      </c>
      <c r="Q468" s="5" t="str">
        <f aca="false">IF(K468=1,SUMIFS($H$6:$H$511,$L$6:$L$511,L468,$K$6:$K$511,1),"")</f>
        <v/>
      </c>
      <c r="R468" s="103" t="str">
        <f aca="false">IF(B468="","",IF(INDEX(報告入力!$AB$7:$AB$696,B468)="","",INDEX(報告入力!$AB$7:$AB$696,B468)))</f>
        <v/>
      </c>
      <c r="S468" s="5" t="str">
        <f aca="false">設定!$C$55</f>
        <v>子ども・子育て支援納付金：掛金</v>
      </c>
    </row>
    <row r="469" customFormat="false" ht="15" hidden="false" customHeight="false" outlineLevel="0" collapsed="false">
      <c r="A469" s="5" t="str">
        <f aca="false">設定!B85</f>
        <v>農林水産振興センタ</v>
      </c>
      <c r="B469" s="5" t="n">
        <f aca="false">IFERROR(MATCH(ホーム!$C$4&amp;"|"&amp;A469,報告入力!$CM$7:$CM$696,0),"")</f>
        <v>347</v>
      </c>
      <c r="C469" s="5" t="str">
        <f aca="false">IF(B469="","",INDEX(報告入力!$C$7:$C$696,B469))</f>
        <v>未受領</v>
      </c>
      <c r="D469" s="5" t="str">
        <f aca="false">設定!$A$42</f>
        <v>子ども・子育て支援納付金経理</v>
      </c>
      <c r="E469" s="5" t="str">
        <f aca="false">設定!$B$42&amp;""</f>
        <v/>
      </c>
      <c r="F469" s="5" t="str">
        <f aca="false">設定!$D$56&amp;""</f>
        <v/>
      </c>
      <c r="G469" s="5" t="str">
        <f aca="false">設定!$E$56&amp;""</f>
        <v/>
      </c>
      <c r="H469" s="5" t="n">
        <f aca="false">IF(B469="",0,N(INDEX(報告入力!$BI$7:$BI$696,B469)))</f>
        <v>1</v>
      </c>
      <c r="I469" s="5" t="str">
        <f aca="false">設定!$C$42&amp;""</f>
        <v/>
      </c>
      <c r="J469" s="5" t="str">
        <f aca="false">設定!$D$42&amp;""</f>
        <v/>
      </c>
      <c r="K469" s="5" t="n">
        <f aca="false">IF(AND(H469&lt;&gt;0,IF(設定!$B$6="入金確認済のみ",C469="入金確認済",OR(C469="入金確認済",C469="受領済"))),1,0)</f>
        <v>0</v>
      </c>
      <c r="L469" s="5" t="str">
        <f aca="false">4&amp;"|"&amp;25</f>
        <v>4|25</v>
      </c>
      <c r="M469" s="5" t="n">
        <f aca="false">IF(L469=L468,M468,0)+K469</f>
        <v>0</v>
      </c>
      <c r="N469" s="5" t="n">
        <f aca="false">IF(AND(K469=1,M469=1),1,0)</f>
        <v>0</v>
      </c>
      <c r="O469" s="5" t="str">
        <f aca="false">IF(K469=1,MAX($O$5:O468)+1,"")</f>
        <v/>
      </c>
      <c r="P469" s="5" t="str">
        <f aca="false">IF(K469=1,SUM($N$6:N469),"")</f>
        <v/>
      </c>
      <c r="Q469" s="5" t="str">
        <f aca="false">IF(K469=1,SUMIFS($H$6:$H$511,$L$6:$L$511,L469,$K$6:$K$511,1),"")</f>
        <v/>
      </c>
      <c r="R469" s="103" t="str">
        <f aca="false">IF(B469="","",IF(INDEX(報告入力!$AB$7:$AB$696,B469)="","",INDEX(報告入力!$AB$7:$AB$696,B469)))</f>
        <v/>
      </c>
      <c r="S469" s="5" t="str">
        <f aca="false">設定!$C$56</f>
        <v>子ども・子育て支援納付金：負担金</v>
      </c>
    </row>
    <row r="470" customFormat="false" ht="15" hidden="false" customHeight="false" outlineLevel="0" collapsed="false">
      <c r="A470" s="5" t="str">
        <f aca="false">設定!B86</f>
        <v>文化財団　市長部局</v>
      </c>
      <c r="B470" s="5" t="n">
        <f aca="false">IFERROR(MATCH(ホーム!$C$4&amp;"|"&amp;A470,報告入力!$CM$7:$CM$696,0),"")</f>
        <v>348</v>
      </c>
      <c r="C470" s="5" t="str">
        <f aca="false">IF(B470="","",INDEX(報告入力!$C$7:$C$696,B470))</f>
        <v>未受領</v>
      </c>
      <c r="D470" s="5" t="str">
        <f aca="false">設定!$A$42</f>
        <v>子ども・子育て支援納付金経理</v>
      </c>
      <c r="E470" s="5" t="str">
        <f aca="false">設定!$B$42&amp;""</f>
        <v/>
      </c>
      <c r="F470" s="5" t="str">
        <f aca="false">設定!$D$55&amp;""</f>
        <v/>
      </c>
      <c r="G470" s="5" t="str">
        <f aca="false">設定!$E$55&amp;""</f>
        <v/>
      </c>
      <c r="H470" s="5" t="n">
        <f aca="false">IF(B470="",0,N(INDEX(報告入力!$BH$7:$BH$696,B470)))</f>
        <v>0</v>
      </c>
      <c r="I470" s="5" t="str">
        <f aca="false">設定!$C$42&amp;""</f>
        <v/>
      </c>
      <c r="J470" s="5" t="str">
        <f aca="false">設定!$D$42&amp;""</f>
        <v/>
      </c>
      <c r="K470" s="5" t="n">
        <f aca="false">IF(AND(H470&lt;&gt;0,IF(設定!$B$6="入金確認済のみ",C470="入金確認済",OR(C470="入金確認済",C470="受領済"))),1,0)</f>
        <v>0</v>
      </c>
      <c r="L470" s="5" t="str">
        <f aca="false">4&amp;"|"&amp;26</f>
        <v>4|26</v>
      </c>
      <c r="M470" s="5" t="n">
        <f aca="false">IF(L470=L469,M469,0)+K470</f>
        <v>0</v>
      </c>
      <c r="N470" s="5" t="n">
        <f aca="false">IF(AND(K470=1,M470=1),1,0)</f>
        <v>0</v>
      </c>
      <c r="O470" s="5" t="str">
        <f aca="false">IF(K470=1,MAX($O$5:O469)+1,"")</f>
        <v/>
      </c>
      <c r="P470" s="5" t="str">
        <f aca="false">IF(K470=1,SUM($N$6:N470),"")</f>
        <v/>
      </c>
      <c r="Q470" s="5" t="str">
        <f aca="false">IF(K470=1,SUMIFS($H$6:$H$511,$L$6:$L$511,L470,$K$6:$K$511,1),"")</f>
        <v/>
      </c>
      <c r="R470" s="103" t="str">
        <f aca="false">IF(B470="","",IF(INDEX(報告入力!$AB$7:$AB$696,B470)="","",INDEX(報告入力!$AB$7:$AB$696,B470)))</f>
        <v/>
      </c>
      <c r="S470" s="5" t="str">
        <f aca="false">設定!$C$55</f>
        <v>子ども・子育て支援納付金：掛金</v>
      </c>
    </row>
    <row r="471" customFormat="false" ht="15" hidden="false" customHeight="false" outlineLevel="0" collapsed="false">
      <c r="A471" s="5" t="str">
        <f aca="false">設定!B86</f>
        <v>文化財団　市長部局</v>
      </c>
      <c r="B471" s="5" t="n">
        <f aca="false">IFERROR(MATCH(ホーム!$C$4&amp;"|"&amp;A471,報告入力!$CM$7:$CM$696,0),"")</f>
        <v>348</v>
      </c>
      <c r="C471" s="5" t="str">
        <f aca="false">IF(B471="","",INDEX(報告入力!$C$7:$C$696,B471))</f>
        <v>未受領</v>
      </c>
      <c r="D471" s="5" t="str">
        <f aca="false">設定!$A$42</f>
        <v>子ども・子育て支援納付金経理</v>
      </c>
      <c r="E471" s="5" t="str">
        <f aca="false">設定!$B$42&amp;""</f>
        <v/>
      </c>
      <c r="F471" s="5" t="str">
        <f aca="false">設定!$D$56&amp;""</f>
        <v/>
      </c>
      <c r="G471" s="5" t="str">
        <f aca="false">設定!$E$56&amp;""</f>
        <v/>
      </c>
      <c r="H471" s="5" t="n">
        <f aca="false">IF(B471="",0,N(INDEX(報告入力!$BI$7:$BI$696,B471)))</f>
        <v>1</v>
      </c>
      <c r="I471" s="5" t="str">
        <f aca="false">設定!$C$42&amp;""</f>
        <v/>
      </c>
      <c r="J471" s="5" t="str">
        <f aca="false">設定!$D$42&amp;""</f>
        <v/>
      </c>
      <c r="K471" s="5" t="n">
        <f aca="false">IF(AND(H471&lt;&gt;0,IF(設定!$B$6="入金確認済のみ",C471="入金確認済",OR(C471="入金確認済",C471="受領済"))),1,0)</f>
        <v>0</v>
      </c>
      <c r="L471" s="5" t="str">
        <f aca="false">4&amp;"|"&amp;26</f>
        <v>4|26</v>
      </c>
      <c r="M471" s="5" t="n">
        <f aca="false">IF(L471=L470,M470,0)+K471</f>
        <v>0</v>
      </c>
      <c r="N471" s="5" t="n">
        <f aca="false">IF(AND(K471=1,M471=1),1,0)</f>
        <v>0</v>
      </c>
      <c r="O471" s="5" t="str">
        <f aca="false">IF(K471=1,MAX($O$5:O470)+1,"")</f>
        <v/>
      </c>
      <c r="P471" s="5" t="str">
        <f aca="false">IF(K471=1,SUM($N$6:N471),"")</f>
        <v/>
      </c>
      <c r="Q471" s="5" t="str">
        <f aca="false">IF(K471=1,SUMIFS($H$6:$H$511,$L$6:$L$511,L471,$K$6:$K$511,1),"")</f>
        <v/>
      </c>
      <c r="R471" s="103" t="str">
        <f aca="false">IF(B471="","",IF(INDEX(報告入力!$AB$7:$AB$696,B471)="","",INDEX(報告入力!$AB$7:$AB$696,B471)))</f>
        <v/>
      </c>
      <c r="S471" s="5" t="str">
        <f aca="false">設定!$C$56</f>
        <v>子ども・子育て支援納付金：負担金</v>
      </c>
    </row>
    <row r="472" customFormat="false" ht="15" hidden="false" customHeight="false" outlineLevel="0" collapsed="false">
      <c r="A472" s="5" t="str">
        <f aca="false">設定!B87</f>
        <v>文化財団　教育委員会</v>
      </c>
      <c r="B472" s="5" t="n">
        <f aca="false">IFERROR(MATCH(ホーム!$C$4&amp;"|"&amp;A472,報告入力!$CM$7:$CM$696,0),"")</f>
        <v>349</v>
      </c>
      <c r="C472" s="5" t="str">
        <f aca="false">IF(B472="","",INDEX(報告入力!$C$7:$C$696,B472))</f>
        <v>未受領</v>
      </c>
      <c r="D472" s="5" t="str">
        <f aca="false">設定!$A$42</f>
        <v>子ども・子育て支援納付金経理</v>
      </c>
      <c r="E472" s="5" t="str">
        <f aca="false">設定!$B$42&amp;""</f>
        <v/>
      </c>
      <c r="F472" s="5" t="str">
        <f aca="false">設定!$D$55&amp;""</f>
        <v/>
      </c>
      <c r="G472" s="5" t="str">
        <f aca="false">設定!$E$55&amp;""</f>
        <v/>
      </c>
      <c r="H472" s="5" t="n">
        <f aca="false">IF(B472="",0,N(INDEX(報告入力!$BH$7:$BH$696,B472)))</f>
        <v>0</v>
      </c>
      <c r="I472" s="5" t="str">
        <f aca="false">設定!$C$42&amp;""</f>
        <v/>
      </c>
      <c r="J472" s="5" t="str">
        <f aca="false">設定!$D$42&amp;""</f>
        <v/>
      </c>
      <c r="K472" s="5" t="n">
        <f aca="false">IF(AND(H472&lt;&gt;0,IF(設定!$B$6="入金確認済のみ",C472="入金確認済",OR(C472="入金確認済",C472="受領済"))),1,0)</f>
        <v>0</v>
      </c>
      <c r="L472" s="5" t="str">
        <f aca="false">4&amp;"|"&amp;27</f>
        <v>4|27</v>
      </c>
      <c r="M472" s="5" t="n">
        <f aca="false">IF(L472=L471,M471,0)+K472</f>
        <v>0</v>
      </c>
      <c r="N472" s="5" t="n">
        <f aca="false">IF(AND(K472=1,M472=1),1,0)</f>
        <v>0</v>
      </c>
      <c r="O472" s="5" t="str">
        <f aca="false">IF(K472=1,MAX($O$5:O471)+1,"")</f>
        <v/>
      </c>
      <c r="P472" s="5" t="str">
        <f aca="false">IF(K472=1,SUM($N$6:N472),"")</f>
        <v/>
      </c>
      <c r="Q472" s="5" t="str">
        <f aca="false">IF(K472=1,SUMIFS($H$6:$H$511,$L$6:$L$511,L472,$K$6:$K$511,1),"")</f>
        <v/>
      </c>
      <c r="R472" s="103" t="str">
        <f aca="false">IF(B472="","",IF(INDEX(報告入力!$AB$7:$AB$696,B472)="","",INDEX(報告入力!$AB$7:$AB$696,B472)))</f>
        <v/>
      </c>
      <c r="S472" s="5" t="str">
        <f aca="false">設定!$C$55</f>
        <v>子ども・子育て支援納付金：掛金</v>
      </c>
    </row>
    <row r="473" customFormat="false" ht="15" hidden="false" customHeight="false" outlineLevel="0" collapsed="false">
      <c r="A473" s="5" t="str">
        <f aca="false">設定!B87</f>
        <v>文化財団　教育委員会</v>
      </c>
      <c r="B473" s="5" t="n">
        <f aca="false">IFERROR(MATCH(ホーム!$C$4&amp;"|"&amp;A473,報告入力!$CM$7:$CM$696,0),"")</f>
        <v>349</v>
      </c>
      <c r="C473" s="5" t="str">
        <f aca="false">IF(B473="","",INDEX(報告入力!$C$7:$C$696,B473))</f>
        <v>未受領</v>
      </c>
      <c r="D473" s="5" t="str">
        <f aca="false">設定!$A$42</f>
        <v>子ども・子育て支援納付金経理</v>
      </c>
      <c r="E473" s="5" t="str">
        <f aca="false">設定!$B$42&amp;""</f>
        <v/>
      </c>
      <c r="F473" s="5" t="str">
        <f aca="false">設定!$D$56&amp;""</f>
        <v/>
      </c>
      <c r="G473" s="5" t="str">
        <f aca="false">設定!$E$56&amp;""</f>
        <v/>
      </c>
      <c r="H473" s="5" t="n">
        <f aca="false">IF(B473="",0,N(INDEX(報告入力!$BI$7:$BI$696,B473)))</f>
        <v>0</v>
      </c>
      <c r="I473" s="5" t="str">
        <f aca="false">設定!$C$42&amp;""</f>
        <v/>
      </c>
      <c r="J473" s="5" t="str">
        <f aca="false">設定!$D$42&amp;""</f>
        <v/>
      </c>
      <c r="K473" s="5" t="n">
        <f aca="false">IF(AND(H473&lt;&gt;0,IF(設定!$B$6="入金確認済のみ",C473="入金確認済",OR(C473="入金確認済",C473="受領済"))),1,0)</f>
        <v>0</v>
      </c>
      <c r="L473" s="5" t="str">
        <f aca="false">4&amp;"|"&amp;27</f>
        <v>4|27</v>
      </c>
      <c r="M473" s="5" t="n">
        <f aca="false">IF(L473=L472,M472,0)+K473</f>
        <v>0</v>
      </c>
      <c r="N473" s="5" t="n">
        <f aca="false">IF(AND(K473=1,M473=1),1,0)</f>
        <v>0</v>
      </c>
      <c r="O473" s="5" t="str">
        <f aca="false">IF(K473=1,MAX($O$5:O472)+1,"")</f>
        <v/>
      </c>
      <c r="P473" s="5" t="str">
        <f aca="false">IF(K473=1,SUM($N$6:N473),"")</f>
        <v/>
      </c>
      <c r="Q473" s="5" t="str">
        <f aca="false">IF(K473=1,SUMIFS($H$6:$H$511,$L$6:$L$511,L473,$K$6:$K$511,1),"")</f>
        <v/>
      </c>
      <c r="R473" s="103" t="str">
        <f aca="false">IF(B473="","",IF(INDEX(報告入力!$AB$7:$AB$696,B473)="","",INDEX(報告入力!$AB$7:$AB$696,B473)))</f>
        <v/>
      </c>
      <c r="S473" s="5" t="str">
        <f aca="false">設定!$C$56</f>
        <v>子ども・子育て支援納付金：負担金</v>
      </c>
    </row>
    <row r="474" customFormat="false" ht="15" hidden="false" customHeight="false" outlineLevel="0" collapsed="false">
      <c r="A474" s="5" t="str">
        <f aca="false">設定!B88</f>
        <v>みどり生きもの協会</v>
      </c>
      <c r="B474" s="5" t="n">
        <f aca="false">IFERROR(MATCH(ホーム!$C$4&amp;"|"&amp;A474,報告入力!$CM$7:$CM$696,0),"")</f>
        <v>350</v>
      </c>
      <c r="C474" s="5" t="str">
        <f aca="false">IF(B474="","",INDEX(報告入力!$C$7:$C$696,B474))</f>
        <v>未受領</v>
      </c>
      <c r="D474" s="5" t="str">
        <f aca="false">設定!$A$42</f>
        <v>子ども・子育て支援納付金経理</v>
      </c>
      <c r="E474" s="5" t="str">
        <f aca="false">設定!$B$42&amp;""</f>
        <v/>
      </c>
      <c r="F474" s="5" t="str">
        <f aca="false">設定!$D$55&amp;""</f>
        <v/>
      </c>
      <c r="G474" s="5" t="str">
        <f aca="false">設定!$E$55&amp;""</f>
        <v/>
      </c>
      <c r="H474" s="5" t="n">
        <f aca="false">IF(B474="",0,N(INDEX(報告入力!$BH$7:$BH$696,B474)))</f>
        <v>0</v>
      </c>
      <c r="I474" s="5" t="str">
        <f aca="false">設定!$C$42&amp;""</f>
        <v/>
      </c>
      <c r="J474" s="5" t="str">
        <f aca="false">設定!$D$42&amp;""</f>
        <v/>
      </c>
      <c r="K474" s="5" t="n">
        <f aca="false">IF(AND(H474&lt;&gt;0,IF(設定!$B$6="入金確認済のみ",C474="入金確認済",OR(C474="入金確認済",C474="受領済"))),1,0)</f>
        <v>0</v>
      </c>
      <c r="L474" s="5" t="str">
        <f aca="false">4&amp;"|"&amp;28</f>
        <v>4|28</v>
      </c>
      <c r="M474" s="5" t="n">
        <f aca="false">IF(L474=L473,M473,0)+K474</f>
        <v>0</v>
      </c>
      <c r="N474" s="5" t="n">
        <f aca="false">IF(AND(K474=1,M474=1),1,0)</f>
        <v>0</v>
      </c>
      <c r="O474" s="5" t="str">
        <f aca="false">IF(K474=1,MAX($O$5:O473)+1,"")</f>
        <v/>
      </c>
      <c r="P474" s="5" t="str">
        <f aca="false">IF(K474=1,SUM($N$6:N474),"")</f>
        <v/>
      </c>
      <c r="Q474" s="5" t="str">
        <f aca="false">IF(K474=1,SUMIFS($H$6:$H$511,$L$6:$L$511,L474,$K$6:$K$511,1),"")</f>
        <v/>
      </c>
      <c r="R474" s="103" t="str">
        <f aca="false">IF(B474="","",IF(INDEX(報告入力!$AB$7:$AB$696,B474)="","",INDEX(報告入力!$AB$7:$AB$696,B474)))</f>
        <v/>
      </c>
      <c r="S474" s="5" t="str">
        <f aca="false">設定!$C$55</f>
        <v>子ども・子育て支援納付金：掛金</v>
      </c>
    </row>
    <row r="475" customFormat="false" ht="15" hidden="false" customHeight="false" outlineLevel="0" collapsed="false">
      <c r="A475" s="5" t="str">
        <f aca="false">設定!B88</f>
        <v>みどり生きもの協会</v>
      </c>
      <c r="B475" s="5" t="n">
        <f aca="false">IFERROR(MATCH(ホーム!$C$4&amp;"|"&amp;A475,報告入力!$CM$7:$CM$696,0),"")</f>
        <v>350</v>
      </c>
      <c r="C475" s="5" t="str">
        <f aca="false">IF(B475="","",INDEX(報告入力!$C$7:$C$696,B475))</f>
        <v>未受領</v>
      </c>
      <c r="D475" s="5" t="str">
        <f aca="false">設定!$A$42</f>
        <v>子ども・子育て支援納付金経理</v>
      </c>
      <c r="E475" s="5" t="str">
        <f aca="false">設定!$B$42&amp;""</f>
        <v/>
      </c>
      <c r="F475" s="5" t="str">
        <f aca="false">設定!$D$56&amp;""</f>
        <v/>
      </c>
      <c r="G475" s="5" t="str">
        <f aca="false">設定!$E$56&amp;""</f>
        <v/>
      </c>
      <c r="H475" s="5" t="n">
        <f aca="false">IF(B475="",0,N(INDEX(報告入力!$BI$7:$BI$696,B475)))</f>
        <v>1</v>
      </c>
      <c r="I475" s="5" t="str">
        <f aca="false">設定!$C$42&amp;""</f>
        <v/>
      </c>
      <c r="J475" s="5" t="str">
        <f aca="false">設定!$D$42&amp;""</f>
        <v/>
      </c>
      <c r="K475" s="5" t="n">
        <f aca="false">IF(AND(H475&lt;&gt;0,IF(設定!$B$6="入金確認済のみ",C475="入金確認済",OR(C475="入金確認済",C475="受領済"))),1,0)</f>
        <v>0</v>
      </c>
      <c r="L475" s="5" t="str">
        <f aca="false">4&amp;"|"&amp;28</f>
        <v>4|28</v>
      </c>
      <c r="M475" s="5" t="n">
        <f aca="false">IF(L475=L474,M474,0)+K475</f>
        <v>0</v>
      </c>
      <c r="N475" s="5" t="n">
        <f aca="false">IF(AND(K475=1,M475=1),1,0)</f>
        <v>0</v>
      </c>
      <c r="O475" s="5" t="str">
        <f aca="false">IF(K475=1,MAX($O$5:O474)+1,"")</f>
        <v/>
      </c>
      <c r="P475" s="5" t="str">
        <f aca="false">IF(K475=1,SUM($N$6:N475),"")</f>
        <v/>
      </c>
      <c r="Q475" s="5" t="str">
        <f aca="false">IF(K475=1,SUMIFS($H$6:$H$511,$L$6:$L$511,L475,$K$6:$K$511,1),"")</f>
        <v/>
      </c>
      <c r="R475" s="103" t="str">
        <f aca="false">IF(B475="","",IF(INDEX(報告入力!$AB$7:$AB$696,B475)="","",INDEX(報告入力!$AB$7:$AB$696,B475)))</f>
        <v/>
      </c>
      <c r="S475" s="5" t="str">
        <f aca="false">設定!$C$56</f>
        <v>子ども・子育て支援納付金：負担金</v>
      </c>
    </row>
    <row r="476" customFormat="false" ht="15" hidden="false" customHeight="false" outlineLevel="0" collapsed="false">
      <c r="A476" s="5" t="str">
        <f aca="false">設定!B89</f>
        <v>県下水道公社</v>
      </c>
      <c r="B476" s="5" t="n">
        <f aca="false">IFERROR(MATCH(ホーム!$C$4&amp;"|"&amp;A476,報告入力!$CM$7:$CM$696,0),"")</f>
        <v>351</v>
      </c>
      <c r="C476" s="5" t="str">
        <f aca="false">IF(B476="","",INDEX(報告入力!$C$7:$C$696,B476))</f>
        <v>未受領</v>
      </c>
      <c r="D476" s="5" t="str">
        <f aca="false">設定!$A$42</f>
        <v>子ども・子育て支援納付金経理</v>
      </c>
      <c r="E476" s="5" t="str">
        <f aca="false">設定!$B$42&amp;""</f>
        <v/>
      </c>
      <c r="F476" s="5" t="str">
        <f aca="false">設定!$D$55&amp;""</f>
        <v/>
      </c>
      <c r="G476" s="5" t="str">
        <f aca="false">設定!$E$55&amp;""</f>
        <v/>
      </c>
      <c r="H476" s="5" t="n">
        <f aca="false">IF(B476="",0,N(INDEX(報告入力!$BH$7:$BH$696,B476)))</f>
        <v>1</v>
      </c>
      <c r="I476" s="5" t="str">
        <f aca="false">設定!$C$42&amp;""</f>
        <v/>
      </c>
      <c r="J476" s="5" t="str">
        <f aca="false">設定!$D$42&amp;""</f>
        <v/>
      </c>
      <c r="K476" s="5" t="n">
        <f aca="false">IF(AND(H476&lt;&gt;0,IF(設定!$B$6="入金確認済のみ",C476="入金確認済",OR(C476="入金確認済",C476="受領済"))),1,0)</f>
        <v>0</v>
      </c>
      <c r="L476" s="5" t="str">
        <f aca="false">4&amp;"|"&amp;29</f>
        <v>4|29</v>
      </c>
      <c r="M476" s="5" t="n">
        <f aca="false">IF(L476=L475,M475,0)+K476</f>
        <v>0</v>
      </c>
      <c r="N476" s="5" t="n">
        <f aca="false">IF(AND(K476=1,M476=1),1,0)</f>
        <v>0</v>
      </c>
      <c r="O476" s="5" t="str">
        <f aca="false">IF(K476=1,MAX($O$5:O475)+1,"")</f>
        <v/>
      </c>
      <c r="P476" s="5" t="str">
        <f aca="false">IF(K476=1,SUM($N$6:N476),"")</f>
        <v/>
      </c>
      <c r="Q476" s="5" t="str">
        <f aca="false">IF(K476=1,SUMIFS($H$6:$H$511,$L$6:$L$511,L476,$K$6:$K$511,1),"")</f>
        <v/>
      </c>
      <c r="R476" s="103" t="str">
        <f aca="false">IF(B476="","",IF(INDEX(報告入力!$AB$7:$AB$696,B476)="","",INDEX(報告入力!$AB$7:$AB$696,B476)))</f>
        <v/>
      </c>
      <c r="S476" s="5" t="str">
        <f aca="false">設定!$C$55</f>
        <v>子ども・子育て支援納付金：掛金</v>
      </c>
    </row>
    <row r="477" customFormat="false" ht="15" hidden="false" customHeight="false" outlineLevel="0" collapsed="false">
      <c r="A477" s="5" t="str">
        <f aca="false">設定!B89</f>
        <v>県下水道公社</v>
      </c>
      <c r="B477" s="5" t="n">
        <f aca="false">IFERROR(MATCH(ホーム!$C$4&amp;"|"&amp;A477,報告入力!$CM$7:$CM$696,0),"")</f>
        <v>351</v>
      </c>
      <c r="C477" s="5" t="str">
        <f aca="false">IF(B477="","",INDEX(報告入力!$C$7:$C$696,B477))</f>
        <v>未受領</v>
      </c>
      <c r="D477" s="5" t="str">
        <f aca="false">設定!$A$42</f>
        <v>子ども・子育て支援納付金経理</v>
      </c>
      <c r="E477" s="5" t="str">
        <f aca="false">設定!$B$42&amp;""</f>
        <v/>
      </c>
      <c r="F477" s="5" t="str">
        <f aca="false">設定!$D$56&amp;""</f>
        <v/>
      </c>
      <c r="G477" s="5" t="str">
        <f aca="false">設定!$E$56&amp;""</f>
        <v/>
      </c>
      <c r="H477" s="5" t="n">
        <f aca="false">IF(B477="",0,N(INDEX(報告入力!$BI$7:$BI$696,B477)))</f>
        <v>1</v>
      </c>
      <c r="I477" s="5" t="str">
        <f aca="false">設定!$C$42&amp;""</f>
        <v/>
      </c>
      <c r="J477" s="5" t="str">
        <f aca="false">設定!$D$42&amp;""</f>
        <v/>
      </c>
      <c r="K477" s="5" t="n">
        <f aca="false">IF(AND(H477&lt;&gt;0,IF(設定!$B$6="入金確認済のみ",C477="入金確認済",OR(C477="入金確認済",C477="受領済"))),1,0)</f>
        <v>0</v>
      </c>
      <c r="L477" s="5" t="str">
        <f aca="false">4&amp;"|"&amp;29</f>
        <v>4|29</v>
      </c>
      <c r="M477" s="5" t="n">
        <f aca="false">IF(L477=L476,M476,0)+K477</f>
        <v>0</v>
      </c>
      <c r="N477" s="5" t="n">
        <f aca="false">IF(AND(K477=1,M477=1),1,0)</f>
        <v>0</v>
      </c>
      <c r="O477" s="5" t="str">
        <f aca="false">IF(K477=1,MAX($O$5:O476)+1,"")</f>
        <v/>
      </c>
      <c r="P477" s="5" t="str">
        <f aca="false">IF(K477=1,SUM($N$6:N477),"")</f>
        <v/>
      </c>
      <c r="Q477" s="5" t="str">
        <f aca="false">IF(K477=1,SUMIFS($H$6:$H$511,$L$6:$L$511,L477,$K$6:$K$511,1),"")</f>
        <v/>
      </c>
      <c r="R477" s="103" t="str">
        <f aca="false">IF(B477="","",IF(INDEX(報告入力!$AB$7:$AB$696,B477)="","",INDEX(報告入力!$AB$7:$AB$696,B477)))</f>
        <v/>
      </c>
      <c r="S477" s="5" t="str">
        <f aca="false">設定!$C$56</f>
        <v>子ども・子育て支援納付金：負担金</v>
      </c>
    </row>
    <row r="478" customFormat="false" ht="25.35" hidden="false" customHeight="false" outlineLevel="0" collapsed="false">
      <c r="A478" s="104" t="str">
        <f aca="false">設定!B90</f>
        <v>バス協調・共創
プラットフォーム</v>
      </c>
      <c r="B478" s="5" t="n">
        <f aca="false">IFERROR(MATCH(ホーム!$C$4&amp;"|"&amp;A478,報告入力!$CM$7:$CM$696,0),"")</f>
        <v>352</v>
      </c>
      <c r="C478" s="5" t="str">
        <f aca="false">IF(B478="","",INDEX(報告入力!$C$7:$C$696,B478))</f>
        <v>未受領</v>
      </c>
      <c r="D478" s="5" t="str">
        <f aca="false">設定!$A$42</f>
        <v>子ども・子育て支援納付金経理</v>
      </c>
      <c r="E478" s="5" t="str">
        <f aca="false">設定!$B$42&amp;""</f>
        <v/>
      </c>
      <c r="F478" s="5" t="str">
        <f aca="false">設定!$D$55&amp;""</f>
        <v/>
      </c>
      <c r="G478" s="5" t="str">
        <f aca="false">設定!$E$55&amp;""</f>
        <v/>
      </c>
      <c r="H478" s="5" t="n">
        <f aca="false">IF(B478="",0,N(INDEX(報告入力!$BH$7:$BH$696,B478)))</f>
        <v>0</v>
      </c>
      <c r="I478" s="5" t="str">
        <f aca="false">設定!$C$42&amp;""</f>
        <v/>
      </c>
      <c r="J478" s="5" t="str">
        <f aca="false">設定!$D$42&amp;""</f>
        <v/>
      </c>
      <c r="K478" s="5" t="n">
        <f aca="false">IF(AND(H478&lt;&gt;0,IF(設定!$B$6="入金確認済のみ",C478="入金確認済",OR(C478="入金確認済",C478="受領済"))),1,0)</f>
        <v>0</v>
      </c>
      <c r="L478" s="5" t="str">
        <f aca="false">4&amp;"|"&amp;30</f>
        <v>4|30</v>
      </c>
      <c r="M478" s="5" t="n">
        <f aca="false">IF(L478=L477,M477,0)+K478</f>
        <v>0</v>
      </c>
      <c r="N478" s="5" t="n">
        <f aca="false">IF(AND(K478=1,M478=1),1,0)</f>
        <v>0</v>
      </c>
      <c r="O478" s="5" t="str">
        <f aca="false">IF(K478=1,MAX($O$5:O477)+1,"")</f>
        <v/>
      </c>
      <c r="P478" s="5" t="str">
        <f aca="false">IF(K478=1,SUM($N$6:N478),"")</f>
        <v/>
      </c>
      <c r="Q478" s="5" t="str">
        <f aca="false">IF(K478=1,SUMIFS($H$6:$H$511,$L$6:$L$511,L478,$K$6:$K$511,1),"")</f>
        <v/>
      </c>
      <c r="R478" s="103" t="str">
        <f aca="false">IF(B478="","",IF(INDEX(報告入力!$AB$7:$AB$696,B478)="","",INDEX(報告入力!$AB$7:$AB$696,B478)))</f>
        <v/>
      </c>
      <c r="S478" s="5" t="str">
        <f aca="false">設定!$C$55</f>
        <v>子ども・子育て支援納付金：掛金</v>
      </c>
    </row>
    <row r="479" customFormat="false" ht="25.35" hidden="false" customHeight="false" outlineLevel="0" collapsed="false">
      <c r="A479" s="104" t="str">
        <f aca="false">設定!B90</f>
        <v>バス協調・共創
プラットフォーム</v>
      </c>
      <c r="B479" s="5" t="n">
        <f aca="false">IFERROR(MATCH(ホーム!$C$4&amp;"|"&amp;A479,報告入力!$CM$7:$CM$696,0),"")</f>
        <v>352</v>
      </c>
      <c r="C479" s="5" t="str">
        <f aca="false">IF(B479="","",INDEX(報告入力!$C$7:$C$696,B479))</f>
        <v>未受領</v>
      </c>
      <c r="D479" s="5" t="str">
        <f aca="false">設定!$A$42</f>
        <v>子ども・子育て支援納付金経理</v>
      </c>
      <c r="E479" s="5" t="str">
        <f aca="false">設定!$B$42&amp;""</f>
        <v/>
      </c>
      <c r="F479" s="5" t="str">
        <f aca="false">設定!$D$56&amp;""</f>
        <v/>
      </c>
      <c r="G479" s="5" t="str">
        <f aca="false">設定!$E$56&amp;""</f>
        <v/>
      </c>
      <c r="H479" s="5" t="n">
        <f aca="false">IF(B479="",0,N(INDEX(報告入力!$BI$7:$BI$696,B479)))</f>
        <v>1</v>
      </c>
      <c r="I479" s="5" t="str">
        <f aca="false">設定!$C$42&amp;""</f>
        <v/>
      </c>
      <c r="J479" s="5" t="str">
        <f aca="false">設定!$D$42&amp;""</f>
        <v/>
      </c>
      <c r="K479" s="5" t="n">
        <f aca="false">IF(AND(H479&lt;&gt;0,IF(設定!$B$6="入金確認済のみ",C479="入金確認済",OR(C479="入金確認済",C479="受領済"))),1,0)</f>
        <v>0</v>
      </c>
      <c r="L479" s="5" t="str">
        <f aca="false">4&amp;"|"&amp;30</f>
        <v>4|30</v>
      </c>
      <c r="M479" s="5" t="n">
        <f aca="false">IF(L479=L478,M478,0)+K479</f>
        <v>0</v>
      </c>
      <c r="N479" s="5" t="n">
        <f aca="false">IF(AND(K479=1,M479=1),1,0)</f>
        <v>0</v>
      </c>
      <c r="O479" s="5" t="str">
        <f aca="false">IF(K479=1,MAX($O$5:O478)+1,"")</f>
        <v/>
      </c>
      <c r="P479" s="5" t="str">
        <f aca="false">IF(K479=1,SUM($N$6:N479),"")</f>
        <v/>
      </c>
      <c r="Q479" s="5" t="str">
        <f aca="false">IF(K479=1,SUMIFS($H$6:$H$511,$L$6:$L$511,L479,$K$6:$K$511,1),"")</f>
        <v/>
      </c>
      <c r="R479" s="103" t="str">
        <f aca="false">IF(B479="","",IF(INDEX(報告入力!$AB$7:$AB$696,B479)="","",INDEX(報告入力!$AB$7:$AB$696,B479)))</f>
        <v/>
      </c>
      <c r="S479" s="5" t="str">
        <f aca="false">設定!$C$56</f>
        <v>子ども・子育て支援納付金：負担金</v>
      </c>
    </row>
    <row r="480" customFormat="false" ht="15" hidden="false" customHeight="false" outlineLevel="0" collapsed="false">
      <c r="A480" s="5" t="str">
        <f aca="false">設定!B91</f>
        <v>広島県市長会</v>
      </c>
      <c r="B480" s="5" t="n">
        <f aca="false">IFERROR(MATCH(ホーム!$C$4&amp;"|"&amp;A480,報告入力!$CM$7:$CM$696,0),"")</f>
        <v>353</v>
      </c>
      <c r="C480" s="5" t="str">
        <f aca="false">IF(B480="","",INDEX(報告入力!$C$7:$C$696,B480))</f>
        <v>受領済</v>
      </c>
      <c r="D480" s="5" t="str">
        <f aca="false">設定!$A$42</f>
        <v>子ども・子育て支援納付金経理</v>
      </c>
      <c r="E480" s="5" t="str">
        <f aca="false">設定!$B$42&amp;""</f>
        <v/>
      </c>
      <c r="F480" s="5" t="str">
        <f aca="false">設定!$D$55&amp;""</f>
        <v/>
      </c>
      <c r="G480" s="5" t="str">
        <f aca="false">設定!$E$55&amp;""</f>
        <v/>
      </c>
      <c r="H480" s="5" t="n">
        <f aca="false">IF(B480="",0,N(INDEX(報告入力!$BH$7:$BH$696,B480)))</f>
        <v>678</v>
      </c>
      <c r="I480" s="5" t="str">
        <f aca="false">設定!$C$42&amp;""</f>
        <v/>
      </c>
      <c r="J480" s="5" t="str">
        <f aca="false">設定!$D$42&amp;""</f>
        <v/>
      </c>
      <c r="K480" s="5" t="n">
        <f aca="false">IF(AND(H480&lt;&gt;0,IF(設定!$B$6="入金確認済のみ",C480="入金確認済",OR(C480="入金確認済",C480="受領済"))),1,0)</f>
        <v>0</v>
      </c>
      <c r="L480" s="5" t="str">
        <f aca="false">4&amp;"|"&amp;31</f>
        <v>4|31</v>
      </c>
      <c r="M480" s="5" t="n">
        <f aca="false">IF(L480=L479,M479,0)+K480</f>
        <v>0</v>
      </c>
      <c r="N480" s="5" t="n">
        <f aca="false">IF(AND(K480=1,M480=1),1,0)</f>
        <v>0</v>
      </c>
      <c r="O480" s="5" t="str">
        <f aca="false">IF(K480=1,MAX($O$5:O479)+1,"")</f>
        <v/>
      </c>
      <c r="P480" s="5" t="str">
        <f aca="false">IF(K480=1,SUM($N$6:N480),"")</f>
        <v/>
      </c>
      <c r="Q480" s="5" t="str">
        <f aca="false">IF(K480=1,SUMIFS($H$6:$H$511,$L$6:$L$511,L480,$K$6:$K$511,1),"")</f>
        <v/>
      </c>
      <c r="R480" s="103" t="str">
        <f aca="false">IF(B480="","",IF(INDEX(報告入力!$AB$7:$AB$696,B480)="","",INDEX(報告入力!$AB$7:$AB$696,B480)))</f>
        <v/>
      </c>
      <c r="S480" s="5" t="str">
        <f aca="false">設定!$C$55</f>
        <v>子ども・子育て支援納付金：掛金</v>
      </c>
    </row>
    <row r="481" customFormat="false" ht="15" hidden="false" customHeight="false" outlineLevel="0" collapsed="false">
      <c r="A481" s="5" t="str">
        <f aca="false">設定!B91</f>
        <v>広島県市長会</v>
      </c>
      <c r="B481" s="5" t="n">
        <f aca="false">IFERROR(MATCH(ホーム!$C$4&amp;"|"&amp;A481,報告入力!$CM$7:$CM$696,0),"")</f>
        <v>353</v>
      </c>
      <c r="C481" s="5" t="str">
        <f aca="false">IF(B481="","",INDEX(報告入力!$C$7:$C$696,B481))</f>
        <v>受領済</v>
      </c>
      <c r="D481" s="5" t="str">
        <f aca="false">設定!$A$42</f>
        <v>子ども・子育て支援納付金経理</v>
      </c>
      <c r="E481" s="5" t="str">
        <f aca="false">設定!$B$42&amp;""</f>
        <v/>
      </c>
      <c r="F481" s="5" t="str">
        <f aca="false">設定!$D$56&amp;""</f>
        <v/>
      </c>
      <c r="G481" s="5" t="str">
        <f aca="false">設定!$E$56&amp;""</f>
        <v/>
      </c>
      <c r="H481" s="5" t="n">
        <f aca="false">IF(B481="",0,N(INDEX(報告入力!$BI$7:$BI$696,B481)))</f>
        <v>678</v>
      </c>
      <c r="I481" s="5" t="str">
        <f aca="false">設定!$C$42&amp;""</f>
        <v/>
      </c>
      <c r="J481" s="5" t="str">
        <f aca="false">設定!$D$42&amp;""</f>
        <v/>
      </c>
      <c r="K481" s="5" t="n">
        <f aca="false">IF(AND(H481&lt;&gt;0,IF(設定!$B$6="入金確認済のみ",C481="入金確認済",OR(C481="入金確認済",C481="受領済"))),1,0)</f>
        <v>0</v>
      </c>
      <c r="L481" s="5" t="str">
        <f aca="false">4&amp;"|"&amp;31</f>
        <v>4|31</v>
      </c>
      <c r="M481" s="5" t="n">
        <f aca="false">IF(L481=L480,M480,0)+K481</f>
        <v>0</v>
      </c>
      <c r="N481" s="5" t="n">
        <f aca="false">IF(AND(K481=1,M481=1),1,0)</f>
        <v>0</v>
      </c>
      <c r="O481" s="5" t="str">
        <f aca="false">IF(K481=1,MAX($O$5:O480)+1,"")</f>
        <v/>
      </c>
      <c r="P481" s="5" t="str">
        <f aca="false">IF(K481=1,SUM($N$6:N481),"")</f>
        <v/>
      </c>
      <c r="Q481" s="5" t="str">
        <f aca="false">IF(K481=1,SUMIFS($H$6:$H$511,$L$6:$L$511,L481,$K$6:$K$511,1),"")</f>
        <v/>
      </c>
      <c r="R481" s="103" t="str">
        <f aca="false">IF(B481="","",IF(INDEX(報告入力!$AB$7:$AB$696,B481)="","",INDEX(報告入力!$AB$7:$AB$696,B481)))</f>
        <v/>
      </c>
      <c r="S481" s="5" t="str">
        <f aca="false">設定!$C$56</f>
        <v>子ども・子育て支援納付金：負担金</v>
      </c>
    </row>
    <row r="482" customFormat="false" ht="15" hidden="false" customHeight="false" outlineLevel="0" collapsed="false">
      <c r="A482" s="5" t="str">
        <f aca="false">設定!B92</f>
        <v>全国市町村研修財団</v>
      </c>
      <c r="B482" s="5" t="n">
        <f aca="false">IFERROR(MATCH(ホーム!$C$4&amp;"|"&amp;A482,報告入力!$CM$7:$CM$696,0),"")</f>
        <v>354</v>
      </c>
      <c r="C482" s="5" t="str">
        <f aca="false">IF(B482="","",INDEX(報告入力!$C$7:$C$696,B482))</f>
        <v>受領済</v>
      </c>
      <c r="D482" s="5" t="str">
        <f aca="false">設定!$A$42</f>
        <v>子ども・子育て支援納付金経理</v>
      </c>
      <c r="E482" s="5" t="str">
        <f aca="false">設定!$B$42&amp;""</f>
        <v/>
      </c>
      <c r="F482" s="5" t="str">
        <f aca="false">設定!$D$55&amp;""</f>
        <v/>
      </c>
      <c r="G482" s="5" t="str">
        <f aca="false">設定!$E$55&amp;""</f>
        <v/>
      </c>
      <c r="H482" s="5" t="n">
        <f aca="false">IF(B482="",0,N(INDEX(報告入力!$BH$7:$BH$696,B482)))</f>
        <v>816</v>
      </c>
      <c r="I482" s="5" t="str">
        <f aca="false">設定!$C$42&amp;""</f>
        <v/>
      </c>
      <c r="J482" s="5" t="str">
        <f aca="false">設定!$D$42&amp;""</f>
        <v/>
      </c>
      <c r="K482" s="5" t="n">
        <f aca="false">IF(AND(H482&lt;&gt;0,IF(設定!$B$6="入金確認済のみ",C482="入金確認済",OR(C482="入金確認済",C482="受領済"))),1,0)</f>
        <v>0</v>
      </c>
      <c r="L482" s="5" t="str">
        <f aca="false">4&amp;"|"&amp;32</f>
        <v>4|32</v>
      </c>
      <c r="M482" s="5" t="n">
        <f aca="false">IF(L482=L481,M481,0)+K482</f>
        <v>0</v>
      </c>
      <c r="N482" s="5" t="n">
        <f aca="false">IF(AND(K482=1,M482=1),1,0)</f>
        <v>0</v>
      </c>
      <c r="O482" s="5" t="str">
        <f aca="false">IF(K482=1,MAX($O$5:O481)+1,"")</f>
        <v/>
      </c>
      <c r="P482" s="5" t="str">
        <f aca="false">IF(K482=1,SUM($N$6:N482),"")</f>
        <v/>
      </c>
      <c r="Q482" s="5" t="str">
        <f aca="false">IF(K482=1,SUMIFS($H$6:$H$511,$L$6:$L$511,L482,$K$6:$K$511,1),"")</f>
        <v/>
      </c>
      <c r="R482" s="103" t="str">
        <f aca="false">IF(B482="","",IF(INDEX(報告入力!$AB$7:$AB$696,B482)="","",INDEX(報告入力!$AB$7:$AB$696,B482)))</f>
        <v/>
      </c>
      <c r="S482" s="5" t="str">
        <f aca="false">設定!$C$55</f>
        <v>子ども・子育て支援納付金：掛金</v>
      </c>
    </row>
    <row r="483" customFormat="false" ht="15" hidden="false" customHeight="false" outlineLevel="0" collapsed="false">
      <c r="A483" s="5" t="str">
        <f aca="false">設定!B92</f>
        <v>全国市町村研修財団</v>
      </c>
      <c r="B483" s="5" t="n">
        <f aca="false">IFERROR(MATCH(ホーム!$C$4&amp;"|"&amp;A483,報告入力!$CM$7:$CM$696,0),"")</f>
        <v>354</v>
      </c>
      <c r="C483" s="5" t="str">
        <f aca="false">IF(B483="","",INDEX(報告入力!$C$7:$C$696,B483))</f>
        <v>受領済</v>
      </c>
      <c r="D483" s="5" t="str">
        <f aca="false">設定!$A$42</f>
        <v>子ども・子育て支援納付金経理</v>
      </c>
      <c r="E483" s="5" t="str">
        <f aca="false">設定!$B$42&amp;""</f>
        <v/>
      </c>
      <c r="F483" s="5" t="str">
        <f aca="false">設定!$D$56&amp;""</f>
        <v/>
      </c>
      <c r="G483" s="5" t="str">
        <f aca="false">設定!$E$56&amp;""</f>
        <v/>
      </c>
      <c r="H483" s="5" t="n">
        <f aca="false">IF(B483="",0,N(INDEX(報告入力!$BI$7:$BI$696,B483)))</f>
        <v>816</v>
      </c>
      <c r="I483" s="5" t="str">
        <f aca="false">設定!$C$42&amp;""</f>
        <v/>
      </c>
      <c r="J483" s="5" t="str">
        <f aca="false">設定!$D$42&amp;""</f>
        <v/>
      </c>
      <c r="K483" s="5" t="n">
        <f aca="false">IF(AND(H483&lt;&gt;0,IF(設定!$B$6="入金確認済のみ",C483="入金確認済",OR(C483="入金確認済",C483="受領済"))),1,0)</f>
        <v>0</v>
      </c>
      <c r="L483" s="5" t="str">
        <f aca="false">4&amp;"|"&amp;32</f>
        <v>4|32</v>
      </c>
      <c r="M483" s="5" t="n">
        <f aca="false">IF(L483=L482,M482,0)+K483</f>
        <v>0</v>
      </c>
      <c r="N483" s="5" t="n">
        <f aca="false">IF(AND(K483=1,M483=1),1,0)</f>
        <v>0</v>
      </c>
      <c r="O483" s="5" t="str">
        <f aca="false">IF(K483=1,MAX($O$5:O482)+1,"")</f>
        <v/>
      </c>
      <c r="P483" s="5" t="str">
        <f aca="false">IF(K483=1,SUM($N$6:N483),"")</f>
        <v/>
      </c>
      <c r="Q483" s="5" t="str">
        <f aca="false">IF(K483=1,SUMIFS($H$6:$H$511,$L$6:$L$511,L483,$K$6:$K$511,1),"")</f>
        <v/>
      </c>
      <c r="R483" s="103" t="str">
        <f aca="false">IF(B483="","",IF(INDEX(報告入力!$AB$7:$AB$696,B483)="","",INDEX(報告入力!$AB$7:$AB$696,B483)))</f>
        <v/>
      </c>
      <c r="S483" s="5" t="str">
        <f aca="false">設定!$C$56</f>
        <v>子ども・子育て支援納付金：負担金</v>
      </c>
    </row>
    <row r="484" customFormat="false" ht="15" hidden="false" customHeight="false" outlineLevel="0" collapsed="false">
      <c r="A484" s="5" t="str">
        <f aca="false">設定!B93</f>
        <v>都市再生機構</v>
      </c>
      <c r="B484" s="5" t="n">
        <f aca="false">IFERROR(MATCH(ホーム!$C$4&amp;"|"&amp;A484,報告入力!$CM$7:$CM$696,0),"")</f>
        <v>355</v>
      </c>
      <c r="C484" s="5" t="str">
        <f aca="false">IF(B484="","",INDEX(報告入力!$C$7:$C$696,B484))</f>
        <v>受領済</v>
      </c>
      <c r="D484" s="5" t="str">
        <f aca="false">設定!$A$42</f>
        <v>子ども・子育て支援納付金経理</v>
      </c>
      <c r="E484" s="5" t="str">
        <f aca="false">設定!$B$42&amp;""</f>
        <v/>
      </c>
      <c r="F484" s="5" t="str">
        <f aca="false">設定!$D$55&amp;""</f>
        <v/>
      </c>
      <c r="G484" s="5" t="str">
        <f aca="false">設定!$E$55&amp;""</f>
        <v/>
      </c>
      <c r="H484" s="5" t="n">
        <f aca="false">IF(B484="",0,N(INDEX(報告入力!$BH$7:$BH$696,B484)))</f>
        <v>575</v>
      </c>
      <c r="I484" s="5" t="str">
        <f aca="false">設定!$C$42&amp;""</f>
        <v/>
      </c>
      <c r="J484" s="5" t="str">
        <f aca="false">設定!$D$42&amp;""</f>
        <v/>
      </c>
      <c r="K484" s="5" t="n">
        <f aca="false">IF(AND(H484&lt;&gt;0,IF(設定!$B$6="入金確認済のみ",C484="入金確認済",OR(C484="入金確認済",C484="受領済"))),1,0)</f>
        <v>0</v>
      </c>
      <c r="L484" s="5" t="str">
        <f aca="false">4&amp;"|"&amp;33</f>
        <v>4|33</v>
      </c>
      <c r="M484" s="5" t="n">
        <f aca="false">IF(L484=L483,M483,0)+K484</f>
        <v>0</v>
      </c>
      <c r="N484" s="5" t="n">
        <f aca="false">IF(AND(K484=1,M484=1),1,0)</f>
        <v>0</v>
      </c>
      <c r="O484" s="5" t="str">
        <f aca="false">IF(K484=1,MAX($O$5:O483)+1,"")</f>
        <v/>
      </c>
      <c r="P484" s="5" t="str">
        <f aca="false">IF(K484=1,SUM($N$6:N484),"")</f>
        <v/>
      </c>
      <c r="Q484" s="5" t="str">
        <f aca="false">IF(K484=1,SUMIFS($H$6:$H$511,$L$6:$L$511,L484,$K$6:$K$511,1),"")</f>
        <v/>
      </c>
      <c r="R484" s="103" t="str">
        <f aca="false">IF(B484="","",IF(INDEX(報告入力!$AB$7:$AB$696,B484)="","",INDEX(報告入力!$AB$7:$AB$696,B484)))</f>
        <v/>
      </c>
      <c r="S484" s="5" t="str">
        <f aca="false">設定!$C$55</f>
        <v>子ども・子育て支援納付金：掛金</v>
      </c>
    </row>
    <row r="485" customFormat="false" ht="15" hidden="false" customHeight="false" outlineLevel="0" collapsed="false">
      <c r="A485" s="5" t="str">
        <f aca="false">設定!B93</f>
        <v>都市再生機構</v>
      </c>
      <c r="B485" s="5" t="n">
        <f aca="false">IFERROR(MATCH(ホーム!$C$4&amp;"|"&amp;A485,報告入力!$CM$7:$CM$696,0),"")</f>
        <v>355</v>
      </c>
      <c r="C485" s="5" t="str">
        <f aca="false">IF(B485="","",INDEX(報告入力!$C$7:$C$696,B485))</f>
        <v>受領済</v>
      </c>
      <c r="D485" s="5" t="str">
        <f aca="false">設定!$A$42</f>
        <v>子ども・子育て支援納付金経理</v>
      </c>
      <c r="E485" s="5" t="str">
        <f aca="false">設定!$B$42&amp;""</f>
        <v/>
      </c>
      <c r="F485" s="5" t="str">
        <f aca="false">設定!$D$56&amp;""</f>
        <v/>
      </c>
      <c r="G485" s="5" t="str">
        <f aca="false">設定!$E$56&amp;""</f>
        <v/>
      </c>
      <c r="H485" s="5" t="n">
        <f aca="false">IF(B485="",0,N(INDEX(報告入力!$BI$7:$BI$696,B485)))</f>
        <v>575</v>
      </c>
      <c r="I485" s="5" t="str">
        <f aca="false">設定!$C$42&amp;""</f>
        <v/>
      </c>
      <c r="J485" s="5" t="str">
        <f aca="false">設定!$D$42&amp;""</f>
        <v/>
      </c>
      <c r="K485" s="5" t="n">
        <f aca="false">IF(AND(H485&lt;&gt;0,IF(設定!$B$6="入金確認済のみ",C485="入金確認済",OR(C485="入金確認済",C485="受領済"))),1,0)</f>
        <v>0</v>
      </c>
      <c r="L485" s="5" t="str">
        <f aca="false">4&amp;"|"&amp;33</f>
        <v>4|33</v>
      </c>
      <c r="M485" s="5" t="n">
        <f aca="false">IF(L485=L484,M484,0)+K485</f>
        <v>0</v>
      </c>
      <c r="N485" s="5" t="n">
        <f aca="false">IF(AND(K485=1,M485=1),1,0)</f>
        <v>0</v>
      </c>
      <c r="O485" s="5" t="str">
        <f aca="false">IF(K485=1,MAX($O$5:O484)+1,"")</f>
        <v/>
      </c>
      <c r="P485" s="5" t="str">
        <f aca="false">IF(K485=1,SUM($N$6:N485),"")</f>
        <v/>
      </c>
      <c r="Q485" s="5" t="str">
        <f aca="false">IF(K485=1,SUMIFS($H$6:$H$511,$L$6:$L$511,L485,$K$6:$K$511,1),"")</f>
        <v/>
      </c>
      <c r="R485" s="103" t="str">
        <f aca="false">IF(B485="","",IF(INDEX(報告入力!$AB$7:$AB$696,B485)="","",INDEX(報告入力!$AB$7:$AB$696,B485)))</f>
        <v/>
      </c>
      <c r="S485" s="5" t="str">
        <f aca="false">設定!$C$56</f>
        <v>子ども・子育て支援納付金：負担金</v>
      </c>
    </row>
    <row r="486" customFormat="false" ht="15" hidden="false" customHeight="false" outlineLevel="0" collapsed="false">
      <c r="A486" s="5" t="str">
        <f aca="false">設定!B94</f>
        <v>広島市立大学</v>
      </c>
      <c r="B486" s="5" t="n">
        <f aca="false">IFERROR(MATCH(ホーム!$C$4&amp;"|"&amp;A486,報告入力!$CM$7:$CM$696,0),"")</f>
        <v>356</v>
      </c>
      <c r="C486" s="5" t="str">
        <f aca="false">IF(B486="","",INDEX(報告入力!$C$7:$C$696,B486))</f>
        <v>未受領</v>
      </c>
      <c r="D486" s="5" t="str">
        <f aca="false">設定!$A$42</f>
        <v>子ども・子育て支援納付金経理</v>
      </c>
      <c r="E486" s="5" t="str">
        <f aca="false">設定!$B$42&amp;""</f>
        <v/>
      </c>
      <c r="F486" s="5" t="str">
        <f aca="false">設定!$D$55&amp;""</f>
        <v/>
      </c>
      <c r="G486" s="5" t="str">
        <f aca="false">設定!$E$55&amp;""</f>
        <v/>
      </c>
      <c r="H486" s="5" t="n">
        <f aca="false">IF(B486="",0,N(INDEX(報告入力!$BH$7:$BH$696,B486)))</f>
        <v>1</v>
      </c>
      <c r="I486" s="5" t="str">
        <f aca="false">設定!$C$42&amp;""</f>
        <v/>
      </c>
      <c r="J486" s="5" t="str">
        <f aca="false">設定!$D$42&amp;""</f>
        <v/>
      </c>
      <c r="K486" s="5" t="n">
        <f aca="false">IF(AND(H486&lt;&gt;0,IF(設定!$B$6="入金確認済のみ",C486="入金確認済",OR(C486="入金確認済",C486="受領済"))),1,0)</f>
        <v>0</v>
      </c>
      <c r="L486" s="5" t="str">
        <f aca="false">4&amp;"|"&amp;34</f>
        <v>4|34</v>
      </c>
      <c r="M486" s="5" t="n">
        <f aca="false">IF(L486=L485,M485,0)+K486</f>
        <v>0</v>
      </c>
      <c r="N486" s="5" t="n">
        <f aca="false">IF(AND(K486=1,M486=1),1,0)</f>
        <v>0</v>
      </c>
      <c r="O486" s="5" t="str">
        <f aca="false">IF(K486=1,MAX($O$5:O485)+1,"")</f>
        <v/>
      </c>
      <c r="P486" s="5" t="str">
        <f aca="false">IF(K486=1,SUM($N$6:N486),"")</f>
        <v/>
      </c>
      <c r="Q486" s="5" t="str">
        <f aca="false">IF(K486=1,SUMIFS($H$6:$H$511,$L$6:$L$511,L486,$K$6:$K$511,1),"")</f>
        <v/>
      </c>
      <c r="R486" s="103" t="str">
        <f aca="false">IF(B486="","",IF(INDEX(報告入力!$AB$7:$AB$696,B486)="","",INDEX(報告入力!$AB$7:$AB$696,B486)))</f>
        <v/>
      </c>
      <c r="S486" s="5" t="str">
        <f aca="false">設定!$C$55</f>
        <v>子ども・子育て支援納付金：掛金</v>
      </c>
    </row>
    <row r="487" customFormat="false" ht="15" hidden="false" customHeight="false" outlineLevel="0" collapsed="false">
      <c r="A487" s="5" t="str">
        <f aca="false">設定!B94</f>
        <v>広島市立大学</v>
      </c>
      <c r="B487" s="5" t="n">
        <f aca="false">IFERROR(MATCH(ホーム!$C$4&amp;"|"&amp;A487,報告入力!$CM$7:$CM$696,0),"")</f>
        <v>356</v>
      </c>
      <c r="C487" s="5" t="str">
        <f aca="false">IF(B487="","",INDEX(報告入力!$C$7:$C$696,B487))</f>
        <v>未受領</v>
      </c>
      <c r="D487" s="5" t="str">
        <f aca="false">設定!$A$42</f>
        <v>子ども・子育て支援納付金経理</v>
      </c>
      <c r="E487" s="5" t="str">
        <f aca="false">設定!$B$42&amp;""</f>
        <v/>
      </c>
      <c r="F487" s="5" t="str">
        <f aca="false">設定!$D$56&amp;""</f>
        <v/>
      </c>
      <c r="G487" s="5" t="str">
        <f aca="false">設定!$E$56&amp;""</f>
        <v/>
      </c>
      <c r="H487" s="5" t="n">
        <f aca="false">IF(B487="",0,N(INDEX(報告入力!$BI$7:$BI$696,B487)))</f>
        <v>1</v>
      </c>
      <c r="I487" s="5" t="str">
        <f aca="false">設定!$C$42&amp;""</f>
        <v/>
      </c>
      <c r="J487" s="5" t="str">
        <f aca="false">設定!$D$42&amp;""</f>
        <v/>
      </c>
      <c r="K487" s="5" t="n">
        <f aca="false">IF(AND(H487&lt;&gt;0,IF(設定!$B$6="入金確認済のみ",C487="入金確認済",OR(C487="入金確認済",C487="受領済"))),1,0)</f>
        <v>0</v>
      </c>
      <c r="L487" s="5" t="str">
        <f aca="false">4&amp;"|"&amp;34</f>
        <v>4|34</v>
      </c>
      <c r="M487" s="5" t="n">
        <f aca="false">IF(L487=L486,M486,0)+K487</f>
        <v>0</v>
      </c>
      <c r="N487" s="5" t="n">
        <f aca="false">IF(AND(K487=1,M487=1),1,0)</f>
        <v>0</v>
      </c>
      <c r="O487" s="5" t="str">
        <f aca="false">IF(K487=1,MAX($O$5:O486)+1,"")</f>
        <v/>
      </c>
      <c r="P487" s="5" t="str">
        <f aca="false">IF(K487=1,SUM($N$6:N487),"")</f>
        <v/>
      </c>
      <c r="Q487" s="5" t="str">
        <f aca="false">IF(K487=1,SUMIFS($H$6:$H$511,$L$6:$L$511,L487,$K$6:$K$511,1),"")</f>
        <v/>
      </c>
      <c r="R487" s="103" t="str">
        <f aca="false">IF(B487="","",IF(INDEX(報告入力!$AB$7:$AB$696,B487)="","",INDEX(報告入力!$AB$7:$AB$696,B487)))</f>
        <v/>
      </c>
      <c r="S487" s="5" t="str">
        <f aca="false">設定!$C$56</f>
        <v>子ども・子育て支援納付金：負担金</v>
      </c>
    </row>
    <row r="488" customFormat="false" ht="15" hidden="false" customHeight="false" outlineLevel="0" collapsed="false">
      <c r="A488" s="5" t="str">
        <f aca="false">設定!B95</f>
        <v>社会福祉協議会</v>
      </c>
      <c r="B488" s="5" t="n">
        <f aca="false">IFERROR(MATCH(ホーム!$C$4&amp;"|"&amp;A488,報告入力!$CM$7:$CM$696,0),"")</f>
        <v>357</v>
      </c>
      <c r="C488" s="5" t="str">
        <f aca="false">IF(B488="","",INDEX(報告入力!$C$7:$C$696,B488))</f>
        <v>未受領</v>
      </c>
      <c r="D488" s="5" t="str">
        <f aca="false">設定!$A$42</f>
        <v>子ども・子育て支援納付金経理</v>
      </c>
      <c r="E488" s="5" t="str">
        <f aca="false">設定!$B$42&amp;""</f>
        <v/>
      </c>
      <c r="F488" s="5" t="str">
        <f aca="false">設定!$D$55&amp;""</f>
        <v/>
      </c>
      <c r="G488" s="5" t="str">
        <f aca="false">設定!$E$55&amp;""</f>
        <v/>
      </c>
      <c r="H488" s="5" t="n">
        <f aca="false">IF(B488="",0,N(INDEX(報告入力!$BH$7:$BH$696,B488)))</f>
        <v>0</v>
      </c>
      <c r="I488" s="5" t="str">
        <f aca="false">設定!$C$42&amp;""</f>
        <v/>
      </c>
      <c r="J488" s="5" t="str">
        <f aca="false">設定!$D$42&amp;""</f>
        <v/>
      </c>
      <c r="K488" s="5" t="n">
        <f aca="false">IF(AND(H488&lt;&gt;0,IF(設定!$B$6="入金確認済のみ",C488="入金確認済",OR(C488="入金確認済",C488="受領済"))),1,0)</f>
        <v>0</v>
      </c>
      <c r="L488" s="5" t="str">
        <f aca="false">4&amp;"|"&amp;35</f>
        <v>4|35</v>
      </c>
      <c r="M488" s="5" t="n">
        <f aca="false">IF(L488=L487,M487,0)+K488</f>
        <v>0</v>
      </c>
      <c r="N488" s="5" t="n">
        <f aca="false">IF(AND(K488=1,M488=1),1,0)</f>
        <v>0</v>
      </c>
      <c r="O488" s="5" t="str">
        <f aca="false">IF(K488=1,MAX($O$5:O487)+1,"")</f>
        <v/>
      </c>
      <c r="P488" s="5" t="str">
        <f aca="false">IF(K488=1,SUM($N$6:N488),"")</f>
        <v/>
      </c>
      <c r="Q488" s="5" t="str">
        <f aca="false">IF(K488=1,SUMIFS($H$6:$H$511,$L$6:$L$511,L488,$K$6:$K$511,1),"")</f>
        <v/>
      </c>
      <c r="R488" s="103" t="str">
        <f aca="false">IF(B488="","",IF(INDEX(報告入力!$AB$7:$AB$696,B488)="","",INDEX(報告入力!$AB$7:$AB$696,B488)))</f>
        <v/>
      </c>
      <c r="S488" s="5" t="str">
        <f aca="false">設定!$C$55</f>
        <v>子ども・子育て支援納付金：掛金</v>
      </c>
    </row>
    <row r="489" customFormat="false" ht="15" hidden="false" customHeight="false" outlineLevel="0" collapsed="false">
      <c r="A489" s="5" t="str">
        <f aca="false">設定!B95</f>
        <v>社会福祉協議会</v>
      </c>
      <c r="B489" s="5" t="n">
        <f aca="false">IFERROR(MATCH(ホーム!$C$4&amp;"|"&amp;A489,報告入力!$CM$7:$CM$696,0),"")</f>
        <v>357</v>
      </c>
      <c r="C489" s="5" t="str">
        <f aca="false">IF(B489="","",INDEX(報告入力!$C$7:$C$696,B489))</f>
        <v>未受領</v>
      </c>
      <c r="D489" s="5" t="str">
        <f aca="false">設定!$A$42</f>
        <v>子ども・子育て支援納付金経理</v>
      </c>
      <c r="E489" s="5" t="str">
        <f aca="false">設定!$B$42&amp;""</f>
        <v/>
      </c>
      <c r="F489" s="5" t="str">
        <f aca="false">設定!$D$56&amp;""</f>
        <v/>
      </c>
      <c r="G489" s="5" t="str">
        <f aca="false">設定!$E$56&amp;""</f>
        <v/>
      </c>
      <c r="H489" s="5" t="n">
        <f aca="false">IF(B489="",0,N(INDEX(報告入力!$BI$7:$BI$696,B489)))</f>
        <v>1</v>
      </c>
      <c r="I489" s="5" t="str">
        <f aca="false">設定!$C$42&amp;""</f>
        <v/>
      </c>
      <c r="J489" s="5" t="str">
        <f aca="false">設定!$D$42&amp;""</f>
        <v/>
      </c>
      <c r="K489" s="5" t="n">
        <f aca="false">IF(AND(H489&lt;&gt;0,IF(設定!$B$6="入金確認済のみ",C489="入金確認済",OR(C489="入金確認済",C489="受領済"))),1,0)</f>
        <v>0</v>
      </c>
      <c r="L489" s="5" t="str">
        <f aca="false">4&amp;"|"&amp;35</f>
        <v>4|35</v>
      </c>
      <c r="M489" s="5" t="n">
        <f aca="false">IF(L489=L488,M488,0)+K489</f>
        <v>0</v>
      </c>
      <c r="N489" s="5" t="n">
        <f aca="false">IF(AND(K489=1,M489=1),1,0)</f>
        <v>0</v>
      </c>
      <c r="O489" s="5" t="str">
        <f aca="false">IF(K489=1,MAX($O$5:O488)+1,"")</f>
        <v/>
      </c>
      <c r="P489" s="5" t="str">
        <f aca="false">IF(K489=1,SUM($N$6:N489),"")</f>
        <v/>
      </c>
      <c r="Q489" s="5" t="str">
        <f aca="false">IF(K489=1,SUMIFS($H$6:$H$511,$L$6:$L$511,L489,$K$6:$K$511,1),"")</f>
        <v/>
      </c>
      <c r="R489" s="103" t="str">
        <f aca="false">IF(B489="","",IF(INDEX(報告入力!$AB$7:$AB$696,B489)="","",INDEX(報告入力!$AB$7:$AB$696,B489)))</f>
        <v/>
      </c>
      <c r="S489" s="5" t="str">
        <f aca="false">設定!$C$56</f>
        <v>子ども・子育て支援納付金：負担金</v>
      </c>
    </row>
    <row r="490" customFormat="false" ht="15" hidden="false" customHeight="false" outlineLevel="0" collapsed="false">
      <c r="A490" s="5" t="str">
        <f aca="false">設定!B96</f>
        <v>市立病院機構</v>
      </c>
      <c r="B490" s="5" t="n">
        <f aca="false">IFERROR(MATCH(ホーム!$C$4&amp;"|"&amp;A490,報告入力!$CM$7:$CM$696,0),"")</f>
        <v>358</v>
      </c>
      <c r="C490" s="5" t="str">
        <f aca="false">IF(B490="","",INDEX(報告入力!$C$7:$C$696,B490))</f>
        <v>未受領</v>
      </c>
      <c r="D490" s="5" t="str">
        <f aca="false">設定!$A$42</f>
        <v>子ども・子育て支援納付金経理</v>
      </c>
      <c r="E490" s="5" t="str">
        <f aca="false">設定!$B$42&amp;""</f>
        <v/>
      </c>
      <c r="F490" s="5" t="str">
        <f aca="false">設定!$D$55&amp;""</f>
        <v/>
      </c>
      <c r="G490" s="5" t="str">
        <f aca="false">設定!$E$55&amp;""</f>
        <v/>
      </c>
      <c r="H490" s="5" t="n">
        <f aca="false">IF(B490="",0,N(INDEX(報告入力!$BH$7:$BH$696,B490)))</f>
        <v>1</v>
      </c>
      <c r="I490" s="5" t="str">
        <f aca="false">設定!$C$42&amp;""</f>
        <v/>
      </c>
      <c r="J490" s="5" t="str">
        <f aca="false">設定!$D$42&amp;""</f>
        <v/>
      </c>
      <c r="K490" s="5" t="n">
        <f aca="false">IF(AND(H490&lt;&gt;0,IF(設定!$B$6="入金確認済のみ",C490="入金確認済",OR(C490="入金確認済",C490="受領済"))),1,0)</f>
        <v>0</v>
      </c>
      <c r="L490" s="5" t="str">
        <f aca="false">4&amp;"|"&amp;36</f>
        <v>4|36</v>
      </c>
      <c r="M490" s="5" t="n">
        <f aca="false">IF(L490=L489,M489,0)+K490</f>
        <v>0</v>
      </c>
      <c r="N490" s="5" t="n">
        <f aca="false">IF(AND(K490=1,M490=1),1,0)</f>
        <v>0</v>
      </c>
      <c r="O490" s="5" t="str">
        <f aca="false">IF(K490=1,MAX($O$5:O489)+1,"")</f>
        <v/>
      </c>
      <c r="P490" s="5" t="str">
        <f aca="false">IF(K490=1,SUM($N$6:N490),"")</f>
        <v/>
      </c>
      <c r="Q490" s="5" t="str">
        <f aca="false">IF(K490=1,SUMIFS($H$6:$H$511,$L$6:$L$511,L490,$K$6:$K$511,1),"")</f>
        <v/>
      </c>
      <c r="R490" s="103" t="str">
        <f aca="false">IF(B490="","",IF(INDEX(報告入力!$AB$7:$AB$696,B490)="","",INDEX(報告入力!$AB$7:$AB$696,B490)))</f>
        <v/>
      </c>
      <c r="S490" s="5" t="str">
        <f aca="false">設定!$C$55</f>
        <v>子ども・子育て支援納付金：掛金</v>
      </c>
    </row>
    <row r="491" customFormat="false" ht="15" hidden="false" customHeight="false" outlineLevel="0" collapsed="false">
      <c r="A491" s="5" t="str">
        <f aca="false">設定!B96</f>
        <v>市立病院機構</v>
      </c>
      <c r="B491" s="5" t="n">
        <f aca="false">IFERROR(MATCH(ホーム!$C$4&amp;"|"&amp;A491,報告入力!$CM$7:$CM$696,0),"")</f>
        <v>358</v>
      </c>
      <c r="C491" s="5" t="str">
        <f aca="false">IF(B491="","",INDEX(報告入力!$C$7:$C$696,B491))</f>
        <v>未受領</v>
      </c>
      <c r="D491" s="5" t="str">
        <f aca="false">設定!$A$42</f>
        <v>子ども・子育て支援納付金経理</v>
      </c>
      <c r="E491" s="5" t="str">
        <f aca="false">設定!$B$42&amp;""</f>
        <v/>
      </c>
      <c r="F491" s="5" t="str">
        <f aca="false">設定!$D$56&amp;""</f>
        <v/>
      </c>
      <c r="G491" s="5" t="str">
        <f aca="false">設定!$E$56&amp;""</f>
        <v/>
      </c>
      <c r="H491" s="5" t="n">
        <f aca="false">IF(B491="",0,N(INDEX(報告入力!$BI$7:$BI$696,B491)))</f>
        <v>1</v>
      </c>
      <c r="I491" s="5" t="str">
        <f aca="false">設定!$C$42&amp;""</f>
        <v/>
      </c>
      <c r="J491" s="5" t="str">
        <f aca="false">設定!$D$42&amp;""</f>
        <v/>
      </c>
      <c r="K491" s="5" t="n">
        <f aca="false">IF(AND(H491&lt;&gt;0,IF(設定!$B$6="入金確認済のみ",C491="入金確認済",OR(C491="入金確認済",C491="受領済"))),1,0)</f>
        <v>0</v>
      </c>
      <c r="L491" s="5" t="str">
        <f aca="false">4&amp;"|"&amp;36</f>
        <v>4|36</v>
      </c>
      <c r="M491" s="5" t="n">
        <f aca="false">IF(L491=L490,M490,0)+K491</f>
        <v>0</v>
      </c>
      <c r="N491" s="5" t="n">
        <f aca="false">IF(AND(K491=1,M491=1),1,0)</f>
        <v>0</v>
      </c>
      <c r="O491" s="5" t="str">
        <f aca="false">IF(K491=1,MAX($O$5:O490)+1,"")</f>
        <v/>
      </c>
      <c r="P491" s="5" t="str">
        <f aca="false">IF(K491=1,SUM($N$6:N491),"")</f>
        <v/>
      </c>
      <c r="Q491" s="5" t="str">
        <f aca="false">IF(K491=1,SUMIFS($H$6:$H$511,$L$6:$L$511,L491,$K$6:$K$511,1),"")</f>
        <v/>
      </c>
      <c r="R491" s="103" t="str">
        <f aca="false">IF(B491="","",IF(INDEX(報告入力!$AB$7:$AB$696,B491)="","",INDEX(報告入力!$AB$7:$AB$696,B491)))</f>
        <v/>
      </c>
      <c r="S491" s="5" t="str">
        <f aca="false">設定!$C$56</f>
        <v>子ども・子育て支援納付金：負担金</v>
      </c>
    </row>
    <row r="492" customFormat="false" ht="15" hidden="false" customHeight="false" outlineLevel="0" collapsed="false">
      <c r="A492" s="5" t="str">
        <f aca="false">設定!B97</f>
        <v>職員共済組合</v>
      </c>
      <c r="B492" s="5" t="n">
        <f aca="false">IFERROR(MATCH(ホーム!$C$4&amp;"|"&amp;A492,報告入力!$CM$7:$CM$696,0),"")</f>
        <v>359</v>
      </c>
      <c r="C492" s="5" t="str">
        <f aca="false">IF(B492="","",INDEX(報告入力!$C$7:$C$696,B492))</f>
        <v>未受領</v>
      </c>
      <c r="D492" s="5" t="str">
        <f aca="false">設定!$A$42</f>
        <v>子ども・子育て支援納付金経理</v>
      </c>
      <c r="E492" s="5" t="str">
        <f aca="false">設定!$B$42&amp;""</f>
        <v/>
      </c>
      <c r="F492" s="5" t="str">
        <f aca="false">設定!$D$55&amp;""</f>
        <v/>
      </c>
      <c r="G492" s="5" t="str">
        <f aca="false">設定!$E$55&amp;""</f>
        <v/>
      </c>
      <c r="H492" s="5" t="n">
        <f aca="false">IF(B492="",0,N(INDEX(報告入力!$BH$7:$BH$696,B492)))</f>
        <v>1</v>
      </c>
      <c r="I492" s="5" t="str">
        <f aca="false">設定!$C$42&amp;""</f>
        <v/>
      </c>
      <c r="J492" s="5" t="str">
        <f aca="false">設定!$D$42&amp;""</f>
        <v/>
      </c>
      <c r="K492" s="5" t="n">
        <f aca="false">IF(AND(H492&lt;&gt;0,IF(設定!$B$6="入金確認済のみ",C492="入金確認済",OR(C492="入金確認済",C492="受領済"))),1,0)</f>
        <v>0</v>
      </c>
      <c r="L492" s="5" t="str">
        <f aca="false">4&amp;"|"&amp;37</f>
        <v>4|37</v>
      </c>
      <c r="M492" s="5" t="n">
        <f aca="false">IF(L492=L491,M491,0)+K492</f>
        <v>0</v>
      </c>
      <c r="N492" s="5" t="n">
        <f aca="false">IF(AND(K492=1,M492=1),1,0)</f>
        <v>0</v>
      </c>
      <c r="O492" s="5" t="str">
        <f aca="false">IF(K492=1,MAX($O$5:O491)+1,"")</f>
        <v/>
      </c>
      <c r="P492" s="5" t="str">
        <f aca="false">IF(K492=1,SUM($N$6:N492),"")</f>
        <v/>
      </c>
      <c r="Q492" s="5" t="str">
        <f aca="false">IF(K492=1,SUMIFS($H$6:$H$511,$L$6:$L$511,L492,$K$6:$K$511,1),"")</f>
        <v/>
      </c>
      <c r="R492" s="103" t="str">
        <f aca="false">IF(B492="","",IF(INDEX(報告入力!$AB$7:$AB$696,B492)="","",INDEX(報告入力!$AB$7:$AB$696,B492)))</f>
        <v/>
      </c>
      <c r="S492" s="5" t="str">
        <f aca="false">設定!$C$55</f>
        <v>子ども・子育て支援納付金：掛金</v>
      </c>
    </row>
    <row r="493" customFormat="false" ht="15" hidden="false" customHeight="false" outlineLevel="0" collapsed="false">
      <c r="A493" s="5" t="str">
        <f aca="false">設定!B97</f>
        <v>職員共済組合</v>
      </c>
      <c r="B493" s="5" t="n">
        <f aca="false">IFERROR(MATCH(ホーム!$C$4&amp;"|"&amp;A493,報告入力!$CM$7:$CM$696,0),"")</f>
        <v>359</v>
      </c>
      <c r="C493" s="5" t="str">
        <f aca="false">IF(B493="","",INDEX(報告入力!$C$7:$C$696,B493))</f>
        <v>未受領</v>
      </c>
      <c r="D493" s="5" t="str">
        <f aca="false">設定!$A$42</f>
        <v>子ども・子育て支援納付金経理</v>
      </c>
      <c r="E493" s="5" t="str">
        <f aca="false">設定!$B$42&amp;""</f>
        <v/>
      </c>
      <c r="F493" s="5" t="str">
        <f aca="false">設定!$D$56&amp;""</f>
        <v/>
      </c>
      <c r="G493" s="5" t="str">
        <f aca="false">設定!$E$56&amp;""</f>
        <v/>
      </c>
      <c r="H493" s="5" t="n">
        <f aca="false">IF(B493="",0,N(INDEX(報告入力!$BI$7:$BI$696,B493)))</f>
        <v>1</v>
      </c>
      <c r="I493" s="5" t="str">
        <f aca="false">設定!$C$42&amp;""</f>
        <v/>
      </c>
      <c r="J493" s="5" t="str">
        <f aca="false">設定!$D$42&amp;""</f>
        <v/>
      </c>
      <c r="K493" s="5" t="n">
        <f aca="false">IF(AND(H493&lt;&gt;0,IF(設定!$B$6="入金確認済のみ",C493="入金確認済",OR(C493="入金確認済",C493="受領済"))),1,0)</f>
        <v>0</v>
      </c>
      <c r="L493" s="5" t="str">
        <f aca="false">4&amp;"|"&amp;37</f>
        <v>4|37</v>
      </c>
      <c r="M493" s="5" t="n">
        <f aca="false">IF(L493=L492,M492,0)+K493</f>
        <v>0</v>
      </c>
      <c r="N493" s="5" t="n">
        <f aca="false">IF(AND(K493=1,M493=1),1,0)</f>
        <v>0</v>
      </c>
      <c r="O493" s="5" t="str">
        <f aca="false">IF(K493=1,MAX($O$5:O492)+1,"")</f>
        <v/>
      </c>
      <c r="P493" s="5" t="str">
        <f aca="false">IF(K493=1,SUM($N$6:N493),"")</f>
        <v/>
      </c>
      <c r="Q493" s="5" t="str">
        <f aca="false">IF(K493=1,SUMIFS($H$6:$H$511,$L$6:$L$511,L493,$K$6:$K$511,1),"")</f>
        <v/>
      </c>
      <c r="R493" s="103" t="str">
        <f aca="false">IF(B493="","",IF(INDEX(報告入力!$AB$7:$AB$696,B493)="","",INDEX(報告入力!$AB$7:$AB$696,B493)))</f>
        <v/>
      </c>
      <c r="S493" s="5" t="str">
        <f aca="false">設定!$C$56</f>
        <v>子ども・子育て支援納付金：負担金</v>
      </c>
    </row>
    <row r="494" customFormat="false" ht="25.35" hidden="false" customHeight="false" outlineLevel="0" collapsed="false">
      <c r="A494" s="104" t="str">
        <f aca="false">設定!B98</f>
        <v>地方公共団体
情報システム機構</v>
      </c>
      <c r="B494" s="5" t="n">
        <f aca="false">IFERROR(MATCH(ホーム!$C$4&amp;"|"&amp;A494,報告入力!$CM$7:$CM$696,0),"")</f>
        <v>360</v>
      </c>
      <c r="C494" s="5" t="str">
        <f aca="false">IF(B494="","",INDEX(報告入力!$C$7:$C$696,B494))</f>
        <v>報告なし</v>
      </c>
      <c r="D494" s="5" t="str">
        <f aca="false">設定!$A$42</f>
        <v>子ども・子育て支援納付金経理</v>
      </c>
      <c r="E494" s="5" t="str">
        <f aca="false">設定!$B$42&amp;""</f>
        <v/>
      </c>
      <c r="F494" s="5" t="str">
        <f aca="false">設定!$D$55&amp;""</f>
        <v/>
      </c>
      <c r="G494" s="5" t="str">
        <f aca="false">設定!$E$55&amp;""</f>
        <v/>
      </c>
      <c r="H494" s="5" t="n">
        <f aca="false">IF(B494="",0,N(INDEX(報告入力!$BH$7:$BH$696,B494)))</f>
        <v>0</v>
      </c>
      <c r="I494" s="5" t="str">
        <f aca="false">設定!$C$42&amp;""</f>
        <v/>
      </c>
      <c r="J494" s="5" t="str">
        <f aca="false">設定!$D$42&amp;""</f>
        <v/>
      </c>
      <c r="K494" s="5" t="n">
        <f aca="false">IF(AND(H494&lt;&gt;0,IF(設定!$B$6="入金確認済のみ",C494="入金確認済",OR(C494="入金確認済",C494="受領済"))),1,0)</f>
        <v>0</v>
      </c>
      <c r="L494" s="5" t="str">
        <f aca="false">4&amp;"|"&amp;38</f>
        <v>4|38</v>
      </c>
      <c r="M494" s="5" t="n">
        <f aca="false">IF(L494=L493,M493,0)+K494</f>
        <v>0</v>
      </c>
      <c r="N494" s="5" t="n">
        <f aca="false">IF(AND(K494=1,M494=1),1,0)</f>
        <v>0</v>
      </c>
      <c r="O494" s="5" t="str">
        <f aca="false">IF(K494=1,MAX($O$5:O493)+1,"")</f>
        <v/>
      </c>
      <c r="P494" s="5" t="str">
        <f aca="false">IF(K494=1,SUM($N$6:N494),"")</f>
        <v/>
      </c>
      <c r="Q494" s="5" t="str">
        <f aca="false">IF(K494=1,SUMIFS($H$6:$H$511,$L$6:$L$511,L494,$K$6:$K$511,1),"")</f>
        <v/>
      </c>
      <c r="R494" s="103" t="str">
        <f aca="false">IF(B494="","",IF(INDEX(報告入力!$AB$7:$AB$696,B494)="","",INDEX(報告入力!$AB$7:$AB$696,B494)))</f>
        <v/>
      </c>
      <c r="S494" s="5" t="str">
        <f aca="false">設定!$C$55</f>
        <v>子ども・子育て支援納付金：掛金</v>
      </c>
    </row>
    <row r="495" customFormat="false" ht="25.35" hidden="false" customHeight="false" outlineLevel="0" collapsed="false">
      <c r="A495" s="104" t="str">
        <f aca="false">設定!B98</f>
        <v>地方公共団体
情報システム機構</v>
      </c>
      <c r="B495" s="5" t="n">
        <f aca="false">IFERROR(MATCH(ホーム!$C$4&amp;"|"&amp;A495,報告入力!$CM$7:$CM$696,0),"")</f>
        <v>360</v>
      </c>
      <c r="C495" s="5" t="str">
        <f aca="false">IF(B495="","",INDEX(報告入力!$C$7:$C$696,B495))</f>
        <v>報告なし</v>
      </c>
      <c r="D495" s="5" t="str">
        <f aca="false">設定!$A$42</f>
        <v>子ども・子育て支援納付金経理</v>
      </c>
      <c r="E495" s="5" t="str">
        <f aca="false">設定!$B$42&amp;""</f>
        <v/>
      </c>
      <c r="F495" s="5" t="str">
        <f aca="false">設定!$D$56&amp;""</f>
        <v/>
      </c>
      <c r="G495" s="5" t="str">
        <f aca="false">設定!$E$56&amp;""</f>
        <v/>
      </c>
      <c r="H495" s="5" t="n">
        <f aca="false">IF(B495="",0,N(INDEX(報告入力!$BI$7:$BI$696,B495)))</f>
        <v>0</v>
      </c>
      <c r="I495" s="5" t="str">
        <f aca="false">設定!$C$42&amp;""</f>
        <v/>
      </c>
      <c r="J495" s="5" t="str">
        <f aca="false">設定!$D$42&amp;""</f>
        <v/>
      </c>
      <c r="K495" s="5" t="n">
        <f aca="false">IF(AND(H495&lt;&gt;0,IF(設定!$B$6="入金確認済のみ",C495="入金確認済",OR(C495="入金確認済",C495="受領済"))),1,0)</f>
        <v>0</v>
      </c>
      <c r="L495" s="5" t="str">
        <f aca="false">4&amp;"|"&amp;38</f>
        <v>4|38</v>
      </c>
      <c r="M495" s="5" t="n">
        <f aca="false">IF(L495=L494,M494,0)+K495</f>
        <v>0</v>
      </c>
      <c r="N495" s="5" t="n">
        <f aca="false">IF(AND(K495=1,M495=1),1,0)</f>
        <v>0</v>
      </c>
      <c r="O495" s="5" t="str">
        <f aca="false">IF(K495=1,MAX($O$5:O494)+1,"")</f>
        <v/>
      </c>
      <c r="P495" s="5" t="str">
        <f aca="false">IF(K495=1,SUM($N$6:N495),"")</f>
        <v/>
      </c>
      <c r="Q495" s="5" t="str">
        <f aca="false">IF(K495=1,SUMIFS($H$6:$H$511,$L$6:$L$511,L495,$K$6:$K$511,1),"")</f>
        <v/>
      </c>
      <c r="R495" s="103" t="str">
        <f aca="false">IF(B495="","",IF(INDEX(報告入力!$AB$7:$AB$696,B495)="","",INDEX(報告入力!$AB$7:$AB$696,B495)))</f>
        <v/>
      </c>
      <c r="S495" s="5" t="str">
        <f aca="false">設定!$C$56</f>
        <v>子ども・子育て支援納付金：負担金</v>
      </c>
    </row>
    <row r="496" customFormat="false" ht="15" hidden="false" customHeight="false" outlineLevel="0" collapsed="false">
      <c r="A496" s="5" t="str">
        <f aca="false">設定!B99</f>
        <v>全国市長会</v>
      </c>
      <c r="B496" s="5" t="n">
        <f aca="false">IFERROR(MATCH(ホーム!$C$4&amp;"|"&amp;A496,報告入力!$CM$7:$CM$696,0),"")</f>
        <v>361</v>
      </c>
      <c r="C496" s="5" t="str">
        <f aca="false">IF(B496="","",INDEX(報告入力!$C$7:$C$696,B496))</f>
        <v>受領済</v>
      </c>
      <c r="D496" s="5" t="str">
        <f aca="false">設定!$A$42</f>
        <v>子ども・子育て支援納付金経理</v>
      </c>
      <c r="E496" s="5" t="str">
        <f aca="false">設定!$B$42&amp;""</f>
        <v/>
      </c>
      <c r="F496" s="5" t="str">
        <f aca="false">設定!$D$55&amp;""</f>
        <v/>
      </c>
      <c r="G496" s="5" t="str">
        <f aca="false">設定!$E$55&amp;""</f>
        <v/>
      </c>
      <c r="H496" s="5" t="n">
        <f aca="false">IF(B496="",0,N(INDEX(報告入力!$BH$7:$BH$696,B496)))</f>
        <v>1920</v>
      </c>
      <c r="I496" s="5" t="str">
        <f aca="false">設定!$C$42&amp;""</f>
        <v/>
      </c>
      <c r="J496" s="5" t="str">
        <f aca="false">設定!$D$42&amp;""</f>
        <v/>
      </c>
      <c r="K496" s="5" t="n">
        <f aca="false">IF(AND(H496&lt;&gt;0,IF(設定!$B$6="入金確認済のみ",C496="入金確認済",OR(C496="入金確認済",C496="受領済"))),1,0)</f>
        <v>0</v>
      </c>
      <c r="L496" s="5" t="str">
        <f aca="false">4&amp;"|"&amp;39</f>
        <v>4|39</v>
      </c>
      <c r="M496" s="5" t="n">
        <f aca="false">IF(L496=L495,M495,0)+K496</f>
        <v>0</v>
      </c>
      <c r="N496" s="5" t="n">
        <f aca="false">IF(AND(K496=1,M496=1),1,0)</f>
        <v>0</v>
      </c>
      <c r="O496" s="5" t="str">
        <f aca="false">IF(K496=1,MAX($O$5:O495)+1,"")</f>
        <v/>
      </c>
      <c r="P496" s="5" t="str">
        <f aca="false">IF(K496=1,SUM($N$6:N496),"")</f>
        <v/>
      </c>
      <c r="Q496" s="5" t="str">
        <f aca="false">IF(K496=1,SUMIFS($H$6:$H$511,$L$6:$L$511,L496,$K$6:$K$511,1),"")</f>
        <v/>
      </c>
      <c r="R496" s="103" t="str">
        <f aca="false">IF(B496="","",IF(INDEX(報告入力!$AB$7:$AB$696,B496)="","",INDEX(報告入力!$AB$7:$AB$696,B496)))</f>
        <v/>
      </c>
      <c r="S496" s="5" t="str">
        <f aca="false">設定!$C$55</f>
        <v>子ども・子育て支援納付金：掛金</v>
      </c>
    </row>
    <row r="497" customFormat="false" ht="15" hidden="false" customHeight="false" outlineLevel="0" collapsed="false">
      <c r="A497" s="5" t="str">
        <f aca="false">設定!B99</f>
        <v>全国市長会</v>
      </c>
      <c r="B497" s="5" t="n">
        <f aca="false">IFERROR(MATCH(ホーム!$C$4&amp;"|"&amp;A497,報告入力!$CM$7:$CM$696,0),"")</f>
        <v>361</v>
      </c>
      <c r="C497" s="5" t="str">
        <f aca="false">IF(B497="","",INDEX(報告入力!$C$7:$C$696,B497))</f>
        <v>受領済</v>
      </c>
      <c r="D497" s="5" t="str">
        <f aca="false">設定!$A$42</f>
        <v>子ども・子育て支援納付金経理</v>
      </c>
      <c r="E497" s="5" t="str">
        <f aca="false">設定!$B$42&amp;""</f>
        <v/>
      </c>
      <c r="F497" s="5" t="str">
        <f aca="false">設定!$D$56&amp;""</f>
        <v/>
      </c>
      <c r="G497" s="5" t="str">
        <f aca="false">設定!$E$56&amp;""</f>
        <v/>
      </c>
      <c r="H497" s="5" t="n">
        <f aca="false">IF(B497="",0,N(INDEX(報告入力!$BI$7:$BI$696,B497)))</f>
        <v>1920</v>
      </c>
      <c r="I497" s="5" t="str">
        <f aca="false">設定!$C$42&amp;""</f>
        <v/>
      </c>
      <c r="J497" s="5" t="str">
        <f aca="false">設定!$D$42&amp;""</f>
        <v/>
      </c>
      <c r="K497" s="5" t="n">
        <f aca="false">IF(AND(H497&lt;&gt;0,IF(設定!$B$6="入金確認済のみ",C497="入金確認済",OR(C497="入金確認済",C497="受領済"))),1,0)</f>
        <v>0</v>
      </c>
      <c r="L497" s="5" t="str">
        <f aca="false">4&amp;"|"&amp;39</f>
        <v>4|39</v>
      </c>
      <c r="M497" s="5" t="n">
        <f aca="false">IF(L497=L496,M496,0)+K497</f>
        <v>0</v>
      </c>
      <c r="N497" s="5" t="n">
        <f aca="false">IF(AND(K497=1,M497=1),1,0)</f>
        <v>0</v>
      </c>
      <c r="O497" s="5" t="str">
        <f aca="false">IF(K497=1,MAX($O$5:O496)+1,"")</f>
        <v/>
      </c>
      <c r="P497" s="5" t="str">
        <f aca="false">IF(K497=1,SUM($N$6:N497),"")</f>
        <v/>
      </c>
      <c r="Q497" s="5" t="str">
        <f aca="false">IF(K497=1,SUMIFS($H$6:$H$511,$L$6:$L$511,L497,$K$6:$K$511,1),"")</f>
        <v/>
      </c>
      <c r="R497" s="103" t="str">
        <f aca="false">IF(B497="","",IF(INDEX(報告入力!$AB$7:$AB$696,B497)="","",INDEX(報告入力!$AB$7:$AB$696,B497)))</f>
        <v/>
      </c>
      <c r="S497" s="5" t="str">
        <f aca="false">設定!$C$56</f>
        <v>子ども・子育て支援納付金：負担金</v>
      </c>
    </row>
    <row r="498" customFormat="false" ht="15" hidden="false" customHeight="false" outlineLevel="0" collapsed="false">
      <c r="A498" s="5" t="str">
        <f aca="false">設定!B100</f>
        <v>高速交通（株）</v>
      </c>
      <c r="B498" s="5" t="n">
        <f aca="false">IFERROR(MATCH(ホーム!$C$4&amp;"|"&amp;A498,報告入力!$CM$7:$CM$696,0),"")</f>
        <v>362</v>
      </c>
      <c r="C498" s="5" t="str">
        <f aca="false">IF(B498="","",INDEX(報告入力!$C$7:$C$696,B498))</f>
        <v>未受領</v>
      </c>
      <c r="D498" s="5" t="str">
        <f aca="false">設定!$A$42</f>
        <v>子ども・子育て支援納付金経理</v>
      </c>
      <c r="E498" s="5" t="str">
        <f aca="false">設定!$B$42&amp;""</f>
        <v/>
      </c>
      <c r="F498" s="5" t="str">
        <f aca="false">設定!$D$55&amp;""</f>
        <v/>
      </c>
      <c r="G498" s="5" t="str">
        <f aca="false">設定!$E$55&amp;""</f>
        <v/>
      </c>
      <c r="H498" s="5" t="n">
        <f aca="false">IF(B498="",0,N(INDEX(報告入力!$BH$7:$BH$696,B498)))</f>
        <v>0</v>
      </c>
      <c r="I498" s="5" t="str">
        <f aca="false">設定!$C$42&amp;""</f>
        <v/>
      </c>
      <c r="J498" s="5" t="str">
        <f aca="false">設定!$D$42&amp;""</f>
        <v/>
      </c>
      <c r="K498" s="5" t="n">
        <f aca="false">IF(AND(H498&lt;&gt;0,IF(設定!$B$6="入金確認済のみ",C498="入金確認済",OR(C498="入金確認済",C498="受領済"))),1,0)</f>
        <v>0</v>
      </c>
      <c r="L498" s="5" t="str">
        <f aca="false">4&amp;"|"&amp;40</f>
        <v>4|40</v>
      </c>
      <c r="M498" s="5" t="n">
        <f aca="false">IF(L498=L497,M497,0)+K498</f>
        <v>0</v>
      </c>
      <c r="N498" s="5" t="n">
        <f aca="false">IF(AND(K498=1,M498=1),1,0)</f>
        <v>0</v>
      </c>
      <c r="O498" s="5" t="str">
        <f aca="false">IF(K498=1,MAX($O$5:O497)+1,"")</f>
        <v/>
      </c>
      <c r="P498" s="5" t="str">
        <f aca="false">IF(K498=1,SUM($N$6:N498),"")</f>
        <v/>
      </c>
      <c r="Q498" s="5" t="str">
        <f aca="false">IF(K498=1,SUMIFS($H$6:$H$511,$L$6:$L$511,L498,$K$6:$K$511,1),"")</f>
        <v/>
      </c>
      <c r="R498" s="103" t="str">
        <f aca="false">IF(B498="","",IF(INDEX(報告入力!$AB$7:$AB$696,B498)="","",INDEX(報告入力!$AB$7:$AB$696,B498)))</f>
        <v/>
      </c>
      <c r="S498" s="5" t="str">
        <f aca="false">設定!$C$55</f>
        <v>子ども・子育て支援納付金：掛金</v>
      </c>
    </row>
    <row r="499" customFormat="false" ht="15" hidden="false" customHeight="false" outlineLevel="0" collapsed="false">
      <c r="A499" s="5" t="str">
        <f aca="false">設定!B100</f>
        <v>高速交通（株）</v>
      </c>
      <c r="B499" s="5" t="n">
        <f aca="false">IFERROR(MATCH(ホーム!$C$4&amp;"|"&amp;A499,報告入力!$CM$7:$CM$696,0),"")</f>
        <v>362</v>
      </c>
      <c r="C499" s="5" t="str">
        <f aca="false">IF(B499="","",INDEX(報告入力!$C$7:$C$696,B499))</f>
        <v>未受領</v>
      </c>
      <c r="D499" s="5" t="str">
        <f aca="false">設定!$A$42</f>
        <v>子ども・子育て支援納付金経理</v>
      </c>
      <c r="E499" s="5" t="str">
        <f aca="false">設定!$B$42&amp;""</f>
        <v/>
      </c>
      <c r="F499" s="5" t="str">
        <f aca="false">設定!$D$56&amp;""</f>
        <v/>
      </c>
      <c r="G499" s="5" t="str">
        <f aca="false">設定!$E$56&amp;""</f>
        <v/>
      </c>
      <c r="H499" s="5" t="n">
        <f aca="false">IF(B499="",0,N(INDEX(報告入力!$BI$7:$BI$696,B499)))</f>
        <v>0</v>
      </c>
      <c r="I499" s="5" t="str">
        <f aca="false">設定!$C$42&amp;""</f>
        <v/>
      </c>
      <c r="J499" s="5" t="str">
        <f aca="false">設定!$D$42&amp;""</f>
        <v/>
      </c>
      <c r="K499" s="5" t="n">
        <f aca="false">IF(AND(H499&lt;&gt;0,IF(設定!$B$6="入金確認済のみ",C499="入金確認済",OR(C499="入金確認済",C499="受領済"))),1,0)</f>
        <v>0</v>
      </c>
      <c r="L499" s="5" t="str">
        <f aca="false">4&amp;"|"&amp;40</f>
        <v>4|40</v>
      </c>
      <c r="M499" s="5" t="n">
        <f aca="false">IF(L499=L498,M498,0)+K499</f>
        <v>0</v>
      </c>
      <c r="N499" s="5" t="n">
        <f aca="false">IF(AND(K499=1,M499=1),1,0)</f>
        <v>0</v>
      </c>
      <c r="O499" s="5" t="str">
        <f aca="false">IF(K499=1,MAX($O$5:O498)+1,"")</f>
        <v/>
      </c>
      <c r="P499" s="5" t="str">
        <f aca="false">IF(K499=1,SUM($N$6:N499),"")</f>
        <v/>
      </c>
      <c r="Q499" s="5" t="str">
        <f aca="false">IF(K499=1,SUMIFS($H$6:$H$511,$L$6:$L$511,L499,$K$6:$K$511,1),"")</f>
        <v/>
      </c>
      <c r="R499" s="103" t="str">
        <f aca="false">IF(B499="","",IF(INDEX(報告入力!$AB$7:$AB$696,B499)="","",INDEX(報告入力!$AB$7:$AB$696,B499)))</f>
        <v/>
      </c>
      <c r="S499" s="5" t="str">
        <f aca="false">設定!$C$56</f>
        <v>子ども・子育て支援納付金：負担金</v>
      </c>
    </row>
    <row r="500" customFormat="false" ht="15" hidden="false" customHeight="false" outlineLevel="0" collapsed="false">
      <c r="A500" s="5" t="str">
        <f aca="false">設定!B101</f>
        <v>広島駅南口開発（株）</v>
      </c>
      <c r="B500" s="5" t="n">
        <f aca="false">IFERROR(MATCH(ホーム!$C$4&amp;"|"&amp;A500,報告入力!$CM$7:$CM$696,0),"")</f>
        <v>363</v>
      </c>
      <c r="C500" s="5" t="str">
        <f aca="false">IF(B500="","",INDEX(報告入力!$C$7:$C$696,B500))</f>
        <v>受領済</v>
      </c>
      <c r="D500" s="5" t="str">
        <f aca="false">設定!$A$42</f>
        <v>子ども・子育て支援納付金経理</v>
      </c>
      <c r="E500" s="5" t="str">
        <f aca="false">設定!$B$42&amp;""</f>
        <v/>
      </c>
      <c r="F500" s="5" t="str">
        <f aca="false">設定!$D$55&amp;""</f>
        <v/>
      </c>
      <c r="G500" s="5" t="str">
        <f aca="false">設定!$E$55&amp;""</f>
        <v/>
      </c>
      <c r="H500" s="5" t="n">
        <f aca="false">IF(B500="",0,N(INDEX(報告入力!$BH$7:$BH$696,B500)))</f>
        <v>0</v>
      </c>
      <c r="I500" s="5" t="str">
        <f aca="false">設定!$C$42&amp;""</f>
        <v/>
      </c>
      <c r="J500" s="5" t="str">
        <f aca="false">設定!$D$42&amp;""</f>
        <v/>
      </c>
      <c r="K500" s="5" t="n">
        <f aca="false">IF(AND(H500&lt;&gt;0,IF(設定!$B$6="入金確認済のみ",C500="入金確認済",OR(C500="入金確認済",C500="受領済"))),1,0)</f>
        <v>0</v>
      </c>
      <c r="L500" s="5" t="str">
        <f aca="false">4&amp;"|"&amp;41</f>
        <v>4|41</v>
      </c>
      <c r="M500" s="5" t="n">
        <f aca="false">IF(L500=L499,M499,0)+K500</f>
        <v>0</v>
      </c>
      <c r="N500" s="5" t="n">
        <f aca="false">IF(AND(K500=1,M500=1),1,0)</f>
        <v>0</v>
      </c>
      <c r="O500" s="5" t="str">
        <f aca="false">IF(K500=1,MAX($O$5:O499)+1,"")</f>
        <v/>
      </c>
      <c r="P500" s="5" t="str">
        <f aca="false">IF(K500=1,SUM($N$6:N500),"")</f>
        <v/>
      </c>
      <c r="Q500" s="5" t="str">
        <f aca="false">IF(K500=1,SUMIFS($H$6:$H$511,$L$6:$L$511,L500,$K$6:$K$511,1),"")</f>
        <v/>
      </c>
      <c r="R500" s="103" t="str">
        <f aca="false">IF(B500="","",IF(INDEX(報告入力!$AB$7:$AB$696,B500)="","",INDEX(報告入力!$AB$7:$AB$696,B500)))</f>
        <v/>
      </c>
      <c r="S500" s="5" t="str">
        <f aca="false">設定!$C$55</f>
        <v>子ども・子育て支援納付金：掛金</v>
      </c>
    </row>
    <row r="501" customFormat="false" ht="15" hidden="false" customHeight="false" outlineLevel="0" collapsed="false">
      <c r="A501" s="5" t="str">
        <f aca="false">設定!B101</f>
        <v>広島駅南口開発（株）</v>
      </c>
      <c r="B501" s="5" t="n">
        <f aca="false">IFERROR(MATCH(ホーム!$C$4&amp;"|"&amp;A501,報告入力!$CM$7:$CM$696,0),"")</f>
        <v>363</v>
      </c>
      <c r="C501" s="5" t="str">
        <f aca="false">IF(B501="","",INDEX(報告入力!$C$7:$C$696,B501))</f>
        <v>受領済</v>
      </c>
      <c r="D501" s="5" t="str">
        <f aca="false">設定!$A$42</f>
        <v>子ども・子育て支援納付金経理</v>
      </c>
      <c r="E501" s="5" t="str">
        <f aca="false">設定!$B$42&amp;""</f>
        <v/>
      </c>
      <c r="F501" s="5" t="str">
        <f aca="false">設定!$D$56&amp;""</f>
        <v/>
      </c>
      <c r="G501" s="5" t="str">
        <f aca="false">設定!$E$56&amp;""</f>
        <v/>
      </c>
      <c r="H501" s="5" t="n">
        <f aca="false">IF(B501="",0,N(INDEX(報告入力!$BI$7:$BI$696,B501)))</f>
        <v>0</v>
      </c>
      <c r="I501" s="5" t="str">
        <f aca="false">設定!$C$42&amp;""</f>
        <v/>
      </c>
      <c r="J501" s="5" t="str">
        <f aca="false">設定!$D$42&amp;""</f>
        <v/>
      </c>
      <c r="K501" s="5" t="n">
        <f aca="false">IF(AND(H501&lt;&gt;0,IF(設定!$B$6="入金確認済のみ",C501="入金確認済",OR(C501="入金確認済",C501="受領済"))),1,0)</f>
        <v>0</v>
      </c>
      <c r="L501" s="5" t="str">
        <f aca="false">4&amp;"|"&amp;41</f>
        <v>4|41</v>
      </c>
      <c r="M501" s="5" t="n">
        <f aca="false">IF(L501=L500,M500,0)+K501</f>
        <v>0</v>
      </c>
      <c r="N501" s="5" t="n">
        <f aca="false">IF(AND(K501=1,M501=1),1,0)</f>
        <v>0</v>
      </c>
      <c r="O501" s="5" t="str">
        <f aca="false">IF(K501=1,MAX($O$5:O500)+1,"")</f>
        <v/>
      </c>
      <c r="P501" s="5" t="str">
        <f aca="false">IF(K501=1,SUM($N$6:N501),"")</f>
        <v/>
      </c>
      <c r="Q501" s="5" t="str">
        <f aca="false">IF(K501=1,SUMIFS($H$6:$H$511,$L$6:$L$511,L501,$K$6:$K$511,1),"")</f>
        <v/>
      </c>
      <c r="R501" s="103" t="str">
        <f aca="false">IF(B501="","",IF(INDEX(報告入力!$AB$7:$AB$696,B501)="","",INDEX(報告入力!$AB$7:$AB$696,B501)))</f>
        <v/>
      </c>
      <c r="S501" s="5" t="str">
        <f aca="false">設定!$C$56</f>
        <v>子ども・子育て支援納付金：負担金</v>
      </c>
    </row>
    <row r="502" customFormat="false" ht="15" hidden="false" customHeight="false" outlineLevel="0" collapsed="false">
      <c r="A502" s="5" t="str">
        <f aca="false">設定!B102</f>
        <v>市職員労働組合</v>
      </c>
      <c r="B502" s="5" t="n">
        <f aca="false">IFERROR(MATCH(ホーム!$C$4&amp;"|"&amp;A502,報告入力!$CM$7:$CM$696,0),"")</f>
        <v>364</v>
      </c>
      <c r="C502" s="5" t="str">
        <f aca="false">IF(B502="","",INDEX(報告入力!$C$7:$C$696,B502))</f>
        <v>未受領</v>
      </c>
      <c r="D502" s="5" t="str">
        <f aca="false">設定!$A$42</f>
        <v>子ども・子育て支援納付金経理</v>
      </c>
      <c r="E502" s="5" t="str">
        <f aca="false">設定!$B$42&amp;""</f>
        <v/>
      </c>
      <c r="F502" s="5" t="str">
        <f aca="false">設定!$D$55&amp;""</f>
        <v/>
      </c>
      <c r="G502" s="5" t="str">
        <f aca="false">設定!$E$55&amp;""</f>
        <v/>
      </c>
      <c r="H502" s="5" t="n">
        <f aca="false">IF(B502="",0,N(INDEX(報告入力!$BH$7:$BH$696,B502)))</f>
        <v>1</v>
      </c>
      <c r="I502" s="5" t="str">
        <f aca="false">設定!$C$42&amp;""</f>
        <v/>
      </c>
      <c r="J502" s="5" t="str">
        <f aca="false">設定!$D$42&amp;""</f>
        <v/>
      </c>
      <c r="K502" s="5" t="n">
        <f aca="false">IF(AND(H502&lt;&gt;0,IF(設定!$B$6="入金確認済のみ",C502="入金確認済",OR(C502="入金確認済",C502="受領済"))),1,0)</f>
        <v>0</v>
      </c>
      <c r="L502" s="5" t="str">
        <f aca="false">4&amp;"|"&amp;42</f>
        <v>4|42</v>
      </c>
      <c r="M502" s="5" t="n">
        <f aca="false">IF(L502=L501,M501,0)+K502</f>
        <v>0</v>
      </c>
      <c r="N502" s="5" t="n">
        <f aca="false">IF(AND(K502=1,M502=1),1,0)</f>
        <v>0</v>
      </c>
      <c r="O502" s="5" t="str">
        <f aca="false">IF(K502=1,MAX($O$5:O501)+1,"")</f>
        <v/>
      </c>
      <c r="P502" s="5" t="str">
        <f aca="false">IF(K502=1,SUM($N$6:N502),"")</f>
        <v/>
      </c>
      <c r="Q502" s="5" t="str">
        <f aca="false">IF(K502=1,SUMIFS($H$6:$H$511,$L$6:$L$511,L502,$K$6:$K$511,1),"")</f>
        <v/>
      </c>
      <c r="R502" s="103" t="str">
        <f aca="false">IF(B502="","",IF(INDEX(報告入力!$AB$7:$AB$696,B502)="","",INDEX(報告入力!$AB$7:$AB$696,B502)))</f>
        <v/>
      </c>
      <c r="S502" s="5" t="str">
        <f aca="false">設定!$C$55</f>
        <v>子ども・子育て支援納付金：掛金</v>
      </c>
    </row>
    <row r="503" customFormat="false" ht="15" hidden="false" customHeight="false" outlineLevel="0" collapsed="false">
      <c r="A503" s="5" t="str">
        <f aca="false">設定!B102</f>
        <v>市職員労働組合</v>
      </c>
      <c r="B503" s="5" t="n">
        <f aca="false">IFERROR(MATCH(ホーム!$C$4&amp;"|"&amp;A503,報告入力!$CM$7:$CM$696,0),"")</f>
        <v>364</v>
      </c>
      <c r="C503" s="5" t="str">
        <f aca="false">IF(B503="","",INDEX(報告入力!$C$7:$C$696,B503))</f>
        <v>未受領</v>
      </c>
      <c r="D503" s="5" t="str">
        <f aca="false">設定!$A$42</f>
        <v>子ども・子育て支援納付金経理</v>
      </c>
      <c r="E503" s="5" t="str">
        <f aca="false">設定!$B$42&amp;""</f>
        <v/>
      </c>
      <c r="F503" s="5" t="str">
        <f aca="false">設定!$D$56&amp;""</f>
        <v/>
      </c>
      <c r="G503" s="5" t="str">
        <f aca="false">設定!$E$56&amp;""</f>
        <v/>
      </c>
      <c r="H503" s="5" t="n">
        <f aca="false">IF(B503="",0,N(INDEX(報告入力!$BI$7:$BI$696,B503)))</f>
        <v>1</v>
      </c>
      <c r="I503" s="5" t="str">
        <f aca="false">設定!$C$42&amp;""</f>
        <v/>
      </c>
      <c r="J503" s="5" t="str">
        <f aca="false">設定!$D$42&amp;""</f>
        <v/>
      </c>
      <c r="K503" s="5" t="n">
        <f aca="false">IF(AND(H503&lt;&gt;0,IF(設定!$B$6="入金確認済のみ",C503="入金確認済",OR(C503="入金確認済",C503="受領済"))),1,0)</f>
        <v>0</v>
      </c>
      <c r="L503" s="5" t="str">
        <f aca="false">4&amp;"|"&amp;42</f>
        <v>4|42</v>
      </c>
      <c r="M503" s="5" t="n">
        <f aca="false">IF(L503=L502,M502,0)+K503</f>
        <v>0</v>
      </c>
      <c r="N503" s="5" t="n">
        <f aca="false">IF(AND(K503=1,M503=1),1,0)</f>
        <v>0</v>
      </c>
      <c r="O503" s="5" t="str">
        <f aca="false">IF(K503=1,MAX($O$5:O502)+1,"")</f>
        <v/>
      </c>
      <c r="P503" s="5" t="str">
        <f aca="false">IF(K503=1,SUM($N$6:N503),"")</f>
        <v/>
      </c>
      <c r="Q503" s="5" t="str">
        <f aca="false">IF(K503=1,SUMIFS($H$6:$H$511,$L$6:$L$511,L503,$K$6:$K$511,1),"")</f>
        <v/>
      </c>
      <c r="R503" s="103" t="str">
        <f aca="false">IF(B503="","",IF(INDEX(報告入力!$AB$7:$AB$696,B503)="","",INDEX(報告入力!$AB$7:$AB$696,B503)))</f>
        <v/>
      </c>
      <c r="S503" s="5" t="str">
        <f aca="false">設定!$C$56</f>
        <v>子ども・子育て支援納付金：負担金</v>
      </c>
    </row>
    <row r="504" customFormat="false" ht="15" hidden="false" customHeight="false" outlineLevel="0" collapsed="false">
      <c r="A504" s="5" t="str">
        <f aca="false">設定!B103</f>
        <v>自治労労働組合</v>
      </c>
      <c r="B504" s="5" t="n">
        <f aca="false">IFERROR(MATCH(ホーム!$C$4&amp;"|"&amp;A504,報告入力!$CM$7:$CM$696,0),"")</f>
        <v>365</v>
      </c>
      <c r="C504" s="5" t="str">
        <f aca="false">IF(B504="","",INDEX(報告入力!$C$7:$C$696,B504))</f>
        <v>未受領</v>
      </c>
      <c r="D504" s="5" t="str">
        <f aca="false">設定!$A$42</f>
        <v>子ども・子育て支援納付金経理</v>
      </c>
      <c r="E504" s="5" t="str">
        <f aca="false">設定!$B$42&amp;""</f>
        <v/>
      </c>
      <c r="F504" s="5" t="str">
        <f aca="false">設定!$D$55&amp;""</f>
        <v/>
      </c>
      <c r="G504" s="5" t="str">
        <f aca="false">設定!$E$55&amp;""</f>
        <v/>
      </c>
      <c r="H504" s="5" t="n">
        <f aca="false">IF(B504="",0,N(INDEX(報告入力!$BH$7:$BH$696,B504)))</f>
        <v>0</v>
      </c>
      <c r="I504" s="5" t="str">
        <f aca="false">設定!$C$42&amp;""</f>
        <v/>
      </c>
      <c r="J504" s="5" t="str">
        <f aca="false">設定!$D$42&amp;""</f>
        <v/>
      </c>
      <c r="K504" s="5" t="n">
        <f aca="false">IF(AND(H504&lt;&gt;0,IF(設定!$B$6="入金確認済のみ",C504="入金確認済",OR(C504="入金確認済",C504="受領済"))),1,0)</f>
        <v>0</v>
      </c>
      <c r="L504" s="5" t="str">
        <f aca="false">4&amp;"|"&amp;43</f>
        <v>4|43</v>
      </c>
      <c r="M504" s="5" t="n">
        <f aca="false">IF(L504=L503,M503,0)+K504</f>
        <v>0</v>
      </c>
      <c r="N504" s="5" t="n">
        <f aca="false">IF(AND(K504=1,M504=1),1,0)</f>
        <v>0</v>
      </c>
      <c r="O504" s="5" t="str">
        <f aca="false">IF(K504=1,MAX($O$5:O503)+1,"")</f>
        <v/>
      </c>
      <c r="P504" s="5" t="str">
        <f aca="false">IF(K504=1,SUM($N$6:N504),"")</f>
        <v/>
      </c>
      <c r="Q504" s="5" t="str">
        <f aca="false">IF(K504=1,SUMIFS($H$6:$H$511,$L$6:$L$511,L504,$K$6:$K$511,1),"")</f>
        <v/>
      </c>
      <c r="R504" s="103" t="str">
        <f aca="false">IF(B504="","",IF(INDEX(報告入力!$AB$7:$AB$696,B504)="","",INDEX(報告入力!$AB$7:$AB$696,B504)))</f>
        <v/>
      </c>
      <c r="S504" s="5" t="str">
        <f aca="false">設定!$C$55</f>
        <v>子ども・子育て支援納付金：掛金</v>
      </c>
    </row>
    <row r="505" customFormat="false" ht="15" hidden="false" customHeight="false" outlineLevel="0" collapsed="false">
      <c r="A505" s="5" t="str">
        <f aca="false">設定!B103</f>
        <v>自治労労働組合</v>
      </c>
      <c r="B505" s="5" t="n">
        <f aca="false">IFERROR(MATCH(ホーム!$C$4&amp;"|"&amp;A505,報告入力!$CM$7:$CM$696,0),"")</f>
        <v>365</v>
      </c>
      <c r="C505" s="5" t="str">
        <f aca="false">IF(B505="","",INDEX(報告入力!$C$7:$C$696,B505))</f>
        <v>未受領</v>
      </c>
      <c r="D505" s="5" t="str">
        <f aca="false">設定!$A$42</f>
        <v>子ども・子育て支援納付金経理</v>
      </c>
      <c r="E505" s="5" t="str">
        <f aca="false">設定!$B$42&amp;""</f>
        <v/>
      </c>
      <c r="F505" s="5" t="str">
        <f aca="false">設定!$D$56&amp;""</f>
        <v/>
      </c>
      <c r="G505" s="5" t="str">
        <f aca="false">設定!$E$56&amp;""</f>
        <v/>
      </c>
      <c r="H505" s="5" t="n">
        <f aca="false">IF(B505="",0,N(INDEX(報告入力!$BI$7:$BI$696,B505)))</f>
        <v>0</v>
      </c>
      <c r="I505" s="5" t="str">
        <f aca="false">設定!$C$42&amp;""</f>
        <v/>
      </c>
      <c r="J505" s="5" t="str">
        <f aca="false">設定!$D$42&amp;""</f>
        <v/>
      </c>
      <c r="K505" s="5" t="n">
        <f aca="false">IF(AND(H505&lt;&gt;0,IF(設定!$B$6="入金確認済のみ",C505="入金確認済",OR(C505="入金確認済",C505="受領済"))),1,0)</f>
        <v>0</v>
      </c>
      <c r="L505" s="5" t="str">
        <f aca="false">4&amp;"|"&amp;43</f>
        <v>4|43</v>
      </c>
      <c r="M505" s="5" t="n">
        <f aca="false">IF(L505=L504,M504,0)+K505</f>
        <v>0</v>
      </c>
      <c r="N505" s="5" t="n">
        <f aca="false">IF(AND(K505=1,M505=1),1,0)</f>
        <v>0</v>
      </c>
      <c r="O505" s="5" t="str">
        <f aca="false">IF(K505=1,MAX($O$5:O504)+1,"")</f>
        <v/>
      </c>
      <c r="P505" s="5" t="str">
        <f aca="false">IF(K505=1,SUM($N$6:N505),"")</f>
        <v/>
      </c>
      <c r="Q505" s="5" t="str">
        <f aca="false">IF(K505=1,SUMIFS($H$6:$H$511,$L$6:$L$511,L505,$K$6:$K$511,1),"")</f>
        <v/>
      </c>
      <c r="R505" s="103" t="str">
        <f aca="false">IF(B505="","",IF(INDEX(報告入力!$AB$7:$AB$696,B505)="","",INDEX(報告入力!$AB$7:$AB$696,B505)))</f>
        <v/>
      </c>
      <c r="S505" s="5" t="str">
        <f aca="false">設定!$C$56</f>
        <v>子ども・子育て支援納付金：負担金</v>
      </c>
    </row>
    <row r="506" customFormat="false" ht="15" hidden="false" customHeight="false" outlineLevel="0" collapsed="false">
      <c r="A506" s="5" t="str">
        <f aca="false">設定!B104</f>
        <v>病院労働組合</v>
      </c>
      <c r="B506" s="5" t="n">
        <f aca="false">IFERROR(MATCH(ホーム!$C$4&amp;"|"&amp;A506,報告入力!$CM$7:$CM$696,0),"")</f>
        <v>366</v>
      </c>
      <c r="C506" s="5" t="str">
        <f aca="false">IF(B506="","",INDEX(報告入力!$C$7:$C$696,B506))</f>
        <v>受領済</v>
      </c>
      <c r="D506" s="5" t="str">
        <f aca="false">設定!$A$42</f>
        <v>子ども・子育て支援納付金経理</v>
      </c>
      <c r="E506" s="5" t="str">
        <f aca="false">設定!$B$42&amp;""</f>
        <v/>
      </c>
      <c r="F506" s="5" t="str">
        <f aca="false">設定!$D$55&amp;""</f>
        <v/>
      </c>
      <c r="G506" s="5" t="str">
        <f aca="false">設定!$E$55&amp;""</f>
        <v/>
      </c>
      <c r="H506" s="5" t="n">
        <f aca="false">IF(B506="",0,N(INDEX(報告入力!$BH$7:$BH$696,B506)))</f>
        <v>713</v>
      </c>
      <c r="I506" s="5" t="str">
        <f aca="false">設定!$C$42&amp;""</f>
        <v/>
      </c>
      <c r="J506" s="5" t="str">
        <f aca="false">設定!$D$42&amp;""</f>
        <v/>
      </c>
      <c r="K506" s="5" t="n">
        <f aca="false">IF(AND(H506&lt;&gt;0,IF(設定!$B$6="入金確認済のみ",C506="入金確認済",OR(C506="入金確認済",C506="受領済"))),1,0)</f>
        <v>0</v>
      </c>
      <c r="L506" s="5" t="str">
        <f aca="false">4&amp;"|"&amp;44</f>
        <v>4|44</v>
      </c>
      <c r="M506" s="5" t="n">
        <f aca="false">IF(L506=L505,M505,0)+K506</f>
        <v>0</v>
      </c>
      <c r="N506" s="5" t="n">
        <f aca="false">IF(AND(K506=1,M506=1),1,0)</f>
        <v>0</v>
      </c>
      <c r="O506" s="5" t="str">
        <f aca="false">IF(K506=1,MAX($O$5:O505)+1,"")</f>
        <v/>
      </c>
      <c r="P506" s="5" t="str">
        <f aca="false">IF(K506=1,SUM($N$6:N506),"")</f>
        <v/>
      </c>
      <c r="Q506" s="5" t="str">
        <f aca="false">IF(K506=1,SUMIFS($H$6:$H$511,$L$6:$L$511,L506,$K$6:$K$511,1),"")</f>
        <v/>
      </c>
      <c r="R506" s="103" t="str">
        <f aca="false">IF(B506="","",IF(INDEX(報告入力!$AB$7:$AB$696,B506)="","",INDEX(報告入力!$AB$7:$AB$696,B506)))</f>
        <v/>
      </c>
      <c r="S506" s="5" t="str">
        <f aca="false">設定!$C$55</f>
        <v>子ども・子育て支援納付金：掛金</v>
      </c>
    </row>
    <row r="507" customFormat="false" ht="15" hidden="false" customHeight="false" outlineLevel="0" collapsed="false">
      <c r="A507" s="5" t="str">
        <f aca="false">設定!B104</f>
        <v>病院労働組合</v>
      </c>
      <c r="B507" s="5" t="n">
        <f aca="false">IFERROR(MATCH(ホーム!$C$4&amp;"|"&amp;A507,報告入力!$CM$7:$CM$696,0),"")</f>
        <v>366</v>
      </c>
      <c r="C507" s="5" t="str">
        <f aca="false">IF(B507="","",INDEX(報告入力!$C$7:$C$696,B507))</f>
        <v>受領済</v>
      </c>
      <c r="D507" s="5" t="str">
        <f aca="false">設定!$A$42</f>
        <v>子ども・子育て支援納付金経理</v>
      </c>
      <c r="E507" s="5" t="str">
        <f aca="false">設定!$B$42&amp;""</f>
        <v/>
      </c>
      <c r="F507" s="5" t="str">
        <f aca="false">設定!$D$56&amp;""</f>
        <v/>
      </c>
      <c r="G507" s="5" t="str">
        <f aca="false">設定!$E$56&amp;""</f>
        <v/>
      </c>
      <c r="H507" s="5" t="n">
        <f aca="false">IF(B507="",0,N(INDEX(報告入力!$BI$7:$BI$696,B507)))</f>
        <v>713</v>
      </c>
      <c r="I507" s="5" t="str">
        <f aca="false">設定!$C$42&amp;""</f>
        <v/>
      </c>
      <c r="J507" s="5" t="str">
        <f aca="false">設定!$D$42&amp;""</f>
        <v/>
      </c>
      <c r="K507" s="5" t="n">
        <f aca="false">IF(AND(H507&lt;&gt;0,IF(設定!$B$6="入金確認済のみ",C507="入金確認済",OR(C507="入金確認済",C507="受領済"))),1,0)</f>
        <v>0</v>
      </c>
      <c r="L507" s="5" t="str">
        <f aca="false">4&amp;"|"&amp;44</f>
        <v>4|44</v>
      </c>
      <c r="M507" s="5" t="n">
        <f aca="false">IF(L507=L506,M506,0)+K507</f>
        <v>0</v>
      </c>
      <c r="N507" s="5" t="n">
        <f aca="false">IF(AND(K507=1,M507=1),1,0)</f>
        <v>0</v>
      </c>
      <c r="O507" s="5" t="str">
        <f aca="false">IF(K507=1,MAX($O$5:O506)+1,"")</f>
        <v/>
      </c>
      <c r="P507" s="5" t="str">
        <f aca="false">IF(K507=1,SUM($N$6:N507),"")</f>
        <v/>
      </c>
      <c r="Q507" s="5" t="str">
        <f aca="false">IF(K507=1,SUMIFS($H$6:$H$511,$L$6:$L$511,L507,$K$6:$K$511,1),"")</f>
        <v/>
      </c>
      <c r="R507" s="103" t="str">
        <f aca="false">IF(B507="","",IF(INDEX(報告入力!$AB$7:$AB$696,B507)="","",INDEX(報告入力!$AB$7:$AB$696,B507)))</f>
        <v/>
      </c>
      <c r="S507" s="5" t="str">
        <f aca="false">設定!$C$56</f>
        <v>子ども・子育て支援納付金：負担金</v>
      </c>
    </row>
    <row r="508" customFormat="false" ht="15" hidden="false" customHeight="false" outlineLevel="0" collapsed="false">
      <c r="A508" s="5" t="str">
        <f aca="false">設定!B105</f>
        <v>水道労働組合</v>
      </c>
      <c r="B508" s="5" t="n">
        <f aca="false">IFERROR(MATCH(ホーム!$C$4&amp;"|"&amp;A508,報告入力!$CM$7:$CM$696,0),"")</f>
        <v>367</v>
      </c>
      <c r="C508" s="5" t="str">
        <f aca="false">IF(B508="","",INDEX(報告入力!$C$7:$C$696,B508))</f>
        <v>報告なし</v>
      </c>
      <c r="D508" s="5" t="str">
        <f aca="false">設定!$A$42</f>
        <v>子ども・子育て支援納付金経理</v>
      </c>
      <c r="E508" s="5" t="str">
        <f aca="false">設定!$B$42&amp;""</f>
        <v/>
      </c>
      <c r="F508" s="5" t="str">
        <f aca="false">設定!$D$55&amp;""</f>
        <v/>
      </c>
      <c r="G508" s="5" t="str">
        <f aca="false">設定!$E$55&amp;""</f>
        <v/>
      </c>
      <c r="H508" s="5" t="n">
        <f aca="false">IF(B508="",0,N(INDEX(報告入力!$BH$7:$BH$696,B508)))</f>
        <v>0</v>
      </c>
      <c r="I508" s="5" t="str">
        <f aca="false">設定!$C$42&amp;""</f>
        <v/>
      </c>
      <c r="J508" s="5" t="str">
        <f aca="false">設定!$D$42&amp;""</f>
        <v/>
      </c>
      <c r="K508" s="5" t="n">
        <f aca="false">IF(AND(H508&lt;&gt;0,IF(設定!$B$6="入金確認済のみ",C508="入金確認済",OR(C508="入金確認済",C508="受領済"))),1,0)</f>
        <v>0</v>
      </c>
      <c r="L508" s="5" t="str">
        <f aca="false">4&amp;"|"&amp;45</f>
        <v>4|45</v>
      </c>
      <c r="M508" s="5" t="n">
        <f aca="false">IF(L508=L507,M507,0)+K508</f>
        <v>0</v>
      </c>
      <c r="N508" s="5" t="n">
        <f aca="false">IF(AND(K508=1,M508=1),1,0)</f>
        <v>0</v>
      </c>
      <c r="O508" s="5" t="str">
        <f aca="false">IF(K508=1,MAX($O$5:O507)+1,"")</f>
        <v/>
      </c>
      <c r="P508" s="5" t="str">
        <f aca="false">IF(K508=1,SUM($N$6:N508),"")</f>
        <v/>
      </c>
      <c r="Q508" s="5" t="str">
        <f aca="false">IF(K508=1,SUMIFS($H$6:$H$511,$L$6:$L$511,L508,$K$6:$K$511,1),"")</f>
        <v/>
      </c>
      <c r="R508" s="103" t="str">
        <f aca="false">IF(B508="","",IF(INDEX(報告入力!$AB$7:$AB$696,B508)="","",INDEX(報告入力!$AB$7:$AB$696,B508)))</f>
        <v/>
      </c>
      <c r="S508" s="5" t="str">
        <f aca="false">設定!$C$55</f>
        <v>子ども・子育て支援納付金：掛金</v>
      </c>
    </row>
    <row r="509" customFormat="false" ht="15" hidden="false" customHeight="false" outlineLevel="0" collapsed="false">
      <c r="A509" s="5" t="str">
        <f aca="false">設定!B105</f>
        <v>水道労働組合</v>
      </c>
      <c r="B509" s="5" t="n">
        <f aca="false">IFERROR(MATCH(ホーム!$C$4&amp;"|"&amp;A509,報告入力!$CM$7:$CM$696,0),"")</f>
        <v>367</v>
      </c>
      <c r="C509" s="5" t="str">
        <f aca="false">IF(B509="","",INDEX(報告入力!$C$7:$C$696,B509))</f>
        <v>報告なし</v>
      </c>
      <c r="D509" s="5" t="str">
        <f aca="false">設定!$A$42</f>
        <v>子ども・子育て支援納付金経理</v>
      </c>
      <c r="E509" s="5" t="str">
        <f aca="false">設定!$B$42&amp;""</f>
        <v/>
      </c>
      <c r="F509" s="5" t="str">
        <f aca="false">設定!$D$56&amp;""</f>
        <v/>
      </c>
      <c r="G509" s="5" t="str">
        <f aca="false">設定!$E$56&amp;""</f>
        <v/>
      </c>
      <c r="H509" s="5" t="n">
        <f aca="false">IF(B509="",0,N(INDEX(報告入力!$BI$7:$BI$696,B509)))</f>
        <v>0</v>
      </c>
      <c r="I509" s="5" t="str">
        <f aca="false">設定!$C$42&amp;""</f>
        <v/>
      </c>
      <c r="J509" s="5" t="str">
        <f aca="false">設定!$D$42&amp;""</f>
        <v/>
      </c>
      <c r="K509" s="5" t="n">
        <f aca="false">IF(AND(H509&lt;&gt;0,IF(設定!$B$6="入金確認済のみ",C509="入金確認済",OR(C509="入金確認済",C509="受領済"))),1,0)</f>
        <v>0</v>
      </c>
      <c r="L509" s="5" t="str">
        <f aca="false">4&amp;"|"&amp;45</f>
        <v>4|45</v>
      </c>
      <c r="M509" s="5" t="n">
        <f aca="false">IF(L509=L508,M508,0)+K509</f>
        <v>0</v>
      </c>
      <c r="N509" s="5" t="n">
        <f aca="false">IF(AND(K509=1,M509=1),1,0)</f>
        <v>0</v>
      </c>
      <c r="O509" s="5" t="str">
        <f aca="false">IF(K509=1,MAX($O$5:O508)+1,"")</f>
        <v/>
      </c>
      <c r="P509" s="5" t="str">
        <f aca="false">IF(K509=1,SUM($N$6:N509),"")</f>
        <v/>
      </c>
      <c r="Q509" s="5" t="str">
        <f aca="false">IF(K509=1,SUMIFS($H$6:$H$511,$L$6:$L$511,L509,$K$6:$K$511,1),"")</f>
        <v/>
      </c>
      <c r="R509" s="103" t="str">
        <f aca="false">IF(B509="","",IF(INDEX(報告入力!$AB$7:$AB$696,B509)="","",INDEX(報告入力!$AB$7:$AB$696,B509)))</f>
        <v/>
      </c>
      <c r="S509" s="5" t="str">
        <f aca="false">設定!$C$56</f>
        <v>子ども・子育て支援納付金：負担金</v>
      </c>
    </row>
    <row r="510" customFormat="false" ht="15" hidden="false" customHeight="false" outlineLevel="0" collapsed="false">
      <c r="A510" s="5" t="str">
        <f aca="false">設定!B106</f>
        <v>任意継続組合員</v>
      </c>
      <c r="B510" s="5" t="n">
        <f aca="false">IFERROR(MATCH(ホーム!$C$4&amp;"|"&amp;A510,報告入力!$CM$7:$CM$696,0),"")</f>
        <v>368</v>
      </c>
      <c r="C510" s="5" t="str">
        <f aca="false">IF(B510="","",INDEX(報告入力!$C$7:$C$696,B510))</f>
        <v>未受領</v>
      </c>
      <c r="D510" s="5" t="str">
        <f aca="false">設定!$A$42</f>
        <v>子ども・子育て支援納付金経理</v>
      </c>
      <c r="E510" s="5" t="str">
        <f aca="false">設定!$B$42&amp;""</f>
        <v/>
      </c>
      <c r="F510" s="5" t="str">
        <f aca="false">設定!$D$55&amp;""</f>
        <v/>
      </c>
      <c r="G510" s="5" t="str">
        <f aca="false">設定!$E$55&amp;""</f>
        <v/>
      </c>
      <c r="H510" s="5" t="n">
        <f aca="false">IF(B510="",0,N(INDEX(報告入力!$BH$7:$BH$696,B510)))</f>
        <v>1</v>
      </c>
      <c r="I510" s="5" t="str">
        <f aca="false">設定!$C$42&amp;""</f>
        <v/>
      </c>
      <c r="J510" s="5" t="str">
        <f aca="false">設定!$D$42&amp;""</f>
        <v/>
      </c>
      <c r="K510" s="5" t="n">
        <f aca="false">IF(AND(H510&lt;&gt;0,IF(設定!$B$6="入金確認済のみ",C510="入金確認済",OR(C510="入金確認済",C510="受領済"))),1,0)</f>
        <v>0</v>
      </c>
      <c r="L510" s="5" t="str">
        <f aca="false">4&amp;"|"&amp;46</f>
        <v>4|46</v>
      </c>
      <c r="M510" s="5" t="n">
        <f aca="false">IF(L510=L509,M509,0)+K510</f>
        <v>0</v>
      </c>
      <c r="N510" s="5" t="n">
        <f aca="false">IF(AND(K510=1,M510=1),1,0)</f>
        <v>0</v>
      </c>
      <c r="O510" s="5" t="str">
        <f aca="false">IF(K510=1,MAX($O$5:O509)+1,"")</f>
        <v/>
      </c>
      <c r="P510" s="5" t="str">
        <f aca="false">IF(K510=1,SUM($N$6:N510),"")</f>
        <v/>
      </c>
      <c r="Q510" s="5" t="str">
        <f aca="false">IF(K510=1,SUMIFS($H$6:$H$511,$L$6:$L$511,L510,$K$6:$K$511,1),"")</f>
        <v/>
      </c>
      <c r="R510" s="103" t="str">
        <f aca="false">IF(B510="","",IF(INDEX(報告入力!$AB$7:$AB$696,B510)="","",INDEX(報告入力!$AB$7:$AB$696,B510)))</f>
        <v/>
      </c>
      <c r="S510" s="5" t="str">
        <f aca="false">設定!$C$55</f>
        <v>子ども・子育て支援納付金：掛金</v>
      </c>
    </row>
    <row r="511" customFormat="false" ht="15" hidden="false" customHeight="false" outlineLevel="0" collapsed="false">
      <c r="A511" s="5" t="str">
        <f aca="false">設定!B106</f>
        <v>任意継続組合員</v>
      </c>
      <c r="B511" s="5" t="n">
        <f aca="false">IFERROR(MATCH(ホーム!$C$4&amp;"|"&amp;A511,報告入力!$CM$7:$CM$696,0),"")</f>
        <v>368</v>
      </c>
      <c r="C511" s="5" t="str">
        <f aca="false">IF(B511="","",INDEX(報告入力!$C$7:$C$696,B511))</f>
        <v>未受領</v>
      </c>
      <c r="D511" s="5" t="str">
        <f aca="false">設定!$A$42</f>
        <v>子ども・子育て支援納付金経理</v>
      </c>
      <c r="E511" s="5" t="str">
        <f aca="false">設定!$B$42&amp;""</f>
        <v/>
      </c>
      <c r="F511" s="5" t="str">
        <f aca="false">設定!$D$56&amp;""</f>
        <v/>
      </c>
      <c r="G511" s="5" t="str">
        <f aca="false">設定!$E$56&amp;""</f>
        <v/>
      </c>
      <c r="H511" s="5" t="n">
        <f aca="false">IF(B511="",0,N(INDEX(報告入力!$BI$7:$BI$696,B511)))</f>
        <v>0</v>
      </c>
      <c r="I511" s="5" t="str">
        <f aca="false">設定!$C$42&amp;""</f>
        <v/>
      </c>
      <c r="J511" s="5" t="str">
        <f aca="false">設定!$D$42&amp;""</f>
        <v/>
      </c>
      <c r="K511" s="5" t="n">
        <f aca="false">IF(AND(H511&lt;&gt;0,IF(設定!$B$6="入金確認済のみ",C511="入金確認済",OR(C511="入金確認済",C511="受領済"))),1,0)</f>
        <v>0</v>
      </c>
      <c r="L511" s="5" t="str">
        <f aca="false">4&amp;"|"&amp;46</f>
        <v>4|46</v>
      </c>
      <c r="M511" s="5" t="n">
        <f aca="false">IF(L511=L510,M510,0)+K511</f>
        <v>0</v>
      </c>
      <c r="N511" s="5" t="n">
        <f aca="false">IF(AND(K511=1,M511=1),1,0)</f>
        <v>0</v>
      </c>
      <c r="O511" s="5" t="str">
        <f aca="false">IF(K511=1,MAX($O$5:O510)+1,"")</f>
        <v/>
      </c>
      <c r="P511" s="5" t="str">
        <f aca="false">IF(K511=1,SUM($N$6:N511),"")</f>
        <v/>
      </c>
      <c r="Q511" s="5" t="str">
        <f aca="false">IF(K511=1,SUMIFS($H$6:$H$511,$L$6:$L$511,L511,$K$6:$K$511,1),"")</f>
        <v/>
      </c>
      <c r="R511" s="103" t="str">
        <f aca="false">IF(B511="","",IF(INDEX(報告入力!$AB$7:$AB$696,B511)="","",INDEX(報告入力!$AB$7:$AB$696,B511)))</f>
        <v/>
      </c>
      <c r="S511" s="5" t="str">
        <f aca="false">設定!$C$56</f>
        <v>子ども・子育て支援納付金：負担金</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S1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9140625" defaultRowHeight="17.25" zeroHeight="false" outlineLevelRow="0" outlineLevelCol="0"/>
  <cols>
    <col collapsed="false" customWidth="true" hidden="false" outlineLevel="0" max="1" min="1" style="105" width="17.19"/>
    <col collapsed="false" customWidth="true" hidden="false" outlineLevel="0" max="6" min="2" style="105" width="12.99"/>
    <col collapsed="false" customWidth="true" hidden="false" outlineLevel="0" max="7" min="7" style="106" width="14.29"/>
    <col collapsed="false" customWidth="true" hidden="false" outlineLevel="0" max="16" min="8" style="105" width="20.69"/>
    <col collapsed="false" customWidth="false" hidden="false" outlineLevel="0" max="17" min="17" style="105" width="10.69"/>
    <col collapsed="false" customWidth="true" hidden="true" outlineLevel="0" max="19" min="18" style="105" width="12"/>
    <col collapsed="false" customWidth="false" hidden="false" outlineLevel="0" max="257" min="20" style="105" width="10.69"/>
  </cols>
  <sheetData>
    <row r="1" s="108" customFormat="true" ht="18.75" hidden="false" customHeight="true" outlineLevel="0" collapsed="false">
      <c r="A1" s="107"/>
      <c r="G1" s="109"/>
    </row>
    <row r="2" s="113" customFormat="true" ht="30" hidden="false" customHeight="true" outlineLevel="0" collapsed="false">
      <c r="A2" s="110" t="s">
        <v>481</v>
      </c>
      <c r="B2" s="111" t="n">
        <v>46113</v>
      </c>
      <c r="C2" s="111"/>
      <c r="D2" s="111"/>
      <c r="E2" s="111"/>
      <c r="F2" s="111"/>
      <c r="G2" s="111"/>
      <c r="H2" s="112" t="n">
        <f aca="false">B2</f>
        <v>46113</v>
      </c>
      <c r="I2" s="112"/>
      <c r="J2" s="112"/>
      <c r="K2" s="112" t="n">
        <f aca="false">B2</f>
        <v>46113</v>
      </c>
      <c r="L2" s="112"/>
      <c r="M2" s="112"/>
      <c r="N2" s="112" t="n">
        <f aca="false">B2</f>
        <v>46113</v>
      </c>
      <c r="O2" s="112"/>
      <c r="P2" s="112"/>
      <c r="S2" s="113" t="s">
        <v>482</v>
      </c>
    </row>
    <row r="3" customFormat="false" ht="22.5" hidden="false" customHeight="true" outlineLevel="0" collapsed="false">
      <c r="A3" s="114" t="s">
        <v>483</v>
      </c>
      <c r="B3" s="114" t="s">
        <v>484</v>
      </c>
      <c r="C3" s="114"/>
      <c r="D3" s="114"/>
      <c r="E3" s="114"/>
      <c r="F3" s="114"/>
      <c r="G3" s="114"/>
      <c r="H3" s="115" t="s">
        <v>485</v>
      </c>
      <c r="I3" s="115"/>
      <c r="J3" s="115"/>
      <c r="K3" s="116" t="s">
        <v>486</v>
      </c>
      <c r="L3" s="116"/>
      <c r="M3" s="116"/>
      <c r="N3" s="116" t="s">
        <v>401</v>
      </c>
      <c r="O3" s="116"/>
      <c r="P3" s="116"/>
    </row>
    <row r="4" customFormat="false" ht="22.5" hidden="false" customHeight="true" outlineLevel="0" collapsed="false">
      <c r="A4" s="114"/>
      <c r="B4" s="117" t="s">
        <v>487</v>
      </c>
      <c r="C4" s="117"/>
      <c r="D4" s="117" t="s">
        <v>488</v>
      </c>
      <c r="E4" s="117"/>
      <c r="F4" s="117"/>
      <c r="G4" s="117" t="s">
        <v>489</v>
      </c>
      <c r="H4" s="118" t="s">
        <v>490</v>
      </c>
      <c r="I4" s="119" t="s">
        <v>491</v>
      </c>
      <c r="J4" s="120" t="s">
        <v>489</v>
      </c>
      <c r="K4" s="121" t="s">
        <v>490</v>
      </c>
      <c r="L4" s="119" t="s">
        <v>491</v>
      </c>
      <c r="M4" s="120" t="s">
        <v>489</v>
      </c>
      <c r="N4" s="121" t="s">
        <v>490</v>
      </c>
      <c r="O4" s="119" t="s">
        <v>491</v>
      </c>
      <c r="P4" s="120" t="s">
        <v>489</v>
      </c>
    </row>
    <row r="5" customFormat="false" ht="22.5" hidden="false" customHeight="true" outlineLevel="0" collapsed="false">
      <c r="A5" s="114"/>
      <c r="B5" s="122" t="s">
        <v>492</v>
      </c>
      <c r="C5" s="123" t="s">
        <v>493</v>
      </c>
      <c r="D5" s="124" t="s">
        <v>492</v>
      </c>
      <c r="E5" s="124" t="s">
        <v>494</v>
      </c>
      <c r="F5" s="123" t="s">
        <v>93</v>
      </c>
      <c r="G5" s="117"/>
      <c r="H5" s="118"/>
      <c r="I5" s="119"/>
      <c r="J5" s="120"/>
      <c r="K5" s="121"/>
      <c r="L5" s="119"/>
      <c r="M5" s="120"/>
      <c r="N5" s="121"/>
      <c r="O5" s="119"/>
      <c r="P5" s="120"/>
    </row>
    <row r="6" s="135" customFormat="true" ht="20.1" hidden="false" customHeight="true" outlineLevel="0" collapsed="false">
      <c r="A6" s="125" t="s">
        <v>166</v>
      </c>
      <c r="B6" s="126" t="n">
        <f aca="false">SUMIFS(報告入力!$AY$7:$AY$696,報告入力!$A$7:$A$696,$S$2,報告入力!$B$7:$B$696,$A6)</f>
        <v>237888288</v>
      </c>
      <c r="C6" s="127" t="n">
        <f aca="false">SUMIFS(報告入力!$AZ$7:$AZ$696,報告入力!$A$7:$A$696,$S$2,報告入力!$B$7:$B$696,$A6)</f>
        <v>19545382</v>
      </c>
      <c r="D6" s="128" t="n">
        <f aca="false">SUMIFS(報告入力!$BA$7:$BA$696,報告入力!$A$7:$A$696,$S$2,報告入力!$B$7:$B$696,$A6)</f>
        <v>340368825</v>
      </c>
      <c r="E6" s="128" t="n">
        <f aca="false">SUMIFS(報告入力!$BB$7:$BB$696,報告入力!$A$7:$A$696,$S$2,報告入力!$B$7:$B$696,$A6)</f>
        <v>18931427</v>
      </c>
      <c r="F6" s="129" t="n">
        <f aca="false">SUMIFS(報告入力!$BC$7:$BC$696,報告入力!$A$7:$A$696,$S$2,報告入力!$B$7:$B$696,$A6)</f>
        <v>229767</v>
      </c>
      <c r="G6" s="130" t="n">
        <f aca="false">SUM(B6:F6)</f>
        <v>616963689</v>
      </c>
      <c r="H6" s="131" t="n">
        <f aca="false">SUMIFS(報告入力!$BD$7:$BD$696,報告入力!$A$7:$A$696,$S$2,報告入力!$B$7:$B$696,$A6)</f>
        <v>172293834</v>
      </c>
      <c r="I6" s="132" t="n">
        <f aca="false">SUMIFS(報告入力!$BE$7:$BE$696,報告入力!$A$7:$A$696,$S$2,報告入力!$B$7:$B$696,$A6)</f>
        <v>170938710</v>
      </c>
      <c r="J6" s="133" t="n">
        <f aca="false">SUM(H6:I6)</f>
        <v>343232544</v>
      </c>
      <c r="K6" s="134" t="n">
        <f aca="false">SUMIFS(報告入力!$BF$7:$BF$696,報告入力!$A$7:$A$696,$S$2,報告入力!$B$7:$B$696,$A6)</f>
        <v>15691597</v>
      </c>
      <c r="L6" s="132" t="n">
        <f aca="false">SUMIFS(報告入力!$BG$7:$BG$696,報告入力!$A$7:$A$696,$S$2,報告入力!$B$7:$B$696,$A6)</f>
        <v>15239233</v>
      </c>
      <c r="M6" s="133" t="n">
        <f aca="false">SUM(K6:L6)</f>
        <v>30930830</v>
      </c>
      <c r="N6" s="134" t="n">
        <f aca="false">SUMIFS(報告入力!$BH$7:$BH$696,報告入力!$A$7:$A$696,$S$2,報告入力!$B$7:$B$696,$A6)</f>
        <v>3806352</v>
      </c>
      <c r="O6" s="132" t="n">
        <f aca="false">SUMIFS(報告入力!$BI$7:$BI$696,報告入力!$A$7:$A$696,$S$2,報告入力!$B$7:$B$696,$A6)</f>
        <v>3733563</v>
      </c>
      <c r="P6" s="133" t="n">
        <f aca="false">SUM(N6:O6)</f>
        <v>7539915</v>
      </c>
      <c r="R6" s="135" t="str">
        <f aca="false">IFERROR(INDEX(報告入力!$C$7:$C$696,MATCH($S$2&amp;"|"&amp;$A6,報告入力!$CM$7:$CM$696,0)),"")</f>
        <v>入金確認済</v>
      </c>
    </row>
    <row r="7" s="135" customFormat="true" ht="20.1" hidden="false" customHeight="true" outlineLevel="0" collapsed="false">
      <c r="A7" s="125" t="s">
        <v>169</v>
      </c>
      <c r="B7" s="136" t="n">
        <f aca="false">SUMIFS(報告入力!$AY$7:$AY$696,報告入力!$A$7:$A$696,$S$2,報告入力!$B$7:$B$696,$A7)</f>
        <v>16501383</v>
      </c>
      <c r="C7" s="137" t="n">
        <f aca="false">SUMIFS(報告入力!$AZ$7:$AZ$696,報告入力!$A$7:$A$696,$S$2,報告入力!$B$7:$B$696,$A7)</f>
        <v>1352571</v>
      </c>
      <c r="D7" s="128" t="n">
        <f aca="false">SUMIFS(報告入力!$BA$7:$BA$696,報告入力!$A$7:$A$696,$S$2,報告入力!$B$7:$B$696,$A7)</f>
        <v>23660244</v>
      </c>
      <c r="E7" s="128" t="n">
        <f aca="false">SUMIFS(報告入力!$BB$7:$BB$696,報告入力!$A$7:$A$696,$S$2,報告入力!$B$7:$B$696,$A7)</f>
        <v>1344682</v>
      </c>
      <c r="F7" s="138" t="n">
        <f aca="false">SUMIFS(報告入力!$BC$7:$BC$696,報告入力!$A$7:$A$696,$S$2,報告入力!$B$7:$B$696,$A7)</f>
        <v>15795</v>
      </c>
      <c r="G7" s="133" t="n">
        <f aca="false">SUM(B7:F7)</f>
        <v>42874675</v>
      </c>
      <c r="H7" s="139" t="n">
        <f aca="false">SUMIFS(報告入力!$BD$7:$BD$696,報告入力!$A$7:$A$696,$S$2,報告入力!$B$7:$B$696,$A7)</f>
        <v>9654896</v>
      </c>
      <c r="I7" s="140" t="n">
        <f aca="false">SUMIFS(報告入力!$BE$7:$BE$696,報告入力!$A$7:$A$696,$S$2,報告入力!$B$7:$B$696,$A7)</f>
        <v>9790061</v>
      </c>
      <c r="J7" s="141" t="n">
        <f aca="false">SUM(H7:I7)</f>
        <v>19444957</v>
      </c>
      <c r="K7" s="142" t="n">
        <f aca="false">SUMIFS(報告入力!$BF$7:$BF$696,報告入力!$A$7:$A$696,$S$2,報告入力!$B$7:$B$696,$A7)</f>
        <v>1025788</v>
      </c>
      <c r="L7" s="143" t="n">
        <f aca="false">SUMIFS(報告入力!$BG$7:$BG$696,報告入力!$A$7:$A$696,$S$2,報告入力!$B$7:$B$696,$A7)</f>
        <v>1025788</v>
      </c>
      <c r="M7" s="141" t="n">
        <f aca="false">SUM(K7:L7)</f>
        <v>2051576</v>
      </c>
      <c r="N7" s="142" t="n">
        <f aca="false">SUMIFS(報告入力!$BH$7:$BH$696,報告入力!$A$7:$A$696,$S$2,報告入力!$B$7:$B$696,$A7)</f>
        <v>214057</v>
      </c>
      <c r="O7" s="143" t="n">
        <f aca="false">SUMIFS(報告入力!$BI$7:$BI$696,報告入力!$A$7:$A$696,$S$2,報告入力!$B$7:$B$696,$A7)</f>
        <v>214129</v>
      </c>
      <c r="P7" s="141" t="n">
        <f aca="false">SUM(N7:O7)</f>
        <v>428186</v>
      </c>
      <c r="R7" s="135" t="str">
        <f aca="false">IFERROR(INDEX(報告入力!$C$7:$C$696,MATCH($S$2&amp;"|"&amp;$A7,報告入力!$CM$7:$CM$696,0)),"")</f>
        <v>入金確認済</v>
      </c>
    </row>
    <row r="8" s="135" customFormat="true" ht="20.1" hidden="false" customHeight="true" outlineLevel="0" collapsed="false">
      <c r="A8" s="125" t="s">
        <v>170</v>
      </c>
      <c r="B8" s="136" t="n">
        <f aca="false">SUMIFS(報告入力!$AY$7:$AY$696,報告入力!$A$7:$A$696,$S$2,報告入力!$B$7:$B$696,$A8)</f>
        <v>55191060</v>
      </c>
      <c r="C8" s="137" t="n">
        <f aca="false">SUMIFS(報告入力!$AZ$7:$AZ$696,報告入力!$A$7:$A$696,$S$2,報告入力!$B$7:$B$696,$A8)</f>
        <v>4523856</v>
      </c>
      <c r="D8" s="128" t="n">
        <f aca="false">SUMIFS(報告入力!$BA$7:$BA$696,報告入力!$A$7:$A$696,$S$2,報告入力!$B$7:$B$696,$A8)</f>
        <v>79301786</v>
      </c>
      <c r="E8" s="128" t="n">
        <f aca="false">SUMIFS(報告入力!$BB$7:$BB$696,報告入力!$A$7:$A$696,$S$2,報告入力!$B$7:$B$696,$A8)</f>
        <v>4501510</v>
      </c>
      <c r="F8" s="138" t="n">
        <f aca="false">SUMIFS(報告入力!$BC$7:$BC$696,報告入力!$A$7:$A$696,$S$2,報告入力!$B$7:$B$696,$A8)</f>
        <v>52817</v>
      </c>
      <c r="G8" s="133" t="n">
        <f aca="false">SUM(B8:F8)</f>
        <v>143571029</v>
      </c>
      <c r="H8" s="143" t="n">
        <f aca="false">SUMIFS(報告入力!$BD$7:$BD$696,報告入力!$A$7:$A$696,$S$2,報告入力!$B$7:$B$696,$A8)</f>
        <v>31993182</v>
      </c>
      <c r="I8" s="139" t="n">
        <f aca="false">SUMIFS(報告入力!$BE$7:$BE$696,報告入力!$A$7:$A$696,$S$2,報告入力!$B$7:$B$696,$A8)</f>
        <v>32380013</v>
      </c>
      <c r="J8" s="141" t="n">
        <f aca="false">SUM(H8:I8)</f>
        <v>64373195</v>
      </c>
      <c r="K8" s="142" t="n">
        <f aca="false">SUMIFS(報告入力!$BF$7:$BF$696,報告入力!$A$7:$A$696,$S$2,報告入力!$B$7:$B$696,$A8)</f>
        <v>2034923</v>
      </c>
      <c r="L8" s="139" t="n">
        <f aca="false">SUMIFS(報告入力!$BG$7:$BG$696,報告入力!$A$7:$A$696,$S$2,報告入力!$B$7:$B$696,$A8)</f>
        <v>2021968</v>
      </c>
      <c r="M8" s="141" t="n">
        <f aca="false">SUM(K8:L8)</f>
        <v>4056891</v>
      </c>
      <c r="N8" s="142" t="n">
        <f aca="false">SUMIFS(報告入力!$BH$7:$BH$696,報告入力!$A$7:$A$696,$S$2,報告入力!$B$7:$B$696,$A8)</f>
        <v>709341</v>
      </c>
      <c r="O8" s="139" t="n">
        <f aca="false">SUMIFS(報告入力!$BI$7:$BI$696,報告入力!$A$7:$A$696,$S$2,報告入力!$B$7:$B$696,$A8)</f>
        <v>707179</v>
      </c>
      <c r="P8" s="141" t="n">
        <f aca="false">SUM(N8:O8)</f>
        <v>1416520</v>
      </c>
      <c r="R8" s="135" t="str">
        <f aca="false">IFERROR(INDEX(報告入力!$C$7:$C$696,MATCH($S$2&amp;"|"&amp;$A8,報告入力!$CM$7:$CM$696,0)),"")</f>
        <v>入金確認済</v>
      </c>
    </row>
    <row r="9" s="135" customFormat="true" ht="20.1" hidden="false" customHeight="true" outlineLevel="0" collapsed="false">
      <c r="A9" s="125" t="s">
        <v>171</v>
      </c>
      <c r="B9" s="136" t="n">
        <f aca="false">SUMIFS(報告入力!$AY$7:$AY$696,報告入力!$A$7:$A$696,$S$2,報告入力!$B$7:$B$696,$A9)</f>
        <v>1810785</v>
      </c>
      <c r="C9" s="137" t="n">
        <f aca="false">SUMIFS(報告入力!$AZ$7:$AZ$696,報告入力!$A$7:$A$696,$S$2,報告入力!$B$7:$B$696,$A9)</f>
        <v>148425</v>
      </c>
      <c r="D9" s="128" t="n">
        <f aca="false">SUMIFS(報告入力!$BA$7:$BA$696,報告入力!$A$7:$A$696,$S$2,報告入力!$B$7:$B$696,$A9)</f>
        <v>2609982</v>
      </c>
      <c r="E9" s="128" t="n">
        <f aca="false">SUMIFS(報告入力!$BB$7:$BB$696,報告入力!$A$7:$A$696,$S$2,報告入力!$B$7:$B$696,$A9)</f>
        <v>148425</v>
      </c>
      <c r="F9" s="138" t="n">
        <f aca="false">SUMIFS(報告入力!$BC$7:$BC$696,報告入力!$A$7:$A$696,$S$2,報告入力!$B$7:$B$696,$A9)</f>
        <v>1740</v>
      </c>
      <c r="G9" s="133" t="n">
        <f aca="false">SUM(B9:F9)</f>
        <v>4719357</v>
      </c>
      <c r="H9" s="128" t="n">
        <f aca="false">SUMIFS(報告入力!$BD$7:$BD$696,報告入力!$A$7:$A$696,$S$2,報告入力!$B$7:$B$696,$A9)</f>
        <v>1059618</v>
      </c>
      <c r="I9" s="139" t="n">
        <f aca="false">SUMIFS(報告入力!$BE$7:$BE$696,報告入力!$A$7:$A$696,$S$2,報告入力!$B$7:$B$696,$A9)</f>
        <v>1069678</v>
      </c>
      <c r="J9" s="141" t="n">
        <f aca="false">SUM(H9:I9)</f>
        <v>2129296</v>
      </c>
      <c r="K9" s="136" t="n">
        <f aca="false">SUMIFS(報告入力!$BF$7:$BF$696,報告入力!$A$7:$A$696,$S$2,報告入力!$B$7:$B$696,$A9)</f>
        <v>103520</v>
      </c>
      <c r="L9" s="139" t="n">
        <f aca="false">SUMIFS(報告入力!$BG$7:$BG$696,報告入力!$A$7:$A$696,$S$2,報告入力!$B$7:$B$696,$A9)</f>
        <v>102399</v>
      </c>
      <c r="M9" s="141" t="n">
        <f aca="false">SUM(K9:L9)</f>
        <v>205919</v>
      </c>
      <c r="N9" s="136" t="n">
        <f aca="false">SUMIFS(報告入力!$BH$7:$BH$696,報告入力!$A$7:$A$696,$S$2,報告入力!$B$7:$B$696,$A9)</f>
        <v>23316</v>
      </c>
      <c r="O9" s="139" t="n">
        <f aca="false">SUMIFS(報告入力!$BI$7:$BI$696,報告入力!$A$7:$A$696,$S$2,報告入力!$B$7:$B$696,$A9)</f>
        <v>23324</v>
      </c>
      <c r="P9" s="141" t="n">
        <f aca="false">SUM(N9:O9)</f>
        <v>46640</v>
      </c>
      <c r="R9" s="135" t="str">
        <f aca="false">IFERROR(INDEX(報告入力!$C$7:$C$696,MATCH($S$2&amp;"|"&amp;$A9,報告入力!$CM$7:$CM$696,0)),"")</f>
        <v>入金確認済</v>
      </c>
    </row>
    <row r="10" s="135" customFormat="true" ht="18.75" hidden="false" customHeight="true" outlineLevel="0" collapsed="false">
      <c r="A10" s="125" t="s">
        <v>172</v>
      </c>
      <c r="B10" s="136" t="n">
        <f aca="false">SUMIFS(報告入力!$AY$7:$AY$696,報告入力!$A$7:$A$696,$S$2,報告入力!$B$7:$B$696,$A10)</f>
        <v>23624294</v>
      </c>
      <c r="C10" s="137" t="n">
        <f aca="false">SUMIFS(報告入力!$AZ$7:$AZ$696,報告入力!$A$7:$A$696,$S$2,報告入力!$B$7:$B$696,$A10)</f>
        <v>1936418</v>
      </c>
      <c r="D10" s="128" t="n">
        <f aca="false">SUMIFS(報告入力!$BA$7:$BA$696,報告入力!$A$7:$A$696,$S$2,報告入力!$B$7:$B$696,$A10)</f>
        <v>33978096</v>
      </c>
      <c r="E10" s="128" t="n">
        <f aca="false">SUMIFS(報告入力!$BB$7:$BB$696,報告入力!$A$7:$A$696,$S$2,報告入力!$B$7:$B$696,$A10)</f>
        <v>1934423</v>
      </c>
      <c r="F10" s="138" t="n">
        <f aca="false">SUMIFS(報告入力!$BC$7:$BC$696,報告入力!$A$7:$A$696,$S$2,報告入力!$B$7:$B$696,$A10)</f>
        <v>22597</v>
      </c>
      <c r="G10" s="133" t="n">
        <f aca="false">SUM(B10:F10)</f>
        <v>61495828</v>
      </c>
      <c r="H10" s="128" t="n">
        <f aca="false">SUMIFS(報告入力!$BD$7:$BD$696,報告入力!$A$7:$A$696,$S$2,報告入力!$B$7:$B$696,$A10)</f>
        <v>23056933</v>
      </c>
      <c r="I10" s="139" t="n">
        <f aca="false">SUMIFS(報告入力!$BE$7:$BE$696,報告入力!$A$7:$A$696,$S$2,報告入力!$B$7:$B$696,$A10)</f>
        <v>23380527</v>
      </c>
      <c r="J10" s="141" t="n">
        <f aca="false">SUM(H10:I10)</f>
        <v>46437460</v>
      </c>
      <c r="K10" s="136" t="n">
        <f aca="false">SUMIFS(報告入力!$BF$7:$BF$696,報告入力!$A$7:$A$696,$S$2,報告入力!$B$7:$B$696,$A10)</f>
        <v>2704450</v>
      </c>
      <c r="L10" s="139" t="n">
        <f aca="false">SUMIFS(報告入力!$BG$7:$BG$696,報告入力!$A$7:$A$696,$S$2,報告入力!$B$7:$B$696,$A10)</f>
        <v>2700114</v>
      </c>
      <c r="M10" s="141" t="n">
        <f aca="false">SUM(K10:L10)</f>
        <v>5404564</v>
      </c>
      <c r="N10" s="136" t="n">
        <f aca="false">SUMIFS(報告入力!$BH$7:$BH$696,報告入力!$A$7:$A$696,$S$2,報告入力!$B$7:$B$696,$A10)</f>
        <v>510014</v>
      </c>
      <c r="O10" s="139" t="n">
        <f aca="false">SUMIFS(報告入力!$BI$7:$BI$696,報告入力!$A$7:$A$696,$S$2,報告入力!$B$7:$B$696,$A10)</f>
        <v>511951</v>
      </c>
      <c r="P10" s="141" t="n">
        <f aca="false">SUM(N10:O10)</f>
        <v>1021965</v>
      </c>
      <c r="R10" s="135" t="str">
        <f aca="false">IFERROR(INDEX(報告入力!$C$7:$C$696,MATCH($S$2&amp;"|"&amp;$A10,報告入力!$CM$7:$CM$696,0)),"")</f>
        <v>入金確認済</v>
      </c>
    </row>
    <row r="11" s="135" customFormat="true" ht="20.1" hidden="false" customHeight="true" outlineLevel="0" collapsed="false">
      <c r="A11" s="125" t="s">
        <v>173</v>
      </c>
      <c r="B11" s="136" t="n">
        <f aca="false">SUMIFS(報告入力!$AY$7:$AY$696,報告入力!$A$7:$A$696,$S$2,報告入力!$B$7:$B$696,$A11)</f>
        <v>326655</v>
      </c>
      <c r="C11" s="137" t="n">
        <f aca="false">SUMIFS(報告入力!$AZ$7:$AZ$696,報告入力!$A$7:$A$696,$S$2,報告入力!$B$7:$B$696,$A11)</f>
        <v>26775</v>
      </c>
      <c r="D11" s="128" t="n">
        <f aca="false">SUMIFS(報告入力!$BA$7:$BA$696,報告入力!$A$7:$A$696,$S$2,報告入力!$B$7:$B$696,$A11)</f>
        <v>469098</v>
      </c>
      <c r="E11" s="128" t="n">
        <f aca="false">SUMIFS(報告入力!$BB$7:$BB$696,報告入力!$A$7:$A$696,$S$2,報告入力!$B$7:$B$696,$A11)</f>
        <v>26775</v>
      </c>
      <c r="F11" s="138" t="n">
        <f aca="false">SUMIFS(報告入力!$BC$7:$BC$696,報告入力!$A$7:$A$696,$S$2,報告入力!$B$7:$B$696,$A11)</f>
        <v>310</v>
      </c>
      <c r="G11" s="133" t="n">
        <f aca="false">SUM(B11:F11)</f>
        <v>849613</v>
      </c>
      <c r="H11" s="139" t="n">
        <f aca="false">SUMIFS(報告入力!$BD$7:$BD$696,報告入力!$A$7:$A$696,$S$2,報告入力!$B$7:$B$696,$A11)</f>
        <v>205363</v>
      </c>
      <c r="I11" s="140" t="n">
        <f aca="false">SUMIFS(報告入力!$BE$7:$BE$696,報告入力!$A$7:$A$696,$S$2,報告入力!$B$7:$B$696,$A11)</f>
        <v>208810</v>
      </c>
      <c r="J11" s="141" t="n">
        <f aca="false">SUM(H11:I11)</f>
        <v>414173</v>
      </c>
      <c r="K11" s="136" t="n">
        <f aca="false">SUMIFS(報告入力!$BF$7:$BF$696,報告入力!$A$7:$A$696,$S$2,報告入力!$B$7:$B$696,$A11)</f>
        <v>15800</v>
      </c>
      <c r="L11" s="139" t="n">
        <f aca="false">SUMIFS(報告入力!$BG$7:$BG$696,報告入力!$A$7:$A$696,$S$2,報告入力!$B$7:$B$696,$A11)</f>
        <v>15800</v>
      </c>
      <c r="M11" s="141" t="n">
        <f aca="false">SUM(K11:L11)</f>
        <v>31600</v>
      </c>
      <c r="N11" s="136" t="n">
        <f aca="false">SUMIFS(報告入力!$BH$7:$BH$696,報告入力!$A$7:$A$696,$S$2,報告入力!$B$7:$B$696,$A11)</f>
        <v>4552</v>
      </c>
      <c r="O11" s="139" t="n">
        <f aca="false">SUMIFS(報告入力!$BI$7:$BI$696,報告入力!$A$7:$A$696,$S$2,報告入力!$B$7:$B$696,$A11)</f>
        <v>4553</v>
      </c>
      <c r="P11" s="141" t="n">
        <f aca="false">SUM(N11:O11)</f>
        <v>9105</v>
      </c>
      <c r="R11" s="135" t="str">
        <f aca="false">IFERROR(INDEX(報告入力!$C$7:$C$696,MATCH($S$2&amp;"|"&amp;$A11,報告入力!$CM$7:$CM$696,0)),"")</f>
        <v>入金確認済</v>
      </c>
    </row>
    <row r="12" s="135" customFormat="true" ht="20.1" hidden="false" customHeight="true" outlineLevel="0" collapsed="false">
      <c r="A12" s="125" t="s">
        <v>174</v>
      </c>
      <c r="B12" s="136" t="n">
        <f aca="false">SUMIFS(報告入力!$AY$7:$AY$696,報告入力!$A$7:$A$696,$S$2,報告入力!$B$7:$B$696,$A12)</f>
        <v>597495</v>
      </c>
      <c r="C12" s="137" t="n">
        <f aca="false">SUMIFS(報告入力!$AZ$7:$AZ$696,報告入力!$A$7:$A$696,$S$2,報告入力!$B$7:$B$696,$A12)</f>
        <v>48975</v>
      </c>
      <c r="D12" s="128" t="n">
        <f aca="false">SUMIFS(報告入力!$BA$7:$BA$696,報告入力!$A$7:$A$696,$S$2,報告入力!$B$7:$B$696,$A12)</f>
        <v>858042</v>
      </c>
      <c r="E12" s="128" t="n">
        <f aca="false">SUMIFS(報告入力!$BB$7:$BB$696,報告入力!$A$7:$A$696,$S$2,報告入力!$B$7:$B$696,$A12)</f>
        <v>48975</v>
      </c>
      <c r="F12" s="138" t="n">
        <f aca="false">SUMIFS(報告入力!$BC$7:$BC$696,報告入力!$A$7:$A$696,$S$2,報告入力!$B$7:$B$696,$A12)</f>
        <v>567</v>
      </c>
      <c r="G12" s="144" t="n">
        <f aca="false">SUM(B12:F12)</f>
        <v>1554054</v>
      </c>
      <c r="H12" s="139" t="n">
        <f aca="false">SUMIFS(報告入力!$BD$7:$BD$696,報告入力!$A$7:$A$696,$S$2,報告入力!$B$7:$B$696,$A12)</f>
        <v>343825</v>
      </c>
      <c r="I12" s="140" t="n">
        <f aca="false">SUMIFS(報告入力!$BE$7:$BE$696,報告入力!$A$7:$A$696,$S$2,報告入力!$B$7:$B$696,$A12)</f>
        <v>349599</v>
      </c>
      <c r="J12" s="141" t="n">
        <f aca="false">SUM(H12:I12)</f>
        <v>693424</v>
      </c>
      <c r="K12" s="134" t="n">
        <f aca="false">SUMIFS(報告入力!$BF$7:$BF$696,報告入力!$A$7:$A$696,$S$2,報告入力!$B$7:$B$696,$A12)</f>
        <v>28282</v>
      </c>
      <c r="L12" s="140" t="n">
        <f aca="false">SUMIFS(報告入力!$BG$7:$BG$696,報告入力!$A$7:$A$696,$S$2,報告入力!$B$7:$B$696,$A12)</f>
        <v>28282</v>
      </c>
      <c r="M12" s="141" t="n">
        <f aca="false">SUM(K12:L12)</f>
        <v>56564</v>
      </c>
      <c r="N12" s="134" t="n">
        <f aca="false">SUMIFS(報告入力!$BH$7:$BH$696,報告入力!$A$7:$A$696,$S$2,報告入力!$B$7:$B$696,$A12)</f>
        <v>7621</v>
      </c>
      <c r="O12" s="140" t="n">
        <f aca="false">SUMIFS(報告入力!$BI$7:$BI$696,報告入力!$A$7:$A$696,$S$2,報告入力!$B$7:$B$696,$A12)</f>
        <v>7624</v>
      </c>
      <c r="P12" s="141" t="n">
        <f aca="false">SUM(N12:O12)</f>
        <v>15245</v>
      </c>
      <c r="R12" s="135" t="str">
        <f aca="false">IFERROR(INDEX(報告入力!$C$7:$C$696,MATCH($S$2&amp;"|"&amp;$A12,報告入力!$CM$7:$CM$696,0)),"")</f>
        <v>入金確認済</v>
      </c>
    </row>
    <row r="13" s="135" customFormat="true" ht="20.1" hidden="false" customHeight="true" outlineLevel="0" collapsed="false">
      <c r="A13" s="125" t="s">
        <v>175</v>
      </c>
      <c r="B13" s="136" t="n">
        <f aca="false">SUMIFS(報告入力!$AY$7:$AY$696,報告入力!$A$7:$A$696,$S$2,報告入力!$B$7:$B$696,$A13)</f>
        <v>1324920</v>
      </c>
      <c r="C13" s="137" t="n">
        <f aca="false">SUMIFS(報告入力!$AZ$7:$AZ$696,報告入力!$A$7:$A$696,$S$2,報告入力!$B$7:$B$696,$A13)</f>
        <v>108600</v>
      </c>
      <c r="D13" s="128" t="n">
        <f aca="false">SUMIFS(報告入力!$BA$7:$BA$696,報告入力!$A$7:$A$696,$S$2,報告入力!$B$7:$B$696,$A13)</f>
        <v>1913844</v>
      </c>
      <c r="E13" s="128" t="n">
        <f aca="false">SUMIFS(報告入力!$BB$7:$BB$696,報告入力!$A$7:$A$696,$S$2,報告入力!$B$7:$B$696,$A13)</f>
        <v>108600</v>
      </c>
      <c r="F13" s="138" t="n">
        <f aca="false">SUMIFS(報告入力!$BC$7:$BC$696,報告入力!$A$7:$A$696,$S$2,報告入力!$B$7:$B$696,$A13)</f>
        <v>1282</v>
      </c>
      <c r="G13" s="133" t="n">
        <f aca="false">SUM(B13:F13)</f>
        <v>3457246</v>
      </c>
      <c r="H13" s="139" t="n">
        <f aca="false">SUMIFS(報告入力!$BD$7:$BD$696,報告入力!$A$7:$A$696,$S$2,報告入力!$B$7:$B$696,$A13)</f>
        <v>768034</v>
      </c>
      <c r="I13" s="140" t="n">
        <f aca="false">SUMIFS(報告入力!$BE$7:$BE$696,報告入力!$A$7:$A$696,$S$2,報告入力!$B$7:$B$696,$A13)</f>
        <v>781174</v>
      </c>
      <c r="J13" s="141" t="n">
        <f aca="false">SUM(H13:I13)</f>
        <v>1549208</v>
      </c>
      <c r="K13" s="134" t="n">
        <f aca="false">SUMIFS(報告入力!$BF$7:$BF$696,報告入力!$A$7:$A$696,$S$2,報告入力!$B$7:$B$696,$A13)</f>
        <v>104201</v>
      </c>
      <c r="L13" s="140" t="n">
        <f aca="false">SUMIFS(報告入力!$BG$7:$BG$696,報告入力!$A$7:$A$696,$S$2,報告入力!$B$7:$B$696,$A13)</f>
        <v>104201</v>
      </c>
      <c r="M13" s="141" t="n">
        <f aca="false">SUM(K13:L13)</f>
        <v>208402</v>
      </c>
      <c r="N13" s="134" t="n">
        <f aca="false">SUMIFS(報告入力!$BH$7:$BH$696,報告入力!$A$7:$A$696,$S$2,報告入力!$B$7:$B$696,$A13)</f>
        <v>17023</v>
      </c>
      <c r="O13" s="140" t="n">
        <f aca="false">SUMIFS(報告入力!$BI$7:$BI$696,報告入力!$A$7:$A$696,$S$2,報告入力!$B$7:$B$696,$A13)</f>
        <v>17030</v>
      </c>
      <c r="P13" s="141" t="n">
        <f aca="false">SUM(N13:O13)</f>
        <v>34053</v>
      </c>
      <c r="R13" s="135" t="str">
        <f aca="false">IFERROR(INDEX(報告入力!$C$7:$C$696,MATCH($S$2&amp;"|"&amp;$A13,報告入力!$CM$7:$CM$696,0)),"")</f>
        <v>入金確認済</v>
      </c>
    </row>
    <row r="14" s="135" customFormat="true" ht="20.1" hidden="false" customHeight="true" outlineLevel="0" collapsed="false">
      <c r="A14" s="125" t="s">
        <v>176</v>
      </c>
      <c r="B14" s="136" t="n">
        <f aca="false">SUMIFS(報告入力!$AY$7:$AY$696,報告入力!$A$7:$A$696,$S$2,報告入力!$B$7:$B$696,$A14)</f>
        <v>409920</v>
      </c>
      <c r="C14" s="137" t="n">
        <f aca="false">SUMIFS(報告入力!$AZ$7:$AZ$696,報告入力!$A$7:$A$696,$S$2,報告入力!$B$7:$B$696,$A14)</f>
        <v>33600</v>
      </c>
      <c r="D14" s="128" t="n">
        <f aca="false">SUMIFS(報告入力!$BA$7:$BA$696,報告入力!$A$7:$A$696,$S$2,報告入力!$B$7:$B$696,$A14)</f>
        <v>588672</v>
      </c>
      <c r="E14" s="128" t="n">
        <f aca="false">SUMIFS(報告入力!$BB$7:$BB$696,報告入力!$A$7:$A$696,$S$2,報告入力!$B$7:$B$696,$A14)</f>
        <v>33600</v>
      </c>
      <c r="F14" s="138" t="n">
        <f aca="false">SUMIFS(報告入力!$BC$7:$BC$696,報告入力!$A$7:$A$696,$S$2,報告入力!$B$7:$B$696,$A14)</f>
        <v>389</v>
      </c>
      <c r="G14" s="133" t="n">
        <f aca="false">SUM(B14:F14)</f>
        <v>1066181</v>
      </c>
      <c r="H14" s="139" t="n">
        <f aca="false">SUMIFS(報告入力!$BD$7:$BD$696,報告入力!$A$7:$A$696,$S$2,報告入力!$B$7:$B$696,$A14)</f>
        <v>306800</v>
      </c>
      <c r="I14" s="140" t="n">
        <f aca="false">SUMIFS(報告入力!$BE$7:$BE$696,報告入力!$A$7:$A$696,$S$2,報告入力!$B$7:$B$696,$A14)</f>
        <v>311950</v>
      </c>
      <c r="J14" s="141" t="n">
        <f aca="false">SUM(H14:I14)</f>
        <v>618750</v>
      </c>
      <c r="K14" s="134" t="n">
        <f aca="false">SUMIFS(報告入力!$BF$7:$BF$696,報告入力!$A$7:$A$696,$S$2,報告入力!$B$7:$B$696,$A14)</f>
        <v>35042</v>
      </c>
      <c r="L14" s="140" t="n">
        <f aca="false">SUMIFS(報告入力!$BG$7:$BG$696,報告入力!$A$7:$A$696,$S$2,報告入力!$B$7:$B$696,$A14)</f>
        <v>35044</v>
      </c>
      <c r="M14" s="141" t="n">
        <f aca="false">SUM(K14:L14)</f>
        <v>70086</v>
      </c>
      <c r="N14" s="134" t="n">
        <f aca="false">SUMIFS(報告入力!$BH$7:$BH$696,報告入力!$A$7:$A$696,$S$2,報告入力!$B$7:$B$696,$A14)</f>
        <v>6800</v>
      </c>
      <c r="O14" s="140" t="n">
        <f aca="false">SUMIFS(報告入力!$BI$7:$BI$696,報告入力!$A$7:$A$696,$S$2,報告入力!$B$7:$B$696,$A14)</f>
        <v>6803</v>
      </c>
      <c r="P14" s="141" t="n">
        <f aca="false">SUM(N14:O14)</f>
        <v>13603</v>
      </c>
      <c r="R14" s="135" t="str">
        <f aca="false">IFERROR(INDEX(報告入力!$C$7:$C$696,MATCH($S$2&amp;"|"&amp;$A14,報告入力!$CM$7:$CM$696,0)),"")</f>
        <v>入金確認済</v>
      </c>
    </row>
    <row r="15" s="135" customFormat="true" ht="20.1" hidden="false" customHeight="true" outlineLevel="0" collapsed="false">
      <c r="A15" s="125" t="s">
        <v>177</v>
      </c>
      <c r="B15" s="136" t="n">
        <f aca="false">SUMIFS(報告入力!$AY$7:$AY$696,報告入力!$A$7:$A$696,$S$2,報告入力!$B$7:$B$696,$A15)</f>
        <v>22388403</v>
      </c>
      <c r="C15" s="137" t="n">
        <f aca="false">SUMIFS(報告入力!$AZ$7:$AZ$696,報告入力!$A$7:$A$696,$S$2,報告入力!$B$7:$B$696,$A15)</f>
        <v>1835115</v>
      </c>
      <c r="D15" s="128" t="n">
        <f aca="false">SUMIFS(報告入力!$BA$7:$BA$696,報告入力!$A$7:$A$696,$S$2,報告入力!$B$7:$B$696,$A15)</f>
        <v>32251750</v>
      </c>
      <c r="E15" s="128" t="n">
        <f aca="false">SUMIFS(報告入力!$BB$7:$BB$696,報告入力!$A$7:$A$696,$S$2,報告入力!$B$7:$B$696,$A15)</f>
        <v>1835115</v>
      </c>
      <c r="F15" s="138" t="n">
        <f aca="false">SUMIFS(報告入力!$BC$7:$BC$696,報告入力!$A$7:$A$696,$S$2,報告入力!$B$7:$B$696,$A15)</f>
        <v>21475</v>
      </c>
      <c r="G15" s="133" t="n">
        <f aca="false">SUM(B15:F15)</f>
        <v>58331858</v>
      </c>
      <c r="H15" s="139" t="n">
        <f aca="false">SUMIFS(報告入力!$BD$7:$BD$696,報告入力!$A$7:$A$696,$S$2,報告入力!$B$7:$B$696,$A15)</f>
        <v>13373486</v>
      </c>
      <c r="I15" s="140" t="n">
        <f aca="false">SUMIFS(報告入力!$BE$7:$BE$696,報告入力!$A$7:$A$696,$S$2,報告入力!$B$7:$B$696,$A15)</f>
        <v>13600282</v>
      </c>
      <c r="J15" s="141" t="n">
        <f aca="false">SUM(H15:I15)</f>
        <v>26973768</v>
      </c>
      <c r="K15" s="134" t="n">
        <f aca="false">SUMIFS(報告入力!$BF$7:$BF$696,報告入力!$A$7:$A$696,$S$2,報告入力!$B$7:$B$696,$A15)</f>
        <v>1322950</v>
      </c>
      <c r="L15" s="140" t="n">
        <f aca="false">SUMIFS(報告入力!$BG$7:$BG$696,報告入力!$A$7:$A$696,$S$2,報告入力!$B$7:$B$696,$A15)</f>
        <v>1322950</v>
      </c>
      <c r="M15" s="141" t="n">
        <f aca="false">SUM(K15:L15)</f>
        <v>2645900</v>
      </c>
      <c r="N15" s="134" t="n">
        <f aca="false">SUMIFS(報告入力!$BH$7:$BH$696,報告入力!$A$7:$A$696,$S$2,報告入力!$B$7:$B$696,$A15)</f>
        <v>296479</v>
      </c>
      <c r="O15" s="140" t="n">
        <f aca="false">SUMIFS(報告入力!$BI$7:$BI$696,報告入力!$A$7:$A$696,$S$2,報告入力!$B$7:$B$696,$A15)</f>
        <v>296570</v>
      </c>
      <c r="P15" s="145" t="n">
        <f aca="false">SUM(N15:O15)</f>
        <v>593049</v>
      </c>
      <c r="R15" s="135" t="str">
        <f aca="false">IFERROR(INDEX(報告入力!$C$7:$C$696,MATCH($S$2&amp;"|"&amp;$A15,報告入力!$CM$7:$CM$696,0)),"")</f>
        <v>入金確認済</v>
      </c>
    </row>
    <row r="16" s="135" customFormat="true" ht="19.5" hidden="false" customHeight="true" outlineLevel="0" collapsed="false">
      <c r="A16" s="146" t="s">
        <v>495</v>
      </c>
      <c r="B16" s="142" t="n">
        <f aca="false">SUMIFS(報告入力!$AY$7:$AY$696,報告入力!$A$7:$A$696,$S$2,報告入力!$B$7:$B$696,$A16)</f>
        <v>48495</v>
      </c>
      <c r="C16" s="147" t="n">
        <f aca="false">SUMIFS(報告入力!$AZ$7:$AZ$696,報告入力!$A$7:$A$696,$S$2,報告入力!$B$7:$B$696,$A16)</f>
        <v>3975</v>
      </c>
      <c r="D16" s="142" t="n">
        <f aca="false">SUMIFS(報告入力!$BA$7:$BA$696,報告入力!$A$7:$A$696,$S$2,報告入力!$B$7:$B$696,$A16)</f>
        <v>69642</v>
      </c>
      <c r="E16" s="143" t="n">
        <f aca="false">SUMIFS(報告入力!$BB$7:$BB$696,報告入力!$A$7:$A$696,$S$2,報告入力!$B$7:$B$696,$A16)</f>
        <v>3975</v>
      </c>
      <c r="F16" s="148" t="n">
        <f aca="false">SUMIFS(報告入力!$BC$7:$BC$696,報告入力!$A$7:$A$696,$S$2,報告入力!$B$7:$B$696,$A16)</f>
        <v>46</v>
      </c>
      <c r="G16" s="144" t="n">
        <f aca="false">SUM(B16:F16)</f>
        <v>126133</v>
      </c>
      <c r="H16" s="149" t="n">
        <f aca="false">SUMIFS(報告入力!$BD$7:$BD$696,報告入力!$A$7:$A$696,$S$2,報告入力!$B$7:$B$696,$A16)</f>
        <v>27485</v>
      </c>
      <c r="I16" s="150" t="n">
        <f aca="false">SUMIFS(報告入力!$BE$7:$BE$696,報告入力!$A$7:$A$696,$S$2,報告入力!$B$7:$B$696,$A16)</f>
        <v>27946</v>
      </c>
      <c r="J16" s="141" t="n">
        <f aca="false">SUM(H16:I16)</f>
        <v>55431</v>
      </c>
      <c r="K16" s="134" t="n">
        <f aca="false">SUMIFS(報告入力!$BF$7:$BF$696,報告入力!$A$7:$A$696,$S$2,報告入力!$B$7:$B$696,$A16)</f>
        <v>4187</v>
      </c>
      <c r="L16" s="140" t="n">
        <f aca="false">SUMIFS(報告入力!$BG$7:$BG$696,報告入力!$A$7:$A$696,$S$2,報告入力!$B$7:$B$696,$A16)</f>
        <v>4187</v>
      </c>
      <c r="M16" s="141" t="n">
        <f aca="false">SUM(K16:L16)</f>
        <v>8374</v>
      </c>
      <c r="N16" s="134" t="n">
        <f aca="false">SUMIFS(報告入力!$BH$7:$BH$696,報告入力!$A$7:$A$696,$S$2,報告入力!$B$7:$B$696,$A16)</f>
        <v>609</v>
      </c>
      <c r="O16" s="140" t="n">
        <f aca="false">SUMIFS(報告入力!$BI$7:$BI$696,報告入力!$A$7:$A$696,$S$2,報告入力!$B$7:$B$696,$A16)</f>
        <v>609</v>
      </c>
      <c r="P16" s="141" t="n">
        <f aca="false">SUM(N16:O16)</f>
        <v>1218</v>
      </c>
      <c r="R16" s="135" t="str">
        <f aca="false">IFERROR(INDEX(報告入力!$C$7:$C$696,MATCH($S$2&amp;"|"&amp;$A16,報告入力!$CM$7:$CM$696,0)),"")</f>
        <v>入金確認済</v>
      </c>
    </row>
    <row r="17" s="162" customFormat="true" ht="19.5" hidden="false" customHeight="true" outlineLevel="0" collapsed="false">
      <c r="A17" s="151" t="s">
        <v>179</v>
      </c>
      <c r="B17" s="152" t="n">
        <f aca="false">SUMIFS(報告入力!$AY$7:$AY$696,報告入力!$A$7:$A$696,$S$2,報告入力!$B$7:$B$696,$A17)</f>
        <v>0</v>
      </c>
      <c r="C17" s="153" t="n">
        <f aca="false">SUMIFS(報告入力!$AZ$7:$AZ$696,報告入力!$A$7:$A$696,$S$2,報告入力!$B$7:$B$696,$A17)</f>
        <v>0</v>
      </c>
      <c r="D17" s="154"/>
      <c r="E17" s="155"/>
      <c r="F17" s="156" t="n">
        <f aca="false">SUMIFS(報告入力!$BC$7:$BC$696,報告入力!$A$7:$A$696,$S$2,報告入力!$B$7:$B$696,$A17)</f>
        <v>0</v>
      </c>
      <c r="G17" s="157" t="n">
        <f aca="false">SUM(B17:F17)</f>
        <v>0</v>
      </c>
      <c r="H17" s="158" t="n">
        <f aca="false">SUMIFS(報告入力!$BD$7:$BD$696,報告入力!$A$7:$A$696,$S$2,報告入力!$B$7:$B$696,$A17)</f>
        <v>0</v>
      </c>
      <c r="I17" s="159" t="n">
        <f aca="false">SUMIFS(報告入力!$BE$7:$BE$696,報告入力!$A$7:$A$696,$S$2,報告入力!$B$7:$B$696,$A17)</f>
        <v>0</v>
      </c>
      <c r="J17" s="160" t="n">
        <f aca="false">SUM(H17:I17)</f>
        <v>0</v>
      </c>
      <c r="K17" s="161" t="n">
        <f aca="false">SUMIFS(報告入力!$BF$7:$BF$696,報告入力!$A$7:$A$696,$S$2,報告入力!$B$7:$B$696,$A17)</f>
        <v>0</v>
      </c>
      <c r="L17" s="159" t="n">
        <f aca="false">SUMIFS(報告入力!$BG$7:$BG$696,報告入力!$A$7:$A$696,$S$2,報告入力!$B$7:$B$696,$A17)</f>
        <v>0</v>
      </c>
      <c r="M17" s="160" t="n">
        <f aca="false">SUM(K17:L17)</f>
        <v>0</v>
      </c>
      <c r="N17" s="161" t="n">
        <f aca="false">SUMIFS(報告入力!$BH$7:$BH$696,報告入力!$A$7:$A$696,$S$2,報告入力!$B$7:$B$696,$A17)</f>
        <v>0</v>
      </c>
      <c r="O17" s="159" t="n">
        <f aca="false">SUMIFS(報告入力!$BI$7:$BI$696,報告入力!$A$7:$A$696,$S$2,報告入力!$B$7:$B$696,$A17)</f>
        <v>0</v>
      </c>
      <c r="P17" s="160" t="n">
        <f aca="false">SUM(N17:O17)</f>
        <v>0</v>
      </c>
      <c r="R17" s="162" t="str">
        <f aca="false">IFERROR(INDEX(報告入力!$C$7:$C$696,MATCH($S$2&amp;"|"&amp;$A17,報告入力!$CM$7:$CM$696,0)),"")</f>
        <v>入金確認済</v>
      </c>
    </row>
    <row r="18" s="162" customFormat="true" ht="19.5" hidden="false" customHeight="true" outlineLevel="0" collapsed="false">
      <c r="A18" s="163" t="s">
        <v>496</v>
      </c>
      <c r="B18" s="164"/>
      <c r="C18" s="165"/>
      <c r="D18" s="164"/>
      <c r="E18" s="166"/>
      <c r="F18" s="167"/>
      <c r="G18" s="168"/>
      <c r="H18" s="169"/>
      <c r="I18" s="170"/>
      <c r="J18" s="171"/>
      <c r="K18" s="172"/>
      <c r="L18" s="173"/>
      <c r="M18" s="173"/>
      <c r="N18" s="172"/>
      <c r="O18" s="173"/>
      <c r="P18" s="171"/>
    </row>
    <row r="19" s="162" customFormat="true" ht="19.5" hidden="false" customHeight="true" outlineLevel="0" collapsed="false">
      <c r="A19" s="174" t="s">
        <v>496</v>
      </c>
      <c r="B19" s="175"/>
      <c r="C19" s="176"/>
      <c r="D19" s="175"/>
      <c r="E19" s="177"/>
      <c r="F19" s="178"/>
      <c r="G19" s="179"/>
      <c r="H19" s="180"/>
      <c r="I19" s="177"/>
      <c r="J19" s="181"/>
      <c r="K19" s="182"/>
      <c r="L19" s="183"/>
      <c r="M19" s="183"/>
      <c r="N19" s="182"/>
      <c r="O19" s="183"/>
      <c r="P19" s="181"/>
    </row>
    <row r="20" s="162" customFormat="true" ht="19.5" hidden="false" customHeight="true" outlineLevel="0" collapsed="false">
      <c r="A20" s="174" t="s">
        <v>496</v>
      </c>
      <c r="B20" s="164"/>
      <c r="C20" s="165"/>
      <c r="D20" s="164"/>
      <c r="E20" s="166"/>
      <c r="F20" s="167"/>
      <c r="G20" s="168"/>
      <c r="H20" s="184"/>
      <c r="I20" s="166"/>
      <c r="J20" s="171"/>
      <c r="K20" s="185"/>
      <c r="L20" s="186"/>
      <c r="M20" s="186"/>
      <c r="N20" s="185"/>
      <c r="O20" s="186"/>
      <c r="P20" s="171"/>
    </row>
    <row r="21" s="162" customFormat="true" ht="19.5" hidden="false" customHeight="true" outlineLevel="0" collapsed="false">
      <c r="A21" s="187" t="s">
        <v>496</v>
      </c>
      <c r="B21" s="188"/>
      <c r="C21" s="189"/>
      <c r="D21" s="188"/>
      <c r="E21" s="190"/>
      <c r="F21" s="191"/>
      <c r="G21" s="192"/>
      <c r="H21" s="180"/>
      <c r="I21" s="193"/>
      <c r="J21" s="194"/>
      <c r="K21" s="182"/>
      <c r="L21" s="183"/>
      <c r="M21" s="195"/>
      <c r="N21" s="182"/>
      <c r="O21" s="183"/>
      <c r="P21" s="194"/>
    </row>
    <row r="22" s="162" customFormat="true" ht="19.5" hidden="false" customHeight="true" outlineLevel="0" collapsed="false">
      <c r="A22" s="196" t="s">
        <v>497</v>
      </c>
      <c r="B22" s="197" t="n">
        <f aca="false">SUM(B6:B21)</f>
        <v>360111698</v>
      </c>
      <c r="C22" s="198" t="n">
        <f aca="false">SUM(C6:C21)</f>
        <v>29563692</v>
      </c>
      <c r="D22" s="197" t="n">
        <f aca="false">SUM(D6:D21)</f>
        <v>516069981</v>
      </c>
      <c r="E22" s="199" t="n">
        <f aca="false">SUM(E6:E21)</f>
        <v>28917507</v>
      </c>
      <c r="F22" s="200" t="n">
        <f aca="false">SUM(F6:F21)</f>
        <v>346785</v>
      </c>
      <c r="G22" s="201" t="n">
        <f aca="false">SUM(B22:F22)</f>
        <v>935009663</v>
      </c>
      <c r="H22" s="198" t="n">
        <f aca="false">SUM(H6:H21)</f>
        <v>253083456</v>
      </c>
      <c r="I22" s="198" t="n">
        <f aca="false">SUM(I6:I21)</f>
        <v>252838750</v>
      </c>
      <c r="J22" s="200" t="n">
        <f aca="false">SUM(H22:I22)</f>
        <v>505922206</v>
      </c>
      <c r="K22" s="197" t="n">
        <f aca="false">SUM(K6:K21)</f>
        <v>23070740</v>
      </c>
      <c r="L22" s="198" t="n">
        <f aca="false">SUM(L6:L21)</f>
        <v>22599966</v>
      </c>
      <c r="M22" s="200" t="n">
        <f aca="false">SUM(K22:L22)</f>
        <v>45670706</v>
      </c>
      <c r="N22" s="197" t="n">
        <f aca="false">SUM(N6:N21)</f>
        <v>5596164</v>
      </c>
      <c r="O22" s="198" t="n">
        <f aca="false">SUM(O6:O21)</f>
        <v>5523335</v>
      </c>
      <c r="P22" s="200" t="n">
        <f aca="false">SUM(N22:O22)</f>
        <v>11119499</v>
      </c>
    </row>
    <row r="23" s="135" customFormat="true" ht="20.1" hidden="false" customHeight="true" outlineLevel="0" collapsed="false">
      <c r="A23" s="202" t="s">
        <v>180</v>
      </c>
      <c r="B23" s="203"/>
      <c r="C23" s="204"/>
      <c r="D23" s="203"/>
      <c r="E23" s="205"/>
      <c r="F23" s="204"/>
      <c r="G23" s="206" t="n">
        <f aca="false">SUM(B23:F23)</f>
        <v>0</v>
      </c>
      <c r="H23" s="207"/>
      <c r="I23" s="208"/>
      <c r="J23" s="160" t="n">
        <f aca="false">SUM(H23:I23)</f>
        <v>0</v>
      </c>
      <c r="K23" s="207"/>
      <c r="L23" s="208"/>
      <c r="M23" s="209" t="n">
        <f aca="false">SUM(K23:L23)</f>
        <v>0</v>
      </c>
      <c r="N23" s="207"/>
      <c r="O23" s="208"/>
      <c r="P23" s="209" t="n">
        <f aca="false">SUM(N23:O23)</f>
        <v>0</v>
      </c>
      <c r="R23" s="135" t="str">
        <f aca="false">IFERROR(INDEX(報告入力!$C$7:$C$696,MATCH($S$2&amp;"|"&amp;$A23,報告入力!$CM$7:$CM$696,0)),"")</f>
        <v>報告なし</v>
      </c>
    </row>
    <row r="24" s="135" customFormat="true" ht="20.1" hidden="false" customHeight="true" outlineLevel="0" collapsed="false">
      <c r="A24" s="125" t="s">
        <v>182</v>
      </c>
      <c r="B24" s="136" t="n">
        <f aca="false">SUMIFS(報告入力!$AY$7:$AY$696,報告入力!$A$7:$A$696,$S$2,報告入力!$B$7:$B$696,$A24)</f>
        <v>0</v>
      </c>
      <c r="C24" s="137" t="n">
        <f aca="false">SUMIFS(報告入力!$AZ$7:$AZ$696,報告入力!$A$7:$A$696,$S$2,報告入力!$B$7:$B$696,$A24)</f>
        <v>0</v>
      </c>
      <c r="D24" s="210" t="n">
        <f aca="false">SUMIFS(報告入力!$BA$7:$BA$696,報告入力!$A$7:$A$696,$S$2,報告入力!$B$7:$B$696,$A24)</f>
        <v>765855</v>
      </c>
      <c r="E24" s="143" t="n">
        <f aca="false">SUMIFS(報告入力!$BB$7:$BB$696,報告入力!$A$7:$A$696,$S$2,報告入力!$B$7:$B$696,$A24)</f>
        <v>62775</v>
      </c>
      <c r="F24" s="138" t="n">
        <f aca="false">SUMIFS(報告入力!$BC$7:$BC$696,報告入力!$A$7:$A$696,$S$2,報告入力!$B$7:$B$696,$A24)</f>
        <v>789</v>
      </c>
      <c r="G24" s="133" t="n">
        <f aca="false">SUM(B24:F24)</f>
        <v>829419</v>
      </c>
      <c r="H24" s="139" t="n">
        <f aca="false">SUMIFS(報告入力!$BD$7:$BD$696,報告入力!$A$7:$A$696,$S$2,報告入力!$B$7:$B$696,$A24)</f>
        <v>0</v>
      </c>
      <c r="I24" s="140" t="n">
        <f aca="false">SUMIFS(報告入力!$BE$7:$BE$696,報告入力!$A$7:$A$696,$S$2,報告入力!$B$7:$B$696,$A24)</f>
        <v>441236</v>
      </c>
      <c r="J24" s="141" t="n">
        <f aca="false">SUM(H24:I24)</f>
        <v>441236</v>
      </c>
      <c r="K24" s="139" t="n">
        <f aca="false">SUMIFS(報告入力!$BF$7:$BF$696,報告入力!$A$7:$A$696,$S$2,報告入力!$B$7:$B$696,$A24)</f>
        <v>0</v>
      </c>
      <c r="L24" s="140" t="n">
        <f aca="false">SUMIFS(報告入力!$BG$7:$BG$696,報告入力!$A$7:$A$696,$S$2,報告入力!$B$7:$B$696,$A24)</f>
        <v>54826</v>
      </c>
      <c r="M24" s="141" t="n">
        <f aca="false">SUM(K24:L24)</f>
        <v>54826</v>
      </c>
      <c r="N24" s="139" t="n">
        <f aca="false">SUMIFS(報告入力!$BH$7:$BH$696,報告入力!$A$7:$A$696,$S$2,報告入力!$B$7:$B$696,$A24)</f>
        <v>0</v>
      </c>
      <c r="O24" s="140" t="n">
        <f aca="false">SUMIFS(報告入力!$BI$7:$BI$696,報告入力!$A$7:$A$696,$S$2,報告入力!$B$7:$B$696,$A24)</f>
        <v>9775</v>
      </c>
      <c r="P24" s="141" t="n">
        <f aca="false">SUM(N24:O24)</f>
        <v>9775</v>
      </c>
      <c r="R24" s="135" t="str">
        <f aca="false">IFERROR(INDEX(報告入力!$C$7:$C$696,MATCH($S$2&amp;"|"&amp;$A24,報告入力!$CM$7:$CM$696,0)),"")</f>
        <v>入金確認済</v>
      </c>
    </row>
    <row r="25" s="135" customFormat="true" ht="20.1" hidden="false" customHeight="true" outlineLevel="0" collapsed="false">
      <c r="A25" s="125" t="s">
        <v>183</v>
      </c>
      <c r="B25" s="211"/>
      <c r="C25" s="212"/>
      <c r="D25" s="142" t="n">
        <f aca="false">SUMIFS(報告入力!$BA$7:$BA$696,報告入力!$A$7:$A$696,$S$2,報告入力!$B$7:$B$696,$A25)</f>
        <v>2045940</v>
      </c>
      <c r="E25" s="139" t="n">
        <f aca="false">SUMIFS(報告入力!$BB$7:$BB$696,報告入力!$A$7:$A$696,$S$2,報告入力!$B$7:$B$696,$A25)</f>
        <v>167700</v>
      </c>
      <c r="F25" s="138" t="n">
        <f aca="false">SUMIFS(報告入力!$BC$7:$BC$696,報告入力!$A$7:$A$696,$S$2,報告入力!$B$7:$B$696,$A25)</f>
        <v>1993</v>
      </c>
      <c r="G25" s="133" t="n">
        <f aca="false">SUM(B25:F25)</f>
        <v>2215633</v>
      </c>
      <c r="H25" s="213"/>
      <c r="I25" s="140" t="n">
        <f aca="false">SUMIFS(報告入力!$BE$7:$BE$696,報告入力!$A$7:$A$696,$S$2,報告入力!$B$7:$B$696,$A25)</f>
        <v>1308159</v>
      </c>
      <c r="J25" s="141" t="n">
        <f aca="false">SUM(H25:I25)</f>
        <v>1308159</v>
      </c>
      <c r="K25" s="213"/>
      <c r="L25" s="140" t="n">
        <f aca="false">SUMIFS(報告入力!$BG$7:$BG$696,報告入力!$A$7:$A$696,$S$2,報告入力!$B$7:$B$696,$A25)</f>
        <v>141726</v>
      </c>
      <c r="M25" s="141" t="n">
        <f aca="false">SUM(K25:L25)</f>
        <v>141726</v>
      </c>
      <c r="N25" s="213"/>
      <c r="O25" s="140" t="n">
        <f aca="false">SUMIFS(報告入力!$BI$7:$BI$696,報告入力!$A$7:$A$696,$S$2,報告入力!$B$7:$B$696,$A25)</f>
        <v>28976</v>
      </c>
      <c r="P25" s="141" t="n">
        <f aca="false">SUM(N25:O25)</f>
        <v>28976</v>
      </c>
      <c r="R25" s="135" t="str">
        <f aca="false">IFERROR(INDEX(報告入力!$C$7:$C$696,MATCH($S$2&amp;"|"&amp;$A25,報告入力!$CM$7:$CM$696,0)),"")</f>
        <v>入金確認済</v>
      </c>
    </row>
    <row r="26" s="135" customFormat="true" ht="20.1" hidden="false" customHeight="true" outlineLevel="0" collapsed="false">
      <c r="A26" s="125" t="s">
        <v>184</v>
      </c>
      <c r="B26" s="211"/>
      <c r="C26" s="212"/>
      <c r="D26" s="128" t="n">
        <f aca="false">SUMIFS(報告入力!$BA$7:$BA$696,報告入力!$A$7:$A$696,$S$2,報告入力!$B$7:$B$696,$A26)</f>
        <v>59475</v>
      </c>
      <c r="E26" s="139" t="n">
        <f aca="false">SUMIFS(報告入力!$BB$7:$BB$696,報告入力!$A$7:$A$696,$S$2,報告入力!$B$7:$B$696,$A26)</f>
        <v>4875</v>
      </c>
      <c r="F26" s="138" t="n">
        <f aca="false">SUMIFS(報告入力!$BC$7:$BC$696,報告入力!$A$7:$A$696,$S$2,報告入力!$B$7:$B$696,$A26)</f>
        <v>56</v>
      </c>
      <c r="G26" s="133" t="n">
        <f aca="false">SUM(B26:F26)</f>
        <v>64406</v>
      </c>
      <c r="H26" s="213"/>
      <c r="I26" s="140" t="n">
        <f aca="false">SUMIFS(報告入力!$BE$7:$BE$696,報告入力!$A$7:$A$696,$S$2,報告入力!$B$7:$B$696,$A26)</f>
        <v>36856</v>
      </c>
      <c r="J26" s="141" t="n">
        <f aca="false">SUM(H26:I26)</f>
        <v>36856</v>
      </c>
      <c r="K26" s="213"/>
      <c r="L26" s="140" t="n">
        <f aca="false">SUMIFS(報告入力!$BG$7:$BG$696,報告入力!$A$7:$A$696,$S$2,報告入力!$B$7:$B$696,$A26)</f>
        <v>5609</v>
      </c>
      <c r="M26" s="141" t="n">
        <f aca="false">SUM(K26:L26)</f>
        <v>5609</v>
      </c>
      <c r="N26" s="213"/>
      <c r="O26" s="140" t="n">
        <f aca="false">SUMIFS(報告入力!$BI$7:$BI$696,報告入力!$A$7:$A$696,$S$2,報告入力!$B$7:$B$696,$A26)</f>
        <v>816</v>
      </c>
      <c r="P26" s="141" t="n">
        <f aca="false">SUM(N26:O26)</f>
        <v>816</v>
      </c>
      <c r="R26" s="135" t="str">
        <f aca="false">IFERROR(INDEX(報告入力!$C$7:$C$696,MATCH($S$2&amp;"|"&amp;$A26,報告入力!$CM$7:$CM$696,0)),"")</f>
        <v>入金確認済</v>
      </c>
    </row>
    <row r="27" s="135" customFormat="true" ht="20.1" hidden="false" customHeight="true" outlineLevel="0" collapsed="false">
      <c r="A27" s="214" t="s">
        <v>185</v>
      </c>
      <c r="B27" s="211"/>
      <c r="C27" s="212"/>
      <c r="D27" s="128" t="n">
        <f aca="false">SUMIFS(報告入力!$BA$7:$BA$696,報告入力!$A$7:$A$696,$S$2,報告入力!$B$7:$B$696,$A27)</f>
        <v>417240</v>
      </c>
      <c r="E27" s="139" t="n">
        <f aca="false">SUMIFS(報告入力!$BB$7:$BB$696,報告入力!$A$7:$A$696,$S$2,報告入力!$B$7:$B$696,$A27)</f>
        <v>34200</v>
      </c>
      <c r="F27" s="138" t="n">
        <f aca="false">SUMIFS(報告入力!$BC$7:$BC$696,報告入力!$A$7:$A$696,$S$2,報告入力!$B$7:$B$696,$A27)</f>
        <v>395</v>
      </c>
      <c r="G27" s="133" t="n">
        <f aca="false">SUM(B27:F27)</f>
        <v>451835</v>
      </c>
      <c r="H27" s="213"/>
      <c r="I27" s="140" t="n">
        <f aca="false">SUMIFS(報告入力!$BE$7:$BE$696,報告入力!$A$7:$A$696,$S$2,報告入力!$B$7:$B$696,$A27)</f>
        <v>236708</v>
      </c>
      <c r="J27" s="141" t="n">
        <f aca="false">SUM(H27:I27)</f>
        <v>236708</v>
      </c>
      <c r="K27" s="213"/>
      <c r="L27" s="140" t="n">
        <f aca="false">SUMIFS(報告入力!$BG$7:$BG$696,報告入力!$A$7:$A$696,$S$2,報告入力!$B$7:$B$696,$A27)</f>
        <v>30968</v>
      </c>
      <c r="M27" s="141" t="n">
        <f aca="false">SUM(K27:L27)</f>
        <v>30968</v>
      </c>
      <c r="N27" s="213"/>
      <c r="O27" s="140" t="n">
        <f aca="false">SUMIFS(報告入力!$BI$7:$BI$696,報告入力!$A$7:$A$696,$S$2,報告入力!$B$7:$B$696,$A27)</f>
        <v>5243</v>
      </c>
      <c r="P27" s="141" t="n">
        <f aca="false">SUM(N27:O27)</f>
        <v>5243</v>
      </c>
      <c r="R27" s="135" t="str">
        <f aca="false">IFERROR(INDEX(報告入力!$C$7:$C$696,MATCH($S$2&amp;"|"&amp;$A27,報告入力!$CM$7:$CM$696,0)),"")</f>
        <v>入金確認済</v>
      </c>
    </row>
    <row r="28" s="135" customFormat="true" ht="20.1" hidden="false" customHeight="true" outlineLevel="0" collapsed="false">
      <c r="A28" s="146" t="s">
        <v>186</v>
      </c>
      <c r="B28" s="154"/>
      <c r="C28" s="156"/>
      <c r="D28" s="128" t="n">
        <f aca="false">SUMIFS(報告入力!$BA$7:$BA$696,報告入力!$A$7:$A$696,$S$2,報告入力!$B$7:$B$696,$A28)</f>
        <v>40260</v>
      </c>
      <c r="E28" s="139" t="n">
        <f aca="false">SUMIFS(報告入力!$BB$7:$BB$696,報告入力!$A$7:$A$696,$S$2,報告入力!$B$7:$B$696,$A28)</f>
        <v>3300</v>
      </c>
      <c r="F28" s="148" t="n">
        <f aca="false">SUMIFS(報告入力!$BC$7:$BC$696,報告入力!$A$7:$A$696,$S$2,報告入力!$B$7:$B$696,$A28)</f>
        <v>38</v>
      </c>
      <c r="G28" s="137" t="n">
        <f aca="false">SUM(B28:F28)</f>
        <v>43598</v>
      </c>
      <c r="H28" s="215"/>
      <c r="I28" s="150" t="n">
        <f aca="false">SUMIFS(報告入力!$BE$7:$BE$696,報告入力!$A$7:$A$696,$S$2,報告入力!$B$7:$B$696,$A28)</f>
        <v>22840</v>
      </c>
      <c r="J28" s="138" t="n">
        <f aca="false">SUM(H28:I28)</f>
        <v>22840</v>
      </c>
      <c r="K28" s="215"/>
      <c r="L28" s="150" t="n">
        <f aca="false">SUMIFS(報告入力!$BG$7:$BG$696,報告入力!$A$7:$A$696,$S$2,報告入力!$B$7:$B$696,$A28)</f>
        <v>3476</v>
      </c>
      <c r="M28" s="138" t="n">
        <f aca="false">SUM(K28:L28)</f>
        <v>3476</v>
      </c>
      <c r="N28" s="215"/>
      <c r="O28" s="150" t="n">
        <f aca="false">SUMIFS(報告入力!$BI$7:$BI$696,報告入力!$A$7:$A$696,$S$2,報告入力!$B$7:$B$696,$A28)</f>
        <v>506</v>
      </c>
      <c r="P28" s="141" t="n">
        <f aca="false">SUM(N28:O28)</f>
        <v>506</v>
      </c>
      <c r="R28" s="135" t="str">
        <f aca="false">IFERROR(INDEX(報告入力!$C$7:$C$696,MATCH($S$2&amp;"|"&amp;$A28,報告入力!$CM$7:$CM$696,0)),"")</f>
        <v>入金確認済</v>
      </c>
    </row>
    <row r="29" s="135" customFormat="true" ht="20.1" hidden="false" customHeight="true" outlineLevel="0" collapsed="false">
      <c r="A29" s="146" t="s">
        <v>187</v>
      </c>
      <c r="B29" s="211"/>
      <c r="C29" s="216"/>
      <c r="D29" s="142" t="n">
        <f aca="false">SUMIFS(報告入力!$BA$7:$BA$696,報告入力!$A$7:$A$696,$S$2,報告入力!$B$7:$B$696,$A29)</f>
        <v>0</v>
      </c>
      <c r="E29" s="139" t="n">
        <f aca="false">SUMIFS(報告入力!$BB$7:$BB$696,報告入力!$A$7:$A$696,$S$2,報告入力!$B$7:$B$696,$A29)</f>
        <v>0</v>
      </c>
      <c r="F29" s="138" t="n">
        <f aca="false">SUMIFS(報告入力!$BC$7:$BC$696,報告入力!$A$7:$A$696,$S$2,報告入力!$B$7:$B$696,$A29)</f>
        <v>0</v>
      </c>
      <c r="G29" s="133" t="n">
        <f aca="false">SUM(B29:F29)</f>
        <v>0</v>
      </c>
      <c r="H29" s="213"/>
      <c r="I29" s="140" t="n">
        <f aca="false">SUMIFS(報告入力!$BE$7:$BE$696,報告入力!$A$7:$A$696,$S$2,報告入力!$B$7:$B$696,$A29)</f>
        <v>0</v>
      </c>
      <c r="J29" s="141" t="n">
        <f aca="false">SUM(H29:I29)</f>
        <v>0</v>
      </c>
      <c r="K29" s="213"/>
      <c r="L29" s="140" t="n">
        <f aca="false">SUMIFS(報告入力!$BG$7:$BG$696,報告入力!$A$7:$A$696,$S$2,報告入力!$B$7:$B$696,$A29)</f>
        <v>0</v>
      </c>
      <c r="M29" s="141" t="n">
        <f aca="false">SUM(K29:L29)</f>
        <v>0</v>
      </c>
      <c r="N29" s="213"/>
      <c r="O29" s="140" t="n">
        <f aca="false">SUMIFS(報告入力!$BI$7:$BI$696,報告入力!$A$7:$A$696,$S$2,報告入力!$B$7:$B$696,$A29)</f>
        <v>0</v>
      </c>
      <c r="P29" s="141" t="n">
        <f aca="false">SUM(N29:O29)</f>
        <v>0</v>
      </c>
      <c r="R29" s="135" t="str">
        <f aca="false">IFERROR(INDEX(報告入力!$C$7:$C$696,MATCH($S$2&amp;"|"&amp;$A29,報告入力!$CM$7:$CM$696,0)),"")</f>
        <v>入金確認済</v>
      </c>
    </row>
    <row r="30" s="135" customFormat="true" ht="20.1" hidden="false" customHeight="true" outlineLevel="0" collapsed="false">
      <c r="A30" s="217" t="s">
        <v>188</v>
      </c>
      <c r="B30" s="211"/>
      <c r="C30" s="218"/>
      <c r="D30" s="136" t="n">
        <f aca="false">SUMIFS(報告入力!$BA$7:$BA$696,報告入力!$A$7:$A$696,$S$2,報告入力!$B$7:$B$696,$A30)</f>
        <v>193065</v>
      </c>
      <c r="E30" s="139" t="n">
        <f aca="false">SUMIFS(報告入力!$BB$7:$BB$696,報告入力!$A$7:$A$696,$S$2,報告入力!$B$7:$B$696,$A30)</f>
        <v>15825</v>
      </c>
      <c r="F30" s="138" t="n">
        <f aca="false">SUMIFS(報告入力!$BC$7:$BC$696,報告入力!$A$7:$A$696,$S$2,報告入力!$B$7:$B$696,$A30)</f>
        <v>183</v>
      </c>
      <c r="G30" s="133" t="n">
        <f aca="false">SUM(B30:F30)</f>
        <v>209073</v>
      </c>
      <c r="H30" s="213"/>
      <c r="I30" s="140" t="n">
        <f aca="false">SUMIFS(報告入力!$BE$7:$BE$696,報告入力!$A$7:$A$696,$S$2,報告入力!$B$7:$B$696,$A30)</f>
        <v>109530</v>
      </c>
      <c r="J30" s="141" t="n">
        <f aca="false">SUM(H30:I30)</f>
        <v>109530</v>
      </c>
      <c r="K30" s="213"/>
      <c r="L30" s="140" t="n">
        <f aca="false">SUMIFS(報告入力!$BG$7:$BG$696,報告入力!$A$7:$A$696,$S$2,報告入力!$B$7:$B$696,$A30)</f>
        <v>12956</v>
      </c>
      <c r="M30" s="141" t="n">
        <f aca="false">SUM(K30:L30)</f>
        <v>12956</v>
      </c>
      <c r="N30" s="213"/>
      <c r="O30" s="140" t="n">
        <f aca="false">SUMIFS(報告入力!$BI$7:$BI$696,報告入力!$A$7:$A$696,$S$2,報告入力!$B$7:$B$696,$A30)</f>
        <v>2426</v>
      </c>
      <c r="P30" s="141" t="n">
        <f aca="false">SUM(N30:O30)</f>
        <v>2426</v>
      </c>
      <c r="R30" s="135" t="str">
        <f aca="false">IFERROR(INDEX(報告入力!$C$7:$C$696,MATCH($S$2&amp;"|"&amp;$A30,報告入力!$CM$7:$CM$696,0)),"")</f>
        <v>入金確認済</v>
      </c>
    </row>
    <row r="31" s="135" customFormat="true" ht="20.1" hidden="false" customHeight="true" outlineLevel="0" collapsed="false">
      <c r="A31" s="125" t="s">
        <v>189</v>
      </c>
      <c r="B31" s="142" t="n">
        <f aca="false">SUMIFS(報告入力!$AY$7:$AY$696,報告入力!$A$7:$A$696,$S$2,報告入力!$B$7:$B$696,$A31)</f>
        <v>235155</v>
      </c>
      <c r="C31" s="138" t="n">
        <f aca="false">SUMIFS(報告入力!$AZ$7:$AZ$696,報告入力!$A$7:$A$696,$S$2,報告入力!$B$7:$B$696,$A31)</f>
        <v>19275</v>
      </c>
      <c r="D31" s="136" t="n">
        <f aca="false">SUMIFS(報告入力!$BA$7:$BA$696,報告入力!$A$7:$A$696,$S$2,報告入力!$B$7:$B$696,$A31)</f>
        <v>235155</v>
      </c>
      <c r="E31" s="139" t="n">
        <f aca="false">SUMIFS(報告入力!$BB$7:$BB$696,報告入力!$A$7:$A$696,$S$2,報告入力!$B$7:$B$696,$A31)</f>
        <v>19275</v>
      </c>
      <c r="F31" s="138" t="n">
        <f aca="false">SUMIFS(報告入力!$BC$7:$BC$696,報告入力!$A$7:$A$696,$S$2,報告入力!$B$7:$B$696,$A31)</f>
        <v>223</v>
      </c>
      <c r="G31" s="133" t="n">
        <f aca="false">SUM(B31:F31)</f>
        <v>509083</v>
      </c>
      <c r="H31" s="139" t="n">
        <f aca="false">SUMIFS(報告入力!$BD$7:$BD$696,報告入力!$A$7:$A$696,$S$2,報告入力!$B$7:$B$696,$A31)</f>
        <v>134834</v>
      </c>
      <c r="I31" s="140" t="n">
        <f aca="false">SUMIFS(報告入力!$BE$7:$BE$696,報告入力!$A$7:$A$696,$S$2,報告入力!$B$7:$B$696,$A31)</f>
        <v>134966</v>
      </c>
      <c r="J31" s="141" t="n">
        <f aca="false">SUM(H31:I31)</f>
        <v>269800</v>
      </c>
      <c r="K31" s="139" t="n">
        <f aca="false">SUMIFS(報告入力!$BF$7:$BF$696,報告入力!$A$7:$A$696,$S$2,報告入力!$B$7:$B$696,$A31)</f>
        <v>10270</v>
      </c>
      <c r="L31" s="140" t="n">
        <f aca="false">SUMIFS(報告入力!$BG$7:$BG$696,報告入力!$A$7:$A$696,$S$2,報告入力!$B$7:$B$696,$A31)</f>
        <v>10270</v>
      </c>
      <c r="M31" s="141" t="n">
        <f aca="false">SUM(K31:L31)</f>
        <v>20540</v>
      </c>
      <c r="N31" s="139" t="n">
        <f aca="false">SUMIFS(報告入力!$BH$7:$BH$696,報告入力!$A$7:$A$696,$S$2,報告入力!$B$7:$B$696,$A31)</f>
        <v>2989</v>
      </c>
      <c r="O31" s="140" t="n">
        <f aca="false">SUMIFS(報告入力!$BI$7:$BI$696,報告入力!$A$7:$A$696,$S$2,報告入力!$B$7:$B$696,$A31)</f>
        <v>2990</v>
      </c>
      <c r="P31" s="141" t="n">
        <f aca="false">SUM(N31:O31)</f>
        <v>5979</v>
      </c>
      <c r="R31" s="135" t="str">
        <f aca="false">IFERROR(INDEX(報告入力!$C$7:$C$696,MATCH($S$2&amp;"|"&amp;$A31,報告入力!$CM$7:$CM$696,0)),"")</f>
        <v>入金確認済</v>
      </c>
    </row>
    <row r="32" s="135" customFormat="true" ht="20.1" hidden="false" customHeight="true" outlineLevel="0" collapsed="false">
      <c r="A32" s="219" t="s">
        <v>190</v>
      </c>
      <c r="B32" s="142" t="n">
        <f aca="false">SUMIFS(報告入力!$AY$7:$AY$696,報告入力!$A$7:$A$696,$S$2,報告入力!$B$7:$B$696,$A32)</f>
        <v>40260</v>
      </c>
      <c r="C32" s="138" t="n">
        <f aca="false">SUMIFS(報告入力!$AZ$7:$AZ$696,報告入力!$A$7:$A$696,$S$2,報告入力!$B$7:$B$696,$A32)</f>
        <v>3300</v>
      </c>
      <c r="D32" s="136" t="n">
        <f aca="false">SUMIFS(報告入力!$BA$7:$BA$696,報告入力!$A$7:$A$696,$S$2,報告入力!$B$7:$B$696,$A32)</f>
        <v>40260</v>
      </c>
      <c r="E32" s="139" t="n">
        <f aca="false">SUMIFS(報告入力!$BB$7:$BB$696,報告入力!$A$7:$A$696,$S$2,報告入力!$B$7:$B$696,$A32)</f>
        <v>3300</v>
      </c>
      <c r="F32" s="138" t="n">
        <f aca="false">SUMIFS(報告入力!$BC$7:$BC$696,報告入力!$A$7:$A$696,$S$2,報告入力!$B$7:$B$696,$A32)</f>
        <v>38</v>
      </c>
      <c r="G32" s="144" t="n">
        <f aca="false">SUM(B32:F32)</f>
        <v>87158</v>
      </c>
      <c r="H32" s="139" t="n">
        <f aca="false">SUMIFS(報告入力!$BD$7:$BD$696,報告入力!$A$7:$A$696,$S$2,報告入力!$B$7:$B$696,$A32)</f>
        <v>22818</v>
      </c>
      <c r="I32" s="140" t="n">
        <f aca="false">SUMIFS(報告入力!$BE$7:$BE$696,報告入力!$A$7:$A$696,$S$2,報告入力!$B$7:$B$696,$A32)</f>
        <v>22840</v>
      </c>
      <c r="J32" s="141" t="n">
        <f aca="false">SUM(H32:I32)</f>
        <v>45658</v>
      </c>
      <c r="K32" s="215" t="n">
        <f aca="false">SUMIFS(報告入力!$BF$7:$BF$696,報告入力!$A$7:$A$696,$S$2,報告入力!$B$7:$B$696,$A32)</f>
        <v>0</v>
      </c>
      <c r="L32" s="220" t="n">
        <f aca="false">SUMIFS(報告入力!$BG$7:$BG$696,報告入力!$A$7:$A$696,$S$2,報告入力!$B$7:$B$696,$A32)</f>
        <v>0</v>
      </c>
      <c r="M32" s="221" t="n">
        <f aca="false">SUM(K32:L32)</f>
        <v>0</v>
      </c>
      <c r="N32" s="139" t="n">
        <f aca="false">SUMIFS(報告入力!$BH$7:$BH$696,報告入力!$A$7:$A$696,$S$2,報告入力!$B$7:$B$696,$A32)</f>
        <v>506</v>
      </c>
      <c r="O32" s="140" t="n">
        <f aca="false">SUMIFS(報告入力!$BI$7:$BI$696,報告入力!$A$7:$A$696,$S$2,報告入力!$B$7:$B$696,$A32)</f>
        <v>506</v>
      </c>
      <c r="P32" s="141" t="n">
        <f aca="false">SUM(N32:O32)</f>
        <v>1012</v>
      </c>
      <c r="R32" s="135" t="str">
        <f aca="false">IFERROR(INDEX(報告入力!$C$7:$C$696,MATCH($S$2&amp;"|"&amp;$A32,報告入力!$CM$7:$CM$696,0)),"")</f>
        <v>入金確認済</v>
      </c>
    </row>
    <row r="33" s="135" customFormat="true" ht="20.1" hidden="false" customHeight="true" outlineLevel="0" collapsed="false">
      <c r="A33" s="222" t="s">
        <v>191</v>
      </c>
      <c r="B33" s="136" t="n">
        <f aca="false">SUMIFS(報告入力!$AY$7:$AY$696,報告入力!$A$7:$A$696,$S$2,報告入力!$B$7:$B$696,$A33)</f>
        <v>107970</v>
      </c>
      <c r="C33" s="138" t="n">
        <f aca="false">SUMIFS(報告入力!$AZ$7:$AZ$696,報告入力!$A$7:$A$696,$S$2,報告入力!$B$7:$B$696,$A33)</f>
        <v>8850</v>
      </c>
      <c r="D33" s="136" t="n">
        <f aca="false">SUMIFS(報告入力!$BA$7:$BA$696,報告入力!$A$7:$A$696,$S$2,報告入力!$B$7:$B$696,$A33)</f>
        <v>107970</v>
      </c>
      <c r="E33" s="139" t="n">
        <f aca="false">SUMIFS(報告入力!$BB$7:$BB$696,報告入力!$A$7:$A$696,$S$2,報告入力!$B$7:$B$696,$A33)</f>
        <v>8850</v>
      </c>
      <c r="F33" s="138" t="n">
        <f aca="false">SUMIFS(報告入力!$BC$7:$BC$696,報告入力!$A$7:$A$696,$S$2,報告入力!$B$7:$B$696,$A33)</f>
        <v>102</v>
      </c>
      <c r="G33" s="133" t="n">
        <f aca="false">SUM(B33:F33)</f>
        <v>233742</v>
      </c>
      <c r="H33" s="139" t="n">
        <f aca="false">SUMIFS(報告入力!$BD$7:$BD$696,報告入力!$A$7:$A$696,$S$2,報告入力!$B$7:$B$696,$A33)</f>
        <v>61194</v>
      </c>
      <c r="I33" s="140" t="n">
        <f aca="false">SUMIFS(報告入力!$BE$7:$BE$696,報告入力!$A$7:$A$696,$S$2,報告入力!$B$7:$B$696,$A33)</f>
        <v>61253</v>
      </c>
      <c r="J33" s="141" t="n">
        <f aca="false">SUM(H33:I33)</f>
        <v>122447</v>
      </c>
      <c r="K33" s="139" t="n">
        <f aca="false">SUMIFS(報告入力!$BF$7:$BF$696,報告入力!$A$7:$A$696,$S$2,報告入力!$B$7:$B$696,$A33)</f>
        <v>9322</v>
      </c>
      <c r="L33" s="140" t="n">
        <f aca="false">SUMIFS(報告入力!$BG$7:$BG$696,報告入力!$A$7:$A$696,$S$2,報告入力!$B$7:$B$696,$A33)</f>
        <v>9322</v>
      </c>
      <c r="M33" s="141" t="n">
        <f aca="false">SUM(K33:L33)</f>
        <v>18644</v>
      </c>
      <c r="N33" s="139" t="n">
        <f aca="false">SUMIFS(報告入力!$BH$7:$BH$696,報告入力!$A$7:$A$696,$S$2,報告入力!$B$7:$B$696,$A33)</f>
        <v>1356</v>
      </c>
      <c r="O33" s="140" t="n">
        <f aca="false">SUMIFS(報告入力!$BI$7:$BI$696,報告入力!$A$7:$A$696,$S$2,報告入力!$B$7:$B$696,$A33)</f>
        <v>1357</v>
      </c>
      <c r="P33" s="141" t="n">
        <f aca="false">SUM(N33:O33)</f>
        <v>2713</v>
      </c>
      <c r="R33" s="135" t="str">
        <f aca="false">IFERROR(INDEX(報告入力!$C$7:$C$696,MATCH($S$2&amp;"|"&amp;$A33,報告入力!$CM$7:$CM$696,0)),"")</f>
        <v>入金確認済</v>
      </c>
    </row>
    <row r="34" s="135" customFormat="true" ht="20.1" hidden="false" customHeight="true" outlineLevel="0" collapsed="false">
      <c r="A34" s="125" t="s">
        <v>192</v>
      </c>
      <c r="B34" s="210" t="n">
        <f aca="false">SUMIFS(報告入力!$AY$7:$AY$696,報告入力!$A$7:$A$696,$S$2,報告入力!$B$7:$B$696,$A34)</f>
        <v>784155</v>
      </c>
      <c r="C34" s="148" t="n">
        <f aca="false">SUMIFS(報告入力!$AZ$7:$AZ$696,報告入力!$A$7:$A$696,$S$2,報告入力!$B$7:$B$696,$A34)</f>
        <v>64275</v>
      </c>
      <c r="D34" s="210" t="n">
        <f aca="false">SUMIFS(報告入力!$BA$7:$BA$696,報告入力!$A$7:$A$696,$S$2,報告入力!$B$7:$B$696,$A34)</f>
        <v>784155</v>
      </c>
      <c r="E34" s="223" t="n">
        <f aca="false">SUMIFS(報告入力!$BB$7:$BB$696,報告入力!$A$7:$A$696,$S$2,報告入力!$B$7:$B$696,$A34)</f>
        <v>64275</v>
      </c>
      <c r="F34" s="224" t="n">
        <f aca="false">SUMIFS(報告入力!$BC$7:$BC$696,報告入力!$A$7:$A$696,$S$2,報告入力!$B$7:$B$696,$A34)</f>
        <v>804</v>
      </c>
      <c r="G34" s="133" t="n">
        <f aca="false">SUM(B34:F34)</f>
        <v>1697664</v>
      </c>
      <c r="H34" s="223" t="n">
        <f aca="false">SUMIFS(報告入力!$BD$7:$BD$696,報告入力!$A$7:$A$696,$S$2,報告入力!$B$7:$B$696,$A34)</f>
        <v>444434</v>
      </c>
      <c r="I34" s="225" t="n">
        <f aca="false">SUMIFS(報告入力!$BE$7:$BE$696,報告入力!$A$7:$A$696,$S$2,報告入力!$B$7:$B$696,$A34)</f>
        <v>444868</v>
      </c>
      <c r="J34" s="141" t="n">
        <f aca="false">SUM(H34:I34)</f>
        <v>889302</v>
      </c>
      <c r="K34" s="223" t="n">
        <f aca="false">SUMIFS(報告入力!$BF$7:$BF$696,報告入力!$A$7:$A$696,$S$2,報告入力!$B$7:$B$696,$A34)</f>
        <v>39342</v>
      </c>
      <c r="L34" s="225" t="n">
        <f aca="false">SUMIFS(報告入力!$BG$7:$BG$696,報告入力!$A$7:$A$696,$S$2,報告入力!$B$7:$B$696,$A34)</f>
        <v>39342</v>
      </c>
      <c r="M34" s="141" t="n">
        <f aca="false">SUM(K34:L34)</f>
        <v>78684</v>
      </c>
      <c r="N34" s="223" t="n">
        <f aca="false">SUMIFS(報告入力!$BH$7:$BH$696,報告入力!$A$7:$A$696,$S$2,報告入力!$B$7:$B$696,$A34)</f>
        <v>9851</v>
      </c>
      <c r="O34" s="225" t="n">
        <f aca="false">SUMIFS(報告入力!$BI$7:$BI$696,報告入力!$A$7:$A$696,$S$2,報告入力!$B$7:$B$696,$A34)</f>
        <v>9855</v>
      </c>
      <c r="P34" s="141" t="n">
        <f aca="false">SUM(N34:O34)</f>
        <v>19706</v>
      </c>
      <c r="R34" s="135" t="str">
        <f aca="false">IFERROR(INDEX(報告入力!$C$7:$C$696,MATCH($S$2&amp;"|"&amp;$A34,報告入力!$CM$7:$CM$696,0)),"")</f>
        <v>入金確認済</v>
      </c>
    </row>
    <row r="35" s="135" customFormat="true" ht="20.1" hidden="false" customHeight="true" outlineLevel="0" collapsed="false">
      <c r="A35" s="125" t="s">
        <v>193</v>
      </c>
      <c r="B35" s="226"/>
      <c r="C35" s="216"/>
      <c r="D35" s="142" t="n">
        <f aca="false">SUMIFS(報告入力!$BA$7:$BA$696,報告入力!$A$7:$A$696,$S$2,報告入力!$B$7:$B$696,$A35)</f>
        <v>602070</v>
      </c>
      <c r="E35" s="149" t="n">
        <f aca="false">SUMIFS(報告入力!$BB$7:$BB$696,報告入力!$A$7:$A$696,$S$2,報告入力!$B$7:$B$696,$A35)</f>
        <v>49350</v>
      </c>
      <c r="F35" s="148" t="n">
        <f aca="false">SUMIFS(報告入力!$BC$7:$BC$696,報告入力!$A$7:$A$696,$S$2,報告入力!$B$7:$B$696,$A35)</f>
        <v>598</v>
      </c>
      <c r="G35" s="133" t="n">
        <f aca="false">SUM(B35:F35)</f>
        <v>652018</v>
      </c>
      <c r="H35" s="227"/>
      <c r="I35" s="150" t="n">
        <f aca="false">SUMIFS(報告入力!$BE$7:$BE$696,報告入力!$A$7:$A$696,$S$2,報告入力!$B$7:$B$696,$A35)</f>
        <v>341582</v>
      </c>
      <c r="J35" s="141" t="n">
        <f aca="false">SUM(H35:I35)</f>
        <v>341582</v>
      </c>
      <c r="K35" s="227"/>
      <c r="L35" s="150" t="n">
        <f aca="false">SUMIFS(報告入力!$BG$7:$BG$696,報告入力!$A$7:$A$696,$S$2,報告入力!$B$7:$B$696,$A35)</f>
        <v>28203</v>
      </c>
      <c r="M35" s="141" t="n">
        <f aca="false">SUM(K35:L35)</f>
        <v>28203</v>
      </c>
      <c r="N35" s="227"/>
      <c r="O35" s="150" t="n">
        <f aca="false">SUMIFS(報告入力!$BI$7:$BI$696,報告入力!$A$7:$A$696,$S$2,報告入力!$B$7:$B$696,$A35)</f>
        <v>7565</v>
      </c>
      <c r="P35" s="141" t="n">
        <f aca="false">SUM(N35:O35)</f>
        <v>7565</v>
      </c>
      <c r="R35" s="135" t="str">
        <f aca="false">IFERROR(INDEX(報告入力!$C$7:$C$696,MATCH($S$2&amp;"|"&amp;$A35,報告入力!$CM$7:$CM$696,0)),"")</f>
        <v>入金確認済</v>
      </c>
    </row>
    <row r="36" s="135" customFormat="true" ht="20.1" hidden="false" customHeight="true" outlineLevel="0" collapsed="false">
      <c r="A36" s="228" t="s">
        <v>194</v>
      </c>
      <c r="B36" s="211"/>
      <c r="C36" s="218"/>
      <c r="D36" s="136" t="n">
        <f aca="false">SUMIFS(報告入力!$BA$7:$BA$696,報告入力!$A$7:$A$696,$S$2,報告入力!$B$7:$B$696,$A36)</f>
        <v>1056825</v>
      </c>
      <c r="E36" s="139" t="n">
        <f aca="false">SUMIFS(報告入力!$BB$7:$BB$696,報告入力!$A$7:$A$696,$S$2,報告入力!$B$7:$B$696,$A36)</f>
        <v>86625</v>
      </c>
      <c r="F36" s="148" t="n">
        <f aca="false">SUMIFS(報告入力!$BC$7:$BC$696,報告入力!$A$7:$A$696,$S$2,報告入力!$B$7:$B$696,$A36)</f>
        <v>1000</v>
      </c>
      <c r="G36" s="133" t="n">
        <f aca="false">SUM(B36:F36)</f>
        <v>1144450</v>
      </c>
      <c r="H36" s="213"/>
      <c r="I36" s="150" t="n">
        <f aca="false">SUMIFS(報告入力!$BE$7:$BE$696,報告入力!$A$7:$A$696,$S$2,報告入力!$B$7:$B$696,$A36)</f>
        <v>602672</v>
      </c>
      <c r="J36" s="141" t="n">
        <f aca="false">SUM(H36:I36)</f>
        <v>602672</v>
      </c>
      <c r="K36" s="213"/>
      <c r="L36" s="150" t="n">
        <f aca="false">SUMIFS(報告入力!$BG$7:$BG$696,報告入力!$A$7:$A$696,$S$2,報告入力!$B$7:$B$696,$A36)</f>
        <v>86347</v>
      </c>
      <c r="M36" s="141" t="n">
        <f aca="false">SUM(K36:L36)</f>
        <v>86347</v>
      </c>
      <c r="N36" s="213"/>
      <c r="O36" s="150" t="n">
        <f aca="false">SUMIFS(報告入力!$BI$7:$BI$696,報告入力!$A$7:$A$696,$S$2,報告入力!$B$7:$B$696,$A36)</f>
        <v>13350</v>
      </c>
      <c r="P36" s="141" t="n">
        <f aca="false">SUM(N36:O36)</f>
        <v>13350</v>
      </c>
      <c r="R36" s="135" t="str">
        <f aca="false">IFERROR(INDEX(報告入力!$C$7:$C$696,MATCH($S$2&amp;"|"&amp;$A36,報告入力!$CM$7:$CM$696,0)),"")</f>
        <v>入金確認済</v>
      </c>
    </row>
    <row r="37" s="135" customFormat="true" ht="20.1" hidden="false" customHeight="true" outlineLevel="0" collapsed="false">
      <c r="A37" s="229" t="s">
        <v>195</v>
      </c>
      <c r="B37" s="211"/>
      <c r="C37" s="218"/>
      <c r="D37" s="136" t="n">
        <f aca="false">SUMIFS(報告入力!$BA$7:$BA$696,報告入力!$A$7:$A$696,$S$2,報告入力!$B$7:$B$696,$A37)</f>
        <v>0</v>
      </c>
      <c r="E37" s="139" t="n">
        <f aca="false">SUMIFS(報告入力!$BB$7:$BB$696,報告入力!$A$7:$A$696,$S$2,報告入力!$B$7:$B$696,$A37)</f>
        <v>0</v>
      </c>
      <c r="F37" s="148" t="n">
        <f aca="false">SUMIFS(報告入力!$BC$7:$BC$696,報告入力!$A$7:$A$696,$S$2,報告入力!$B$7:$B$696,$A37)</f>
        <v>0</v>
      </c>
      <c r="G37" s="133" t="n">
        <f aca="false">SUM(B37:F37)</f>
        <v>0</v>
      </c>
      <c r="H37" s="213"/>
      <c r="I37" s="150" t="n">
        <f aca="false">SUMIFS(報告入力!$BE$7:$BE$696,報告入力!$A$7:$A$696,$S$2,報告入力!$B$7:$B$696,$A37)</f>
        <v>0</v>
      </c>
      <c r="J37" s="141" t="n">
        <f aca="false">SUM(H37:I37)</f>
        <v>0</v>
      </c>
      <c r="K37" s="213"/>
      <c r="L37" s="150" t="n">
        <f aca="false">SUMIFS(報告入力!$BG$7:$BG$696,報告入力!$A$7:$A$696,$S$2,報告入力!$B$7:$B$696,$A37)</f>
        <v>0</v>
      </c>
      <c r="M37" s="141" t="n">
        <f aca="false">SUM(K37:L37)</f>
        <v>0</v>
      </c>
      <c r="N37" s="213"/>
      <c r="O37" s="150" t="n">
        <f aca="false">SUMIFS(報告入力!$BI$7:$BI$696,報告入力!$A$7:$A$696,$S$2,報告入力!$B$7:$B$696,$A37)</f>
        <v>0</v>
      </c>
      <c r="P37" s="141" t="n">
        <f aca="false">SUM(N37:O37)</f>
        <v>0</v>
      </c>
      <c r="R37" s="135" t="str">
        <f aca="false">IFERROR(INDEX(報告入力!$C$7:$C$696,MATCH($S$2&amp;"|"&amp;$A37,報告入力!$CM$7:$CM$696,0)),"")</f>
        <v>入金確認済</v>
      </c>
    </row>
    <row r="38" s="135" customFormat="true" ht="20.1" hidden="false" customHeight="true" outlineLevel="0" collapsed="false">
      <c r="A38" s="125" t="s">
        <v>196</v>
      </c>
      <c r="B38" s="211"/>
      <c r="C38" s="218"/>
      <c r="D38" s="136" t="n">
        <f aca="false">SUMIFS(報告入力!$BA$7:$BA$696,報告入力!$A$7:$A$696,$S$2,報告入力!$B$7:$B$696,$A38)</f>
        <v>405345</v>
      </c>
      <c r="E38" s="139" t="n">
        <f aca="false">SUMIFS(報告入力!$BB$7:$BB$696,報告入力!$A$7:$A$696,$S$2,報告入力!$B$7:$B$696,$A38)</f>
        <v>33225</v>
      </c>
      <c r="F38" s="148" t="n">
        <f aca="false">SUMIFS(報告入力!$BC$7:$BC$696,報告入力!$A$7:$A$696,$S$2,報告入力!$B$7:$B$696,$A38)</f>
        <v>383</v>
      </c>
      <c r="G38" s="133" t="n">
        <f aca="false">SUM(B38:F38)</f>
        <v>438953</v>
      </c>
      <c r="H38" s="213"/>
      <c r="I38" s="150" t="n">
        <f aca="false">SUMIFS(報告入力!$BE$7:$BE$696,報告入力!$A$7:$A$696,$S$2,報告入力!$B$7:$B$696,$A38)</f>
        <v>229959</v>
      </c>
      <c r="J38" s="141" t="n">
        <f aca="false">SUM(H38:I38)</f>
        <v>229959</v>
      </c>
      <c r="K38" s="213"/>
      <c r="L38" s="150" t="n">
        <f aca="false">SUMIFS(報告入力!$BG$7:$BG$696,報告入力!$A$7:$A$696,$S$2,報告入力!$B$7:$B$696,$A38)</f>
        <v>34997</v>
      </c>
      <c r="M38" s="141" t="n">
        <f aca="false">SUM(K38:L38)</f>
        <v>34997</v>
      </c>
      <c r="N38" s="213"/>
      <c r="O38" s="150" t="n">
        <f aca="false">SUMIFS(報告入力!$BI$7:$BI$696,報告入力!$A$7:$A$696,$S$2,報告入力!$B$7:$B$696,$A38)</f>
        <v>5093</v>
      </c>
      <c r="P38" s="141" t="n">
        <f aca="false">SUM(N38:O38)</f>
        <v>5093</v>
      </c>
      <c r="R38" s="135" t="str">
        <f aca="false">IFERROR(INDEX(報告入力!$C$7:$C$696,MATCH($S$2&amp;"|"&amp;$A38,報告入力!$CM$7:$CM$696,0)),"")</f>
        <v>入金確認済</v>
      </c>
    </row>
    <row r="39" s="135" customFormat="true" ht="20.1" hidden="false" customHeight="true" outlineLevel="0" collapsed="false">
      <c r="A39" s="146" t="s">
        <v>197</v>
      </c>
      <c r="B39" s="136" t="n">
        <f aca="false">SUMIFS(報告入力!$AY$7:$AY$696,報告入力!$A$7:$A$696,$S$2,報告入力!$B$7:$B$696,$A39)</f>
        <v>148230</v>
      </c>
      <c r="C39" s="138" t="n">
        <f aca="false">SUMIFS(報告入力!$AZ$7:$AZ$696,報告入力!$A$7:$A$696,$S$2,報告入力!$B$7:$B$696,$A39)</f>
        <v>12150</v>
      </c>
      <c r="D39" s="136" t="n">
        <f aca="false">SUMIFS(報告入力!$BA$7:$BA$696,報告入力!$A$7:$A$696,$S$2,報告入力!$B$7:$B$696,$A39)</f>
        <v>148230</v>
      </c>
      <c r="E39" s="230" t="n">
        <f aca="false">SUMIFS(報告入力!$BB$7:$BB$696,報告入力!$A$7:$A$696,$S$2,報告入力!$B$7:$B$696,$A39)</f>
        <v>12150</v>
      </c>
      <c r="F39" s="147" t="n">
        <f aca="false">SUMIFS(報告入力!$BC$7:$BC$696,報告入力!$A$7:$A$696,$S$2,報告入力!$B$7:$B$696,$A39)</f>
        <v>140</v>
      </c>
      <c r="G39" s="133" t="n">
        <f aca="false">SUM(B39:F39)</f>
        <v>320900</v>
      </c>
      <c r="H39" s="139" t="n">
        <f aca="false">SUMIFS(報告入力!$BD$7:$BD$696,報告入力!$A$7:$A$696,$S$2,報告入力!$B$7:$B$696,$A39)</f>
        <v>87123</v>
      </c>
      <c r="I39" s="150" t="n">
        <f aca="false">SUMIFS(報告入力!$BE$7:$BE$696,報告入力!$A$7:$A$696,$S$2,報告入力!$B$7:$B$696,$A39)</f>
        <v>87208</v>
      </c>
      <c r="J39" s="141" t="n">
        <f aca="false">SUM(H39:I39)</f>
        <v>174331</v>
      </c>
      <c r="K39" s="139" t="n">
        <f aca="false">SUMIFS(報告入力!$BF$7:$BF$696,報告入力!$A$7:$A$696,$S$2,報告入力!$B$7:$B$696,$A39)</f>
        <v>10033</v>
      </c>
      <c r="L39" s="150" t="n">
        <f aca="false">SUMIFS(報告入力!$BG$7:$BG$696,報告入力!$A$7:$A$696,$S$2,報告入力!$B$7:$B$696,$A39)</f>
        <v>10033</v>
      </c>
      <c r="M39" s="141" t="n">
        <f aca="false">SUM(K39:L39)</f>
        <v>20066</v>
      </c>
      <c r="N39" s="139" t="n">
        <f aca="false">SUMIFS(報告入力!$BH$7:$BH$696,報告入力!$A$7:$A$696,$S$2,報告入力!$B$7:$B$696,$A39)</f>
        <v>1931</v>
      </c>
      <c r="O39" s="150" t="n">
        <f aca="false">SUMIFS(報告入力!$BI$7:$BI$696,報告入力!$A$7:$A$696,$S$2,報告入力!$B$7:$B$696,$A39)</f>
        <v>1932</v>
      </c>
      <c r="P39" s="141" t="n">
        <f aca="false">SUM(N39:O39)</f>
        <v>3863</v>
      </c>
      <c r="R39" s="135" t="str">
        <f aca="false">IFERROR(INDEX(報告入力!$C$7:$C$696,MATCH($S$2&amp;"|"&amp;$A39,報告入力!$CM$7:$CM$696,0)),"")</f>
        <v>入金確認済</v>
      </c>
    </row>
    <row r="40" s="135" customFormat="true" ht="22.5" hidden="false" customHeight="true" outlineLevel="0" collapsed="false">
      <c r="A40" s="231" t="s">
        <v>219</v>
      </c>
      <c r="B40" s="226"/>
      <c r="C40" s="216"/>
      <c r="D40" s="136" t="n">
        <f aca="false">SUMIFS(報告入力!$BA$7:$BA$696,報告入力!$A$7:$A$696,$S$2,報告入力!$B$7:$B$696,$A40)</f>
        <v>455670</v>
      </c>
      <c r="E40" s="139" t="n">
        <f aca="false">SUMIFS(報告入力!$BB$7:$BB$696,報告入力!$A$7:$A$696,$S$2,報告入力!$B$7:$B$696,$A40)</f>
        <v>37350</v>
      </c>
      <c r="F40" s="148" t="n">
        <f aca="false">SUMIFS(報告入力!$BC$7:$BC$696,報告入力!$A$7:$A$696,$S$2,報告入力!$B$7:$B$696,$A40)</f>
        <v>432</v>
      </c>
      <c r="G40" s="133" t="n">
        <f aca="false">SUM(B40:F40)</f>
        <v>493452</v>
      </c>
      <c r="H40" s="227"/>
      <c r="I40" s="150" t="n">
        <f aca="false">SUMIFS(報告入力!$BE$7:$BE$696,報告入力!$A$7:$A$696,$S$2,報告入力!$B$7:$B$696,$A40)</f>
        <v>263702</v>
      </c>
      <c r="J40" s="141" t="n">
        <f aca="false">SUM(H40:I40)</f>
        <v>263702</v>
      </c>
      <c r="K40" s="227"/>
      <c r="L40" s="150" t="n">
        <f aca="false">SUMIFS(報告入力!$BG$7:$BG$696,報告入力!$A$7:$A$696,$S$2,報告入力!$B$7:$B$696,$A40)</f>
        <v>21093</v>
      </c>
      <c r="M40" s="141" t="n">
        <f aca="false">SUM(K40:L40)</f>
        <v>21093</v>
      </c>
      <c r="N40" s="227"/>
      <c r="O40" s="150" t="n">
        <f aca="false">SUMIFS(報告入力!$BI$7:$BI$696,報告入力!$A$7:$A$696,$S$2,報告入力!$B$7:$B$696,$A40)</f>
        <v>5842</v>
      </c>
      <c r="P40" s="141" t="n">
        <f aca="false">SUM(N40:O40)</f>
        <v>5842</v>
      </c>
      <c r="R40" s="135" t="str">
        <f aca="false">IFERROR(INDEX(報告入力!$C$7:$C$696,MATCH($S$2&amp;"|"&amp;$A40,報告入力!$CM$7:$CM$696,0)),"")</f>
        <v>入金確認済</v>
      </c>
    </row>
    <row r="41" s="135" customFormat="true" ht="20.1" hidden="false" customHeight="true" outlineLevel="0" collapsed="false">
      <c r="A41" s="214" t="s">
        <v>199</v>
      </c>
      <c r="B41" s="136" t="n">
        <f aca="false">SUMIFS(報告入力!$AY$7:$AY$696,報告入力!$A$7:$A$696,$S$2,報告入力!$B$7:$B$696,$A41)</f>
        <v>56730</v>
      </c>
      <c r="C41" s="138" t="n">
        <f aca="false">SUMIFS(報告入力!$AZ$7:$AZ$696,報告入力!$A$7:$A$696,$S$2,報告入力!$B$7:$B$696,$A41)</f>
        <v>4650</v>
      </c>
      <c r="D41" s="136" t="n">
        <f aca="false">SUMIFS(報告入力!$BA$7:$BA$696,報告入力!$A$7:$A$696,$S$2,報告入力!$B$7:$B$696,$A41)</f>
        <v>56730</v>
      </c>
      <c r="E41" s="139" t="n">
        <f aca="false">SUMIFS(報告入力!$BB$7:$BB$696,報告入力!$A$7:$A$696,$S$2,報告入力!$B$7:$B$696,$A41)</f>
        <v>4650</v>
      </c>
      <c r="F41" s="138" t="n">
        <f aca="false">SUMIFS(報告入力!$BC$7:$BC$696,報告入力!$A$7:$A$696,$S$2,報告入力!$B$7:$B$696,$A41)</f>
        <v>53</v>
      </c>
      <c r="G41" s="133" t="n">
        <f aca="false">SUM(B41:F41)</f>
        <v>122813</v>
      </c>
      <c r="H41" s="139" t="n">
        <f aca="false">SUMIFS(報告入力!$BD$7:$BD$696,報告入力!$A$7:$A$696,$S$2,報告入力!$B$7:$B$696,$A41)</f>
        <v>32153</v>
      </c>
      <c r="I41" s="140" t="n">
        <f aca="false">SUMIFS(報告入力!$BE$7:$BE$696,報告入力!$A$7:$A$696,$S$2,報告入力!$B$7:$B$696,$A41)</f>
        <v>32184</v>
      </c>
      <c r="J41" s="141" t="n">
        <f aca="false">SUM(H41:I41)</f>
        <v>64337</v>
      </c>
      <c r="K41" s="139" t="n">
        <f aca="false">SUMIFS(報告入力!$BF$7:$BF$696,報告入力!$A$7:$A$696,$S$2,報告入力!$B$7:$B$696,$A41)</f>
        <v>4898</v>
      </c>
      <c r="L41" s="140" t="n">
        <f aca="false">SUMIFS(報告入力!$BG$7:$BG$696,報告入力!$A$7:$A$696,$S$2,報告入力!$B$7:$B$696,$A41)</f>
        <v>4898</v>
      </c>
      <c r="M41" s="141" t="n">
        <f aca="false">SUM(K41:L41)</f>
        <v>9796</v>
      </c>
      <c r="N41" s="139" t="n">
        <f aca="false">SUMIFS(報告入力!$BH$7:$BH$696,報告入力!$A$7:$A$696,$S$2,報告入力!$B$7:$B$696,$A41)</f>
        <v>713</v>
      </c>
      <c r="O41" s="140" t="n">
        <f aca="false">SUMIFS(報告入力!$BI$7:$BI$696,報告入力!$A$7:$A$696,$S$2,報告入力!$B$7:$B$696,$A41)</f>
        <v>713</v>
      </c>
      <c r="P41" s="141" t="n">
        <f aca="false">SUM(N41:O41)</f>
        <v>1426</v>
      </c>
      <c r="R41" s="135" t="str">
        <f aca="false">IFERROR(INDEX(報告入力!$C$7:$C$696,MATCH($S$2&amp;"|"&amp;$A41,報告入力!$CM$7:$CM$696,0)),"")</f>
        <v>入金確認済</v>
      </c>
    </row>
    <row r="42" s="135" customFormat="true" ht="20.1" hidden="false" customHeight="true" outlineLevel="0" collapsed="false">
      <c r="A42" s="214" t="s">
        <v>200</v>
      </c>
      <c r="B42" s="136" t="n">
        <f aca="false">SUMIFS(報告入力!$AY$7:$AY$696,報告入力!$A$7:$A$696,$S$2,報告入力!$B$7:$B$696,$A42)</f>
        <v>59475</v>
      </c>
      <c r="C42" s="138" t="n">
        <f aca="false">SUMIFS(報告入力!$AZ$7:$AZ$696,報告入力!$A$7:$A$696,$S$2,報告入力!$B$7:$B$696,$A42)</f>
        <v>4875</v>
      </c>
      <c r="D42" s="136" t="n">
        <f aca="false">SUMIFS(報告入力!$BA$7:$BA$696,報告入力!$A$7:$A$696,$S$2,報告入力!$B$7:$B$696,$A42)</f>
        <v>59475</v>
      </c>
      <c r="E42" s="139" t="n">
        <f aca="false">SUMIFS(報告入力!$BB$7:$BB$696,報告入力!$A$7:$A$696,$S$2,報告入力!$B$7:$B$696,$A42)</f>
        <v>4875</v>
      </c>
      <c r="F42" s="138" t="n">
        <f aca="false">SUMIFS(報告入力!$BC$7:$BC$696,報告入力!$A$7:$A$696,$S$2,報告入力!$B$7:$B$696,$A42)</f>
        <v>56</v>
      </c>
      <c r="G42" s="133" t="n">
        <f aca="false">SUM(B42:F42)</f>
        <v>128756</v>
      </c>
      <c r="H42" s="139" t="n">
        <f aca="false">SUMIFS(報告入力!$BD$7:$BD$696,報告入力!$A$7:$A$696,$S$2,報告入力!$B$7:$B$696,$A42)</f>
        <v>38895</v>
      </c>
      <c r="I42" s="140" t="n">
        <f aca="false">SUMIFS(報告入力!$BE$7:$BE$696,報告入力!$A$7:$A$696,$S$2,報告入力!$B$7:$B$696,$A42)</f>
        <v>38932</v>
      </c>
      <c r="J42" s="141" t="n">
        <f aca="false">SUM(H42:I42)</f>
        <v>77827</v>
      </c>
      <c r="K42" s="139" t="n">
        <f aca="false">SUMIFS(報告入力!$BF$7:$BF$696,報告入力!$A$7:$A$696,$S$2,報告入力!$B$7:$B$696,$A42)</f>
        <v>5925</v>
      </c>
      <c r="L42" s="140" t="n">
        <f aca="false">SUMIFS(報告入力!$BG$7:$BG$696,報告入力!$A$7:$A$696,$S$2,報告入力!$B$7:$B$696,$A42)</f>
        <v>5925</v>
      </c>
      <c r="M42" s="141" t="n">
        <f aca="false">SUM(K42:L42)</f>
        <v>11850</v>
      </c>
      <c r="N42" s="139" t="n">
        <f aca="false">SUMIFS(報告入力!$BH$7:$BH$696,報告入力!$A$7:$A$696,$S$2,報告入力!$B$7:$B$696,$A42)</f>
        <v>862</v>
      </c>
      <c r="O42" s="140" t="n">
        <f aca="false">SUMIFS(報告入力!$BI$7:$BI$696,報告入力!$A$7:$A$696,$S$2,報告入力!$B$7:$B$696,$A42)</f>
        <v>862</v>
      </c>
      <c r="P42" s="141" t="n">
        <f aca="false">SUM(N42:O42)</f>
        <v>1724</v>
      </c>
      <c r="R42" s="135" t="str">
        <f aca="false">IFERROR(INDEX(報告入力!$C$7:$C$696,MATCH($S$2&amp;"|"&amp;$A42,報告入力!$CM$7:$CM$696,0)),"")</f>
        <v>入金確認済</v>
      </c>
    </row>
    <row r="43" s="135" customFormat="true" ht="20.1" hidden="false" customHeight="true" outlineLevel="0" collapsed="false">
      <c r="A43" s="214" t="s">
        <v>201</v>
      </c>
      <c r="B43" s="136" t="n">
        <f aca="false">SUMIFS(報告入力!$AY$7:$AY$696,報告入力!$A$7:$A$696,$S$2,報告入力!$B$7:$B$696,$A43)</f>
        <v>37515</v>
      </c>
      <c r="C43" s="138" t="n">
        <f aca="false">SUMIFS(報告入力!$AZ$7:$AZ$696,報告入力!$A$7:$A$696,$S$2,報告入力!$B$7:$B$696,$A43)</f>
        <v>3075</v>
      </c>
      <c r="D43" s="136" t="n">
        <f aca="false">SUMIFS(報告入力!$BA$7:$BA$696,報告入力!$A$7:$A$696,$S$2,報告入力!$B$7:$B$696,$A43)</f>
        <v>37515</v>
      </c>
      <c r="E43" s="139" t="n">
        <f aca="false">SUMIFS(報告入力!$BB$7:$BB$696,報告入力!$A$7:$A$696,$S$2,報告入力!$B$7:$B$696,$A43)</f>
        <v>3075</v>
      </c>
      <c r="F43" s="138" t="n">
        <f aca="false">SUMIFS(報告入力!$BC$7:$BC$696,報告入力!$A$7:$A$696,$S$2,報告入力!$B$7:$B$696,$A43)</f>
        <v>35</v>
      </c>
      <c r="G43" s="133" t="n">
        <f aca="false">SUM(B43:F43)</f>
        <v>81215</v>
      </c>
      <c r="H43" s="139" t="n">
        <f aca="false">SUMIFS(報告入力!$BD$7:$BD$696,報告入力!$A$7:$A$696,$S$2,報告入力!$B$7:$B$696,$A43)</f>
        <v>21262</v>
      </c>
      <c r="I43" s="140" t="n">
        <f aca="false">SUMIFS(報告入力!$BE$7:$BE$696,報告入力!$A$7:$A$696,$S$2,報告入力!$B$7:$B$696,$A43)</f>
        <v>21283</v>
      </c>
      <c r="J43" s="141" t="n">
        <f aca="false">SUM(H43:I43)</f>
        <v>42545</v>
      </c>
      <c r="K43" s="139" t="n">
        <f aca="false">SUMIFS(報告入力!$BF$7:$BF$696,報告入力!$A$7:$A$696,$S$2,報告入力!$B$7:$B$696,$A43)</f>
        <v>0</v>
      </c>
      <c r="L43" s="140" t="n">
        <f aca="false">SUMIFS(報告入力!$BG$7:$BG$696,報告入力!$A$7:$A$696,$S$2,報告入力!$B$7:$B$696,$A43)</f>
        <v>0</v>
      </c>
      <c r="M43" s="141" t="n">
        <f aca="false">SUM(K43:L43)</f>
        <v>0</v>
      </c>
      <c r="N43" s="142" t="n">
        <f aca="false">SUMIFS(報告入力!$BH$7:$BH$696,報告入力!$A$7:$A$696,$S$2,報告入力!$B$7:$B$696,$A43)</f>
        <v>471</v>
      </c>
      <c r="O43" s="230" t="n">
        <f aca="false">SUMIFS(報告入力!$BI$7:$BI$696,報告入力!$A$7:$A$696,$S$2,報告入力!$B$7:$B$696,$A43)</f>
        <v>471</v>
      </c>
      <c r="P43" s="141" t="n">
        <f aca="false">SUM(N43:O43)</f>
        <v>942</v>
      </c>
      <c r="R43" s="135" t="str">
        <f aca="false">IFERROR(INDEX(報告入力!$C$7:$C$696,MATCH($S$2&amp;"|"&amp;$A43,報告入力!$CM$7:$CM$696,0)),"")</f>
        <v>入金確認済</v>
      </c>
    </row>
    <row r="44" s="135" customFormat="true" ht="20.1" hidden="false" customHeight="true" outlineLevel="0" collapsed="false">
      <c r="A44" s="146" t="s">
        <v>202</v>
      </c>
      <c r="B44" s="136" t="n">
        <f aca="false">SUMIFS(報告入力!$AY$7:$AY$696,報告入力!$A$7:$A$696,$S$2,報告入力!$B$7:$B$696,$A44)</f>
        <v>1201395</v>
      </c>
      <c r="C44" s="138" t="n">
        <f aca="false">SUMIFS(報告入力!$AZ$7:$AZ$696,報告入力!$A$7:$A$696,$S$2,報告入力!$B$7:$B$696,$A44)</f>
        <v>98475</v>
      </c>
      <c r="D44" s="136" t="n">
        <f aca="false">SUMIFS(報告入力!$BA$7:$BA$696,報告入力!$A$7:$A$696,$S$2,報告入力!$B$7:$B$696,$A44)</f>
        <v>1201395</v>
      </c>
      <c r="E44" s="139" t="n">
        <f aca="false">SUMIFS(報告入力!$BB$7:$BB$696,報告入力!$A$7:$A$696,$S$2,報告入力!$B$7:$B$696,$A44)</f>
        <v>98475</v>
      </c>
      <c r="F44" s="138" t="n">
        <f aca="false">SUMIFS(報告入力!$BC$7:$BC$696,報告入力!$A$7:$A$696,$S$2,報告入力!$B$7:$B$696,$A44)</f>
        <v>1208</v>
      </c>
      <c r="G44" s="133" t="n">
        <f aca="false">SUM(B44:F44)</f>
        <v>2600948</v>
      </c>
      <c r="H44" s="139" t="n">
        <f aca="false">SUMIFS(報告入力!$BD$7:$BD$696,報告入力!$A$7:$A$696,$S$2,報告入力!$B$7:$B$696,$A44)</f>
        <v>690245</v>
      </c>
      <c r="I44" s="140" t="n">
        <f aca="false">SUMIFS(報告入力!$BE$7:$BE$696,報告入力!$A$7:$A$696,$S$2,報告入力!$B$7:$B$696,$A44)</f>
        <v>690961</v>
      </c>
      <c r="J44" s="141" t="n">
        <f aca="false">SUM(H44:I44)</f>
        <v>1381206</v>
      </c>
      <c r="K44" s="139" t="n">
        <f aca="false">SUMIFS(報告入力!$BF$7:$BF$696,報告入力!$A$7:$A$696,$S$2,報告入力!$B$7:$B$696,$A44)</f>
        <v>79632</v>
      </c>
      <c r="L44" s="140" t="n">
        <f aca="false">SUMIFS(報告入力!$BG$7:$BG$696,報告入力!$A$7:$A$696,$S$2,報告入力!$B$7:$B$696,$A44)</f>
        <v>79632</v>
      </c>
      <c r="M44" s="141" t="n">
        <f aca="false">SUM(K44:L44)</f>
        <v>159264</v>
      </c>
      <c r="N44" s="139" t="n">
        <f aca="false">SUMIFS(報告入力!$BH$7:$BH$696,報告入力!$A$7:$A$696,$S$2,報告入力!$B$7:$B$696,$A44)</f>
        <v>15300</v>
      </c>
      <c r="O44" s="140" t="n">
        <f aca="false">SUMIFS(報告入力!$BI$7:$BI$696,報告入力!$A$7:$A$696,$S$2,報告入力!$B$7:$B$696,$A44)</f>
        <v>15306</v>
      </c>
      <c r="P44" s="141" t="n">
        <f aca="false">SUM(N44:O44)</f>
        <v>30606</v>
      </c>
      <c r="R44" s="135" t="str">
        <f aca="false">IFERROR(INDEX(報告入力!$C$7:$C$696,MATCH($S$2&amp;"|"&amp;$A44,報告入力!$CM$7:$CM$696,0)),"")</f>
        <v>入金確認済</v>
      </c>
    </row>
    <row r="45" s="135" customFormat="true" ht="20.1" hidden="false" customHeight="true" outlineLevel="0" collapsed="false">
      <c r="A45" s="146" t="s">
        <v>203</v>
      </c>
      <c r="B45" s="226"/>
      <c r="C45" s="216"/>
      <c r="D45" s="142" t="n">
        <f aca="false">SUMIFS(報告入力!$BA$7:$BA$696,報告入力!$A$7:$A$696,$S$2,報告入力!$B$7:$B$696,$A45)</f>
        <v>242475</v>
      </c>
      <c r="E45" s="143" t="n">
        <f aca="false">SUMIFS(報告入力!$BB$7:$BB$696,報告入力!$A$7:$A$696,$S$2,報告入力!$B$7:$B$696,$A45)</f>
        <v>19875</v>
      </c>
      <c r="F45" s="148" t="n">
        <f aca="false">SUMIFS(報告入力!$BC$7:$BC$696,報告入力!$A$7:$A$696,$S$2,報告入力!$B$7:$B$696,$A45)</f>
        <v>230</v>
      </c>
      <c r="G45" s="133" t="n">
        <f aca="false">SUM(B45:F45)</f>
        <v>262580</v>
      </c>
      <c r="H45" s="227"/>
      <c r="I45" s="230" t="n">
        <f aca="false">SUMIFS(報告入力!$BE$7:$BE$696,報告入力!$A$7:$A$696,$S$2,報告入力!$B$7:$B$696,$A45)</f>
        <v>140676</v>
      </c>
      <c r="J45" s="141" t="n">
        <f aca="false">SUM(H45:I45)</f>
        <v>140676</v>
      </c>
      <c r="K45" s="227"/>
      <c r="L45" s="230" t="n">
        <f aca="false">SUMIFS(報告入力!$BG$7:$BG$696,報告入力!$A$7:$A$696,$S$2,報告入力!$B$7:$B$696,$A45)</f>
        <v>10507</v>
      </c>
      <c r="M45" s="141" t="n">
        <f aca="false">SUM(K45:L45)</f>
        <v>10507</v>
      </c>
      <c r="N45" s="227"/>
      <c r="O45" s="230" t="n">
        <f aca="false">SUMIFS(報告入力!$BI$7:$BI$696,報告入力!$A$7:$A$696,$S$2,報告入力!$B$7:$B$696,$A45)</f>
        <v>3116</v>
      </c>
      <c r="P45" s="141" t="n">
        <f aca="false">SUM(N45:O45)</f>
        <v>3116</v>
      </c>
      <c r="R45" s="135" t="str">
        <f aca="false">IFERROR(INDEX(報告入力!$C$7:$C$696,MATCH($S$2&amp;"|"&amp;$A45,報告入力!$CM$7:$CM$696,0)),"")</f>
        <v>入金確認済</v>
      </c>
    </row>
    <row r="46" s="135" customFormat="true" ht="19.5" hidden="false" customHeight="true" outlineLevel="0" collapsed="false">
      <c r="A46" s="232" t="s">
        <v>204</v>
      </c>
      <c r="B46" s="142" t="n">
        <f aca="false">SUMIFS(報告入力!$AY$7:$AY$696,報告入力!$A$7:$A$696,$S$2,報告入力!$B$7:$B$696,$A46)</f>
        <v>126776728</v>
      </c>
      <c r="C46" s="148" t="n">
        <f aca="false">SUMIFS(報告入力!$AZ$7:$AZ$696,報告入力!$A$7:$A$696,$S$2,報告入力!$B$7:$B$696,$A46)</f>
        <v>10388836</v>
      </c>
      <c r="D46" s="142" t="n">
        <f aca="false">SUMIFS(報告入力!$BA$7:$BA$696,報告入力!$A$7:$A$696,$S$2,報告入力!$B$7:$B$696,$A46)</f>
        <v>185329749</v>
      </c>
      <c r="E46" s="149" t="n">
        <f aca="false">SUMIFS(報告入力!$BB$7:$BB$696,報告入力!$A$7:$A$696,$S$2,報告入力!$B$7:$B$696,$A46)</f>
        <v>10386886</v>
      </c>
      <c r="F46" s="148" t="n">
        <f aca="false">SUMIFS(報告入力!$BC$7:$BC$696,報告入力!$A$7:$A$696,$S$2,報告入力!$B$7:$B$696,$A46)</f>
        <v>127334</v>
      </c>
      <c r="G46" s="133" t="n">
        <f aca="false">SUM(B46:F46)</f>
        <v>333009533</v>
      </c>
      <c r="H46" s="143" t="n">
        <f aca="false">SUMIFS(報告入力!$BD$7:$BD$696,報告入力!$A$7:$A$696,$S$2,報告入力!$B$7:$B$696,$A46)</f>
        <v>93143364</v>
      </c>
      <c r="I46" s="150" t="n">
        <f aca="false">SUMIFS(報告入力!$BE$7:$BE$696,報告入力!$A$7:$A$696,$S$2,報告入力!$B$7:$B$696,$A46)</f>
        <v>93250038</v>
      </c>
      <c r="J46" s="141" t="n">
        <f aca="false">SUM(H46:I46)</f>
        <v>186393402</v>
      </c>
      <c r="K46" s="142" t="n">
        <f aca="false">SUMIFS(報告入力!$BF$7:$BF$696,報告入力!$A$7:$A$696,$S$2,報告入力!$B$7:$B$696,$A46)</f>
        <v>7885464</v>
      </c>
      <c r="L46" s="150" t="n">
        <f aca="false">SUMIFS(報告入力!$BG$7:$BG$696,報告入力!$A$7:$A$696,$S$2,報告入力!$B$7:$B$696,$A46)</f>
        <v>7882532</v>
      </c>
      <c r="M46" s="141" t="n">
        <f aca="false">SUM(K46:L46)</f>
        <v>15767996</v>
      </c>
      <c r="N46" s="142" t="n">
        <f aca="false">SUMIFS(報告入力!$BH$7:$BH$696,報告入力!$A$7:$A$696,$S$2,報告入力!$B$7:$B$696,$A46)</f>
        <v>2063539</v>
      </c>
      <c r="O46" s="150" t="n">
        <f aca="false">SUMIFS(報告入力!$BI$7:$BI$696,報告入力!$A$7:$A$696,$S$2,報告入力!$B$7:$B$696,$A46)</f>
        <v>2063238</v>
      </c>
      <c r="P46" s="141" t="n">
        <f aca="false">SUM(N46:O46)</f>
        <v>4126777</v>
      </c>
      <c r="R46" s="135" t="str">
        <f aca="false">IFERROR(INDEX(報告入力!$C$7:$C$696,MATCH($S$2&amp;"|"&amp;$A46,報告入力!$CM$7:$CM$696,0)),"")</f>
        <v>入金確認済</v>
      </c>
    </row>
    <row r="47" s="162" customFormat="true" ht="21.75" hidden="false" customHeight="true" outlineLevel="0" collapsed="false">
      <c r="A47" s="233" t="s">
        <v>205</v>
      </c>
      <c r="B47" s="152"/>
      <c r="C47" s="156"/>
      <c r="D47" s="152"/>
      <c r="E47" s="234"/>
      <c r="F47" s="156"/>
      <c r="G47" s="235" t="n">
        <f aca="false">SUM(B47:F47)</f>
        <v>0</v>
      </c>
      <c r="H47" s="143" t="n">
        <f aca="false">SUMIFS(報告入力!$BD$7:$BD$696,報告入力!$A$7:$A$696,$S$2,報告入力!$B$7:$B$696,$A47)</f>
        <v>84011</v>
      </c>
      <c r="I47" s="150" t="n">
        <f aca="false">SUMIFS(報告入力!$BE$7:$BE$696,報告入力!$A$7:$A$696,$S$2,報告入力!$B$7:$B$696,$A47)</f>
        <v>104857</v>
      </c>
      <c r="J47" s="141" t="n">
        <f aca="false">SUM(H47:I47)</f>
        <v>188868</v>
      </c>
      <c r="K47" s="142" t="n">
        <f aca="false">SUMIFS(報告入力!$BF$7:$BF$696,報告入力!$A$7:$A$696,$S$2,報告入力!$B$7:$B$696,$A47)</f>
        <v>11060</v>
      </c>
      <c r="L47" s="150" t="n">
        <f aca="false">SUMIFS(報告入力!$BG$7:$BG$696,報告入力!$A$7:$A$696,$S$2,報告入力!$B$7:$B$696,$A47)</f>
        <v>11060</v>
      </c>
      <c r="M47" s="141" t="n">
        <f aca="false">SUM(K47:L47)</f>
        <v>22120</v>
      </c>
      <c r="N47" s="142" t="n">
        <f aca="false">SUMIFS(報告入力!$BH$7:$BH$696,報告入力!$A$7:$A$696,$S$2,報告入力!$B$7:$B$696,$A47)</f>
        <v>1861</v>
      </c>
      <c r="O47" s="150" t="n">
        <f aca="false">SUMIFS(報告入力!$BI$7:$BI$696,報告入力!$A$7:$A$696,$S$2,報告入力!$B$7:$B$696,$A47)</f>
        <v>2322</v>
      </c>
      <c r="P47" s="141" t="n">
        <f aca="false">SUM(N47:O47)</f>
        <v>4183</v>
      </c>
      <c r="R47" s="162" t="str">
        <f aca="false">IFERROR(INDEX(報告入力!$C$7:$C$696,MATCH($S$2&amp;"|"&amp;$A47,報告入力!$CM$7:$CM$696,0)),"")</f>
        <v>入金確認済</v>
      </c>
    </row>
    <row r="48" s="162" customFormat="true" ht="25.5" hidden="false" customHeight="true" outlineLevel="0" collapsed="false">
      <c r="A48" s="236" t="s">
        <v>206</v>
      </c>
      <c r="B48" s="203"/>
      <c r="C48" s="237"/>
      <c r="D48" s="203"/>
      <c r="E48" s="207"/>
      <c r="F48" s="237"/>
      <c r="G48" s="206" t="n">
        <f aca="false">SUM(B48:F48)</f>
        <v>0</v>
      </c>
      <c r="H48" s="207"/>
      <c r="I48" s="208"/>
      <c r="J48" s="160" t="n">
        <f aca="false">SUM(H48:I48)</f>
        <v>0</v>
      </c>
      <c r="K48" s="238" t="n">
        <f aca="false">SUMIFS(報告入力!$BF$7:$BF$696,報告入力!$A$7:$A$696,$S$2,報告入力!$B$7:$B$696,$A48)</f>
        <v>0</v>
      </c>
      <c r="L48" s="239" t="n">
        <f aca="false">SUMIFS(報告入力!$BG$7:$BG$696,報告入力!$A$7:$A$696,$S$2,報告入力!$B$7:$B$696,$A48)</f>
        <v>0</v>
      </c>
      <c r="M48" s="160" t="n">
        <f aca="false">SUM(K48:L48)</f>
        <v>0</v>
      </c>
      <c r="N48" s="240"/>
      <c r="O48" s="239"/>
      <c r="P48" s="160" t="n">
        <f aca="false">SUM(N48:O48)</f>
        <v>0</v>
      </c>
      <c r="R48" s="162" t="str">
        <f aca="false">IFERROR(INDEX(報告入力!$C$7:$C$696,MATCH($S$2&amp;"|"&amp;$A48,報告入力!$CM$7:$CM$696,0)),"")</f>
        <v>未受領</v>
      </c>
    </row>
    <row r="49" s="162" customFormat="true" ht="21.75" hidden="false" customHeight="true" outlineLevel="0" collapsed="false">
      <c r="A49" s="236" t="s">
        <v>207</v>
      </c>
      <c r="B49" s="136" t="n">
        <f aca="false">SUMIFS(報告入力!$AY$7:$AY$696,報告入力!$A$7:$A$696,$S$2,報告入力!$B$7:$B$696,$A49)</f>
        <v>118950</v>
      </c>
      <c r="C49" s="138" t="n">
        <f aca="false">SUMIFS(報告入力!$AZ$7:$AZ$696,報告入力!$A$7:$A$696,$S$2,報告入力!$B$7:$B$696,$A49)</f>
        <v>9750</v>
      </c>
      <c r="D49" s="136" t="n">
        <f aca="false">SUMIFS(報告入力!$BA$7:$BA$696,報告入力!$A$7:$A$696,$S$2,報告入力!$B$7:$B$696,$A49)</f>
        <v>118950</v>
      </c>
      <c r="E49" s="139" t="n">
        <f aca="false">SUMIFS(報告入力!$BB$7:$BB$696,報告入力!$A$7:$A$696,$S$2,報告入力!$B$7:$B$696,$A49)</f>
        <v>9750</v>
      </c>
      <c r="F49" s="138" t="n">
        <f aca="false">SUMIFS(報告入力!$BC$7:$BC$696,報告入力!$A$7:$A$696,$S$2,報告入力!$B$7:$B$696,$A49)</f>
        <v>112</v>
      </c>
      <c r="G49" s="133" t="n">
        <f aca="false">SUM(B49:F49)</f>
        <v>257512</v>
      </c>
      <c r="H49" s="139" t="n">
        <f aca="false">SUMIFS(報告入力!$BD$7:$BD$696,報告入力!$A$7:$A$696,$S$2,報告入力!$B$7:$B$696,$A49)</f>
        <v>81938</v>
      </c>
      <c r="I49" s="140" t="n">
        <f aca="false">SUMIFS(報告入力!$BE$7:$BE$696,報告入力!$A$7:$A$696,$S$2,報告入力!$B$7:$B$696,$A49)</f>
        <v>82017</v>
      </c>
      <c r="J49" s="141" t="n">
        <f aca="false">SUM(H49:I49)</f>
        <v>163955</v>
      </c>
      <c r="K49" s="143" t="n">
        <f aca="false">SUMIFS(報告入力!$BF$7:$BF$696,報告入力!$A$7:$A$696,$S$2,報告入力!$B$7:$B$696,$A49)</f>
        <v>12482</v>
      </c>
      <c r="L49" s="230" t="n">
        <f aca="false">SUMIFS(報告入力!$BG$7:$BG$696,報告入力!$A$7:$A$696,$S$2,報告入力!$B$7:$B$696,$A49)</f>
        <v>12482</v>
      </c>
      <c r="M49" s="141" t="n">
        <f aca="false">SUM(K49:L49)</f>
        <v>24964</v>
      </c>
      <c r="N49" s="143" t="n">
        <f aca="false">SUMIFS(報告入力!$BH$7:$BH$696,報告入力!$A$7:$A$696,$S$2,報告入力!$B$7:$B$696,$A49)</f>
        <v>1816</v>
      </c>
      <c r="O49" s="230" t="n">
        <f aca="false">SUMIFS(報告入力!$BI$7:$BI$696,報告入力!$A$7:$A$696,$S$2,報告入力!$B$7:$B$696,$A49)</f>
        <v>1817</v>
      </c>
      <c r="P49" s="141" t="n">
        <f aca="false">SUM(N49:O49)</f>
        <v>3633</v>
      </c>
      <c r="R49" s="162" t="str">
        <f aca="false">IFERROR(INDEX(報告入力!$C$7:$C$696,MATCH($S$2&amp;"|"&amp;$A49,報告入力!$CM$7:$CM$696,0)),"")</f>
        <v>入金確認済</v>
      </c>
    </row>
    <row r="50" s="162" customFormat="true" ht="26.25" hidden="false" customHeight="true" outlineLevel="0" collapsed="false">
      <c r="A50" s="241"/>
      <c r="B50" s="211"/>
      <c r="C50" s="218"/>
      <c r="D50" s="242"/>
      <c r="E50" s="158"/>
      <c r="F50" s="243"/>
      <c r="G50" s="206" t="n">
        <f aca="false">SUM(B50:F50)</f>
        <v>0</v>
      </c>
      <c r="H50" s="213"/>
      <c r="I50" s="244"/>
      <c r="J50" s="160" t="n">
        <f aca="false">SUM(H50:I50)</f>
        <v>0</v>
      </c>
      <c r="K50" s="213"/>
      <c r="L50" s="244"/>
      <c r="M50" s="160" t="n">
        <f aca="false">SUM(K50:L50)</f>
        <v>0</v>
      </c>
      <c r="N50" s="213"/>
      <c r="O50" s="244"/>
      <c r="P50" s="160" t="n">
        <f aca="false">SUM(N50:O50)</f>
        <v>0</v>
      </c>
    </row>
    <row r="51" s="162" customFormat="true" ht="0.2" hidden="false" customHeight="true" outlineLevel="0" collapsed="false">
      <c r="A51" s="174"/>
      <c r="B51" s="182"/>
      <c r="C51" s="181"/>
      <c r="D51" s="245"/>
      <c r="E51" s="183"/>
      <c r="F51" s="181"/>
      <c r="G51" s="246" t="n">
        <f aca="false">SUM(B51:F51)</f>
        <v>0</v>
      </c>
      <c r="H51" s="247"/>
      <c r="I51" s="183"/>
      <c r="J51" s="248" t="n">
        <f aca="false">SUM(H51:I51)</f>
        <v>0</v>
      </c>
      <c r="K51" s="245"/>
      <c r="L51" s="183"/>
      <c r="M51" s="248" t="n">
        <f aca="false">SUM(K51:L51)</f>
        <v>0</v>
      </c>
      <c r="N51" s="245"/>
      <c r="O51" s="183"/>
      <c r="P51" s="248" t="n">
        <f aca="false">SUM(N51:O51)</f>
        <v>0</v>
      </c>
    </row>
    <row r="52" s="162" customFormat="true" ht="0.2" hidden="false" customHeight="true" outlineLevel="0" collapsed="false">
      <c r="A52" s="187"/>
      <c r="B52" s="249"/>
      <c r="C52" s="250"/>
      <c r="D52" s="251"/>
      <c r="E52" s="252"/>
      <c r="F52" s="250"/>
      <c r="G52" s="253"/>
      <c r="H52" s="254"/>
      <c r="I52" s="254"/>
      <c r="J52" s="255"/>
      <c r="K52" s="256"/>
      <c r="L52" s="254"/>
      <c r="M52" s="255"/>
      <c r="N52" s="256"/>
      <c r="O52" s="254"/>
      <c r="P52" s="255"/>
    </row>
    <row r="53" s="135" customFormat="true" ht="20.1" hidden="false" customHeight="true" outlineLevel="0" collapsed="false">
      <c r="A53" s="196" t="s">
        <v>497</v>
      </c>
      <c r="B53" s="197" t="n">
        <f aca="false">SUM(B23:B52)</f>
        <v>129566563</v>
      </c>
      <c r="C53" s="200" t="n">
        <f aca="false">SUM(C23:C52)</f>
        <v>10617511</v>
      </c>
      <c r="D53" s="198" t="n">
        <f aca="false">SUM(D23:D52)</f>
        <v>194403804</v>
      </c>
      <c r="E53" s="199" t="n">
        <f aca="false">SUM(E23:E52)</f>
        <v>11130661</v>
      </c>
      <c r="F53" s="200" t="n">
        <f aca="false">SUM(F23:F52)</f>
        <v>136202</v>
      </c>
      <c r="G53" s="201" t="n">
        <f aca="false">SUM(B53:F53)</f>
        <v>345854741</v>
      </c>
      <c r="H53" s="198" t="n">
        <f aca="false">SUM(H23:H51)</f>
        <v>94842271</v>
      </c>
      <c r="I53" s="198" t="n">
        <f aca="false">SUM(I23:I51)</f>
        <v>98705327</v>
      </c>
      <c r="J53" s="200" t="n">
        <f aca="false">SUM(H53:I53)</f>
        <v>193547598</v>
      </c>
      <c r="K53" s="197" t="n">
        <f aca="false">SUM(K23:K51)</f>
        <v>8068428</v>
      </c>
      <c r="L53" s="198" t="n">
        <f aca="false">SUM(L23:L51)</f>
        <v>8496204</v>
      </c>
      <c r="M53" s="200" t="n">
        <f aca="false">SUM(K53:L53)</f>
        <v>16564632</v>
      </c>
      <c r="N53" s="197" t="n">
        <f aca="false">SUM(N23:N51)</f>
        <v>2101195</v>
      </c>
      <c r="O53" s="198" t="n">
        <f aca="false">SUM(O23:O51)</f>
        <v>2184077</v>
      </c>
      <c r="P53" s="200" t="n">
        <f aca="false">SUM(N53:O53)</f>
        <v>4285272</v>
      </c>
    </row>
    <row r="54" s="162" customFormat="true" ht="0.2" hidden="false" customHeight="true" outlineLevel="0" collapsed="false">
      <c r="A54" s="174" t="s">
        <v>496</v>
      </c>
      <c r="B54" s="256"/>
      <c r="C54" s="257"/>
      <c r="D54" s="254"/>
      <c r="E54" s="258"/>
      <c r="F54" s="259"/>
      <c r="G54" s="260"/>
      <c r="H54" s="261"/>
      <c r="I54" s="261"/>
      <c r="J54" s="262"/>
      <c r="K54" s="263"/>
      <c r="L54" s="264"/>
      <c r="M54" s="265"/>
      <c r="N54" s="263"/>
      <c r="O54" s="264"/>
      <c r="P54" s="265"/>
    </row>
    <row r="55" s="162" customFormat="true" ht="0.2" hidden="false" customHeight="true" outlineLevel="0" collapsed="false">
      <c r="A55" s="266" t="s">
        <v>496</v>
      </c>
      <c r="B55" s="267"/>
      <c r="C55" s="268"/>
      <c r="D55" s="254"/>
      <c r="E55" s="258"/>
      <c r="F55" s="257"/>
      <c r="G55" s="253"/>
      <c r="H55" s="269"/>
      <c r="I55" s="269"/>
      <c r="J55" s="270"/>
      <c r="K55" s="271"/>
      <c r="L55" s="272"/>
      <c r="M55" s="273"/>
      <c r="N55" s="271"/>
      <c r="O55" s="272"/>
      <c r="P55" s="273"/>
    </row>
    <row r="56" s="135" customFormat="true" ht="20.1" hidden="false" customHeight="true" outlineLevel="0" collapsed="false">
      <c r="A56" s="214" t="s">
        <v>208</v>
      </c>
      <c r="B56" s="210" t="n">
        <f aca="false">SUMIFS(報告入力!$AY$7:$AY$696,報告入力!$A$7:$A$696,$S$2,報告入力!$B$7:$B$696,$A56)</f>
        <v>145485</v>
      </c>
      <c r="C56" s="224" t="n">
        <f aca="false">SUMIFS(報告入力!$AZ$7:$AZ$696,報告入力!$A$7:$A$696,$S$2,報告入力!$B$7:$B$696,$A56)</f>
        <v>11925</v>
      </c>
      <c r="D56" s="143" t="n">
        <f aca="false">SUMIFS(報告入力!$BA$7:$BA$696,報告入力!$A$7:$A$696,$S$2,報告入力!$B$7:$B$696,$A56)</f>
        <v>145485</v>
      </c>
      <c r="E56" s="230" t="n">
        <f aca="false">SUMIFS(報告入力!$BB$7:$BB$696,報告入力!$A$7:$A$696,$S$2,報告入力!$B$7:$B$696,$A56)</f>
        <v>11925</v>
      </c>
      <c r="F56" s="148" t="n">
        <f aca="false">SUMIFS(報告入力!$BC$7:$BC$696,報告入力!$A$7:$A$696,$S$2,報告入力!$B$7:$B$696,$A56)</f>
        <v>138</v>
      </c>
      <c r="G56" s="144" t="n">
        <f aca="false">SUM(B56:F56)</f>
        <v>314958</v>
      </c>
      <c r="H56" s="155"/>
      <c r="I56" s="155"/>
      <c r="J56" s="221" t="n">
        <f aca="false">SUM(H56:I56)</f>
        <v>0</v>
      </c>
      <c r="K56" s="155"/>
      <c r="L56" s="155"/>
      <c r="M56" s="221" t="n">
        <f aca="false">SUM(K56:L56)</f>
        <v>0</v>
      </c>
      <c r="N56" s="155"/>
      <c r="O56" s="155"/>
      <c r="P56" s="221" t="n">
        <f aca="false">SUM(N56:O56)</f>
        <v>0</v>
      </c>
      <c r="R56" s="135" t="str">
        <f aca="false">IFERROR(INDEX(報告入力!$C$7:$C$696,MATCH($S$2&amp;"|"&amp;$A56,報告入力!$CM$7:$CM$696,0)),"")</f>
        <v>入金確認済</v>
      </c>
    </row>
    <row r="57" s="135" customFormat="true" ht="21.75" hidden="false" customHeight="true" outlineLevel="0" collapsed="false">
      <c r="A57" s="214" t="s">
        <v>209</v>
      </c>
      <c r="B57" s="142" t="n">
        <f aca="false">SUMIFS(報告入力!$AY$7:$AY$696,報告入力!$A$7:$A$696,$S$2,報告入力!$B$7:$B$696,$A57)</f>
        <v>45750</v>
      </c>
      <c r="C57" s="230" t="n">
        <f aca="false">SUMIFS(報告入力!$AZ$7:$AZ$696,報告入力!$A$7:$A$696,$S$2,報告入力!$B$7:$B$696,$A57)</f>
        <v>3750</v>
      </c>
      <c r="D57" s="274" t="n">
        <f aca="false">SUMIFS(報告入力!$BA$7:$BA$696,報告入力!$A$7:$A$696,$S$2,報告入力!$B$7:$B$696,$A57)</f>
        <v>45750</v>
      </c>
      <c r="E57" s="275" t="n">
        <f aca="false">SUMIFS(報告入力!$BB$7:$BB$696,報告入力!$A$7:$A$696,$S$2,報告入力!$B$7:$B$696,$A57)</f>
        <v>3750</v>
      </c>
      <c r="F57" s="276" t="n">
        <f aca="false">SUMIFS(報告入力!$BC$7:$BC$696,報告入力!$A$7:$A$696,$S$2,報告入力!$B$7:$B$696,$A57)</f>
        <v>43</v>
      </c>
      <c r="G57" s="144" t="n">
        <f aca="false">SUM(B57:F57)</f>
        <v>99043</v>
      </c>
      <c r="H57" s="277"/>
      <c r="I57" s="277"/>
      <c r="J57" s="278" t="n">
        <f aca="false">SUM(H57:I57)</f>
        <v>0</v>
      </c>
      <c r="K57" s="277"/>
      <c r="L57" s="277"/>
      <c r="M57" s="278" t="n">
        <f aca="false">SUM(K57:L57)</f>
        <v>0</v>
      </c>
      <c r="N57" s="277"/>
      <c r="O57" s="277"/>
      <c r="P57" s="278" t="n">
        <f aca="false">SUM(N57:O57)</f>
        <v>0</v>
      </c>
      <c r="R57" s="135" t="str">
        <f aca="false">IFERROR(INDEX(報告入力!$C$7:$C$696,MATCH($S$2&amp;"|"&amp;$A57,報告入力!$CM$7:$CM$696,0)),"")</f>
        <v>入金確認済</v>
      </c>
    </row>
    <row r="58" s="135" customFormat="true" ht="19.5" hidden="false" customHeight="true" outlineLevel="0" collapsed="false">
      <c r="A58" s="196" t="s">
        <v>497</v>
      </c>
      <c r="B58" s="279" t="n">
        <f aca="false">SUM(B54:B57)</f>
        <v>191235</v>
      </c>
      <c r="C58" s="280" t="n">
        <f aca="false">SUM(C54:C57)</f>
        <v>15675</v>
      </c>
      <c r="D58" s="198" t="n">
        <f aca="false">SUM(D54:D57)</f>
        <v>191235</v>
      </c>
      <c r="E58" s="199" t="n">
        <f aca="false">SUM(E54:E57)</f>
        <v>15675</v>
      </c>
      <c r="F58" s="200" t="n">
        <f aca="false">SUM(F54:F57)</f>
        <v>181</v>
      </c>
      <c r="G58" s="201" t="n">
        <f aca="false">SUM(B58:F58)</f>
        <v>414001</v>
      </c>
      <c r="H58" s="281" t="n">
        <f aca="false">SUM(H54:H57)</f>
        <v>0</v>
      </c>
      <c r="I58" s="282" t="n">
        <f aca="false">SUM(I54:I57)</f>
        <v>0</v>
      </c>
      <c r="J58" s="283" t="n">
        <f aca="false">SUM(H58:I58)</f>
        <v>0</v>
      </c>
      <c r="K58" s="281" t="n">
        <f aca="false">SUM(K54:K57)</f>
        <v>0</v>
      </c>
      <c r="L58" s="282" t="n">
        <f aca="false">SUM(L54:L57)</f>
        <v>0</v>
      </c>
      <c r="M58" s="283" t="n">
        <f aca="false">SUM(K58:L58)</f>
        <v>0</v>
      </c>
      <c r="N58" s="281" t="n">
        <f aca="false">SUM(N54:N57)</f>
        <v>0</v>
      </c>
      <c r="O58" s="282" t="n">
        <f aca="false">SUM(O54:O57)</f>
        <v>0</v>
      </c>
      <c r="P58" s="283" t="n">
        <f aca="false">SUM(N58:O58)</f>
        <v>0</v>
      </c>
    </row>
    <row r="59" s="135" customFormat="true" ht="20.1" hidden="false" customHeight="true" outlineLevel="0" collapsed="false">
      <c r="A59" s="125" t="s">
        <v>210</v>
      </c>
      <c r="B59" s="136" t="n">
        <f aca="false">SUMIFS(報告入力!$AY$7:$AY$696,報告入力!$A$7:$A$696,$S$2,報告入力!$B$7:$B$696,$A59)</f>
        <v>29280</v>
      </c>
      <c r="C59" s="138" t="n">
        <f aca="false">SUMIFS(報告入力!$AZ$7:$AZ$696,報告入力!$A$7:$A$696,$S$2,報告入力!$B$7:$B$696,$A59)</f>
        <v>2400</v>
      </c>
      <c r="D59" s="128" t="n">
        <f aca="false">SUMIFS(報告入力!$BA$7:$BA$696,報告入力!$A$7:$A$696,$S$2,報告入力!$B$7:$B$696,$A59)</f>
        <v>29280</v>
      </c>
      <c r="E59" s="284" t="n">
        <f aca="false">SUMIFS(報告入力!$BB$7:$BB$696,報告入力!$A$7:$A$696,$S$2,報告入力!$B$7:$B$696,$A59)</f>
        <v>2400</v>
      </c>
      <c r="F59" s="218"/>
      <c r="G59" s="133" t="n">
        <f aca="false">SUM(B59:F59)</f>
        <v>63360</v>
      </c>
      <c r="H59" s="139" t="n">
        <f aca="false">SUMIFS(報告入力!$BD$7:$BD$696,報告入力!$A$7:$A$696,$S$2,報告入力!$B$7:$B$696,$A59)</f>
        <v>16595</v>
      </c>
      <c r="I59" s="140" t="n">
        <f aca="false">SUMIFS(報告入力!$BE$7:$BE$696,報告入力!$A$7:$A$696,$S$2,報告入力!$B$7:$B$696,$A59)</f>
        <v>16611</v>
      </c>
      <c r="J59" s="141" t="n">
        <f aca="false">SUM(H59:I59)</f>
        <v>33206</v>
      </c>
      <c r="K59" s="139" t="n">
        <f aca="false">SUMIFS(報告入力!$BF$7:$BF$696,報告入力!$A$7:$A$696,$S$2,報告入力!$B$7:$B$696,$A59)</f>
        <v>2528</v>
      </c>
      <c r="L59" s="140" t="n">
        <f aca="false">SUMIFS(報告入力!$BG$7:$BG$696,報告入力!$A$7:$A$696,$S$2,報告入力!$B$7:$B$696,$A59)</f>
        <v>2528</v>
      </c>
      <c r="M59" s="141" t="n">
        <f aca="false">SUM(K59:L59)</f>
        <v>5056</v>
      </c>
      <c r="N59" s="139" t="n">
        <f aca="false">SUMIFS(報告入力!$BH$7:$BH$696,報告入力!$A$7:$A$696,$S$2,報告入力!$B$7:$B$696,$A59)</f>
        <v>368</v>
      </c>
      <c r="O59" s="140" t="n">
        <f aca="false">SUMIFS(報告入力!$BI$7:$BI$696,報告入力!$A$7:$A$696,$S$2,報告入力!$B$7:$B$696,$A59)</f>
        <v>368</v>
      </c>
      <c r="P59" s="141" t="n">
        <f aca="false">SUM(N59:O59)</f>
        <v>736</v>
      </c>
      <c r="R59" s="135" t="str">
        <f aca="false">IFERROR(INDEX(報告入力!$C$7:$C$696,MATCH($S$2&amp;"|"&amp;$A59,報告入力!$CM$7:$CM$696,0)),"")</f>
        <v>入金確認済</v>
      </c>
    </row>
    <row r="60" s="135" customFormat="true" ht="20.1" hidden="false" customHeight="true" outlineLevel="0" collapsed="false">
      <c r="A60" s="125" t="s">
        <v>211</v>
      </c>
      <c r="B60" s="211"/>
      <c r="C60" s="212"/>
      <c r="D60" s="211"/>
      <c r="E60" s="285"/>
      <c r="F60" s="218"/>
      <c r="G60" s="235" t="n">
        <f aca="false">SUM(B60:F60)</f>
        <v>0</v>
      </c>
      <c r="H60" s="213"/>
      <c r="I60" s="286"/>
      <c r="J60" s="221" t="n">
        <f aca="false">SUM(H60:I60)</f>
        <v>0</v>
      </c>
      <c r="K60" s="287"/>
      <c r="L60" s="208"/>
      <c r="M60" s="160" t="n">
        <f aca="false">SUM(K60:L60)</f>
        <v>0</v>
      </c>
      <c r="N60" s="288"/>
      <c r="O60" s="286"/>
      <c r="P60" s="221" t="n">
        <f aca="false">SUM(N60:O60)</f>
        <v>0</v>
      </c>
      <c r="R60" s="135" t="str">
        <f aca="false">IFERROR(INDEX(報告入力!$C$7:$C$696,MATCH($S$2&amp;"|"&amp;$A60,報告入力!$CM$7:$CM$696,0)),"")</f>
        <v>報告なし</v>
      </c>
    </row>
    <row r="61" s="135" customFormat="true" ht="20.1" hidden="false" customHeight="true" outlineLevel="0" collapsed="false">
      <c r="A61" s="217" t="s">
        <v>212</v>
      </c>
      <c r="B61" s="136" t="n">
        <f aca="false">SUMIFS(報告入力!$AY$7:$AY$696,報告入力!$A$7:$A$696,$S$2,報告入力!$B$7:$B$696,$A61)</f>
        <v>27450</v>
      </c>
      <c r="C61" s="137" t="n">
        <f aca="false">SUMIFS(報告入力!$AZ$7:$AZ$696,報告入力!$A$7:$A$696,$S$2,報告入力!$B$7:$B$696,$A61)</f>
        <v>2250</v>
      </c>
      <c r="D61" s="136" t="n">
        <f aca="false">SUMIFS(報告入力!$BA$7:$BA$696,報告入力!$A$7:$A$696,$S$2,報告入力!$B$7:$B$696,$A61)</f>
        <v>27450</v>
      </c>
      <c r="E61" s="284" t="n">
        <f aca="false">SUMIFS(報告入力!$BB$7:$BB$696,報告入力!$A$7:$A$696,$S$2,報告入力!$B$7:$B$696,$A61)</f>
        <v>2250</v>
      </c>
      <c r="F61" s="218"/>
      <c r="G61" s="133" t="n">
        <f aca="false">SUM(B61:F61)</f>
        <v>59400</v>
      </c>
      <c r="H61" s="139" t="n">
        <f aca="false">SUMIFS(報告入力!$BD$7:$BD$696,報告入力!$A$7:$A$696,$S$2,報告入力!$B$7:$B$696,$A61)</f>
        <v>31116</v>
      </c>
      <c r="I61" s="140" t="n">
        <f aca="false">SUMIFS(報告入力!$BE$7:$BE$696,報告入力!$A$7:$A$696,$S$2,報告入力!$B$7:$B$696,$A61)</f>
        <v>31146</v>
      </c>
      <c r="J61" s="141" t="n">
        <f aca="false">SUM(H61:I61)</f>
        <v>62262</v>
      </c>
      <c r="K61" s="134" t="n">
        <f aca="false">SUMIFS(報告入力!$BF$7:$BF$696,報告入力!$A$7:$A$696,$S$2,報告入力!$B$7:$B$696,$A61)</f>
        <v>2370</v>
      </c>
      <c r="L61" s="140" t="n">
        <f aca="false">SUMIFS(報告入力!$BG$7:$BG$696,報告入力!$A$7:$A$696,$S$2,報告入力!$B$7:$B$696,$A61)</f>
        <v>2370</v>
      </c>
      <c r="M61" s="141" t="n">
        <f aca="false">SUM(K61:L61)</f>
        <v>4740</v>
      </c>
      <c r="N61" s="134" t="n">
        <f aca="false">SUMIFS(報告入力!$BH$7:$BH$696,報告入力!$A$7:$A$696,$S$2,報告入力!$B$7:$B$696,$A61)</f>
        <v>690</v>
      </c>
      <c r="O61" s="140" t="n">
        <f aca="false">SUMIFS(報告入力!$BI$7:$BI$696,報告入力!$A$7:$A$696,$S$2,報告入力!$B$7:$B$696,$A61)</f>
        <v>690</v>
      </c>
      <c r="P61" s="141" t="n">
        <f aca="false">SUM(N61:O61)</f>
        <v>1380</v>
      </c>
      <c r="R61" s="135" t="str">
        <f aca="false">IFERROR(INDEX(報告入力!$C$7:$C$696,MATCH($S$2&amp;"|"&amp;$A61,報告入力!$CM$7:$CM$696,0)),"")</f>
        <v>入金確認済</v>
      </c>
    </row>
    <row r="62" s="135" customFormat="true" ht="20.1" hidden="false" customHeight="true" outlineLevel="0" collapsed="false">
      <c r="A62" s="217" t="s">
        <v>213</v>
      </c>
      <c r="B62" s="289"/>
      <c r="C62" s="290"/>
      <c r="D62" s="289"/>
      <c r="E62" s="291"/>
      <c r="F62" s="292"/>
      <c r="G62" s="293" t="n">
        <f aca="false">SUM(B62:F62)</f>
        <v>0</v>
      </c>
      <c r="H62" s="294"/>
      <c r="I62" s="295"/>
      <c r="J62" s="296" t="n">
        <f aca="false">SUM(H62:I62)</f>
        <v>0</v>
      </c>
      <c r="K62" s="297"/>
      <c r="L62" s="298"/>
      <c r="M62" s="296" t="n">
        <f aca="false">SUM(K62:L62)</f>
        <v>0</v>
      </c>
      <c r="N62" s="299"/>
      <c r="O62" s="300"/>
      <c r="P62" s="296" t="n">
        <f aca="false">SUM(N62:O62)</f>
        <v>0</v>
      </c>
      <c r="R62" s="135" t="str">
        <f aca="false">IFERROR(INDEX(報告入力!$C$7:$C$696,MATCH($S$2&amp;"|"&amp;$A62,報告入力!$CM$7:$CM$696,0)),"")</f>
        <v>報告なし</v>
      </c>
    </row>
    <row r="63" s="135" customFormat="true" ht="20.1" hidden="false" customHeight="true" outlineLevel="0" collapsed="false">
      <c r="A63" s="196" t="s">
        <v>497</v>
      </c>
      <c r="B63" s="197" t="n">
        <f aca="false">SUM(B59:B62)</f>
        <v>56730</v>
      </c>
      <c r="C63" s="201" t="n">
        <f aca="false">SUM(C59:C62)</f>
        <v>4650</v>
      </c>
      <c r="D63" s="197" t="n">
        <f aca="false">SUM(D59:D62)</f>
        <v>56730</v>
      </c>
      <c r="E63" s="199" t="n">
        <f aca="false">SUM(E59:E62)</f>
        <v>4650</v>
      </c>
      <c r="F63" s="200" t="n">
        <f aca="false">SUM(F59:F62)</f>
        <v>0</v>
      </c>
      <c r="G63" s="201" t="n">
        <f aca="false">SUM(B63:F63)</f>
        <v>122760</v>
      </c>
      <c r="H63" s="301" t="n">
        <f aca="false">SUM(H59:H62)</f>
        <v>47711</v>
      </c>
      <c r="I63" s="199" t="n">
        <f aca="false">SUM(I59:I62)</f>
        <v>47757</v>
      </c>
      <c r="J63" s="200" t="n">
        <f aca="false">SUM(H63:I63)</f>
        <v>95468</v>
      </c>
      <c r="K63" s="197" t="n">
        <f aca="false">SUM(K59:K62)</f>
        <v>4898</v>
      </c>
      <c r="L63" s="301" t="n">
        <f aca="false">SUM(L59:L62)</f>
        <v>4898</v>
      </c>
      <c r="M63" s="200" t="n">
        <f aca="false">SUM(K63:L63)</f>
        <v>9796</v>
      </c>
      <c r="N63" s="197" t="n">
        <f aca="false">SUM(N59:N62)</f>
        <v>1058</v>
      </c>
      <c r="O63" s="301" t="n">
        <f aca="false">SUM(O59:O62)</f>
        <v>1058</v>
      </c>
      <c r="P63" s="200" t="n">
        <f aca="false">SUM(N63:O63)</f>
        <v>2116</v>
      </c>
    </row>
    <row r="64" s="135" customFormat="true" ht="20.1" hidden="false" customHeight="true" outlineLevel="0" collapsed="false">
      <c r="A64" s="302" t="s">
        <v>214</v>
      </c>
      <c r="B64" s="303"/>
      <c r="C64" s="304"/>
      <c r="D64" s="305"/>
      <c r="E64" s="306"/>
      <c r="F64" s="292"/>
      <c r="G64" s="293"/>
      <c r="H64" s="307" t="n">
        <f aca="false">SUMIFS(報告入力!$BD$7:$BD$696,報告入力!$A$7:$A$696,$S$2,報告入力!$B$7:$B$696,$A64)</f>
        <v>98124999</v>
      </c>
      <c r="I64" s="308" t="s">
        <v>498</v>
      </c>
      <c r="J64" s="309" t="n">
        <f aca="false">SUM(H64:I64)</f>
        <v>98124999</v>
      </c>
      <c r="K64" s="307" t="n">
        <f aca="false">SUMIFS(報告入力!$BF$7:$BF$696,報告入力!$A$7:$A$696,$S$2,報告入力!$B$7:$B$696,$A64)</f>
        <v>5128891</v>
      </c>
      <c r="L64" s="308" t="s">
        <v>498</v>
      </c>
      <c r="M64" s="309" t="n">
        <f aca="false">SUM(K64:L64)</f>
        <v>5128891</v>
      </c>
      <c r="N64" s="307" t="n">
        <f aca="false">SUMIFS(報告入力!$BH$7:$BH$696,報告入力!$A$7:$A$696,$S$2,報告入力!$B$7:$B$696,$A64)</f>
        <v>2174616</v>
      </c>
      <c r="O64" s="308" t="s">
        <v>498</v>
      </c>
      <c r="P64" s="309" t="n">
        <f aca="false">SUM(N64:O64)</f>
        <v>2174616</v>
      </c>
      <c r="R64" s="135" t="str">
        <f aca="false">IFERROR(INDEX(報告入力!$C$7:$C$696,MATCH($S$2&amp;"|"&amp;$A64,報告入力!$CM$7:$CM$696,0)),"")</f>
        <v>受領済</v>
      </c>
    </row>
    <row r="65" s="135" customFormat="true" ht="30" hidden="false" customHeight="true" outlineLevel="0" collapsed="false">
      <c r="A65" s="310" t="s">
        <v>499</v>
      </c>
      <c r="B65" s="311" t="n">
        <f aca="false">SUM(+B22+B53+B58+B63+B64)</f>
        <v>489926226</v>
      </c>
      <c r="C65" s="312" t="n">
        <f aca="false">SUM(+C22+C53+C58+C63+C64)</f>
        <v>40201528</v>
      </c>
      <c r="D65" s="311" t="n">
        <f aca="false">SUM(+D22+D53+D58+D63+D64)</f>
        <v>710721750</v>
      </c>
      <c r="E65" s="313" t="n">
        <f aca="false">SUM(+E22+E53+E58+E63+E64)</f>
        <v>40068493</v>
      </c>
      <c r="F65" s="312" t="n">
        <f aca="false">SUM(+F22+F53+F58+F63+F64)</f>
        <v>483168</v>
      </c>
      <c r="G65" s="314" t="n">
        <f aca="false">SUM(B65:F65)</f>
        <v>1281401165</v>
      </c>
      <c r="H65" s="315" t="n">
        <f aca="false">SUM(+H22+H53+H58+H63+H64)</f>
        <v>446098437</v>
      </c>
      <c r="I65" s="315" t="n">
        <f aca="false">SUM(I22,I53,I58,I63,I64)</f>
        <v>351591834</v>
      </c>
      <c r="J65" s="316" t="n">
        <f aca="false">SUM(H65:I65)</f>
        <v>797690271</v>
      </c>
      <c r="K65" s="317" t="n">
        <f aca="false">SUM(+K22+K53+K58+K63+K64)</f>
        <v>36272957</v>
      </c>
      <c r="L65" s="315" t="n">
        <f aca="false">SUM(L22,L53,L58,L63,L64)</f>
        <v>31101068</v>
      </c>
      <c r="M65" s="316" t="n">
        <f aca="false">SUM(K65:L65)</f>
        <v>67374025</v>
      </c>
      <c r="N65" s="317" t="n">
        <f aca="false">SUM(+N22+N53+N58+N63+N64)</f>
        <v>9873033</v>
      </c>
      <c r="O65" s="315" t="n">
        <f aca="false">SUM(O22,O53,O58,O63,O64)</f>
        <v>7708470</v>
      </c>
      <c r="P65" s="316" t="n">
        <f aca="false">SUM(N65:O65)</f>
        <v>17581503</v>
      </c>
    </row>
    <row r="66" s="319" customFormat="true" ht="39.75" hidden="false" customHeight="true" outlineLevel="0" collapsed="false">
      <c r="A66" s="318"/>
    </row>
    <row r="67" s="322" customFormat="true" ht="30" hidden="false" customHeight="true" outlineLevel="0" collapsed="false">
      <c r="A67" s="320" t="s">
        <v>500</v>
      </c>
      <c r="B67" s="321" t="n">
        <f aca="false">EOMONTH(B2,1)</f>
        <v>46173</v>
      </c>
      <c r="C67" s="321"/>
      <c r="D67" s="321"/>
      <c r="E67" s="321"/>
      <c r="F67" s="321"/>
      <c r="G67" s="321"/>
      <c r="H67" s="112" t="n">
        <f aca="false">B67</f>
        <v>46173</v>
      </c>
      <c r="I67" s="112"/>
      <c r="J67" s="112"/>
      <c r="K67" s="112" t="n">
        <f aca="false">B67</f>
        <v>46173</v>
      </c>
      <c r="L67" s="112"/>
      <c r="M67" s="112"/>
      <c r="N67" s="112" t="n">
        <f aca="false">B67</f>
        <v>46173</v>
      </c>
      <c r="O67" s="112"/>
      <c r="P67" s="112"/>
      <c r="S67" s="322" t="s">
        <v>501</v>
      </c>
    </row>
    <row r="68" customFormat="false" ht="22.5" hidden="false" customHeight="true" outlineLevel="0" collapsed="false">
      <c r="A68" s="114" t="s">
        <v>483</v>
      </c>
      <c r="B68" s="114" t="s">
        <v>484</v>
      </c>
      <c r="C68" s="114"/>
      <c r="D68" s="114"/>
      <c r="E68" s="114"/>
      <c r="F68" s="114"/>
      <c r="G68" s="114"/>
      <c r="H68" s="116" t="s">
        <v>485</v>
      </c>
      <c r="I68" s="116"/>
      <c r="J68" s="116"/>
      <c r="K68" s="116" t="s">
        <v>486</v>
      </c>
      <c r="L68" s="116"/>
      <c r="M68" s="116"/>
      <c r="N68" s="116" t="str">
        <f aca="false">$N$3</f>
        <v>子ども・子育て支援納付金</v>
      </c>
      <c r="O68" s="116"/>
      <c r="P68" s="116"/>
    </row>
    <row r="69" customFormat="false" ht="22.5" hidden="false" customHeight="true" outlineLevel="0" collapsed="false">
      <c r="A69" s="114"/>
      <c r="B69" s="117" t="s">
        <v>487</v>
      </c>
      <c r="C69" s="117"/>
      <c r="D69" s="117" t="s">
        <v>488</v>
      </c>
      <c r="E69" s="117"/>
      <c r="F69" s="117"/>
      <c r="G69" s="117" t="s">
        <v>489</v>
      </c>
      <c r="H69" s="121" t="s">
        <v>490</v>
      </c>
      <c r="I69" s="119" t="s">
        <v>491</v>
      </c>
      <c r="J69" s="120" t="s">
        <v>489</v>
      </c>
      <c r="K69" s="121" t="s">
        <v>490</v>
      </c>
      <c r="L69" s="119" t="s">
        <v>491</v>
      </c>
      <c r="M69" s="120" t="s">
        <v>489</v>
      </c>
      <c r="N69" s="121" t="s">
        <v>490</v>
      </c>
      <c r="O69" s="119" t="s">
        <v>491</v>
      </c>
      <c r="P69" s="120" t="s">
        <v>489</v>
      </c>
    </row>
    <row r="70" customFormat="false" ht="22.5" hidden="false" customHeight="true" outlineLevel="0" collapsed="false">
      <c r="A70" s="114"/>
      <c r="B70" s="122" t="s">
        <v>492</v>
      </c>
      <c r="C70" s="123" t="s">
        <v>493</v>
      </c>
      <c r="D70" s="124" t="s">
        <v>492</v>
      </c>
      <c r="E70" s="124" t="s">
        <v>494</v>
      </c>
      <c r="F70" s="123" t="s">
        <v>93</v>
      </c>
      <c r="G70" s="117"/>
      <c r="H70" s="121"/>
      <c r="I70" s="119"/>
      <c r="J70" s="120"/>
      <c r="K70" s="121"/>
      <c r="L70" s="119"/>
      <c r="M70" s="120"/>
      <c r="N70" s="121"/>
      <c r="O70" s="119"/>
      <c r="P70" s="120"/>
    </row>
    <row r="71" s="135" customFormat="true" ht="20.1" hidden="false" customHeight="true" outlineLevel="0" collapsed="false">
      <c r="A71" s="125" t="s">
        <v>166</v>
      </c>
      <c r="B71" s="142" t="n">
        <f aca="false">SUMIFS(報告入力!$AY$7:$AY$696,報告入力!$A$7:$A$696,$S$67,報告入力!$B$7:$B$696,$A71)</f>
        <v>238475809</v>
      </c>
      <c r="C71" s="138" t="n">
        <f aca="false">SUMIFS(報告入力!$AZ$7:$AZ$696,報告入力!$A$7:$A$696,$S$67,報告入力!$B$7:$B$696,$A71)</f>
        <v>19550325</v>
      </c>
      <c r="D71" s="136" t="n">
        <f aca="false">SUMIFS(報告入力!$BA$7:$BA$696,報告入力!$A$7:$A$696,$S$67,報告入力!$B$7:$B$696,$A71)</f>
        <v>341906412</v>
      </c>
      <c r="E71" s="139" t="n">
        <f aca="false">SUMIFS(報告入力!$BB$7:$BB$696,報告入力!$A$7:$A$696,$S$67,報告入力!$B$7:$B$696,$A71)</f>
        <v>19051575</v>
      </c>
      <c r="F71" s="138" t="n">
        <f aca="false">SUMIFS(報告入力!$BC$7:$BC$696,報告入力!$A$7:$A$696,$S$67,報告入力!$B$7:$B$696,$A71)</f>
        <v>229826</v>
      </c>
      <c r="G71" s="133" t="n">
        <f aca="false">SUM(B71:F71)</f>
        <v>619213947</v>
      </c>
      <c r="H71" s="139" t="n">
        <f aca="false">SUMIFS(報告入力!$BD$7:$BD$696,報告入力!$A$7:$A$696,$S$67,報告入力!$B$7:$B$696,$A71)</f>
        <v>172680807</v>
      </c>
      <c r="I71" s="230" t="n">
        <f aca="false">SUMIFS(報告入力!$BE$7:$BE$696,報告入力!$A$7:$A$696,$S$67,報告入力!$B$7:$B$696,$A71)</f>
        <v>172045423</v>
      </c>
      <c r="J71" s="323" t="n">
        <f aca="false">SUM(H71:I71)</f>
        <v>344726230</v>
      </c>
      <c r="K71" s="230" t="n">
        <f aca="false">SUMIFS(報告入力!$BF$7:$BF$696,報告入力!$A$7:$A$696,$S$67,報告入力!$B$7:$B$696,$A71)</f>
        <v>15732881</v>
      </c>
      <c r="L71" s="230" t="n">
        <f aca="false">SUMIFS(報告入力!$BG$7:$BG$696,報告入力!$A$7:$A$696,$S$67,報告入力!$B$7:$B$696,$A71)</f>
        <v>15312274</v>
      </c>
      <c r="M71" s="323" t="n">
        <f aca="false">SUM(K71:L71)</f>
        <v>31045155</v>
      </c>
      <c r="N71" s="230" t="n">
        <f aca="false">SUMIFS(報告入力!$BH$7:$BH$696,報告入力!$A$7:$A$696,$S$67,報告入力!$B$7:$B$696,$A71)</f>
        <v>3826633</v>
      </c>
      <c r="O71" s="230" t="n">
        <f aca="false">SUMIFS(報告入力!$BI$7:$BI$696,報告入力!$A$7:$A$696,$S$67,報告入力!$B$7:$B$696,$A71)</f>
        <v>3748524</v>
      </c>
      <c r="P71" s="145" t="n">
        <f aca="false">SUM(N71:O71)</f>
        <v>7575157</v>
      </c>
      <c r="Q71" s="135" t="str">
        <f aca="false">IF(P6=P71,"〇","×")</f>
        <v>×</v>
      </c>
      <c r="R71" s="135" t="str">
        <f aca="false">IFERROR(INDEX(報告入力!$C$7:$C$696,MATCH($S$67&amp;"|"&amp;$A71,報告入力!$CM$7:$CM$696,0)),"")</f>
        <v>入金確認済</v>
      </c>
    </row>
    <row r="72" s="135" customFormat="true" ht="20.1" hidden="false" customHeight="true" outlineLevel="0" collapsed="false">
      <c r="A72" s="125" t="s">
        <v>169</v>
      </c>
      <c r="B72" s="142" t="n">
        <f aca="false">SUMIFS(報告入力!$AY$7:$AY$696,報告入力!$A$7:$A$696,$S$67,報告入力!$B$7:$B$696,$A72)</f>
        <v>16359285</v>
      </c>
      <c r="C72" s="138" t="n">
        <f aca="false">SUMIFS(報告入力!$AZ$7:$AZ$696,報告入力!$A$7:$A$696,$S$67,報告入力!$B$7:$B$696,$A72)</f>
        <v>1340925</v>
      </c>
      <c r="D72" s="136" t="n">
        <f aca="false">SUMIFS(報告入力!$BA$7:$BA$696,報告入力!$A$7:$A$696,$S$67,報告入力!$B$7:$B$696,$A72)</f>
        <v>23561370</v>
      </c>
      <c r="E72" s="139" t="n">
        <f aca="false">SUMIFS(報告入力!$BB$7:$BB$696,報告入力!$A$7:$A$696,$S$67,報告入力!$B$7:$B$696,$A72)</f>
        <v>1337175</v>
      </c>
      <c r="F72" s="138" t="n">
        <f aca="false">SUMIFS(報告入力!$BC$7:$BC$696,報告入力!$A$7:$A$696,$S$67,報告入力!$B$7:$B$696,$A72)</f>
        <v>15777</v>
      </c>
      <c r="G72" s="133" t="n">
        <f aca="false">SUM(B72:F72)</f>
        <v>42614532</v>
      </c>
      <c r="H72" s="139" t="n">
        <f aca="false">SUMIFS(報告入力!$BD$7:$BD$696,報告入力!$A$7:$A$696,$S$67,報告入力!$B$7:$B$696,$A72)</f>
        <v>9601929</v>
      </c>
      <c r="I72" s="230" t="n">
        <f aca="false">SUMIFS(報告入力!$BE$7:$BE$696,報告入力!$A$7:$A$696,$S$67,報告入力!$B$7:$B$696,$A72)</f>
        <v>9739721</v>
      </c>
      <c r="J72" s="323" t="n">
        <f aca="false">SUM(H72:I72)</f>
        <v>19341650</v>
      </c>
      <c r="K72" s="230" t="n">
        <f aca="false">SUMIFS(報告入力!$BF$7:$BF$696,報告入力!$A$7:$A$696,$S$67,報告入力!$B$7:$B$696,$A72)</f>
        <v>1024897</v>
      </c>
      <c r="L72" s="230" t="n">
        <f aca="false">SUMIFS(報告入力!$BG$7:$BG$696,報告入力!$A$7:$A$696,$S$67,報告入力!$B$7:$B$696,$A72)</f>
        <v>1020947</v>
      </c>
      <c r="M72" s="323" t="n">
        <f aca="false">SUM(K72:L72)</f>
        <v>2045844</v>
      </c>
      <c r="N72" s="230" t="n">
        <f aca="false">SUMIFS(報告入力!$BH$7:$BH$696,報告入力!$A$7:$A$696,$S$67,報告入力!$B$7:$B$696,$A72)</f>
        <v>212850</v>
      </c>
      <c r="O72" s="230" t="n">
        <f aca="false">SUMIFS(報告入力!$BI$7:$BI$696,報告入力!$A$7:$A$696,$S$67,報告入力!$B$7:$B$696,$A72)</f>
        <v>212346</v>
      </c>
      <c r="P72" s="145" t="n">
        <f aca="false">SUM(N72:O72)</f>
        <v>425196</v>
      </c>
      <c r="Q72" s="135" t="str">
        <f aca="false">IF(P7=P72,"〇","×")</f>
        <v>×</v>
      </c>
      <c r="R72" s="135" t="str">
        <f aca="false">IFERROR(INDEX(報告入力!$C$7:$C$696,MATCH($S$67&amp;"|"&amp;$A72,報告入力!$CM$7:$CM$696,0)),"")</f>
        <v>入金確認済</v>
      </c>
    </row>
    <row r="73" s="135" customFormat="true" ht="20.1" hidden="false" customHeight="true" outlineLevel="0" collapsed="false">
      <c r="A73" s="125" t="s">
        <v>170</v>
      </c>
      <c r="B73" s="142" t="n">
        <f aca="false">SUMIFS(報告入力!$AY$7:$AY$696,報告入力!$A$7:$A$696,$S$67,報告入力!$B$7:$B$696,$A73)</f>
        <v>55313397</v>
      </c>
      <c r="C73" s="138" t="n">
        <f aca="false">SUMIFS(報告入力!$AZ$7:$AZ$696,報告入力!$A$7:$A$696,$S$67,報告入力!$B$7:$B$696,$A73)</f>
        <v>4533885</v>
      </c>
      <c r="D73" s="136" t="n">
        <f aca="false">SUMIFS(報告入力!$BA$7:$BA$696,報告入力!$A$7:$A$696,$S$67,報告入力!$B$7:$B$696,$A73)</f>
        <v>79511518</v>
      </c>
      <c r="E73" s="139" t="n">
        <f aca="false">SUMIFS(報告入力!$BB$7:$BB$696,報告入力!$A$7:$A$696,$S$67,報告入力!$B$7:$B$696,$A73)</f>
        <v>4518060</v>
      </c>
      <c r="F73" s="138" t="n">
        <f aca="false">SUMIFS(報告入力!$BC$7:$BC$696,報告入力!$A$7:$A$696,$S$67,報告入力!$B$7:$B$696,$A73)</f>
        <v>52836</v>
      </c>
      <c r="G73" s="133" t="n">
        <f aca="false">SUM(B73:F73)</f>
        <v>143929696</v>
      </c>
      <c r="H73" s="139" t="n">
        <f aca="false">SUMIFS(報告入力!$BD$7:$BD$696,報告入力!$A$7:$A$696,$S$67,報告入力!$B$7:$B$696,$A73)</f>
        <v>32062535</v>
      </c>
      <c r="I73" s="230" t="n">
        <f aca="false">SUMIFS(報告入力!$BE$7:$BE$696,報告入力!$A$7:$A$696,$S$67,報告入力!$B$7:$B$696,$A73)</f>
        <v>32497376</v>
      </c>
      <c r="J73" s="323" t="n">
        <f aca="false">SUM(H73:I73)</f>
        <v>64559911</v>
      </c>
      <c r="K73" s="230" t="n">
        <f aca="false">SUMIFS(報告入力!$BF$7:$BF$696,報告入力!$A$7:$A$696,$S$67,報告入力!$B$7:$B$696,$A73)</f>
        <v>2046682</v>
      </c>
      <c r="L73" s="230" t="n">
        <f aca="false">SUMIFS(報告入力!$BG$7:$BG$696,報告入力!$A$7:$A$696,$S$67,報告入力!$B$7:$B$696,$A73)</f>
        <v>2033728</v>
      </c>
      <c r="M73" s="323" t="n">
        <f aca="false">SUM(K73:L73)</f>
        <v>4080410</v>
      </c>
      <c r="N73" s="230" t="n">
        <f aca="false">SUMIFS(報告入力!$BH$7:$BH$696,報告入力!$A$7:$A$696,$S$67,報告入力!$B$7:$B$696,$A73)</f>
        <v>710742</v>
      </c>
      <c r="O73" s="230" t="n">
        <f aca="false">SUMIFS(報告入力!$BI$7:$BI$696,報告入力!$A$7:$A$696,$S$67,報告入力!$B$7:$B$696,$A73)</f>
        <v>708581</v>
      </c>
      <c r="P73" s="145" t="n">
        <f aca="false">SUM(N73:O73)</f>
        <v>1419323</v>
      </c>
      <c r="Q73" s="135" t="str">
        <f aca="false">IF(P8=P73,"〇","×")</f>
        <v>×</v>
      </c>
      <c r="R73" s="135" t="str">
        <f aca="false">IFERROR(INDEX(報告入力!$C$7:$C$696,MATCH($S$67&amp;"|"&amp;$A73,報告入力!$CM$7:$CM$696,0)),"")</f>
        <v>入金確認済</v>
      </c>
    </row>
    <row r="74" s="135" customFormat="true" ht="20.1" hidden="false" customHeight="true" outlineLevel="0" collapsed="false">
      <c r="A74" s="125" t="s">
        <v>171</v>
      </c>
      <c r="B74" s="136" t="n">
        <f aca="false">SUMIFS(報告入力!$AY$7:$AY$696,報告入力!$A$7:$A$696,$S$67,報告入力!$B$7:$B$696,$A74)</f>
        <v>1810785</v>
      </c>
      <c r="C74" s="137" t="n">
        <f aca="false">SUMIFS(報告入力!$AZ$7:$AZ$696,報告入力!$A$7:$A$696,$S$67,報告入力!$B$7:$B$696,$A74)</f>
        <v>148425</v>
      </c>
      <c r="D74" s="128" t="n">
        <f aca="false">SUMIFS(報告入力!$BA$7:$BA$696,報告入力!$A$7:$A$696,$S$67,報告入力!$B$7:$B$696,$A74)</f>
        <v>2609982</v>
      </c>
      <c r="E74" s="128" t="n">
        <f aca="false">SUMIFS(報告入力!$BB$7:$BB$696,報告入力!$A$7:$A$696,$S$67,報告入力!$B$7:$B$696,$A74)</f>
        <v>148425</v>
      </c>
      <c r="F74" s="138" t="n">
        <f aca="false">SUMIFS(報告入力!$BC$7:$BC$696,報告入力!$A$7:$A$696,$S$67,報告入力!$B$7:$B$696,$A74)</f>
        <v>1740</v>
      </c>
      <c r="G74" s="133" t="n">
        <f aca="false">SUM(B74:F74)</f>
        <v>4719357</v>
      </c>
      <c r="H74" s="139" t="n">
        <f aca="false">SUMIFS(報告入力!$BD$7:$BD$696,報告入力!$A$7:$A$696,$S$67,報告入力!$B$7:$B$696,$A74)</f>
        <v>1048696</v>
      </c>
      <c r="I74" s="230" t="n">
        <f aca="false">SUMIFS(報告入力!$BE$7:$BE$696,報告入力!$A$7:$A$696,$S$67,報告入力!$B$7:$B$696,$A74)</f>
        <v>1066514</v>
      </c>
      <c r="J74" s="323" t="n">
        <f aca="false">SUM(H74:I74)</f>
        <v>2115210</v>
      </c>
      <c r="K74" s="230" t="n">
        <f aca="false">SUMIFS(報告入力!$BF$7:$BF$696,報告入力!$A$7:$A$696,$S$67,報告入力!$B$7:$B$696,$A74)</f>
        <v>101925</v>
      </c>
      <c r="L74" s="230" t="n">
        <f aca="false">SUMIFS(報告入力!$BG$7:$BG$696,報告入力!$A$7:$A$696,$S$67,報告入力!$B$7:$B$696,$A74)</f>
        <v>101925</v>
      </c>
      <c r="M74" s="323" t="n">
        <f aca="false">SUM(K74:L74)</f>
        <v>203850</v>
      </c>
      <c r="N74" s="230" t="n">
        <f aca="false">SUMIFS(報告入力!$BH$7:$BH$696,報告入力!$A$7:$A$696,$S$67,報告入力!$B$7:$B$696,$A74)</f>
        <v>23247</v>
      </c>
      <c r="O74" s="230" t="n">
        <f aca="false">SUMIFS(報告入力!$BI$7:$BI$696,報告入力!$A$7:$A$696,$S$67,報告入力!$B$7:$B$696,$A74)</f>
        <v>23255</v>
      </c>
      <c r="P74" s="145" t="n">
        <f aca="false">SUM(N74:O74)</f>
        <v>46502</v>
      </c>
      <c r="Q74" s="135" t="str">
        <f aca="false">IF(P9=P74,"〇","×")</f>
        <v>×</v>
      </c>
      <c r="R74" s="135" t="str">
        <f aca="false">IFERROR(INDEX(報告入力!$C$7:$C$696,MATCH($S$67&amp;"|"&amp;$A74,報告入力!$CM$7:$CM$696,0)),"")</f>
        <v>入金確認済</v>
      </c>
    </row>
    <row r="75" s="135" customFormat="true" ht="20.1" hidden="false" customHeight="true" outlineLevel="0" collapsed="false">
      <c r="A75" s="125" t="s">
        <v>172</v>
      </c>
      <c r="B75" s="142" t="n">
        <f aca="false">SUMIFS(報告入力!$AY$7:$AY$696,報告入力!$A$7:$A$696,$S$67,報告入力!$B$7:$B$696,$A75)</f>
        <v>23673063</v>
      </c>
      <c r="C75" s="138" t="n">
        <f aca="false">SUMIFS(報告入力!$AZ$7:$AZ$696,報告入力!$A$7:$A$696,$S$67,報告入力!$B$7:$B$696,$A75)</f>
        <v>1940415</v>
      </c>
      <c r="D75" s="136" t="n">
        <f aca="false">SUMIFS(報告入力!$BA$7:$BA$696,報告入力!$A$7:$A$696,$S$67,報告入力!$B$7:$B$696,$A75)</f>
        <v>34108975</v>
      </c>
      <c r="E75" s="139" t="n">
        <f aca="false">SUMIFS(報告入力!$BB$7:$BB$696,報告入力!$A$7:$A$696,$S$67,報告入力!$B$7:$B$696,$A75)</f>
        <v>1940415</v>
      </c>
      <c r="F75" s="138" t="n">
        <f aca="false">SUMIFS(報告入力!$BC$7:$BC$696,報告入力!$A$7:$A$696,$S$67,報告入力!$B$7:$B$696,$A75)</f>
        <v>22724</v>
      </c>
      <c r="G75" s="133" t="n">
        <f aca="false">SUM(B75:F75)</f>
        <v>61685592</v>
      </c>
      <c r="H75" s="139" t="n">
        <f aca="false">SUMIFS(報告入力!$BD$7:$BD$696,報告入力!$A$7:$A$696,$S$67,報告入力!$B$7:$B$696,$A75)</f>
        <v>23500578</v>
      </c>
      <c r="I75" s="230" t="n">
        <f aca="false">SUMIFS(報告入力!$BE$7:$BE$696,報告入力!$A$7:$A$696,$S$67,報告入力!$B$7:$B$696,$A75)</f>
        <v>23962291</v>
      </c>
      <c r="J75" s="323" t="n">
        <f aca="false">SUM(H75:I75)</f>
        <v>47462869</v>
      </c>
      <c r="K75" s="230" t="n">
        <f aca="false">SUMIFS(報告入力!$BF$7:$BF$696,報告入力!$A$7:$A$696,$S$67,報告入力!$B$7:$B$696,$A75)</f>
        <v>2734336</v>
      </c>
      <c r="L75" s="230" t="n">
        <f aca="false">SUMIFS(報告入力!$BG$7:$BG$696,報告入力!$A$7:$A$696,$S$67,報告入力!$B$7:$B$696,$A75)</f>
        <v>2743806</v>
      </c>
      <c r="M75" s="323" t="n">
        <f aca="false">SUM(K75:L75)</f>
        <v>5478142</v>
      </c>
      <c r="N75" s="230" t="n">
        <f aca="false">SUMIFS(報告入力!$BH$7:$BH$696,報告入力!$A$7:$A$696,$S$67,報告入力!$B$7:$B$696,$A75)</f>
        <v>519699</v>
      </c>
      <c r="O75" s="230" t="n">
        <f aca="false">SUMIFS(報告入力!$BI$7:$BI$696,報告入力!$A$7:$A$696,$S$67,報告入力!$B$7:$B$696,$A75)</f>
        <v>521587</v>
      </c>
      <c r="P75" s="145" t="n">
        <f aca="false">SUM(N75:O75)</f>
        <v>1041286</v>
      </c>
      <c r="Q75" s="135" t="str">
        <f aca="false">IF(P10=P75,"〇","×")</f>
        <v>×</v>
      </c>
      <c r="R75" s="135" t="str">
        <f aca="false">IFERROR(INDEX(報告入力!$C$7:$C$696,MATCH($S$67&amp;"|"&amp;$A75,報告入力!$CM$7:$CM$696,0)),"")</f>
        <v>入金確認済</v>
      </c>
    </row>
    <row r="76" s="135" customFormat="true" ht="20.1" hidden="false" customHeight="true" outlineLevel="0" collapsed="false">
      <c r="A76" s="125" t="s">
        <v>173</v>
      </c>
      <c r="B76" s="136" t="n">
        <f aca="false">SUMIFS(報告入力!$AY$7:$AY$696,報告入力!$A$7:$A$696,$S$67,報告入力!$B$7:$B$696,$A76)</f>
        <v>326655</v>
      </c>
      <c r="C76" s="137" t="n">
        <f aca="false">SUMIFS(報告入力!$AZ$7:$AZ$696,報告入力!$A$7:$A$696,$S$67,報告入力!$B$7:$B$696,$A76)</f>
        <v>26775</v>
      </c>
      <c r="D76" s="128" t="n">
        <f aca="false">SUMIFS(報告入力!$BA$7:$BA$696,報告入力!$A$7:$A$696,$S$67,報告入力!$B$7:$B$696,$A76)</f>
        <v>469098</v>
      </c>
      <c r="E76" s="128" t="n">
        <f aca="false">SUMIFS(報告入力!$BB$7:$BB$696,報告入力!$A$7:$A$696,$S$67,報告入力!$B$7:$B$696,$A76)</f>
        <v>26775</v>
      </c>
      <c r="F76" s="138" t="n">
        <f aca="false">SUMIFS(報告入力!$BC$7:$BC$696,報告入力!$A$7:$A$696,$S$67,報告入力!$B$7:$B$696,$A76)</f>
        <v>310</v>
      </c>
      <c r="G76" s="133" t="n">
        <f aca="false">SUM(B76:F76)</f>
        <v>849613</v>
      </c>
      <c r="H76" s="139" t="n">
        <f aca="false">SUMIFS(報告入力!$BD$7:$BD$696,報告入力!$A$7:$A$696,$S$67,報告入力!$B$7:$B$696,$A76)</f>
        <v>205363</v>
      </c>
      <c r="I76" s="140" t="n">
        <f aca="false">SUMIFS(報告入力!$BE$7:$BE$696,報告入力!$A$7:$A$696,$S$67,報告入力!$B$7:$B$696,$A76)</f>
        <v>208810</v>
      </c>
      <c r="J76" s="141" t="n">
        <f aca="false">SUM(H76:I76)</f>
        <v>414173</v>
      </c>
      <c r="K76" s="136" t="n">
        <f aca="false">SUMIFS(報告入力!$BF$7:$BF$696,報告入力!$A$7:$A$696,$S$67,報告入力!$B$7:$B$696,$A76)</f>
        <v>15800</v>
      </c>
      <c r="L76" s="139" t="n">
        <f aca="false">SUMIFS(報告入力!$BG$7:$BG$696,報告入力!$A$7:$A$696,$S$67,報告入力!$B$7:$B$696,$A76)</f>
        <v>15800</v>
      </c>
      <c r="M76" s="141" t="n">
        <f aca="false">SUM(K76:L76)</f>
        <v>31600</v>
      </c>
      <c r="N76" s="230" t="n">
        <f aca="false">SUMIFS(報告入力!$BH$7:$BH$696,報告入力!$A$7:$A$696,$S$67,報告入力!$B$7:$B$696,$A76)</f>
        <v>4552</v>
      </c>
      <c r="O76" s="230" t="n">
        <f aca="false">SUMIFS(報告入力!$BI$7:$BI$696,報告入力!$A$7:$A$696,$S$67,報告入力!$B$7:$B$696,$A76)</f>
        <v>4553</v>
      </c>
      <c r="P76" s="141" t="n">
        <f aca="false">SUM(N76:O76)</f>
        <v>9105</v>
      </c>
      <c r="Q76" s="135" t="str">
        <f aca="false">IF(P11=P76,"〇","×")</f>
        <v>〇</v>
      </c>
      <c r="R76" s="135" t="str">
        <f aca="false">IFERROR(INDEX(報告入力!$C$7:$C$696,MATCH($S$67&amp;"|"&amp;$A76,報告入力!$CM$7:$CM$696,0)),"")</f>
        <v>入金確認済</v>
      </c>
    </row>
    <row r="77" s="135" customFormat="true" ht="20.1" hidden="false" customHeight="true" outlineLevel="0" collapsed="false">
      <c r="A77" s="125" t="s">
        <v>174</v>
      </c>
      <c r="B77" s="136" t="n">
        <f aca="false">SUMIFS(報告入力!$AY$7:$AY$696,報告入力!$A$7:$A$696,$S$67,報告入力!$B$7:$B$696,$A77)</f>
        <v>597495</v>
      </c>
      <c r="C77" s="137" t="n">
        <f aca="false">SUMIFS(報告入力!$AZ$7:$AZ$696,報告入力!$A$7:$A$696,$S$67,報告入力!$B$7:$B$696,$A77)</f>
        <v>48975</v>
      </c>
      <c r="D77" s="128" t="n">
        <f aca="false">SUMIFS(報告入力!$BA$7:$BA$696,報告入力!$A$7:$A$696,$S$67,報告入力!$B$7:$B$696,$A77)</f>
        <v>858042</v>
      </c>
      <c r="E77" s="128" t="n">
        <f aca="false">SUMIFS(報告入力!$BB$7:$BB$696,報告入力!$A$7:$A$696,$S$67,報告入力!$B$7:$B$696,$A77)</f>
        <v>48975</v>
      </c>
      <c r="F77" s="138" t="n">
        <f aca="false">SUMIFS(報告入力!$BC$7:$BC$696,報告入力!$A$7:$A$696,$S$67,報告入力!$B$7:$B$696,$A77)</f>
        <v>567</v>
      </c>
      <c r="G77" s="144" t="n">
        <f aca="false">SUM(B77:F77)</f>
        <v>1554054</v>
      </c>
      <c r="H77" s="139" t="n">
        <f aca="false">SUMIFS(報告入力!$BD$7:$BD$696,報告入力!$A$7:$A$696,$S$67,報告入力!$B$7:$B$696,$A77)</f>
        <v>343825</v>
      </c>
      <c r="I77" s="140" t="n">
        <f aca="false">SUMIFS(報告入力!$BE$7:$BE$696,報告入力!$A$7:$A$696,$S$67,報告入力!$B$7:$B$696,$A77)</f>
        <v>349599</v>
      </c>
      <c r="J77" s="141" t="n">
        <f aca="false">SUM(H77:I77)</f>
        <v>693424</v>
      </c>
      <c r="K77" s="134" t="n">
        <f aca="false">SUMIFS(報告入力!$BF$7:$BF$696,報告入力!$A$7:$A$696,$S$67,報告入力!$B$7:$B$696,$A77)</f>
        <v>28282</v>
      </c>
      <c r="L77" s="140" t="n">
        <f aca="false">SUMIFS(報告入力!$BG$7:$BG$696,報告入力!$A$7:$A$696,$S$67,報告入力!$B$7:$B$696,$A77)</f>
        <v>28282</v>
      </c>
      <c r="M77" s="141" t="n">
        <f aca="false">SUM(K77:L77)</f>
        <v>56564</v>
      </c>
      <c r="N77" s="230" t="n">
        <f aca="false">SUMIFS(報告入力!$BH$7:$BH$696,報告入力!$A$7:$A$696,$S$67,報告入力!$B$7:$B$696,$A77)</f>
        <v>7621</v>
      </c>
      <c r="O77" s="230" t="n">
        <f aca="false">SUMIFS(報告入力!$BI$7:$BI$696,報告入力!$A$7:$A$696,$S$67,報告入力!$B$7:$B$696,$A77)</f>
        <v>7624</v>
      </c>
      <c r="P77" s="141" t="n">
        <f aca="false">SUM(N77:O77)</f>
        <v>15245</v>
      </c>
      <c r="Q77" s="135" t="str">
        <f aca="false">IF(P12=P77,"〇","×")</f>
        <v>〇</v>
      </c>
      <c r="R77" s="135" t="str">
        <f aca="false">IFERROR(INDEX(報告入力!$C$7:$C$696,MATCH($S$67&amp;"|"&amp;$A77,報告入力!$CM$7:$CM$696,0)),"")</f>
        <v>入金確認済</v>
      </c>
    </row>
    <row r="78" s="135" customFormat="true" ht="20.1" hidden="false" customHeight="true" outlineLevel="0" collapsed="false">
      <c r="A78" s="125" t="s">
        <v>175</v>
      </c>
      <c r="B78" s="136" t="n">
        <f aca="false">SUMIFS(報告入力!$AY$7:$AY$696,報告入力!$A$7:$A$696,$S$67,報告入力!$B$7:$B$696,$A78)</f>
        <v>1324920</v>
      </c>
      <c r="C78" s="137" t="n">
        <f aca="false">SUMIFS(報告入力!$AZ$7:$AZ$696,報告入力!$A$7:$A$696,$S$67,報告入力!$B$7:$B$696,$A78)</f>
        <v>108600</v>
      </c>
      <c r="D78" s="128" t="n">
        <f aca="false">SUMIFS(報告入力!$BA$7:$BA$696,報告入力!$A$7:$A$696,$S$67,報告入力!$B$7:$B$696,$A78)</f>
        <v>1913844</v>
      </c>
      <c r="E78" s="128" t="n">
        <f aca="false">SUMIFS(報告入力!$BB$7:$BB$696,報告入力!$A$7:$A$696,$S$67,報告入力!$B$7:$B$696,$A78)</f>
        <v>108600</v>
      </c>
      <c r="F78" s="138" t="n">
        <f aca="false">SUMIFS(報告入力!$BC$7:$BC$696,報告入力!$A$7:$A$696,$S$67,報告入力!$B$7:$B$696,$A78)</f>
        <v>1282</v>
      </c>
      <c r="G78" s="133" t="n">
        <f aca="false">SUM(B78:F78)</f>
        <v>3457246</v>
      </c>
      <c r="H78" s="139" t="n">
        <f aca="false">SUMIFS(報告入力!$BD$7:$BD$696,報告入力!$A$7:$A$696,$S$67,報告入力!$B$7:$B$696,$A78)</f>
        <v>768034</v>
      </c>
      <c r="I78" s="230" t="n">
        <f aca="false">SUMIFS(報告入力!$BE$7:$BE$696,報告入力!$A$7:$A$696,$S$67,報告入力!$B$7:$B$696,$A78)</f>
        <v>781174</v>
      </c>
      <c r="J78" s="323" t="n">
        <f aca="false">SUM(H78:I78)</f>
        <v>1549208</v>
      </c>
      <c r="K78" s="230" t="n">
        <f aca="false">SUMIFS(報告入力!$BF$7:$BF$696,報告入力!$A$7:$A$696,$S$67,報告入力!$B$7:$B$696,$A78)</f>
        <v>104201</v>
      </c>
      <c r="L78" s="230" t="n">
        <f aca="false">SUMIFS(報告入力!$BG$7:$BG$696,報告入力!$A$7:$A$696,$S$67,報告入力!$B$7:$B$696,$A78)</f>
        <v>104201</v>
      </c>
      <c r="M78" s="323" t="n">
        <f aca="false">SUM(K78:L78)</f>
        <v>208402</v>
      </c>
      <c r="N78" s="230" t="n">
        <f aca="false">SUMIFS(報告入力!$BH$7:$BH$696,報告入力!$A$7:$A$696,$S$67,報告入力!$B$7:$B$696,$A78)</f>
        <v>17023</v>
      </c>
      <c r="O78" s="230" t="n">
        <f aca="false">SUMIFS(報告入力!$BI$7:$BI$696,報告入力!$A$7:$A$696,$S$67,報告入力!$B$7:$B$696,$A78)</f>
        <v>17030</v>
      </c>
      <c r="P78" s="145" t="n">
        <f aca="false">SUM(N78:O78)</f>
        <v>34053</v>
      </c>
      <c r="Q78" s="135" t="str">
        <f aca="false">IF(P13=P78,"〇","×")</f>
        <v>〇</v>
      </c>
      <c r="R78" s="135" t="str">
        <f aca="false">IFERROR(INDEX(報告入力!$C$7:$C$696,MATCH($S$67&amp;"|"&amp;$A78,報告入力!$CM$7:$CM$696,0)),"")</f>
        <v>入金確認済</v>
      </c>
    </row>
    <row r="79" s="135" customFormat="true" ht="20.1" hidden="false" customHeight="true" outlineLevel="0" collapsed="false">
      <c r="A79" s="125" t="s">
        <v>176</v>
      </c>
      <c r="B79" s="136" t="n">
        <f aca="false">SUMIFS(報告入力!$AY$7:$AY$696,報告入力!$A$7:$A$696,$S$67,報告入力!$B$7:$B$696,$A79)</f>
        <v>409920</v>
      </c>
      <c r="C79" s="137" t="n">
        <f aca="false">SUMIFS(報告入力!$AZ$7:$AZ$696,報告入力!$A$7:$A$696,$S$67,報告入力!$B$7:$B$696,$A79)</f>
        <v>33600</v>
      </c>
      <c r="D79" s="128" t="n">
        <f aca="false">SUMIFS(報告入力!$BA$7:$BA$696,報告入力!$A$7:$A$696,$S$67,報告入力!$B$7:$B$696,$A79)</f>
        <v>588672</v>
      </c>
      <c r="E79" s="128" t="n">
        <f aca="false">SUMIFS(報告入力!$BB$7:$BB$696,報告入力!$A$7:$A$696,$S$67,報告入力!$B$7:$B$696,$A79)</f>
        <v>33600</v>
      </c>
      <c r="F79" s="138" t="n">
        <f aca="false">SUMIFS(報告入力!$BC$7:$BC$696,報告入力!$A$7:$A$696,$S$67,報告入力!$B$7:$B$696,$A79)</f>
        <v>389</v>
      </c>
      <c r="G79" s="133" t="n">
        <f aca="false">SUM(B79:F79)</f>
        <v>1066181</v>
      </c>
      <c r="H79" s="139" t="n">
        <f aca="false">SUMIFS(報告入力!$BD$7:$BD$696,報告入力!$A$7:$A$696,$S$67,報告入力!$B$7:$B$696,$A79)</f>
        <v>306800</v>
      </c>
      <c r="I79" s="140" t="n">
        <f aca="false">SUMIFS(報告入力!$BE$7:$BE$696,報告入力!$A$7:$A$696,$S$67,報告入力!$B$7:$B$696,$A79)</f>
        <v>311950</v>
      </c>
      <c r="J79" s="141" t="n">
        <f aca="false">SUM(H79:I79)</f>
        <v>618750</v>
      </c>
      <c r="K79" s="134" t="n">
        <f aca="false">SUMIFS(報告入力!$BF$7:$BF$696,報告入力!$A$7:$A$696,$S$67,報告入力!$B$7:$B$696,$A79)</f>
        <v>35042</v>
      </c>
      <c r="L79" s="140" t="n">
        <f aca="false">SUMIFS(報告入力!$BG$7:$BG$696,報告入力!$A$7:$A$696,$S$67,報告入力!$B$7:$B$696,$A79)</f>
        <v>35044</v>
      </c>
      <c r="M79" s="141" t="n">
        <f aca="false">SUM(K79:L79)</f>
        <v>70086</v>
      </c>
      <c r="N79" s="230" t="n">
        <f aca="false">SUMIFS(報告入力!$BH$7:$BH$696,報告入力!$A$7:$A$696,$S$67,報告入力!$B$7:$B$696,$A79)</f>
        <v>6800</v>
      </c>
      <c r="O79" s="230" t="n">
        <f aca="false">SUMIFS(報告入力!$BI$7:$BI$696,報告入力!$A$7:$A$696,$S$67,報告入力!$B$7:$B$696,$A79)</f>
        <v>6803</v>
      </c>
      <c r="P79" s="141" t="n">
        <f aca="false">SUM(N79:O79)</f>
        <v>13603</v>
      </c>
      <c r="Q79" s="135" t="str">
        <f aca="false">IF(P14=P79,"〇","×")</f>
        <v>〇</v>
      </c>
      <c r="R79" s="135" t="str">
        <f aca="false">IFERROR(INDEX(報告入力!$C$7:$C$696,MATCH($S$67&amp;"|"&amp;$A79,報告入力!$CM$7:$CM$696,0)),"")</f>
        <v>入金確認済</v>
      </c>
    </row>
    <row r="80" s="135" customFormat="true" ht="20.1" hidden="false" customHeight="true" outlineLevel="0" collapsed="false">
      <c r="A80" s="125" t="s">
        <v>177</v>
      </c>
      <c r="B80" s="142" t="n">
        <f aca="false">SUMIFS(報告入力!$AY$7:$AY$696,報告入力!$A$7:$A$696,$S$67,報告入力!$B$7:$B$696,$A80)</f>
        <v>22394625</v>
      </c>
      <c r="C80" s="138" t="n">
        <f aca="false">SUMIFS(報告入力!$AZ$7:$AZ$696,報告入力!$A$7:$A$696,$S$67,報告入力!$B$7:$B$696,$A80)</f>
        <v>1835625</v>
      </c>
      <c r="D80" s="136" t="n">
        <f aca="false">SUMIFS(報告入力!$BA$7:$BA$696,報告入力!$A$7:$A$696,$S$67,報告入力!$B$7:$B$696,$A80)</f>
        <v>32282244</v>
      </c>
      <c r="E80" s="139" t="n">
        <f aca="false">SUMIFS(報告入力!$BB$7:$BB$696,報告入力!$A$7:$A$696,$S$67,報告入力!$B$7:$B$696,$A80)</f>
        <v>1835625</v>
      </c>
      <c r="F80" s="138" t="n">
        <f aca="false">SUMIFS(報告入力!$BC$7:$BC$696,報告入力!$A$7:$A$696,$S$67,報告入力!$B$7:$B$696,$A80)</f>
        <v>21527</v>
      </c>
      <c r="G80" s="133" t="n">
        <f aca="false">SUM(B80:F80)</f>
        <v>58369646</v>
      </c>
      <c r="H80" s="139" t="n">
        <f aca="false">SUMIFS(報告入力!$BD$7:$BD$696,報告入力!$A$7:$A$696,$S$67,報告入力!$B$7:$B$696,$A80)</f>
        <v>13377037</v>
      </c>
      <c r="I80" s="230" t="n">
        <f aca="false">SUMIFS(報告入力!$BE$7:$BE$696,報告入力!$A$7:$A$696,$S$67,報告入力!$B$7:$B$696,$A80)</f>
        <v>13604624</v>
      </c>
      <c r="J80" s="323" t="n">
        <f aca="false">SUM(H80:I80)</f>
        <v>26981661</v>
      </c>
      <c r="K80" s="230" t="n">
        <f aca="false">SUMIFS(報告入力!$BF$7:$BF$696,報告入力!$A$7:$A$696,$S$67,報告入力!$B$7:$B$696,$A80)</f>
        <v>1337154</v>
      </c>
      <c r="L80" s="230" t="n">
        <f aca="false">SUMIFS(報告入力!$BG$7:$BG$696,報告入力!$A$7:$A$696,$S$67,報告入力!$B$7:$B$696,$A80)</f>
        <v>1337154</v>
      </c>
      <c r="M80" s="323" t="n">
        <f aca="false">SUM(K80:L80)</f>
        <v>2674308</v>
      </c>
      <c r="N80" s="230" t="n">
        <f aca="false">SUMIFS(報告入力!$BH$7:$BH$696,報告入力!$A$7:$A$696,$S$67,報告入力!$B$7:$B$696,$A80)</f>
        <v>296548</v>
      </c>
      <c r="O80" s="230" t="n">
        <f aca="false">SUMIFS(報告入力!$BI$7:$BI$696,報告入力!$A$7:$A$696,$S$67,報告入力!$B$7:$B$696,$A80)</f>
        <v>296639</v>
      </c>
      <c r="P80" s="145" t="n">
        <f aca="false">SUM(N80:O80)</f>
        <v>593187</v>
      </c>
      <c r="Q80" s="135" t="str">
        <f aca="false">IF(P15=P80,"〇","×")</f>
        <v>×</v>
      </c>
      <c r="R80" s="135" t="str">
        <f aca="false">IFERROR(INDEX(報告入力!$C$7:$C$696,MATCH($S$67&amp;"|"&amp;$A80,報告入力!$CM$7:$CM$696,0)),"")</f>
        <v>入金確認済</v>
      </c>
    </row>
    <row r="81" s="135" customFormat="true" ht="19.5" hidden="false" customHeight="true" outlineLevel="0" collapsed="false">
      <c r="A81" s="146" t="s">
        <v>495</v>
      </c>
      <c r="B81" s="142" t="n">
        <f aca="false">SUMIFS(報告入力!$AY$7:$AY$696,報告入力!$A$7:$A$696,$S$67,報告入力!$B$7:$B$696,$A81)</f>
        <v>48495</v>
      </c>
      <c r="C81" s="147" t="n">
        <f aca="false">SUMIFS(報告入力!$AZ$7:$AZ$696,報告入力!$A$7:$A$696,$S$67,報告入力!$B$7:$B$696,$A81)</f>
        <v>3975</v>
      </c>
      <c r="D81" s="142" t="n">
        <f aca="false">SUMIFS(報告入力!$BA$7:$BA$696,報告入力!$A$7:$A$696,$S$67,報告入力!$B$7:$B$696,$A81)</f>
        <v>69642</v>
      </c>
      <c r="E81" s="143" t="n">
        <f aca="false">SUMIFS(報告入力!$BB$7:$BB$696,報告入力!$A$7:$A$696,$S$67,報告入力!$B$7:$B$696,$A81)</f>
        <v>3975</v>
      </c>
      <c r="F81" s="148" t="n">
        <f aca="false">SUMIFS(報告入力!$BC$7:$BC$696,報告入力!$A$7:$A$696,$S$67,報告入力!$B$7:$B$696,$A81)</f>
        <v>46</v>
      </c>
      <c r="G81" s="144" t="n">
        <f aca="false">SUM(B81:F81)</f>
        <v>126133</v>
      </c>
      <c r="H81" s="149" t="n">
        <f aca="false">SUMIFS(報告入力!$BD$7:$BD$696,報告入力!$A$7:$A$696,$S$67,報告入力!$B$7:$B$696,$A81)</f>
        <v>27485</v>
      </c>
      <c r="I81" s="150" t="n">
        <f aca="false">SUMIFS(報告入力!$BE$7:$BE$696,報告入力!$A$7:$A$696,$S$67,報告入力!$B$7:$B$696,$A81)</f>
        <v>27946</v>
      </c>
      <c r="J81" s="141" t="n">
        <f aca="false">SUM(H81:I81)</f>
        <v>55431</v>
      </c>
      <c r="K81" s="134" t="n">
        <f aca="false">SUMIFS(報告入力!$BF$7:$BF$696,報告入力!$A$7:$A$696,$S$67,報告入力!$B$7:$B$696,$A81)</f>
        <v>4187</v>
      </c>
      <c r="L81" s="140" t="n">
        <f aca="false">SUMIFS(報告入力!$BG$7:$BG$696,報告入力!$A$7:$A$696,$S$67,報告入力!$B$7:$B$696,$A81)</f>
        <v>4187</v>
      </c>
      <c r="M81" s="141" t="n">
        <f aca="false">SUM(K81:L81)</f>
        <v>8374</v>
      </c>
      <c r="N81" s="230" t="n">
        <f aca="false">SUMIFS(報告入力!$BH$7:$BH$696,報告入力!$A$7:$A$696,$S$67,報告入力!$B$7:$B$696,$A81)</f>
        <v>609</v>
      </c>
      <c r="O81" s="230" t="n">
        <f aca="false">SUMIFS(報告入力!$BI$7:$BI$696,報告入力!$A$7:$A$696,$S$67,報告入力!$B$7:$B$696,$A81)</f>
        <v>609</v>
      </c>
      <c r="P81" s="141" t="n">
        <f aca="false">SUM(N81:O81)</f>
        <v>1218</v>
      </c>
      <c r="Q81" s="135" t="str">
        <f aca="false">IF(P16=P81,"〇","×")</f>
        <v>〇</v>
      </c>
      <c r="R81" s="135" t="str">
        <f aca="false">IFERROR(INDEX(報告入力!$C$7:$C$696,MATCH($S$67&amp;"|"&amp;$A81,報告入力!$CM$7:$CM$696,0)),"")</f>
        <v>入金確認済</v>
      </c>
    </row>
    <row r="82" s="162" customFormat="true" ht="19.5" hidden="false" customHeight="true" outlineLevel="0" collapsed="false">
      <c r="A82" s="151" t="s">
        <v>179</v>
      </c>
      <c r="B82" s="152" t="n">
        <f aca="false">SUMIFS(報告入力!$AY$7:$AY$696,報告入力!$A$7:$A$696,$S$67,報告入力!$B$7:$B$696,$A82)</f>
        <v>0</v>
      </c>
      <c r="C82" s="153" t="n">
        <f aca="false">SUMIFS(報告入力!$AZ$7:$AZ$696,報告入力!$A$7:$A$696,$S$67,報告入力!$B$7:$B$696,$A82)</f>
        <v>0</v>
      </c>
      <c r="D82" s="154"/>
      <c r="E82" s="155"/>
      <c r="F82" s="156" t="n">
        <f aca="false">SUMIFS(報告入力!$BC$7:$BC$696,報告入力!$A$7:$A$696,$S$67,報告入力!$B$7:$B$696,$A82)</f>
        <v>0</v>
      </c>
      <c r="G82" s="157" t="n">
        <f aca="false">SUM(B82:F82)</f>
        <v>0</v>
      </c>
      <c r="H82" s="139" t="n">
        <f aca="false">SUMIFS(報告入力!$BD$7:$BD$696,報告入力!$A$7:$A$696,$S$67,報告入力!$B$7:$B$696,$A82)</f>
        <v>319157</v>
      </c>
      <c r="I82" s="140" t="n">
        <f aca="false">SUMIFS(報告入力!$BE$7:$BE$696,報告入力!$A$7:$A$696,$S$67,報告入力!$B$7:$B$696,$A82)</f>
        <v>324524</v>
      </c>
      <c r="J82" s="141" t="n">
        <f aca="false">SUM(H82:I82)</f>
        <v>643681</v>
      </c>
      <c r="K82" s="134" t="n">
        <f aca="false">SUMIFS(報告入力!$BF$7:$BF$696,報告入力!$A$7:$A$696,$S$67,報告入力!$B$7:$B$696,$A82)</f>
        <v>9622</v>
      </c>
      <c r="L82" s="140" t="n">
        <f aca="false">SUMIFS(報告入力!$BG$7:$BG$696,報告入力!$A$7:$A$696,$S$67,報告入力!$B$7:$B$696,$A82)</f>
        <v>9622</v>
      </c>
      <c r="M82" s="141" t="n">
        <f aca="false">SUM(K82:L82)</f>
        <v>19244</v>
      </c>
      <c r="N82" s="230" t="n">
        <f aca="false">SUMIFS(報告入力!$BH$7:$BH$696,報告入力!$A$7:$A$696,$S$67,報告入力!$B$7:$B$696,$A82)</f>
        <v>6964</v>
      </c>
      <c r="O82" s="230" t="n">
        <f aca="false">SUMIFS(報告入力!$BI$7:$BI$696,報告入力!$A$7:$A$696,$S$67,報告入力!$B$7:$B$696,$A82)</f>
        <v>6969</v>
      </c>
      <c r="P82" s="141" t="n">
        <f aca="false">SUM(N82:O82)</f>
        <v>13933</v>
      </c>
      <c r="Q82" s="162" t="str">
        <f aca="false">IF(P17=P82,"〇","×")</f>
        <v>×</v>
      </c>
      <c r="R82" s="162" t="str">
        <f aca="false">IFERROR(INDEX(報告入力!$C$7:$C$696,MATCH($S$67&amp;"|"&amp;$A82,報告入力!$CM$7:$CM$696,0)),"")</f>
        <v>入金確認済</v>
      </c>
    </row>
    <row r="83" s="162" customFormat="true" ht="19.5" hidden="false" customHeight="true" outlineLevel="0" collapsed="false">
      <c r="A83" s="163"/>
      <c r="B83" s="164"/>
      <c r="C83" s="165"/>
      <c r="D83" s="164"/>
      <c r="E83" s="166"/>
      <c r="F83" s="167"/>
      <c r="G83" s="168"/>
      <c r="H83" s="169"/>
      <c r="I83" s="170"/>
      <c r="J83" s="171"/>
      <c r="K83" s="172"/>
      <c r="L83" s="173"/>
      <c r="M83" s="173"/>
      <c r="N83" s="172"/>
      <c r="O83" s="173"/>
      <c r="P83" s="171"/>
      <c r="Q83" s="162" t="str">
        <f aca="false">IF(P18=P83,"〇","×")</f>
        <v>〇</v>
      </c>
    </row>
    <row r="84" s="162" customFormat="true" ht="19.5" hidden="false" customHeight="true" outlineLevel="0" collapsed="false">
      <c r="A84" s="174" t="s">
        <v>496</v>
      </c>
      <c r="B84" s="175"/>
      <c r="C84" s="176"/>
      <c r="D84" s="175"/>
      <c r="E84" s="177"/>
      <c r="F84" s="178"/>
      <c r="G84" s="179"/>
      <c r="H84" s="180"/>
      <c r="I84" s="177"/>
      <c r="J84" s="181"/>
      <c r="K84" s="182"/>
      <c r="L84" s="183"/>
      <c r="M84" s="183"/>
      <c r="N84" s="182"/>
      <c r="O84" s="183"/>
      <c r="P84" s="181"/>
      <c r="Q84" s="162" t="str">
        <f aca="false">IF(P19=P84,"〇","×")</f>
        <v>〇</v>
      </c>
    </row>
    <row r="85" s="162" customFormat="true" ht="19.5" hidden="false" customHeight="true" outlineLevel="0" collapsed="false">
      <c r="A85" s="174" t="s">
        <v>496</v>
      </c>
      <c r="B85" s="164"/>
      <c r="C85" s="165"/>
      <c r="D85" s="164"/>
      <c r="E85" s="166"/>
      <c r="F85" s="167"/>
      <c r="G85" s="168"/>
      <c r="H85" s="184"/>
      <c r="I85" s="166"/>
      <c r="J85" s="171"/>
      <c r="K85" s="185"/>
      <c r="L85" s="186"/>
      <c r="M85" s="186"/>
      <c r="N85" s="185"/>
      <c r="O85" s="186"/>
      <c r="P85" s="171"/>
      <c r="Q85" s="162" t="str">
        <f aca="false">IF(P20=P85,"〇","×")</f>
        <v>〇</v>
      </c>
    </row>
    <row r="86" s="162" customFormat="true" ht="19.5" hidden="false" customHeight="true" outlineLevel="0" collapsed="false">
      <c r="A86" s="187" t="s">
        <v>496</v>
      </c>
      <c r="B86" s="188"/>
      <c r="C86" s="189"/>
      <c r="D86" s="188"/>
      <c r="E86" s="190"/>
      <c r="F86" s="191"/>
      <c r="G86" s="192"/>
      <c r="H86" s="180"/>
      <c r="I86" s="193"/>
      <c r="J86" s="194"/>
      <c r="K86" s="182"/>
      <c r="L86" s="183"/>
      <c r="M86" s="195"/>
      <c r="N86" s="182"/>
      <c r="O86" s="183"/>
      <c r="P86" s="194"/>
      <c r="Q86" s="162" t="str">
        <f aca="false">IF(P21=P86,"〇","×")</f>
        <v>〇</v>
      </c>
    </row>
    <row r="87" s="162" customFormat="true" ht="19.5" hidden="false" customHeight="true" outlineLevel="0" collapsed="false">
      <c r="A87" s="196" t="s">
        <v>497</v>
      </c>
      <c r="B87" s="197" t="n">
        <f aca="false">SUM(B71:B86)</f>
        <v>360734449</v>
      </c>
      <c r="C87" s="198" t="n">
        <f aca="false">SUM(C71:C86)</f>
        <v>29571525</v>
      </c>
      <c r="D87" s="197" t="n">
        <f aca="false">SUM(D71:D86)</f>
        <v>517879799</v>
      </c>
      <c r="E87" s="199" t="n">
        <f aca="false">SUM(E71:E86)</f>
        <v>29053200</v>
      </c>
      <c r="F87" s="200" t="n">
        <f aca="false">SUM(F71:F86)</f>
        <v>347024</v>
      </c>
      <c r="G87" s="201" t="n">
        <f aca="false">SUM(B87:F87)</f>
        <v>937585997</v>
      </c>
      <c r="H87" s="198" t="n">
        <f aca="false">SUM(H71:H86)</f>
        <v>254242246</v>
      </c>
      <c r="I87" s="198" t="n">
        <f aca="false">SUM(I71:I86)</f>
        <v>254919952</v>
      </c>
      <c r="J87" s="200" t="n">
        <f aca="false">SUM(H87:I87)</f>
        <v>509162198</v>
      </c>
      <c r="K87" s="197" t="n">
        <f aca="false">SUM(K71:K86)</f>
        <v>23175009</v>
      </c>
      <c r="L87" s="198" t="n">
        <f aca="false">SUM(L71:L86)</f>
        <v>22746970</v>
      </c>
      <c r="M87" s="200" t="n">
        <f aca="false">SUM(K87:L87)</f>
        <v>45921979</v>
      </c>
      <c r="N87" s="197" t="n">
        <f aca="false">SUM(N71:N86)</f>
        <v>5633288</v>
      </c>
      <c r="O87" s="198" t="n">
        <f aca="false">SUM(O71:O86)</f>
        <v>5554520</v>
      </c>
      <c r="P87" s="200" t="n">
        <f aca="false">SUM(N87:O87)</f>
        <v>11187808</v>
      </c>
      <c r="Q87" s="162" t="str">
        <f aca="false">IF(P22=P87,"〇","×")</f>
        <v>×</v>
      </c>
    </row>
    <row r="88" s="135" customFormat="true" ht="20.1" hidden="false" customHeight="true" outlineLevel="0" collapsed="false">
      <c r="A88" s="202" t="s">
        <v>180</v>
      </c>
      <c r="B88" s="324"/>
      <c r="C88" s="325"/>
      <c r="D88" s="324"/>
      <c r="E88" s="326"/>
      <c r="F88" s="325"/>
      <c r="G88" s="327" t="n">
        <f aca="false">SUM(B88:F88)</f>
        <v>0</v>
      </c>
      <c r="H88" s="328"/>
      <c r="I88" s="329"/>
      <c r="J88" s="330" t="n">
        <f aca="false">SUM(H88:I88)</f>
        <v>0</v>
      </c>
      <c r="K88" s="328"/>
      <c r="L88" s="329"/>
      <c r="M88" s="331" t="n">
        <f aca="false">SUM(K88:L88)</f>
        <v>0</v>
      </c>
      <c r="N88" s="328"/>
      <c r="O88" s="329"/>
      <c r="P88" s="331" t="n">
        <f aca="false">SUM(N88:O88)</f>
        <v>0</v>
      </c>
      <c r="Q88" s="135" t="str">
        <f aca="false">IF(P23=P88,"〇","×")</f>
        <v>〇</v>
      </c>
      <c r="R88" s="135" t="str">
        <f aca="false">IFERROR(INDEX(報告入力!$C$7:$C$696,MATCH($S$67&amp;"|"&amp;$A88,報告入力!$CM$7:$CM$696,0)),"")</f>
        <v>報告なし</v>
      </c>
    </row>
    <row r="89" s="135" customFormat="true" ht="20.1" hidden="false" customHeight="true" outlineLevel="0" collapsed="false">
      <c r="A89" s="125" t="s">
        <v>182</v>
      </c>
      <c r="B89" s="136" t="n">
        <f aca="false">SUMIFS(報告入力!$AY$7:$AY$696,報告入力!$A$7:$A$696,$S$67,報告入力!$B$7:$B$696,$A89)</f>
        <v>0</v>
      </c>
      <c r="C89" s="137" t="n">
        <f aca="false">SUMIFS(報告入力!$AZ$7:$AZ$696,報告入力!$A$7:$A$696,$S$67,報告入力!$B$7:$B$696,$A89)</f>
        <v>0</v>
      </c>
      <c r="D89" s="142" t="n">
        <f aca="false">SUMIFS(報告入力!$BA$7:$BA$696,報告入力!$A$7:$A$696,$S$67,報告入力!$B$7:$B$696,$A89)</f>
        <v>765855</v>
      </c>
      <c r="E89" s="143" t="n">
        <f aca="false">SUMIFS(報告入力!$BB$7:$BB$696,報告入力!$A$7:$A$696,$S$67,報告入力!$B$7:$B$696,$A89)</f>
        <v>62775</v>
      </c>
      <c r="F89" s="138" t="n">
        <f aca="false">SUMIFS(報告入力!$BC$7:$BC$696,報告入力!$A$7:$A$696,$S$67,報告入力!$B$7:$B$696,$A89)</f>
        <v>789</v>
      </c>
      <c r="G89" s="133" t="n">
        <f aca="false">SUM(B89:F89)</f>
        <v>829419</v>
      </c>
      <c r="H89" s="139" t="n">
        <f aca="false">SUMIFS(報告入力!$BD$7:$BD$696,報告入力!$A$7:$A$696,$S$67,報告入力!$B$7:$B$696,$A89)</f>
        <v>0</v>
      </c>
      <c r="I89" s="140" t="n">
        <f aca="false">SUMIFS(報告入力!$BE$7:$BE$696,報告入力!$A$7:$A$696,$S$67,報告入力!$B$7:$B$696,$A89)</f>
        <v>441236</v>
      </c>
      <c r="J89" s="141" t="n">
        <f aca="false">SUM(H89:I89)</f>
        <v>441236</v>
      </c>
      <c r="K89" s="139" t="n">
        <f aca="false">SUMIFS(報告入力!$BF$7:$BF$696,報告入力!$A$7:$A$696,$S$67,報告入力!$B$7:$B$696,$A89)</f>
        <v>0</v>
      </c>
      <c r="L89" s="140" t="n">
        <f aca="false">SUMIFS(報告入力!$BG$7:$BG$696,報告入力!$A$7:$A$696,$S$67,報告入力!$B$7:$B$696,$A89)</f>
        <v>54826</v>
      </c>
      <c r="M89" s="141" t="n">
        <f aca="false">SUM(K89:L89)</f>
        <v>54826</v>
      </c>
      <c r="N89" s="139" t="n">
        <f aca="false">SUMIFS(報告入力!$BH$7:$BH$696,報告入力!$A$7:$A$696,$S$67,報告入力!$B$7:$B$696,$A89)</f>
        <v>0</v>
      </c>
      <c r="O89" s="140" t="n">
        <f aca="false">SUMIFS(報告入力!$BI$7:$BI$696,報告入力!$A$7:$A$696,$S$67,報告入力!$B$7:$B$696,$A89)</f>
        <v>9775</v>
      </c>
      <c r="P89" s="141" t="n">
        <f aca="false">SUM(N89:O89)</f>
        <v>9775</v>
      </c>
      <c r="Q89" s="135" t="str">
        <f aca="false">IF(P24=P89,"〇","×")</f>
        <v>〇</v>
      </c>
      <c r="R89" s="135" t="str">
        <f aca="false">IFERROR(INDEX(報告入力!$C$7:$C$696,MATCH($S$67&amp;"|"&amp;$A89,報告入力!$CM$7:$CM$696,0)),"")</f>
        <v>入金確認済</v>
      </c>
    </row>
    <row r="90" s="135" customFormat="true" ht="20.1" hidden="false" customHeight="true" outlineLevel="0" collapsed="false">
      <c r="A90" s="125" t="s">
        <v>183</v>
      </c>
      <c r="B90" s="211"/>
      <c r="C90" s="212"/>
      <c r="D90" s="136" t="n">
        <f aca="false">SUMIFS(報告入力!$BA$7:$BA$696,報告入力!$A$7:$A$696,$S$67,報告入力!$B$7:$B$696,$A90)</f>
        <v>2020320</v>
      </c>
      <c r="E90" s="139" t="n">
        <f aca="false">SUMIFS(報告入力!$BB$7:$BB$696,報告入力!$A$7:$A$696,$S$67,報告入力!$B$7:$B$696,$A90)</f>
        <v>165600</v>
      </c>
      <c r="F90" s="138" t="n">
        <f aca="false">SUMIFS(報告入力!$BC$7:$BC$696,報告入力!$A$7:$A$696,$S$67,報告入力!$B$7:$B$696,$A90)</f>
        <v>1999</v>
      </c>
      <c r="G90" s="133" t="n">
        <f aca="false">SUM(B90:F90)</f>
        <v>2187919</v>
      </c>
      <c r="H90" s="213"/>
      <c r="I90" s="230" t="n">
        <f aca="false">SUMIFS(報告入力!$BE$7:$BE$696,報告入力!$A$7:$A$696,$S$67,報告入力!$B$7:$B$696,$A90)</f>
        <v>1298833</v>
      </c>
      <c r="J90" s="323" t="n">
        <f aca="false">SUM(H90:I90)</f>
        <v>1298833</v>
      </c>
      <c r="K90" s="213"/>
      <c r="L90" s="230" t="n">
        <f aca="false">SUMIFS(報告入力!$BG$7:$BG$696,報告入力!$A$7:$A$696,$S$67,報告入力!$B$7:$B$696,$A90)</f>
        <v>141726</v>
      </c>
      <c r="M90" s="323" t="n">
        <f aca="false">SUM(K90:L90)</f>
        <v>141726</v>
      </c>
      <c r="N90" s="213"/>
      <c r="O90" s="140" t="n">
        <f aca="false">SUMIFS(報告入力!$BI$7:$BI$696,報告入力!$A$7:$A$696,$S$67,報告入力!$B$7:$B$696,$A90)</f>
        <v>28771</v>
      </c>
      <c r="P90" s="145" t="n">
        <f aca="false">SUM(N90:O90)</f>
        <v>28771</v>
      </c>
      <c r="Q90" s="135" t="str">
        <f aca="false">IF(P25=P90,"〇","×")</f>
        <v>×</v>
      </c>
      <c r="R90" s="135" t="str">
        <f aca="false">IFERROR(INDEX(報告入力!$C$7:$C$696,MATCH($S$67&amp;"|"&amp;$A90,報告入力!$CM$7:$CM$696,0)),"")</f>
        <v>入金確認済</v>
      </c>
    </row>
    <row r="91" s="135" customFormat="true" ht="20.1" hidden="false" customHeight="true" outlineLevel="0" collapsed="false">
      <c r="A91" s="125" t="s">
        <v>184</v>
      </c>
      <c r="B91" s="211"/>
      <c r="C91" s="212"/>
      <c r="D91" s="128" t="n">
        <f aca="false">SUMIFS(報告入力!$BA$7:$BA$696,報告入力!$A$7:$A$696,$S$67,報告入力!$B$7:$B$696,$A91)</f>
        <v>59475</v>
      </c>
      <c r="E91" s="139" t="n">
        <f aca="false">SUMIFS(報告入力!$BB$7:$BB$696,報告入力!$A$7:$A$696,$S$67,報告入力!$B$7:$B$696,$A91)</f>
        <v>4875</v>
      </c>
      <c r="F91" s="138" t="n">
        <f aca="false">SUMIFS(報告入力!$BC$7:$BC$696,報告入力!$A$7:$A$696,$S$67,報告入力!$B$7:$B$696,$A91)</f>
        <v>56</v>
      </c>
      <c r="G91" s="133" t="n">
        <f aca="false">SUM(B91:F91)</f>
        <v>64406</v>
      </c>
      <c r="H91" s="213"/>
      <c r="I91" s="230" t="n">
        <f aca="false">SUMIFS(報告入力!$BE$7:$BE$696,報告入力!$A$7:$A$696,$S$67,報告入力!$B$7:$B$696,$A91)</f>
        <v>36856</v>
      </c>
      <c r="J91" s="323" t="n">
        <f aca="false">SUM(H91:I91)</f>
        <v>36856</v>
      </c>
      <c r="K91" s="213"/>
      <c r="L91" s="230" t="n">
        <f aca="false">SUMIFS(報告入力!$BG$7:$BG$696,報告入力!$A$7:$A$696,$S$67,報告入力!$B$7:$B$696,$A91)</f>
        <v>5609</v>
      </c>
      <c r="M91" s="323" t="n">
        <f aca="false">SUM(K91:L91)</f>
        <v>5609</v>
      </c>
      <c r="N91" s="213"/>
      <c r="O91" s="140" t="n">
        <f aca="false">SUMIFS(報告入力!$BI$7:$BI$696,報告入力!$A$7:$A$696,$S$67,報告入力!$B$7:$B$696,$A91)</f>
        <v>816</v>
      </c>
      <c r="P91" s="145" t="n">
        <f aca="false">SUM(N91:O91)</f>
        <v>816</v>
      </c>
      <c r="Q91" s="135" t="str">
        <f aca="false">IF(P26=P91,"〇","×")</f>
        <v>〇</v>
      </c>
      <c r="R91" s="135" t="str">
        <f aca="false">IFERROR(INDEX(報告入力!$C$7:$C$696,MATCH($S$67&amp;"|"&amp;$A91,報告入力!$CM$7:$CM$696,0)),"")</f>
        <v>入金確認済</v>
      </c>
    </row>
    <row r="92" s="135" customFormat="true" ht="20.1" hidden="false" customHeight="true" outlineLevel="0" collapsed="false">
      <c r="A92" s="214" t="s">
        <v>185</v>
      </c>
      <c r="B92" s="211"/>
      <c r="C92" s="212"/>
      <c r="D92" s="128" t="n">
        <f aca="false">SUMIFS(報告入力!$BA$7:$BA$696,報告入力!$A$7:$A$696,$S$67,報告入力!$B$7:$B$696,$A92)</f>
        <v>417240</v>
      </c>
      <c r="E92" s="139" t="n">
        <f aca="false">SUMIFS(報告入力!$BB$7:$BB$696,報告入力!$A$7:$A$696,$S$67,報告入力!$B$7:$B$696,$A92)</f>
        <v>34200</v>
      </c>
      <c r="F92" s="138" t="n">
        <f aca="false">SUMIFS(報告入力!$BC$7:$BC$696,報告入力!$A$7:$A$696,$S$67,報告入力!$B$7:$B$696,$A92)</f>
        <v>395</v>
      </c>
      <c r="G92" s="133" t="n">
        <f aca="false">SUM(B92:F92)</f>
        <v>451835</v>
      </c>
      <c r="H92" s="213"/>
      <c r="I92" s="140" t="n">
        <f aca="false">SUMIFS(報告入力!$BE$7:$BE$696,報告入力!$A$7:$A$696,$S$67,報告入力!$B$7:$B$696,$A92)</f>
        <v>236708</v>
      </c>
      <c r="J92" s="141" t="n">
        <f aca="false">SUM(H92:I92)</f>
        <v>236708</v>
      </c>
      <c r="K92" s="213"/>
      <c r="L92" s="140" t="n">
        <f aca="false">SUMIFS(報告入力!$BG$7:$BG$696,報告入力!$A$7:$A$696,$S$67,報告入力!$B$7:$B$696,$A92)</f>
        <v>30968</v>
      </c>
      <c r="M92" s="141" t="n">
        <f aca="false">SUM(K92:L92)</f>
        <v>30968</v>
      </c>
      <c r="N92" s="213"/>
      <c r="O92" s="140" t="n">
        <f aca="false">SUMIFS(報告入力!$BI$7:$BI$696,報告入力!$A$7:$A$696,$S$67,報告入力!$B$7:$B$696,$A92)</f>
        <v>5243</v>
      </c>
      <c r="P92" s="141" t="n">
        <f aca="false">SUM(N92:O92)</f>
        <v>5243</v>
      </c>
      <c r="Q92" s="135" t="str">
        <f aca="false">IF(P27=P92,"〇","×")</f>
        <v>〇</v>
      </c>
      <c r="R92" s="135" t="str">
        <f aca="false">IFERROR(INDEX(報告入力!$C$7:$C$696,MATCH($S$67&amp;"|"&amp;$A92,報告入力!$CM$7:$CM$696,0)),"")</f>
        <v>入金確認済</v>
      </c>
    </row>
    <row r="93" s="135" customFormat="true" ht="20.1" hidden="false" customHeight="true" outlineLevel="0" collapsed="false">
      <c r="A93" s="146" t="s">
        <v>186</v>
      </c>
      <c r="B93" s="211"/>
      <c r="C93" s="216"/>
      <c r="D93" s="128" t="n">
        <f aca="false">SUMIFS(報告入力!$BA$7:$BA$696,報告入力!$A$7:$A$696,$S$67,報告入力!$B$7:$B$696,$A93)</f>
        <v>40260</v>
      </c>
      <c r="E93" s="139" t="n">
        <f aca="false">SUMIFS(報告入力!$BB$7:$BB$696,報告入力!$A$7:$A$696,$S$67,報告入力!$B$7:$B$696,$A93)</f>
        <v>3300</v>
      </c>
      <c r="F93" s="148" t="n">
        <f aca="false">SUMIFS(報告入力!$BC$7:$BC$696,報告入力!$A$7:$A$696,$S$67,報告入力!$B$7:$B$696,$A93)</f>
        <v>38</v>
      </c>
      <c r="G93" s="133" t="n">
        <f aca="false">SUM(B93:F93)</f>
        <v>43598</v>
      </c>
      <c r="H93" s="213"/>
      <c r="I93" s="230" t="n">
        <f aca="false">SUMIFS(報告入力!$BE$7:$BE$696,報告入力!$A$7:$A$696,$S$67,報告入力!$B$7:$B$696,$A93)</f>
        <v>22840</v>
      </c>
      <c r="J93" s="323" t="n">
        <f aca="false">SUM(H93:I93)</f>
        <v>22840</v>
      </c>
      <c r="K93" s="213"/>
      <c r="L93" s="230" t="n">
        <f aca="false">SUMIFS(報告入力!$BG$7:$BG$696,報告入力!$A$7:$A$696,$S$67,報告入力!$B$7:$B$696,$A93)</f>
        <v>3476</v>
      </c>
      <c r="M93" s="323" t="n">
        <f aca="false">SUM(K93:L93)</f>
        <v>3476</v>
      </c>
      <c r="N93" s="213"/>
      <c r="O93" s="140" t="n">
        <f aca="false">SUMIFS(報告入力!$BI$7:$BI$696,報告入力!$A$7:$A$696,$S$67,報告入力!$B$7:$B$696,$A93)</f>
        <v>506</v>
      </c>
      <c r="P93" s="145" t="n">
        <f aca="false">SUM(N93:O93)</f>
        <v>506</v>
      </c>
      <c r="Q93" s="135" t="str">
        <f aca="false">IF(P28=P93,"〇","×")</f>
        <v>〇</v>
      </c>
      <c r="R93" s="135" t="str">
        <f aca="false">IFERROR(INDEX(報告入力!$C$7:$C$696,MATCH($S$67&amp;"|"&amp;$A93,報告入力!$CM$7:$CM$696,0)),"")</f>
        <v>入金確認済</v>
      </c>
    </row>
    <row r="94" s="135" customFormat="true" ht="20.1" hidden="false" customHeight="true" outlineLevel="0" collapsed="false">
      <c r="A94" s="146" t="s">
        <v>187</v>
      </c>
      <c r="B94" s="211"/>
      <c r="C94" s="216"/>
      <c r="D94" s="142" t="n">
        <f aca="false">SUMIFS(報告入力!$BA$7:$BA$696,報告入力!$A$7:$A$696,$S$67,報告入力!$B$7:$B$696,$A94)</f>
        <v>0</v>
      </c>
      <c r="E94" s="139" t="n">
        <f aca="false">SUMIFS(報告入力!$BB$7:$BB$696,報告入力!$A$7:$A$696,$S$67,報告入力!$B$7:$B$696,$A94)</f>
        <v>0</v>
      </c>
      <c r="F94" s="138" t="n">
        <f aca="false">SUMIFS(報告入力!$BC$7:$BC$696,報告入力!$A$7:$A$696,$S$67,報告入力!$B$7:$B$696,$A94)</f>
        <v>0</v>
      </c>
      <c r="G94" s="133" t="n">
        <f aca="false">SUM(B94:F94)</f>
        <v>0</v>
      </c>
      <c r="H94" s="213"/>
      <c r="I94" s="140" t="n">
        <f aca="false">SUMIFS(報告入力!$BE$7:$BE$696,報告入力!$A$7:$A$696,$S$67,報告入力!$B$7:$B$696,$A94)</f>
        <v>0</v>
      </c>
      <c r="J94" s="323" t="n">
        <f aca="false">SUM(H94:I94)</f>
        <v>0</v>
      </c>
      <c r="K94" s="213"/>
      <c r="L94" s="230" t="n">
        <f aca="false">SUMIFS(報告入力!$BG$7:$BG$696,報告入力!$A$7:$A$696,$S$67,報告入力!$B$7:$B$696,$A94)</f>
        <v>0</v>
      </c>
      <c r="M94" s="323" t="n">
        <f aca="false">SUM(K94:L94)</f>
        <v>0</v>
      </c>
      <c r="N94" s="213"/>
      <c r="O94" s="140" t="n">
        <f aca="false">SUMIFS(報告入力!$BI$7:$BI$696,報告入力!$A$7:$A$696,$S$67,報告入力!$B$7:$B$696,$A94)</f>
        <v>0</v>
      </c>
      <c r="P94" s="145" t="n">
        <f aca="false">SUM(N94:O94)</f>
        <v>0</v>
      </c>
      <c r="Q94" s="135" t="str">
        <f aca="false">IF(P29=P94,"〇","×")</f>
        <v>〇</v>
      </c>
      <c r="R94" s="135" t="str">
        <f aca="false">IFERROR(INDEX(報告入力!$C$7:$C$696,MATCH($S$67&amp;"|"&amp;$A94,報告入力!$CM$7:$CM$696,0)),"")</f>
        <v>入金確認済</v>
      </c>
    </row>
    <row r="95" s="135" customFormat="true" ht="20.1" hidden="false" customHeight="true" outlineLevel="0" collapsed="false">
      <c r="A95" s="217" t="s">
        <v>188</v>
      </c>
      <c r="B95" s="211"/>
      <c r="C95" s="218"/>
      <c r="D95" s="136" t="n">
        <f aca="false">SUMIFS(報告入力!$BA$7:$BA$696,報告入力!$A$7:$A$696,$S$67,報告入力!$B$7:$B$696,$A95)</f>
        <v>193065</v>
      </c>
      <c r="E95" s="139" t="n">
        <f aca="false">SUMIFS(報告入力!$BB$7:$BB$696,報告入力!$A$7:$A$696,$S$67,報告入力!$B$7:$B$696,$A95)</f>
        <v>15825</v>
      </c>
      <c r="F95" s="138" t="n">
        <f aca="false">SUMIFS(報告入力!$BC$7:$BC$696,報告入力!$A$7:$A$696,$S$67,報告入力!$B$7:$B$696,$A95)</f>
        <v>183</v>
      </c>
      <c r="G95" s="133" t="n">
        <f aca="false">SUM(B95:F95)</f>
        <v>209073</v>
      </c>
      <c r="H95" s="213"/>
      <c r="I95" s="140" t="n">
        <f aca="false">SUMIFS(報告入力!$BE$7:$BE$696,報告入力!$A$7:$A$696,$S$67,報告入力!$B$7:$B$696,$A95)</f>
        <v>109530</v>
      </c>
      <c r="J95" s="323" t="n">
        <f aca="false">SUM(H95:I95)</f>
        <v>109530</v>
      </c>
      <c r="K95" s="213"/>
      <c r="L95" s="230" t="n">
        <f aca="false">SUMIFS(報告入力!$BG$7:$BG$696,報告入力!$A$7:$A$696,$S$67,報告入力!$B$7:$B$696,$A95)</f>
        <v>12956</v>
      </c>
      <c r="M95" s="323" t="n">
        <f aca="false">SUM(K95:L95)</f>
        <v>12956</v>
      </c>
      <c r="N95" s="213"/>
      <c r="O95" s="140" t="n">
        <f aca="false">SUMIFS(報告入力!$BI$7:$BI$696,報告入力!$A$7:$A$696,$S$67,報告入力!$B$7:$B$696,$A95)</f>
        <v>2426</v>
      </c>
      <c r="P95" s="145" t="n">
        <f aca="false">SUM(N95:O95)</f>
        <v>2426</v>
      </c>
      <c r="Q95" s="135" t="str">
        <f aca="false">IF(P30=P95,"〇","×")</f>
        <v>〇</v>
      </c>
      <c r="R95" s="135" t="str">
        <f aca="false">IFERROR(INDEX(報告入力!$C$7:$C$696,MATCH($S$67&amp;"|"&amp;$A95,報告入力!$CM$7:$CM$696,0)),"")</f>
        <v>入金確認済</v>
      </c>
    </row>
    <row r="96" s="135" customFormat="true" ht="20.1" hidden="false" customHeight="true" outlineLevel="0" collapsed="false">
      <c r="A96" s="125" t="s">
        <v>189</v>
      </c>
      <c r="B96" s="142" t="n">
        <f aca="false">SUMIFS(報告入力!$AY$7:$AY$696,報告入力!$A$7:$A$696,$S$67,報告入力!$B$7:$B$696,$A96)</f>
        <v>237900</v>
      </c>
      <c r="C96" s="138" t="n">
        <f aca="false">SUMIFS(報告入力!$AZ$7:$AZ$696,報告入力!$A$7:$A$696,$S$67,報告入力!$B$7:$B$696,$A96)</f>
        <v>19500</v>
      </c>
      <c r="D96" s="136" t="n">
        <f aca="false">SUMIFS(報告入力!$BA$7:$BA$696,報告入力!$A$7:$A$696,$S$67,報告入力!$B$7:$B$696,$A96)</f>
        <v>237900</v>
      </c>
      <c r="E96" s="139" t="n">
        <f aca="false">SUMIFS(報告入力!$BB$7:$BB$696,報告入力!$A$7:$A$696,$S$67,報告入力!$B$7:$B$696,$A96)</f>
        <v>19500</v>
      </c>
      <c r="F96" s="138" t="n">
        <f aca="false">SUMIFS(報告入力!$BC$7:$BC$696,報告入力!$A$7:$A$696,$S$67,報告入力!$B$7:$B$696,$A96)</f>
        <v>225</v>
      </c>
      <c r="G96" s="133" t="n">
        <f aca="false">SUM(B96:F96)</f>
        <v>515025</v>
      </c>
      <c r="H96" s="139" t="n">
        <f aca="false">SUMIFS(報告入力!$BD$7:$BD$696,報告入力!$A$7:$A$696,$S$67,報告入力!$B$7:$B$696,$A96)</f>
        <v>137945</v>
      </c>
      <c r="I96" s="140" t="n">
        <f aca="false">SUMIFS(報告入力!$BE$7:$BE$696,報告入力!$A$7:$A$696,$S$67,報告入力!$B$7:$B$696,$A96)</f>
        <v>138080</v>
      </c>
      <c r="J96" s="141" t="n">
        <f aca="false">SUM(H96:I96)</f>
        <v>276025</v>
      </c>
      <c r="K96" s="139" t="n">
        <f aca="false">SUMIFS(報告入力!$BF$7:$BF$696,報告入力!$A$7:$A$696,$S$67,報告入力!$B$7:$B$696,$A96)</f>
        <v>10744</v>
      </c>
      <c r="L96" s="140" t="n">
        <f aca="false">SUMIFS(報告入力!$BG$7:$BG$696,報告入力!$A$7:$A$696,$S$67,報告入力!$B$7:$B$696,$A96)</f>
        <v>10744</v>
      </c>
      <c r="M96" s="141" t="n">
        <f aca="false">SUM(K96:L96)</f>
        <v>21488</v>
      </c>
      <c r="N96" s="139" t="n">
        <f aca="false">SUMIFS(報告入力!$BH$7:$BH$696,報告入力!$A$7:$A$696,$S$67,報告入力!$B$7:$B$696,$A96)</f>
        <v>3058</v>
      </c>
      <c r="O96" s="140" t="n">
        <f aca="false">SUMIFS(報告入力!$BI$7:$BI$696,報告入力!$A$7:$A$696,$S$67,報告入力!$B$7:$B$696,$A96)</f>
        <v>3059</v>
      </c>
      <c r="P96" s="141" t="n">
        <f aca="false">SUM(N96:O96)</f>
        <v>6117</v>
      </c>
      <c r="Q96" s="135" t="str">
        <f aca="false">IF(P31=P96,"〇","×")</f>
        <v>×</v>
      </c>
      <c r="R96" s="135" t="str">
        <f aca="false">IFERROR(INDEX(報告入力!$C$7:$C$696,MATCH($S$67&amp;"|"&amp;$A96,報告入力!$CM$7:$CM$696,0)),"")</f>
        <v>入金確認済</v>
      </c>
    </row>
    <row r="97" s="135" customFormat="true" ht="20.1" hidden="false" customHeight="true" outlineLevel="0" collapsed="false">
      <c r="A97" s="219" t="s">
        <v>190</v>
      </c>
      <c r="B97" s="142" t="n">
        <f aca="false">SUMIFS(報告入力!$AY$7:$AY$696,報告入力!$A$7:$A$696,$S$67,報告入力!$B$7:$B$696,$A97)</f>
        <v>40260</v>
      </c>
      <c r="C97" s="138" t="n">
        <f aca="false">SUMIFS(報告入力!$AZ$7:$AZ$696,報告入力!$A$7:$A$696,$S$67,報告入力!$B$7:$B$696,$A97)</f>
        <v>3300</v>
      </c>
      <c r="D97" s="136" t="n">
        <f aca="false">SUMIFS(報告入力!$BA$7:$BA$696,報告入力!$A$7:$A$696,$S$67,報告入力!$B$7:$B$696,$A97)</f>
        <v>40260</v>
      </c>
      <c r="E97" s="139" t="n">
        <f aca="false">SUMIFS(報告入力!$BB$7:$BB$696,報告入力!$A$7:$A$696,$S$67,報告入力!$B$7:$B$696,$A97)</f>
        <v>3300</v>
      </c>
      <c r="F97" s="138" t="n">
        <f aca="false">SUMIFS(報告入力!$BC$7:$BC$696,報告入力!$A$7:$A$696,$S$67,報告入力!$B$7:$B$696,$A97)</f>
        <v>38</v>
      </c>
      <c r="G97" s="133" t="n">
        <f aca="false">SUM(B97:F97)</f>
        <v>87158</v>
      </c>
      <c r="H97" s="139" t="n">
        <f aca="false">SUMIFS(報告入力!$BD$7:$BD$696,報告入力!$A$7:$A$696,$S$67,報告入力!$B$7:$B$696,$A97)</f>
        <v>22818</v>
      </c>
      <c r="I97" s="140" t="n">
        <f aca="false">SUMIFS(報告入力!$BE$7:$BE$696,報告入力!$A$7:$A$696,$S$67,報告入力!$B$7:$B$696,$A97)</f>
        <v>22840</v>
      </c>
      <c r="J97" s="323" t="n">
        <f aca="false">SUM(H97:I97)</f>
        <v>45658</v>
      </c>
      <c r="K97" s="139" t="n">
        <f aca="false">SUMIFS(報告入力!$BF$7:$BF$696,報告入力!$A$7:$A$696,$S$67,報告入力!$B$7:$B$696,$A97)</f>
        <v>0</v>
      </c>
      <c r="L97" s="230" t="n">
        <f aca="false">SUMIFS(報告入力!$BG$7:$BG$696,報告入力!$A$7:$A$696,$S$67,報告入力!$B$7:$B$696,$A97)</f>
        <v>0</v>
      </c>
      <c r="M97" s="323" t="n">
        <f aca="false">SUM(K97:L97)</f>
        <v>0</v>
      </c>
      <c r="N97" s="139" t="n">
        <f aca="false">SUMIFS(報告入力!$BH$7:$BH$696,報告入力!$A$7:$A$696,$S$67,報告入力!$B$7:$B$696,$A97)</f>
        <v>506</v>
      </c>
      <c r="O97" s="140" t="n">
        <f aca="false">SUMIFS(報告入力!$BI$7:$BI$696,報告入力!$A$7:$A$696,$S$67,報告入力!$B$7:$B$696,$A97)</f>
        <v>506</v>
      </c>
      <c r="P97" s="145" t="n">
        <f aca="false">SUM(N97:O97)</f>
        <v>1012</v>
      </c>
      <c r="Q97" s="135" t="str">
        <f aca="false">IF(P32=P97,"〇","×")</f>
        <v>〇</v>
      </c>
      <c r="R97" s="135" t="str">
        <f aca="false">IFERROR(INDEX(報告入力!$C$7:$C$696,MATCH($S$67&amp;"|"&amp;$A97,報告入力!$CM$7:$CM$696,0)),"")</f>
        <v>入金確認済</v>
      </c>
    </row>
    <row r="98" s="135" customFormat="true" ht="20.1" hidden="false" customHeight="true" outlineLevel="0" collapsed="false">
      <c r="A98" s="222" t="s">
        <v>191</v>
      </c>
      <c r="B98" s="136" t="n">
        <f aca="false">SUMIFS(報告入力!$AY$7:$AY$696,報告入力!$A$7:$A$696,$S$67,報告入力!$B$7:$B$696,$A98)</f>
        <v>107970</v>
      </c>
      <c r="C98" s="138" t="n">
        <f aca="false">SUMIFS(報告入力!$AZ$7:$AZ$696,報告入力!$A$7:$A$696,$S$67,報告入力!$B$7:$B$696,$A98)</f>
        <v>8850</v>
      </c>
      <c r="D98" s="136" t="n">
        <f aca="false">SUMIFS(報告入力!$BA$7:$BA$696,報告入力!$A$7:$A$696,$S$67,報告入力!$B$7:$B$696,$A98)</f>
        <v>107970</v>
      </c>
      <c r="E98" s="139" t="n">
        <f aca="false">SUMIFS(報告入力!$BB$7:$BB$696,報告入力!$A$7:$A$696,$S$67,報告入力!$B$7:$B$696,$A98)</f>
        <v>8850</v>
      </c>
      <c r="F98" s="138" t="n">
        <f aca="false">SUMIFS(報告入力!$BC$7:$BC$696,報告入力!$A$7:$A$696,$S$67,報告入力!$B$7:$B$696,$A98)</f>
        <v>102</v>
      </c>
      <c r="G98" s="133" t="n">
        <f aca="false">SUM(B98:F98)</f>
        <v>233742</v>
      </c>
      <c r="H98" s="139" t="n">
        <f aca="false">SUMIFS(報告入力!$BD$7:$BD$696,報告入力!$A$7:$A$696,$S$67,報告入力!$B$7:$B$696,$A98)</f>
        <v>61194</v>
      </c>
      <c r="I98" s="140" t="n">
        <f aca="false">SUMIFS(報告入力!$BE$7:$BE$696,報告入力!$A$7:$A$696,$S$67,報告入力!$B$7:$B$696,$A98)</f>
        <v>61253</v>
      </c>
      <c r="J98" s="323" t="n">
        <f aca="false">SUM(H98:I98)</f>
        <v>122447</v>
      </c>
      <c r="K98" s="139" t="n">
        <f aca="false">SUMIFS(報告入力!$BF$7:$BF$696,報告入力!$A$7:$A$696,$S$67,報告入力!$B$7:$B$696,$A98)</f>
        <v>9322</v>
      </c>
      <c r="L98" s="140" t="n">
        <f aca="false">SUMIFS(報告入力!$BG$7:$BG$696,報告入力!$A$7:$A$696,$S$67,報告入力!$B$7:$B$696,$A98)</f>
        <v>9322</v>
      </c>
      <c r="M98" s="323" t="n">
        <f aca="false">SUM(K98:L98)</f>
        <v>18644</v>
      </c>
      <c r="N98" s="139" t="n">
        <f aca="false">SUMIFS(報告入力!$BH$7:$BH$696,報告入力!$A$7:$A$696,$S$67,報告入力!$B$7:$B$696,$A98)</f>
        <v>1356</v>
      </c>
      <c r="O98" s="140" t="n">
        <f aca="false">SUMIFS(報告入力!$BI$7:$BI$696,報告入力!$A$7:$A$696,$S$67,報告入力!$B$7:$B$696,$A98)</f>
        <v>1357</v>
      </c>
      <c r="P98" s="145" t="n">
        <f aca="false">SUM(N98:O98)</f>
        <v>2713</v>
      </c>
      <c r="Q98" s="135" t="str">
        <f aca="false">IF(P33=P98,"〇","×")</f>
        <v>〇</v>
      </c>
      <c r="R98" s="135" t="str">
        <f aca="false">IFERROR(INDEX(報告入力!$C$7:$C$696,MATCH($S$67&amp;"|"&amp;$A98,報告入力!$CM$7:$CM$696,0)),"")</f>
        <v>入金確認済</v>
      </c>
    </row>
    <row r="99" s="135" customFormat="true" ht="20.1" hidden="false" customHeight="true" outlineLevel="0" collapsed="false">
      <c r="A99" s="125" t="s">
        <v>192</v>
      </c>
      <c r="B99" s="210" t="n">
        <f aca="false">SUMIFS(報告入力!$AY$7:$AY$696,報告入力!$A$7:$A$696,$S$67,報告入力!$B$7:$B$696,$A99)</f>
        <v>746640</v>
      </c>
      <c r="C99" s="148" t="n">
        <f aca="false">SUMIFS(報告入力!$AZ$7:$AZ$696,報告入力!$A$7:$A$696,$S$67,報告入力!$B$7:$B$696,$A99)</f>
        <v>61200</v>
      </c>
      <c r="D99" s="210" t="n">
        <f aca="false">SUMIFS(報告入力!$BA$7:$BA$696,報告入力!$A$7:$A$696,$S$67,報告入力!$B$7:$B$696,$A99)</f>
        <v>784155</v>
      </c>
      <c r="E99" s="223" t="n">
        <f aca="false">SUMIFS(報告入力!$BB$7:$BB$696,報告入力!$A$7:$A$696,$S$67,報告入力!$B$7:$B$696,$A99)</f>
        <v>64275</v>
      </c>
      <c r="F99" s="224" t="n">
        <f aca="false">SUMIFS(報告入力!$BC$7:$BC$696,報告入力!$A$7:$A$696,$S$67,報告入力!$B$7:$B$696,$A99)</f>
        <v>804</v>
      </c>
      <c r="G99" s="133" t="n">
        <f aca="false">SUM(B99:F99)</f>
        <v>1657074</v>
      </c>
      <c r="H99" s="223" t="n">
        <f aca="false">SUMIFS(報告入力!$BD$7:$BD$696,報告入力!$A$7:$A$696,$S$67,報告入力!$B$7:$B$696,$A99)</f>
        <v>423172</v>
      </c>
      <c r="I99" s="225" t="n">
        <f aca="false">SUMIFS(報告入力!$BE$7:$BE$696,報告入力!$A$7:$A$696,$S$67,報告入力!$B$7:$B$696,$A99)</f>
        <v>444868</v>
      </c>
      <c r="J99" s="141" t="n">
        <f aca="false">SUM(H99:I99)</f>
        <v>868040</v>
      </c>
      <c r="K99" s="223" t="n">
        <f aca="false">SUMIFS(報告入力!$BF$7:$BF$696,報告入力!$A$7:$A$696,$S$67,報告入力!$B$7:$B$696,$A99)</f>
        <v>39342</v>
      </c>
      <c r="L99" s="225" t="n">
        <f aca="false">SUMIFS(報告入力!$BG$7:$BG$696,報告入力!$A$7:$A$696,$S$67,報告入力!$B$7:$B$696,$A99)</f>
        <v>39342</v>
      </c>
      <c r="M99" s="141" t="n">
        <f aca="false">SUM(K99:L99)</f>
        <v>78684</v>
      </c>
      <c r="N99" s="223" t="n">
        <f aca="false">SUMIFS(報告入力!$BH$7:$BH$696,報告入力!$A$7:$A$696,$S$67,報告入力!$B$7:$B$696,$A99)</f>
        <v>9380</v>
      </c>
      <c r="O99" s="140" t="n">
        <f aca="false">SUMIFS(報告入力!$BI$7:$BI$696,報告入力!$A$7:$A$696,$S$67,報告入力!$B$7:$B$696,$A99)</f>
        <v>9855</v>
      </c>
      <c r="P99" s="141" t="n">
        <f aca="false">SUM(N99:O99)</f>
        <v>19235</v>
      </c>
      <c r="Q99" s="135" t="str">
        <f aca="false">IF(P34=P99,"〇","×")</f>
        <v>×</v>
      </c>
      <c r="R99" s="135" t="str">
        <f aca="false">IFERROR(INDEX(報告入力!$C$7:$C$696,MATCH($S$67&amp;"|"&amp;$A99,報告入力!$CM$7:$CM$696,0)),"")</f>
        <v>入金確認済</v>
      </c>
    </row>
    <row r="100" s="135" customFormat="true" ht="20.1" hidden="false" customHeight="true" outlineLevel="0" collapsed="false">
      <c r="A100" s="125" t="s">
        <v>193</v>
      </c>
      <c r="B100" s="226"/>
      <c r="C100" s="216"/>
      <c r="D100" s="142" t="n">
        <f aca="false">SUMIFS(報告入力!$BA$7:$BA$696,報告入力!$A$7:$A$696,$S$67,報告入力!$B$7:$B$696,$A100)</f>
        <v>607560</v>
      </c>
      <c r="E100" s="149" t="n">
        <f aca="false">SUMIFS(報告入力!$BB$7:$BB$696,報告入力!$A$7:$A$696,$S$67,報告入力!$B$7:$B$696,$A100)</f>
        <v>49800</v>
      </c>
      <c r="F100" s="148" t="n">
        <f aca="false">SUMIFS(報告入力!$BC$7:$BC$696,報告入力!$A$7:$A$696,$S$67,報告入力!$B$7:$B$696,$A100)</f>
        <v>603</v>
      </c>
      <c r="G100" s="133" t="n">
        <f aca="false">SUM(B100:F100)</f>
        <v>657963</v>
      </c>
      <c r="H100" s="227"/>
      <c r="I100" s="150" t="n">
        <f aca="false">SUMIFS(報告入力!$BE$7:$BE$696,報告入力!$A$7:$A$696,$S$67,報告入力!$B$7:$B$696,$A100)</f>
        <v>344697</v>
      </c>
      <c r="J100" s="141" t="n">
        <f aca="false">SUM(H100:I100)</f>
        <v>344697</v>
      </c>
      <c r="K100" s="227"/>
      <c r="L100" s="150" t="n">
        <f aca="false">SUMIFS(報告入力!$BG$7:$BG$696,報告入力!$A$7:$A$696,$S$67,報告入力!$B$7:$B$696,$A100)</f>
        <v>28203</v>
      </c>
      <c r="M100" s="323" t="n">
        <f aca="false">SUM(K100:L100)</f>
        <v>28203</v>
      </c>
      <c r="N100" s="227"/>
      <c r="O100" s="140" t="n">
        <f aca="false">SUMIFS(報告入力!$BI$7:$BI$696,報告入力!$A$7:$A$696,$S$67,報告入力!$B$7:$B$696,$A100)</f>
        <v>7634</v>
      </c>
      <c r="P100" s="145" t="n">
        <f aca="false">SUM(N100:O100)</f>
        <v>7634</v>
      </c>
      <c r="Q100" s="135" t="str">
        <f aca="false">IF(P35=P100,"〇","×")</f>
        <v>×</v>
      </c>
      <c r="R100" s="135" t="str">
        <f aca="false">IFERROR(INDEX(報告入力!$C$7:$C$696,MATCH($S$67&amp;"|"&amp;$A100,報告入力!$CM$7:$CM$696,0)),"")</f>
        <v>入金確認済</v>
      </c>
    </row>
    <row r="101" s="135" customFormat="true" ht="20.1" hidden="false" customHeight="true" outlineLevel="0" collapsed="false">
      <c r="A101" s="228" t="s">
        <v>194</v>
      </c>
      <c r="B101" s="211"/>
      <c r="C101" s="218"/>
      <c r="D101" s="136" t="n">
        <f aca="false">SUMIFS(報告入力!$BA$7:$BA$696,報告入力!$A$7:$A$696,$S$67,報告入力!$B$7:$B$696,$A101)</f>
        <v>1056825</v>
      </c>
      <c r="E101" s="139" t="n">
        <f aca="false">SUMIFS(報告入力!$BB$7:$BB$696,報告入力!$A$7:$A$696,$S$67,報告入力!$B$7:$B$696,$A101)</f>
        <v>86625</v>
      </c>
      <c r="F101" s="148" t="n">
        <f aca="false">SUMIFS(報告入力!$BC$7:$BC$696,報告入力!$A$7:$A$696,$S$67,報告入力!$B$7:$B$696,$A101)</f>
        <v>1000</v>
      </c>
      <c r="G101" s="133" t="n">
        <f aca="false">SUM(B101:F101)</f>
        <v>1144450</v>
      </c>
      <c r="H101" s="213"/>
      <c r="I101" s="150" t="n">
        <f aca="false">SUMIFS(報告入力!$BE$7:$BE$696,報告入力!$A$7:$A$696,$S$67,報告入力!$B$7:$B$696,$A101)</f>
        <v>602672</v>
      </c>
      <c r="J101" s="323" t="n">
        <f aca="false">SUM(H101:I101)</f>
        <v>602672</v>
      </c>
      <c r="K101" s="213"/>
      <c r="L101" s="230" t="n">
        <f aca="false">SUMIFS(報告入力!$BG$7:$BG$696,報告入力!$A$7:$A$696,$S$67,報告入力!$B$7:$B$696,$A101)</f>
        <v>86347</v>
      </c>
      <c r="M101" s="323" t="n">
        <f aca="false">SUM(K101:L101)</f>
        <v>86347</v>
      </c>
      <c r="N101" s="213"/>
      <c r="O101" s="230" t="n">
        <f aca="false">SUMIFS(報告入力!$BI$7:$BI$696,報告入力!$A$7:$A$696,$S$67,報告入力!$B$7:$B$696,$A101)</f>
        <v>13350</v>
      </c>
      <c r="P101" s="145" t="n">
        <f aca="false">SUM(N101:O101)</f>
        <v>13350</v>
      </c>
      <c r="Q101" s="135" t="str">
        <f aca="false">IF(P36=P101,"〇","×")</f>
        <v>〇</v>
      </c>
      <c r="R101" s="135" t="str">
        <f aca="false">IFERROR(INDEX(報告入力!$C$7:$C$696,MATCH($S$67&amp;"|"&amp;$A101,報告入力!$CM$7:$CM$696,0)),"")</f>
        <v>入金確認済</v>
      </c>
    </row>
    <row r="102" s="135" customFormat="true" ht="20.1" hidden="false" customHeight="true" outlineLevel="0" collapsed="false">
      <c r="A102" s="229" t="s">
        <v>195</v>
      </c>
      <c r="B102" s="211"/>
      <c r="C102" s="218"/>
      <c r="D102" s="136" t="n">
        <f aca="false">SUMIFS(報告入力!$BA$7:$BA$696,報告入力!$A$7:$A$696,$S$67,報告入力!$B$7:$B$696,$A102)</f>
        <v>0</v>
      </c>
      <c r="E102" s="139" t="n">
        <f aca="false">SUMIFS(報告入力!$BB$7:$BB$696,報告入力!$A$7:$A$696,$S$67,報告入力!$B$7:$B$696,$A102)</f>
        <v>0</v>
      </c>
      <c r="F102" s="148" t="n">
        <f aca="false">SUMIFS(報告入力!$BC$7:$BC$696,報告入力!$A$7:$A$696,$S$67,報告入力!$B$7:$B$696,$A102)</f>
        <v>0</v>
      </c>
      <c r="G102" s="133" t="n">
        <f aca="false">SUM(B102:F102)</f>
        <v>0</v>
      </c>
      <c r="H102" s="213"/>
      <c r="I102" s="150" t="n">
        <f aca="false">SUMIFS(報告入力!$BE$7:$BE$696,報告入力!$A$7:$A$696,$S$67,報告入力!$B$7:$B$696,$A102)</f>
        <v>0</v>
      </c>
      <c r="J102" s="323" t="n">
        <f aca="false">SUM(H102:I102)</f>
        <v>0</v>
      </c>
      <c r="K102" s="213"/>
      <c r="L102" s="230" t="n">
        <f aca="false">SUMIFS(報告入力!$BG$7:$BG$696,報告入力!$A$7:$A$696,$S$67,報告入力!$B$7:$B$696,$A102)</f>
        <v>0</v>
      </c>
      <c r="M102" s="323" t="n">
        <f aca="false">SUM(K102:L102)</f>
        <v>0</v>
      </c>
      <c r="N102" s="213"/>
      <c r="O102" s="230" t="n">
        <f aca="false">SUMIFS(報告入力!$BI$7:$BI$696,報告入力!$A$7:$A$696,$S$67,報告入力!$B$7:$B$696,$A102)</f>
        <v>0</v>
      </c>
      <c r="P102" s="145" t="n">
        <f aca="false">SUM(N102:O102)</f>
        <v>0</v>
      </c>
      <c r="Q102" s="135" t="str">
        <f aca="false">IF(P37=P102,"〇","×")</f>
        <v>〇</v>
      </c>
      <c r="R102" s="135" t="str">
        <f aca="false">IFERROR(INDEX(報告入力!$C$7:$C$696,MATCH($S$67&amp;"|"&amp;$A102,報告入力!$CM$7:$CM$696,0)),"")</f>
        <v>入金確認済</v>
      </c>
    </row>
    <row r="103" s="135" customFormat="true" ht="20.1" hidden="false" customHeight="true" outlineLevel="0" collapsed="false">
      <c r="A103" s="125" t="s">
        <v>196</v>
      </c>
      <c r="B103" s="211"/>
      <c r="C103" s="218"/>
      <c r="D103" s="136" t="n">
        <f aca="false">SUMIFS(報告入力!$BA$7:$BA$696,報告入力!$A$7:$A$696,$S$67,報告入力!$B$7:$B$696,$A103)</f>
        <v>405345</v>
      </c>
      <c r="E103" s="139" t="n">
        <f aca="false">SUMIFS(報告入力!$BB$7:$BB$696,報告入力!$A$7:$A$696,$S$67,報告入力!$B$7:$B$696,$A103)</f>
        <v>33225</v>
      </c>
      <c r="F103" s="148" t="n">
        <f aca="false">SUMIFS(報告入力!$BC$7:$BC$696,報告入力!$A$7:$A$696,$S$67,報告入力!$B$7:$B$696,$A103)</f>
        <v>383</v>
      </c>
      <c r="G103" s="133" t="n">
        <f aca="false">SUM(B103:F103)</f>
        <v>438953</v>
      </c>
      <c r="H103" s="213"/>
      <c r="I103" s="150" t="n">
        <f aca="false">SUMIFS(報告入力!$BE$7:$BE$696,報告入力!$A$7:$A$696,$S$67,報告入力!$B$7:$B$696,$A103)</f>
        <v>229959</v>
      </c>
      <c r="J103" s="141" t="n">
        <f aca="false">SUM(H103:I103)</f>
        <v>229959</v>
      </c>
      <c r="K103" s="213"/>
      <c r="L103" s="150" t="n">
        <f aca="false">SUMIFS(報告入力!$BG$7:$BG$696,報告入力!$A$7:$A$696,$S$67,報告入力!$B$7:$B$696,$A103)</f>
        <v>34997</v>
      </c>
      <c r="M103" s="323" t="n">
        <f aca="false">SUM(K103:L103)</f>
        <v>34997</v>
      </c>
      <c r="N103" s="213"/>
      <c r="O103" s="150" t="n">
        <f aca="false">SUMIFS(報告入力!$BI$7:$BI$696,報告入力!$A$7:$A$696,$S$67,報告入力!$B$7:$B$696,$A103)</f>
        <v>5093</v>
      </c>
      <c r="P103" s="145" t="n">
        <f aca="false">SUM(N103:O103)</f>
        <v>5093</v>
      </c>
      <c r="Q103" s="135" t="str">
        <f aca="false">IF(P38=P103,"〇","×")</f>
        <v>〇</v>
      </c>
      <c r="R103" s="135" t="str">
        <f aca="false">IFERROR(INDEX(報告入力!$C$7:$C$696,MATCH($S$67&amp;"|"&amp;$A103,報告入力!$CM$7:$CM$696,0)),"")</f>
        <v>入金確認済</v>
      </c>
    </row>
    <row r="104" s="135" customFormat="true" ht="20.1" hidden="false" customHeight="true" outlineLevel="0" collapsed="false">
      <c r="A104" s="146" t="s">
        <v>197</v>
      </c>
      <c r="B104" s="136" t="n">
        <f aca="false">SUMIFS(報告入力!$AY$7:$AY$696,報告入力!$A$7:$A$696,$S$67,報告入力!$B$7:$B$696,$A104)</f>
        <v>148230</v>
      </c>
      <c r="C104" s="138" t="n">
        <f aca="false">SUMIFS(報告入力!$AZ$7:$AZ$696,報告入力!$A$7:$A$696,$S$67,報告入力!$B$7:$B$696,$A104)</f>
        <v>12150</v>
      </c>
      <c r="D104" s="136" t="n">
        <f aca="false">SUMIFS(報告入力!$BA$7:$BA$696,報告入力!$A$7:$A$696,$S$67,報告入力!$B$7:$B$696,$A104)</f>
        <v>148230</v>
      </c>
      <c r="E104" s="230" t="n">
        <f aca="false">SUMIFS(報告入力!$BB$7:$BB$696,報告入力!$A$7:$A$696,$S$67,報告入力!$B$7:$B$696,$A104)</f>
        <v>12150</v>
      </c>
      <c r="F104" s="147" t="n">
        <f aca="false">SUMIFS(報告入力!$BC$7:$BC$696,報告入力!$A$7:$A$696,$S$67,報告入力!$B$7:$B$696,$A104)</f>
        <v>140</v>
      </c>
      <c r="G104" s="133" t="n">
        <f aca="false">SUM(B104:F104)</f>
        <v>320900</v>
      </c>
      <c r="H104" s="139" t="n">
        <f aca="false">SUMIFS(報告入力!$BD$7:$BD$696,報告入力!$A$7:$A$696,$S$67,報告入力!$B$7:$B$696,$A104)</f>
        <v>87123</v>
      </c>
      <c r="I104" s="150" t="n">
        <f aca="false">SUMIFS(報告入力!$BE$7:$BE$696,報告入力!$A$7:$A$696,$S$67,報告入力!$B$7:$B$696,$A104)</f>
        <v>87208</v>
      </c>
      <c r="J104" s="323" t="n">
        <f aca="false">SUM(H104:I104)</f>
        <v>174331</v>
      </c>
      <c r="K104" s="230" t="n">
        <f aca="false">SUMIFS(報告入力!$BF$7:$BF$696,報告入力!$A$7:$A$696,$S$67,報告入力!$B$7:$B$696,$A104)</f>
        <v>10033</v>
      </c>
      <c r="L104" s="230" t="n">
        <f aca="false">SUMIFS(報告入力!$BG$7:$BG$696,報告入力!$A$7:$A$696,$S$67,報告入力!$B$7:$B$696,$A104)</f>
        <v>10033</v>
      </c>
      <c r="M104" s="323" t="n">
        <f aca="false">SUM(K104:L104)</f>
        <v>20066</v>
      </c>
      <c r="N104" s="230" t="n">
        <f aca="false">SUMIFS(報告入力!$BH$7:$BH$696,報告入力!$A$7:$A$696,$S$67,報告入力!$B$7:$B$696,$A104)</f>
        <v>1931</v>
      </c>
      <c r="O104" s="150" t="n">
        <f aca="false">SUMIFS(報告入力!$BI$7:$BI$696,報告入力!$A$7:$A$696,$S$67,報告入力!$B$7:$B$696,$A104)</f>
        <v>1932</v>
      </c>
      <c r="P104" s="145" t="n">
        <f aca="false">SUM(N104:O104)</f>
        <v>3863</v>
      </c>
      <c r="Q104" s="135" t="str">
        <f aca="false">IF(P39=P104,"〇","×")</f>
        <v>〇</v>
      </c>
      <c r="R104" s="135" t="str">
        <f aca="false">IFERROR(INDEX(報告入力!$C$7:$C$696,MATCH($S$67&amp;"|"&amp;$A104,報告入力!$CM$7:$CM$696,0)),"")</f>
        <v>入金確認済</v>
      </c>
    </row>
    <row r="105" s="135" customFormat="true" ht="20.1" hidden="false" customHeight="true" outlineLevel="0" collapsed="false">
      <c r="A105" s="231" t="s">
        <v>219</v>
      </c>
      <c r="B105" s="226"/>
      <c r="C105" s="216"/>
      <c r="D105" s="142" t="n">
        <f aca="false">SUMIFS(報告入力!$BA$7:$BA$696,報告入力!$A$7:$A$696,$S$67,報告入力!$B$7:$B$696,$A105)</f>
        <v>455670</v>
      </c>
      <c r="E105" s="149" t="n">
        <f aca="false">SUMIFS(報告入力!$BB$7:$BB$696,報告入力!$A$7:$A$696,$S$67,報告入力!$B$7:$B$696,$A105)</f>
        <v>37350</v>
      </c>
      <c r="F105" s="148" t="n">
        <f aca="false">SUMIFS(報告入力!$BC$7:$BC$696,報告入力!$A$7:$A$696,$S$67,報告入力!$B$7:$B$696,$A105)</f>
        <v>432</v>
      </c>
      <c r="G105" s="133" t="n">
        <f aca="false">SUM(B105:F105)</f>
        <v>493452</v>
      </c>
      <c r="H105" s="227"/>
      <c r="I105" s="230" t="n">
        <f aca="false">SUMIFS(報告入力!$BE$7:$BE$696,報告入力!$A$7:$A$696,$S$67,報告入力!$B$7:$B$696,$A105)</f>
        <v>263702</v>
      </c>
      <c r="J105" s="323" t="n">
        <f aca="false">SUM(H105:I105)</f>
        <v>263702</v>
      </c>
      <c r="K105" s="227"/>
      <c r="L105" s="230" t="n">
        <f aca="false">SUMIFS(報告入力!$BG$7:$BG$696,報告入力!$A$7:$A$696,$S$67,報告入力!$B$7:$B$696,$A105)</f>
        <v>21093</v>
      </c>
      <c r="M105" s="323" t="n">
        <f aca="false">SUM(K105:L105)</f>
        <v>21093</v>
      </c>
      <c r="N105" s="227"/>
      <c r="O105" s="150" t="n">
        <f aca="false">SUMIFS(報告入力!$BI$7:$BI$696,報告入力!$A$7:$A$696,$S$67,報告入力!$B$7:$B$696,$A105)</f>
        <v>5842</v>
      </c>
      <c r="P105" s="145" t="n">
        <f aca="false">SUM(N105:O105)</f>
        <v>5842</v>
      </c>
      <c r="Q105" s="135" t="str">
        <f aca="false">IF(P40=P105,"〇","×")</f>
        <v>〇</v>
      </c>
      <c r="R105" s="135" t="str">
        <f aca="false">IFERROR(INDEX(報告入力!$C$7:$C$696,MATCH($S$67&amp;"|"&amp;$A105,報告入力!$CM$7:$CM$696,0)),"")</f>
        <v>入金確認済</v>
      </c>
    </row>
    <row r="106" s="135" customFormat="true" ht="20.1" hidden="false" customHeight="true" outlineLevel="0" collapsed="false">
      <c r="A106" s="214" t="s">
        <v>199</v>
      </c>
      <c r="B106" s="136" t="n">
        <f aca="false">SUMIFS(報告入力!$AY$7:$AY$696,報告入力!$A$7:$A$696,$S$67,報告入力!$B$7:$B$696,$A106)</f>
        <v>56730</v>
      </c>
      <c r="C106" s="138" t="n">
        <f aca="false">SUMIFS(報告入力!$AZ$7:$AZ$696,報告入力!$A$7:$A$696,$S$67,報告入力!$B$7:$B$696,$A106)</f>
        <v>4650</v>
      </c>
      <c r="D106" s="136" t="n">
        <f aca="false">SUMIFS(報告入力!$BA$7:$BA$696,報告入力!$A$7:$A$696,$S$67,報告入力!$B$7:$B$696,$A106)</f>
        <v>56730</v>
      </c>
      <c r="E106" s="139" t="n">
        <f aca="false">SUMIFS(報告入力!$BB$7:$BB$696,報告入力!$A$7:$A$696,$S$67,報告入力!$B$7:$B$696,$A106)</f>
        <v>4650</v>
      </c>
      <c r="F106" s="138" t="n">
        <f aca="false">SUMIFS(報告入力!$BC$7:$BC$696,報告入力!$A$7:$A$696,$S$67,報告入力!$B$7:$B$696,$A106)</f>
        <v>53</v>
      </c>
      <c r="G106" s="133" t="n">
        <f aca="false">SUM(B106:F106)</f>
        <v>122813</v>
      </c>
      <c r="H106" s="139" t="n">
        <f aca="false">SUMIFS(報告入力!$BD$7:$BD$696,報告入力!$A$7:$A$696,$S$67,報告入力!$B$7:$B$696,$A106)</f>
        <v>32153</v>
      </c>
      <c r="I106" s="140" t="n">
        <f aca="false">SUMIFS(報告入力!$BE$7:$BE$696,報告入力!$A$7:$A$696,$S$67,報告入力!$B$7:$B$696,$A106)</f>
        <v>32184</v>
      </c>
      <c r="J106" s="323" t="n">
        <f aca="false">SUM(H106:I106)</f>
        <v>64337</v>
      </c>
      <c r="K106" s="230" t="n">
        <f aca="false">SUMIFS(報告入力!$BF$7:$BF$696,報告入力!$A$7:$A$696,$S$67,報告入力!$B$7:$B$696,$A106)</f>
        <v>4898</v>
      </c>
      <c r="L106" s="230" t="n">
        <f aca="false">SUMIFS(報告入力!$BG$7:$BG$696,報告入力!$A$7:$A$696,$S$67,報告入力!$B$7:$B$696,$A106)</f>
        <v>4898</v>
      </c>
      <c r="M106" s="323" t="n">
        <f aca="false">SUM(K106:L106)</f>
        <v>9796</v>
      </c>
      <c r="N106" s="230" t="n">
        <f aca="false">SUMIFS(報告入力!$BH$7:$BH$696,報告入力!$A$7:$A$696,$S$67,報告入力!$B$7:$B$696,$A106)</f>
        <v>713</v>
      </c>
      <c r="O106" s="150" t="n">
        <f aca="false">SUMIFS(報告入力!$BI$7:$BI$696,報告入力!$A$7:$A$696,$S$67,報告入力!$B$7:$B$696,$A106)</f>
        <v>713</v>
      </c>
      <c r="P106" s="145" t="n">
        <f aca="false">SUM(N106:O106)</f>
        <v>1426</v>
      </c>
      <c r="Q106" s="135" t="str">
        <f aca="false">IF(P41=P106,"〇","×")</f>
        <v>〇</v>
      </c>
      <c r="R106" s="135" t="str">
        <f aca="false">IFERROR(INDEX(報告入力!$C$7:$C$696,MATCH($S$67&amp;"|"&amp;$A106,報告入力!$CM$7:$CM$696,0)),"")</f>
        <v>入金確認済</v>
      </c>
    </row>
    <row r="107" s="135" customFormat="true" ht="20.1" hidden="false" customHeight="true" outlineLevel="0" collapsed="false">
      <c r="A107" s="214" t="s">
        <v>200</v>
      </c>
      <c r="B107" s="136" t="n">
        <f aca="false">SUMIFS(報告入力!$AY$7:$AY$696,報告入力!$A$7:$A$696,$S$67,報告入力!$B$7:$B$696,$A107)</f>
        <v>59475</v>
      </c>
      <c r="C107" s="138" t="n">
        <f aca="false">SUMIFS(報告入力!$AZ$7:$AZ$696,報告入力!$A$7:$A$696,$S$67,報告入力!$B$7:$B$696,$A107)</f>
        <v>4875</v>
      </c>
      <c r="D107" s="136" t="n">
        <f aca="false">SUMIFS(報告入力!$BA$7:$BA$696,報告入力!$A$7:$A$696,$S$67,報告入力!$B$7:$B$696,$A107)</f>
        <v>59475</v>
      </c>
      <c r="E107" s="139" t="n">
        <f aca="false">SUMIFS(報告入力!$BB$7:$BB$696,報告入力!$A$7:$A$696,$S$67,報告入力!$B$7:$B$696,$A107)</f>
        <v>4875</v>
      </c>
      <c r="F107" s="138" t="n">
        <f aca="false">SUMIFS(報告入力!$BC$7:$BC$696,報告入力!$A$7:$A$696,$S$67,報告入力!$B$7:$B$696,$A107)</f>
        <v>56</v>
      </c>
      <c r="G107" s="133" t="n">
        <f aca="false">SUM(B107:F107)</f>
        <v>128756</v>
      </c>
      <c r="H107" s="139" t="n">
        <f aca="false">SUMIFS(報告入力!$BD$7:$BD$696,報告入力!$A$7:$A$696,$S$67,報告入力!$B$7:$B$696,$A107)</f>
        <v>38895</v>
      </c>
      <c r="I107" s="140" t="n">
        <f aca="false">SUMIFS(報告入力!$BE$7:$BE$696,報告入力!$A$7:$A$696,$S$67,報告入力!$B$7:$B$696,$A107)</f>
        <v>38932</v>
      </c>
      <c r="J107" s="323" t="n">
        <f aca="false">SUM(H107:I107)</f>
        <v>77827</v>
      </c>
      <c r="K107" s="230" t="n">
        <f aca="false">SUMIFS(報告入力!$BF$7:$BF$696,報告入力!$A$7:$A$696,$S$67,報告入力!$B$7:$B$696,$A107)</f>
        <v>5925</v>
      </c>
      <c r="L107" s="230" t="n">
        <f aca="false">SUMIFS(報告入力!$BG$7:$BG$696,報告入力!$A$7:$A$696,$S$67,報告入力!$B$7:$B$696,$A107)</f>
        <v>5925</v>
      </c>
      <c r="M107" s="323" t="n">
        <f aca="false">SUM(K107:L107)</f>
        <v>11850</v>
      </c>
      <c r="N107" s="230" t="n">
        <f aca="false">SUMIFS(報告入力!$BH$7:$BH$696,報告入力!$A$7:$A$696,$S$67,報告入力!$B$7:$B$696,$A107)</f>
        <v>862</v>
      </c>
      <c r="O107" s="150" t="n">
        <f aca="false">SUMIFS(報告入力!$BI$7:$BI$696,報告入力!$A$7:$A$696,$S$67,報告入力!$B$7:$B$696,$A107)</f>
        <v>862</v>
      </c>
      <c r="P107" s="145" t="n">
        <f aca="false">SUM(N107:O107)</f>
        <v>1724</v>
      </c>
      <c r="Q107" s="135" t="str">
        <f aca="false">IF(P42=P107,"〇","×")</f>
        <v>〇</v>
      </c>
      <c r="R107" s="135" t="str">
        <f aca="false">IFERROR(INDEX(報告入力!$C$7:$C$696,MATCH($S$67&amp;"|"&amp;$A107,報告入力!$CM$7:$CM$696,0)),"")</f>
        <v>入金確認済</v>
      </c>
    </row>
    <row r="108" s="135" customFormat="true" ht="20.1" hidden="false" customHeight="true" outlineLevel="0" collapsed="false">
      <c r="A108" s="214" t="s">
        <v>201</v>
      </c>
      <c r="B108" s="136" t="n">
        <f aca="false">SUMIFS(報告入力!$AY$7:$AY$696,報告入力!$A$7:$A$696,$S$67,報告入力!$B$7:$B$696,$A108)</f>
        <v>37515</v>
      </c>
      <c r="C108" s="138" t="n">
        <f aca="false">SUMIFS(報告入力!$AZ$7:$AZ$696,報告入力!$A$7:$A$696,$S$67,報告入力!$B$7:$B$696,$A108)</f>
        <v>3075</v>
      </c>
      <c r="D108" s="136" t="n">
        <f aca="false">SUMIFS(報告入力!$BA$7:$BA$696,報告入力!$A$7:$A$696,$S$67,報告入力!$B$7:$B$696,$A108)</f>
        <v>37515</v>
      </c>
      <c r="E108" s="139" t="n">
        <f aca="false">SUMIFS(報告入力!$BB$7:$BB$696,報告入力!$A$7:$A$696,$S$67,報告入力!$B$7:$B$696,$A108)</f>
        <v>3075</v>
      </c>
      <c r="F108" s="138" t="n">
        <f aca="false">SUMIFS(報告入力!$BC$7:$BC$696,報告入力!$A$7:$A$696,$S$67,報告入力!$B$7:$B$696,$A108)</f>
        <v>35</v>
      </c>
      <c r="G108" s="137" t="n">
        <f aca="false">SUM(B108:F108)</f>
        <v>81215</v>
      </c>
      <c r="H108" s="139" t="n">
        <f aca="false">SUMIFS(報告入力!$BD$7:$BD$696,報告入力!$A$7:$A$696,$S$67,報告入力!$B$7:$B$696,$A108)</f>
        <v>21262</v>
      </c>
      <c r="I108" s="140" t="n">
        <f aca="false">SUMIFS(報告入力!$BE$7:$BE$696,報告入力!$A$7:$A$696,$S$67,報告入力!$B$7:$B$696,$A108)</f>
        <v>21283</v>
      </c>
      <c r="J108" s="138" t="n">
        <f aca="false">SUM(H108:I108)</f>
        <v>42545</v>
      </c>
      <c r="K108" s="139" t="n">
        <f aca="false">SUMIFS(報告入力!$BF$7:$BF$696,報告入力!$A$7:$A$696,$S$67,報告入力!$B$7:$B$696,$A108)</f>
        <v>0</v>
      </c>
      <c r="L108" s="140" t="n">
        <f aca="false">SUMIFS(報告入力!$BG$7:$BG$696,報告入力!$A$7:$A$696,$S$67,報告入力!$B$7:$B$696,$A108)</f>
        <v>0</v>
      </c>
      <c r="M108" s="138" t="n">
        <f aca="false">SUM(K108:L108)</f>
        <v>0</v>
      </c>
      <c r="N108" s="142" t="n">
        <f aca="false">SUMIFS(報告入力!$BH$7:$BH$696,報告入力!$A$7:$A$696,$S$67,報告入力!$B$7:$B$696,$A108)</f>
        <v>471</v>
      </c>
      <c r="O108" s="230" t="n">
        <f aca="false">SUMIFS(報告入力!$BI$7:$BI$696,報告入力!$A$7:$A$696,$S$67,報告入力!$B$7:$B$696,$A108)</f>
        <v>471</v>
      </c>
      <c r="P108" s="138" t="n">
        <f aca="false">SUM(N108:O108)</f>
        <v>942</v>
      </c>
      <c r="Q108" s="135" t="str">
        <f aca="false">IF(P43=P108,"〇","×")</f>
        <v>〇</v>
      </c>
      <c r="R108" s="135" t="str">
        <f aca="false">IFERROR(INDEX(報告入力!$C$7:$C$696,MATCH($S$67&amp;"|"&amp;$A108,報告入力!$CM$7:$CM$696,0)),"")</f>
        <v>入金確認済</v>
      </c>
    </row>
    <row r="109" s="135" customFormat="true" ht="20.1" hidden="false" customHeight="true" outlineLevel="0" collapsed="false">
      <c r="A109" s="146" t="s">
        <v>202</v>
      </c>
      <c r="B109" s="142" t="n">
        <f aca="false">SUMIFS(報告入力!$AY$7:$AY$696,報告入力!$A$7:$A$696,$S$67,報告入力!$B$7:$B$696,$A109)</f>
        <v>1201395</v>
      </c>
      <c r="C109" s="138" t="n">
        <f aca="false">SUMIFS(報告入力!$AZ$7:$AZ$696,報告入力!$A$7:$A$696,$S$67,報告入力!$B$7:$B$696,$A109)</f>
        <v>98475</v>
      </c>
      <c r="D109" s="136" t="n">
        <f aca="false">SUMIFS(報告入力!$BA$7:$BA$696,報告入力!$A$7:$A$696,$S$67,報告入力!$B$7:$B$696,$A109)</f>
        <v>1201395</v>
      </c>
      <c r="E109" s="139" t="n">
        <f aca="false">SUMIFS(報告入力!$BB$7:$BB$696,報告入力!$A$7:$A$696,$S$67,報告入力!$B$7:$B$696,$A109)</f>
        <v>98475</v>
      </c>
      <c r="F109" s="138" t="n">
        <f aca="false">SUMIFS(報告入力!$BC$7:$BC$696,報告入力!$A$7:$A$696,$S$67,報告入力!$B$7:$B$696,$A109)</f>
        <v>1208</v>
      </c>
      <c r="G109" s="133" t="n">
        <f aca="false">SUM(B109:F109)</f>
        <v>2600948</v>
      </c>
      <c r="H109" s="139" t="n">
        <f aca="false">SUMIFS(報告入力!$BD$7:$BD$696,報告入力!$A$7:$A$696,$S$67,報告入力!$B$7:$B$696,$A109)</f>
        <v>690245</v>
      </c>
      <c r="I109" s="230" t="n">
        <f aca="false">SUMIFS(報告入力!$BE$7:$BE$696,報告入力!$A$7:$A$696,$S$67,報告入力!$B$7:$B$696,$A109)</f>
        <v>690961</v>
      </c>
      <c r="J109" s="323" t="n">
        <f aca="false">SUM(H109:I109)</f>
        <v>1381206</v>
      </c>
      <c r="K109" s="230" t="n">
        <f aca="false">SUMIFS(報告入力!$BF$7:$BF$696,報告入力!$A$7:$A$696,$S$67,報告入力!$B$7:$B$696,$A109)</f>
        <v>79632</v>
      </c>
      <c r="L109" s="230" t="n">
        <f aca="false">SUMIFS(報告入力!$BG$7:$BG$696,報告入力!$A$7:$A$696,$S$67,報告入力!$B$7:$B$696,$A109)</f>
        <v>79632</v>
      </c>
      <c r="M109" s="332" t="n">
        <f aca="false">SUM(K109:L109)</f>
        <v>159264</v>
      </c>
      <c r="N109" s="230" t="n">
        <f aca="false">SUMIFS(報告入力!$BH$7:$BH$696,報告入力!$A$7:$A$696,$S$67,報告入力!$B$7:$B$696,$A109)</f>
        <v>15300</v>
      </c>
      <c r="O109" s="230" t="n">
        <f aca="false">SUMIFS(報告入力!$BI$7:$BI$696,報告入力!$A$7:$A$696,$S$67,報告入力!$B$7:$B$696,$A109)</f>
        <v>15306</v>
      </c>
      <c r="P109" s="133" t="n">
        <f aca="false">SUM(N109:O109)</f>
        <v>30606</v>
      </c>
      <c r="Q109" s="135" t="str">
        <f aca="false">IF(P44=P109,"〇","×")</f>
        <v>〇</v>
      </c>
      <c r="R109" s="135" t="str">
        <f aca="false">IFERROR(INDEX(報告入力!$C$7:$C$696,MATCH($S$67&amp;"|"&amp;$A109,報告入力!$CM$7:$CM$696,0)),"")</f>
        <v>入金確認済</v>
      </c>
    </row>
    <row r="110" s="135" customFormat="true" ht="20.1" hidden="false" customHeight="true" outlineLevel="0" collapsed="false">
      <c r="A110" s="146" t="s">
        <v>203</v>
      </c>
      <c r="B110" s="226"/>
      <c r="C110" s="216"/>
      <c r="D110" s="142" t="n">
        <f aca="false">SUMIFS(報告入力!$BA$7:$BA$696,報告入力!$A$7:$A$696,$S$67,報告入力!$B$7:$B$696,$A110)</f>
        <v>242475</v>
      </c>
      <c r="E110" s="143" t="n">
        <f aca="false">SUMIFS(報告入力!$BB$7:$BB$696,報告入力!$A$7:$A$696,$S$67,報告入力!$B$7:$B$696,$A110)</f>
        <v>19875</v>
      </c>
      <c r="F110" s="148" t="n">
        <f aca="false">SUMIFS(報告入力!$BC$7:$BC$696,報告入力!$A$7:$A$696,$S$67,報告入力!$B$7:$B$696,$A110)</f>
        <v>230</v>
      </c>
      <c r="G110" s="133" t="n">
        <f aca="false">SUM(B110:F110)</f>
        <v>262580</v>
      </c>
      <c r="H110" s="227"/>
      <c r="I110" s="230" t="n">
        <f aca="false">SUMIFS(報告入力!$BE$7:$BE$696,報告入力!$A$7:$A$696,$S$67,報告入力!$B$7:$B$696,$A110)</f>
        <v>140676</v>
      </c>
      <c r="J110" s="141" t="n">
        <f aca="false">SUM(H110:I110)</f>
        <v>140676</v>
      </c>
      <c r="K110" s="227"/>
      <c r="L110" s="230" t="n">
        <f aca="false">SUMIFS(報告入力!$BG$7:$BG$696,報告入力!$A$7:$A$696,$S$67,報告入力!$B$7:$B$696,$A110)</f>
        <v>10507</v>
      </c>
      <c r="M110" s="141" t="n">
        <f aca="false">SUM(K110:L110)</f>
        <v>10507</v>
      </c>
      <c r="N110" s="227"/>
      <c r="O110" s="230" t="n">
        <f aca="false">SUMIFS(報告入力!$BI$7:$BI$696,報告入力!$A$7:$A$696,$S$67,報告入力!$B$7:$B$696,$A110)</f>
        <v>3116</v>
      </c>
      <c r="P110" s="141" t="n">
        <f aca="false">SUM(N110:O110)</f>
        <v>3116</v>
      </c>
      <c r="Q110" s="135" t="str">
        <f aca="false">IF(P45=P110,"〇","×")</f>
        <v>〇</v>
      </c>
      <c r="R110" s="135" t="str">
        <f aca="false">IFERROR(INDEX(報告入力!$C$7:$C$696,MATCH($S$67&amp;"|"&amp;$A110,報告入力!$CM$7:$CM$696,0)),"")</f>
        <v>入金確認済</v>
      </c>
    </row>
    <row r="111" s="135" customFormat="true" ht="19.5" hidden="false" customHeight="true" outlineLevel="0" collapsed="false">
      <c r="A111" s="232" t="s">
        <v>204</v>
      </c>
      <c r="B111" s="142" t="n">
        <f aca="false">SUMIFS(報告入力!$AY$7:$AY$696,報告入力!$A$7:$A$696,$S$67,報告入力!$B$7:$B$696,$A111)</f>
        <v>127524281</v>
      </c>
      <c r="C111" s="138" t="n">
        <f aca="false">SUMIFS(報告入力!$AZ$7:$AZ$696,報告入力!$A$7:$A$696,$S$67,報告入力!$B$7:$B$696,$A111)</f>
        <v>10453259</v>
      </c>
      <c r="D111" s="136" t="n">
        <f aca="false">SUMIFS(報告入力!$BA$7:$BA$696,報告入力!$A$7:$A$696,$S$67,報告入力!$B$7:$B$696,$A111)</f>
        <v>185981551</v>
      </c>
      <c r="E111" s="139" t="n">
        <f aca="false">SUMIFS(報告入力!$BB$7:$BB$696,報告入力!$A$7:$A$696,$S$67,報告入力!$B$7:$B$696,$A111)</f>
        <v>10453259</v>
      </c>
      <c r="F111" s="138" t="n">
        <f aca="false">SUMIFS(報告入力!$BC$7:$BC$696,報告入力!$A$7:$A$696,$S$67,報告入力!$B$7:$B$696,$A111)</f>
        <v>126981</v>
      </c>
      <c r="G111" s="133" t="n">
        <f aca="false">SUM(B111:F111)</f>
        <v>334539331</v>
      </c>
      <c r="H111" s="139" t="n">
        <f aca="false">SUMIFS(報告入力!$BD$7:$BD$696,報告入力!$A$7:$A$696,$S$67,報告入力!$B$7:$B$696,$A111)</f>
        <v>94292495</v>
      </c>
      <c r="I111" s="230" t="n">
        <f aca="false">SUMIFS(報告入力!$BE$7:$BE$696,報告入力!$A$7:$A$696,$S$67,報告入力!$B$7:$B$696,$A111)</f>
        <v>94414784</v>
      </c>
      <c r="J111" s="323" t="n">
        <f aca="false">SUM(H111:I111)</f>
        <v>188707279</v>
      </c>
      <c r="K111" s="230" t="n">
        <f aca="false">SUMIFS(報告入力!$BF$7:$BF$696,報告入力!$A$7:$A$696,$S$67,報告入力!$B$7:$B$696,$A111)</f>
        <v>7943371</v>
      </c>
      <c r="L111" s="230" t="n">
        <f aca="false">SUMIFS(報告入力!$BG$7:$BG$696,報告入力!$A$7:$A$696,$S$67,報告入力!$B$7:$B$696,$A111)</f>
        <v>7940439</v>
      </c>
      <c r="M111" s="323" t="n">
        <f aca="false">SUM(K111:L111)</f>
        <v>15883810</v>
      </c>
      <c r="N111" s="230" t="n">
        <f aca="false">SUMIFS(報告入力!$BH$7:$BH$696,報告入力!$A$7:$A$696,$S$67,報告入力!$B$7:$B$696,$A111)</f>
        <v>2091503</v>
      </c>
      <c r="O111" s="230" t="n">
        <f aca="false">SUMIFS(報告入力!$BI$7:$BI$696,報告入力!$A$7:$A$696,$S$67,報告入力!$B$7:$B$696,$A111)</f>
        <v>2091503</v>
      </c>
      <c r="P111" s="145" t="n">
        <f aca="false">SUM(N111:O111)</f>
        <v>4183006</v>
      </c>
      <c r="Q111" s="135" t="str">
        <f aca="false">IF(P46=P111,"〇","×")</f>
        <v>×</v>
      </c>
      <c r="R111" s="135" t="str">
        <f aca="false">IFERROR(INDEX(報告入力!$C$7:$C$696,MATCH($S$67&amp;"|"&amp;$A111,報告入力!$CM$7:$CM$696,0)),"")</f>
        <v>入金確認済</v>
      </c>
    </row>
    <row r="112" s="162" customFormat="true" ht="21.75" hidden="false" customHeight="true" outlineLevel="0" collapsed="false">
      <c r="A112" s="214" t="s">
        <v>205</v>
      </c>
      <c r="B112" s="152"/>
      <c r="C112" s="156"/>
      <c r="D112" s="152"/>
      <c r="E112" s="234"/>
      <c r="F112" s="156"/>
      <c r="G112" s="235" t="n">
        <f aca="false">SUM(B112:F112)</f>
        <v>0</v>
      </c>
      <c r="H112" s="143" t="n">
        <f aca="false">SUMIFS(報告入力!$BD$7:$BD$696,報告入力!$A$7:$A$696,$S$67,報告入力!$B$7:$B$696,$A112)</f>
        <v>125499</v>
      </c>
      <c r="I112" s="150" t="n">
        <f aca="false">SUMIFS(報告入力!$BE$7:$BE$696,報告入力!$A$7:$A$696,$S$67,報告入力!$B$7:$B$696,$A112)</f>
        <v>104857</v>
      </c>
      <c r="J112" s="141" t="n">
        <f aca="false">SUM(H112:I112)</f>
        <v>230356</v>
      </c>
      <c r="K112" s="142" t="n">
        <f aca="false">SUMIFS(報告入力!$BF$7:$BF$696,報告入力!$A$7:$A$696,$S$67,報告入力!$B$7:$B$696,$A112)</f>
        <v>11060</v>
      </c>
      <c r="L112" s="150" t="n">
        <f aca="false">SUMIFS(報告入力!$BG$7:$BG$696,報告入力!$A$7:$A$696,$S$67,報告入力!$B$7:$B$696,$A112)</f>
        <v>11060</v>
      </c>
      <c r="M112" s="141" t="n">
        <f aca="false">SUM(K112:L112)</f>
        <v>22120</v>
      </c>
      <c r="N112" s="142" t="n">
        <f aca="false">SUMIFS(報告入力!$BH$7:$BH$696,報告入力!$A$7:$A$696,$S$67,報告入力!$B$7:$B$696,$A112)</f>
        <v>2781</v>
      </c>
      <c r="O112" s="230" t="n">
        <f aca="false">SUMIFS(報告入力!$BI$7:$BI$696,報告入力!$A$7:$A$696,$S$67,報告入力!$B$7:$B$696,$A112)</f>
        <v>2322</v>
      </c>
      <c r="P112" s="141" t="n">
        <f aca="false">SUM(N112:O112)</f>
        <v>5103</v>
      </c>
      <c r="Q112" s="162" t="str">
        <f aca="false">IF(P47=P112,"〇","×")</f>
        <v>×</v>
      </c>
      <c r="R112" s="162" t="str">
        <f aca="false">IFERROR(INDEX(報告入力!$C$7:$C$696,MATCH($S$67&amp;"|"&amp;$A112,報告入力!$CM$7:$CM$696,0)),"")</f>
        <v>入金確認済</v>
      </c>
    </row>
    <row r="113" s="162" customFormat="true" ht="21.75" hidden="false" customHeight="true" outlineLevel="0" collapsed="false">
      <c r="A113" s="236" t="s">
        <v>206</v>
      </c>
      <c r="B113" s="324"/>
      <c r="C113" s="333"/>
      <c r="D113" s="324"/>
      <c r="E113" s="328"/>
      <c r="F113" s="333"/>
      <c r="G113" s="327" t="n">
        <f aca="false">SUM(B113:F113)</f>
        <v>0</v>
      </c>
      <c r="H113" s="328"/>
      <c r="I113" s="329"/>
      <c r="J113" s="330" t="n">
        <f aca="false">SUM(H113:I113)</f>
        <v>0</v>
      </c>
      <c r="K113" s="334"/>
      <c r="L113" s="335"/>
      <c r="M113" s="330" t="n">
        <f aca="false">SUM(K113:L113)</f>
        <v>0</v>
      </c>
      <c r="N113" s="336"/>
      <c r="O113" s="335"/>
      <c r="P113" s="330" t="n">
        <f aca="false">SUM(N113:O113)</f>
        <v>0</v>
      </c>
      <c r="Q113" s="162" t="str">
        <f aca="false">IF(P48=P113,"〇","×")</f>
        <v>〇</v>
      </c>
      <c r="R113" s="162" t="str">
        <f aca="false">IFERROR(INDEX(報告入力!$C$7:$C$696,MATCH($S$67&amp;"|"&amp;$A113,報告入力!$CM$7:$CM$696,0)),"")</f>
        <v>報告なし</v>
      </c>
    </row>
    <row r="114" s="162" customFormat="true" ht="21.75" hidden="false" customHeight="true" outlineLevel="0" collapsed="false">
      <c r="A114" s="236" t="s">
        <v>207</v>
      </c>
      <c r="B114" s="136" t="n">
        <f aca="false">SUMIFS(報告入力!$AY$7:$AY$696,報告入力!$A$7:$A$696,$S$67,報告入力!$B$7:$B$696,$A114)</f>
        <v>118950</v>
      </c>
      <c r="C114" s="138" t="n">
        <f aca="false">SUMIFS(報告入力!$AZ$7:$AZ$696,報告入力!$A$7:$A$696,$S$67,報告入力!$B$7:$B$696,$A114)</f>
        <v>9750</v>
      </c>
      <c r="D114" s="136" t="n">
        <f aca="false">SUMIFS(報告入力!$BA$7:$BA$696,報告入力!$A$7:$A$696,$S$67,報告入力!$B$7:$B$696,$A114)</f>
        <v>118950</v>
      </c>
      <c r="E114" s="139" t="n">
        <f aca="false">SUMIFS(報告入力!$BB$7:$BB$696,報告入力!$A$7:$A$696,$S$67,報告入力!$B$7:$B$696,$A114)</f>
        <v>9750</v>
      </c>
      <c r="F114" s="138" t="n">
        <f aca="false">SUMIFS(報告入力!$BC$7:$BC$696,報告入力!$A$7:$A$696,$S$67,報告入力!$B$7:$B$696,$A114)</f>
        <v>112</v>
      </c>
      <c r="G114" s="133" t="n">
        <f aca="false">SUM(B114:F114)</f>
        <v>257512</v>
      </c>
      <c r="H114" s="139" t="n">
        <f aca="false">SUMIFS(報告入力!$BD$7:$BD$696,報告入力!$A$7:$A$696,$S$67,報告入力!$B$7:$B$696,$A114)</f>
        <v>87124</v>
      </c>
      <c r="I114" s="140" t="n">
        <f aca="false">SUMIFS(報告入力!$BE$7:$BE$696,報告入力!$A$7:$A$696,$S$67,報告入力!$B$7:$B$696,$A114)</f>
        <v>87209</v>
      </c>
      <c r="J114" s="141" t="n">
        <f aca="false">SUM(H114:I114)</f>
        <v>174333</v>
      </c>
      <c r="K114" s="143" t="n">
        <f aca="false">SUMIFS(報告入力!$BF$7:$BF$696,報告入力!$A$7:$A$696,$S$67,報告入力!$B$7:$B$696,$A114)</f>
        <v>13272</v>
      </c>
      <c r="L114" s="230" t="n">
        <f aca="false">SUMIFS(報告入力!$BG$7:$BG$696,報告入力!$A$7:$A$696,$S$67,報告入力!$B$7:$B$696,$A114)</f>
        <v>13272</v>
      </c>
      <c r="M114" s="141" t="n">
        <f aca="false">SUM(K114:L114)</f>
        <v>26544</v>
      </c>
      <c r="N114" s="143" t="n">
        <f aca="false">SUMIFS(報告入力!$BH$7:$BH$696,報告入力!$A$7:$A$696,$S$67,報告入力!$B$7:$B$696,$A114)</f>
        <v>1932</v>
      </c>
      <c r="O114" s="230" t="n">
        <f aca="false">SUMIFS(報告入力!$BI$7:$BI$696,報告入力!$A$7:$A$696,$S$67,報告入力!$B$7:$B$696,$A114)</f>
        <v>1931</v>
      </c>
      <c r="P114" s="141" t="n">
        <f aca="false">SUM(N114:O114)</f>
        <v>3863</v>
      </c>
      <c r="Q114" s="162" t="str">
        <f aca="false">IF(P49=P114,"〇","×")</f>
        <v>×</v>
      </c>
      <c r="R114" s="162" t="str">
        <f aca="false">IFERROR(INDEX(報告入力!$C$7:$C$696,MATCH($S$67&amp;"|"&amp;$A114,報告入力!$CM$7:$CM$696,0)),"")</f>
        <v>入金確認済</v>
      </c>
    </row>
    <row r="115" s="162" customFormat="true" ht="21.75" hidden="false" customHeight="true" outlineLevel="0" collapsed="false">
      <c r="A115" s="174"/>
      <c r="B115" s="182"/>
      <c r="C115" s="181"/>
      <c r="D115" s="245"/>
      <c r="E115" s="183"/>
      <c r="F115" s="181"/>
      <c r="G115" s="246" t="n">
        <f aca="false">SUM(B115:F115)</f>
        <v>0</v>
      </c>
      <c r="H115" s="247"/>
      <c r="I115" s="183"/>
      <c r="J115" s="248" t="n">
        <f aca="false">SUM(H115:I115)</f>
        <v>0</v>
      </c>
      <c r="K115" s="245"/>
      <c r="L115" s="183"/>
      <c r="M115" s="248" t="n">
        <f aca="false">SUM(K115:L115)</f>
        <v>0</v>
      </c>
      <c r="N115" s="245"/>
      <c r="O115" s="183"/>
      <c r="P115" s="248" t="n">
        <f aca="false">SUM(N115:O115)</f>
        <v>0</v>
      </c>
      <c r="Q115" s="162" t="str">
        <f aca="false">IF(P50=P115,"〇","×")</f>
        <v>〇</v>
      </c>
    </row>
    <row r="116" s="162" customFormat="true" ht="0.2" hidden="false" customHeight="true" outlineLevel="0" collapsed="false">
      <c r="A116" s="174"/>
      <c r="B116" s="182"/>
      <c r="C116" s="181"/>
      <c r="D116" s="245"/>
      <c r="E116" s="183"/>
      <c r="F116" s="181"/>
      <c r="G116" s="246" t="n">
        <f aca="false">SUM(B116:F116)</f>
        <v>0</v>
      </c>
      <c r="H116" s="247"/>
      <c r="I116" s="183"/>
      <c r="J116" s="248" t="n">
        <f aca="false">SUM(H116:I116)</f>
        <v>0</v>
      </c>
      <c r="K116" s="245"/>
      <c r="L116" s="183"/>
      <c r="M116" s="248" t="n">
        <f aca="false">SUM(K116:L116)</f>
        <v>0</v>
      </c>
      <c r="N116" s="245"/>
      <c r="O116" s="183"/>
      <c r="P116" s="248" t="n">
        <f aca="false">SUM(N116:O116)</f>
        <v>0</v>
      </c>
      <c r="Q116" s="162" t="str">
        <f aca="false">IF(P51=P116,"〇","×")</f>
        <v>〇</v>
      </c>
    </row>
    <row r="117" s="162" customFormat="true" ht="0.2" hidden="false" customHeight="true" outlineLevel="0" collapsed="false">
      <c r="A117" s="187"/>
      <c r="B117" s="249"/>
      <c r="C117" s="250"/>
      <c r="D117" s="251"/>
      <c r="E117" s="252"/>
      <c r="F117" s="250"/>
      <c r="G117" s="253"/>
      <c r="H117" s="254"/>
      <c r="I117" s="254"/>
      <c r="J117" s="255"/>
      <c r="K117" s="256"/>
      <c r="L117" s="254"/>
      <c r="M117" s="255"/>
      <c r="N117" s="256"/>
      <c r="O117" s="254"/>
      <c r="P117" s="255"/>
      <c r="Q117" s="162" t="str">
        <f aca="false">IF(P52=P117,"〇","×")</f>
        <v>〇</v>
      </c>
    </row>
    <row r="118" s="135" customFormat="true" ht="20.1" hidden="false" customHeight="true" outlineLevel="0" collapsed="false">
      <c r="A118" s="196" t="s">
        <v>497</v>
      </c>
      <c r="B118" s="197" t="n">
        <f aca="false">SUM(B88:B117)</f>
        <v>130279346</v>
      </c>
      <c r="C118" s="200" t="n">
        <f aca="false">SUM(C88:C117)</f>
        <v>10679084</v>
      </c>
      <c r="D118" s="198" t="n">
        <f aca="false">SUM(D88:D117)</f>
        <v>195038221</v>
      </c>
      <c r="E118" s="199" t="n">
        <f aca="false">SUM(E88:E117)</f>
        <v>11195609</v>
      </c>
      <c r="F118" s="200" t="n">
        <f aca="false">SUM(F88:F117)</f>
        <v>135862</v>
      </c>
      <c r="G118" s="201" t="n">
        <f aca="false">SUM(B118:F118)</f>
        <v>347328122</v>
      </c>
      <c r="H118" s="198" t="n">
        <f aca="false">SUM(H88:H116)</f>
        <v>96019925</v>
      </c>
      <c r="I118" s="198" t="n">
        <f aca="false">SUM(I88:I116)</f>
        <v>99872168</v>
      </c>
      <c r="J118" s="200" t="n">
        <f aca="false">SUM(H118:I118)</f>
        <v>195892093</v>
      </c>
      <c r="K118" s="197" t="n">
        <f aca="false">SUM(K88:K116)</f>
        <v>8127599</v>
      </c>
      <c r="L118" s="198" t="n">
        <f aca="false">SUM(L88:L116)</f>
        <v>8555375</v>
      </c>
      <c r="M118" s="200" t="n">
        <f aca="false">SUM(K118:L118)</f>
        <v>16682974</v>
      </c>
      <c r="N118" s="197" t="n">
        <f aca="false">SUM(N88:N116)</f>
        <v>2129793</v>
      </c>
      <c r="O118" s="198" t="n">
        <f aca="false">SUM(O88:O116)</f>
        <v>2212389</v>
      </c>
      <c r="P118" s="200" t="n">
        <f aca="false">SUM(N118:O118)</f>
        <v>4342182</v>
      </c>
      <c r="Q118" s="135" t="str">
        <f aca="false">IF(P53=P118,"〇","×")</f>
        <v>×</v>
      </c>
    </row>
    <row r="119" s="162" customFormat="true" ht="0.2" hidden="false" customHeight="true" outlineLevel="0" collapsed="false">
      <c r="A119" s="174" t="s">
        <v>496</v>
      </c>
      <c r="B119" s="256"/>
      <c r="C119" s="257"/>
      <c r="D119" s="254"/>
      <c r="E119" s="258"/>
      <c r="F119" s="259"/>
      <c r="G119" s="260"/>
      <c r="H119" s="261"/>
      <c r="I119" s="261"/>
      <c r="J119" s="262"/>
      <c r="K119" s="263"/>
      <c r="L119" s="264"/>
      <c r="M119" s="265"/>
      <c r="N119" s="263"/>
      <c r="O119" s="264"/>
      <c r="P119" s="265"/>
      <c r="Q119" s="162" t="str">
        <f aca="false">IF(P54=P119,"〇","×")</f>
        <v>〇</v>
      </c>
    </row>
    <row r="120" s="162" customFormat="true" ht="0.2" hidden="false" customHeight="true" outlineLevel="0" collapsed="false">
      <c r="A120" s="266" t="s">
        <v>496</v>
      </c>
      <c r="B120" s="267"/>
      <c r="C120" s="268"/>
      <c r="D120" s="254"/>
      <c r="E120" s="258"/>
      <c r="F120" s="257"/>
      <c r="G120" s="253"/>
      <c r="H120" s="269"/>
      <c r="I120" s="269"/>
      <c r="J120" s="270"/>
      <c r="K120" s="271"/>
      <c r="L120" s="272"/>
      <c r="M120" s="273"/>
      <c r="N120" s="271"/>
      <c r="O120" s="272"/>
      <c r="P120" s="273"/>
      <c r="Q120" s="162" t="str">
        <f aca="false">IF(P55=P120,"〇","×")</f>
        <v>〇</v>
      </c>
    </row>
    <row r="121" s="135" customFormat="true" ht="20.1" hidden="false" customHeight="true" outlineLevel="0" collapsed="false">
      <c r="A121" s="214" t="s">
        <v>208</v>
      </c>
      <c r="B121" s="210" t="n">
        <f aca="false">SUMIFS(報告入力!$AY$7:$AY$696,報告入力!$A$7:$A$696,$S$67,報告入力!$B$7:$B$696,$A121)</f>
        <v>145485</v>
      </c>
      <c r="C121" s="224" t="n">
        <f aca="false">SUMIFS(報告入力!$AZ$7:$AZ$696,報告入力!$A$7:$A$696,$S$67,報告入力!$B$7:$B$696,$A121)</f>
        <v>11925</v>
      </c>
      <c r="D121" s="143" t="n">
        <f aca="false">SUMIFS(報告入力!$BA$7:$BA$696,報告入力!$A$7:$A$696,$S$67,報告入力!$B$7:$B$696,$A121)</f>
        <v>145485</v>
      </c>
      <c r="E121" s="230" t="n">
        <f aca="false">SUMIFS(報告入力!$BB$7:$BB$696,報告入力!$A$7:$A$696,$S$67,報告入力!$B$7:$B$696,$A121)</f>
        <v>11925</v>
      </c>
      <c r="F121" s="148" t="n">
        <f aca="false">SUMIFS(報告入力!$BC$7:$BC$696,報告入力!$A$7:$A$696,$S$67,報告入力!$B$7:$B$696,$A121)</f>
        <v>138</v>
      </c>
      <c r="G121" s="133" t="n">
        <f aca="false">SUM(B121:F121)</f>
        <v>314958</v>
      </c>
      <c r="H121" s="155"/>
      <c r="I121" s="155"/>
      <c r="J121" s="221" t="n">
        <f aca="false">SUM(H121:I121)</f>
        <v>0</v>
      </c>
      <c r="K121" s="155"/>
      <c r="L121" s="155"/>
      <c r="M121" s="221" t="n">
        <f aca="false">SUM(K121:L121)</f>
        <v>0</v>
      </c>
      <c r="N121" s="155"/>
      <c r="O121" s="155"/>
      <c r="P121" s="221" t="n">
        <f aca="false">SUM(N121:O121)</f>
        <v>0</v>
      </c>
      <c r="Q121" s="135" t="str">
        <f aca="false">IF(P56=P121,"〇","×")</f>
        <v>〇</v>
      </c>
      <c r="R121" s="135" t="str">
        <f aca="false">IFERROR(INDEX(報告入力!$C$7:$C$696,MATCH($S$67&amp;"|"&amp;$A121,報告入力!$CM$7:$CM$696,0)),"")</f>
        <v>入金確認済</v>
      </c>
    </row>
    <row r="122" s="135" customFormat="true" ht="21.75" hidden="false" customHeight="true" outlineLevel="0" collapsed="false">
      <c r="A122" s="214" t="s">
        <v>209</v>
      </c>
      <c r="B122" s="142" t="n">
        <f aca="false">SUMIFS(報告入力!$AY$7:$AY$696,報告入力!$A$7:$A$696,$S$67,報告入力!$B$7:$B$696,$A122)</f>
        <v>45750</v>
      </c>
      <c r="C122" s="230" t="n">
        <f aca="false">SUMIFS(報告入力!$AZ$7:$AZ$696,報告入力!$A$7:$A$696,$S$67,報告入力!$B$7:$B$696,$A122)</f>
        <v>3750</v>
      </c>
      <c r="D122" s="274" t="n">
        <f aca="false">SUMIFS(報告入力!$BA$7:$BA$696,報告入力!$A$7:$A$696,$S$67,報告入力!$B$7:$B$696,$A122)</f>
        <v>45750</v>
      </c>
      <c r="E122" s="275" t="n">
        <f aca="false">SUMIFS(報告入力!$BB$7:$BB$696,報告入力!$A$7:$A$696,$S$67,報告入力!$B$7:$B$696,$A122)</f>
        <v>3750</v>
      </c>
      <c r="F122" s="276" t="n">
        <f aca="false">SUMIFS(報告入力!$BC$7:$BC$696,報告入力!$A$7:$A$696,$S$67,報告入力!$B$7:$B$696,$A122)</f>
        <v>43</v>
      </c>
      <c r="G122" s="144" t="n">
        <f aca="false">SUM(B122:F122)</f>
        <v>99043</v>
      </c>
      <c r="H122" s="277"/>
      <c r="I122" s="277"/>
      <c r="J122" s="278" t="n">
        <f aca="false">SUM(H122:I122)</f>
        <v>0</v>
      </c>
      <c r="K122" s="277"/>
      <c r="L122" s="277"/>
      <c r="M122" s="278" t="n">
        <f aca="false">SUM(K122:L122)</f>
        <v>0</v>
      </c>
      <c r="N122" s="277"/>
      <c r="O122" s="277"/>
      <c r="P122" s="278" t="n">
        <f aca="false">SUM(N122:O122)</f>
        <v>0</v>
      </c>
      <c r="Q122" s="135" t="str">
        <f aca="false">IF(P57=P122,"〇","×")</f>
        <v>〇</v>
      </c>
      <c r="R122" s="135" t="str">
        <f aca="false">IFERROR(INDEX(報告入力!$C$7:$C$696,MATCH($S$67&amp;"|"&amp;$A122,報告入力!$CM$7:$CM$696,0)),"")</f>
        <v>入金確認済</v>
      </c>
    </row>
    <row r="123" s="135" customFormat="true" ht="19.5" hidden="false" customHeight="true" outlineLevel="0" collapsed="false">
      <c r="A123" s="196" t="s">
        <v>497</v>
      </c>
      <c r="B123" s="197" t="n">
        <f aca="false">SUM(B119:B122)</f>
        <v>191235</v>
      </c>
      <c r="C123" s="200" t="n">
        <f aca="false">SUM(C119:C122)</f>
        <v>15675</v>
      </c>
      <c r="D123" s="198" t="n">
        <f aca="false">SUM(D119:D122)</f>
        <v>191235</v>
      </c>
      <c r="E123" s="199" t="n">
        <f aca="false">SUM(E119:E122)</f>
        <v>15675</v>
      </c>
      <c r="F123" s="200" t="n">
        <f aca="false">SUM(F119:F122)</f>
        <v>181</v>
      </c>
      <c r="G123" s="201" t="n">
        <f aca="false">SUM(B123:F123)</f>
        <v>414001</v>
      </c>
      <c r="H123" s="281" t="n">
        <f aca="false">SUM(H119:H122)</f>
        <v>0</v>
      </c>
      <c r="I123" s="282" t="n">
        <f aca="false">SUM(I119:I122)</f>
        <v>0</v>
      </c>
      <c r="J123" s="283" t="n">
        <f aca="false">SUM(H123:I123)</f>
        <v>0</v>
      </c>
      <c r="K123" s="281" t="n">
        <f aca="false">SUM(K119:K122)</f>
        <v>0</v>
      </c>
      <c r="L123" s="282" t="n">
        <f aca="false">SUM(L119:L122)</f>
        <v>0</v>
      </c>
      <c r="M123" s="283" t="n">
        <f aca="false">SUM(K123:L123)</f>
        <v>0</v>
      </c>
      <c r="N123" s="281" t="n">
        <f aca="false">SUM(N119:N122)</f>
        <v>0</v>
      </c>
      <c r="O123" s="282" t="n">
        <f aca="false">SUM(O119:O122)</f>
        <v>0</v>
      </c>
      <c r="P123" s="283" t="n">
        <f aca="false">SUM(N123:O123)</f>
        <v>0</v>
      </c>
      <c r="Q123" s="135" t="str">
        <f aca="false">IF(P58=P123,"〇","×")</f>
        <v>〇</v>
      </c>
    </row>
    <row r="124" s="135" customFormat="true" ht="20.1" hidden="false" customHeight="true" outlineLevel="0" collapsed="false">
      <c r="A124" s="125" t="s">
        <v>210</v>
      </c>
      <c r="B124" s="142" t="n">
        <f aca="false">SUMIFS(報告入力!$AY$7:$AY$696,報告入力!$A$7:$A$696,$S$67,報告入力!$B$7:$B$696,$A124)</f>
        <v>29280</v>
      </c>
      <c r="C124" s="138" t="n">
        <f aca="false">SUMIFS(報告入力!$AZ$7:$AZ$696,報告入力!$A$7:$A$696,$S$67,報告入力!$B$7:$B$696,$A124)</f>
        <v>2400</v>
      </c>
      <c r="D124" s="136" t="n">
        <f aca="false">SUMIFS(報告入力!$BA$7:$BA$696,報告入力!$A$7:$A$696,$S$67,報告入力!$B$7:$B$696,$A124)</f>
        <v>29280</v>
      </c>
      <c r="E124" s="139" t="n">
        <f aca="false">SUMIFS(報告入力!$BB$7:$BB$696,報告入力!$A$7:$A$696,$S$67,報告入力!$B$7:$B$696,$A124)</f>
        <v>2400</v>
      </c>
      <c r="F124" s="218"/>
      <c r="G124" s="133" t="n">
        <f aca="false">SUM(B124:F124)</f>
        <v>63360</v>
      </c>
      <c r="H124" s="139" t="n">
        <f aca="false">SUMIFS(報告入力!$BD$7:$BD$696,報告入力!$A$7:$A$696,$S$67,報告入力!$B$7:$B$696,$A124)</f>
        <v>16595</v>
      </c>
      <c r="I124" s="140" t="n">
        <f aca="false">SUMIFS(報告入力!$BE$7:$BE$696,報告入力!$A$7:$A$696,$S$67,報告入力!$B$7:$B$696,$A124)</f>
        <v>16611</v>
      </c>
      <c r="J124" s="141" t="n">
        <f aca="false">SUM(H124:I124)</f>
        <v>33206</v>
      </c>
      <c r="K124" s="139" t="n">
        <f aca="false">SUMIFS(報告入力!$BF$7:$BF$696,報告入力!$A$7:$A$696,$S$67,報告入力!$B$7:$B$696,$A124)</f>
        <v>2528</v>
      </c>
      <c r="L124" s="140" t="n">
        <f aca="false">SUMIFS(報告入力!$BG$7:$BG$696,報告入力!$A$7:$A$696,$S$67,報告入力!$B$7:$B$696,$A124)</f>
        <v>2528</v>
      </c>
      <c r="M124" s="141" t="n">
        <f aca="false">SUM(K124:L124)</f>
        <v>5056</v>
      </c>
      <c r="N124" s="139" t="n">
        <f aca="false">SUMIFS(報告入力!$BH$7:$BH$696,報告入力!$A$7:$A$696,$S$67,報告入力!$B$7:$B$696,$A124)</f>
        <v>368</v>
      </c>
      <c r="O124" s="140" t="n">
        <f aca="false">SUMIFS(報告入力!$BI$7:$BI$696,報告入力!$A$7:$A$696,$S$67,報告入力!$B$7:$B$696,$A124)</f>
        <v>368</v>
      </c>
      <c r="P124" s="141" t="n">
        <f aca="false">SUM(N124:O124)</f>
        <v>736</v>
      </c>
      <c r="Q124" s="135" t="str">
        <f aca="false">IF(P59=P124,"〇","×")</f>
        <v>〇</v>
      </c>
      <c r="R124" s="135" t="str">
        <f aca="false">IFERROR(INDEX(報告入力!$C$7:$C$696,MATCH($S$67&amp;"|"&amp;$A124,報告入力!$CM$7:$CM$696,0)),"")</f>
        <v>入金確認済</v>
      </c>
    </row>
    <row r="125" s="135" customFormat="true" ht="20.1" hidden="false" customHeight="true" outlineLevel="0" collapsed="false">
      <c r="A125" s="125" t="s">
        <v>211</v>
      </c>
      <c r="B125" s="240" t="n">
        <f aca="false">SUMIFS(報告入力!$AY$7:$AY$696,報告入力!$A$7:$A$696,$S$67,報告入力!$B$7:$B$696,$A125)</f>
        <v>0</v>
      </c>
      <c r="C125" s="237" t="n">
        <f aca="false">SUMIFS(報告入力!$AZ$7:$AZ$696,報告入力!$A$7:$A$696,$S$67,報告入力!$B$7:$B$696,$A125)</f>
        <v>0</v>
      </c>
      <c r="D125" s="203" t="n">
        <f aca="false">SUMIFS(報告入力!$BA$7:$BA$696,報告入力!$A$7:$A$696,$S$67,報告入力!$B$7:$B$696,$A125)</f>
        <v>0</v>
      </c>
      <c r="E125" s="207" t="n">
        <f aca="false">SUMIFS(報告入力!$BB$7:$BB$696,報告入力!$A$7:$A$696,$S$67,報告入力!$B$7:$B$696,$A125)</f>
        <v>0</v>
      </c>
      <c r="F125" s="218"/>
      <c r="G125" s="206" t="n">
        <f aca="false">SUM(B125:F125)</f>
        <v>0</v>
      </c>
      <c r="H125" s="207" t="n">
        <f aca="false">SUMIFS(報告入力!$BD$7:$BD$696,報告入力!$A$7:$A$696,$S$67,報告入力!$B$7:$B$696,$A125)</f>
        <v>0</v>
      </c>
      <c r="I125" s="208" t="n">
        <f aca="false">SUMIFS(報告入力!$BE$7:$BE$696,報告入力!$A$7:$A$696,$S$67,報告入力!$B$7:$B$696,$A125)</f>
        <v>0</v>
      </c>
      <c r="J125" s="160" t="n">
        <f aca="false">SUM(H125:I125)</f>
        <v>0</v>
      </c>
      <c r="K125" s="287" t="n">
        <f aca="false">SUMIFS(報告入力!$BF$7:$BF$696,報告入力!$A$7:$A$696,$S$67,報告入力!$B$7:$B$696,$A125)</f>
        <v>0</v>
      </c>
      <c r="L125" s="208" t="n">
        <f aca="false">SUMIFS(報告入力!$BG$7:$BG$696,報告入力!$A$7:$A$696,$S$67,報告入力!$B$7:$B$696,$A125)</f>
        <v>0</v>
      </c>
      <c r="M125" s="160" t="n">
        <f aca="false">SUM(K125:L125)</f>
        <v>0</v>
      </c>
      <c r="N125" s="287" t="n">
        <f aca="false">SUMIFS(報告入力!$BH$7:$BH$696,報告入力!$A$7:$A$696,$S$67,報告入力!$B$7:$B$696,$A125)</f>
        <v>0</v>
      </c>
      <c r="O125" s="208" t="n">
        <f aca="false">SUMIFS(報告入力!$BI$7:$BI$696,報告入力!$A$7:$A$696,$S$67,報告入力!$B$7:$B$696,$A125)</f>
        <v>0</v>
      </c>
      <c r="P125" s="160" t="n">
        <f aca="false">SUM(N125:O125)</f>
        <v>0</v>
      </c>
      <c r="Q125" s="135" t="str">
        <f aca="false">IF(P60=P125,"〇","×")</f>
        <v>〇</v>
      </c>
      <c r="R125" s="135" t="str">
        <f aca="false">IFERROR(INDEX(報告入力!$C$7:$C$696,MATCH($S$67&amp;"|"&amp;$A125,報告入力!$CM$7:$CM$696,0)),"")</f>
        <v>未受領</v>
      </c>
    </row>
    <row r="126" s="135" customFormat="true" ht="20.1" hidden="false" customHeight="true" outlineLevel="0" collapsed="false">
      <c r="A126" s="217" t="s">
        <v>212</v>
      </c>
      <c r="B126" s="142" t="n">
        <f aca="false">SUMIFS(報告入力!$AY$7:$AY$696,報告入力!$A$7:$A$696,$S$67,報告入力!$B$7:$B$696,$A126)</f>
        <v>27450</v>
      </c>
      <c r="C126" s="138" t="n">
        <f aca="false">SUMIFS(報告入力!$AZ$7:$AZ$696,報告入力!$A$7:$A$696,$S$67,報告入力!$B$7:$B$696,$A126)</f>
        <v>2250</v>
      </c>
      <c r="D126" s="136" t="n">
        <f aca="false">SUMIFS(報告入力!$BA$7:$BA$696,報告入力!$A$7:$A$696,$S$67,報告入力!$B$7:$B$696,$A126)</f>
        <v>27450</v>
      </c>
      <c r="E126" s="139" t="n">
        <f aca="false">SUMIFS(報告入力!$BB$7:$BB$696,報告入力!$A$7:$A$696,$S$67,報告入力!$B$7:$B$696,$A126)</f>
        <v>2250</v>
      </c>
      <c r="F126" s="218"/>
      <c r="G126" s="133" t="n">
        <f aca="false">SUM(B126:F126)</f>
        <v>59400</v>
      </c>
      <c r="H126" s="139" t="n">
        <f aca="false">SUMIFS(報告入力!$BD$7:$BD$696,報告入力!$A$7:$A$696,$S$67,報告入力!$B$7:$B$696,$A126)</f>
        <v>31116</v>
      </c>
      <c r="I126" s="140" t="n">
        <f aca="false">SUMIFS(報告入力!$BE$7:$BE$696,報告入力!$A$7:$A$696,$S$67,報告入力!$B$7:$B$696,$A126)</f>
        <v>31146</v>
      </c>
      <c r="J126" s="141" t="n">
        <f aca="false">SUM(H126:I126)</f>
        <v>62262</v>
      </c>
      <c r="K126" s="134" t="n">
        <f aca="false">SUMIFS(報告入力!$BF$7:$BF$696,報告入力!$A$7:$A$696,$S$67,報告入力!$B$7:$B$696,$A126)</f>
        <v>2370</v>
      </c>
      <c r="L126" s="140" t="n">
        <f aca="false">SUMIFS(報告入力!$BG$7:$BG$696,報告入力!$A$7:$A$696,$S$67,報告入力!$B$7:$B$696,$A126)</f>
        <v>2370</v>
      </c>
      <c r="M126" s="141" t="n">
        <f aca="false">SUM(K126:L126)</f>
        <v>4740</v>
      </c>
      <c r="N126" s="134" t="n">
        <f aca="false">SUMIFS(報告入力!$BH$7:$BH$696,報告入力!$A$7:$A$696,$S$67,報告入力!$B$7:$B$696,$A126)</f>
        <v>690</v>
      </c>
      <c r="O126" s="140" t="n">
        <f aca="false">SUMIFS(報告入力!$BI$7:$BI$696,報告入力!$A$7:$A$696,$S$67,報告入力!$B$7:$B$696,$A126)</f>
        <v>690</v>
      </c>
      <c r="P126" s="141" t="n">
        <f aca="false">SUM(N126:O126)</f>
        <v>1380</v>
      </c>
      <c r="Q126" s="135" t="str">
        <f aca="false">IF(P61=P126,"〇","×")</f>
        <v>〇</v>
      </c>
      <c r="R126" s="135" t="str">
        <f aca="false">IFERROR(INDEX(報告入力!$C$7:$C$696,MATCH($S$67&amp;"|"&amp;$A126,報告入力!$CM$7:$CM$696,0)),"")</f>
        <v>入金確認済</v>
      </c>
    </row>
    <row r="127" s="135" customFormat="true" ht="20.1" hidden="false" customHeight="true" outlineLevel="0" collapsed="false">
      <c r="A127" s="217" t="s">
        <v>213</v>
      </c>
      <c r="B127" s="226"/>
      <c r="C127" s="218"/>
      <c r="D127" s="211"/>
      <c r="E127" s="213"/>
      <c r="F127" s="337"/>
      <c r="G127" s="235" t="n">
        <f aca="false">SUM(B127:F127)</f>
        <v>0</v>
      </c>
      <c r="H127" s="338"/>
      <c r="I127" s="300"/>
      <c r="J127" s="296" t="n">
        <f aca="false">SUM(H127:I127)</f>
        <v>0</v>
      </c>
      <c r="K127" s="299"/>
      <c r="L127" s="300"/>
      <c r="M127" s="296" t="n">
        <f aca="false">SUM(K127:L127)</f>
        <v>0</v>
      </c>
      <c r="N127" s="299"/>
      <c r="O127" s="300"/>
      <c r="P127" s="296" t="n">
        <f aca="false">SUM(N127:O127)</f>
        <v>0</v>
      </c>
      <c r="Q127" s="135" t="str">
        <f aca="false">IF(P62=P127,"〇","×")</f>
        <v>〇</v>
      </c>
      <c r="R127" s="135" t="str">
        <f aca="false">IFERROR(INDEX(報告入力!$C$7:$C$696,MATCH($S$67&amp;"|"&amp;$A127,報告入力!$CM$7:$CM$696,0)),"")</f>
        <v>報告なし</v>
      </c>
    </row>
    <row r="128" s="135" customFormat="true" ht="20.1" hidden="false" customHeight="true" outlineLevel="0" collapsed="false">
      <c r="A128" s="196" t="s">
        <v>497</v>
      </c>
      <c r="B128" s="197" t="n">
        <f aca="false">SUM(B124:B127)</f>
        <v>56730</v>
      </c>
      <c r="C128" s="201" t="n">
        <f aca="false">SUM(C124:C127)</f>
        <v>4650</v>
      </c>
      <c r="D128" s="197" t="n">
        <f aca="false">SUM(D124:D127)</f>
        <v>56730</v>
      </c>
      <c r="E128" s="199" t="n">
        <f aca="false">SUM(E124:E127)</f>
        <v>4650</v>
      </c>
      <c r="F128" s="200" t="n">
        <f aca="false">SUM(F124:F127)</f>
        <v>0</v>
      </c>
      <c r="G128" s="201" t="n">
        <f aca="false">SUM(B128:F128)</f>
        <v>122760</v>
      </c>
      <c r="H128" s="301" t="n">
        <f aca="false">SUM(H124:H127)</f>
        <v>47711</v>
      </c>
      <c r="I128" s="199" t="n">
        <f aca="false">SUM(I124:I127)</f>
        <v>47757</v>
      </c>
      <c r="J128" s="200" t="n">
        <f aca="false">SUM(H128:I128)</f>
        <v>95468</v>
      </c>
      <c r="K128" s="197" t="n">
        <f aca="false">SUM(K124:K127)</f>
        <v>4898</v>
      </c>
      <c r="L128" s="301" t="n">
        <f aca="false">SUM(L124:L127)</f>
        <v>4898</v>
      </c>
      <c r="M128" s="200" t="n">
        <f aca="false">SUM(K128:L128)</f>
        <v>9796</v>
      </c>
      <c r="N128" s="197" t="n">
        <f aca="false">SUM(N124:N127)</f>
        <v>1058</v>
      </c>
      <c r="O128" s="301" t="n">
        <f aca="false">SUM(O124:O127)</f>
        <v>1058</v>
      </c>
      <c r="P128" s="200" t="n">
        <f aca="false">SUM(N128:O128)</f>
        <v>2116</v>
      </c>
      <c r="Q128" s="135" t="str">
        <f aca="false">IF(P63=P128,"〇","×")</f>
        <v>〇</v>
      </c>
    </row>
    <row r="129" s="135" customFormat="true" ht="20.1" hidden="false" customHeight="true" outlineLevel="0" collapsed="false">
      <c r="A129" s="302" t="s">
        <v>214</v>
      </c>
      <c r="B129" s="303"/>
      <c r="C129" s="304"/>
      <c r="D129" s="305"/>
      <c r="E129" s="306"/>
      <c r="F129" s="292"/>
      <c r="G129" s="293"/>
      <c r="H129" s="307" t="n">
        <f aca="false">SUMIFS(報告入力!$BD$7:$BD$696,報告入力!$A$7:$A$696,$S$67,報告入力!$B$7:$B$696,$A129)</f>
        <v>2899667</v>
      </c>
      <c r="I129" s="339"/>
      <c r="J129" s="309" t="n">
        <f aca="false">SUM(H129:I129)</f>
        <v>2899667</v>
      </c>
      <c r="K129" s="307" t="n">
        <f aca="false">SUMIFS(報告入力!$BF$7:$BF$696,報告入力!$A$7:$A$696,$S$67,報告入力!$B$7:$B$696,$A129)</f>
        <v>166737</v>
      </c>
      <c r="L129" s="339"/>
      <c r="M129" s="309" t="n">
        <f aca="false">SUM(K129:L129)</f>
        <v>166737</v>
      </c>
      <c r="N129" s="307" t="n">
        <f aca="false">SUMIFS(報告入力!$BH$7:$BH$696,報告入力!$A$7:$A$696,$S$67,報告入力!$B$7:$B$696,$A129)</f>
        <v>64285</v>
      </c>
      <c r="O129" s="339"/>
      <c r="P129" s="309" t="n">
        <f aca="false">SUM(N129:O129)</f>
        <v>64285</v>
      </c>
      <c r="Q129" s="135" t="str">
        <f aca="false">IF(P64=P129,"〇","×")</f>
        <v>×</v>
      </c>
      <c r="R129" s="135" t="str">
        <f aca="false">IFERROR(INDEX(報告入力!$C$7:$C$696,MATCH($S$67&amp;"|"&amp;$A129,報告入力!$CM$7:$CM$696,0)),"")</f>
        <v>受領済</v>
      </c>
    </row>
    <row r="130" s="135" customFormat="true" ht="30" hidden="false" customHeight="true" outlineLevel="0" collapsed="false">
      <c r="A130" s="310" t="s">
        <v>499</v>
      </c>
      <c r="B130" s="311" t="n">
        <f aca="false">SUM(+B87+B118+B123+B128+B129)</f>
        <v>491261760</v>
      </c>
      <c r="C130" s="312" t="n">
        <f aca="false">SUM(+C87+C118+C123+C128+C129)</f>
        <v>40270934</v>
      </c>
      <c r="D130" s="311" t="n">
        <f aca="false">SUM(+D87+D118+D123+D128+D129)</f>
        <v>713165985</v>
      </c>
      <c r="E130" s="313" t="n">
        <f aca="false">SUM(+E87+E118+E123+E128+E129)</f>
        <v>40269134</v>
      </c>
      <c r="F130" s="312" t="n">
        <f aca="false">SUM(+F87+F118+F123+F128+F129)</f>
        <v>483067</v>
      </c>
      <c r="G130" s="314" t="n">
        <f aca="false">SUM(B130:F130)</f>
        <v>1285450880</v>
      </c>
      <c r="H130" s="315" t="n">
        <f aca="false">SUM(+H87+H118+H123+H128+H129)</f>
        <v>353209549</v>
      </c>
      <c r="I130" s="315" t="n">
        <f aca="false">SUM(+I87+I118+I123+I128+I129)</f>
        <v>354839877</v>
      </c>
      <c r="J130" s="316" t="n">
        <f aca="false">SUM(H130:I130)</f>
        <v>708049426</v>
      </c>
      <c r="K130" s="317" t="n">
        <f aca="false">SUM(+K87+K118+K123+K128+K129)</f>
        <v>31474243</v>
      </c>
      <c r="L130" s="315" t="n">
        <f aca="false">SUM(+L87+L118+L123+L128+L129)</f>
        <v>31307243</v>
      </c>
      <c r="M130" s="316" t="n">
        <f aca="false">SUM(K130:L130)</f>
        <v>62781486</v>
      </c>
      <c r="N130" s="317" t="n">
        <f aca="false">SUM(+N87+N118+N123+N128+N129)</f>
        <v>7828424</v>
      </c>
      <c r="O130" s="315" t="n">
        <f aca="false">SUM(+O87+O118+O123+O128+O129)</f>
        <v>7767967</v>
      </c>
      <c r="P130" s="316" t="n">
        <f aca="false">SUM(N130:O130)</f>
        <v>15596391</v>
      </c>
      <c r="Q130" s="135" t="str">
        <f aca="false">IF(P65=P130,"〇","×")</f>
        <v>×</v>
      </c>
    </row>
    <row r="131" s="341" customFormat="true" ht="39" hidden="false" customHeight="true" outlineLevel="0" collapsed="false">
      <c r="A131" s="340"/>
      <c r="G131" s="109"/>
      <c r="Q131" s="341" t="str">
        <f aca="false">IF(P66=P131,"〇","×")</f>
        <v>〇</v>
      </c>
    </row>
    <row r="132" s="322" customFormat="true" ht="30" hidden="false" customHeight="true" outlineLevel="0" collapsed="false">
      <c r="A132" s="320"/>
      <c r="B132" s="112" t="n">
        <f aca="false">EOMONTH(B67,1)</f>
        <v>46203</v>
      </c>
      <c r="C132" s="112"/>
      <c r="D132" s="112"/>
      <c r="E132" s="112"/>
      <c r="F132" s="112"/>
      <c r="G132" s="112"/>
      <c r="H132" s="112" t="n">
        <f aca="false">B132</f>
        <v>46203</v>
      </c>
      <c r="I132" s="112"/>
      <c r="J132" s="112"/>
      <c r="K132" s="112" t="n">
        <f aca="false">H132</f>
        <v>46203</v>
      </c>
      <c r="L132" s="112"/>
      <c r="M132" s="112"/>
      <c r="N132" s="112" t="n">
        <f aca="false">K132</f>
        <v>46203</v>
      </c>
      <c r="O132" s="112"/>
      <c r="P132" s="112"/>
      <c r="Q132" s="322" t="str">
        <f aca="false">IF(P67=P132,"〇","×")</f>
        <v>〇</v>
      </c>
      <c r="S132" s="322" t="s">
        <v>502</v>
      </c>
    </row>
    <row r="133" customFormat="false" ht="22.5" hidden="false" customHeight="true" outlineLevel="0" collapsed="false">
      <c r="A133" s="114" t="s">
        <v>483</v>
      </c>
      <c r="B133" s="114" t="s">
        <v>484</v>
      </c>
      <c r="C133" s="114"/>
      <c r="D133" s="114"/>
      <c r="E133" s="114"/>
      <c r="F133" s="114"/>
      <c r="G133" s="114"/>
      <c r="H133" s="116" t="s">
        <v>485</v>
      </c>
      <c r="I133" s="116"/>
      <c r="J133" s="116"/>
      <c r="K133" s="116" t="s">
        <v>486</v>
      </c>
      <c r="L133" s="116"/>
      <c r="M133" s="116"/>
      <c r="N133" s="116" t="str">
        <f aca="false">$N$3</f>
        <v>子ども・子育て支援納付金</v>
      </c>
      <c r="O133" s="116"/>
      <c r="P133" s="116"/>
      <c r="Q133" s="105" t="str">
        <f aca="false">IF(P68=P133,"〇","×")</f>
        <v>〇</v>
      </c>
    </row>
    <row r="134" customFormat="false" ht="22.5" hidden="false" customHeight="true" outlineLevel="0" collapsed="false">
      <c r="A134" s="114"/>
      <c r="B134" s="117" t="s">
        <v>487</v>
      </c>
      <c r="C134" s="117"/>
      <c r="D134" s="117" t="s">
        <v>488</v>
      </c>
      <c r="E134" s="117"/>
      <c r="F134" s="117"/>
      <c r="G134" s="117" t="s">
        <v>489</v>
      </c>
      <c r="H134" s="121" t="s">
        <v>490</v>
      </c>
      <c r="I134" s="119" t="s">
        <v>491</v>
      </c>
      <c r="J134" s="120" t="s">
        <v>489</v>
      </c>
      <c r="K134" s="121" t="s">
        <v>490</v>
      </c>
      <c r="L134" s="119" t="s">
        <v>491</v>
      </c>
      <c r="M134" s="120" t="s">
        <v>489</v>
      </c>
      <c r="N134" s="121" t="s">
        <v>490</v>
      </c>
      <c r="O134" s="119" t="s">
        <v>491</v>
      </c>
      <c r="P134" s="120" t="s">
        <v>489</v>
      </c>
      <c r="Q134" s="105" t="str">
        <f aca="false">IF(P69=P134,"〇","×")</f>
        <v>〇</v>
      </c>
    </row>
    <row r="135" customFormat="false" ht="22.5" hidden="false" customHeight="true" outlineLevel="0" collapsed="false">
      <c r="A135" s="114"/>
      <c r="B135" s="122" t="s">
        <v>492</v>
      </c>
      <c r="C135" s="123" t="s">
        <v>493</v>
      </c>
      <c r="D135" s="124" t="s">
        <v>492</v>
      </c>
      <c r="E135" s="124" t="s">
        <v>494</v>
      </c>
      <c r="F135" s="123" t="s">
        <v>93</v>
      </c>
      <c r="G135" s="117"/>
      <c r="H135" s="121"/>
      <c r="I135" s="119"/>
      <c r="J135" s="120"/>
      <c r="K135" s="121"/>
      <c r="L135" s="119"/>
      <c r="M135" s="120"/>
      <c r="N135" s="121"/>
      <c r="O135" s="119"/>
      <c r="P135" s="120"/>
      <c r="Q135" s="105" t="str">
        <f aca="false">IF(P70=P135,"〇","×")</f>
        <v>〇</v>
      </c>
    </row>
    <row r="136" s="135" customFormat="true" ht="20.1" hidden="false" customHeight="true" outlineLevel="0" collapsed="false">
      <c r="A136" s="125" t="s">
        <v>166</v>
      </c>
      <c r="B136" s="142" t="n">
        <f aca="false">SUMIFS(報告入力!$AY$7:$AY$696,報告入力!$A$7:$A$696,$S$132,報告入力!$B$7:$B$696,$A136)</f>
        <v>238039995</v>
      </c>
      <c r="C136" s="138" t="n">
        <f aca="false">SUMIFS(報告入力!$AZ$7:$AZ$696,報告入力!$A$7:$A$696,$S$132,報告入力!$B$7:$B$696,$A136)</f>
        <v>19517220</v>
      </c>
      <c r="D136" s="136" t="n">
        <f aca="false">SUMIFS(報告入力!$BA$7:$BA$696,報告入力!$A$7:$A$696,$S$132,報告入力!$B$7:$B$696,$A136)</f>
        <v>341263694</v>
      </c>
      <c r="E136" s="139" t="n">
        <f aca="false">SUMIFS(報告入力!$BB$7:$BB$696,報告入力!$A$7:$A$696,$S$132,報告入力!$B$7:$B$696,$A136)</f>
        <v>19000006</v>
      </c>
      <c r="F136" s="138" t="n">
        <f aca="false">SUMIFS(報告入力!$BC$7:$BC$696,報告入力!$A$7:$A$696,$S$132,報告入力!$B$7:$B$696,$A136)</f>
        <v>229788</v>
      </c>
      <c r="G136" s="133" t="n">
        <f aca="false">SUM(B136:F136)</f>
        <v>618050703</v>
      </c>
      <c r="H136" s="139" t="n">
        <f aca="false">SUMIFS(報告入力!$BD$7:$BD$696,報告入力!$A$7:$A$696,$S$132,報告入力!$B$7:$B$696,$A136)</f>
        <v>172547279</v>
      </c>
      <c r="I136" s="230" t="n">
        <f aca="false">SUMIFS(報告入力!$BE$7:$BE$696,報告入力!$A$7:$A$696,$S$132,報告入力!$B$7:$B$696,$A136)</f>
        <v>171825765</v>
      </c>
      <c r="J136" s="133" t="n">
        <f aca="false">SUM(H136:I136)</f>
        <v>344373044</v>
      </c>
      <c r="K136" s="230" t="n">
        <f aca="false">SUMIFS(報告入力!$BF$7:$BF$696,報告入力!$A$7:$A$696,$S$132,報告入力!$B$7:$B$696,$A136)</f>
        <v>15775131</v>
      </c>
      <c r="L136" s="230" t="n">
        <f aca="false">SUMIFS(報告入力!$BG$7:$BG$696,報告入力!$A$7:$A$696,$S$132,報告入力!$B$7:$B$696,$A136)</f>
        <v>15353813</v>
      </c>
      <c r="M136" s="133" t="n">
        <f aca="false">SUM(K136:L136)</f>
        <v>31128944</v>
      </c>
      <c r="N136" s="230" t="n">
        <f aca="false">SUMIFS(報告入力!$BH$7:$BH$696,報告入力!$A$7:$A$696,$S$132,報告入力!$B$7:$B$696,$A136)</f>
        <v>3824083</v>
      </c>
      <c r="O136" s="230" t="n">
        <f aca="false">SUMIFS(報告入力!$BI$7:$BI$696,報告入力!$A$7:$A$696,$S$132,報告入力!$B$7:$B$696,$A136)</f>
        <v>3744338</v>
      </c>
      <c r="P136" s="133" t="n">
        <f aca="false">SUM(N136:O136)</f>
        <v>7568421</v>
      </c>
      <c r="Q136" s="135" t="str">
        <f aca="false">IF(P71=P136,"〇","×")</f>
        <v>×</v>
      </c>
      <c r="R136" s="135" t="str">
        <f aca="false">IFERROR(INDEX(報告入力!$C$7:$C$696,MATCH($S$132&amp;"|"&amp;$A136,報告入力!$CM$7:$CM$696,0)),"")</f>
        <v>入金確認済</v>
      </c>
    </row>
    <row r="137" s="135" customFormat="true" ht="20.1" hidden="false" customHeight="true" outlineLevel="0" collapsed="false">
      <c r="A137" s="125" t="s">
        <v>169</v>
      </c>
      <c r="B137" s="142" t="n">
        <f aca="false">SUMIFS(報告入力!$AY$7:$AY$696,報告入力!$A$7:$A$696,$S$132,報告入力!$B$7:$B$696,$A137)</f>
        <v>16387375</v>
      </c>
      <c r="C137" s="138" t="n">
        <f aca="false">SUMIFS(報告入力!$AZ$7:$AZ$696,報告入力!$A$7:$A$696,$S$132,報告入力!$B$7:$B$696,$A137)</f>
        <v>1343227</v>
      </c>
      <c r="D137" s="136" t="n">
        <f aca="false">SUMIFS(報告入力!$BA$7:$BA$696,報告入力!$A$7:$A$696,$S$132,報告入力!$B$7:$B$696,$A137)</f>
        <v>23626468</v>
      </c>
      <c r="E137" s="139" t="n">
        <f aca="false">SUMIFS(報告入力!$BB$7:$BB$696,報告入力!$A$7:$A$696,$S$132,報告入力!$B$7:$B$696,$A137)</f>
        <v>1340527</v>
      </c>
      <c r="F137" s="138" t="n">
        <f aca="false">SUMIFS(報告入力!$BC$7:$BC$696,報告入力!$A$7:$A$696,$S$132,報告入力!$B$7:$B$696,$A137)</f>
        <v>15829</v>
      </c>
      <c r="G137" s="133" t="n">
        <f aca="false">SUM(B137:F137)</f>
        <v>42713426</v>
      </c>
      <c r="H137" s="139" t="n">
        <f aca="false">SUMIFS(報告入力!$BD$7:$BD$696,報告入力!$A$7:$A$696,$S$132,報告入力!$B$7:$B$696,$A137)</f>
        <v>9617811</v>
      </c>
      <c r="I137" s="230" t="n">
        <f aca="false">SUMIFS(報告入力!$BE$7:$BE$696,報告入力!$A$7:$A$696,$S$132,報告入力!$B$7:$B$696,$A137)</f>
        <v>9763388</v>
      </c>
      <c r="J137" s="133" t="n">
        <f aca="false">SUM(H137:I137)</f>
        <v>19381199</v>
      </c>
      <c r="K137" s="230" t="n">
        <f aca="false">SUMIFS(報告入力!$BF$7:$BF$696,報告入力!$A$7:$A$696,$S$132,報告入力!$B$7:$B$696,$A137)</f>
        <v>1023847</v>
      </c>
      <c r="L137" s="230" t="n">
        <f aca="false">SUMIFS(報告入力!$BG$7:$BG$696,報告入力!$A$7:$A$696,$S$132,報告入力!$B$7:$B$696,$A137)</f>
        <v>1023846</v>
      </c>
      <c r="M137" s="133" t="n">
        <f aca="false">SUM(K137:L137)</f>
        <v>2047693</v>
      </c>
      <c r="N137" s="230" t="n">
        <f aca="false">SUMIFS(報告入力!$BH$7:$BH$696,報告入力!$A$7:$A$696,$S$132,報告入力!$B$7:$B$696,$A137)</f>
        <v>213218</v>
      </c>
      <c r="O137" s="230" t="n">
        <f aca="false">SUMIFS(報告入力!$BI$7:$BI$696,報告入力!$A$7:$A$696,$S$132,報告入力!$B$7:$B$696,$A137)</f>
        <v>212876</v>
      </c>
      <c r="P137" s="133" t="n">
        <f aca="false">SUM(N137:O137)</f>
        <v>426094</v>
      </c>
      <c r="Q137" s="135" t="str">
        <f aca="false">IF(P72=P137,"〇","×")</f>
        <v>×</v>
      </c>
      <c r="R137" s="135" t="str">
        <f aca="false">IFERROR(INDEX(報告入力!$C$7:$C$696,MATCH($S$132&amp;"|"&amp;$A137,報告入力!$CM$7:$CM$696,0)),"")</f>
        <v>入金確認済</v>
      </c>
    </row>
    <row r="138" s="135" customFormat="true" ht="20.1" hidden="false" customHeight="true" outlineLevel="0" collapsed="false">
      <c r="A138" s="125" t="s">
        <v>170</v>
      </c>
      <c r="B138" s="142" t="n">
        <f aca="false">SUMIFS(報告入力!$AY$7:$AY$696,報告入力!$A$7:$A$696,$S$132,報告入力!$B$7:$B$696,$A138)</f>
        <v>55241295</v>
      </c>
      <c r="C138" s="138" t="n">
        <f aca="false">SUMIFS(報告入力!$AZ$7:$AZ$696,報告入力!$A$7:$A$696,$S$132,報告入力!$B$7:$B$696,$A138)</f>
        <v>4527975</v>
      </c>
      <c r="D138" s="136" t="n">
        <f aca="false">SUMIFS(報告入力!$BA$7:$BA$696,報告入力!$A$7:$A$696,$S$132,報告入力!$B$7:$B$696,$A138)</f>
        <v>79419549</v>
      </c>
      <c r="E138" s="139" t="n">
        <f aca="false">SUMIFS(報告入力!$BB$7:$BB$696,報告入力!$A$7:$A$696,$S$132,報告入力!$B$7:$B$696,$A138)</f>
        <v>4512150</v>
      </c>
      <c r="F138" s="138" t="n">
        <f aca="false">SUMIFS(報告入力!$BC$7:$BC$696,報告入力!$A$7:$A$696,$S$132,報告入力!$B$7:$B$696,$A138)</f>
        <v>52792</v>
      </c>
      <c r="G138" s="133" t="n">
        <f aca="false">SUM(B138:F138)</f>
        <v>143753761</v>
      </c>
      <c r="H138" s="139" t="n">
        <f aca="false">SUMIFS(報告入力!$BD$7:$BD$696,報告入力!$A$7:$A$696,$S$132,報告入力!$B$7:$B$696,$A138)</f>
        <v>32013376</v>
      </c>
      <c r="I138" s="230" t="n">
        <f aca="false">SUMIFS(報告入力!$BE$7:$BE$696,報告入力!$A$7:$A$696,$S$132,報告入力!$B$7:$B$696,$A138)</f>
        <v>32447648</v>
      </c>
      <c r="J138" s="133" t="n">
        <f aca="false">SUM(H138:I138)</f>
        <v>64461024</v>
      </c>
      <c r="K138" s="230" t="n">
        <f aca="false">SUMIFS(報告入力!$BF$7:$BF$696,報告入力!$A$7:$A$696,$S$132,報告入力!$B$7:$B$696,$A138)</f>
        <v>2060286</v>
      </c>
      <c r="L138" s="230" t="n">
        <f aca="false">SUMIFS(報告入力!$BG$7:$BG$696,報告入力!$A$7:$A$696,$S$132,報告入力!$B$7:$B$696,$A138)</f>
        <v>2047332</v>
      </c>
      <c r="M138" s="133" t="n">
        <f aca="false">SUM(K138:L138)</f>
        <v>4107618</v>
      </c>
      <c r="N138" s="230" t="n">
        <f aca="false">SUMIFS(報告入力!$BH$7:$BH$696,報告入力!$A$7:$A$696,$S$132,報告入力!$B$7:$B$696,$A138)</f>
        <v>709650</v>
      </c>
      <c r="O138" s="230" t="n">
        <f aca="false">SUMIFS(報告入力!$BI$7:$BI$696,報告入力!$A$7:$A$696,$S$132,報告入力!$B$7:$B$696,$A138)</f>
        <v>707489</v>
      </c>
      <c r="P138" s="133" t="n">
        <f aca="false">SUM(N138:O138)</f>
        <v>1417139</v>
      </c>
      <c r="Q138" s="135" t="str">
        <f aca="false">IF(P73=P138,"〇","×")</f>
        <v>×</v>
      </c>
      <c r="R138" s="135" t="str">
        <f aca="false">IFERROR(INDEX(報告入力!$C$7:$C$696,MATCH($S$132&amp;"|"&amp;$A138,報告入力!$CM$7:$CM$696,0)),"")</f>
        <v>入金確認済</v>
      </c>
    </row>
    <row r="139" s="135" customFormat="true" ht="20.1" hidden="false" customHeight="true" outlineLevel="0" collapsed="false">
      <c r="A139" s="125" t="s">
        <v>171</v>
      </c>
      <c r="B139" s="136" t="n">
        <f aca="false">SUMIFS(報告入力!$AY$7:$AY$696,報告入力!$A$7:$A$696,$S$132,報告入力!$B$7:$B$696,$A139)</f>
        <v>1810785</v>
      </c>
      <c r="C139" s="137" t="n">
        <f aca="false">SUMIFS(報告入力!$AZ$7:$AZ$696,報告入力!$A$7:$A$696,$S$132,報告入力!$B$7:$B$696,$A139)</f>
        <v>148425</v>
      </c>
      <c r="D139" s="128" t="n">
        <f aca="false">SUMIFS(報告入力!$BA$7:$BA$696,報告入力!$A$7:$A$696,$S$132,報告入力!$B$7:$B$696,$A139)</f>
        <v>2609982</v>
      </c>
      <c r="E139" s="128" t="n">
        <f aca="false">SUMIFS(報告入力!$BB$7:$BB$696,報告入力!$A$7:$A$696,$S$132,報告入力!$B$7:$B$696,$A139)</f>
        <v>148425</v>
      </c>
      <c r="F139" s="138" t="n">
        <f aca="false">SUMIFS(報告入力!$BC$7:$BC$696,報告入力!$A$7:$A$696,$S$132,報告入力!$B$7:$B$696,$A139)</f>
        <v>1740</v>
      </c>
      <c r="G139" s="133" t="n">
        <f aca="false">SUM(B139:F139)</f>
        <v>4719357</v>
      </c>
      <c r="H139" s="139" t="n">
        <f aca="false">SUMIFS(報告入力!$BD$7:$BD$696,報告入力!$A$7:$A$696,$S$132,報告入力!$B$7:$B$696,$A139)</f>
        <v>1048696</v>
      </c>
      <c r="I139" s="230" t="n">
        <f aca="false">SUMIFS(報告入力!$BE$7:$BE$696,報告入力!$A$7:$A$696,$S$132,報告入力!$B$7:$B$696,$A139)</f>
        <v>1066514</v>
      </c>
      <c r="J139" s="323" t="n">
        <f aca="false">SUM(H139:I139)</f>
        <v>2115210</v>
      </c>
      <c r="K139" s="230" t="n">
        <f aca="false">SUMIFS(報告入力!$BF$7:$BF$696,報告入力!$A$7:$A$696,$S$132,報告入力!$B$7:$B$696,$A139)</f>
        <v>101925</v>
      </c>
      <c r="L139" s="230" t="n">
        <f aca="false">SUMIFS(報告入力!$BG$7:$BG$696,報告入力!$A$7:$A$696,$S$132,報告入力!$B$7:$B$696,$A139)</f>
        <v>101925</v>
      </c>
      <c r="M139" s="133" t="n">
        <f aca="false">SUM(K139:L139)</f>
        <v>203850</v>
      </c>
      <c r="N139" s="230" t="n">
        <f aca="false">SUMIFS(報告入力!$BH$7:$BH$696,報告入力!$A$7:$A$696,$S$132,報告入力!$B$7:$B$696,$A139)</f>
        <v>23247</v>
      </c>
      <c r="O139" s="230" t="n">
        <f aca="false">SUMIFS(報告入力!$BI$7:$BI$696,報告入力!$A$7:$A$696,$S$132,報告入力!$B$7:$B$696,$A139)</f>
        <v>23255</v>
      </c>
      <c r="P139" s="133" t="n">
        <f aca="false">SUM(N139:O139)</f>
        <v>46502</v>
      </c>
      <c r="Q139" s="135" t="str">
        <f aca="false">IF(P74=P139,"〇","×")</f>
        <v>〇</v>
      </c>
      <c r="R139" s="135" t="str">
        <f aca="false">IFERROR(INDEX(報告入力!$C$7:$C$696,MATCH($S$132&amp;"|"&amp;$A139,報告入力!$CM$7:$CM$696,0)),"")</f>
        <v>入金確認済</v>
      </c>
    </row>
    <row r="140" s="135" customFormat="true" ht="20.1" hidden="false" customHeight="true" outlineLevel="0" collapsed="false">
      <c r="A140" s="125" t="s">
        <v>172</v>
      </c>
      <c r="B140" s="142" t="n">
        <f aca="false">SUMIFS(報告入力!$AY$7:$AY$696,報告入力!$A$7:$A$696,$S$132,報告入力!$B$7:$B$696,$A140)</f>
        <v>23665011</v>
      </c>
      <c r="C140" s="138" t="n">
        <f aca="false">SUMIFS(報告入力!$AZ$7:$AZ$696,報告入力!$A$7:$A$696,$S$132,報告入力!$B$7:$B$696,$A140)</f>
        <v>1939755</v>
      </c>
      <c r="D140" s="136" t="n">
        <f aca="false">SUMIFS(報告入力!$BA$7:$BA$696,報告入力!$A$7:$A$696,$S$132,報告入力!$B$7:$B$696,$A140)</f>
        <v>34091829</v>
      </c>
      <c r="E140" s="139" t="n">
        <f aca="false">SUMIFS(報告入力!$BB$7:$BB$696,報告入力!$A$7:$A$696,$S$132,報告入力!$B$7:$B$696,$A140)</f>
        <v>1939800</v>
      </c>
      <c r="F140" s="138" t="n">
        <f aca="false">SUMIFS(報告入力!$BC$7:$BC$696,報告入力!$A$7:$A$696,$S$132,報告入力!$B$7:$B$696,$A140)</f>
        <v>22702</v>
      </c>
      <c r="G140" s="133" t="n">
        <f aca="false">SUM(B140:F140)</f>
        <v>61659097</v>
      </c>
      <c r="H140" s="139" t="n">
        <f aca="false">SUMIFS(報告入力!$BD$7:$BD$696,報告入力!$A$7:$A$696,$S$132,報告入力!$B$7:$B$696,$A140)</f>
        <v>23489766</v>
      </c>
      <c r="I140" s="230" t="n">
        <f aca="false">SUMIFS(報告入力!$BE$7:$BE$696,報告入力!$A$7:$A$696,$S$132,報告入力!$B$7:$B$696,$A140)</f>
        <v>23826312</v>
      </c>
      <c r="J140" s="133" t="n">
        <f aca="false">SUM(H140:I140)</f>
        <v>47316078</v>
      </c>
      <c r="K140" s="230" t="n">
        <f aca="false">SUMIFS(報告入力!$BF$7:$BF$696,報告入力!$A$7:$A$696,$S$132,報告入力!$B$7:$B$696,$A140)</f>
        <v>2747911</v>
      </c>
      <c r="L140" s="230" t="n">
        <f aca="false">SUMIFS(報告入力!$BG$7:$BG$696,報告入力!$A$7:$A$696,$S$132,報告入力!$B$7:$B$696,$A140)</f>
        <v>2740362</v>
      </c>
      <c r="M140" s="133" t="n">
        <f aca="false">SUM(K140:L140)</f>
        <v>5488273</v>
      </c>
      <c r="N140" s="230" t="n">
        <f aca="false">SUMIFS(報告入力!$BH$7:$BH$696,報告入力!$A$7:$A$696,$S$132,報告入力!$B$7:$B$696,$A140)</f>
        <v>520296</v>
      </c>
      <c r="O140" s="230" t="n">
        <f aca="false">SUMIFS(報告入力!$BI$7:$BI$696,報告入力!$A$7:$A$696,$S$132,報告入力!$B$7:$B$696,$A140)</f>
        <v>519504</v>
      </c>
      <c r="P140" s="133" t="n">
        <f aca="false">SUM(N140:O140)</f>
        <v>1039800</v>
      </c>
      <c r="Q140" s="135" t="str">
        <f aca="false">IF(P75=P140,"〇","×")</f>
        <v>×</v>
      </c>
      <c r="R140" s="135" t="str">
        <f aca="false">IFERROR(INDEX(報告入力!$C$7:$C$696,MATCH($S$132&amp;"|"&amp;$A140,報告入力!$CM$7:$CM$696,0)),"")</f>
        <v>入金確認済</v>
      </c>
    </row>
    <row r="141" s="135" customFormat="true" ht="20.1" hidden="false" customHeight="true" outlineLevel="0" collapsed="false">
      <c r="A141" s="125" t="s">
        <v>173</v>
      </c>
      <c r="B141" s="136" t="n">
        <f aca="false">SUMIFS(報告入力!$AY$7:$AY$696,報告入力!$A$7:$A$696,$S$132,報告入力!$B$7:$B$696,$A141)</f>
        <v>326655</v>
      </c>
      <c r="C141" s="137" t="n">
        <f aca="false">SUMIFS(報告入力!$AZ$7:$AZ$696,報告入力!$A$7:$A$696,$S$132,報告入力!$B$7:$B$696,$A141)</f>
        <v>26775</v>
      </c>
      <c r="D141" s="128" t="n">
        <f aca="false">SUMIFS(報告入力!$BA$7:$BA$696,報告入力!$A$7:$A$696,$S$132,報告入力!$B$7:$B$696,$A141)</f>
        <v>469098</v>
      </c>
      <c r="E141" s="128" t="n">
        <f aca="false">SUMIFS(報告入力!$BB$7:$BB$696,報告入力!$A$7:$A$696,$S$132,報告入力!$B$7:$B$696,$A141)</f>
        <v>26775</v>
      </c>
      <c r="F141" s="138" t="n">
        <f aca="false">SUMIFS(報告入力!$BC$7:$BC$696,報告入力!$A$7:$A$696,$S$132,報告入力!$B$7:$B$696,$A141)</f>
        <v>310</v>
      </c>
      <c r="G141" s="133" t="n">
        <f aca="false">SUM(B141:F141)</f>
        <v>849613</v>
      </c>
      <c r="H141" s="139" t="n">
        <f aca="false">SUMIFS(報告入力!$BD$7:$BD$696,報告入力!$A$7:$A$696,$S$132,報告入力!$B$7:$B$696,$A141)</f>
        <v>205363</v>
      </c>
      <c r="I141" s="140" t="n">
        <f aca="false">SUMIFS(報告入力!$BE$7:$BE$696,報告入力!$A$7:$A$696,$S$132,報告入力!$B$7:$B$696,$A141)</f>
        <v>208810</v>
      </c>
      <c r="J141" s="141" t="n">
        <f aca="false">SUM(H141:I141)</f>
        <v>414173</v>
      </c>
      <c r="K141" s="136" t="n">
        <f aca="false">SUMIFS(報告入力!$BF$7:$BF$696,報告入力!$A$7:$A$696,$S$132,報告入力!$B$7:$B$696,$A141)</f>
        <v>15800</v>
      </c>
      <c r="L141" s="230" t="n">
        <f aca="false">SUMIFS(報告入力!$BG$7:$BG$696,報告入力!$A$7:$A$696,$S$132,報告入力!$B$7:$B$696,$A141)</f>
        <v>15800</v>
      </c>
      <c r="M141" s="133" t="n">
        <f aca="false">SUM(K141:L141)</f>
        <v>31600</v>
      </c>
      <c r="N141" s="230" t="n">
        <f aca="false">SUMIFS(報告入力!$BH$7:$BH$696,報告入力!$A$7:$A$696,$S$132,報告入力!$B$7:$B$696,$A141)</f>
        <v>4552</v>
      </c>
      <c r="O141" s="230" t="n">
        <f aca="false">SUMIFS(報告入力!$BI$7:$BI$696,報告入力!$A$7:$A$696,$S$132,報告入力!$B$7:$B$696,$A141)</f>
        <v>4553</v>
      </c>
      <c r="P141" s="133" t="n">
        <f aca="false">SUM(N141:O141)</f>
        <v>9105</v>
      </c>
      <c r="Q141" s="135" t="str">
        <f aca="false">IF(P76=P141,"〇","×")</f>
        <v>〇</v>
      </c>
      <c r="R141" s="135" t="str">
        <f aca="false">IFERROR(INDEX(報告入力!$C$7:$C$696,MATCH($S$132&amp;"|"&amp;$A141,報告入力!$CM$7:$CM$696,0)),"")</f>
        <v>入金確認済</v>
      </c>
    </row>
    <row r="142" s="135" customFormat="true" ht="20.1" hidden="false" customHeight="true" outlineLevel="0" collapsed="false">
      <c r="A142" s="125" t="s">
        <v>174</v>
      </c>
      <c r="B142" s="136" t="n">
        <f aca="false">SUMIFS(報告入力!$AY$7:$AY$696,報告入力!$A$7:$A$696,$S$132,報告入力!$B$7:$B$696,$A142)</f>
        <v>597495</v>
      </c>
      <c r="C142" s="137" t="n">
        <f aca="false">SUMIFS(報告入力!$AZ$7:$AZ$696,報告入力!$A$7:$A$696,$S$132,報告入力!$B$7:$B$696,$A142)</f>
        <v>48975</v>
      </c>
      <c r="D142" s="128" t="n">
        <f aca="false">SUMIFS(報告入力!$BA$7:$BA$696,報告入力!$A$7:$A$696,$S$132,報告入力!$B$7:$B$696,$A142)</f>
        <v>858042</v>
      </c>
      <c r="E142" s="128" t="n">
        <f aca="false">SUMIFS(報告入力!$BB$7:$BB$696,報告入力!$A$7:$A$696,$S$132,報告入力!$B$7:$B$696,$A142)</f>
        <v>48975</v>
      </c>
      <c r="F142" s="138" t="n">
        <f aca="false">SUMIFS(報告入力!$BC$7:$BC$696,報告入力!$A$7:$A$696,$S$132,報告入力!$B$7:$B$696,$A142)</f>
        <v>567</v>
      </c>
      <c r="G142" s="133" t="n">
        <f aca="false">SUM(B142:F142)</f>
        <v>1554054</v>
      </c>
      <c r="H142" s="139" t="n">
        <f aca="false">SUMIFS(報告入力!$BD$7:$BD$696,報告入力!$A$7:$A$696,$S$132,報告入力!$B$7:$B$696,$A142)</f>
        <v>352122</v>
      </c>
      <c r="I142" s="230" t="n">
        <f aca="false">SUMIFS(報告入力!$BE$7:$BE$696,報告入力!$A$7:$A$696,$S$132,報告入力!$B$7:$B$696,$A142)</f>
        <v>358035</v>
      </c>
      <c r="J142" s="133" t="n">
        <f aca="false">SUM(H142:I142)</f>
        <v>710157</v>
      </c>
      <c r="K142" s="230" t="n">
        <f aca="false">SUMIFS(報告入力!$BF$7:$BF$696,報告入力!$A$7:$A$696,$S$132,報告入力!$B$7:$B$696,$A142)</f>
        <v>29546</v>
      </c>
      <c r="L142" s="230" t="n">
        <f aca="false">SUMIFS(報告入力!$BG$7:$BG$696,報告入力!$A$7:$A$696,$S$132,報告入力!$B$7:$B$696,$A142)</f>
        <v>29546</v>
      </c>
      <c r="M142" s="133" t="n">
        <f aca="false">SUM(K142:L142)</f>
        <v>59092</v>
      </c>
      <c r="N142" s="230" t="n">
        <f aca="false">SUMIFS(報告入力!$BH$7:$BH$696,報告入力!$A$7:$A$696,$S$132,報告入力!$B$7:$B$696,$A142)</f>
        <v>7805</v>
      </c>
      <c r="O142" s="230" t="n">
        <f aca="false">SUMIFS(報告入力!$BI$7:$BI$696,報告入力!$A$7:$A$696,$S$132,報告入力!$B$7:$B$696,$A142)</f>
        <v>7808</v>
      </c>
      <c r="P142" s="133" t="n">
        <f aca="false">SUM(N142:O142)</f>
        <v>15613</v>
      </c>
      <c r="Q142" s="135" t="str">
        <f aca="false">IF(P77=P142,"〇","×")</f>
        <v>×</v>
      </c>
      <c r="R142" s="135" t="str">
        <f aca="false">IFERROR(INDEX(報告入力!$C$7:$C$696,MATCH($S$132&amp;"|"&amp;$A142,報告入力!$CM$7:$CM$696,0)),"")</f>
        <v>入金確認済</v>
      </c>
    </row>
    <row r="143" s="135" customFormat="true" ht="20.1" hidden="false" customHeight="true" outlineLevel="0" collapsed="false">
      <c r="A143" s="125" t="s">
        <v>175</v>
      </c>
      <c r="B143" s="142" t="n">
        <f aca="false">SUMIFS(報告入力!$AY$7:$AY$696,報告入力!$A$7:$A$696,$S$132,報告入力!$B$7:$B$696,$A143)</f>
        <v>1324920</v>
      </c>
      <c r="C143" s="138" t="n">
        <f aca="false">SUMIFS(報告入力!$AZ$7:$AZ$696,報告入力!$A$7:$A$696,$S$132,報告入力!$B$7:$B$696,$A143)</f>
        <v>108600</v>
      </c>
      <c r="D143" s="136" t="n">
        <f aca="false">SUMIFS(報告入力!$BA$7:$BA$696,報告入力!$A$7:$A$696,$S$132,報告入力!$B$7:$B$696,$A143)</f>
        <v>1913844</v>
      </c>
      <c r="E143" s="139" t="n">
        <f aca="false">SUMIFS(報告入力!$BB$7:$BB$696,報告入力!$A$7:$A$696,$S$132,報告入力!$B$7:$B$696,$A143)</f>
        <v>108600</v>
      </c>
      <c r="F143" s="138" t="n">
        <f aca="false">SUMIFS(報告入力!$BC$7:$BC$696,報告入力!$A$7:$A$696,$S$132,報告入力!$B$7:$B$696,$A143)</f>
        <v>1282</v>
      </c>
      <c r="G143" s="133" t="n">
        <v>3539094</v>
      </c>
      <c r="H143" s="139" t="n">
        <f aca="false">SUMIFS(報告入力!$BD$7:$BD$696,報告入力!$A$7:$A$696,$S$132,報告入力!$B$7:$B$696,$A143)</f>
        <v>768034</v>
      </c>
      <c r="I143" s="230" t="n">
        <f aca="false">SUMIFS(報告入力!$BE$7:$BE$696,報告入力!$A$7:$A$696,$S$132,報告入力!$B$7:$B$696,$A143)</f>
        <v>781174</v>
      </c>
      <c r="J143" s="133" t="n">
        <f aca="false">SUM(H143:I143)</f>
        <v>1549208</v>
      </c>
      <c r="K143" s="230" t="n">
        <f aca="false">SUMIFS(報告入力!$BF$7:$BF$696,報告入力!$A$7:$A$696,$S$132,報告入力!$B$7:$B$696,$A143)</f>
        <v>104201</v>
      </c>
      <c r="L143" s="230" t="n">
        <f aca="false">SUMIFS(報告入力!$BG$7:$BG$696,報告入力!$A$7:$A$696,$S$132,報告入力!$B$7:$B$696,$A143)</f>
        <v>104201</v>
      </c>
      <c r="M143" s="133" t="n">
        <f aca="false">SUM(K143:L143)</f>
        <v>208402</v>
      </c>
      <c r="N143" s="230" t="n">
        <f aca="false">SUMIFS(報告入力!$BH$7:$BH$696,報告入力!$A$7:$A$696,$S$132,報告入力!$B$7:$B$696,$A143)</f>
        <v>17023</v>
      </c>
      <c r="O143" s="230" t="n">
        <f aca="false">SUMIFS(報告入力!$BI$7:$BI$696,報告入力!$A$7:$A$696,$S$132,報告入力!$B$7:$B$696,$A143)</f>
        <v>17030</v>
      </c>
      <c r="P143" s="133" t="n">
        <f aca="false">SUM(N143:O143)</f>
        <v>34053</v>
      </c>
      <c r="Q143" s="135" t="str">
        <f aca="false">IF(P78=P143,"〇","×")</f>
        <v>〇</v>
      </c>
      <c r="R143" s="135" t="str">
        <f aca="false">IFERROR(INDEX(報告入力!$C$7:$C$696,MATCH($S$132&amp;"|"&amp;$A143,報告入力!$CM$7:$CM$696,0)),"")</f>
        <v>入金確認済</v>
      </c>
    </row>
    <row r="144" s="135" customFormat="true" ht="20.1" hidden="false" customHeight="true" outlineLevel="0" collapsed="false">
      <c r="A144" s="125" t="s">
        <v>176</v>
      </c>
      <c r="B144" s="136" t="n">
        <f aca="false">SUMIFS(報告入力!$AY$7:$AY$696,報告入力!$A$7:$A$696,$S$132,報告入力!$B$7:$B$696,$A144)</f>
        <v>409920</v>
      </c>
      <c r="C144" s="137" t="n">
        <f aca="false">SUMIFS(報告入力!$AZ$7:$AZ$696,報告入力!$A$7:$A$696,$S$132,報告入力!$B$7:$B$696,$A144)</f>
        <v>33600</v>
      </c>
      <c r="D144" s="128" t="n">
        <f aca="false">SUMIFS(報告入力!$BA$7:$BA$696,報告入力!$A$7:$A$696,$S$132,報告入力!$B$7:$B$696,$A144)</f>
        <v>588672</v>
      </c>
      <c r="E144" s="128" t="n">
        <f aca="false">SUMIFS(報告入力!$BB$7:$BB$696,報告入力!$A$7:$A$696,$S$132,報告入力!$B$7:$B$696,$A144)</f>
        <v>33600</v>
      </c>
      <c r="F144" s="138" t="n">
        <f aca="false">SUMIFS(報告入力!$BC$7:$BC$696,報告入力!$A$7:$A$696,$S$132,報告入力!$B$7:$B$696,$A144)</f>
        <v>389</v>
      </c>
      <c r="G144" s="133" t="n">
        <f aca="false">SUM(B144:F144)</f>
        <v>1066181</v>
      </c>
      <c r="H144" s="139" t="n">
        <f aca="false">SUMIFS(報告入力!$BD$7:$BD$696,報告入力!$A$7:$A$696,$S$132,報告入力!$B$7:$B$696,$A144)</f>
        <v>306800</v>
      </c>
      <c r="I144" s="140" t="n">
        <f aca="false">SUMIFS(報告入力!$BE$7:$BE$696,報告入力!$A$7:$A$696,$S$132,報告入力!$B$7:$B$696,$A144)</f>
        <v>311950</v>
      </c>
      <c r="J144" s="141" t="n">
        <f aca="false">SUM(H144:I144)</f>
        <v>618750</v>
      </c>
      <c r="K144" s="134" t="n">
        <f aca="false">SUMIFS(報告入力!$BF$7:$BF$696,報告入力!$A$7:$A$696,$S$132,報告入力!$B$7:$B$696,$A144)</f>
        <v>35042</v>
      </c>
      <c r="L144" s="230" t="n">
        <f aca="false">SUMIFS(報告入力!$BG$7:$BG$696,報告入力!$A$7:$A$696,$S$132,報告入力!$B$7:$B$696,$A144)</f>
        <v>35044</v>
      </c>
      <c r="M144" s="133" t="n">
        <f aca="false">SUM(K144:L144)</f>
        <v>70086</v>
      </c>
      <c r="N144" s="230" t="n">
        <f aca="false">SUMIFS(報告入力!$BH$7:$BH$696,報告入力!$A$7:$A$696,$S$132,報告入力!$B$7:$B$696,$A144)</f>
        <v>6800</v>
      </c>
      <c r="O144" s="230" t="n">
        <f aca="false">SUMIFS(報告入力!$BI$7:$BI$696,報告入力!$A$7:$A$696,$S$132,報告入力!$B$7:$B$696,$A144)</f>
        <v>6803</v>
      </c>
      <c r="P144" s="133" t="n">
        <f aca="false">SUM(N144:O144)</f>
        <v>13603</v>
      </c>
      <c r="Q144" s="135" t="str">
        <f aca="false">IF(P79=P144,"〇","×")</f>
        <v>〇</v>
      </c>
      <c r="R144" s="135" t="str">
        <f aca="false">IFERROR(INDEX(報告入力!$C$7:$C$696,MATCH($S$132&amp;"|"&amp;$A144,報告入力!$CM$7:$CM$696,0)),"")</f>
        <v>入金確認済</v>
      </c>
    </row>
    <row r="145" s="135" customFormat="true" ht="20.1" hidden="false" customHeight="true" outlineLevel="0" collapsed="false">
      <c r="A145" s="125" t="s">
        <v>177</v>
      </c>
      <c r="B145" s="142" t="n">
        <f aca="false">SUMIFS(報告入力!$AY$7:$AY$696,報告入力!$A$7:$A$696,$S$132,報告入力!$B$7:$B$696,$A145)</f>
        <v>22336980</v>
      </c>
      <c r="C145" s="138" t="n">
        <f aca="false">SUMIFS(報告入力!$AZ$7:$AZ$696,報告入力!$A$7:$A$696,$S$132,報告入力!$B$7:$B$696,$A145)</f>
        <v>1830900</v>
      </c>
      <c r="D145" s="136" t="n">
        <f aca="false">SUMIFS(報告入力!$BA$7:$BA$696,報告入力!$A$7:$A$696,$S$132,報告入力!$B$7:$B$696,$A145)</f>
        <v>32242155</v>
      </c>
      <c r="E145" s="139" t="n">
        <f aca="false">SUMIFS(報告入力!$BB$7:$BB$696,報告入力!$A$7:$A$696,$S$132,報告入力!$B$7:$B$696,$A145)</f>
        <v>1830900</v>
      </c>
      <c r="F145" s="138" t="n">
        <f aca="false">SUMIFS(報告入力!$BC$7:$BC$696,報告入力!$A$7:$A$696,$S$132,報告入力!$B$7:$B$696,$A145)</f>
        <v>21567</v>
      </c>
      <c r="G145" s="133" t="n">
        <f aca="false">SUM(B145:F145)</f>
        <v>58262502</v>
      </c>
      <c r="H145" s="139" t="n">
        <f aca="false">SUMIFS(報告入力!$BD$7:$BD$696,報告入力!$A$7:$A$696,$S$132,報告入力!$B$7:$B$696,$A145)</f>
        <v>13344367</v>
      </c>
      <c r="I145" s="230" t="n">
        <f aca="false">SUMIFS(報告入力!$BE$7:$BE$696,報告入力!$A$7:$A$696,$S$132,報告入力!$B$7:$B$696,$A145)</f>
        <v>13572074</v>
      </c>
      <c r="J145" s="133" t="n">
        <f aca="false">SUM(H145:I145)</f>
        <v>26916441</v>
      </c>
      <c r="K145" s="230" t="n">
        <f aca="false">SUMIFS(報告入力!$BF$7:$BF$696,報告入力!$A$7:$A$696,$S$132,報告入力!$B$7:$B$696,$A145)</f>
        <v>1346476</v>
      </c>
      <c r="L145" s="230" t="n">
        <f aca="false">SUMIFS(報告入力!$BG$7:$BG$696,報告入力!$A$7:$A$696,$S$132,報告入力!$B$7:$B$696,$A145)</f>
        <v>1346476</v>
      </c>
      <c r="M145" s="133" t="n">
        <f aca="false">SUM(K145:L145)</f>
        <v>2692952</v>
      </c>
      <c r="N145" s="230" t="n">
        <f aca="false">SUMIFS(報告入力!$BH$7:$BH$696,報告入力!$A$7:$A$696,$S$132,報告入力!$B$7:$B$696,$A145)</f>
        <v>295823</v>
      </c>
      <c r="O145" s="230" t="n">
        <f aca="false">SUMIFS(報告入力!$BI$7:$BI$696,報告入力!$A$7:$A$696,$S$132,報告入力!$B$7:$B$696,$A145)</f>
        <v>295914</v>
      </c>
      <c r="P145" s="133" t="n">
        <f aca="false">SUM(N145:O145)</f>
        <v>591737</v>
      </c>
      <c r="Q145" s="135" t="str">
        <f aca="false">IF(P80=P145,"〇","×")</f>
        <v>×</v>
      </c>
      <c r="R145" s="135" t="str">
        <f aca="false">IFERROR(INDEX(報告入力!$C$7:$C$696,MATCH($S$132&amp;"|"&amp;$A145,報告入力!$CM$7:$CM$696,0)),"")</f>
        <v>入金確認済</v>
      </c>
    </row>
    <row r="146" s="135" customFormat="true" ht="19.5" hidden="false" customHeight="true" outlineLevel="0" collapsed="false">
      <c r="A146" s="146" t="s">
        <v>495</v>
      </c>
      <c r="B146" s="142" t="n">
        <f aca="false">SUMIFS(報告入力!$AY$7:$AY$696,報告入力!$A$7:$A$696,$S$132,報告入力!$B$7:$B$696,$A146)</f>
        <v>48495</v>
      </c>
      <c r="C146" s="147" t="n">
        <f aca="false">SUMIFS(報告入力!$AZ$7:$AZ$696,報告入力!$A$7:$A$696,$S$132,報告入力!$B$7:$B$696,$A146)</f>
        <v>3975</v>
      </c>
      <c r="D146" s="142" t="n">
        <f aca="false">SUMIFS(報告入力!$BA$7:$BA$696,報告入力!$A$7:$A$696,$S$132,報告入力!$B$7:$B$696,$A146)</f>
        <v>69642</v>
      </c>
      <c r="E146" s="143" t="n">
        <f aca="false">SUMIFS(報告入力!$BB$7:$BB$696,報告入力!$A$7:$A$696,$S$132,報告入力!$B$7:$B$696,$A146)</f>
        <v>3975</v>
      </c>
      <c r="F146" s="148" t="n">
        <f aca="false">SUMIFS(報告入力!$BC$7:$BC$696,報告入力!$A$7:$A$696,$S$132,報告入力!$B$7:$B$696,$A146)</f>
        <v>46</v>
      </c>
      <c r="G146" s="133" t="n">
        <f aca="false">SUM(B146:F146)</f>
        <v>126133</v>
      </c>
      <c r="H146" s="139" t="n">
        <f aca="false">SUMIFS(報告入力!$BD$7:$BD$696,報告入力!$A$7:$A$696,$S$132,報告入力!$B$7:$B$696,$A146)</f>
        <v>27485</v>
      </c>
      <c r="I146" s="230" t="n">
        <f aca="false">SUMIFS(報告入力!$BE$7:$BE$696,報告入力!$A$7:$A$696,$S$132,報告入力!$B$7:$B$696,$A146)</f>
        <v>27946</v>
      </c>
      <c r="J146" s="133" t="n">
        <f aca="false">SUM(H146:I146)</f>
        <v>55431</v>
      </c>
      <c r="K146" s="230" t="n">
        <f aca="false">SUMIFS(報告入力!$BF$7:$BF$696,報告入力!$A$7:$A$696,$S$132,報告入力!$B$7:$B$696,$A146)</f>
        <v>4187</v>
      </c>
      <c r="L146" s="230" t="n">
        <f aca="false">SUMIFS(報告入力!$BG$7:$BG$696,報告入力!$A$7:$A$696,$S$132,報告入力!$B$7:$B$696,$A146)</f>
        <v>4187</v>
      </c>
      <c r="M146" s="133" t="n">
        <f aca="false">SUM(K146:L146)</f>
        <v>8374</v>
      </c>
      <c r="N146" s="230" t="n">
        <f aca="false">SUMIFS(報告入力!$BH$7:$BH$696,報告入力!$A$7:$A$696,$S$132,報告入力!$B$7:$B$696,$A146)</f>
        <v>609</v>
      </c>
      <c r="O146" s="230" t="n">
        <f aca="false">SUMIFS(報告入力!$BI$7:$BI$696,報告入力!$A$7:$A$696,$S$132,報告入力!$B$7:$B$696,$A146)</f>
        <v>609</v>
      </c>
      <c r="P146" s="141" t="n">
        <f aca="false">SUM(N146:O146)</f>
        <v>1218</v>
      </c>
      <c r="Q146" s="135" t="str">
        <f aca="false">IF(P81=P146,"〇","×")</f>
        <v>〇</v>
      </c>
      <c r="R146" s="135" t="str">
        <f aca="false">IFERROR(INDEX(報告入力!$C$7:$C$696,MATCH($S$132&amp;"|"&amp;$A146,報告入力!$CM$7:$CM$696,0)),"")</f>
        <v>入金確認済</v>
      </c>
    </row>
    <row r="147" s="162" customFormat="true" ht="19.5" hidden="false" customHeight="true" outlineLevel="0" collapsed="false">
      <c r="A147" s="151" t="s">
        <v>179</v>
      </c>
      <c r="B147" s="152" t="n">
        <f aca="false">SUMIFS(報告入力!$AY$7:$AY$696,報告入力!$A$7:$A$696,$S$132,報告入力!$B$7:$B$696,$A147)</f>
        <v>0</v>
      </c>
      <c r="C147" s="153" t="n">
        <f aca="false">SUMIFS(報告入力!$AZ$7:$AZ$696,報告入力!$A$7:$A$696,$S$132,報告入力!$B$7:$B$696,$A147)</f>
        <v>0</v>
      </c>
      <c r="D147" s="154"/>
      <c r="E147" s="155"/>
      <c r="F147" s="156" t="n">
        <f aca="false">SUMIFS(報告入力!$BC$7:$BC$696,報告入力!$A$7:$A$696,$S$132,報告入力!$B$7:$B$696,$A147)</f>
        <v>0</v>
      </c>
      <c r="G147" s="157" t="n">
        <f aca="false">SUM(B147:F147)</f>
        <v>0</v>
      </c>
      <c r="H147" s="139" t="n">
        <f aca="false">SUMIFS(報告入力!$BD$7:$BD$696,報告入力!$A$7:$A$696,$S$132,報告入力!$B$7:$B$696,$A147)</f>
        <v>277437</v>
      </c>
      <c r="I147" s="140" t="n">
        <f aca="false">SUMIFS(報告入力!$BE$7:$BE$696,報告入力!$A$7:$A$696,$S$132,報告入力!$B$7:$B$696,$A147)</f>
        <v>282103</v>
      </c>
      <c r="J147" s="342" t="n">
        <f aca="false">SUM(H147:I147)</f>
        <v>559540</v>
      </c>
      <c r="K147" s="134" t="n">
        <f aca="false">SUMIFS(報告入力!$BF$7:$BF$696,報告入力!$A$7:$A$696,$S$132,報告入力!$B$7:$B$696,$A147)</f>
        <v>14378</v>
      </c>
      <c r="L147" s="140" t="n">
        <f aca="false">SUMIFS(報告入力!$BG$7:$BG$696,報告入力!$A$7:$A$696,$S$132,報告入力!$B$7:$B$696,$A147)</f>
        <v>14378</v>
      </c>
      <c r="M147" s="141" t="n">
        <f aca="false">SUM(K147:L147)</f>
        <v>28756</v>
      </c>
      <c r="N147" s="230" t="n">
        <f aca="false">SUMIFS(報告入力!$BH$7:$BH$696,報告入力!$A$7:$A$696,$S$132,報告入力!$B$7:$B$696,$A147)</f>
        <v>6149</v>
      </c>
      <c r="O147" s="230" t="n">
        <f aca="false">SUMIFS(報告入力!$BI$7:$BI$696,報告入力!$A$7:$A$696,$S$132,報告入力!$B$7:$B$696,$A147)</f>
        <v>6152</v>
      </c>
      <c r="P147" s="141" t="n">
        <f aca="false">SUM(N147:O147)</f>
        <v>12301</v>
      </c>
      <c r="Q147" s="162" t="str">
        <f aca="false">IF(P82=P147,"〇","×")</f>
        <v>×</v>
      </c>
      <c r="R147" s="162" t="str">
        <f aca="false">IFERROR(INDEX(報告入力!$C$7:$C$696,MATCH($S$132&amp;"|"&amp;$A147,報告入力!$CM$7:$CM$696,0)),"")</f>
        <v>入金確認済</v>
      </c>
    </row>
    <row r="148" s="162" customFormat="true" ht="19.5" hidden="false" customHeight="true" outlineLevel="0" collapsed="false">
      <c r="A148" s="163" t="s">
        <v>496</v>
      </c>
      <c r="B148" s="164"/>
      <c r="C148" s="165"/>
      <c r="D148" s="164"/>
      <c r="E148" s="166"/>
      <c r="F148" s="167"/>
      <c r="G148" s="168"/>
      <c r="H148" s="169"/>
      <c r="I148" s="170"/>
      <c r="J148" s="343"/>
      <c r="K148" s="172"/>
      <c r="L148" s="173"/>
      <c r="M148" s="173"/>
      <c r="N148" s="172"/>
      <c r="O148" s="173"/>
      <c r="P148" s="171"/>
      <c r="Q148" s="162" t="str">
        <f aca="false">IF(P83=P148,"〇","×")</f>
        <v>〇</v>
      </c>
    </row>
    <row r="149" s="162" customFormat="true" ht="19.5" hidden="false" customHeight="true" outlineLevel="0" collapsed="false">
      <c r="A149" s="174" t="s">
        <v>496</v>
      </c>
      <c r="B149" s="175"/>
      <c r="C149" s="176"/>
      <c r="D149" s="175"/>
      <c r="E149" s="177"/>
      <c r="F149" s="178"/>
      <c r="G149" s="179"/>
      <c r="H149" s="180"/>
      <c r="I149" s="177"/>
      <c r="J149" s="344"/>
      <c r="K149" s="182"/>
      <c r="L149" s="183"/>
      <c r="M149" s="183"/>
      <c r="N149" s="182"/>
      <c r="O149" s="183"/>
      <c r="P149" s="181"/>
      <c r="Q149" s="162" t="str">
        <f aca="false">IF(P84=P149,"〇","×")</f>
        <v>〇</v>
      </c>
    </row>
    <row r="150" s="162" customFormat="true" ht="19.5" hidden="false" customHeight="true" outlineLevel="0" collapsed="false">
      <c r="A150" s="174" t="s">
        <v>496</v>
      </c>
      <c r="B150" s="164"/>
      <c r="C150" s="165"/>
      <c r="D150" s="164"/>
      <c r="E150" s="166"/>
      <c r="F150" s="167"/>
      <c r="G150" s="168"/>
      <c r="H150" s="184"/>
      <c r="I150" s="166"/>
      <c r="J150" s="343"/>
      <c r="K150" s="185"/>
      <c r="L150" s="186"/>
      <c r="M150" s="186"/>
      <c r="N150" s="185"/>
      <c r="O150" s="186"/>
      <c r="P150" s="171"/>
      <c r="Q150" s="162" t="str">
        <f aca="false">IF(P85=P150,"〇","×")</f>
        <v>〇</v>
      </c>
    </row>
    <row r="151" s="162" customFormat="true" ht="19.5" hidden="false" customHeight="true" outlineLevel="0" collapsed="false">
      <c r="A151" s="187" t="s">
        <v>496</v>
      </c>
      <c r="B151" s="188"/>
      <c r="C151" s="189"/>
      <c r="D151" s="188"/>
      <c r="E151" s="190"/>
      <c r="F151" s="191"/>
      <c r="G151" s="192"/>
      <c r="H151" s="180"/>
      <c r="I151" s="193"/>
      <c r="J151" s="345"/>
      <c r="K151" s="182"/>
      <c r="L151" s="183"/>
      <c r="M151" s="195"/>
      <c r="N151" s="182"/>
      <c r="O151" s="183"/>
      <c r="P151" s="194"/>
      <c r="Q151" s="162" t="str">
        <f aca="false">IF(P86=P151,"〇","×")</f>
        <v>〇</v>
      </c>
    </row>
    <row r="152" s="162" customFormat="true" ht="19.5" hidden="false" customHeight="true" outlineLevel="0" collapsed="false">
      <c r="A152" s="196" t="s">
        <v>497</v>
      </c>
      <c r="B152" s="197" t="n">
        <f aca="false">SUM(B136:B151)</f>
        <v>360188926</v>
      </c>
      <c r="C152" s="198" t="n">
        <f aca="false">SUM(C136:C151)</f>
        <v>29529427</v>
      </c>
      <c r="D152" s="197" t="n">
        <f aca="false">SUM(D136:D151)</f>
        <v>517152975</v>
      </c>
      <c r="E152" s="199" t="n">
        <f aca="false">SUM(E136:E151)</f>
        <v>28993733</v>
      </c>
      <c r="F152" s="200" t="n">
        <f aca="false">SUM(F136:F151)</f>
        <v>347012</v>
      </c>
      <c r="G152" s="201" t="n">
        <f aca="false">SUM(B152:F152)</f>
        <v>936212073</v>
      </c>
      <c r="H152" s="198" t="n">
        <f aca="false">SUM(H136:H151)</f>
        <v>253998536</v>
      </c>
      <c r="I152" s="198" t="n">
        <f aca="false">SUM(I136:I151)</f>
        <v>254471719</v>
      </c>
      <c r="J152" s="200" t="n">
        <f aca="false">SUM(H152:I152)</f>
        <v>508470255</v>
      </c>
      <c r="K152" s="197" t="n">
        <f aca="false">SUM(K136:K151)</f>
        <v>23258730</v>
      </c>
      <c r="L152" s="198" t="n">
        <f aca="false">SUM(L136:L151)</f>
        <v>22816910</v>
      </c>
      <c r="M152" s="200" t="n">
        <f aca="false">SUM(K152:L152)</f>
        <v>46075640</v>
      </c>
      <c r="N152" s="197" t="n">
        <f aca="false">SUM(N136:N151)</f>
        <v>5629255</v>
      </c>
      <c r="O152" s="198" t="n">
        <f aca="false">SUM(O136:O151)</f>
        <v>5546331</v>
      </c>
      <c r="P152" s="200" t="n">
        <f aca="false">SUM(N152:O152)</f>
        <v>11175586</v>
      </c>
      <c r="Q152" s="162" t="str">
        <f aca="false">IF(P87=P152,"〇","×")</f>
        <v>×</v>
      </c>
    </row>
    <row r="153" s="135" customFormat="true" ht="20.1" hidden="false" customHeight="true" outlineLevel="0" collapsed="false">
      <c r="A153" s="202" t="s">
        <v>180</v>
      </c>
      <c r="B153" s="324"/>
      <c r="C153" s="325"/>
      <c r="D153" s="324"/>
      <c r="E153" s="326"/>
      <c r="F153" s="325"/>
      <c r="G153" s="327" t="n">
        <f aca="false">SUM(B153:F153)</f>
        <v>0</v>
      </c>
      <c r="H153" s="328"/>
      <c r="I153" s="329"/>
      <c r="J153" s="330" t="n">
        <f aca="false">SUM(H153:I153)</f>
        <v>0</v>
      </c>
      <c r="K153" s="328"/>
      <c r="L153" s="329"/>
      <c r="M153" s="331" t="n">
        <f aca="false">SUM(K153:L153)</f>
        <v>0</v>
      </c>
      <c r="N153" s="328"/>
      <c r="O153" s="329"/>
      <c r="P153" s="331" t="n">
        <f aca="false">SUM(N153:O153)</f>
        <v>0</v>
      </c>
      <c r="Q153" s="135" t="str">
        <f aca="false">IF(P88=P153,"〇","×")</f>
        <v>〇</v>
      </c>
      <c r="R153" s="135" t="str">
        <f aca="false">IFERROR(INDEX(報告入力!$C$7:$C$696,MATCH($S$132&amp;"|"&amp;$A153,報告入力!$CM$7:$CM$696,0)),"")</f>
        <v>報告なし</v>
      </c>
    </row>
    <row r="154" s="135" customFormat="true" ht="20.1" hidden="false" customHeight="true" outlineLevel="0" collapsed="false">
      <c r="A154" s="125" t="s">
        <v>182</v>
      </c>
      <c r="B154" s="136" t="n">
        <f aca="false">SUMIFS(報告入力!$AY$7:$AY$696,報告入力!$A$7:$A$696,$S$132,報告入力!$B$7:$B$696,$A154)</f>
        <v>0</v>
      </c>
      <c r="C154" s="137" t="n">
        <f aca="false">SUMIFS(報告入力!$AZ$7:$AZ$696,報告入力!$A$7:$A$696,$S$132,報告入力!$B$7:$B$696,$A154)</f>
        <v>0</v>
      </c>
      <c r="D154" s="142" t="n">
        <f aca="false">SUMIFS(報告入力!$BA$7:$BA$696,報告入力!$A$7:$A$696,$S$132,報告入力!$B$7:$B$696,$A154)</f>
        <v>765855</v>
      </c>
      <c r="E154" s="143" t="n">
        <f aca="false">SUMIFS(報告入力!$BB$7:$BB$696,報告入力!$A$7:$A$696,$S$132,報告入力!$B$7:$B$696,$A154)</f>
        <v>62775</v>
      </c>
      <c r="F154" s="138" t="n">
        <f aca="false">SUMIFS(報告入力!$BC$7:$BC$696,報告入力!$A$7:$A$696,$S$132,報告入力!$B$7:$B$696,$A154)</f>
        <v>789</v>
      </c>
      <c r="G154" s="133" t="n">
        <f aca="false">SUM(B154:F154)</f>
        <v>829419</v>
      </c>
      <c r="H154" s="139" t="n">
        <f aca="false">SUMIFS(報告入力!$BD$7:$BD$696,報告入力!$A$7:$A$696,$S$132,報告入力!$B$7:$B$696,$A154)</f>
        <v>0</v>
      </c>
      <c r="I154" s="140" t="n">
        <f aca="false">SUMIFS(報告入力!$BE$7:$BE$696,報告入力!$A$7:$A$696,$S$132,報告入力!$B$7:$B$696,$A154)</f>
        <v>441236</v>
      </c>
      <c r="J154" s="141" t="n">
        <f aca="false">SUM(H154:I154)</f>
        <v>441236</v>
      </c>
      <c r="K154" s="139" t="n">
        <f aca="false">SUMIFS(報告入力!$BF$7:$BF$696,報告入力!$A$7:$A$696,$S$132,報告入力!$B$7:$B$696,$A154)</f>
        <v>0</v>
      </c>
      <c r="L154" s="140" t="n">
        <f aca="false">SUMIFS(報告入力!$BG$7:$BG$696,報告入力!$A$7:$A$696,$S$132,報告入力!$B$7:$B$696,$A154)</f>
        <v>54826</v>
      </c>
      <c r="M154" s="323" t="n">
        <f aca="false">SUM(K154:L154)</f>
        <v>54826</v>
      </c>
      <c r="N154" s="139" t="n">
        <f aca="false">SUMIFS(報告入力!$BH$7:$BH$696,報告入力!$A$7:$A$696,$S$132,報告入力!$B$7:$B$696,$A154)</f>
        <v>0</v>
      </c>
      <c r="O154" s="140" t="n">
        <f aca="false">SUMIFS(報告入力!$BI$7:$BI$696,報告入力!$A$7:$A$696,$S$132,報告入力!$B$7:$B$696,$A154)</f>
        <v>9775</v>
      </c>
      <c r="P154" s="145" t="n">
        <f aca="false">SUM(N154:O154)</f>
        <v>9775</v>
      </c>
      <c r="Q154" s="135" t="str">
        <f aca="false">IF(P89=P154,"〇","×")</f>
        <v>〇</v>
      </c>
      <c r="R154" s="135" t="str">
        <f aca="false">IFERROR(INDEX(報告入力!$C$7:$C$696,MATCH($S$132&amp;"|"&amp;$A154,報告入力!$CM$7:$CM$696,0)),"")</f>
        <v>入金確認済</v>
      </c>
    </row>
    <row r="155" s="135" customFormat="true" ht="20.1" hidden="false" customHeight="true" outlineLevel="0" collapsed="false">
      <c r="A155" s="125" t="s">
        <v>183</v>
      </c>
      <c r="B155" s="211"/>
      <c r="C155" s="212"/>
      <c r="D155" s="136" t="n">
        <f aca="false">SUMIFS(報告入力!$BA$7:$BA$696,報告入力!$A$7:$A$696,$S$132,報告入力!$B$7:$B$696,$A155)</f>
        <v>1990125</v>
      </c>
      <c r="E155" s="139" t="n">
        <f aca="false">SUMIFS(報告入力!$BB$7:$BB$696,報告入力!$A$7:$A$696,$S$132,報告入力!$B$7:$B$696,$A155)</f>
        <v>163125</v>
      </c>
      <c r="F155" s="138" t="n">
        <f aca="false">SUMIFS(報告入力!$BC$7:$BC$696,報告入力!$A$7:$A$696,$S$132,報告入力!$B$7:$B$696,$A155)</f>
        <v>1996</v>
      </c>
      <c r="G155" s="133" t="n">
        <f aca="false">SUM(B155:F155)</f>
        <v>2155246</v>
      </c>
      <c r="H155" s="213"/>
      <c r="I155" s="230" t="n">
        <f aca="false">SUMIFS(報告入力!$BE$7:$BE$696,報告入力!$A$7:$A$696,$S$132,報告入力!$B$7:$B$696,$A155)</f>
        <v>1279122</v>
      </c>
      <c r="J155" s="133" t="n">
        <f aca="false">SUM(H155:I155)</f>
        <v>1279122</v>
      </c>
      <c r="K155" s="213"/>
      <c r="L155" s="230" t="n">
        <f aca="false">SUMIFS(報告入力!$BG$7:$BG$696,報告入力!$A$7:$A$696,$S$132,報告入力!$B$7:$B$696,$A155)</f>
        <v>141726</v>
      </c>
      <c r="M155" s="133" t="n">
        <f aca="false">SUM(K155:L155)</f>
        <v>141726</v>
      </c>
      <c r="N155" s="213"/>
      <c r="O155" s="140" t="n">
        <f aca="false">SUMIFS(報告入力!$BI$7:$BI$696,報告入力!$A$7:$A$696,$S$132,報告入力!$B$7:$B$696,$A155)</f>
        <v>28333</v>
      </c>
      <c r="P155" s="141" t="n">
        <f aca="false">SUM(N155:O155)</f>
        <v>28333</v>
      </c>
      <c r="Q155" s="135" t="str">
        <f aca="false">IF(P90=P155,"〇","×")</f>
        <v>×</v>
      </c>
      <c r="R155" s="135" t="str">
        <f aca="false">IFERROR(INDEX(報告入力!$C$7:$C$696,MATCH($S$132&amp;"|"&amp;$A155,報告入力!$CM$7:$CM$696,0)),"")</f>
        <v>入金確認済</v>
      </c>
    </row>
    <row r="156" s="135" customFormat="true" ht="20.1" hidden="false" customHeight="true" outlineLevel="0" collapsed="false">
      <c r="A156" s="125" t="s">
        <v>184</v>
      </c>
      <c r="B156" s="211"/>
      <c r="C156" s="212"/>
      <c r="D156" s="128" t="n">
        <f aca="false">SUMIFS(報告入力!$BA$7:$BA$696,報告入力!$A$7:$A$696,$S$132,報告入力!$B$7:$B$696,$A156)</f>
        <v>59475</v>
      </c>
      <c r="E156" s="139" t="n">
        <f aca="false">SUMIFS(報告入力!$BB$7:$BB$696,報告入力!$A$7:$A$696,$S$132,報告入力!$B$7:$B$696,$A156)</f>
        <v>4875</v>
      </c>
      <c r="F156" s="138" t="n">
        <f aca="false">SUMIFS(報告入力!$BC$7:$BC$696,報告入力!$A$7:$A$696,$S$132,報告入力!$B$7:$B$696,$A156)</f>
        <v>56</v>
      </c>
      <c r="G156" s="133" t="n">
        <f aca="false">SUM(B156:F156)</f>
        <v>64406</v>
      </c>
      <c r="H156" s="213"/>
      <c r="I156" s="230" t="n">
        <f aca="false">SUMIFS(報告入力!$BE$7:$BE$696,報告入力!$A$7:$A$696,$S$132,報告入力!$B$7:$B$696,$A156)</f>
        <v>36856</v>
      </c>
      <c r="J156" s="323" t="n">
        <f aca="false">SUM(H156:I156)</f>
        <v>36856</v>
      </c>
      <c r="K156" s="213"/>
      <c r="L156" s="230" t="n">
        <f aca="false">SUMIFS(報告入力!$BG$7:$BG$696,報告入力!$A$7:$A$696,$S$132,報告入力!$B$7:$B$696,$A156)</f>
        <v>5609</v>
      </c>
      <c r="M156" s="133" t="n">
        <f aca="false">SUM(K156:L156)</f>
        <v>5609</v>
      </c>
      <c r="N156" s="213"/>
      <c r="O156" s="140" t="n">
        <f aca="false">SUMIFS(報告入力!$BI$7:$BI$696,報告入力!$A$7:$A$696,$S$132,報告入力!$B$7:$B$696,$A156)</f>
        <v>816</v>
      </c>
      <c r="P156" s="141" t="n">
        <f aca="false">SUM(N156:O156)</f>
        <v>816</v>
      </c>
      <c r="Q156" s="135" t="str">
        <f aca="false">IF(P91=P156,"〇","×")</f>
        <v>〇</v>
      </c>
      <c r="R156" s="135" t="str">
        <f aca="false">IFERROR(INDEX(報告入力!$C$7:$C$696,MATCH($S$132&amp;"|"&amp;$A156,報告入力!$CM$7:$CM$696,0)),"")</f>
        <v>入金確認済</v>
      </c>
    </row>
    <row r="157" s="135" customFormat="true" ht="20.1" hidden="false" customHeight="true" outlineLevel="0" collapsed="false">
      <c r="A157" s="214" t="s">
        <v>185</v>
      </c>
      <c r="B157" s="211"/>
      <c r="C157" s="212"/>
      <c r="D157" s="128" t="n">
        <f aca="false">SUMIFS(報告入力!$BA$7:$BA$696,報告入力!$A$7:$A$696,$S$132,報告入力!$B$7:$B$696,$A157)</f>
        <v>368745</v>
      </c>
      <c r="E157" s="139" t="n">
        <f aca="false">SUMIFS(報告入力!$BB$7:$BB$696,報告入力!$A$7:$A$696,$S$132,報告入力!$B$7:$B$696,$A157)</f>
        <v>30225</v>
      </c>
      <c r="F157" s="138" t="n">
        <f aca="false">SUMIFS(報告入力!$BC$7:$BC$696,報告入力!$A$7:$A$696,$S$132,報告入力!$B$7:$B$696,$A157)</f>
        <v>395</v>
      </c>
      <c r="G157" s="133" t="n">
        <f aca="false">SUM(B157:F157)</f>
        <v>399365</v>
      </c>
      <c r="H157" s="213"/>
      <c r="I157" s="140" t="n">
        <f aca="false">SUMIFS(報告入力!$BE$7:$BE$696,報告入力!$A$7:$A$696,$S$132,報告入力!$B$7:$B$696,$A157)</f>
        <v>209223</v>
      </c>
      <c r="J157" s="141" t="n">
        <f aca="false">SUM(H157:I157)</f>
        <v>209223</v>
      </c>
      <c r="K157" s="213"/>
      <c r="L157" s="140" t="n">
        <f aca="false">SUMIFS(報告入力!$BG$7:$BG$696,報告入力!$A$7:$A$696,$S$132,報告入力!$B$7:$B$696,$A157)</f>
        <v>26781</v>
      </c>
      <c r="M157" s="323" t="n">
        <f aca="false">SUM(K157:L157)</f>
        <v>26781</v>
      </c>
      <c r="N157" s="213"/>
      <c r="O157" s="140" t="n">
        <f aca="false">SUMIFS(報告入力!$BI$7:$BI$696,報告入力!$A$7:$A$696,$S$132,報告入力!$B$7:$B$696,$A157)</f>
        <v>4634</v>
      </c>
      <c r="P157" s="145" t="n">
        <f aca="false">SUM(N157:O157)</f>
        <v>4634</v>
      </c>
      <c r="Q157" s="135" t="str">
        <f aca="false">IF(P92=P157,"〇","×")</f>
        <v>×</v>
      </c>
      <c r="R157" s="135" t="str">
        <f aca="false">IFERROR(INDEX(報告入力!$C$7:$C$696,MATCH($S$132&amp;"|"&amp;$A157,報告入力!$CM$7:$CM$696,0)),"")</f>
        <v>入金確認済</v>
      </c>
    </row>
    <row r="158" s="135" customFormat="true" ht="20.1" hidden="false" customHeight="true" outlineLevel="0" collapsed="false">
      <c r="A158" s="146" t="s">
        <v>186</v>
      </c>
      <c r="B158" s="211"/>
      <c r="C158" s="216"/>
      <c r="D158" s="128" t="n">
        <f aca="false">SUMIFS(報告入力!$BA$7:$BA$696,報告入力!$A$7:$A$696,$S$132,報告入力!$B$7:$B$696,$A158)</f>
        <v>40260</v>
      </c>
      <c r="E158" s="139" t="n">
        <f aca="false">SUMIFS(報告入力!$BB$7:$BB$696,報告入力!$A$7:$A$696,$S$132,報告入力!$B$7:$B$696,$A158)</f>
        <v>3300</v>
      </c>
      <c r="F158" s="148" t="n">
        <f aca="false">SUMIFS(報告入力!$BC$7:$BC$696,報告入力!$A$7:$A$696,$S$132,報告入力!$B$7:$B$696,$A158)</f>
        <v>38</v>
      </c>
      <c r="G158" s="133" t="n">
        <f aca="false">SUM(B158:F158)</f>
        <v>43598</v>
      </c>
      <c r="H158" s="213"/>
      <c r="I158" s="230" t="n">
        <f aca="false">SUMIFS(報告入力!$BE$7:$BE$696,報告入力!$A$7:$A$696,$S$132,報告入力!$B$7:$B$696,$A158)</f>
        <v>22840</v>
      </c>
      <c r="J158" s="323" t="n">
        <f aca="false">SUM(H158:I158)</f>
        <v>22840</v>
      </c>
      <c r="K158" s="213"/>
      <c r="L158" s="230" t="n">
        <f aca="false">SUMIFS(報告入力!$BG$7:$BG$696,報告入力!$A$7:$A$696,$S$132,報告入力!$B$7:$B$696,$A158)</f>
        <v>3476</v>
      </c>
      <c r="M158" s="133" t="n">
        <f aca="false">SUM(K158:L158)</f>
        <v>3476</v>
      </c>
      <c r="N158" s="213"/>
      <c r="O158" s="140" t="n">
        <f aca="false">SUMIFS(報告入力!$BI$7:$BI$696,報告入力!$A$7:$A$696,$S$132,報告入力!$B$7:$B$696,$A158)</f>
        <v>506</v>
      </c>
      <c r="P158" s="141" t="n">
        <f aca="false">SUM(N158:O158)</f>
        <v>506</v>
      </c>
      <c r="Q158" s="135" t="str">
        <f aca="false">IF(P93=P158,"〇","×")</f>
        <v>〇</v>
      </c>
      <c r="R158" s="135" t="str">
        <f aca="false">IFERROR(INDEX(報告入力!$C$7:$C$696,MATCH($S$132&amp;"|"&amp;$A158,報告入力!$CM$7:$CM$696,0)),"")</f>
        <v>入金確認済</v>
      </c>
    </row>
    <row r="159" s="135" customFormat="true" ht="19.5" hidden="false" customHeight="true" outlineLevel="0" collapsed="false">
      <c r="A159" s="146" t="s">
        <v>187</v>
      </c>
      <c r="B159" s="211"/>
      <c r="C159" s="216"/>
      <c r="D159" s="136" t="n">
        <f aca="false">SUMIFS(報告入力!$BA$7:$BA$696,報告入力!$A$7:$A$696,$S$132,報告入力!$B$7:$B$696,$A159)</f>
        <v>0</v>
      </c>
      <c r="E159" s="139" t="n">
        <f aca="false">SUMIFS(報告入力!$BB$7:$BB$696,報告入力!$A$7:$A$696,$S$132,報告入力!$B$7:$B$696,$A159)</f>
        <v>0</v>
      </c>
      <c r="F159" s="138" t="n">
        <f aca="false">SUMIFS(報告入力!$BC$7:$BC$696,報告入力!$A$7:$A$696,$S$132,報告入力!$B$7:$B$696,$A159)</f>
        <v>0</v>
      </c>
      <c r="G159" s="133" t="n">
        <f aca="false">SUM(B159:F159)</f>
        <v>0</v>
      </c>
      <c r="H159" s="213"/>
      <c r="I159" s="230" t="n">
        <f aca="false">SUMIFS(報告入力!$BE$7:$BE$696,報告入力!$A$7:$A$696,$S$132,報告入力!$B$7:$B$696,$A159)</f>
        <v>0</v>
      </c>
      <c r="J159" s="133" t="n">
        <f aca="false">SUM(H159:I159)</f>
        <v>0</v>
      </c>
      <c r="K159" s="213"/>
      <c r="L159" s="230" t="n">
        <f aca="false">SUMIFS(報告入力!$BG$7:$BG$696,報告入力!$A$7:$A$696,$S$132,報告入力!$B$7:$B$696,$A159)</f>
        <v>0</v>
      </c>
      <c r="M159" s="133" t="n">
        <f aca="false">SUM(K159:L159)</f>
        <v>0</v>
      </c>
      <c r="N159" s="213"/>
      <c r="O159" s="140" t="n">
        <f aca="false">SUMIFS(報告入力!$BI$7:$BI$696,報告入力!$A$7:$A$696,$S$132,報告入力!$B$7:$B$696,$A159)</f>
        <v>0</v>
      </c>
      <c r="P159" s="141" t="n">
        <f aca="false">SUM(N159:O159)</f>
        <v>0</v>
      </c>
      <c r="Q159" s="135" t="str">
        <f aca="false">IF(P94=P159,"〇","×")</f>
        <v>〇</v>
      </c>
      <c r="R159" s="135" t="str">
        <f aca="false">IFERROR(INDEX(報告入力!$C$7:$C$696,MATCH($S$132&amp;"|"&amp;$A159,報告入力!$CM$7:$CM$696,0)),"")</f>
        <v>入金確認済</v>
      </c>
    </row>
    <row r="160" s="135" customFormat="true" ht="20.1" hidden="false" customHeight="true" outlineLevel="0" collapsed="false">
      <c r="A160" s="217" t="s">
        <v>188</v>
      </c>
      <c r="B160" s="211"/>
      <c r="C160" s="218"/>
      <c r="D160" s="136" t="n">
        <f aca="false">SUMIFS(報告入力!$BA$7:$BA$696,報告入力!$A$7:$A$696,$S$132,報告入力!$B$7:$B$696,$A160)</f>
        <v>193065</v>
      </c>
      <c r="E160" s="139" t="n">
        <f aca="false">SUMIFS(報告入力!$BB$7:$BB$696,報告入力!$A$7:$A$696,$S$132,報告入力!$B$7:$B$696,$A160)</f>
        <v>15825</v>
      </c>
      <c r="F160" s="138" t="n">
        <f aca="false">SUMIFS(報告入力!$BC$7:$BC$696,報告入力!$A$7:$A$696,$S$132,報告入力!$B$7:$B$696,$A160)</f>
        <v>183</v>
      </c>
      <c r="G160" s="133" t="n">
        <f aca="false">SUM(B160:F160)</f>
        <v>209073</v>
      </c>
      <c r="H160" s="213"/>
      <c r="I160" s="230" t="n">
        <f aca="false">SUMIFS(報告入力!$BE$7:$BE$696,報告入力!$A$7:$A$696,$S$132,報告入力!$B$7:$B$696,$A160)</f>
        <v>109530</v>
      </c>
      <c r="J160" s="133" t="n">
        <f aca="false">SUM(H160:I160)</f>
        <v>109530</v>
      </c>
      <c r="K160" s="213"/>
      <c r="L160" s="230" t="n">
        <f aca="false">SUMIFS(報告入力!$BG$7:$BG$696,報告入力!$A$7:$A$696,$S$132,報告入力!$B$7:$B$696,$A160)</f>
        <v>12956</v>
      </c>
      <c r="M160" s="133" t="n">
        <f aca="false">SUM(K160:L160)</f>
        <v>12956</v>
      </c>
      <c r="N160" s="213"/>
      <c r="O160" s="140" t="n">
        <f aca="false">SUMIFS(報告入力!$BI$7:$BI$696,報告入力!$A$7:$A$696,$S$132,報告入力!$B$7:$B$696,$A160)</f>
        <v>2426</v>
      </c>
      <c r="P160" s="141" t="n">
        <f aca="false">SUM(N160:O160)</f>
        <v>2426</v>
      </c>
      <c r="Q160" s="135" t="str">
        <f aca="false">IF(P95=P160,"〇","×")</f>
        <v>〇</v>
      </c>
      <c r="R160" s="135" t="str">
        <f aca="false">IFERROR(INDEX(報告入力!$C$7:$C$696,MATCH($S$132&amp;"|"&amp;$A160,報告入力!$CM$7:$CM$696,0)),"")</f>
        <v>入金確認済</v>
      </c>
    </row>
    <row r="161" s="135" customFormat="true" ht="20.1" hidden="false" customHeight="true" outlineLevel="0" collapsed="false">
      <c r="A161" s="125" t="s">
        <v>189</v>
      </c>
      <c r="B161" s="142" t="n">
        <f aca="false">SUMIFS(報告入力!$AY$7:$AY$696,報告入力!$A$7:$A$696,$S$132,報告入力!$B$7:$B$696,$A161)</f>
        <v>237900</v>
      </c>
      <c r="C161" s="138" t="n">
        <f aca="false">SUMIFS(報告入力!$AZ$7:$AZ$696,報告入力!$A$7:$A$696,$S$132,報告入力!$B$7:$B$696,$A161)</f>
        <v>19500</v>
      </c>
      <c r="D161" s="136" t="n">
        <f aca="false">SUMIFS(報告入力!$BA$7:$BA$696,報告入力!$A$7:$A$696,$S$132,報告入力!$B$7:$B$696,$A161)</f>
        <v>237900</v>
      </c>
      <c r="E161" s="139" t="n">
        <f aca="false">SUMIFS(報告入力!$BB$7:$BB$696,報告入力!$A$7:$A$696,$S$132,報告入力!$B$7:$B$696,$A161)</f>
        <v>19500</v>
      </c>
      <c r="F161" s="138" t="n">
        <f aca="false">SUMIFS(報告入力!$BC$7:$BC$696,報告入力!$A$7:$A$696,$S$132,報告入力!$B$7:$B$696,$A161)</f>
        <v>225</v>
      </c>
      <c r="G161" s="133" t="n">
        <f aca="false">SUM(B161:F161)</f>
        <v>515025</v>
      </c>
      <c r="H161" s="139" t="n">
        <f aca="false">SUMIFS(報告入力!$BD$7:$BD$696,報告入力!$A$7:$A$696,$S$132,報告入力!$B$7:$B$696,$A161)</f>
        <v>137945</v>
      </c>
      <c r="I161" s="140" t="n">
        <f aca="false">SUMIFS(報告入力!$BE$7:$BE$696,報告入力!$A$7:$A$696,$S$132,報告入力!$B$7:$B$696,$A161)</f>
        <v>138080</v>
      </c>
      <c r="J161" s="141" t="n">
        <f aca="false">SUM(H161:I161)</f>
        <v>276025</v>
      </c>
      <c r="K161" s="139" t="n">
        <f aca="false">SUMIFS(報告入力!$BF$7:$BF$696,報告入力!$A$7:$A$696,$S$132,報告入力!$B$7:$B$696,$A161)</f>
        <v>10744</v>
      </c>
      <c r="L161" s="140" t="n">
        <f aca="false">SUMIFS(報告入力!$BG$7:$BG$696,報告入力!$A$7:$A$696,$S$132,報告入力!$B$7:$B$696,$A161)</f>
        <v>10744</v>
      </c>
      <c r="M161" s="323" t="n">
        <f aca="false">SUM(K161:L161)</f>
        <v>21488</v>
      </c>
      <c r="N161" s="139" t="n">
        <f aca="false">SUMIFS(報告入力!$BH$7:$BH$696,報告入力!$A$7:$A$696,$S$132,報告入力!$B$7:$B$696,$A161)</f>
        <v>3058</v>
      </c>
      <c r="O161" s="140" t="n">
        <f aca="false">SUMIFS(報告入力!$BI$7:$BI$696,報告入力!$A$7:$A$696,$S$132,報告入力!$B$7:$B$696,$A161)</f>
        <v>3059</v>
      </c>
      <c r="P161" s="145" t="n">
        <f aca="false">SUM(N161:O161)</f>
        <v>6117</v>
      </c>
      <c r="Q161" s="135" t="str">
        <f aca="false">IF(P96=P161,"〇","×")</f>
        <v>〇</v>
      </c>
      <c r="R161" s="135" t="str">
        <f aca="false">IFERROR(INDEX(報告入力!$C$7:$C$696,MATCH($S$132&amp;"|"&amp;$A161,報告入力!$CM$7:$CM$696,0)),"")</f>
        <v>入金確認済</v>
      </c>
    </row>
    <row r="162" s="135" customFormat="true" ht="20.1" hidden="false" customHeight="true" outlineLevel="0" collapsed="false">
      <c r="A162" s="219" t="s">
        <v>190</v>
      </c>
      <c r="B162" s="136" t="n">
        <f aca="false">SUMIFS(報告入力!$AY$7:$AY$696,報告入力!$A$7:$A$696,$S$132,報告入力!$B$7:$B$696,$A162)</f>
        <v>40260</v>
      </c>
      <c r="C162" s="138" t="n">
        <f aca="false">SUMIFS(報告入力!$AZ$7:$AZ$696,報告入力!$A$7:$A$696,$S$132,報告入力!$B$7:$B$696,$A162)</f>
        <v>3300</v>
      </c>
      <c r="D162" s="136" t="n">
        <f aca="false">SUMIFS(報告入力!$BA$7:$BA$696,報告入力!$A$7:$A$696,$S$132,報告入力!$B$7:$B$696,$A162)</f>
        <v>40260</v>
      </c>
      <c r="E162" s="139" t="n">
        <f aca="false">SUMIFS(報告入力!$BB$7:$BB$696,報告入力!$A$7:$A$696,$S$132,報告入力!$B$7:$B$696,$A162)</f>
        <v>3300</v>
      </c>
      <c r="F162" s="138" t="n">
        <f aca="false">SUMIFS(報告入力!$BC$7:$BC$696,報告入力!$A$7:$A$696,$S$132,報告入力!$B$7:$B$696,$A162)</f>
        <v>38</v>
      </c>
      <c r="G162" s="133" t="n">
        <f aca="false">SUM(B162:F162)</f>
        <v>87158</v>
      </c>
      <c r="H162" s="139" t="n">
        <f aca="false">SUMIFS(報告入力!$BD$7:$BD$696,報告入力!$A$7:$A$696,$S$132,報告入力!$B$7:$B$696,$A162)</f>
        <v>22818</v>
      </c>
      <c r="I162" s="230" t="n">
        <f aca="false">SUMIFS(報告入力!$BE$7:$BE$696,報告入力!$A$7:$A$696,$S$132,報告入力!$B$7:$B$696,$A162)</f>
        <v>22840</v>
      </c>
      <c r="J162" s="133" t="n">
        <f aca="false">SUM(H162:I162)</f>
        <v>45658</v>
      </c>
      <c r="K162" s="139" t="n">
        <f aca="false">SUMIFS(報告入力!$BF$7:$BF$696,報告入力!$A$7:$A$696,$S$132,報告入力!$B$7:$B$696,$A162)</f>
        <v>0</v>
      </c>
      <c r="L162" s="230" t="n">
        <f aca="false">SUMIFS(報告入力!$BG$7:$BG$696,報告入力!$A$7:$A$696,$S$132,報告入力!$B$7:$B$696,$A162)</f>
        <v>0</v>
      </c>
      <c r="M162" s="133" t="n">
        <f aca="false">SUM(K162:L162)</f>
        <v>0</v>
      </c>
      <c r="N162" s="139" t="n">
        <f aca="false">SUMIFS(報告入力!$BH$7:$BH$696,報告入力!$A$7:$A$696,$S$132,報告入力!$B$7:$B$696,$A162)</f>
        <v>506</v>
      </c>
      <c r="O162" s="140" t="n">
        <f aca="false">SUMIFS(報告入力!$BI$7:$BI$696,報告入力!$A$7:$A$696,$S$132,報告入力!$B$7:$B$696,$A162)</f>
        <v>506</v>
      </c>
      <c r="P162" s="141" t="n">
        <f aca="false">SUM(N162:O162)</f>
        <v>1012</v>
      </c>
      <c r="Q162" s="135" t="str">
        <f aca="false">IF(P97=P162,"〇","×")</f>
        <v>〇</v>
      </c>
      <c r="R162" s="135" t="str">
        <f aca="false">IFERROR(INDEX(報告入力!$C$7:$C$696,MATCH($S$132&amp;"|"&amp;$A162,報告入力!$CM$7:$CM$696,0)),"")</f>
        <v>入金確認済</v>
      </c>
    </row>
    <row r="163" s="135" customFormat="true" ht="18.75" hidden="false" customHeight="true" outlineLevel="0" collapsed="false">
      <c r="A163" s="222" t="s">
        <v>191</v>
      </c>
      <c r="B163" s="136" t="n">
        <f aca="false">SUMIFS(報告入力!$AY$7:$AY$696,報告入力!$A$7:$A$696,$S$132,報告入力!$B$7:$B$696,$A163)</f>
        <v>107970</v>
      </c>
      <c r="C163" s="138" t="n">
        <f aca="false">SUMIFS(報告入力!$AZ$7:$AZ$696,報告入力!$A$7:$A$696,$S$132,報告入力!$B$7:$B$696,$A163)</f>
        <v>8850</v>
      </c>
      <c r="D163" s="136" t="n">
        <f aca="false">SUMIFS(報告入力!$BA$7:$BA$696,報告入力!$A$7:$A$696,$S$132,報告入力!$B$7:$B$696,$A163)</f>
        <v>107970</v>
      </c>
      <c r="E163" s="139" t="n">
        <f aca="false">SUMIFS(報告入力!$BB$7:$BB$696,報告入力!$A$7:$A$696,$S$132,報告入力!$B$7:$B$696,$A163)</f>
        <v>8850</v>
      </c>
      <c r="F163" s="138" t="n">
        <f aca="false">SUMIFS(報告入力!$BC$7:$BC$696,報告入力!$A$7:$A$696,$S$132,報告入力!$B$7:$B$696,$A163)</f>
        <v>102</v>
      </c>
      <c r="G163" s="133" t="n">
        <f aca="false">SUM(B163:F163)</f>
        <v>233742</v>
      </c>
      <c r="H163" s="139" t="n">
        <f aca="false">SUMIFS(報告入力!$BD$7:$BD$696,報告入力!$A$7:$A$696,$S$132,報告入力!$B$7:$B$696,$A163)</f>
        <v>61194</v>
      </c>
      <c r="I163" s="140" t="n">
        <f aca="false">SUMIFS(報告入力!$BE$7:$BE$696,報告入力!$A$7:$A$696,$S$132,報告入力!$B$7:$B$696,$A163)</f>
        <v>61253</v>
      </c>
      <c r="J163" s="323" t="n">
        <f aca="false">SUM(H163:I163)</f>
        <v>122447</v>
      </c>
      <c r="K163" s="139" t="n">
        <f aca="false">SUMIFS(報告入力!$BF$7:$BF$696,報告入力!$A$7:$A$696,$S$132,報告入力!$B$7:$B$696,$A163)</f>
        <v>9322</v>
      </c>
      <c r="L163" s="230" t="n">
        <f aca="false">SUMIFS(報告入力!$BG$7:$BG$696,報告入力!$A$7:$A$696,$S$132,報告入力!$B$7:$B$696,$A163)</f>
        <v>9322</v>
      </c>
      <c r="M163" s="133" t="n">
        <f aca="false">SUM(K163:L163)</f>
        <v>18644</v>
      </c>
      <c r="N163" s="139" t="n">
        <f aca="false">SUMIFS(報告入力!$BH$7:$BH$696,報告入力!$A$7:$A$696,$S$132,報告入力!$B$7:$B$696,$A163)</f>
        <v>1356</v>
      </c>
      <c r="O163" s="140" t="n">
        <f aca="false">SUMIFS(報告入力!$BI$7:$BI$696,報告入力!$A$7:$A$696,$S$132,報告入力!$B$7:$B$696,$A163)</f>
        <v>1357</v>
      </c>
      <c r="P163" s="141" t="n">
        <f aca="false">SUM(N163:O163)</f>
        <v>2713</v>
      </c>
      <c r="Q163" s="135" t="str">
        <f aca="false">IF(P98=P163,"〇","×")</f>
        <v>〇</v>
      </c>
      <c r="R163" s="135" t="str">
        <f aca="false">IFERROR(INDEX(報告入力!$C$7:$C$696,MATCH($S$132&amp;"|"&amp;$A163,報告入力!$CM$7:$CM$696,0)),"")</f>
        <v>入金確認済</v>
      </c>
    </row>
    <row r="164" s="135" customFormat="true" ht="20.1" hidden="false" customHeight="true" outlineLevel="0" collapsed="false">
      <c r="A164" s="125" t="s">
        <v>192</v>
      </c>
      <c r="B164" s="346" t="n">
        <f aca="false">SUMIFS(報告入力!$AY$7:$AY$696,報告入力!$A$7:$A$696,$S$132,報告入力!$B$7:$B$696,$A164)</f>
        <v>746640</v>
      </c>
      <c r="C164" s="347" t="n">
        <f aca="false">SUMIFS(報告入力!$AZ$7:$AZ$696,報告入力!$A$7:$A$696,$S$132,報告入力!$B$7:$B$696,$A164)</f>
        <v>61200</v>
      </c>
      <c r="D164" s="348" t="n">
        <f aca="false">SUMIFS(報告入力!$BA$7:$BA$696,報告入力!$A$7:$A$696,$S$132,報告入力!$B$7:$B$696,$A164)</f>
        <v>718038</v>
      </c>
      <c r="E164" s="349" t="n">
        <f aca="false">SUMIFS(報告入力!$BB$7:$BB$696,報告入力!$A$7:$A$696,$S$132,報告入力!$B$7:$B$696,$A164)</f>
        <v>58125</v>
      </c>
      <c r="F164" s="347" t="n">
        <f aca="false">SUMIFS(報告入力!$BC$7:$BC$696,報告入力!$A$7:$A$696,$S$132,報告入力!$B$7:$B$696,$A164)</f>
        <v>684</v>
      </c>
      <c r="G164" s="133" t="n">
        <f aca="false">SUM(B164:F164)</f>
        <v>1584687</v>
      </c>
      <c r="H164" s="349" t="n">
        <f aca="false">SUMIFS(報告入力!$BD$7:$BD$696,報告入力!$A$7:$A$696,$S$132,報告入力!$B$7:$B$696,$A164)</f>
        <v>423172</v>
      </c>
      <c r="I164" s="350" t="n">
        <f aca="false">SUMIFS(報告入力!$BE$7:$BE$696,報告入力!$A$7:$A$696,$S$132,報告入力!$B$7:$B$696,$A164)</f>
        <v>393389</v>
      </c>
      <c r="J164" s="133" t="n">
        <f aca="false">SUM(H164:I164)</f>
        <v>816561</v>
      </c>
      <c r="K164" s="350" t="n">
        <f aca="false">SUMIFS(報告入力!$BF$7:$BF$696,報告入力!$A$7:$A$696,$S$132,報告入力!$B$7:$B$696,$A164)</f>
        <v>39342</v>
      </c>
      <c r="L164" s="350" t="n">
        <f aca="false">SUMIFS(報告入力!$BG$7:$BG$696,報告入力!$A$7:$A$696,$S$132,報告入力!$B$7:$B$696,$A164)</f>
        <v>39342</v>
      </c>
      <c r="M164" s="133" t="n">
        <f aca="false">SUM(K164:L164)</f>
        <v>78684</v>
      </c>
      <c r="N164" s="350" t="n">
        <f aca="false">SUMIFS(報告入力!$BH$7:$BH$696,報告入力!$A$7:$A$696,$S$132,報告入力!$B$7:$B$696,$A164)</f>
        <v>9380</v>
      </c>
      <c r="O164" s="351" t="n">
        <f aca="false">SUMIFS(報告入力!$BI$7:$BI$696,報告入力!$A$7:$A$696,$S$132,報告入力!$B$7:$B$696,$A164)</f>
        <v>8913</v>
      </c>
      <c r="P164" s="141" t="n">
        <f aca="false">SUM(N164:O164)</f>
        <v>18293</v>
      </c>
      <c r="Q164" s="135" t="str">
        <f aca="false">IF(P99=P164,"〇","×")</f>
        <v>×</v>
      </c>
      <c r="R164" s="135" t="str">
        <f aca="false">IFERROR(INDEX(報告入力!$C$7:$C$696,MATCH($S$132&amp;"|"&amp;$A164,報告入力!$CM$7:$CM$696,0)),"")</f>
        <v>入金確認済</v>
      </c>
    </row>
    <row r="165" s="135" customFormat="true" ht="20.1" hidden="false" customHeight="true" outlineLevel="0" collapsed="false">
      <c r="A165" s="125" t="s">
        <v>193</v>
      </c>
      <c r="B165" s="226"/>
      <c r="C165" s="216"/>
      <c r="D165" s="142" t="n">
        <f aca="false">SUMIFS(報告入力!$BA$7:$BA$696,報告入力!$A$7:$A$696,$S$132,報告入力!$B$7:$B$696,$A165)</f>
        <v>607560</v>
      </c>
      <c r="E165" s="149" t="n">
        <f aca="false">SUMIFS(報告入力!$BB$7:$BB$696,報告入力!$A$7:$A$696,$S$132,報告入力!$B$7:$B$696,$A165)</f>
        <v>49800</v>
      </c>
      <c r="F165" s="148" t="n">
        <f aca="false">SUMIFS(報告入力!$BC$7:$BC$696,報告入力!$A$7:$A$696,$S$132,報告入力!$B$7:$B$696,$A165)</f>
        <v>603</v>
      </c>
      <c r="G165" s="133" t="n">
        <f aca="false">SUM(B165:F165)</f>
        <v>657963</v>
      </c>
      <c r="H165" s="227"/>
      <c r="I165" s="150" t="n">
        <f aca="false">SUMIFS(報告入力!$BE$7:$BE$696,報告入力!$A$7:$A$696,$S$132,報告入力!$B$7:$B$696,$A165)</f>
        <v>344697</v>
      </c>
      <c r="J165" s="141" t="n">
        <f aca="false">SUM(H165:I165)</f>
        <v>344697</v>
      </c>
      <c r="K165" s="227"/>
      <c r="L165" s="230" t="n">
        <f aca="false">SUMIFS(報告入力!$BG$7:$BG$696,報告入力!$A$7:$A$696,$S$132,報告入力!$B$7:$B$696,$A165)</f>
        <v>28203</v>
      </c>
      <c r="M165" s="133" t="n">
        <f aca="false">SUM(K165:L165)</f>
        <v>28203</v>
      </c>
      <c r="N165" s="227"/>
      <c r="O165" s="230" t="n">
        <f aca="false">SUMIFS(報告入力!$BI$7:$BI$696,報告入力!$A$7:$A$696,$S$132,報告入力!$B$7:$B$696,$A165)</f>
        <v>7634</v>
      </c>
      <c r="P165" s="141" t="n">
        <f aca="false">SUM(N165:O165)</f>
        <v>7634</v>
      </c>
      <c r="Q165" s="135" t="str">
        <f aca="false">IF(P100=P165,"〇","×")</f>
        <v>〇</v>
      </c>
      <c r="R165" s="135" t="str">
        <f aca="false">IFERROR(INDEX(報告入力!$C$7:$C$696,MATCH($S$132&amp;"|"&amp;$A165,報告入力!$CM$7:$CM$696,0)),"")</f>
        <v>入金確認済</v>
      </c>
    </row>
    <row r="166" s="135" customFormat="true" ht="20.1" hidden="false" customHeight="true" outlineLevel="0" collapsed="false">
      <c r="A166" s="228" t="s">
        <v>194</v>
      </c>
      <c r="B166" s="211"/>
      <c r="C166" s="218"/>
      <c r="D166" s="136" t="n">
        <f aca="false">SUMIFS(報告入力!$BA$7:$BA$696,報告入力!$A$7:$A$696,$S$132,報告入力!$B$7:$B$696,$A166)</f>
        <v>1056825</v>
      </c>
      <c r="E166" s="139" t="n">
        <f aca="false">SUMIFS(報告入力!$BB$7:$BB$696,報告入力!$A$7:$A$696,$S$132,報告入力!$B$7:$B$696,$A166)</f>
        <v>86625</v>
      </c>
      <c r="F166" s="148" t="n">
        <f aca="false">SUMIFS(報告入力!$BC$7:$BC$696,報告入力!$A$7:$A$696,$S$132,報告入力!$B$7:$B$696,$A166)</f>
        <v>1000</v>
      </c>
      <c r="G166" s="133" t="n">
        <f aca="false">SUM(B166:F166)</f>
        <v>1144450</v>
      </c>
      <c r="H166" s="213"/>
      <c r="I166" s="150" t="n">
        <f aca="false">SUMIFS(報告入力!$BE$7:$BE$696,報告入力!$A$7:$A$696,$S$132,報告入力!$B$7:$B$696,$A166)</f>
        <v>602672</v>
      </c>
      <c r="J166" s="323" t="n">
        <f aca="false">SUM(H166:I166)</f>
        <v>602672</v>
      </c>
      <c r="K166" s="213"/>
      <c r="L166" s="230" t="n">
        <f aca="false">SUMIFS(報告入力!$BG$7:$BG$696,報告入力!$A$7:$A$696,$S$132,報告入力!$B$7:$B$696,$A166)</f>
        <v>86347</v>
      </c>
      <c r="M166" s="323" t="n">
        <f aca="false">SUM(K166:L166)</f>
        <v>86347</v>
      </c>
      <c r="N166" s="213"/>
      <c r="O166" s="230" t="n">
        <f aca="false">SUMIFS(報告入力!$BI$7:$BI$696,報告入力!$A$7:$A$696,$S$132,報告入力!$B$7:$B$696,$A166)</f>
        <v>13350</v>
      </c>
      <c r="P166" s="145" t="n">
        <f aca="false">SUM(N166:O166)</f>
        <v>13350</v>
      </c>
      <c r="Q166" s="135" t="str">
        <f aca="false">IF(P101=P166,"〇","×")</f>
        <v>〇</v>
      </c>
      <c r="R166" s="135" t="str">
        <f aca="false">IFERROR(INDEX(報告入力!$C$7:$C$696,MATCH($S$132&amp;"|"&amp;$A166,報告入力!$CM$7:$CM$696,0)),"")</f>
        <v>入金確認済</v>
      </c>
    </row>
    <row r="167" s="135" customFormat="true" ht="20.1" hidden="false" customHeight="true" outlineLevel="0" collapsed="false">
      <c r="A167" s="229" t="s">
        <v>195</v>
      </c>
      <c r="B167" s="211"/>
      <c r="C167" s="218"/>
      <c r="D167" s="136" t="n">
        <f aca="false">SUMIFS(報告入力!$BA$7:$BA$696,報告入力!$A$7:$A$696,$S$132,報告入力!$B$7:$B$696,$A167)</f>
        <v>0</v>
      </c>
      <c r="E167" s="139" t="n">
        <f aca="false">SUMIFS(報告入力!$BB$7:$BB$696,報告入力!$A$7:$A$696,$S$132,報告入力!$B$7:$B$696,$A167)</f>
        <v>0</v>
      </c>
      <c r="F167" s="148" t="n">
        <f aca="false">SUMIFS(報告入力!$BC$7:$BC$696,報告入力!$A$7:$A$696,$S$132,報告入力!$B$7:$B$696,$A167)</f>
        <v>0</v>
      </c>
      <c r="G167" s="133" t="n">
        <f aca="false">SUM(B167:F167)</f>
        <v>0</v>
      </c>
      <c r="H167" s="213"/>
      <c r="I167" s="150" t="n">
        <f aca="false">SUMIFS(報告入力!$BE$7:$BE$696,報告入力!$A$7:$A$696,$S$132,報告入力!$B$7:$B$696,$A167)</f>
        <v>0</v>
      </c>
      <c r="J167" s="323" t="n">
        <f aca="false">SUM(H167:I167)</f>
        <v>0</v>
      </c>
      <c r="K167" s="213"/>
      <c r="L167" s="230" t="n">
        <f aca="false">SUMIFS(報告入力!$BG$7:$BG$696,報告入力!$A$7:$A$696,$S$132,報告入力!$B$7:$B$696,$A167)</f>
        <v>0</v>
      </c>
      <c r="M167" s="323" t="n">
        <f aca="false">SUM(K167:L167)</f>
        <v>0</v>
      </c>
      <c r="N167" s="213"/>
      <c r="O167" s="230" t="n">
        <f aca="false">SUMIFS(報告入力!$BI$7:$BI$696,報告入力!$A$7:$A$696,$S$132,報告入力!$B$7:$B$696,$A167)</f>
        <v>0</v>
      </c>
      <c r="P167" s="145" t="n">
        <f aca="false">SUM(N167:O167)</f>
        <v>0</v>
      </c>
      <c r="Q167" s="135" t="str">
        <f aca="false">IF(P102=P167,"〇","×")</f>
        <v>〇</v>
      </c>
      <c r="R167" s="135" t="str">
        <f aca="false">IFERROR(INDEX(報告入力!$C$7:$C$696,MATCH($S$132&amp;"|"&amp;$A167,報告入力!$CM$7:$CM$696,0)),"")</f>
        <v>入金確認済</v>
      </c>
    </row>
    <row r="168" s="135" customFormat="true" ht="20.1" hidden="false" customHeight="true" outlineLevel="0" collapsed="false">
      <c r="A168" s="125" t="s">
        <v>196</v>
      </c>
      <c r="B168" s="211"/>
      <c r="C168" s="218"/>
      <c r="D168" s="136" t="n">
        <f aca="false">SUMIFS(報告入力!$BA$7:$BA$696,報告入力!$A$7:$A$696,$S$132,報告入力!$B$7:$B$696,$A168)</f>
        <v>405345</v>
      </c>
      <c r="E168" s="139" t="n">
        <f aca="false">SUMIFS(報告入力!$BB$7:$BB$696,報告入力!$A$7:$A$696,$S$132,報告入力!$B$7:$B$696,$A168)</f>
        <v>33225</v>
      </c>
      <c r="F168" s="148" t="n">
        <f aca="false">SUMIFS(報告入力!$BC$7:$BC$696,報告入力!$A$7:$A$696,$S$132,報告入力!$B$7:$B$696,$A168)</f>
        <v>383</v>
      </c>
      <c r="G168" s="133" t="n">
        <f aca="false">SUM(B168:F168)</f>
        <v>438953</v>
      </c>
      <c r="H168" s="213"/>
      <c r="I168" s="150" t="n">
        <f aca="false">SUMIFS(報告入力!$BE$7:$BE$696,報告入力!$A$7:$A$696,$S$132,報告入力!$B$7:$B$696,$A168)</f>
        <v>229959</v>
      </c>
      <c r="J168" s="141" t="n">
        <f aca="false">SUM(H168:I168)</f>
        <v>229959</v>
      </c>
      <c r="K168" s="213"/>
      <c r="L168" s="230" t="n">
        <f aca="false">SUMIFS(報告入力!$BG$7:$BG$696,報告入力!$A$7:$A$696,$S$132,報告入力!$B$7:$B$696,$A168)</f>
        <v>34997</v>
      </c>
      <c r="M168" s="133" t="n">
        <f aca="false">SUM(K168:L168)</f>
        <v>34997</v>
      </c>
      <c r="N168" s="213"/>
      <c r="O168" s="230" t="n">
        <f aca="false">SUMIFS(報告入力!$BI$7:$BI$696,報告入力!$A$7:$A$696,$S$132,報告入力!$B$7:$B$696,$A168)</f>
        <v>5093</v>
      </c>
      <c r="P168" s="141" t="n">
        <f aca="false">SUM(N168:O168)</f>
        <v>5093</v>
      </c>
      <c r="Q168" s="135" t="str">
        <f aca="false">IF(P103=P168,"〇","×")</f>
        <v>〇</v>
      </c>
      <c r="R168" s="135" t="str">
        <f aca="false">IFERROR(INDEX(報告入力!$C$7:$C$696,MATCH($S$132&amp;"|"&amp;$A168,報告入力!$CM$7:$CM$696,0)),"")</f>
        <v>入金確認済</v>
      </c>
    </row>
    <row r="169" s="135" customFormat="true" ht="20.1" hidden="false" customHeight="true" outlineLevel="0" collapsed="false">
      <c r="A169" s="146" t="s">
        <v>197</v>
      </c>
      <c r="B169" s="142" t="n">
        <f aca="false">SUMIFS(報告入力!$AY$7:$AY$696,報告入力!$A$7:$A$696,$S$132,報告入力!$B$7:$B$696,$A169)</f>
        <v>148230</v>
      </c>
      <c r="C169" s="138" t="n">
        <f aca="false">SUMIFS(報告入力!$AZ$7:$AZ$696,報告入力!$A$7:$A$696,$S$132,報告入力!$B$7:$B$696,$A169)</f>
        <v>12150</v>
      </c>
      <c r="D169" s="136" t="n">
        <f aca="false">SUMIFS(報告入力!$BA$7:$BA$696,報告入力!$A$7:$A$696,$S$132,報告入力!$B$7:$B$696,$A169)</f>
        <v>148230</v>
      </c>
      <c r="E169" s="139" t="n">
        <f aca="false">SUMIFS(報告入力!$BB$7:$BB$696,報告入力!$A$7:$A$696,$S$132,報告入力!$B$7:$B$696,$A169)</f>
        <v>12150</v>
      </c>
      <c r="F169" s="138" t="n">
        <f aca="false">SUMIFS(報告入力!$BC$7:$BC$696,報告入力!$A$7:$A$696,$S$132,報告入力!$B$7:$B$696,$A169)</f>
        <v>140</v>
      </c>
      <c r="G169" s="133" t="n">
        <f aca="false">SUM(B169:F169)</f>
        <v>320900</v>
      </c>
      <c r="H169" s="139" t="n">
        <f aca="false">SUMIFS(報告入力!$BD$7:$BD$696,報告入力!$A$7:$A$696,$S$132,報告入力!$B$7:$B$696,$A169)</f>
        <v>87123</v>
      </c>
      <c r="I169" s="230" t="n">
        <f aca="false">SUMIFS(報告入力!$BE$7:$BE$696,報告入力!$A$7:$A$696,$S$132,報告入力!$B$7:$B$696,$A169)</f>
        <v>87208</v>
      </c>
      <c r="J169" s="133" t="n">
        <f aca="false">SUM(H169:I169)</f>
        <v>174331</v>
      </c>
      <c r="K169" s="230" t="n">
        <f aca="false">SUMIFS(報告入力!$BF$7:$BF$696,報告入力!$A$7:$A$696,$S$132,報告入力!$B$7:$B$696,$A169)</f>
        <v>10033</v>
      </c>
      <c r="L169" s="230" t="n">
        <f aca="false">SUMIFS(報告入力!$BG$7:$BG$696,報告入力!$A$7:$A$696,$S$132,報告入力!$B$7:$B$696,$A169)</f>
        <v>10033</v>
      </c>
      <c r="M169" s="133" t="n">
        <f aca="false">SUM(K169:L169)</f>
        <v>20066</v>
      </c>
      <c r="N169" s="230" t="n">
        <f aca="false">SUMIFS(報告入力!$BH$7:$BH$696,報告入力!$A$7:$A$696,$S$132,報告入力!$B$7:$B$696,$A169)</f>
        <v>1931</v>
      </c>
      <c r="O169" s="230" t="n">
        <f aca="false">SUMIFS(報告入力!$BI$7:$BI$696,報告入力!$A$7:$A$696,$S$132,報告入力!$B$7:$B$696,$A169)</f>
        <v>1932</v>
      </c>
      <c r="P169" s="141" t="n">
        <f aca="false">SUM(N169:O169)</f>
        <v>3863</v>
      </c>
      <c r="Q169" s="135" t="str">
        <f aca="false">IF(P104=P169,"〇","×")</f>
        <v>〇</v>
      </c>
      <c r="R169" s="135" t="str">
        <f aca="false">IFERROR(INDEX(報告入力!$C$7:$C$696,MATCH($S$132&amp;"|"&amp;$A169,報告入力!$CM$7:$CM$696,0)),"")</f>
        <v>入金確認済</v>
      </c>
    </row>
    <row r="170" s="135" customFormat="true" ht="20.1" hidden="false" customHeight="true" outlineLevel="0" collapsed="false">
      <c r="A170" s="231" t="s">
        <v>219</v>
      </c>
      <c r="B170" s="226"/>
      <c r="C170" s="216"/>
      <c r="D170" s="142" t="n">
        <f aca="false">SUMIFS(報告入力!$BA$7:$BA$696,報告入力!$A$7:$A$696,$S$132,報告入力!$B$7:$B$696,$A170)</f>
        <v>455670</v>
      </c>
      <c r="E170" s="149" t="n">
        <f aca="false">SUMIFS(報告入力!$BB$7:$BB$696,報告入力!$A$7:$A$696,$S$132,報告入力!$B$7:$B$696,$A170)</f>
        <v>37350</v>
      </c>
      <c r="F170" s="148" t="n">
        <f aca="false">SUMIFS(報告入力!$BC$7:$BC$696,報告入力!$A$7:$A$696,$S$132,報告入力!$B$7:$B$696,$A170)</f>
        <v>432</v>
      </c>
      <c r="G170" s="133" t="n">
        <f aca="false">SUM(B170:F170)</f>
        <v>493452</v>
      </c>
      <c r="H170" s="227"/>
      <c r="I170" s="230" t="n">
        <f aca="false">SUMIFS(報告入力!$BE$7:$BE$696,報告入力!$A$7:$A$696,$S$132,報告入力!$B$7:$B$696,$A170)</f>
        <v>263702</v>
      </c>
      <c r="J170" s="323" t="n">
        <f aca="false">SUM(H170:I170)</f>
        <v>263702</v>
      </c>
      <c r="K170" s="227"/>
      <c r="L170" s="230" t="n">
        <f aca="false">SUMIFS(報告入力!$BG$7:$BG$696,報告入力!$A$7:$A$696,$S$132,報告入力!$B$7:$B$696,$A170)</f>
        <v>21093</v>
      </c>
      <c r="M170" s="133" t="n">
        <f aca="false">SUM(K170:L170)</f>
        <v>21093</v>
      </c>
      <c r="N170" s="227"/>
      <c r="O170" s="230" t="n">
        <f aca="false">SUMIFS(報告入力!$BI$7:$BI$696,報告入力!$A$7:$A$696,$S$132,報告入力!$B$7:$B$696,$A170)</f>
        <v>5842</v>
      </c>
      <c r="P170" s="141" t="n">
        <f aca="false">SUM(N170:O170)</f>
        <v>5842</v>
      </c>
      <c r="Q170" s="135" t="str">
        <f aca="false">IF(P105=P170,"〇","×")</f>
        <v>〇</v>
      </c>
      <c r="R170" s="135" t="str">
        <f aca="false">IFERROR(INDEX(報告入力!$C$7:$C$696,MATCH($S$132&amp;"|"&amp;$A170,報告入力!$CM$7:$CM$696,0)),"")</f>
        <v>入金確認済</v>
      </c>
    </row>
    <row r="171" s="135" customFormat="true" ht="20.1" hidden="false" customHeight="true" outlineLevel="0" collapsed="false">
      <c r="A171" s="214" t="s">
        <v>199</v>
      </c>
      <c r="B171" s="136" t="n">
        <f aca="false">SUMIFS(報告入力!$AY$7:$AY$696,報告入力!$A$7:$A$696,$S$132,報告入力!$B$7:$B$696,$A171)</f>
        <v>56730</v>
      </c>
      <c r="C171" s="138" t="n">
        <f aca="false">SUMIFS(報告入力!$AZ$7:$AZ$696,報告入力!$A$7:$A$696,$S$132,報告入力!$B$7:$B$696,$A171)</f>
        <v>4650</v>
      </c>
      <c r="D171" s="136" t="n">
        <f aca="false">SUMIFS(報告入力!$BA$7:$BA$696,報告入力!$A$7:$A$696,$S$132,報告入力!$B$7:$B$696,$A171)</f>
        <v>56730</v>
      </c>
      <c r="E171" s="139" t="n">
        <f aca="false">SUMIFS(報告入力!$BB$7:$BB$696,報告入力!$A$7:$A$696,$S$132,報告入力!$B$7:$B$696,$A171)</f>
        <v>4650</v>
      </c>
      <c r="F171" s="138" t="n">
        <f aca="false">SUMIFS(報告入力!$BC$7:$BC$696,報告入力!$A$7:$A$696,$S$132,報告入力!$B$7:$B$696,$A171)</f>
        <v>53</v>
      </c>
      <c r="G171" s="133" t="n">
        <f aca="false">SUM(B171:F171)</f>
        <v>122813</v>
      </c>
      <c r="H171" s="139" t="n">
        <f aca="false">SUMIFS(報告入力!$BD$7:$BD$696,報告入力!$A$7:$A$696,$S$132,報告入力!$B$7:$B$696,$A171)</f>
        <v>32153</v>
      </c>
      <c r="I171" s="140" t="n">
        <f aca="false">SUMIFS(報告入力!$BE$7:$BE$696,報告入力!$A$7:$A$696,$S$132,報告入力!$B$7:$B$696,$A171)</f>
        <v>32184</v>
      </c>
      <c r="J171" s="323" t="n">
        <f aca="false">SUM(H171:I171)</f>
        <v>64337</v>
      </c>
      <c r="K171" s="230" t="n">
        <f aca="false">SUMIFS(報告入力!$BF$7:$BF$696,報告入力!$A$7:$A$696,$S$132,報告入力!$B$7:$B$696,$A171)</f>
        <v>4898</v>
      </c>
      <c r="L171" s="230" t="n">
        <f aca="false">SUMIFS(報告入力!$BG$7:$BG$696,報告入力!$A$7:$A$696,$S$132,報告入力!$B$7:$B$696,$A171)</f>
        <v>4898</v>
      </c>
      <c r="M171" s="323" t="n">
        <f aca="false">SUM(K171:L171)</f>
        <v>9796</v>
      </c>
      <c r="N171" s="230" t="n">
        <f aca="false">SUMIFS(報告入力!$BH$7:$BH$696,報告入力!$A$7:$A$696,$S$132,報告入力!$B$7:$B$696,$A171)</f>
        <v>713</v>
      </c>
      <c r="O171" s="230" t="n">
        <f aca="false">SUMIFS(報告入力!$BI$7:$BI$696,報告入力!$A$7:$A$696,$S$132,報告入力!$B$7:$B$696,$A171)</f>
        <v>713</v>
      </c>
      <c r="P171" s="145" t="n">
        <f aca="false">SUM(N171:O171)</f>
        <v>1426</v>
      </c>
      <c r="Q171" s="135" t="str">
        <f aca="false">IF(P106=P171,"〇","×")</f>
        <v>〇</v>
      </c>
      <c r="R171" s="135" t="str">
        <f aca="false">IFERROR(INDEX(報告入力!$C$7:$C$696,MATCH($S$132&amp;"|"&amp;$A171,報告入力!$CM$7:$CM$696,0)),"")</f>
        <v>入金確認済</v>
      </c>
    </row>
    <row r="172" s="135" customFormat="true" ht="20.1" hidden="false" customHeight="true" outlineLevel="0" collapsed="false">
      <c r="A172" s="214" t="s">
        <v>200</v>
      </c>
      <c r="B172" s="136" t="n">
        <f aca="false">SUMIFS(報告入力!$AY$7:$AY$696,報告入力!$A$7:$A$696,$S$132,報告入力!$B$7:$B$696,$A172)</f>
        <v>59475</v>
      </c>
      <c r="C172" s="138" t="n">
        <f aca="false">SUMIFS(報告入力!$AZ$7:$AZ$696,報告入力!$A$7:$A$696,$S$132,報告入力!$B$7:$B$696,$A172)</f>
        <v>4875</v>
      </c>
      <c r="D172" s="136" t="n">
        <f aca="false">SUMIFS(報告入力!$BA$7:$BA$696,報告入力!$A$7:$A$696,$S$132,報告入力!$B$7:$B$696,$A172)</f>
        <v>59475</v>
      </c>
      <c r="E172" s="139" t="n">
        <f aca="false">SUMIFS(報告入力!$BB$7:$BB$696,報告入力!$A$7:$A$696,$S$132,報告入力!$B$7:$B$696,$A172)</f>
        <v>4875</v>
      </c>
      <c r="F172" s="138" t="n">
        <f aca="false">SUMIFS(報告入力!$BC$7:$BC$696,報告入力!$A$7:$A$696,$S$132,報告入力!$B$7:$B$696,$A172)</f>
        <v>56</v>
      </c>
      <c r="G172" s="133" t="n">
        <f aca="false">SUM(B172:F172)</f>
        <v>128756</v>
      </c>
      <c r="H172" s="139" t="n">
        <f aca="false">SUMIFS(報告入力!$BD$7:$BD$696,報告入力!$A$7:$A$696,$S$132,報告入力!$B$7:$B$696,$A172)</f>
        <v>38895</v>
      </c>
      <c r="I172" s="140" t="n">
        <f aca="false">SUMIFS(報告入力!$BE$7:$BE$696,報告入力!$A$7:$A$696,$S$132,報告入力!$B$7:$B$696,$A172)</f>
        <v>38932</v>
      </c>
      <c r="J172" s="323" t="n">
        <f aca="false">SUM(H172:I172)</f>
        <v>77827</v>
      </c>
      <c r="K172" s="230" t="n">
        <f aca="false">SUMIFS(報告入力!$BF$7:$BF$696,報告入力!$A$7:$A$696,$S$132,報告入力!$B$7:$B$696,$A172)</f>
        <v>5925</v>
      </c>
      <c r="L172" s="230" t="n">
        <f aca="false">SUMIFS(報告入力!$BG$7:$BG$696,報告入力!$A$7:$A$696,$S$132,報告入力!$B$7:$B$696,$A172)</f>
        <v>5925</v>
      </c>
      <c r="M172" s="133" t="n">
        <f aca="false">SUM(K172:L172)</f>
        <v>11850</v>
      </c>
      <c r="N172" s="230" t="n">
        <f aca="false">SUMIFS(報告入力!$BH$7:$BH$696,報告入力!$A$7:$A$696,$S$132,報告入力!$B$7:$B$696,$A172)</f>
        <v>862</v>
      </c>
      <c r="O172" s="230" t="n">
        <f aca="false">SUMIFS(報告入力!$BI$7:$BI$696,報告入力!$A$7:$A$696,$S$132,報告入力!$B$7:$B$696,$A172)</f>
        <v>862</v>
      </c>
      <c r="P172" s="141" t="n">
        <f aca="false">SUM(N172:O172)</f>
        <v>1724</v>
      </c>
      <c r="Q172" s="135" t="str">
        <f aca="false">IF(P107=P172,"〇","×")</f>
        <v>〇</v>
      </c>
      <c r="R172" s="135" t="str">
        <f aca="false">IFERROR(INDEX(報告入力!$C$7:$C$696,MATCH($S$132&amp;"|"&amp;$A172,報告入力!$CM$7:$CM$696,0)),"")</f>
        <v>入金確認済</v>
      </c>
    </row>
    <row r="173" s="135" customFormat="true" ht="20.1" hidden="false" customHeight="true" outlineLevel="0" collapsed="false">
      <c r="A173" s="214" t="s">
        <v>201</v>
      </c>
      <c r="B173" s="136" t="n">
        <f aca="false">SUMIFS(報告入力!$AY$7:$AY$696,報告入力!$A$7:$A$696,$S$132,報告入力!$B$7:$B$696,$A173)</f>
        <v>37515</v>
      </c>
      <c r="C173" s="138" t="n">
        <f aca="false">SUMIFS(報告入力!$AZ$7:$AZ$696,報告入力!$A$7:$A$696,$S$132,報告入力!$B$7:$B$696,$A173)</f>
        <v>3075</v>
      </c>
      <c r="D173" s="136" t="n">
        <f aca="false">SUMIFS(報告入力!$BA$7:$BA$696,報告入力!$A$7:$A$696,$S$132,報告入力!$B$7:$B$696,$A173)</f>
        <v>37515</v>
      </c>
      <c r="E173" s="139" t="n">
        <f aca="false">SUMIFS(報告入力!$BB$7:$BB$696,報告入力!$A$7:$A$696,$S$132,報告入力!$B$7:$B$696,$A173)</f>
        <v>3075</v>
      </c>
      <c r="F173" s="138" t="n">
        <f aca="false">SUMIFS(報告入力!$BC$7:$BC$696,報告入力!$A$7:$A$696,$S$132,報告入力!$B$7:$B$696,$A173)</f>
        <v>35</v>
      </c>
      <c r="G173" s="133" t="n">
        <f aca="false">SUM(B173:F173)</f>
        <v>81215</v>
      </c>
      <c r="H173" s="139" t="n">
        <f aca="false">SUMIFS(報告入力!$BD$7:$BD$696,報告入力!$A$7:$A$696,$S$132,報告入力!$B$7:$B$696,$A173)</f>
        <v>21262</v>
      </c>
      <c r="I173" s="140" t="n">
        <f aca="false">SUMIFS(報告入力!$BE$7:$BE$696,報告入力!$A$7:$A$696,$S$132,報告入力!$B$7:$B$696,$A173)</f>
        <v>21283</v>
      </c>
      <c r="J173" s="141" t="n">
        <f aca="false">SUM(H173:I173)</f>
        <v>42545</v>
      </c>
      <c r="K173" s="139" t="n">
        <f aca="false">SUMIFS(報告入力!$BF$7:$BF$696,報告入力!$A$7:$A$696,$S$132,報告入力!$B$7:$B$696,$A173)</f>
        <v>0</v>
      </c>
      <c r="L173" s="140" t="n">
        <f aca="false">SUMIFS(報告入力!$BG$7:$BG$696,報告入力!$A$7:$A$696,$S$132,報告入力!$B$7:$B$696,$A173)</f>
        <v>0</v>
      </c>
      <c r="M173" s="323" t="n">
        <f aca="false">SUM(K173:L173)</f>
        <v>0</v>
      </c>
      <c r="N173" s="139" t="n">
        <f aca="false">SUMIFS(報告入力!$BH$7:$BH$696,報告入力!$A$7:$A$696,$S$132,報告入力!$B$7:$B$696,$A173)</f>
        <v>471</v>
      </c>
      <c r="O173" s="140" t="n">
        <f aca="false">SUMIFS(報告入力!$BI$7:$BI$696,報告入力!$A$7:$A$696,$S$132,報告入力!$B$7:$B$696,$A173)</f>
        <v>471</v>
      </c>
      <c r="P173" s="145" t="n">
        <f aca="false">SUM(N173:O173)</f>
        <v>942</v>
      </c>
      <c r="Q173" s="135" t="str">
        <f aca="false">IF(P108=P173,"〇","×")</f>
        <v>〇</v>
      </c>
      <c r="R173" s="135" t="str">
        <f aca="false">IFERROR(INDEX(報告入力!$C$7:$C$696,MATCH($S$132&amp;"|"&amp;$A173,報告入力!$CM$7:$CM$696,0)),"")</f>
        <v>入金確認済</v>
      </c>
    </row>
    <row r="174" s="135" customFormat="true" ht="20.1" hidden="false" customHeight="true" outlineLevel="0" collapsed="false">
      <c r="A174" s="352" t="s">
        <v>202</v>
      </c>
      <c r="B174" s="142" t="n">
        <f aca="false">SUMIFS(報告入力!$AY$7:$AY$696,報告入力!$A$7:$A$696,$S$132,報告入力!$B$7:$B$696,$A174)</f>
        <v>1201395</v>
      </c>
      <c r="C174" s="138" t="n">
        <f aca="false">SUMIFS(報告入力!$AZ$7:$AZ$696,報告入力!$A$7:$A$696,$S$132,報告入力!$B$7:$B$696,$A174)</f>
        <v>98475</v>
      </c>
      <c r="D174" s="136" t="n">
        <f aca="false">SUMIFS(報告入力!$BA$7:$BA$696,報告入力!$A$7:$A$696,$S$132,報告入力!$B$7:$B$696,$A174)</f>
        <v>1201395</v>
      </c>
      <c r="E174" s="139" t="n">
        <f aca="false">SUMIFS(報告入力!$BB$7:$BB$696,報告入力!$A$7:$A$696,$S$132,報告入力!$B$7:$B$696,$A174)</f>
        <v>98475</v>
      </c>
      <c r="F174" s="138" t="n">
        <f aca="false">SUMIFS(報告入力!$BC$7:$BC$696,報告入力!$A$7:$A$696,$S$132,報告入力!$B$7:$B$696,$A174)</f>
        <v>1208</v>
      </c>
      <c r="G174" s="133" t="n">
        <f aca="false">SUM(B174:F174)</f>
        <v>2600948</v>
      </c>
      <c r="H174" s="139" t="n">
        <f aca="false">SUMIFS(報告入力!$BD$7:$BD$696,報告入力!$A$7:$A$696,$S$132,報告入力!$B$7:$B$696,$A174)</f>
        <v>690245</v>
      </c>
      <c r="I174" s="230" t="n">
        <f aca="false">SUMIFS(報告入力!$BE$7:$BE$696,報告入力!$A$7:$A$696,$S$132,報告入力!$B$7:$B$696,$A174)</f>
        <v>690961</v>
      </c>
      <c r="J174" s="323" t="n">
        <f aca="false">SUM(H174:I174)</f>
        <v>1381206</v>
      </c>
      <c r="K174" s="230" t="n">
        <f aca="false">SUMIFS(報告入力!$BF$7:$BF$696,報告入力!$A$7:$A$696,$S$132,報告入力!$B$7:$B$696,$A174)</f>
        <v>79632</v>
      </c>
      <c r="L174" s="230" t="n">
        <f aca="false">SUMIFS(報告入力!$BG$7:$BG$696,報告入力!$A$7:$A$696,$S$132,報告入力!$B$7:$B$696,$A174)</f>
        <v>79632</v>
      </c>
      <c r="M174" s="133" t="n">
        <f aca="false">SUM(K174:L174)</f>
        <v>159264</v>
      </c>
      <c r="N174" s="230" t="n">
        <f aca="false">SUMIFS(報告入力!$BH$7:$BH$696,報告入力!$A$7:$A$696,$S$132,報告入力!$B$7:$B$696,$A174)</f>
        <v>15300</v>
      </c>
      <c r="O174" s="230" t="n">
        <f aca="false">SUMIFS(報告入力!$BI$7:$BI$696,報告入力!$A$7:$A$696,$S$132,報告入力!$B$7:$B$696,$A174)</f>
        <v>15306</v>
      </c>
      <c r="P174" s="141" t="n">
        <f aca="false">SUM(N174:O174)</f>
        <v>30606</v>
      </c>
      <c r="Q174" s="135" t="str">
        <f aca="false">IF(P109=P174,"〇","×")</f>
        <v>〇</v>
      </c>
      <c r="R174" s="135" t="str">
        <f aca="false">IFERROR(INDEX(報告入力!$C$7:$C$696,MATCH($S$132&amp;"|"&amp;$A174,報告入力!$CM$7:$CM$696,0)),"")</f>
        <v>入金確認済</v>
      </c>
    </row>
    <row r="175" s="135" customFormat="true" ht="20.1" hidden="false" customHeight="true" outlineLevel="0" collapsed="false">
      <c r="A175" s="146" t="s">
        <v>203</v>
      </c>
      <c r="B175" s="226"/>
      <c r="C175" s="216"/>
      <c r="D175" s="142" t="n">
        <f aca="false">SUMIFS(報告入力!$BA$7:$BA$696,報告入力!$A$7:$A$696,$S$132,報告入力!$B$7:$B$696,$A175)</f>
        <v>242475</v>
      </c>
      <c r="E175" s="143" t="n">
        <f aca="false">SUMIFS(報告入力!$BB$7:$BB$696,報告入力!$A$7:$A$696,$S$132,報告入力!$B$7:$B$696,$A175)</f>
        <v>19875</v>
      </c>
      <c r="F175" s="148" t="n">
        <f aca="false">SUMIFS(報告入力!$BC$7:$BC$696,報告入力!$A$7:$A$696,$S$132,報告入力!$B$7:$B$696,$A175)</f>
        <v>230</v>
      </c>
      <c r="G175" s="133" t="n">
        <f aca="false">SUM(B175:F175)</f>
        <v>262580</v>
      </c>
      <c r="H175" s="227"/>
      <c r="I175" s="230" t="n">
        <f aca="false">SUMIFS(報告入力!$BE$7:$BE$696,報告入力!$A$7:$A$696,$S$132,報告入力!$B$7:$B$696,$A175)</f>
        <v>140676</v>
      </c>
      <c r="J175" s="141" t="n">
        <f aca="false">SUM(H175:I175)</f>
        <v>140676</v>
      </c>
      <c r="K175" s="227"/>
      <c r="L175" s="230" t="n">
        <f aca="false">SUMIFS(報告入力!$BG$7:$BG$696,報告入力!$A$7:$A$696,$S$132,報告入力!$B$7:$B$696,$A175)</f>
        <v>10507</v>
      </c>
      <c r="M175" s="323" t="n">
        <f aca="false">SUM(K175:L175)</f>
        <v>10507</v>
      </c>
      <c r="N175" s="227"/>
      <c r="O175" s="230" t="n">
        <f aca="false">SUMIFS(報告入力!$BI$7:$BI$696,報告入力!$A$7:$A$696,$S$132,報告入力!$B$7:$B$696,$A175)</f>
        <v>3116</v>
      </c>
      <c r="P175" s="145" t="n">
        <f aca="false">SUM(N175:O175)</f>
        <v>3116</v>
      </c>
      <c r="Q175" s="135" t="str">
        <f aca="false">IF(P110=P175,"〇","×")</f>
        <v>〇</v>
      </c>
      <c r="R175" s="135" t="str">
        <f aca="false">IFERROR(INDEX(報告入力!$C$7:$C$696,MATCH($S$132&amp;"|"&amp;$A175,報告入力!$CM$7:$CM$696,0)),"")</f>
        <v>入金確認済</v>
      </c>
    </row>
    <row r="176" s="135" customFormat="true" ht="19.5" hidden="false" customHeight="true" outlineLevel="0" collapsed="false">
      <c r="A176" s="232" t="s">
        <v>204</v>
      </c>
      <c r="B176" s="142" t="n">
        <f aca="false">SUMIFS(報告入力!$AY$7:$AY$696,報告入力!$A$7:$A$696,$S$132,報告入力!$B$7:$B$696,$A176)</f>
        <v>127369830</v>
      </c>
      <c r="C176" s="138" t="n">
        <f aca="false">SUMIFS(報告入力!$AZ$7:$AZ$696,報告入力!$A$7:$A$696,$S$132,報告入力!$B$7:$B$696,$A176)</f>
        <v>10437000</v>
      </c>
      <c r="D176" s="136" t="n">
        <f aca="false">SUMIFS(報告入力!$BA$7:$BA$696,報告入力!$A$7:$A$696,$S$132,報告入力!$B$7:$B$696,$A176)</f>
        <v>185771486</v>
      </c>
      <c r="E176" s="139" t="n">
        <f aca="false">SUMIFS(報告入力!$BB$7:$BB$696,報告入力!$A$7:$A$696,$S$132,報告入力!$B$7:$B$696,$A176)</f>
        <v>10437000</v>
      </c>
      <c r="F176" s="138" t="n">
        <f aca="false">SUMIFS(報告入力!$BC$7:$BC$696,報告入力!$A$7:$A$696,$S$132,報告入力!$B$7:$B$696,$A176)</f>
        <v>126968</v>
      </c>
      <c r="G176" s="133" t="n">
        <f aca="false">SUM(B176:F176)</f>
        <v>334142284</v>
      </c>
      <c r="H176" s="139" t="n">
        <f aca="false">SUMIFS(報告入力!$BD$7:$BD$696,報告入力!$A$7:$A$696,$S$132,報告入力!$B$7:$B$696,$A176)</f>
        <v>94159487</v>
      </c>
      <c r="I176" s="230" t="n">
        <f aca="false">SUMIFS(報告入力!$BE$7:$BE$696,報告入力!$A$7:$A$696,$S$132,報告入力!$B$7:$B$696,$A176)</f>
        <v>94264854</v>
      </c>
      <c r="J176" s="133" t="n">
        <f aca="false">SUM(H176:I176)</f>
        <v>188424341</v>
      </c>
      <c r="K176" s="230" t="n">
        <f aca="false">SUMIFS(報告入力!$BF$7:$BF$696,報告入力!$A$7:$A$696,$S$132,報告入力!$B$7:$B$696,$A176)</f>
        <v>7969836</v>
      </c>
      <c r="L176" s="230" t="n">
        <f aca="false">SUMIFS(報告入力!$BG$7:$BG$696,報告入力!$A$7:$A$696,$S$132,報告入力!$B$7:$B$696,$A176)</f>
        <v>7975700</v>
      </c>
      <c r="M176" s="323" t="n">
        <f aca="false">SUM(K176:L176)</f>
        <v>15945536</v>
      </c>
      <c r="N176" s="230" t="n">
        <f aca="false">SUMIFS(報告入力!$BH$7:$BH$696,報告入力!$A$7:$A$696,$S$132,報告入力!$B$7:$B$696,$A176)</f>
        <v>2086588</v>
      </c>
      <c r="O176" s="230" t="n">
        <f aca="false">SUMIFS(報告入力!$BI$7:$BI$696,報告入力!$A$7:$A$696,$S$132,報告入力!$B$7:$B$696,$A176)</f>
        <v>2086587</v>
      </c>
      <c r="P176" s="145" t="n">
        <f aca="false">SUM(N176:O176)</f>
        <v>4173175</v>
      </c>
      <c r="Q176" s="135" t="str">
        <f aca="false">IF(P111=P176,"〇","×")</f>
        <v>×</v>
      </c>
      <c r="R176" s="135" t="str">
        <f aca="false">IFERROR(INDEX(報告入力!$C$7:$C$696,MATCH($S$132&amp;"|"&amp;$A176,報告入力!$CM$7:$CM$696,0)),"")</f>
        <v>入金確認済</v>
      </c>
    </row>
    <row r="177" s="162" customFormat="true" ht="21.75" hidden="false" customHeight="true" outlineLevel="0" collapsed="false">
      <c r="A177" s="214" t="s">
        <v>205</v>
      </c>
      <c r="B177" s="152"/>
      <c r="C177" s="156"/>
      <c r="D177" s="353" t="n">
        <f aca="false">SUMIFS(報告入力!$BA$7:$BA$696,報告入力!$A$7:$A$696,$S$132,報告入力!$B$7:$B$696,$A177)</f>
        <v>0</v>
      </c>
      <c r="E177" s="354" t="n">
        <f aca="false">SUMIFS(報告入力!$BB$7:$BB$696,報告入力!$A$7:$A$696,$S$132,報告入力!$B$7:$B$696,$A177)</f>
        <v>0</v>
      </c>
      <c r="F177" s="243" t="n">
        <f aca="false">SUMIFS(報告入力!$BC$7:$BC$696,報告入力!$A$7:$A$696,$S$132,報告入力!$B$7:$B$696,$A177)</f>
        <v>0</v>
      </c>
      <c r="G177" s="206" t="n">
        <f aca="false">SUM(B177:F177)</f>
        <v>0</v>
      </c>
      <c r="H177" s="143" t="n">
        <f aca="false">SUMIFS(報告入力!$BD$7:$BD$696,報告入力!$A$7:$A$696,$S$132,報告入力!$B$7:$B$696,$A177)</f>
        <v>104755</v>
      </c>
      <c r="I177" s="150" t="n">
        <f aca="false">SUMIFS(報告入力!$BE$7:$BE$696,報告入力!$A$7:$A$696,$S$132,報告入力!$B$7:$B$696,$A177)</f>
        <v>104857</v>
      </c>
      <c r="J177" s="141" t="n">
        <f aca="false">SUM(H177:I177)</f>
        <v>209612</v>
      </c>
      <c r="K177" s="142" t="n">
        <f aca="false">SUMIFS(報告入力!$BF$7:$BF$696,報告入力!$A$7:$A$696,$S$132,報告入力!$B$7:$B$696,$A177)</f>
        <v>11060</v>
      </c>
      <c r="L177" s="150" t="n">
        <f aca="false">SUMIFS(報告入力!$BG$7:$BG$696,報告入力!$A$7:$A$696,$S$132,報告入力!$B$7:$B$696,$A177)</f>
        <v>11060</v>
      </c>
      <c r="M177" s="141" t="n">
        <f aca="false">SUM(K177:L177)</f>
        <v>22120</v>
      </c>
      <c r="N177" s="142" t="n">
        <f aca="false">SUMIFS(報告入力!$BH$7:$BH$696,報告入力!$A$7:$A$696,$S$132,報告入力!$B$7:$B$696,$A177)</f>
        <v>2321</v>
      </c>
      <c r="O177" s="230" t="n">
        <f aca="false">SUMIFS(報告入力!$BI$7:$BI$696,報告入力!$A$7:$A$696,$S$132,報告入力!$B$7:$B$696,$A177)</f>
        <v>2322</v>
      </c>
      <c r="P177" s="141" t="n">
        <f aca="false">SUM(N177:O177)</f>
        <v>4643</v>
      </c>
      <c r="Q177" s="162" t="str">
        <f aca="false">IF(P112=P177,"〇","×")</f>
        <v>×</v>
      </c>
      <c r="R177" s="162" t="str">
        <f aca="false">IFERROR(INDEX(報告入力!$C$7:$C$696,MATCH($S$132&amp;"|"&amp;$A177,報告入力!$CM$7:$CM$696,0)),"")</f>
        <v>入金確認済</v>
      </c>
    </row>
    <row r="178" s="162" customFormat="true" ht="21.75" hidden="false" customHeight="true" outlineLevel="0" collapsed="false">
      <c r="A178" s="236" t="s">
        <v>206</v>
      </c>
      <c r="B178" s="336"/>
      <c r="C178" s="355"/>
      <c r="D178" s="336"/>
      <c r="E178" s="334"/>
      <c r="F178" s="356"/>
      <c r="G178" s="327" t="n">
        <f aca="false">SUM(B178:F178)</f>
        <v>0</v>
      </c>
      <c r="H178" s="334"/>
      <c r="I178" s="335"/>
      <c r="J178" s="330" t="n">
        <f aca="false">SUM(H178:I178)</f>
        <v>0</v>
      </c>
      <c r="K178" s="334"/>
      <c r="L178" s="335"/>
      <c r="M178" s="330" t="n">
        <f aca="false">SUM(K178:L178)</f>
        <v>0</v>
      </c>
      <c r="N178" s="334"/>
      <c r="O178" s="335"/>
      <c r="P178" s="330" t="n">
        <f aca="false">SUM(N178:O178)</f>
        <v>0</v>
      </c>
      <c r="Q178" s="162" t="str">
        <f aca="false">IF(P113=P178,"〇","×")</f>
        <v>〇</v>
      </c>
      <c r="R178" s="162" t="str">
        <f aca="false">IFERROR(INDEX(報告入力!$C$7:$C$696,MATCH($S$132&amp;"|"&amp;$A178,報告入力!$CM$7:$CM$696,0)),"")</f>
        <v>報告なし</v>
      </c>
    </row>
    <row r="179" s="162" customFormat="true" ht="21.75" hidden="false" customHeight="true" outlineLevel="0" collapsed="false">
      <c r="A179" s="236" t="s">
        <v>207</v>
      </c>
      <c r="B179" s="142" t="n">
        <f aca="false">SUMIFS(報告入力!$AY$7:$AY$696,報告入力!$A$7:$A$696,$S$132,報告入力!$B$7:$B$696,$A179)</f>
        <v>118950</v>
      </c>
      <c r="C179" s="147" t="n">
        <f aca="false">SUMIFS(報告入力!$AZ$7:$AZ$696,報告入力!$A$7:$A$696,$S$132,報告入力!$B$7:$B$696,$A179)</f>
        <v>9750</v>
      </c>
      <c r="D179" s="142" t="n">
        <f aca="false">SUMIFS(報告入力!$BA$7:$BA$696,報告入力!$A$7:$A$696,$S$132,報告入力!$B$7:$B$696,$A179)</f>
        <v>118950</v>
      </c>
      <c r="E179" s="143" t="n">
        <f aca="false">SUMIFS(報告入力!$BB$7:$BB$696,報告入力!$A$7:$A$696,$S$132,報告入力!$B$7:$B$696,$A179)</f>
        <v>9750</v>
      </c>
      <c r="F179" s="148" t="n">
        <f aca="false">SUMIFS(報告入力!$BC$7:$BC$696,報告入力!$A$7:$A$696,$S$132,報告入力!$B$7:$B$696,$A179)</f>
        <v>112</v>
      </c>
      <c r="G179" s="133" t="n">
        <f aca="false">SUM(B179:F179)</f>
        <v>257512</v>
      </c>
      <c r="H179" s="143" t="n">
        <f aca="false">SUMIFS(報告入力!$BD$7:$BD$696,報告入力!$A$7:$A$696,$S$132,報告入力!$B$7:$B$696,$A179)</f>
        <v>84531</v>
      </c>
      <c r="I179" s="230" t="n">
        <f aca="false">SUMIFS(報告入力!$BE$7:$BE$696,報告入力!$A$7:$A$696,$S$132,報告入力!$B$7:$B$696,$A179)</f>
        <v>84613</v>
      </c>
      <c r="J179" s="141" t="n">
        <f aca="false">SUM(H179:I179)</f>
        <v>169144</v>
      </c>
      <c r="K179" s="143" t="n">
        <f aca="false">SUMIFS(報告入力!$BF$7:$BF$696,報告入力!$A$7:$A$696,$S$132,報告入力!$B$7:$B$696,$A179)</f>
        <v>12877</v>
      </c>
      <c r="L179" s="230" t="n">
        <f aca="false">SUMIFS(報告入力!$BG$7:$BG$696,報告入力!$A$7:$A$696,$S$132,報告入力!$B$7:$B$696,$A179)</f>
        <v>12877</v>
      </c>
      <c r="M179" s="141" t="n">
        <f aca="false">SUM(K179:L179)</f>
        <v>25754</v>
      </c>
      <c r="N179" s="143" t="n">
        <f aca="false">SUMIFS(報告入力!$BH$7:$BH$696,報告入力!$A$7:$A$696,$S$132,報告入力!$B$7:$B$696,$A179)</f>
        <v>1874</v>
      </c>
      <c r="O179" s="230" t="n">
        <f aca="false">SUMIFS(報告入力!$BI$7:$BI$696,報告入力!$A$7:$A$696,$S$132,報告入力!$B$7:$B$696,$A179)</f>
        <v>1874</v>
      </c>
      <c r="P179" s="141" t="n">
        <f aca="false">SUM(N179:O179)</f>
        <v>3748</v>
      </c>
      <c r="Q179" s="162" t="str">
        <f aca="false">IF(P114=P179,"〇","×")</f>
        <v>×</v>
      </c>
      <c r="R179" s="162" t="str">
        <f aca="false">IFERROR(INDEX(報告入力!$C$7:$C$696,MATCH($S$132&amp;"|"&amp;$A179,報告入力!$CM$7:$CM$696,0)),"")</f>
        <v>入金確認済</v>
      </c>
    </row>
    <row r="180" s="162" customFormat="true" ht="21.75" hidden="false" customHeight="true" outlineLevel="0" collapsed="false">
      <c r="A180" s="174"/>
      <c r="B180" s="182"/>
      <c r="C180" s="181"/>
      <c r="D180" s="245"/>
      <c r="E180" s="183"/>
      <c r="F180" s="181"/>
      <c r="G180" s="246" t="n">
        <f aca="false">SUM(B180:F180)</f>
        <v>0</v>
      </c>
      <c r="H180" s="247"/>
      <c r="I180" s="183"/>
      <c r="J180" s="248" t="n">
        <f aca="false">SUM(H180:I180)</f>
        <v>0</v>
      </c>
      <c r="K180" s="245"/>
      <c r="L180" s="183"/>
      <c r="M180" s="248" t="n">
        <f aca="false">SUM(K180:L180)</f>
        <v>0</v>
      </c>
      <c r="N180" s="245"/>
      <c r="O180" s="183"/>
      <c r="P180" s="248" t="n">
        <f aca="false">SUM(N180:O180)</f>
        <v>0</v>
      </c>
      <c r="Q180" s="162" t="str">
        <f aca="false">IF(P115=P180,"〇","×")</f>
        <v>〇</v>
      </c>
    </row>
    <row r="181" s="162" customFormat="true" ht="0.2" hidden="false" customHeight="true" outlineLevel="0" collapsed="false">
      <c r="A181" s="174"/>
      <c r="B181" s="182"/>
      <c r="C181" s="181"/>
      <c r="D181" s="245"/>
      <c r="E181" s="183"/>
      <c r="F181" s="181"/>
      <c r="G181" s="246" t="n">
        <f aca="false">SUM(B181:F181)</f>
        <v>0</v>
      </c>
      <c r="H181" s="247"/>
      <c r="I181" s="183"/>
      <c r="J181" s="248" t="n">
        <f aca="false">SUM(H181:I181)</f>
        <v>0</v>
      </c>
      <c r="K181" s="245"/>
      <c r="L181" s="183"/>
      <c r="M181" s="248" t="n">
        <f aca="false">SUM(K181:L181)</f>
        <v>0</v>
      </c>
      <c r="N181" s="245"/>
      <c r="O181" s="183"/>
      <c r="P181" s="248" t="n">
        <f aca="false">SUM(N181:O181)</f>
        <v>0</v>
      </c>
      <c r="Q181" s="162" t="str">
        <f aca="false">IF(P116=P181,"〇","×")</f>
        <v>〇</v>
      </c>
    </row>
    <row r="182" s="162" customFormat="true" ht="0.2" hidden="false" customHeight="true" outlineLevel="0" collapsed="false">
      <c r="A182" s="187"/>
      <c r="B182" s="249"/>
      <c r="C182" s="250"/>
      <c r="D182" s="251"/>
      <c r="E182" s="252"/>
      <c r="F182" s="250"/>
      <c r="G182" s="253"/>
      <c r="H182" s="254"/>
      <c r="I182" s="254"/>
      <c r="J182" s="255"/>
      <c r="K182" s="256"/>
      <c r="L182" s="254"/>
      <c r="M182" s="255"/>
      <c r="N182" s="256"/>
      <c r="O182" s="254"/>
      <c r="P182" s="255"/>
      <c r="Q182" s="162" t="str">
        <f aca="false">IF(P117=P182,"〇","×")</f>
        <v>〇</v>
      </c>
    </row>
    <row r="183" s="135" customFormat="true" ht="20.1" hidden="false" customHeight="true" outlineLevel="0" collapsed="false">
      <c r="A183" s="196" t="s">
        <v>497</v>
      </c>
      <c r="B183" s="197" t="n">
        <f aca="false">SUM(B153:B182)</f>
        <v>130124895</v>
      </c>
      <c r="C183" s="200" t="n">
        <f aca="false">SUM(C153:C182)</f>
        <v>10662825</v>
      </c>
      <c r="D183" s="198" t="n">
        <f aca="false">SUM(D153:D182)</f>
        <v>194683349</v>
      </c>
      <c r="E183" s="199" t="n">
        <f aca="false">SUM(E153:E182)</f>
        <v>11166750</v>
      </c>
      <c r="F183" s="200" t="n">
        <f aca="false">SUM(F153:F182)</f>
        <v>135726</v>
      </c>
      <c r="G183" s="201" t="n">
        <f aca="false">SUM(B183:F183)</f>
        <v>346773545</v>
      </c>
      <c r="H183" s="198" t="n">
        <f aca="false">SUM(H153:H181)</f>
        <v>95863580</v>
      </c>
      <c r="I183" s="198" t="n">
        <f aca="false">SUM(I153:I181)</f>
        <v>99620967</v>
      </c>
      <c r="J183" s="200" t="n">
        <f aca="false">SUM(H183:I183)</f>
        <v>195484547</v>
      </c>
      <c r="K183" s="197" t="n">
        <f aca="false">SUM(K153:K181)</f>
        <v>8153669</v>
      </c>
      <c r="L183" s="198" t="n">
        <f aca="false">SUM(L153:L181)</f>
        <v>8586054</v>
      </c>
      <c r="M183" s="200" t="n">
        <f aca="false">SUM(K183:L183)</f>
        <v>16739723</v>
      </c>
      <c r="N183" s="197" t="n">
        <f aca="false">SUM(N153:N181)</f>
        <v>2124360</v>
      </c>
      <c r="O183" s="198" t="n">
        <f aca="false">SUM(O153:O181)</f>
        <v>2205427</v>
      </c>
      <c r="P183" s="200" t="n">
        <f aca="false">SUM(N183:O183)</f>
        <v>4329787</v>
      </c>
      <c r="Q183" s="135" t="str">
        <f aca="false">IF(P118=P183,"〇","×")</f>
        <v>×</v>
      </c>
    </row>
    <row r="184" s="162" customFormat="true" ht="0.2" hidden="false" customHeight="true" outlineLevel="0" collapsed="false">
      <c r="A184" s="174" t="s">
        <v>496</v>
      </c>
      <c r="B184" s="256"/>
      <c r="C184" s="257"/>
      <c r="D184" s="254"/>
      <c r="E184" s="258"/>
      <c r="F184" s="259"/>
      <c r="G184" s="260"/>
      <c r="H184" s="261"/>
      <c r="I184" s="261"/>
      <c r="J184" s="262"/>
      <c r="K184" s="263"/>
      <c r="L184" s="264"/>
      <c r="M184" s="265"/>
      <c r="N184" s="263"/>
      <c r="O184" s="264"/>
      <c r="P184" s="265"/>
      <c r="Q184" s="162" t="str">
        <f aca="false">IF(P119=P184,"〇","×")</f>
        <v>〇</v>
      </c>
    </row>
    <row r="185" s="162" customFormat="true" ht="0.2" hidden="false" customHeight="true" outlineLevel="0" collapsed="false">
      <c r="A185" s="266" t="s">
        <v>496</v>
      </c>
      <c r="B185" s="267"/>
      <c r="C185" s="268"/>
      <c r="D185" s="254"/>
      <c r="E185" s="258"/>
      <c r="F185" s="257"/>
      <c r="G185" s="253"/>
      <c r="H185" s="269"/>
      <c r="I185" s="269"/>
      <c r="J185" s="270"/>
      <c r="K185" s="271"/>
      <c r="L185" s="272"/>
      <c r="M185" s="273"/>
      <c r="N185" s="271"/>
      <c r="O185" s="272"/>
      <c r="P185" s="273"/>
      <c r="Q185" s="162" t="str">
        <f aca="false">IF(P120=P185,"〇","×")</f>
        <v>〇</v>
      </c>
    </row>
    <row r="186" s="135" customFormat="true" ht="20.1" hidden="false" customHeight="true" outlineLevel="0" collapsed="false">
      <c r="A186" s="214" t="s">
        <v>208</v>
      </c>
      <c r="B186" s="210" t="n">
        <f aca="false">SUMIFS(報告入力!$AY$7:$AY$696,報告入力!$A$7:$A$696,$S$132,報告入力!$B$7:$B$696,$A186)</f>
        <v>145485</v>
      </c>
      <c r="C186" s="224" t="n">
        <f aca="false">SUMIFS(報告入力!$AZ$7:$AZ$696,報告入力!$A$7:$A$696,$S$132,報告入力!$B$7:$B$696,$A186)</f>
        <v>11925</v>
      </c>
      <c r="D186" s="143" t="n">
        <f aca="false">SUMIFS(報告入力!$BA$7:$BA$696,報告入力!$A$7:$A$696,$S$132,報告入力!$B$7:$B$696,$A186)</f>
        <v>145485</v>
      </c>
      <c r="E186" s="230" t="n">
        <f aca="false">SUMIFS(報告入力!$BB$7:$BB$696,報告入力!$A$7:$A$696,$S$132,報告入力!$B$7:$B$696,$A186)</f>
        <v>11925</v>
      </c>
      <c r="F186" s="148" t="n">
        <f aca="false">SUMIFS(報告入力!$BC$7:$BC$696,報告入力!$A$7:$A$696,$S$132,報告入力!$B$7:$B$696,$A186)</f>
        <v>138</v>
      </c>
      <c r="G186" s="133" t="n">
        <f aca="false">SUM(B186:F186)</f>
        <v>314958</v>
      </c>
      <c r="H186" s="155"/>
      <c r="I186" s="155"/>
      <c r="J186" s="221" t="n">
        <f aca="false">SUM(H186:I186)</f>
        <v>0</v>
      </c>
      <c r="K186" s="155"/>
      <c r="L186" s="155"/>
      <c r="M186" s="221" t="n">
        <f aca="false">SUM(K186:L186)</f>
        <v>0</v>
      </c>
      <c r="N186" s="155"/>
      <c r="O186" s="155"/>
      <c r="P186" s="221" t="n">
        <f aca="false">SUM(N186:O186)</f>
        <v>0</v>
      </c>
      <c r="Q186" s="135" t="str">
        <f aca="false">IF(P121=P186,"〇","×")</f>
        <v>〇</v>
      </c>
      <c r="R186" s="135" t="str">
        <f aca="false">IFERROR(INDEX(報告入力!$C$7:$C$696,MATCH($S$132&amp;"|"&amp;$A186,報告入力!$CM$7:$CM$696,0)),"")</f>
        <v>入金確認済</v>
      </c>
    </row>
    <row r="187" s="135" customFormat="true" ht="21.75" hidden="false" customHeight="true" outlineLevel="0" collapsed="false">
      <c r="A187" s="214" t="s">
        <v>209</v>
      </c>
      <c r="B187" s="142" t="n">
        <f aca="false">SUMIFS(報告入力!$AY$7:$AY$696,報告入力!$A$7:$A$696,$S$132,報告入力!$B$7:$B$696,$A187)</f>
        <v>45750</v>
      </c>
      <c r="C187" s="147" t="n">
        <f aca="false">SUMIFS(報告入力!$AZ$7:$AZ$696,報告入力!$A$7:$A$696,$S$132,報告入力!$B$7:$B$696,$A187)</f>
        <v>3750</v>
      </c>
      <c r="D187" s="142" t="n">
        <f aca="false">SUMIFS(報告入力!$BA$7:$BA$696,報告入力!$A$7:$A$696,$S$132,報告入力!$B$7:$B$696,$A187)</f>
        <v>45750</v>
      </c>
      <c r="E187" s="143" t="n">
        <f aca="false">SUMIFS(報告入力!$BB$7:$BB$696,報告入力!$A$7:$A$696,$S$132,報告入力!$B$7:$B$696,$A187)</f>
        <v>3750</v>
      </c>
      <c r="F187" s="148" t="n">
        <f aca="false">SUMIFS(報告入力!$BC$7:$BC$696,報告入力!$A$7:$A$696,$S$132,報告入力!$B$7:$B$696,$A187)</f>
        <v>43</v>
      </c>
      <c r="G187" s="144" t="n">
        <f aca="false">SUM(B187:F187)</f>
        <v>99043</v>
      </c>
      <c r="H187" s="277"/>
      <c r="I187" s="277"/>
      <c r="J187" s="278" t="n">
        <f aca="false">SUM(H187:I187)</f>
        <v>0</v>
      </c>
      <c r="K187" s="277"/>
      <c r="L187" s="277"/>
      <c r="M187" s="278" t="n">
        <f aca="false">SUM(K187:L187)</f>
        <v>0</v>
      </c>
      <c r="N187" s="277"/>
      <c r="O187" s="277"/>
      <c r="P187" s="278" t="n">
        <f aca="false">SUM(N187:O187)</f>
        <v>0</v>
      </c>
      <c r="Q187" s="135" t="str">
        <f aca="false">IF(P122=P187,"〇","×")</f>
        <v>〇</v>
      </c>
      <c r="R187" s="135" t="str">
        <f aca="false">IFERROR(INDEX(報告入力!$C$7:$C$696,MATCH($S$132&amp;"|"&amp;$A187,報告入力!$CM$7:$CM$696,0)),"")</f>
        <v>入金確認済</v>
      </c>
    </row>
    <row r="188" s="135" customFormat="true" ht="19.5" hidden="false" customHeight="true" outlineLevel="0" collapsed="false">
      <c r="A188" s="196" t="s">
        <v>497</v>
      </c>
      <c r="B188" s="197" t="n">
        <f aca="false">SUM(B184:B187)</f>
        <v>191235</v>
      </c>
      <c r="C188" s="200" t="n">
        <f aca="false">SUM(C184:C187)</f>
        <v>15675</v>
      </c>
      <c r="D188" s="198" t="n">
        <f aca="false">SUM(D184:D187)</f>
        <v>191235</v>
      </c>
      <c r="E188" s="199" t="n">
        <f aca="false">SUM(E184:E187)</f>
        <v>15675</v>
      </c>
      <c r="F188" s="200" t="n">
        <f aca="false">SUM(F184:F187)</f>
        <v>181</v>
      </c>
      <c r="G188" s="201" t="n">
        <f aca="false">SUM(B188:F188)</f>
        <v>414001</v>
      </c>
      <c r="H188" s="281" t="n">
        <f aca="false">SUM(H184:H187)</f>
        <v>0</v>
      </c>
      <c r="I188" s="282" t="n">
        <f aca="false">SUM(I184:I187)</f>
        <v>0</v>
      </c>
      <c r="J188" s="283" t="n">
        <f aca="false">SUM(H188:I188)</f>
        <v>0</v>
      </c>
      <c r="K188" s="281" t="n">
        <f aca="false">SUM(K184:K187)</f>
        <v>0</v>
      </c>
      <c r="L188" s="282" t="n">
        <f aca="false">SUM(L184:L187)</f>
        <v>0</v>
      </c>
      <c r="M188" s="283" t="n">
        <f aca="false">SUM(K188:L188)</f>
        <v>0</v>
      </c>
      <c r="N188" s="281" t="n">
        <f aca="false">SUM(N184:N187)</f>
        <v>0</v>
      </c>
      <c r="O188" s="282" t="n">
        <f aca="false">SUM(O184:O187)</f>
        <v>0</v>
      </c>
      <c r="P188" s="283" t="n">
        <f aca="false">SUM(N188:O188)</f>
        <v>0</v>
      </c>
      <c r="Q188" s="135" t="str">
        <f aca="false">IF(P123=P188,"〇","×")</f>
        <v>〇</v>
      </c>
    </row>
    <row r="189" s="135" customFormat="true" ht="20.1" hidden="false" customHeight="true" outlineLevel="0" collapsed="false">
      <c r="A189" s="125" t="s">
        <v>210</v>
      </c>
      <c r="B189" s="142" t="n">
        <f aca="false">SUMIFS(報告入力!$AY$7:$AY$696,報告入力!$A$7:$A$696,$S$132,報告入力!$B$7:$B$696,$A189)</f>
        <v>29280</v>
      </c>
      <c r="C189" s="138" t="n">
        <f aca="false">SUMIFS(報告入力!$AZ$7:$AZ$696,報告入力!$A$7:$A$696,$S$132,報告入力!$B$7:$B$696,$A189)</f>
        <v>2400</v>
      </c>
      <c r="D189" s="136" t="n">
        <f aca="false">SUMIFS(報告入力!$BA$7:$BA$696,報告入力!$A$7:$A$696,$S$132,報告入力!$B$7:$B$696,$A189)</f>
        <v>29280</v>
      </c>
      <c r="E189" s="139" t="n">
        <f aca="false">SUMIFS(報告入力!$BB$7:$BB$696,報告入力!$A$7:$A$696,$S$132,報告入力!$B$7:$B$696,$A189)</f>
        <v>2400</v>
      </c>
      <c r="F189" s="218"/>
      <c r="G189" s="133" t="n">
        <f aca="false">SUM(B189:F189)</f>
        <v>63360</v>
      </c>
      <c r="H189" s="139" t="n">
        <f aca="false">SUMIFS(報告入力!$BD$7:$BD$696,報告入力!$A$7:$A$696,$S$132,報告入力!$B$7:$B$696,$A189)</f>
        <v>16595</v>
      </c>
      <c r="I189" s="140" t="n">
        <f aca="false">SUMIFS(報告入力!$BE$7:$BE$696,報告入力!$A$7:$A$696,$S$132,報告入力!$B$7:$B$696,$A189)</f>
        <v>17907</v>
      </c>
      <c r="J189" s="141" t="n">
        <f aca="false">SUM(H189:I189)</f>
        <v>34502</v>
      </c>
      <c r="K189" s="139" t="n">
        <f aca="false">SUMIFS(報告入力!$BF$7:$BF$696,報告入力!$A$7:$A$696,$S$132,報告入力!$B$7:$B$696,$A189)</f>
        <v>2528</v>
      </c>
      <c r="L189" s="140" t="n">
        <f aca="false">SUMIFS(報告入力!$BG$7:$BG$696,報告入力!$A$7:$A$696,$S$132,報告入力!$B$7:$B$696,$A189)</f>
        <v>2528</v>
      </c>
      <c r="M189" s="141" t="n">
        <f aca="false">SUM(K189:L189)</f>
        <v>5056</v>
      </c>
      <c r="N189" s="139" t="n">
        <f aca="false">SUMIFS(報告入力!$BH$7:$BH$696,報告入力!$A$7:$A$696,$S$132,報告入力!$B$7:$B$696,$A189)</f>
        <v>368</v>
      </c>
      <c r="O189" s="140" t="n">
        <f aca="false">SUMIFS(報告入力!$BI$7:$BI$696,報告入力!$A$7:$A$696,$S$132,報告入力!$B$7:$B$696,$A189)</f>
        <v>368</v>
      </c>
      <c r="P189" s="141" t="n">
        <f aca="false">SUM(N189:O189)</f>
        <v>736</v>
      </c>
      <c r="Q189" s="135" t="str">
        <f aca="false">IF(P124=P189,"〇","×")</f>
        <v>〇</v>
      </c>
      <c r="R189" s="135" t="str">
        <f aca="false">IFERROR(INDEX(報告入力!$C$7:$C$696,MATCH($S$132&amp;"|"&amp;$A189,報告入力!$CM$7:$CM$696,0)),"")</f>
        <v>入金確認済</v>
      </c>
    </row>
    <row r="190" s="135" customFormat="true" ht="20.1" hidden="false" customHeight="true" outlineLevel="0" collapsed="false">
      <c r="A190" s="125" t="s">
        <v>211</v>
      </c>
      <c r="B190" s="240" t="n">
        <f aca="false">SUMIFS(報告入力!$AY$7:$AY$696,報告入力!$A$7:$A$696,$S$132,報告入力!$B$7:$B$696,$A190)</f>
        <v>0</v>
      </c>
      <c r="C190" s="237" t="n">
        <f aca="false">SUMIFS(報告入力!$AZ$7:$AZ$696,報告入力!$A$7:$A$696,$S$132,報告入力!$B$7:$B$696,$A190)</f>
        <v>0</v>
      </c>
      <c r="D190" s="203" t="n">
        <f aca="false">SUMIFS(報告入力!$BA$7:$BA$696,報告入力!$A$7:$A$696,$S$132,報告入力!$B$7:$B$696,$A190)</f>
        <v>0</v>
      </c>
      <c r="E190" s="207" t="n">
        <f aca="false">SUMIFS(報告入力!$BB$7:$BB$696,報告入力!$A$7:$A$696,$S$132,報告入力!$B$7:$B$696,$A190)</f>
        <v>0</v>
      </c>
      <c r="F190" s="218"/>
      <c r="G190" s="206" t="n">
        <f aca="false">SUM(B190:F190)</f>
        <v>0</v>
      </c>
      <c r="H190" s="207" t="n">
        <f aca="false">SUMIFS(報告入力!$BD$7:$BD$696,報告入力!$A$7:$A$696,$S$132,報告入力!$B$7:$B$696,$A190)</f>
        <v>0</v>
      </c>
      <c r="I190" s="208" t="n">
        <f aca="false">SUMIFS(報告入力!$BE$7:$BE$696,報告入力!$A$7:$A$696,$S$132,報告入力!$B$7:$B$696,$A190)</f>
        <v>0</v>
      </c>
      <c r="J190" s="160" t="n">
        <f aca="false">SUM(H190:I190)</f>
        <v>0</v>
      </c>
      <c r="K190" s="287" t="n">
        <f aca="false">SUMIFS(報告入力!$BF$7:$BF$696,報告入力!$A$7:$A$696,$S$132,報告入力!$B$7:$B$696,$A190)</f>
        <v>0</v>
      </c>
      <c r="L190" s="208" t="n">
        <f aca="false">SUMIFS(報告入力!$BG$7:$BG$696,報告入力!$A$7:$A$696,$S$132,報告入力!$B$7:$B$696,$A190)</f>
        <v>0</v>
      </c>
      <c r="M190" s="160" t="n">
        <f aca="false">SUM(K190:L190)</f>
        <v>0</v>
      </c>
      <c r="N190" s="287" t="n">
        <f aca="false">SUMIFS(報告入力!$BH$7:$BH$696,報告入力!$A$7:$A$696,$S$132,報告入力!$B$7:$B$696,$A190)</f>
        <v>0</v>
      </c>
      <c r="O190" s="208" t="n">
        <f aca="false">SUMIFS(報告入力!$BI$7:$BI$696,報告入力!$A$7:$A$696,$S$132,報告入力!$B$7:$B$696,$A190)</f>
        <v>0</v>
      </c>
      <c r="P190" s="160" t="n">
        <f aca="false">SUM(N190:O190)</f>
        <v>0</v>
      </c>
      <c r="Q190" s="135" t="str">
        <f aca="false">IF(P125=P190,"〇","×")</f>
        <v>〇</v>
      </c>
      <c r="R190" s="135" t="str">
        <f aca="false">IFERROR(INDEX(報告入力!$C$7:$C$696,MATCH($S$132&amp;"|"&amp;$A190,報告入力!$CM$7:$CM$696,0)),"")</f>
        <v>未受領</v>
      </c>
    </row>
    <row r="191" s="135" customFormat="true" ht="20.1" hidden="false" customHeight="true" outlineLevel="0" collapsed="false">
      <c r="A191" s="217" t="s">
        <v>212</v>
      </c>
      <c r="B191" s="136" t="n">
        <f aca="false">SUMIFS(報告入力!$AY$7:$AY$696,報告入力!$A$7:$A$696,$S$132,報告入力!$B$7:$B$696,$A191)</f>
        <v>27450</v>
      </c>
      <c r="C191" s="137" t="n">
        <f aca="false">SUMIFS(報告入力!$AZ$7:$AZ$696,報告入力!$A$7:$A$696,$S$132,報告入力!$B$7:$B$696,$A191)</f>
        <v>2250</v>
      </c>
      <c r="D191" s="136" t="n">
        <f aca="false">SUMIFS(報告入力!$BA$7:$BA$696,報告入力!$A$7:$A$696,$S$132,報告入力!$B$7:$B$696,$A191)</f>
        <v>27450</v>
      </c>
      <c r="E191" s="284" t="n">
        <f aca="false">SUMIFS(報告入力!$BB$7:$BB$696,報告入力!$A$7:$A$696,$S$132,報告入力!$B$7:$B$696,$A191)</f>
        <v>2250</v>
      </c>
      <c r="F191" s="218"/>
      <c r="G191" s="133" t="n">
        <f aca="false">SUM(B191:F191)</f>
        <v>59400</v>
      </c>
      <c r="H191" s="139" t="n">
        <f aca="false">SUMIFS(報告入力!$BD$7:$BD$696,報告入力!$A$7:$A$696,$S$132,報告入力!$B$7:$B$696,$A191)</f>
        <v>31116</v>
      </c>
      <c r="I191" s="140" t="n">
        <f aca="false">SUMIFS(報告入力!$BE$7:$BE$696,報告入力!$A$7:$A$696,$S$132,報告入力!$B$7:$B$696,$A191)</f>
        <v>31146</v>
      </c>
      <c r="J191" s="141" t="n">
        <f aca="false">SUM(H191:I191)</f>
        <v>62262</v>
      </c>
      <c r="K191" s="134" t="n">
        <f aca="false">SUMIFS(報告入力!$BF$7:$BF$696,報告入力!$A$7:$A$696,$S$132,報告入力!$B$7:$B$696,$A191)</f>
        <v>2370</v>
      </c>
      <c r="L191" s="140" t="n">
        <f aca="false">SUMIFS(報告入力!$BG$7:$BG$696,報告入力!$A$7:$A$696,$S$132,報告入力!$B$7:$B$696,$A191)</f>
        <v>2370</v>
      </c>
      <c r="M191" s="141" t="n">
        <f aca="false">SUM(K191:L191)</f>
        <v>4740</v>
      </c>
      <c r="N191" s="134" t="n">
        <f aca="false">SUMIFS(報告入力!$BH$7:$BH$696,報告入力!$A$7:$A$696,$S$132,報告入力!$B$7:$B$696,$A191)</f>
        <v>690</v>
      </c>
      <c r="O191" s="140" t="n">
        <f aca="false">SUMIFS(報告入力!$BI$7:$BI$696,報告入力!$A$7:$A$696,$S$132,報告入力!$B$7:$B$696,$A191)</f>
        <v>690</v>
      </c>
      <c r="P191" s="141" t="n">
        <f aca="false">SUM(N191:O191)</f>
        <v>1380</v>
      </c>
      <c r="Q191" s="135" t="str">
        <f aca="false">IF(P126=P191,"〇","×")</f>
        <v>〇</v>
      </c>
      <c r="R191" s="135" t="str">
        <f aca="false">IFERROR(INDEX(報告入力!$C$7:$C$696,MATCH($S$132&amp;"|"&amp;$A191,報告入力!$CM$7:$CM$696,0)),"")</f>
        <v>入金確認済</v>
      </c>
    </row>
    <row r="192" s="135" customFormat="true" ht="20.1" hidden="false" customHeight="true" outlineLevel="0" collapsed="false">
      <c r="A192" s="217" t="s">
        <v>213</v>
      </c>
      <c r="B192" s="240"/>
      <c r="C192" s="237"/>
      <c r="D192" s="203"/>
      <c r="E192" s="207"/>
      <c r="F192" s="337"/>
      <c r="G192" s="206" t="n">
        <f aca="false">SUM(B192:F192)</f>
        <v>0</v>
      </c>
      <c r="H192" s="357"/>
      <c r="I192" s="358"/>
      <c r="J192" s="309" t="n">
        <f aca="false">SUM(H192:I192)</f>
        <v>0</v>
      </c>
      <c r="K192" s="359"/>
      <c r="L192" s="358"/>
      <c r="M192" s="309" t="n">
        <f aca="false">SUM(K192:L192)</f>
        <v>0</v>
      </c>
      <c r="N192" s="359"/>
      <c r="O192" s="358"/>
      <c r="P192" s="309" t="n">
        <f aca="false">SUM(N192:O192)</f>
        <v>0</v>
      </c>
      <c r="Q192" s="135" t="str">
        <f aca="false">IF(P127=P192,"〇","×")</f>
        <v>〇</v>
      </c>
      <c r="R192" s="135" t="str">
        <f aca="false">IFERROR(INDEX(報告入力!$C$7:$C$696,MATCH($S$132&amp;"|"&amp;$A192,報告入力!$CM$7:$CM$696,0)),"")</f>
        <v>報告なし</v>
      </c>
    </row>
    <row r="193" s="135" customFormat="true" ht="20.1" hidden="false" customHeight="true" outlineLevel="0" collapsed="false">
      <c r="A193" s="196" t="s">
        <v>497</v>
      </c>
      <c r="B193" s="197" t="n">
        <f aca="false">SUM(B189:B192)</f>
        <v>56730</v>
      </c>
      <c r="C193" s="201" t="n">
        <f aca="false">SUM(C189:C192)</f>
        <v>4650</v>
      </c>
      <c r="D193" s="197" t="n">
        <f aca="false">SUM(D189:D192)</f>
        <v>56730</v>
      </c>
      <c r="E193" s="199" t="n">
        <f aca="false">SUM(E189:E192)</f>
        <v>4650</v>
      </c>
      <c r="F193" s="200" t="n">
        <f aca="false">SUM(F189:F192)</f>
        <v>0</v>
      </c>
      <c r="G193" s="201" t="n">
        <f aca="false">SUM(B193:F193)</f>
        <v>122760</v>
      </c>
      <c r="H193" s="301" t="n">
        <f aca="false">SUM(H189:H192)</f>
        <v>47711</v>
      </c>
      <c r="I193" s="199" t="n">
        <f aca="false">SUM(I189:I192)</f>
        <v>49053</v>
      </c>
      <c r="J193" s="200" t="n">
        <f aca="false">SUM(H193:I193)</f>
        <v>96764</v>
      </c>
      <c r="K193" s="197" t="n">
        <f aca="false">SUM(K189:K192)</f>
        <v>4898</v>
      </c>
      <c r="L193" s="301" t="n">
        <f aca="false">SUM(L189:L192)</f>
        <v>4898</v>
      </c>
      <c r="M193" s="200" t="n">
        <f aca="false">SUM(K193:L193)</f>
        <v>9796</v>
      </c>
      <c r="N193" s="197" t="n">
        <f aca="false">SUM(N189:N192)</f>
        <v>1058</v>
      </c>
      <c r="O193" s="301" t="n">
        <f aca="false">SUM(O189:O192)</f>
        <v>1058</v>
      </c>
      <c r="P193" s="200" t="n">
        <f aca="false">SUM(N193:O193)</f>
        <v>2116</v>
      </c>
      <c r="Q193" s="135" t="str">
        <f aca="false">IF(P128=P193,"〇","×")</f>
        <v>〇</v>
      </c>
    </row>
    <row r="194" s="135" customFormat="true" ht="20.1" hidden="false" customHeight="true" outlineLevel="0" collapsed="false">
      <c r="A194" s="302" t="s">
        <v>214</v>
      </c>
      <c r="B194" s="303"/>
      <c r="C194" s="304"/>
      <c r="D194" s="305"/>
      <c r="E194" s="306"/>
      <c r="F194" s="292"/>
      <c r="G194" s="293"/>
      <c r="H194" s="307" t="n">
        <f aca="false">SUMIFS(報告入力!$BD$7:$BD$696,報告入力!$A$7:$A$696,$S$132,報告入力!$B$7:$B$696,$A194)</f>
        <v>2880046</v>
      </c>
      <c r="I194" s="339"/>
      <c r="J194" s="309" t="n">
        <f aca="false">SUM(H194:I194)</f>
        <v>2880046</v>
      </c>
      <c r="K194" s="307" t="n">
        <f aca="false">SUMIFS(報告入力!$BF$7:$BF$696,報告入力!$A$7:$A$696,$S$132,報告入力!$B$7:$B$696,$A194)</f>
        <v>227024</v>
      </c>
      <c r="L194" s="339"/>
      <c r="M194" s="309" t="n">
        <f aca="false">SUM(K194:L194)</f>
        <v>227024</v>
      </c>
      <c r="N194" s="307" t="n">
        <f aca="false">SUMIFS(報告入力!$BH$7:$BH$696,報告入力!$A$7:$A$696,$S$132,報告入力!$B$7:$B$696,$A194)</f>
        <v>63859</v>
      </c>
      <c r="O194" s="339"/>
      <c r="P194" s="309" t="n">
        <f aca="false">SUM(N194:O194)</f>
        <v>63859</v>
      </c>
      <c r="Q194" s="135" t="str">
        <f aca="false">IF(P129=P194,"〇","×")</f>
        <v>×</v>
      </c>
      <c r="R194" s="135" t="str">
        <f aca="false">IFERROR(INDEX(報告入力!$C$7:$C$696,MATCH($S$132&amp;"|"&amp;$A194,報告入力!$CM$7:$CM$696,0)),"")</f>
        <v>受領済</v>
      </c>
    </row>
    <row r="195" s="135" customFormat="true" ht="30" hidden="false" customHeight="true" outlineLevel="0" collapsed="false">
      <c r="A195" s="310" t="s">
        <v>499</v>
      </c>
      <c r="B195" s="311" t="n">
        <f aca="false">SUM(+B152+B183+B188+B193+B194)</f>
        <v>490561786</v>
      </c>
      <c r="C195" s="312" t="n">
        <f aca="false">SUM(+C152+C183+C188+C193+C194)</f>
        <v>40212577</v>
      </c>
      <c r="D195" s="311" t="n">
        <f aca="false">SUM(+D152+D183+D188+D193+D194)</f>
        <v>712084289</v>
      </c>
      <c r="E195" s="313" t="n">
        <f aca="false">SUM(+E152+E183+E188+E193+E194)</f>
        <v>40180808</v>
      </c>
      <c r="F195" s="312" t="n">
        <f aca="false">SUM(+F152+F183+F188+F193+F194)</f>
        <v>482919</v>
      </c>
      <c r="G195" s="314" t="n">
        <f aca="false">SUM(B195:F195)</f>
        <v>1283522379</v>
      </c>
      <c r="H195" s="315" t="n">
        <f aca="false">SUM(+H152+H183+H188+H193+H194)</f>
        <v>352789873</v>
      </c>
      <c r="I195" s="315" t="n">
        <f aca="false">SUM(+I152+I183+I188+I193+I194)</f>
        <v>354141739</v>
      </c>
      <c r="J195" s="316" t="n">
        <f aca="false">SUM(H195:I195)</f>
        <v>706931612</v>
      </c>
      <c r="K195" s="317" t="n">
        <f aca="false">SUM(+K152+K183+K188+K193+K194)</f>
        <v>31644321</v>
      </c>
      <c r="L195" s="315" t="n">
        <f aca="false">SUM(+L152+L183+L188+L193+L194)</f>
        <v>31407862</v>
      </c>
      <c r="M195" s="316" t="n">
        <f aca="false">SUM(K195:L195)</f>
        <v>63052183</v>
      </c>
      <c r="N195" s="317" t="n">
        <f aca="false">SUM(+N152+N183+N188+N193+N194)</f>
        <v>7818532</v>
      </c>
      <c r="O195" s="315" t="n">
        <f aca="false">SUM(+O152+O183+O188+O193+O194)</f>
        <v>7752816</v>
      </c>
      <c r="P195" s="316" t="n">
        <f aca="false">SUM(N195:O195)</f>
        <v>15571348</v>
      </c>
      <c r="Q195" s="135" t="str">
        <f aca="false">IF(P130=P195,"〇","×")</f>
        <v>×</v>
      </c>
    </row>
    <row r="196" s="341" customFormat="true" ht="39" hidden="false" customHeight="true" outlineLevel="0" collapsed="false">
      <c r="A196" s="340"/>
      <c r="G196" s="109"/>
      <c r="Q196" s="341" t="str">
        <f aca="false">IF(P131=P196,"〇","×")</f>
        <v>〇</v>
      </c>
    </row>
    <row r="197" s="322" customFormat="true" ht="30" hidden="false" customHeight="true" outlineLevel="0" collapsed="false">
      <c r="A197" s="360"/>
      <c r="B197" s="361" t="n">
        <f aca="false">B132</f>
        <v>46203</v>
      </c>
      <c r="C197" s="361"/>
      <c r="D197" s="361"/>
      <c r="E197" s="361"/>
      <c r="F197" s="361"/>
      <c r="G197" s="361"/>
      <c r="H197" s="361" t="n">
        <f aca="false">B197</f>
        <v>46203</v>
      </c>
      <c r="I197" s="361"/>
      <c r="J197" s="361"/>
      <c r="K197" s="361" t="n">
        <f aca="false">H197</f>
        <v>46203</v>
      </c>
      <c r="L197" s="361"/>
      <c r="M197" s="361"/>
      <c r="N197" s="361" t="n">
        <f aca="false">K197</f>
        <v>46203</v>
      </c>
      <c r="O197" s="361"/>
      <c r="P197" s="361"/>
      <c r="Q197" s="322" t="str">
        <f aca="false">IF(P132=P197,"〇","×")</f>
        <v>〇</v>
      </c>
      <c r="S197" s="322" t="s">
        <v>503</v>
      </c>
    </row>
    <row r="198" customFormat="false" ht="22.5" hidden="false" customHeight="true" outlineLevel="0" collapsed="false">
      <c r="A198" s="114" t="s">
        <v>483</v>
      </c>
      <c r="B198" s="114" t="s">
        <v>484</v>
      </c>
      <c r="C198" s="114"/>
      <c r="D198" s="114"/>
      <c r="E198" s="114"/>
      <c r="F198" s="114"/>
      <c r="G198" s="114"/>
      <c r="H198" s="116" t="s">
        <v>485</v>
      </c>
      <c r="I198" s="116"/>
      <c r="J198" s="116"/>
      <c r="K198" s="116" t="s">
        <v>486</v>
      </c>
      <c r="L198" s="116"/>
      <c r="M198" s="116"/>
      <c r="N198" s="116" t="str">
        <f aca="false">$N$3</f>
        <v>子ども・子育て支援納付金</v>
      </c>
      <c r="O198" s="116"/>
      <c r="P198" s="116"/>
      <c r="Q198" s="105" t="str">
        <f aca="false">IF(P133=P198,"〇","×")</f>
        <v>〇</v>
      </c>
    </row>
    <row r="199" customFormat="false" ht="22.5" hidden="false" customHeight="true" outlineLevel="0" collapsed="false">
      <c r="A199" s="114"/>
      <c r="B199" s="117" t="s">
        <v>487</v>
      </c>
      <c r="C199" s="117"/>
      <c r="D199" s="117" t="s">
        <v>488</v>
      </c>
      <c r="E199" s="117"/>
      <c r="F199" s="117"/>
      <c r="G199" s="117" t="s">
        <v>489</v>
      </c>
      <c r="H199" s="121" t="s">
        <v>490</v>
      </c>
      <c r="I199" s="119" t="s">
        <v>491</v>
      </c>
      <c r="J199" s="120" t="s">
        <v>489</v>
      </c>
      <c r="K199" s="121" t="s">
        <v>490</v>
      </c>
      <c r="L199" s="119" t="s">
        <v>491</v>
      </c>
      <c r="M199" s="120" t="s">
        <v>489</v>
      </c>
      <c r="N199" s="121" t="s">
        <v>490</v>
      </c>
      <c r="O199" s="119" t="s">
        <v>491</v>
      </c>
      <c r="P199" s="120" t="s">
        <v>489</v>
      </c>
      <c r="Q199" s="105" t="str">
        <f aca="false">IF(P134=P199,"〇","×")</f>
        <v>〇</v>
      </c>
    </row>
    <row r="200" customFormat="false" ht="22.5" hidden="false" customHeight="true" outlineLevel="0" collapsed="false">
      <c r="A200" s="114"/>
      <c r="B200" s="122" t="s">
        <v>492</v>
      </c>
      <c r="C200" s="123" t="s">
        <v>493</v>
      </c>
      <c r="D200" s="124" t="s">
        <v>492</v>
      </c>
      <c r="E200" s="124" t="s">
        <v>494</v>
      </c>
      <c r="F200" s="123" t="s">
        <v>93</v>
      </c>
      <c r="G200" s="117"/>
      <c r="H200" s="121"/>
      <c r="I200" s="119"/>
      <c r="J200" s="120"/>
      <c r="K200" s="121"/>
      <c r="L200" s="119"/>
      <c r="M200" s="120"/>
      <c r="N200" s="121"/>
      <c r="O200" s="119"/>
      <c r="P200" s="120"/>
      <c r="Q200" s="105" t="str">
        <f aca="false">IF(P135=P200,"〇","×")</f>
        <v>〇</v>
      </c>
    </row>
    <row r="201" s="135" customFormat="true" ht="20.1" hidden="false" customHeight="true" outlineLevel="0" collapsed="false">
      <c r="A201" s="125" t="s">
        <v>166</v>
      </c>
      <c r="B201" s="142" t="n">
        <f aca="false">SUMIFS(報告入力!$AY$7:$AY$696,報告入力!$A$7:$A$696,$S$197,報告入力!$B$7:$B$696,$A201)</f>
        <v>455608135</v>
      </c>
      <c r="C201" s="138" t="n">
        <f aca="false">SUMIFS(報告入力!$AZ$7:$AZ$696,報告入力!$A$7:$A$696,$S$197,報告入力!$B$7:$B$696,$A201)</f>
        <v>37354825</v>
      </c>
      <c r="D201" s="136" t="n">
        <f aca="false">SUMIFS(報告入力!$BA$7:$BA$696,報告入力!$A$7:$A$696,$S$197,報告入力!$B$7:$B$696,$A201)</f>
        <v>647860052</v>
      </c>
      <c r="E201" s="139" t="n">
        <f aca="false">SUMIFS(報告入力!$BB$7:$BB$696,報告入力!$A$7:$A$696,$S$197,報告入力!$B$7:$B$696,$A201)</f>
        <v>36359511</v>
      </c>
      <c r="F201" s="138" t="n">
        <f aca="false">SUMIFS(報告入力!$BC$7:$BC$696,報告入力!$A$7:$A$696,$S$197,報告入力!$B$7:$B$696,$A201)</f>
        <v>428110</v>
      </c>
      <c r="G201" s="133" t="n">
        <f aca="false">SUM(B201:F201)</f>
        <v>1177610633</v>
      </c>
      <c r="H201" s="139" t="n">
        <f aca="false">SUMIFS(報告入力!$BD$7:$BD$696,報告入力!$A$7:$A$696,$S$197,報告入力!$B$7:$B$696,$A201)</f>
        <v>329922975</v>
      </c>
      <c r="I201" s="230" t="n">
        <f aca="false">SUMIFS(報告入力!$BE$7:$BE$696,報告入力!$A$7:$A$696,$S$197,報告入力!$B$7:$B$696,$A201)</f>
        <v>328612946</v>
      </c>
      <c r="J201" s="133" t="n">
        <f aca="false">SUM(H201:I201)</f>
        <v>658535921</v>
      </c>
      <c r="K201" s="230" t="n">
        <f aca="false">SUMIFS(報告入力!$BF$7:$BF$696,報告入力!$A$7:$A$696,$S$197,報告入力!$B$7:$B$696,$A201)</f>
        <v>31461358</v>
      </c>
      <c r="L201" s="230" t="n">
        <f aca="false">SUMIFS(報告入力!$BG$7:$BG$696,報告入力!$A$7:$A$696,$S$197,報告入力!$B$7:$B$696,$A201)</f>
        <v>30627469</v>
      </c>
      <c r="M201" s="133" t="n">
        <f aca="false">SUM(K201:L201)</f>
        <v>62088827</v>
      </c>
      <c r="N201" s="230" t="n">
        <f aca="false">SUMIFS(報告入力!$BH$7:$BH$696,報告入力!$A$7:$A$696,$S$197,報告入力!$B$7:$B$696,$A201)</f>
        <v>7311253</v>
      </c>
      <c r="O201" s="230" t="n">
        <f aca="false">SUMIFS(報告入力!$BI$7:$BI$696,報告入力!$A$7:$A$696,$S$197,報告入力!$B$7:$B$696,$A201)</f>
        <v>7161439</v>
      </c>
      <c r="P201" s="133" t="n">
        <f aca="false">SUM(N201:O201)</f>
        <v>14472692</v>
      </c>
      <c r="Q201" s="135" t="str">
        <f aca="false">IF(P136=P201,"〇","×")</f>
        <v>×</v>
      </c>
      <c r="R201" s="135" t="str">
        <f aca="false">IFERROR(INDEX(報告入力!$C$7:$C$696,MATCH($S$197&amp;"|"&amp;$A201,報告入力!$CM$7:$CM$696,0)),"")</f>
        <v>入金確認済</v>
      </c>
    </row>
    <row r="202" s="135" customFormat="true" ht="20.1" hidden="false" customHeight="true" outlineLevel="0" collapsed="false">
      <c r="A202" s="125" t="s">
        <v>169</v>
      </c>
      <c r="B202" s="142" t="n">
        <f aca="false">SUMIFS(報告入力!$AY$7:$AY$696,報告入力!$A$7:$A$696,$S$197,報告入力!$B$7:$B$696,$A202)</f>
        <v>30049885</v>
      </c>
      <c r="C202" s="138" t="n">
        <f aca="false">SUMIFS(報告入力!$AZ$7:$AZ$696,報告入力!$A$7:$A$696,$S$197,報告入力!$B$7:$B$696,$A202)</f>
        <v>2463025</v>
      </c>
      <c r="D202" s="136" t="n">
        <f aca="false">SUMIFS(報告入力!$BA$7:$BA$696,報告入力!$A$7:$A$696,$S$197,報告入力!$B$7:$B$696,$A202)</f>
        <v>43316678</v>
      </c>
      <c r="E202" s="139" t="n">
        <f aca="false">SUMIFS(報告入力!$BB$7:$BB$696,報告入力!$A$7:$A$696,$S$197,報告入力!$B$7:$B$696,$A202)</f>
        <v>2463110</v>
      </c>
      <c r="F202" s="138" t="n">
        <f aca="false">SUMIFS(報告入力!$BC$7:$BC$696,報告入力!$A$7:$A$696,$S$197,報告入力!$B$7:$B$696,$A202)</f>
        <v>28886</v>
      </c>
      <c r="G202" s="133" t="n">
        <f aca="false">SUM(B202:F202)</f>
        <v>78321584</v>
      </c>
      <c r="H202" s="139" t="n">
        <f aca="false">SUMIFS(報告入力!$BD$7:$BD$696,報告入力!$A$7:$A$696,$S$197,報告入力!$B$7:$B$696,$A202)</f>
        <v>17587186</v>
      </c>
      <c r="I202" s="230" t="n">
        <f aca="false">SUMIFS(報告入力!$BE$7:$BE$696,報告入力!$A$7:$A$696,$S$197,報告入力!$B$7:$B$696,$A202)</f>
        <v>17885974</v>
      </c>
      <c r="J202" s="133" t="n">
        <f aca="false">SUM(H202:I202)</f>
        <v>35473160</v>
      </c>
      <c r="K202" s="230" t="n">
        <f aca="false">SUMIFS(報告入力!$BF$7:$BF$696,報告入力!$A$7:$A$696,$S$197,報告入力!$B$7:$B$696,$A202)</f>
        <v>1915098</v>
      </c>
      <c r="L202" s="230" t="n">
        <f aca="false">SUMIFS(報告入力!$BG$7:$BG$696,報告入力!$A$7:$A$696,$S$197,報告入力!$B$7:$B$696,$A202)</f>
        <v>1915206</v>
      </c>
      <c r="M202" s="133" t="n">
        <f aca="false">SUM(K202:L202)</f>
        <v>3830304</v>
      </c>
      <c r="N202" s="230" t="n">
        <f aca="false">SUMIFS(報告入力!$BH$7:$BH$696,報告入力!$A$7:$A$696,$S$197,報告入力!$B$7:$B$696,$A202)</f>
        <v>389813</v>
      </c>
      <c r="O202" s="230" t="n">
        <f aca="false">SUMIFS(報告入力!$BI$7:$BI$696,報告入力!$A$7:$A$696,$S$197,報告入力!$B$7:$B$696,$A202)</f>
        <v>389997</v>
      </c>
      <c r="P202" s="133" t="n">
        <f aca="false">SUM(N202:O202)</f>
        <v>779810</v>
      </c>
      <c r="Q202" s="135" t="str">
        <f aca="false">IF(P137=P202,"〇","×")</f>
        <v>×</v>
      </c>
      <c r="R202" s="135" t="str">
        <f aca="false">IFERROR(INDEX(報告入力!$C$7:$C$696,MATCH($S$197&amp;"|"&amp;$A202,報告入力!$CM$7:$CM$696,0)),"")</f>
        <v>入金確認済</v>
      </c>
    </row>
    <row r="203" s="135" customFormat="true" ht="20.1" hidden="false" customHeight="true" outlineLevel="0" collapsed="false">
      <c r="A203" s="125" t="s">
        <v>170</v>
      </c>
      <c r="B203" s="142" t="n">
        <f aca="false">SUMIFS(報告入力!$AY$7:$AY$696,報告入力!$A$7:$A$696,$S$197,報告入力!$B$7:$B$696,$A203)</f>
        <v>99026244</v>
      </c>
      <c r="C203" s="138" t="n">
        <f aca="false">SUMIFS(報告入力!$AZ$7:$AZ$696,報告入力!$A$7:$A$696,$S$197,報告入力!$B$7:$B$696,$A203)</f>
        <v>8116572</v>
      </c>
      <c r="D203" s="136" t="n">
        <f aca="false">SUMIFS(報告入力!$BA$7:$BA$696,報告入力!$A$7:$A$696,$S$197,報告入力!$B$7:$B$696,$A203)</f>
        <v>142153458</v>
      </c>
      <c r="E203" s="139" t="n">
        <f aca="false">SUMIFS(報告入力!$BB$7:$BB$696,報告入力!$A$7:$A$696,$S$197,報告入力!$B$7:$B$696,$A203)</f>
        <v>8083623</v>
      </c>
      <c r="F203" s="138" t="n">
        <f aca="false">SUMIFS(報告入力!$BC$7:$BC$696,報告入力!$A$7:$A$696,$S$197,報告入力!$B$7:$B$696,$A203)</f>
        <v>94244</v>
      </c>
      <c r="G203" s="133" t="n">
        <f aca="false">SUM(B203:F203)</f>
        <v>257474141</v>
      </c>
      <c r="H203" s="139" t="n">
        <f aca="false">SUMIFS(報告入力!$BD$7:$BD$696,報告入力!$A$7:$A$696,$S$197,報告入力!$B$7:$B$696,$A203)</f>
        <v>57373599</v>
      </c>
      <c r="I203" s="230" t="n">
        <f aca="false">SUMIFS(報告入力!$BE$7:$BE$696,報告入力!$A$7:$A$696,$S$197,報告入力!$B$7:$B$696,$A203)</f>
        <v>58113751</v>
      </c>
      <c r="J203" s="133" t="n">
        <f aca="false">SUM(H203:I203)</f>
        <v>115487350</v>
      </c>
      <c r="K203" s="230" t="n">
        <f aca="false">SUMIFS(報告入力!$BF$7:$BF$696,報告入力!$A$7:$A$696,$S$197,報告入力!$B$7:$B$696,$A203)</f>
        <v>3928389</v>
      </c>
      <c r="L203" s="230" t="n">
        <f aca="false">SUMIFS(報告入力!$BG$7:$BG$696,報告入力!$A$7:$A$696,$S$197,報告入力!$B$7:$B$696,$A203)</f>
        <v>3900877</v>
      </c>
      <c r="M203" s="133" t="n">
        <f aca="false">SUM(K203:L203)</f>
        <v>7829266</v>
      </c>
      <c r="N203" s="230" t="n">
        <f aca="false">SUMIFS(報告入力!$BH$7:$BH$696,報告入力!$A$7:$A$696,$S$197,報告入力!$B$7:$B$696,$A203)</f>
        <v>1271613</v>
      </c>
      <c r="O203" s="230" t="n">
        <f aca="false">SUMIFS(報告入力!$BI$7:$BI$696,報告入力!$A$7:$A$696,$S$197,報告入力!$B$7:$B$696,$A203)</f>
        <v>1267175</v>
      </c>
      <c r="P203" s="133" t="n">
        <f aca="false">SUM(N203:O203)</f>
        <v>2538788</v>
      </c>
      <c r="Q203" s="135" t="str">
        <f aca="false">IF(P138=P203,"〇","×")</f>
        <v>×</v>
      </c>
      <c r="R203" s="135" t="str">
        <f aca="false">IFERROR(INDEX(報告入力!$C$7:$C$696,MATCH($S$197&amp;"|"&amp;$A203,報告入力!$CM$7:$CM$696,0)),"")</f>
        <v>入金確認済</v>
      </c>
    </row>
    <row r="204" s="135" customFormat="true" ht="20.1" hidden="false" customHeight="true" outlineLevel="0" collapsed="false">
      <c r="A204" s="125" t="s">
        <v>171</v>
      </c>
      <c r="B204" s="142" t="n">
        <f aca="false">SUMIFS(報告入力!$AY$7:$AY$696,報告入力!$A$7:$A$696,$S$197,報告入力!$B$7:$B$696,$A204)</f>
        <v>3574348</v>
      </c>
      <c r="C204" s="138" t="n">
        <f aca="false">SUMIFS(報告入力!$AZ$7:$AZ$696,報告入力!$A$7:$A$696,$S$197,報告入力!$B$7:$B$696,$A204)</f>
        <v>292972</v>
      </c>
      <c r="D204" s="136" t="n">
        <f aca="false">SUMIFS(報告入力!$BA$7:$BA$696,報告入力!$A$7:$A$696,$S$197,報告入力!$B$7:$B$696,$A204)</f>
        <v>5142387</v>
      </c>
      <c r="E204" s="139" t="n">
        <f aca="false">SUMIFS(報告入力!$BB$7:$BB$696,報告入力!$A$7:$A$696,$S$197,報告入力!$B$7:$B$696,$A204)</f>
        <v>292980</v>
      </c>
      <c r="F204" s="138" t="n">
        <f aca="false">SUMIFS(報告入力!$BC$7:$BC$696,報告入力!$A$7:$A$696,$S$197,報告入力!$B$7:$B$696,$A204)</f>
        <v>3415</v>
      </c>
      <c r="G204" s="133" t="n">
        <f aca="false">SUM(B204:F204)</f>
        <v>9306102</v>
      </c>
      <c r="H204" s="139" t="n">
        <f aca="false">SUMIFS(報告入力!$BD$7:$BD$696,報告入力!$A$7:$A$696,$S$197,報告入力!$B$7:$B$696,$A204)</f>
        <v>2038752</v>
      </c>
      <c r="I204" s="230" t="n">
        <f aca="false">SUMIFS(報告入力!$BE$7:$BE$696,報告入力!$A$7:$A$696,$S$197,報告入力!$B$7:$B$696,$A204)</f>
        <v>2073179</v>
      </c>
      <c r="J204" s="133" t="n">
        <f aca="false">SUM(H204:I204)</f>
        <v>4111931</v>
      </c>
      <c r="K204" s="230" t="n">
        <f aca="false">SUMIFS(報告入力!$BF$7:$BF$696,報告入力!$A$7:$A$696,$S$197,報告入力!$B$7:$B$696,$A204)</f>
        <v>205225</v>
      </c>
      <c r="L204" s="230" t="n">
        <f aca="false">SUMIFS(報告入力!$BG$7:$BG$696,報告入力!$A$7:$A$696,$S$197,報告入力!$B$7:$B$696,$A204)</f>
        <v>205234</v>
      </c>
      <c r="M204" s="133" t="n">
        <f aca="false">SUM(K204:L204)</f>
        <v>410459</v>
      </c>
      <c r="N204" s="230" t="n">
        <f aca="false">SUMIFS(報告入力!$BH$7:$BH$696,報告入力!$A$7:$A$696,$S$197,報告入力!$B$7:$B$696,$A204)</f>
        <v>45191</v>
      </c>
      <c r="O204" s="230" t="n">
        <f aca="false">SUMIFS(報告入力!$BI$7:$BI$696,報告入力!$A$7:$A$696,$S$197,報告入力!$B$7:$B$696,$A204)</f>
        <v>45210</v>
      </c>
      <c r="P204" s="133" t="n">
        <f aca="false">SUM(N204:O204)</f>
        <v>90401</v>
      </c>
      <c r="Q204" s="135" t="str">
        <f aca="false">IF(P139=P204,"〇","×")</f>
        <v>×</v>
      </c>
      <c r="R204" s="135" t="str">
        <f aca="false">IFERROR(INDEX(報告入力!$C$7:$C$696,MATCH($S$197&amp;"|"&amp;$A204,報告入力!$CM$7:$CM$696,0)),"")</f>
        <v>入金確認済</v>
      </c>
    </row>
    <row r="205" s="135" customFormat="true" ht="20.1" hidden="false" customHeight="true" outlineLevel="0" collapsed="false">
      <c r="A205" s="125" t="s">
        <v>172</v>
      </c>
      <c r="B205" s="142" t="n">
        <f aca="false">SUMIFS(報告入力!$AY$7:$AY$696,報告入力!$A$7:$A$696,$S$197,報告入力!$B$7:$B$696,$A205)</f>
        <v>48022328</v>
      </c>
      <c r="C205" s="138" t="n">
        <f aca="false">SUMIFS(報告入力!$AZ$7:$AZ$696,報告入力!$A$7:$A$696,$S$197,報告入力!$B$7:$B$696,$A205)</f>
        <v>3936104</v>
      </c>
      <c r="D205" s="136" t="n">
        <f aca="false">SUMIFS(報告入力!$BA$7:$BA$696,報告入力!$A$7:$A$696,$S$197,報告入力!$B$7:$B$696,$A205)</f>
        <v>69053418</v>
      </c>
      <c r="E205" s="139" t="n">
        <f aca="false">SUMIFS(報告入力!$BB$7:$BB$696,報告入力!$A$7:$A$696,$S$197,報告入力!$B$7:$B$696,$A205)</f>
        <v>3936268</v>
      </c>
      <c r="F205" s="138" t="n">
        <f aca="false">SUMIFS(報告入力!$BC$7:$BC$696,報告入力!$A$7:$A$696,$S$197,報告入力!$B$7:$B$696,$A205)</f>
        <v>45799</v>
      </c>
      <c r="G205" s="133" t="n">
        <f aca="false">SUM(B205:F205)</f>
        <v>124993917</v>
      </c>
      <c r="H205" s="139" t="n">
        <f aca="false">SUMIFS(報告入力!$BD$7:$BD$696,報告入力!$A$7:$A$696,$S$197,報告入力!$B$7:$B$696,$A205)</f>
        <v>45278832</v>
      </c>
      <c r="I205" s="230" t="n">
        <f aca="false">SUMIFS(報告入力!$BE$7:$BE$696,報告入力!$A$7:$A$696,$S$197,報告入力!$B$7:$B$696,$A205)</f>
        <v>46042286</v>
      </c>
      <c r="J205" s="133" t="n">
        <f aca="false">SUM(H205:I205)</f>
        <v>91321118</v>
      </c>
      <c r="K205" s="230" t="n">
        <f aca="false">SUMIFS(報告入力!$BF$7:$BF$696,報告入力!$A$7:$A$696,$S$197,報告入力!$B$7:$B$696,$A205)</f>
        <v>5364033</v>
      </c>
      <c r="L205" s="230" t="n">
        <f aca="false">SUMIFS(報告入力!$BG$7:$BG$696,報告入力!$A$7:$A$696,$S$197,報告入力!$B$7:$B$696,$A205)</f>
        <v>5364524</v>
      </c>
      <c r="M205" s="133" t="n">
        <f aca="false">SUM(K205:L205)</f>
        <v>10728557</v>
      </c>
      <c r="N205" s="230" t="n">
        <f aca="false">SUMIFS(報告入力!$BH$7:$BH$696,報告入力!$A$7:$A$696,$S$197,報告入力!$B$7:$B$696,$A205)</f>
        <v>1003307</v>
      </c>
      <c r="O205" s="230" t="n">
        <f aca="false">SUMIFS(報告入力!$BI$7:$BI$696,報告入力!$A$7:$A$696,$S$197,報告入力!$B$7:$B$696,$A205)</f>
        <v>1003988</v>
      </c>
      <c r="P205" s="133" t="n">
        <f aca="false">SUM(N205:O205)</f>
        <v>2007295</v>
      </c>
      <c r="Q205" s="135" t="str">
        <f aca="false">IF(P140=P205,"〇","×")</f>
        <v>×</v>
      </c>
      <c r="R205" s="135" t="str">
        <f aca="false">IFERROR(INDEX(報告入力!$C$7:$C$696,MATCH($S$197&amp;"|"&amp;$A205,報告入力!$CM$7:$CM$696,0)),"")</f>
        <v>入金確認済</v>
      </c>
    </row>
    <row r="206" s="135" customFormat="true" ht="20.1" hidden="false" customHeight="true" outlineLevel="0" collapsed="false">
      <c r="A206" s="125" t="s">
        <v>173</v>
      </c>
      <c r="B206" s="142" t="n">
        <f aca="false">SUMIFS(報告入力!$AY$7:$AY$696,報告入力!$A$7:$A$696,$S$197,報告入力!$B$7:$B$696,$A206)</f>
        <v>578461</v>
      </c>
      <c r="C206" s="138" t="n">
        <f aca="false">SUMIFS(報告入力!$AZ$7:$AZ$696,報告入力!$A$7:$A$696,$S$197,報告入力!$B$7:$B$696,$A206)</f>
        <v>47413</v>
      </c>
      <c r="D206" s="136" t="n">
        <f aca="false">SUMIFS(報告入力!$BA$7:$BA$696,報告入力!$A$7:$A$696,$S$197,報告入力!$B$7:$B$696,$A206)</f>
        <v>830710</v>
      </c>
      <c r="E206" s="139" t="n">
        <f aca="false">SUMIFS(報告入力!$BB$7:$BB$696,報告入力!$A$7:$A$696,$S$197,報告入力!$B$7:$B$696,$A206)</f>
        <v>47415</v>
      </c>
      <c r="F206" s="138" t="n">
        <f aca="false">SUMIFS(報告入力!$BC$7:$BC$696,報告入力!$A$7:$A$696,$S$197,報告入力!$B$7:$B$696,$A206)</f>
        <v>549</v>
      </c>
      <c r="G206" s="133" t="n">
        <f aca="false">SUM(B206:F206)</f>
        <v>1504548</v>
      </c>
      <c r="H206" s="139" t="n">
        <f aca="false">SUMIFS(報告入力!$BD$7:$BD$696,報告入力!$A$7:$A$696,$S$197,報告入力!$B$7:$B$696,$A206)</f>
        <v>366231</v>
      </c>
      <c r="I206" s="230" t="n">
        <f aca="false">SUMIFS(報告入力!$BE$7:$BE$696,報告入力!$A$7:$A$696,$S$197,報告入力!$B$7:$B$696,$A206)</f>
        <v>372379</v>
      </c>
      <c r="J206" s="133" t="n">
        <f aca="false">SUM(H206:I206)</f>
        <v>738610</v>
      </c>
      <c r="K206" s="230" t="n">
        <f aca="false">SUMIFS(報告入力!$BF$7:$BF$696,報告入力!$A$7:$A$696,$S$197,報告入力!$B$7:$B$696,$A206)</f>
        <v>33305</v>
      </c>
      <c r="L206" s="230" t="n">
        <f aca="false">SUMIFS(報告入力!$BG$7:$BG$696,報告入力!$A$7:$A$696,$S$197,報告入力!$B$7:$B$696,$A206)</f>
        <v>33306</v>
      </c>
      <c r="M206" s="133" t="n">
        <f aca="false">SUM(K206:L206)</f>
        <v>66611</v>
      </c>
      <c r="N206" s="230" t="n">
        <f aca="false">SUMIFS(報告入力!$BH$7:$BH$696,報告入力!$A$7:$A$696,$S$197,報告入力!$B$7:$B$696,$A206)</f>
        <v>8117</v>
      </c>
      <c r="O206" s="230" t="n">
        <f aca="false">SUMIFS(報告入力!$BI$7:$BI$696,報告入力!$A$7:$A$696,$S$197,報告入力!$B$7:$B$696,$A206)</f>
        <v>8121</v>
      </c>
      <c r="P206" s="133" t="n">
        <f aca="false">SUM(N206:O206)</f>
        <v>16238</v>
      </c>
      <c r="Q206" s="135" t="str">
        <f aca="false">IF(P141=P206,"〇","×")</f>
        <v>×</v>
      </c>
      <c r="R206" s="135" t="str">
        <f aca="false">IFERROR(INDEX(報告入力!$C$7:$C$696,MATCH($S$197&amp;"|"&amp;$A206,報告入力!$CM$7:$CM$696,0)),"")</f>
        <v>入金確認済</v>
      </c>
    </row>
    <row r="207" s="135" customFormat="true" ht="20.1" hidden="false" customHeight="true" outlineLevel="0" collapsed="false">
      <c r="A207" s="125" t="s">
        <v>174</v>
      </c>
      <c r="B207" s="142" t="n">
        <f aca="false">SUMIFS(報告入力!$AY$7:$AY$696,報告入力!$A$7:$A$696,$S$197,報告入力!$B$7:$B$696,$A207)</f>
        <v>1213286</v>
      </c>
      <c r="C207" s="138" t="n">
        <f aca="false">SUMIFS(報告入力!$AZ$7:$AZ$696,報告入力!$A$7:$A$696,$S$197,報告入力!$B$7:$B$696,$A207)</f>
        <v>99446</v>
      </c>
      <c r="D207" s="136" t="n">
        <f aca="false">SUMIFS(報告入力!$BA$7:$BA$696,報告入力!$A$7:$A$696,$S$197,報告入力!$B$7:$B$696,$A207)</f>
        <v>1742364</v>
      </c>
      <c r="E207" s="139" t="n">
        <f aca="false">SUMIFS(報告入力!$BB$7:$BB$696,報告入力!$A$7:$A$696,$S$197,報告入力!$B$7:$B$696,$A207)</f>
        <v>99450</v>
      </c>
      <c r="F207" s="138" t="n">
        <f aca="false">SUMIFS(報告入力!$BC$7:$BC$696,報告入力!$A$7:$A$696,$S$197,報告入力!$B$7:$B$696,$A207)</f>
        <v>1152</v>
      </c>
      <c r="G207" s="133" t="n">
        <f aca="false">SUM(B207:F207)</f>
        <v>3155698</v>
      </c>
      <c r="H207" s="139" t="n">
        <f aca="false">SUMIFS(報告入力!$BD$7:$BD$696,報告入力!$A$7:$A$696,$S$197,報告入力!$B$7:$B$696,$A207)</f>
        <v>704926</v>
      </c>
      <c r="I207" s="230" t="n">
        <f aca="false">SUMIFS(報告入力!$BE$7:$BE$696,報告入力!$A$7:$A$696,$S$197,報告入力!$B$7:$B$696,$A207)</f>
        <v>716758</v>
      </c>
      <c r="J207" s="133" t="n">
        <f aca="false">SUM(H207:I207)</f>
        <v>1421684</v>
      </c>
      <c r="K207" s="230" t="n">
        <f aca="false">SUMIFS(報告入力!$BF$7:$BF$696,報告入力!$A$7:$A$696,$S$197,報告入力!$B$7:$B$696,$A207)</f>
        <v>62454</v>
      </c>
      <c r="L207" s="230" t="n">
        <f aca="false">SUMIFS(報告入力!$BG$7:$BG$696,報告入力!$A$7:$A$696,$S$197,報告入力!$B$7:$B$696,$A207)</f>
        <v>62456</v>
      </c>
      <c r="M207" s="133" t="n">
        <f aca="false">SUM(K207:L207)</f>
        <v>124910</v>
      </c>
      <c r="N207" s="230" t="n">
        <f aca="false">SUMIFS(報告入力!$BH$7:$BH$696,報告入力!$A$7:$A$696,$S$197,報告入力!$B$7:$B$696,$A207)</f>
        <v>15625</v>
      </c>
      <c r="O207" s="230" t="n">
        <f aca="false">SUMIFS(報告入力!$BI$7:$BI$696,報告入力!$A$7:$A$696,$S$197,報告入力!$B$7:$B$696,$A207)</f>
        <v>15631</v>
      </c>
      <c r="P207" s="145" t="n">
        <f aca="false">SUM(N207:O207)</f>
        <v>31256</v>
      </c>
      <c r="Q207" s="135" t="str">
        <f aca="false">IF(P142=P207,"〇","×")</f>
        <v>×</v>
      </c>
      <c r="R207" s="135" t="str">
        <f aca="false">IFERROR(INDEX(報告入力!$C$7:$C$696,MATCH($S$197&amp;"|"&amp;$A207,報告入力!$CM$7:$CM$696,0)),"")</f>
        <v>入金確認済</v>
      </c>
    </row>
    <row r="208" s="135" customFormat="true" ht="20.1" hidden="false" customHeight="true" outlineLevel="0" collapsed="false">
      <c r="A208" s="125" t="s">
        <v>175</v>
      </c>
      <c r="B208" s="142" t="n">
        <f aca="false">SUMIFS(報告入力!$AY$7:$AY$696,報告入力!$A$7:$A$696,$S$197,報告入力!$B$7:$B$696,$A208)</f>
        <v>2716629</v>
      </c>
      <c r="C208" s="138" t="n">
        <f aca="false">SUMIFS(報告入力!$AZ$7:$AZ$696,報告入力!$A$7:$A$696,$S$197,報告入力!$B$7:$B$696,$A208)</f>
        <v>222669</v>
      </c>
      <c r="D208" s="136" t="n">
        <f aca="false">SUMIFS(報告入力!$BA$7:$BA$696,報告入力!$A$7:$A$696,$S$197,報告入力!$B$7:$B$696,$A208)</f>
        <v>3901266</v>
      </c>
      <c r="E208" s="139" t="n">
        <f aca="false">SUMIFS(報告入力!$BB$7:$BB$696,報告入力!$A$7:$A$696,$S$197,報告入力!$B$7:$B$696,$A208)</f>
        <v>222675</v>
      </c>
      <c r="F208" s="138" t="n">
        <f aca="false">SUMIFS(報告入力!$BC$7:$BC$696,報告入力!$A$7:$A$696,$S$197,報告入力!$B$7:$B$696,$A208)</f>
        <v>2579</v>
      </c>
      <c r="G208" s="133" t="n">
        <f aca="false">SUM(B208:F208)</f>
        <v>7065818</v>
      </c>
      <c r="H208" s="139" t="n">
        <f aca="false">SUMIFS(報告入力!$BD$7:$BD$696,報告入力!$A$7:$A$696,$S$197,報告入力!$B$7:$B$696,$A208)</f>
        <v>1597685</v>
      </c>
      <c r="I208" s="230" t="n">
        <f aca="false">SUMIFS(報告入力!$BE$7:$BE$696,報告入力!$A$7:$A$696,$S$197,報告入力!$B$7:$B$696,$A208)</f>
        <v>1624505</v>
      </c>
      <c r="J208" s="133" t="n">
        <f aca="false">SUM(H208:I208)</f>
        <v>3222190</v>
      </c>
      <c r="K208" s="230" t="n">
        <f aca="false">SUMIFS(報告入力!$BF$7:$BF$696,報告入力!$A$7:$A$696,$S$197,報告入力!$B$7:$B$696,$A208)</f>
        <v>221526</v>
      </c>
      <c r="L208" s="230" t="n">
        <f aca="false">SUMIFS(報告入力!$BG$7:$BG$696,報告入力!$A$7:$A$696,$S$197,報告入力!$B$7:$B$696,$A208)</f>
        <v>221538</v>
      </c>
      <c r="M208" s="133" t="n">
        <f aca="false">SUM(K208:L208)</f>
        <v>443064</v>
      </c>
      <c r="N208" s="230" t="n">
        <f aca="false">SUMIFS(報告入力!$BH$7:$BH$696,報告入力!$A$7:$A$696,$S$197,報告入力!$B$7:$B$696,$A208)</f>
        <v>35416</v>
      </c>
      <c r="O208" s="230" t="n">
        <f aca="false">SUMIFS(報告入力!$BI$7:$BI$696,報告入力!$A$7:$A$696,$S$197,報告入力!$B$7:$B$696,$A208)</f>
        <v>35428</v>
      </c>
      <c r="P208" s="141" t="n">
        <f aca="false">SUM(N208:O208)</f>
        <v>70844</v>
      </c>
      <c r="Q208" s="135" t="str">
        <f aca="false">IF(P143=P208,"〇","×")</f>
        <v>×</v>
      </c>
      <c r="R208" s="135" t="str">
        <f aca="false">IFERROR(INDEX(報告入力!$C$7:$C$696,MATCH($S$197&amp;"|"&amp;$A208,報告入力!$CM$7:$CM$696,0)),"")</f>
        <v>入金確認済</v>
      </c>
    </row>
    <row r="209" s="135" customFormat="true" ht="20.1" hidden="false" customHeight="true" outlineLevel="0" collapsed="false">
      <c r="A209" s="125" t="s">
        <v>176</v>
      </c>
      <c r="B209" s="142" t="n">
        <f aca="false">SUMIFS(報告入力!$AY$7:$AY$696,報告入力!$A$7:$A$696,$S$197,報告入力!$B$7:$B$696,$A209)</f>
        <v>753501</v>
      </c>
      <c r="C209" s="138" t="n">
        <f aca="false">SUMIFS(報告入力!$AZ$7:$AZ$696,報告入力!$A$7:$A$696,$S$197,報告入力!$B$7:$B$696,$A209)</f>
        <v>61761</v>
      </c>
      <c r="D209" s="136" t="n">
        <f aca="false">SUMIFS(報告入力!$BA$7:$BA$696,報告入力!$A$7:$A$696,$S$197,報告入力!$B$7:$B$696,$A209)</f>
        <v>1082078</v>
      </c>
      <c r="E209" s="139" t="n">
        <f aca="false">SUMIFS(報告入力!$BB$7:$BB$696,報告入力!$A$7:$A$696,$S$197,報告入力!$B$7:$B$696,$A209)</f>
        <v>61762</v>
      </c>
      <c r="F209" s="138" t="n">
        <f aca="false">SUMIFS(報告入力!$BC$7:$BC$696,報告入力!$A$7:$A$696,$S$197,報告入力!$B$7:$B$696,$A209)</f>
        <v>715</v>
      </c>
      <c r="G209" s="133" t="n">
        <f aca="false">SUM(B209:F209)</f>
        <v>1959817</v>
      </c>
      <c r="H209" s="139" t="n">
        <f aca="false">SUMIFS(報告入力!$BD$7:$BD$696,報告入力!$A$7:$A$696,$S$197,報告入力!$B$7:$B$696,$A209)</f>
        <v>587876</v>
      </c>
      <c r="I209" s="230" t="n">
        <f aca="false">SUMIFS(報告入力!$BE$7:$BE$696,報告入力!$A$7:$A$696,$S$197,報告入力!$B$7:$B$696,$A209)</f>
        <v>597746</v>
      </c>
      <c r="J209" s="133" t="n">
        <f aca="false">SUM(H209:I209)</f>
        <v>1185622</v>
      </c>
      <c r="K209" s="230" t="n">
        <f aca="false">SUMIFS(報告入力!$BF$7:$BF$696,報告入力!$A$7:$A$696,$S$197,報告入力!$B$7:$B$696,$A209)</f>
        <v>66458</v>
      </c>
      <c r="L209" s="230" t="n">
        <f aca="false">SUMIFS(報告入力!$BG$7:$BG$696,報告入力!$A$7:$A$696,$S$197,報告入力!$B$7:$B$696,$A209)</f>
        <v>66462</v>
      </c>
      <c r="M209" s="133" t="n">
        <f aca="false">SUM(K209:L209)</f>
        <v>132920</v>
      </c>
      <c r="N209" s="230" t="n">
        <f aca="false">SUMIFS(報告入力!$BH$7:$BH$696,報告入力!$A$7:$A$696,$S$197,報告入力!$B$7:$B$696,$A209)</f>
        <v>13029</v>
      </c>
      <c r="O209" s="230" t="n">
        <f aca="false">SUMIFS(報告入力!$BI$7:$BI$696,報告入力!$A$7:$A$696,$S$197,報告入力!$B$7:$B$696,$A209)</f>
        <v>13036</v>
      </c>
      <c r="P209" s="141" t="n">
        <f aca="false">SUM(N209:O209)</f>
        <v>26065</v>
      </c>
      <c r="Q209" s="135" t="str">
        <f aca="false">IF(P144=P209,"〇","×")</f>
        <v>×</v>
      </c>
      <c r="R209" s="135" t="str">
        <f aca="false">IFERROR(INDEX(報告入力!$C$7:$C$696,MATCH($S$197&amp;"|"&amp;$A209,報告入力!$CM$7:$CM$696,0)),"")</f>
        <v>入金確認済</v>
      </c>
    </row>
    <row r="210" s="135" customFormat="true" ht="20.1" hidden="false" customHeight="true" outlineLevel="0" collapsed="false">
      <c r="A210" s="125" t="s">
        <v>177</v>
      </c>
      <c r="B210" s="142" t="n">
        <f aca="false">SUMIFS(報告入力!$AY$7:$AY$696,報告入力!$A$7:$A$696,$S$197,報告入力!$B$7:$B$696,$A210)</f>
        <v>46126839</v>
      </c>
      <c r="C210" s="138" t="n">
        <f aca="false">SUMIFS(報告入力!$AZ$7:$AZ$696,報告入力!$A$7:$A$696,$S$197,報告入力!$B$7:$B$696,$A210)</f>
        <v>3780759</v>
      </c>
      <c r="D210" s="136" t="n">
        <f aca="false">SUMIFS(報告入力!$BA$7:$BA$696,報告入力!$A$7:$A$696,$S$197,報告入力!$B$7:$B$696,$A210)</f>
        <v>66545746</v>
      </c>
      <c r="E210" s="139" t="n">
        <f aca="false">SUMIFS(報告入力!$BB$7:$BB$696,報告入力!$A$7:$A$696,$S$197,報告入力!$B$7:$B$696,$A210)</f>
        <v>3780898</v>
      </c>
      <c r="F210" s="138" t="n">
        <f aca="false">SUMIFS(報告入力!$BC$7:$BC$696,報告入力!$A$7:$A$696,$S$197,報告入力!$B$7:$B$696,$A210)</f>
        <v>44463</v>
      </c>
      <c r="G210" s="133" t="n">
        <f aca="false">SUM(B210:F210)</f>
        <v>120278705</v>
      </c>
      <c r="H210" s="139" t="n">
        <f aca="false">SUMIFS(報告入力!$BD$7:$BD$696,報告入力!$A$7:$A$696,$S$197,報告入力!$B$7:$B$696,$A210)</f>
        <v>27231622</v>
      </c>
      <c r="I210" s="230" t="n">
        <f aca="false">SUMIFS(報告入力!$BE$7:$BE$696,報告入力!$A$7:$A$696,$S$197,報告入力!$B$7:$B$696,$A210)</f>
        <v>27695421</v>
      </c>
      <c r="J210" s="133" t="n">
        <f aca="false">SUM(H210:I210)</f>
        <v>54927043</v>
      </c>
      <c r="K210" s="230" t="n">
        <f aca="false">SUMIFS(報告入力!$BF$7:$BF$696,報告入力!$A$7:$A$696,$S$197,報告入力!$B$7:$B$696,$A210)</f>
        <v>2844074</v>
      </c>
      <c r="L210" s="230" t="n">
        <f aca="false">SUMIFS(報告入力!$BG$7:$BG$696,報告入力!$A$7:$A$696,$S$197,報告入力!$B$7:$B$696,$A210)</f>
        <v>2844233</v>
      </c>
      <c r="M210" s="133" t="n">
        <f aca="false">SUM(K210:L210)</f>
        <v>5688307</v>
      </c>
      <c r="N210" s="230" t="n">
        <f aca="false">SUMIFS(報告入力!$BH$7:$BH$696,報告入力!$A$7:$A$696,$S$197,報告入力!$B$7:$B$696,$A210)</f>
        <v>603556</v>
      </c>
      <c r="O210" s="230" t="n">
        <f aca="false">SUMIFS(報告入力!$BI$7:$BI$696,報告入力!$A$7:$A$696,$S$197,報告入力!$B$7:$B$696,$A210)</f>
        <v>603873</v>
      </c>
      <c r="P210" s="141" t="n">
        <f aca="false">SUM(N210:O210)</f>
        <v>1207429</v>
      </c>
      <c r="Q210" s="135" t="str">
        <f aca="false">IF(P145=P210,"〇","×")</f>
        <v>×</v>
      </c>
      <c r="R210" s="135" t="str">
        <f aca="false">IFERROR(INDEX(報告入力!$C$7:$C$696,MATCH($S$197&amp;"|"&amp;$A210,報告入力!$CM$7:$CM$696,0)),"")</f>
        <v>入金確認済</v>
      </c>
    </row>
    <row r="211" s="135" customFormat="true" ht="19.5" hidden="false" customHeight="true" outlineLevel="0" collapsed="false">
      <c r="A211" s="146" t="s">
        <v>495</v>
      </c>
      <c r="B211" s="142" t="n">
        <f aca="false">SUMIFS(報告入力!$AY$7:$AY$696,報告入力!$A$7:$A$696,$S$197,報告入力!$B$7:$B$696,$A211)</f>
        <v>74115</v>
      </c>
      <c r="C211" s="138" t="n">
        <f aca="false">SUMIFS(報告入力!$AZ$7:$AZ$696,報告入力!$A$7:$A$696,$S$197,報告入力!$B$7:$B$696,$A211)</f>
        <v>6075</v>
      </c>
      <c r="D211" s="136" t="n">
        <f aca="false">SUMIFS(報告入力!$BA$7:$BA$696,報告入力!$A$7:$A$696,$S$197,報告入力!$B$7:$B$696,$A211)</f>
        <v>106434</v>
      </c>
      <c r="E211" s="139" t="n">
        <f aca="false">SUMIFS(報告入力!$BB$7:$BB$696,報告入力!$A$7:$A$696,$S$197,報告入力!$B$7:$B$696,$A211)</f>
        <v>6075</v>
      </c>
      <c r="F211" s="138" t="n">
        <f aca="false">SUMIFS(報告入力!$BC$7:$BC$696,報告入力!$A$7:$A$696,$S$197,報告入力!$B$7:$B$696,$A211)</f>
        <v>70</v>
      </c>
      <c r="G211" s="133" t="n">
        <f aca="false">SUM(B211:F211)</f>
        <v>192769</v>
      </c>
      <c r="H211" s="139" t="n">
        <f aca="false">SUMIFS(報告入力!$BD$7:$BD$696,報告入力!$A$7:$A$696,$S$197,報告入力!$B$7:$B$696,$A211)</f>
        <v>42006</v>
      </c>
      <c r="I211" s="230" t="n">
        <f aca="false">SUMIFS(報告入力!$BE$7:$BE$696,報告入力!$A$7:$A$696,$S$197,報告入力!$B$7:$B$696,$A211)</f>
        <v>42711</v>
      </c>
      <c r="J211" s="133" t="n">
        <f aca="false">SUM(H211:I211)</f>
        <v>84717</v>
      </c>
      <c r="K211" s="230" t="n">
        <f aca="false">SUMIFS(報告入力!$BF$7:$BF$696,報告入力!$A$7:$A$696,$S$197,報告入力!$B$7:$B$696,$A211)</f>
        <v>6399</v>
      </c>
      <c r="L211" s="230" t="n">
        <f aca="false">SUMIFS(報告入力!$BG$7:$BG$696,報告入力!$A$7:$A$696,$S$197,報告入力!$B$7:$B$696,$A211)</f>
        <v>6399</v>
      </c>
      <c r="M211" s="133" t="n">
        <f aca="false">SUM(K211:L211)</f>
        <v>12798</v>
      </c>
      <c r="N211" s="230" t="n">
        <f aca="false">SUMIFS(報告入力!$BH$7:$BH$696,報告入力!$A$7:$A$696,$S$197,報告入力!$B$7:$B$696,$A211)</f>
        <v>931</v>
      </c>
      <c r="O211" s="230" t="n">
        <f aca="false">SUMIFS(報告入力!$BI$7:$BI$696,報告入力!$A$7:$A$696,$S$197,報告入力!$B$7:$B$696,$A211)</f>
        <v>931</v>
      </c>
      <c r="P211" s="141" t="n">
        <f aca="false">SUM(N211:O211)</f>
        <v>1862</v>
      </c>
      <c r="Q211" s="135" t="str">
        <f aca="false">IF(P146=P211,"〇","×")</f>
        <v>×</v>
      </c>
      <c r="R211" s="135" t="str">
        <f aca="false">IFERROR(INDEX(報告入力!$C$7:$C$696,MATCH($S$197&amp;"|"&amp;$A211,報告入力!$CM$7:$CM$696,0)),"")</f>
        <v>入金確認済</v>
      </c>
    </row>
    <row r="212" s="162" customFormat="true" ht="19.5" hidden="false" customHeight="true" outlineLevel="0" collapsed="false">
      <c r="A212" s="151" t="s">
        <v>179</v>
      </c>
      <c r="B212" s="152" t="n">
        <f aca="false">SUMIFS(報告入力!$AY$7:$AY$696,報告入力!$A$7:$A$696,$S$197,報告入力!$B$7:$B$696,$A212)</f>
        <v>0</v>
      </c>
      <c r="C212" s="153" t="n">
        <f aca="false">SUMIFS(報告入力!$AZ$7:$AZ$696,報告入力!$A$7:$A$696,$S$197,報告入力!$B$7:$B$696,$A212)</f>
        <v>0</v>
      </c>
      <c r="D212" s="154"/>
      <c r="E212" s="155"/>
      <c r="F212" s="156" t="n">
        <f aca="false">SUMIFS(報告入力!$BC$7:$BC$696,報告入力!$A$7:$A$696,$S$197,報告入力!$B$7:$B$696,$A212)</f>
        <v>0</v>
      </c>
      <c r="G212" s="157" t="n">
        <f aca="false">SUM(B212:F212)</f>
        <v>0</v>
      </c>
      <c r="H212" s="139" t="n">
        <f aca="false">SUMIFS(報告入力!$BD$7:$BD$696,報告入力!$A$7:$A$696,$S$197,報告入力!$B$7:$B$696,$A212)</f>
        <v>352375</v>
      </c>
      <c r="I212" s="140" t="n">
        <f aca="false">SUMIFS(報告入力!$BE$7:$BE$696,報告入力!$A$7:$A$696,$S$197,報告入力!$B$7:$B$696,$A212)</f>
        <v>358299</v>
      </c>
      <c r="J212" s="141" t="n">
        <f aca="false">SUM(H212:I212)</f>
        <v>710674</v>
      </c>
      <c r="K212" s="134" t="n">
        <f aca="false">SUMIFS(報告入力!$BF$7:$BF$696,報告入力!$A$7:$A$696,$S$197,報告入力!$B$7:$B$696,$A212)</f>
        <v>12083</v>
      </c>
      <c r="L212" s="140" t="n">
        <f aca="false">SUMIFS(報告入力!$BG$7:$BG$696,報告入力!$A$7:$A$696,$S$197,報告入力!$B$7:$B$696,$A212)</f>
        <v>12086</v>
      </c>
      <c r="M212" s="141" t="n">
        <f aca="false">SUM(K212:L212)</f>
        <v>24169</v>
      </c>
      <c r="N212" s="230" t="n">
        <f aca="false">SUMIFS(報告入力!$BH$7:$BH$696,報告入力!$A$7:$A$696,$S$197,報告入力!$B$7:$B$696,$A212)</f>
        <v>7804</v>
      </c>
      <c r="O212" s="230" t="n">
        <f aca="false">SUMIFS(報告入力!$BI$7:$BI$696,報告入力!$A$7:$A$696,$S$197,報告入力!$B$7:$B$696,$A212)</f>
        <v>7813</v>
      </c>
      <c r="P212" s="141" t="n">
        <f aca="false">SUM(N212:O212)</f>
        <v>15617</v>
      </c>
      <c r="Q212" s="162" t="str">
        <f aca="false">IF(P147=P212,"〇","×")</f>
        <v>×</v>
      </c>
      <c r="R212" s="162" t="str">
        <f aca="false">IFERROR(INDEX(報告入力!$C$7:$C$696,MATCH($S$197&amp;"|"&amp;$A212,報告入力!$CM$7:$CM$696,0)),"")</f>
        <v>入金確認済</v>
      </c>
    </row>
    <row r="213" s="162" customFormat="true" ht="19.5" hidden="false" customHeight="true" outlineLevel="0" collapsed="false">
      <c r="A213" s="163" t="s">
        <v>496</v>
      </c>
      <c r="B213" s="164"/>
      <c r="C213" s="165"/>
      <c r="D213" s="164"/>
      <c r="E213" s="166"/>
      <c r="F213" s="167"/>
      <c r="G213" s="168"/>
      <c r="H213" s="169"/>
      <c r="I213" s="170"/>
      <c r="J213" s="171"/>
      <c r="K213" s="172"/>
      <c r="L213" s="173"/>
      <c r="M213" s="173"/>
      <c r="N213" s="172"/>
      <c r="O213" s="173"/>
      <c r="P213" s="171"/>
      <c r="Q213" s="162" t="str">
        <f aca="false">IF(P148=P213,"〇","×")</f>
        <v>〇</v>
      </c>
    </row>
    <row r="214" s="162" customFormat="true" ht="19.5" hidden="false" customHeight="true" outlineLevel="0" collapsed="false">
      <c r="A214" s="174" t="s">
        <v>496</v>
      </c>
      <c r="B214" s="175"/>
      <c r="C214" s="176"/>
      <c r="D214" s="175"/>
      <c r="E214" s="177"/>
      <c r="F214" s="178"/>
      <c r="G214" s="179"/>
      <c r="H214" s="180"/>
      <c r="I214" s="177"/>
      <c r="J214" s="181"/>
      <c r="K214" s="182"/>
      <c r="L214" s="183"/>
      <c r="M214" s="183"/>
      <c r="N214" s="182"/>
      <c r="O214" s="183"/>
      <c r="P214" s="181"/>
      <c r="Q214" s="162" t="str">
        <f aca="false">IF(P149=P214,"〇","×")</f>
        <v>〇</v>
      </c>
    </row>
    <row r="215" s="162" customFormat="true" ht="19.5" hidden="false" customHeight="true" outlineLevel="0" collapsed="false">
      <c r="A215" s="174" t="s">
        <v>496</v>
      </c>
      <c r="B215" s="164"/>
      <c r="C215" s="165"/>
      <c r="D215" s="164"/>
      <c r="E215" s="166"/>
      <c r="F215" s="167"/>
      <c r="G215" s="168"/>
      <c r="H215" s="184"/>
      <c r="I215" s="166"/>
      <c r="J215" s="171"/>
      <c r="K215" s="185"/>
      <c r="L215" s="186"/>
      <c r="M215" s="186"/>
      <c r="N215" s="185"/>
      <c r="O215" s="186"/>
      <c r="P215" s="171"/>
      <c r="Q215" s="162" t="str">
        <f aca="false">IF(P150=P215,"〇","×")</f>
        <v>〇</v>
      </c>
    </row>
    <row r="216" s="162" customFormat="true" ht="19.5" hidden="false" customHeight="true" outlineLevel="0" collapsed="false">
      <c r="A216" s="187" t="s">
        <v>496</v>
      </c>
      <c r="B216" s="188"/>
      <c r="C216" s="189"/>
      <c r="D216" s="188"/>
      <c r="E216" s="190"/>
      <c r="F216" s="191"/>
      <c r="G216" s="192"/>
      <c r="H216" s="180"/>
      <c r="I216" s="193"/>
      <c r="J216" s="194"/>
      <c r="K216" s="182"/>
      <c r="L216" s="183"/>
      <c r="M216" s="195"/>
      <c r="N216" s="182"/>
      <c r="O216" s="183"/>
      <c r="P216" s="194"/>
      <c r="Q216" s="162" t="str">
        <f aca="false">IF(P151=P216,"〇","×")</f>
        <v>〇</v>
      </c>
    </row>
    <row r="217" s="162" customFormat="true" ht="19.5" hidden="false" customHeight="true" outlineLevel="0" collapsed="false">
      <c r="A217" s="196" t="s">
        <v>497</v>
      </c>
      <c r="B217" s="197" t="n">
        <f aca="false">SUM(B201:B216)</f>
        <v>687743771</v>
      </c>
      <c r="C217" s="198" t="n">
        <f aca="false">SUM(C201:C216)</f>
        <v>56381621</v>
      </c>
      <c r="D217" s="197" t="n">
        <f aca="false">SUM(D201:D216)</f>
        <v>981734591</v>
      </c>
      <c r="E217" s="199" t="n">
        <f aca="false">SUM(E201:E216)</f>
        <v>55353767</v>
      </c>
      <c r="F217" s="200" t="n">
        <f aca="false">SUM(F201:F216)</f>
        <v>649982</v>
      </c>
      <c r="G217" s="201" t="n">
        <f aca="false">SUM(B217:F217)</f>
        <v>1781863732</v>
      </c>
      <c r="H217" s="198" t="n">
        <f aca="false">SUM(H201:H216)</f>
        <v>483084065</v>
      </c>
      <c r="I217" s="198" t="n">
        <f aca="false">SUM(I201:I216)</f>
        <v>484135955</v>
      </c>
      <c r="J217" s="200" t="n">
        <f aca="false">SUM(H217:I217)</f>
        <v>967220020</v>
      </c>
      <c r="K217" s="197" t="n">
        <f aca="false">SUM(K201:K216)</f>
        <v>46120402</v>
      </c>
      <c r="L217" s="198" t="n">
        <f aca="false">SUM(L201:L216)</f>
        <v>45259790</v>
      </c>
      <c r="M217" s="200" t="n">
        <f aca="false">SUM(K217:L217)</f>
        <v>91380192</v>
      </c>
      <c r="N217" s="197" t="n">
        <f aca="false">SUM(N201:N216)</f>
        <v>10705655</v>
      </c>
      <c r="O217" s="198" t="n">
        <f aca="false">SUM(O201:O216)</f>
        <v>10552642</v>
      </c>
      <c r="P217" s="200" t="n">
        <f aca="false">SUM(N217:O217)</f>
        <v>21258297</v>
      </c>
      <c r="Q217" s="162" t="str">
        <f aca="false">IF(P152=P217,"〇","×")</f>
        <v>×</v>
      </c>
    </row>
    <row r="218" s="135" customFormat="true" ht="20.1" hidden="false" customHeight="true" outlineLevel="0" collapsed="false">
      <c r="A218" s="202" t="s">
        <v>180</v>
      </c>
      <c r="B218" s="336"/>
      <c r="C218" s="333"/>
      <c r="D218" s="324"/>
      <c r="E218" s="328"/>
      <c r="F218" s="333"/>
      <c r="G218" s="327" t="n">
        <f aca="false">SUM(B218:F218)</f>
        <v>0</v>
      </c>
      <c r="H218" s="328"/>
      <c r="I218" s="335"/>
      <c r="J218" s="327" t="n">
        <f aca="false">SUM(H218:I218)</f>
        <v>0</v>
      </c>
      <c r="K218" s="335"/>
      <c r="L218" s="335"/>
      <c r="M218" s="327" t="n">
        <f aca="false">SUM(K218:L218)</f>
        <v>0</v>
      </c>
      <c r="N218" s="335"/>
      <c r="O218" s="335"/>
      <c r="P218" s="330" t="n">
        <f aca="false">SUM(N218:O218)</f>
        <v>0</v>
      </c>
      <c r="Q218" s="135" t="str">
        <f aca="false">IF(P153=P218,"〇","×")</f>
        <v>〇</v>
      </c>
      <c r="R218" s="135" t="str">
        <f aca="false">IFERROR(INDEX(報告入力!$C$7:$C$696,MATCH($S$197&amp;"|"&amp;$A218,報告入力!$CM$7:$CM$696,0)),"")</f>
        <v>報告なし</v>
      </c>
    </row>
    <row r="219" s="135" customFormat="true" ht="20.1" hidden="false" customHeight="true" outlineLevel="0" collapsed="false">
      <c r="A219" s="125" t="s">
        <v>182</v>
      </c>
      <c r="B219" s="142" t="n">
        <f aca="false">SUMIFS(報告入力!$AY$7:$AY$696,報告入力!$A$7:$A$696,$S$197,報告入力!$B$7:$B$696,$A219)</f>
        <v>0</v>
      </c>
      <c r="C219" s="138" t="n">
        <f aca="false">SUMIFS(報告入力!$AZ$7:$AZ$696,報告入力!$A$7:$A$696,$S$197,報告入力!$B$7:$B$696,$A219)</f>
        <v>0</v>
      </c>
      <c r="D219" s="136" t="n">
        <f aca="false">SUMIFS(報告入力!$BA$7:$BA$696,報告入力!$A$7:$A$696,$S$197,報告入力!$B$7:$B$696,$A219)</f>
        <v>1500878</v>
      </c>
      <c r="E219" s="139" t="n">
        <f aca="false">SUMIFS(報告入力!$BB$7:$BB$696,報告入力!$A$7:$A$696,$S$197,報告入力!$B$7:$B$696,$A219)</f>
        <v>123022</v>
      </c>
      <c r="F219" s="138" t="n">
        <f aca="false">SUMIFS(報告入力!$BC$7:$BC$696,報告入力!$A$7:$A$696,$S$197,報告入力!$B$7:$B$696,$A219)</f>
        <v>1425</v>
      </c>
      <c r="G219" s="133" t="n">
        <f aca="false">SUM(B219:F219)</f>
        <v>1625325</v>
      </c>
      <c r="H219" s="139" t="n">
        <f aca="false">SUMIFS(報告入力!$BD$7:$BD$696,報告入力!$A$7:$A$696,$S$197,報告入力!$B$7:$B$696,$A219)</f>
        <v>0</v>
      </c>
      <c r="I219" s="230" t="n">
        <f aca="false">SUMIFS(報告入力!$BE$7:$BE$696,報告入力!$A$7:$A$696,$S$197,報告入力!$B$7:$B$696,$A219)</f>
        <v>851479</v>
      </c>
      <c r="J219" s="133" t="n">
        <f aca="false">SUM(H219:I219)</f>
        <v>851479</v>
      </c>
      <c r="K219" s="230" t="n">
        <f aca="false">SUMIFS(報告入力!$BF$7:$BF$696,報告入力!$A$7:$A$696,$S$197,報告入力!$B$7:$B$696,$A219)</f>
        <v>0</v>
      </c>
      <c r="L219" s="230" t="n">
        <f aca="false">SUMIFS(報告入力!$BG$7:$BG$696,報告入力!$A$7:$A$696,$S$197,報告入力!$B$7:$B$696,$A219)</f>
        <v>108719</v>
      </c>
      <c r="M219" s="133" t="n">
        <f aca="false">SUM(K219:L219)</f>
        <v>108719</v>
      </c>
      <c r="N219" s="230" t="n">
        <f aca="false">SUMIFS(報告入力!$BH$7:$BH$696,報告入力!$A$7:$A$696,$S$197,報告入力!$B$7:$B$696,$A219)</f>
        <v>0</v>
      </c>
      <c r="O219" s="230" t="n">
        <f aca="false">SUMIFS(報告入力!$BI$7:$BI$696,報告入力!$A$7:$A$696,$S$197,報告入力!$B$7:$B$696,$A219)</f>
        <v>18863</v>
      </c>
      <c r="P219" s="141" t="n">
        <f aca="false">SUM(N219:O219)</f>
        <v>18863</v>
      </c>
      <c r="Q219" s="135" t="str">
        <f aca="false">IF(P154=P219,"〇","×")</f>
        <v>×</v>
      </c>
      <c r="R219" s="135" t="str">
        <f aca="false">IFERROR(INDEX(報告入力!$C$7:$C$696,MATCH($S$197&amp;"|"&amp;$A219,報告入力!$CM$7:$CM$696,0)),"")</f>
        <v>入金確認済</v>
      </c>
    </row>
    <row r="220" s="135" customFormat="true" ht="20.1" hidden="false" customHeight="true" outlineLevel="0" collapsed="false">
      <c r="A220" s="125" t="s">
        <v>183</v>
      </c>
      <c r="B220" s="211"/>
      <c r="C220" s="212"/>
      <c r="D220" s="136" t="n">
        <f aca="false">SUMIFS(報告入力!$BA$7:$BA$696,報告入力!$A$7:$A$696,$S$197,報告入力!$B$7:$B$696,$A220)</f>
        <v>4100217</v>
      </c>
      <c r="E220" s="139" t="n">
        <f aca="false">SUMIFS(報告入力!$BB$7:$BB$696,報告入力!$A$7:$A$696,$S$197,報告入力!$B$7:$B$696,$A220)</f>
        <v>336079</v>
      </c>
      <c r="F220" s="138" t="n">
        <f aca="false">SUMIFS(報告入力!$BC$7:$BC$696,報告入力!$A$7:$A$696,$S$197,報告入力!$B$7:$B$696,$A220)</f>
        <v>4035</v>
      </c>
      <c r="G220" s="133" t="n">
        <f aca="false">SUM(B220:F220)</f>
        <v>4440331</v>
      </c>
      <c r="H220" s="213"/>
      <c r="I220" s="230" t="n">
        <f aca="false">SUMIFS(報告入力!$BE$7:$BE$696,報告入力!$A$7:$A$696,$S$197,報告入力!$B$7:$B$696,$A220)</f>
        <v>2386276</v>
      </c>
      <c r="J220" s="133" t="n">
        <f aca="false">SUM(H220:I220)</f>
        <v>2386276</v>
      </c>
      <c r="K220" s="213"/>
      <c r="L220" s="230" t="n">
        <f aca="false">SUMIFS(報告入力!$BG$7:$BG$696,報告入力!$A$7:$A$696,$S$197,報告入力!$B$7:$B$696,$A220)</f>
        <v>271657</v>
      </c>
      <c r="M220" s="133" t="n">
        <f aca="false">SUM(K220:L220)</f>
        <v>271657</v>
      </c>
      <c r="N220" s="213"/>
      <c r="O220" s="230" t="n">
        <f aca="false">SUMIFS(報告入力!$BI$7:$BI$696,報告入力!$A$7:$A$696,$S$197,報告入力!$B$7:$B$696,$A220)</f>
        <v>52855</v>
      </c>
      <c r="P220" s="141" t="n">
        <f aca="false">SUM(N220:O220)</f>
        <v>52855</v>
      </c>
      <c r="Q220" s="135" t="str">
        <f aca="false">IF(P155=P220,"〇","×")</f>
        <v>×</v>
      </c>
      <c r="R220" s="135" t="str">
        <f aca="false">IFERROR(INDEX(報告入力!$C$7:$C$696,MATCH($S$197&amp;"|"&amp;$A220,報告入力!$CM$7:$CM$696,0)),"")</f>
        <v>入金確認済</v>
      </c>
    </row>
    <row r="221" s="135" customFormat="true" ht="20.1" hidden="false" customHeight="true" outlineLevel="0" collapsed="false">
      <c r="A221" s="125" t="s">
        <v>184</v>
      </c>
      <c r="B221" s="211"/>
      <c r="C221" s="212"/>
      <c r="D221" s="136" t="n">
        <f aca="false">SUMIFS(報告入力!$BA$7:$BA$696,報告入力!$A$7:$A$696,$S$197,報告入力!$B$7:$B$696,$A221)</f>
        <v>100467</v>
      </c>
      <c r="E221" s="139" t="n">
        <f aca="false">SUMIFS(報告入力!$BB$7:$BB$696,報告入力!$A$7:$A$696,$S$197,報告入力!$B$7:$B$696,$A221)</f>
        <v>8235</v>
      </c>
      <c r="F221" s="138" t="n">
        <f aca="false">SUMIFS(報告入力!$BC$7:$BC$696,報告入力!$A$7:$A$696,$S$197,報告入力!$B$7:$B$696,$A221)</f>
        <v>95</v>
      </c>
      <c r="G221" s="133" t="n">
        <f aca="false">SUM(B221:F221)</f>
        <v>108797</v>
      </c>
      <c r="H221" s="213"/>
      <c r="I221" s="230" t="n">
        <f aca="false">SUMIFS(報告入力!$BE$7:$BE$696,報告入力!$A$7:$A$696,$S$197,報告入力!$B$7:$B$696,$A221)</f>
        <v>56997</v>
      </c>
      <c r="J221" s="133" t="n">
        <f aca="false">SUM(H221:I221)</f>
        <v>56997</v>
      </c>
      <c r="K221" s="213"/>
      <c r="L221" s="230" t="n">
        <f aca="false">SUMIFS(報告入力!$BG$7:$BG$696,報告入力!$A$7:$A$696,$S$197,報告入力!$B$7:$B$696,$A221)</f>
        <v>8674</v>
      </c>
      <c r="M221" s="133" t="n">
        <f aca="false">SUM(K221:L221)</f>
        <v>8674</v>
      </c>
      <c r="N221" s="213"/>
      <c r="O221" s="230" t="n">
        <f aca="false">SUMIFS(報告入力!$BI$7:$BI$696,報告入力!$A$7:$A$696,$S$197,報告入力!$B$7:$B$696,$A221)</f>
        <v>1262</v>
      </c>
      <c r="P221" s="141" t="n">
        <f aca="false">SUM(N221:O221)</f>
        <v>1262</v>
      </c>
      <c r="Q221" s="135" t="str">
        <f aca="false">IF(P156=P221,"〇","×")</f>
        <v>×</v>
      </c>
      <c r="R221" s="135" t="str">
        <f aca="false">IFERROR(INDEX(報告入力!$C$7:$C$696,MATCH($S$197&amp;"|"&amp;$A221,報告入力!$CM$7:$CM$696,0)),"")</f>
        <v>入金確認済</v>
      </c>
    </row>
    <row r="222" s="135" customFormat="true" ht="20.1" hidden="false" customHeight="true" outlineLevel="0" collapsed="false">
      <c r="A222" s="214" t="s">
        <v>185</v>
      </c>
      <c r="B222" s="211"/>
      <c r="C222" s="212"/>
      <c r="D222" s="136" t="n">
        <f aca="false">SUMIFS(報告入力!$BA$7:$BA$696,報告入力!$A$7:$A$696,$S$197,報告入力!$B$7:$B$696,$A222)</f>
        <v>761008</v>
      </c>
      <c r="E222" s="139" t="n">
        <f aca="false">SUMIFS(報告入力!$BB$7:$BB$696,報告入力!$A$7:$A$696,$S$197,報告入力!$B$7:$B$696,$A222)</f>
        <v>62378</v>
      </c>
      <c r="F222" s="138" t="n">
        <f aca="false">SUMIFS(報告入力!$BC$7:$BC$696,報告入力!$A$7:$A$696,$S$197,報告入力!$B$7:$B$696,$A222)</f>
        <v>817</v>
      </c>
      <c r="G222" s="133" t="n">
        <f aca="false">SUM(B222:F222)</f>
        <v>824203</v>
      </c>
      <c r="H222" s="213"/>
      <c r="I222" s="230" t="n">
        <f aca="false">SUMIFS(報告入力!$BE$7:$BE$696,報告入力!$A$7:$A$696,$S$197,報告入力!$B$7:$B$696,$A222)</f>
        <v>431790</v>
      </c>
      <c r="J222" s="133" t="n">
        <f aca="false">SUM(H222:I222)</f>
        <v>431790</v>
      </c>
      <c r="K222" s="213"/>
      <c r="L222" s="230" t="n">
        <f aca="false">SUMIFS(報告入力!$BG$7:$BG$696,報告入力!$A$7:$A$696,$S$197,報告入力!$B$7:$B$696,$A222)</f>
        <v>55725</v>
      </c>
      <c r="M222" s="133" t="n">
        <f aca="false">SUM(K222:L222)</f>
        <v>55725</v>
      </c>
      <c r="N222" s="213"/>
      <c r="O222" s="230" t="n">
        <f aca="false">SUMIFS(報告入力!$BI$7:$BI$696,報告入力!$A$7:$A$696,$S$197,報告入力!$B$7:$B$696,$A222)</f>
        <v>9563</v>
      </c>
      <c r="P222" s="141" t="n">
        <f aca="false">SUM(N222:O222)</f>
        <v>9563</v>
      </c>
      <c r="Q222" s="135" t="str">
        <f aca="false">IF(P157=P222,"〇","×")</f>
        <v>×</v>
      </c>
      <c r="R222" s="135" t="str">
        <f aca="false">IFERROR(INDEX(報告入力!$C$7:$C$696,MATCH($S$197&amp;"|"&amp;$A222,報告入力!$CM$7:$CM$696,0)),"")</f>
        <v>入金確認済</v>
      </c>
    </row>
    <row r="223" s="135" customFormat="true" ht="20.1" hidden="false" customHeight="true" outlineLevel="0" collapsed="false">
      <c r="A223" s="146" t="s">
        <v>186</v>
      </c>
      <c r="B223" s="211"/>
      <c r="C223" s="216"/>
      <c r="D223" s="136" t="n">
        <f aca="false">SUMIFS(報告入力!$BA$7:$BA$696,報告入力!$A$7:$A$696,$S$197,報告入力!$B$7:$B$696,$A223)</f>
        <v>97264</v>
      </c>
      <c r="E223" s="139" t="n">
        <f aca="false">SUMIFS(報告入力!$BB$7:$BB$696,報告入力!$A$7:$A$696,$S$197,報告入力!$B$7:$B$696,$A223)</f>
        <v>7972</v>
      </c>
      <c r="F223" s="138" t="n">
        <f aca="false">SUMIFS(報告入力!$BC$7:$BC$696,報告入力!$A$7:$A$696,$S$197,報告入力!$B$7:$B$696,$A223)</f>
        <v>92</v>
      </c>
      <c r="G223" s="133" t="n">
        <f aca="false">SUM(B223:F223)</f>
        <v>105328</v>
      </c>
      <c r="H223" s="213"/>
      <c r="I223" s="230" t="n">
        <f aca="false">SUMIFS(報告入力!$BE$7:$BE$696,報告入力!$A$7:$A$696,$S$197,報告入力!$B$7:$B$696,$A223)</f>
        <v>55180</v>
      </c>
      <c r="J223" s="133" t="n">
        <f aca="false">SUM(H223:I223)</f>
        <v>55180</v>
      </c>
      <c r="K223" s="213"/>
      <c r="L223" s="230" t="n">
        <f aca="false">SUMIFS(報告入力!$BG$7:$BG$696,報告入力!$A$7:$A$696,$S$197,報告入力!$B$7:$B$696,$A223)</f>
        <v>8397</v>
      </c>
      <c r="M223" s="133" t="n">
        <f aca="false">SUM(K223:L223)</f>
        <v>8397</v>
      </c>
      <c r="N223" s="213"/>
      <c r="O223" s="230" t="n">
        <f aca="false">SUMIFS(報告入力!$BI$7:$BI$696,報告入力!$A$7:$A$696,$S$197,報告入力!$B$7:$B$696,$A223)</f>
        <v>1222</v>
      </c>
      <c r="P223" s="141" t="n">
        <f aca="false">SUM(N223:O223)</f>
        <v>1222</v>
      </c>
      <c r="Q223" s="135" t="str">
        <f aca="false">IF(P158=P223,"〇","×")</f>
        <v>×</v>
      </c>
      <c r="R223" s="135" t="str">
        <f aca="false">IFERROR(INDEX(報告入力!$C$7:$C$696,MATCH($S$197&amp;"|"&amp;$A223,報告入力!$CM$7:$CM$696,0)),"")</f>
        <v>入金確認済</v>
      </c>
    </row>
    <row r="224" s="135" customFormat="true" ht="20.1" hidden="false" customHeight="true" outlineLevel="0" collapsed="false">
      <c r="A224" s="146" t="s">
        <v>187</v>
      </c>
      <c r="B224" s="211"/>
      <c r="C224" s="216"/>
      <c r="D224" s="136" t="n">
        <f aca="false">SUMIFS(報告入力!$BA$7:$BA$696,報告入力!$A$7:$A$696,$S$197,報告入力!$B$7:$B$696,$A224)</f>
        <v>0</v>
      </c>
      <c r="E224" s="139" t="n">
        <f aca="false">SUMIFS(報告入力!$BB$7:$BB$696,報告入力!$A$7:$A$696,$S$197,報告入力!$B$7:$B$696,$A224)</f>
        <v>0</v>
      </c>
      <c r="F224" s="138" t="n">
        <f aca="false">SUMIFS(報告入力!$BC$7:$BC$696,報告入力!$A$7:$A$696,$S$197,報告入力!$B$7:$B$696,$A224)</f>
        <v>0</v>
      </c>
      <c r="G224" s="133" t="n">
        <f aca="false">SUM(B224:F224)</f>
        <v>0</v>
      </c>
      <c r="H224" s="213"/>
      <c r="I224" s="230" t="n">
        <f aca="false">SUMIFS(報告入力!$BE$7:$BE$696,報告入力!$A$7:$A$696,$S$197,報告入力!$B$7:$B$696,$A224)</f>
        <v>0</v>
      </c>
      <c r="J224" s="133" t="n">
        <f aca="false">SUM(H224:I224)</f>
        <v>0</v>
      </c>
      <c r="K224" s="213"/>
      <c r="L224" s="230" t="n">
        <f aca="false">SUMIFS(報告入力!$BG$7:$BG$696,報告入力!$A$7:$A$696,$S$197,報告入力!$B$7:$B$696,$A224)</f>
        <v>0</v>
      </c>
      <c r="M224" s="133" t="n">
        <f aca="false">SUM(K224:L224)</f>
        <v>0</v>
      </c>
      <c r="N224" s="213"/>
      <c r="O224" s="230" t="n">
        <f aca="false">SUMIFS(報告入力!$BI$7:$BI$696,報告入力!$A$7:$A$696,$S$197,報告入力!$B$7:$B$696,$A224)</f>
        <v>0</v>
      </c>
      <c r="P224" s="141" t="n">
        <f aca="false">SUM(N224:O224)</f>
        <v>0</v>
      </c>
      <c r="Q224" s="135" t="str">
        <f aca="false">IF(P159=P224,"〇","×")</f>
        <v>〇</v>
      </c>
      <c r="R224" s="135" t="str">
        <f aca="false">IFERROR(INDEX(報告入力!$C$7:$C$696,MATCH($S$197&amp;"|"&amp;$A224,報告入力!$CM$7:$CM$696,0)),"")</f>
        <v>入金確認済</v>
      </c>
    </row>
    <row r="225" s="135" customFormat="true" ht="20.1" hidden="false" customHeight="true" outlineLevel="0" collapsed="false">
      <c r="A225" s="217" t="s">
        <v>188</v>
      </c>
      <c r="B225" s="211"/>
      <c r="C225" s="218"/>
      <c r="D225" s="136" t="n">
        <f aca="false">SUMIFS(報告入力!$BA$7:$BA$696,報告入力!$A$7:$A$696,$S$197,報告入力!$B$7:$B$696,$A225)</f>
        <v>406444</v>
      </c>
      <c r="E225" s="139" t="n">
        <f aca="false">SUMIFS(報告入力!$BB$7:$BB$696,報告入力!$A$7:$A$696,$S$197,報告入力!$B$7:$B$696,$A225)</f>
        <v>33315</v>
      </c>
      <c r="F225" s="138" t="n">
        <f aca="false">SUMIFS(報告入力!$BC$7:$BC$696,報告入力!$A$7:$A$696,$S$197,報告入力!$B$7:$B$696,$A225)</f>
        <v>386</v>
      </c>
      <c r="G225" s="133" t="n">
        <f aca="false">SUM(B225:F225)</f>
        <v>440145</v>
      </c>
      <c r="H225" s="213"/>
      <c r="I225" s="230" t="n">
        <f aca="false">SUMIFS(報告入力!$BE$7:$BE$696,報告入力!$A$7:$A$696,$S$197,報告入力!$B$7:$B$696,$A225)</f>
        <v>230584</v>
      </c>
      <c r="J225" s="133" t="n">
        <f aca="false">SUM(H225:I225)</f>
        <v>230584</v>
      </c>
      <c r="K225" s="213"/>
      <c r="L225" s="230" t="n">
        <f aca="false">SUMIFS(報告入力!$BG$7:$BG$696,報告入力!$A$7:$A$696,$S$197,報告入力!$B$7:$B$696,$A225)</f>
        <v>27744</v>
      </c>
      <c r="M225" s="133" t="n">
        <f aca="false">SUM(K225:L225)</f>
        <v>27744</v>
      </c>
      <c r="N225" s="213"/>
      <c r="O225" s="230" t="n">
        <f aca="false">SUMIFS(報告入力!$BI$7:$BI$696,報告入力!$A$7:$A$696,$S$197,報告入力!$B$7:$B$696,$A225)</f>
        <v>5108</v>
      </c>
      <c r="P225" s="141" t="n">
        <f aca="false">SUM(N225:O225)</f>
        <v>5108</v>
      </c>
      <c r="Q225" s="135" t="str">
        <f aca="false">IF(P160=P225,"〇","×")</f>
        <v>×</v>
      </c>
      <c r="R225" s="135" t="str">
        <f aca="false">IFERROR(INDEX(報告入力!$C$7:$C$696,MATCH($S$197&amp;"|"&amp;$A225,報告入力!$CM$7:$CM$696,0)),"")</f>
        <v>入金確認済</v>
      </c>
    </row>
    <row r="226" s="135" customFormat="true" ht="20.1" hidden="false" customHeight="true" outlineLevel="0" collapsed="false">
      <c r="A226" s="125" t="s">
        <v>189</v>
      </c>
      <c r="B226" s="142" t="n">
        <f aca="false">SUMIFS(報告入力!$AY$7:$AY$696,報告入力!$A$7:$A$696,$S$197,報告入力!$B$7:$B$696,$A226)</f>
        <v>472780</v>
      </c>
      <c r="C226" s="138" t="n">
        <f aca="false">SUMIFS(報告入力!$AZ$7:$AZ$696,報告入力!$A$7:$A$696,$S$197,報告入力!$B$7:$B$696,$A226)</f>
        <v>38752</v>
      </c>
      <c r="D226" s="136" t="n">
        <f aca="false">SUMIFS(報告入力!$BA$7:$BA$696,報告入力!$A$7:$A$696,$S$197,報告入力!$B$7:$B$696,$A226)</f>
        <v>472781</v>
      </c>
      <c r="E226" s="139" t="n">
        <f aca="false">SUMIFS(報告入力!$BB$7:$BB$696,報告入力!$A$7:$A$696,$S$197,報告入力!$B$7:$B$696,$A226)</f>
        <v>38752</v>
      </c>
      <c r="F226" s="138" t="n">
        <f aca="false">SUMIFS(報告入力!$BC$7:$BC$696,報告入力!$A$7:$A$696,$S$197,報告入力!$B$7:$B$696,$A226)</f>
        <v>449</v>
      </c>
      <c r="G226" s="133" t="n">
        <f aca="false">SUM(B226:F226)</f>
        <v>1023514</v>
      </c>
      <c r="H226" s="139" t="n">
        <f aca="false">SUMIFS(報告入力!$BD$7:$BD$696,報告入力!$A$7:$A$696,$S$197,報告入力!$B$7:$B$696,$A226)</f>
        <v>267959</v>
      </c>
      <c r="I226" s="230" t="n">
        <f aca="false">SUMIFS(報告入力!$BE$7:$BE$696,報告入力!$A$7:$A$696,$S$197,報告入力!$B$7:$B$696,$A226)</f>
        <v>268218</v>
      </c>
      <c r="J226" s="133" t="n">
        <f aca="false">SUM(H226:I226)</f>
        <v>536177</v>
      </c>
      <c r="K226" s="230" t="n">
        <f aca="false">SUMIFS(報告入力!$BF$7:$BF$696,報告入力!$A$7:$A$696,$S$197,報告入力!$B$7:$B$696,$A226)</f>
        <v>19702</v>
      </c>
      <c r="L226" s="230" t="n">
        <f aca="false">SUMIFS(報告入力!$BG$7:$BG$696,報告入力!$A$7:$A$696,$S$197,報告入力!$B$7:$B$696,$A226)</f>
        <v>19702</v>
      </c>
      <c r="M226" s="133" t="n">
        <f aca="false">SUM(K226:L226)</f>
        <v>39404</v>
      </c>
      <c r="N226" s="230" t="n">
        <f aca="false">SUMIFS(報告入力!$BH$7:$BH$696,報告入力!$A$7:$A$696,$S$197,報告入力!$B$7:$B$696,$A226)</f>
        <v>5940</v>
      </c>
      <c r="O226" s="230" t="n">
        <f aca="false">SUMIFS(報告入力!$BI$7:$BI$696,報告入力!$A$7:$A$696,$S$197,報告入力!$B$7:$B$696,$A226)</f>
        <v>5942</v>
      </c>
      <c r="P226" s="141" t="n">
        <f aca="false">SUM(N226:O226)</f>
        <v>11882</v>
      </c>
      <c r="Q226" s="135" t="str">
        <f aca="false">IF(P161=P226,"〇","×")</f>
        <v>×</v>
      </c>
      <c r="R226" s="135" t="str">
        <f aca="false">IFERROR(INDEX(報告入力!$C$7:$C$696,MATCH($S$197&amp;"|"&amp;$A226,報告入力!$CM$7:$CM$696,0)),"")</f>
        <v>入金確認済</v>
      </c>
    </row>
    <row r="227" s="135" customFormat="true" ht="20.1" hidden="false" customHeight="true" outlineLevel="0" collapsed="false">
      <c r="A227" s="219" t="s">
        <v>190</v>
      </c>
      <c r="B227" s="136" t="n">
        <f aca="false">SUMIFS(報告入力!$AY$7:$AY$696,報告入力!$A$7:$A$696,$S$197,報告入力!$B$7:$B$696,$A227)</f>
        <v>73474</v>
      </c>
      <c r="C227" s="138" t="n">
        <f aca="false">SUMIFS(報告入力!$AZ$7:$AZ$696,報告入力!$A$7:$A$696,$S$197,報告入力!$B$7:$B$696,$A227)</f>
        <v>6022</v>
      </c>
      <c r="D227" s="136" t="n">
        <f aca="false">SUMIFS(報告入力!$BA$7:$BA$696,報告入力!$A$7:$A$696,$S$197,報告入力!$B$7:$B$696,$A227)</f>
        <v>73475</v>
      </c>
      <c r="E227" s="139" t="n">
        <f aca="false">SUMIFS(報告入力!$BB$7:$BB$696,報告入力!$A$7:$A$696,$S$197,報告入力!$B$7:$B$696,$A227)</f>
        <v>6022</v>
      </c>
      <c r="F227" s="138" t="n">
        <f aca="false">SUMIFS(報告入力!$BC$7:$BC$696,報告入力!$A$7:$A$696,$S$197,報告入力!$B$7:$B$696,$A227)</f>
        <v>69</v>
      </c>
      <c r="G227" s="133" t="n">
        <f aca="false">SUM(B227:F227)</f>
        <v>159062</v>
      </c>
      <c r="H227" s="139" t="n">
        <f aca="false">SUMIFS(報告入力!$BD$7:$BD$696,報告入力!$A$7:$A$696,$S$197,報告入力!$B$7:$B$696,$A227)</f>
        <v>41643</v>
      </c>
      <c r="I227" s="230" t="n">
        <f aca="false">SUMIFS(報告入力!$BE$7:$BE$696,報告入力!$A$7:$A$696,$S$197,報告入力!$B$7:$B$696,$A227)</f>
        <v>41683</v>
      </c>
      <c r="J227" s="133" t="n">
        <f aca="false">SUM(H227:I227)</f>
        <v>83326</v>
      </c>
      <c r="K227" s="139" t="n">
        <f aca="false">SUMIFS(報告入力!$BF$7:$BF$696,報告入力!$A$7:$A$696,$S$197,報告入力!$B$7:$B$696,$A227)</f>
        <v>0</v>
      </c>
      <c r="L227" s="230" t="n">
        <f aca="false">SUMIFS(報告入力!$BG$7:$BG$696,報告入力!$A$7:$A$696,$S$197,報告入力!$B$7:$B$696,$A227)</f>
        <v>0</v>
      </c>
      <c r="M227" s="133" t="n">
        <f aca="false">SUM(K227:L227)</f>
        <v>0</v>
      </c>
      <c r="N227" s="139" t="n">
        <f aca="false">SUMIFS(報告入力!$BH$7:$BH$696,報告入力!$A$7:$A$696,$S$197,報告入力!$B$7:$B$696,$A227)</f>
        <v>923</v>
      </c>
      <c r="O227" s="230" t="n">
        <f aca="false">SUMIFS(報告入力!$BI$7:$BI$696,報告入力!$A$7:$A$696,$S$197,報告入力!$B$7:$B$696,$A227)</f>
        <v>923</v>
      </c>
      <c r="P227" s="141" t="n">
        <f aca="false">SUM(N227:O227)</f>
        <v>1846</v>
      </c>
      <c r="Q227" s="135" t="str">
        <f aca="false">IF(P162=P227,"〇","×")</f>
        <v>×</v>
      </c>
      <c r="R227" s="135" t="str">
        <f aca="false">IFERROR(INDEX(報告入力!$C$7:$C$696,MATCH($S$197&amp;"|"&amp;$A227,報告入力!$CM$7:$CM$696,0)),"")</f>
        <v>入金確認済</v>
      </c>
    </row>
    <row r="228" s="135" customFormat="true" ht="20.1" hidden="false" customHeight="true" outlineLevel="0" collapsed="false">
      <c r="A228" s="222" t="s">
        <v>191</v>
      </c>
      <c r="B228" s="142" t="n">
        <f aca="false">SUMIFS(報告入力!$AY$7:$AY$696,報告入力!$A$7:$A$696,$S$197,報告入力!$B$7:$B$696,$A228)</f>
        <v>191783</v>
      </c>
      <c r="C228" s="138" t="n">
        <f aca="false">SUMIFS(報告入力!$AZ$7:$AZ$696,報告入力!$A$7:$A$696,$S$197,報告入力!$B$7:$B$696,$A228)</f>
        <v>15719</v>
      </c>
      <c r="D228" s="136" t="n">
        <f aca="false">SUMIFS(報告入力!$BA$7:$BA$696,報告入力!$A$7:$A$696,$S$197,報告入力!$B$7:$B$696,$A228)</f>
        <v>191785</v>
      </c>
      <c r="E228" s="139" t="n">
        <f aca="false">SUMIFS(報告入力!$BB$7:$BB$696,報告入力!$A$7:$A$696,$S$197,報告入力!$B$7:$B$696,$A228)</f>
        <v>15720</v>
      </c>
      <c r="F228" s="138" t="n">
        <f aca="false">SUMIFS(報告入力!$BC$7:$BC$696,報告入力!$A$7:$A$696,$S$197,報告入力!$B$7:$B$696,$A228)</f>
        <v>182</v>
      </c>
      <c r="G228" s="133" t="n">
        <f aca="false">SUM(B228:F228)</f>
        <v>415189</v>
      </c>
      <c r="H228" s="139" t="n">
        <f aca="false">SUMIFS(報告入力!$BD$7:$BD$696,報告入力!$A$7:$A$696,$S$197,報告入力!$B$7:$B$696,$A228)</f>
        <v>108698</v>
      </c>
      <c r="I228" s="230" t="n">
        <f aca="false">SUMIFS(報告入力!$BE$7:$BE$696,報告入力!$A$7:$A$696,$S$197,報告入力!$B$7:$B$696,$A228)</f>
        <v>108803</v>
      </c>
      <c r="J228" s="133" t="n">
        <f aca="false">SUM(H228:I228)</f>
        <v>217501</v>
      </c>
      <c r="K228" s="230" t="n">
        <f aca="false">SUMIFS(報告入力!$BF$7:$BF$696,報告入力!$A$7:$A$696,$S$197,報告入力!$B$7:$B$696,$A228)</f>
        <v>16558</v>
      </c>
      <c r="L228" s="230" t="n">
        <f aca="false">SUMIFS(報告入力!$BG$7:$BG$696,報告入力!$A$7:$A$696,$S$197,報告入力!$B$7:$B$696,$A228)</f>
        <v>16558</v>
      </c>
      <c r="M228" s="133" t="n">
        <f aca="false">SUM(K228:L228)</f>
        <v>33116</v>
      </c>
      <c r="N228" s="230" t="n">
        <f aca="false">SUMIFS(報告入力!$BH$7:$BH$696,報告入力!$A$7:$A$696,$S$197,報告入力!$B$7:$B$696,$A228)</f>
        <v>2410</v>
      </c>
      <c r="O228" s="230" t="n">
        <f aca="false">SUMIFS(報告入力!$BI$7:$BI$696,報告入力!$A$7:$A$696,$S$197,報告入力!$B$7:$B$696,$A228)</f>
        <v>2410</v>
      </c>
      <c r="P228" s="141" t="n">
        <f aca="false">SUM(N228:O228)</f>
        <v>4820</v>
      </c>
      <c r="Q228" s="135" t="str">
        <f aca="false">IF(P163=P228,"〇","×")</f>
        <v>×</v>
      </c>
      <c r="R228" s="135" t="str">
        <f aca="false">IFERROR(INDEX(報告入力!$C$7:$C$696,MATCH($S$197&amp;"|"&amp;$A228,報告入力!$CM$7:$CM$696,0)),"")</f>
        <v>入金確認済</v>
      </c>
    </row>
    <row r="229" s="135" customFormat="true" ht="20.1" hidden="false" customHeight="true" outlineLevel="0" collapsed="false">
      <c r="A229" s="125" t="s">
        <v>192</v>
      </c>
      <c r="B229" s="142" t="n">
        <f aca="false">SUMIFS(報告入力!$AY$7:$AY$696,報告入力!$A$7:$A$696,$S$197,報告入力!$B$7:$B$696,$A229)</f>
        <v>1493001</v>
      </c>
      <c r="C229" s="138" t="n">
        <f aca="false">SUMIFS(報告入力!$AZ$7:$AZ$696,報告入力!$A$7:$A$696,$S$197,報告入力!$B$7:$B$696,$A229)</f>
        <v>122373</v>
      </c>
      <c r="D229" s="136" t="n">
        <f aca="false">SUMIFS(報告入力!$BA$7:$BA$696,報告入力!$A$7:$A$696,$S$197,報告入力!$B$7:$B$696,$A229)</f>
        <v>1493006</v>
      </c>
      <c r="E229" s="139" t="n">
        <f aca="false">SUMIFS(報告入力!$BB$7:$BB$696,報告入力!$A$7:$A$696,$S$197,報告入力!$B$7:$B$696,$A229)</f>
        <v>122378</v>
      </c>
      <c r="F229" s="138" t="n">
        <f aca="false">SUMIFS(報告入力!$BC$7:$BC$696,報告入力!$A$7:$A$696,$S$197,報告入力!$B$7:$B$696,$A229)</f>
        <v>1474</v>
      </c>
      <c r="G229" s="133" t="n">
        <f aca="false">SUM(B229:F229)</f>
        <v>3232232</v>
      </c>
      <c r="H229" s="139" t="n">
        <f aca="false">SUMIFS(報告入力!$BD$7:$BD$696,報告入力!$A$7:$A$696,$S$197,報告入力!$B$7:$B$696,$A229)</f>
        <v>846191</v>
      </c>
      <c r="I229" s="230" t="n">
        <f aca="false">SUMIFS(報告入力!$BE$7:$BE$696,報告入力!$A$7:$A$696,$S$197,報告入力!$B$7:$B$696,$A229)</f>
        <v>847048</v>
      </c>
      <c r="J229" s="133" t="n">
        <f aca="false">SUM(H229:I229)</f>
        <v>1693239</v>
      </c>
      <c r="K229" s="230" t="n">
        <f aca="false">SUMIFS(報告入力!$BF$7:$BF$696,報告入力!$A$7:$A$696,$S$197,報告入力!$B$7:$B$696,$A229)</f>
        <v>85096</v>
      </c>
      <c r="L229" s="230" t="n">
        <f aca="false">SUMIFS(報告入力!$BG$7:$BG$696,報告入力!$A$7:$A$696,$S$197,報告入力!$B$7:$B$696,$A229)</f>
        <v>85098</v>
      </c>
      <c r="M229" s="133" t="n">
        <f aca="false">SUM(K229:L229)</f>
        <v>170194</v>
      </c>
      <c r="N229" s="230" t="n">
        <f aca="false">SUMIFS(報告入力!$BH$7:$BH$696,報告入力!$A$7:$A$696,$S$197,報告入力!$B$7:$B$696,$A229)</f>
        <v>18756</v>
      </c>
      <c r="O229" s="230" t="n">
        <f aca="false">SUMIFS(報告入力!$BI$7:$BI$696,報告入力!$A$7:$A$696,$S$197,報告入力!$B$7:$B$696,$A229)</f>
        <v>18765</v>
      </c>
      <c r="P229" s="141" t="n">
        <f aca="false">SUM(N229:O229)</f>
        <v>37521</v>
      </c>
      <c r="Q229" s="135" t="str">
        <f aca="false">IF(P164=P229,"〇","×")</f>
        <v>×</v>
      </c>
      <c r="R229" s="135" t="str">
        <f aca="false">IFERROR(INDEX(報告入力!$C$7:$C$696,MATCH($S$197&amp;"|"&amp;$A229,報告入力!$CM$7:$CM$696,0)),"")</f>
        <v>入金確認済</v>
      </c>
    </row>
    <row r="230" s="135" customFormat="true" ht="20.1" hidden="false" customHeight="true" outlineLevel="0" collapsed="false">
      <c r="A230" s="125" t="s">
        <v>193</v>
      </c>
      <c r="B230" s="226"/>
      <c r="C230" s="216"/>
      <c r="D230" s="136" t="n">
        <f aca="false">SUMIFS(報告入力!$BA$7:$BA$696,報告入力!$A$7:$A$696,$S$197,報告入力!$B$7:$B$696,$A230)</f>
        <v>1167447</v>
      </c>
      <c r="E230" s="139" t="n">
        <f aca="false">SUMIFS(報告入力!$BB$7:$BB$696,報告入力!$A$7:$A$696,$S$197,報告入力!$B$7:$B$696,$A230)</f>
        <v>95691</v>
      </c>
      <c r="F230" s="138" t="n">
        <f aca="false">SUMIFS(報告入力!$BC$7:$BC$696,報告入力!$A$7:$A$696,$S$197,報告入力!$B$7:$B$696,$A230)</f>
        <v>1105</v>
      </c>
      <c r="G230" s="133" t="n">
        <f aca="false">SUM(B230:F230)</f>
        <v>1264243</v>
      </c>
      <c r="H230" s="227"/>
      <c r="I230" s="230" t="n">
        <f aca="false">SUMIFS(報告入力!$BE$7:$BE$696,報告入力!$A$7:$A$696,$S$197,報告入力!$B$7:$B$696,$A230)</f>
        <v>662316</v>
      </c>
      <c r="J230" s="133" t="n">
        <f aca="false">SUM(H230:I230)</f>
        <v>662316</v>
      </c>
      <c r="K230" s="213"/>
      <c r="L230" s="230" t="n">
        <f aca="false">SUMIFS(報告入力!$BG$7:$BG$696,報告入力!$A$7:$A$696,$S$197,報告入力!$B$7:$B$696,$A230)</f>
        <v>56658</v>
      </c>
      <c r="M230" s="133" t="n">
        <f aca="false">SUM(K230:L230)</f>
        <v>56658</v>
      </c>
      <c r="N230" s="213"/>
      <c r="O230" s="230" t="n">
        <f aca="false">SUMIFS(報告入力!$BI$7:$BI$696,報告入力!$A$7:$A$696,$S$197,報告入力!$B$7:$B$696,$A230)</f>
        <v>14669</v>
      </c>
      <c r="P230" s="133" t="n">
        <f aca="false">SUM(N230:O230)</f>
        <v>14669</v>
      </c>
      <c r="Q230" s="135" t="str">
        <f aca="false">IF(P165=P230,"〇","×")</f>
        <v>×</v>
      </c>
      <c r="R230" s="135" t="str">
        <f aca="false">IFERROR(INDEX(報告入力!$C$7:$C$696,MATCH($S$197&amp;"|"&amp;$A230,報告入力!$CM$7:$CM$696,0)),"")</f>
        <v>入金確認済</v>
      </c>
    </row>
    <row r="231" s="135" customFormat="true" ht="20.1" hidden="false" customHeight="true" outlineLevel="0" collapsed="false">
      <c r="A231" s="228" t="s">
        <v>194</v>
      </c>
      <c r="B231" s="211"/>
      <c r="C231" s="218"/>
      <c r="D231" s="136" t="n">
        <f aca="false">SUMIFS(報告入力!$BA$7:$BA$696,報告入力!$A$7:$A$696,$S$197,報告入力!$B$7:$B$696,$A231)</f>
        <v>2185941</v>
      </c>
      <c r="E231" s="139" t="n">
        <f aca="false">SUMIFS(報告入力!$BB$7:$BB$696,報告入力!$A$7:$A$696,$S$197,報告入力!$B$7:$B$696,$A231)</f>
        <v>179172</v>
      </c>
      <c r="F231" s="138" t="n">
        <f aca="false">SUMIFS(報告入力!$BC$7:$BC$696,報告入力!$A$7:$A$696,$S$197,報告入力!$B$7:$B$696,$A231)</f>
        <v>2073</v>
      </c>
      <c r="G231" s="133" t="n">
        <f aca="false">SUM(B231:F231)</f>
        <v>2367186</v>
      </c>
      <c r="H231" s="213"/>
      <c r="I231" s="230" t="n">
        <f aca="false">SUMIFS(報告入力!$BE$7:$BE$696,報告入力!$A$7:$A$696,$S$197,報告入力!$B$7:$B$696,$A231)</f>
        <v>1240127</v>
      </c>
      <c r="J231" s="133" t="n">
        <f aca="false">SUM(H231:I231)</f>
        <v>1240127</v>
      </c>
      <c r="K231" s="213"/>
      <c r="L231" s="230" t="n">
        <f aca="false">SUMIFS(報告入力!$BG$7:$BG$696,報告入力!$A$7:$A$696,$S$197,報告入力!$B$7:$B$696,$A231)</f>
        <v>181974</v>
      </c>
      <c r="M231" s="133" t="n">
        <f aca="false">SUM(K231:L231)</f>
        <v>181974</v>
      </c>
      <c r="N231" s="213"/>
      <c r="O231" s="230" t="n">
        <f aca="false">SUMIFS(報告入力!$BI$7:$BI$696,報告入力!$A$7:$A$696,$S$197,報告入力!$B$7:$B$696,$A231)</f>
        <v>27471</v>
      </c>
      <c r="P231" s="133" t="n">
        <f aca="false">SUM(N231:O231)</f>
        <v>27471</v>
      </c>
      <c r="Q231" s="135" t="str">
        <f aca="false">IF(P166=P231,"〇","×")</f>
        <v>×</v>
      </c>
      <c r="R231" s="135" t="str">
        <f aca="false">IFERROR(INDEX(報告入力!$C$7:$C$696,MATCH($S$197&amp;"|"&amp;$A231,報告入力!$CM$7:$CM$696,0)),"")</f>
        <v>入金確認済</v>
      </c>
    </row>
    <row r="232" s="135" customFormat="true" ht="20.1" hidden="false" customHeight="true" outlineLevel="0" collapsed="false">
      <c r="A232" s="229" t="s">
        <v>195</v>
      </c>
      <c r="B232" s="211"/>
      <c r="C232" s="218"/>
      <c r="D232" s="136" t="n">
        <f aca="false">SUMIFS(報告入力!$BA$7:$BA$696,報告入力!$A$7:$A$696,$S$197,報告入力!$B$7:$B$696,$A232)</f>
        <v>0</v>
      </c>
      <c r="E232" s="139" t="n">
        <f aca="false">SUMIFS(報告入力!$BB$7:$BB$696,報告入力!$A$7:$A$696,$S$197,報告入力!$B$7:$B$696,$A232)</f>
        <v>0</v>
      </c>
      <c r="F232" s="138" t="n">
        <f aca="false">SUMIFS(報告入力!$BC$7:$BC$696,報告入力!$A$7:$A$696,$S$197,報告入力!$B$7:$B$696,$A232)</f>
        <v>0</v>
      </c>
      <c r="G232" s="133" t="n">
        <f aca="false">SUM(B232:F232)</f>
        <v>0</v>
      </c>
      <c r="H232" s="213"/>
      <c r="I232" s="230" t="n">
        <f aca="false">SUMIFS(報告入力!$BE$7:$BE$696,報告入力!$A$7:$A$696,$S$197,報告入力!$B$7:$B$696,$A232)</f>
        <v>0</v>
      </c>
      <c r="J232" s="133" t="n">
        <f aca="false">SUM(H232:I232)</f>
        <v>0</v>
      </c>
      <c r="K232" s="213"/>
      <c r="L232" s="230" t="n">
        <f aca="false">SUMIFS(報告入力!$BG$7:$BG$696,報告入力!$A$7:$A$696,$S$197,報告入力!$B$7:$B$696,$A232)</f>
        <v>0</v>
      </c>
      <c r="M232" s="133" t="n">
        <f aca="false">SUM(K232:L232)</f>
        <v>0</v>
      </c>
      <c r="N232" s="213"/>
      <c r="O232" s="230" t="n">
        <f aca="false">SUMIFS(報告入力!$BI$7:$BI$696,報告入力!$A$7:$A$696,$S$197,報告入力!$B$7:$B$696,$A232)</f>
        <v>0</v>
      </c>
      <c r="P232" s="133" t="n">
        <f aca="false">SUM(N232:O232)</f>
        <v>0</v>
      </c>
      <c r="Q232" s="135" t="str">
        <f aca="false">IF(P167=P232,"〇","×")</f>
        <v>〇</v>
      </c>
      <c r="R232" s="135" t="str">
        <f aca="false">IFERROR(INDEX(報告入力!$C$7:$C$696,MATCH($S$197&amp;"|"&amp;$A232,報告入力!$CM$7:$CM$696,0)),"")</f>
        <v>入金確認済</v>
      </c>
    </row>
    <row r="233" s="135" customFormat="true" ht="20.1" hidden="false" customHeight="true" outlineLevel="0" collapsed="false">
      <c r="A233" s="125" t="s">
        <v>196</v>
      </c>
      <c r="B233" s="211"/>
      <c r="C233" s="218"/>
      <c r="D233" s="136" t="n">
        <f aca="false">SUMIFS(報告入力!$BA$7:$BA$696,報告入力!$A$7:$A$696,$S$197,報告入力!$B$7:$B$696,$A233)</f>
        <v>917199</v>
      </c>
      <c r="E233" s="139" t="n">
        <f aca="false">SUMIFS(報告入力!$BB$7:$BB$696,報告入力!$A$7:$A$696,$S$197,報告入力!$B$7:$B$696,$A233)</f>
        <v>75179</v>
      </c>
      <c r="F233" s="138" t="n">
        <f aca="false">SUMIFS(報告入力!$BC$7:$BC$696,報告入力!$A$7:$A$696,$S$197,報告入力!$B$7:$B$696,$A233)</f>
        <v>869</v>
      </c>
      <c r="G233" s="133" t="n">
        <f aca="false">SUM(B233:F233)</f>
        <v>993247</v>
      </c>
      <c r="H233" s="213"/>
      <c r="I233" s="230" t="n">
        <f aca="false">SUMIFS(報告入力!$BE$7:$BE$696,報告入力!$A$7:$A$696,$S$197,報告入力!$B$7:$B$696,$A233)</f>
        <v>520344</v>
      </c>
      <c r="J233" s="133" t="n">
        <f aca="false">SUM(H233:I233)</f>
        <v>520344</v>
      </c>
      <c r="K233" s="213"/>
      <c r="L233" s="230" t="n">
        <f aca="false">SUMIFS(報告入力!$BG$7:$BG$696,報告入力!$A$7:$A$696,$S$197,報告入力!$B$7:$B$696,$A233)</f>
        <v>79187</v>
      </c>
      <c r="M233" s="133" t="n">
        <f aca="false">SUM(K233:L233)</f>
        <v>79187</v>
      </c>
      <c r="N233" s="213"/>
      <c r="O233" s="230" t="n">
        <f aca="false">SUMIFS(報告入力!$BI$7:$BI$696,報告入力!$A$7:$A$696,$S$197,報告入力!$B$7:$B$696,$A233)</f>
        <v>11526</v>
      </c>
      <c r="P233" s="133" t="n">
        <f aca="false">SUM(N233:O233)</f>
        <v>11526</v>
      </c>
      <c r="Q233" s="135" t="str">
        <f aca="false">IF(P168=P233,"〇","×")</f>
        <v>×</v>
      </c>
      <c r="R233" s="135" t="str">
        <f aca="false">IFERROR(INDEX(報告入力!$C$7:$C$696,MATCH($S$197&amp;"|"&amp;$A233,報告入力!$CM$7:$CM$696,0)),"")</f>
        <v>入金確認済</v>
      </c>
    </row>
    <row r="234" s="135" customFormat="true" ht="20.1" hidden="false" customHeight="true" outlineLevel="0" collapsed="false">
      <c r="A234" s="146" t="s">
        <v>197</v>
      </c>
      <c r="B234" s="142" t="n">
        <f aca="false">SUMIFS(報告入力!$AY$7:$AY$696,報告入力!$A$7:$A$696,$S$197,報告入力!$B$7:$B$696,$A234)</f>
        <v>295178</v>
      </c>
      <c r="C234" s="138" t="n">
        <f aca="false">SUMIFS(報告入力!$AZ$7:$AZ$696,報告入力!$A$7:$A$696,$S$197,報告入力!$B$7:$B$696,$A234)</f>
        <v>24194</v>
      </c>
      <c r="D234" s="136" t="n">
        <f aca="false">SUMIFS(報告入力!$BA$7:$BA$696,報告入力!$A$7:$A$696,$S$197,報告入力!$B$7:$B$696,$A234)</f>
        <v>295180</v>
      </c>
      <c r="E234" s="139" t="n">
        <f aca="false">SUMIFS(報告入力!$BB$7:$BB$696,報告入力!$A$7:$A$696,$S$197,報告入力!$B$7:$B$696,$A234)</f>
        <v>24195</v>
      </c>
      <c r="F234" s="138" t="n">
        <f aca="false">SUMIFS(報告入力!$BC$7:$BC$696,報告入力!$A$7:$A$696,$S$197,報告入力!$B$7:$B$696,$A234)</f>
        <v>280</v>
      </c>
      <c r="G234" s="133" t="n">
        <f aca="false">SUM(B234:F234)</f>
        <v>639027</v>
      </c>
      <c r="H234" s="139" t="n">
        <f aca="false">SUMIFS(報告入力!$BD$7:$BD$696,報告入力!$A$7:$A$696,$S$197,報告入力!$B$7:$B$696,$A234)</f>
        <v>167299</v>
      </c>
      <c r="I234" s="230" t="n">
        <f aca="false">SUMIFS(報告入力!$BE$7:$BE$696,報告入力!$A$7:$A$696,$S$197,報告入力!$B$7:$B$696,$A234)</f>
        <v>167461</v>
      </c>
      <c r="J234" s="133" t="n">
        <f aca="false">SUM(H234:I234)</f>
        <v>334760</v>
      </c>
      <c r="K234" s="230" t="n">
        <f aca="false">SUMIFS(報告入力!$BF$7:$BF$696,報告入力!$A$7:$A$696,$S$197,報告入力!$B$7:$B$696,$A234)</f>
        <v>18983</v>
      </c>
      <c r="L234" s="230" t="n">
        <f aca="false">SUMIFS(報告入力!$BG$7:$BG$696,報告入力!$A$7:$A$696,$S$197,報告入力!$B$7:$B$696,$A234)</f>
        <v>18983</v>
      </c>
      <c r="M234" s="133" t="n">
        <f aca="false">SUM(K234:L234)</f>
        <v>37966</v>
      </c>
      <c r="N234" s="230" t="n">
        <f aca="false">SUMIFS(報告入力!$BH$7:$BH$696,報告入力!$A$7:$A$696,$S$197,報告入力!$B$7:$B$696,$A234)</f>
        <v>3709</v>
      </c>
      <c r="O234" s="230" t="n">
        <f aca="false">SUMIFS(報告入力!$BI$7:$BI$696,報告入力!$A$7:$A$696,$S$197,報告入力!$B$7:$B$696,$A234)</f>
        <v>3709</v>
      </c>
      <c r="P234" s="133" t="n">
        <f aca="false">SUM(N234:O234)</f>
        <v>7418</v>
      </c>
      <c r="Q234" s="135" t="str">
        <f aca="false">IF(P169=P234,"〇","×")</f>
        <v>×</v>
      </c>
      <c r="R234" s="135" t="str">
        <f aca="false">IFERROR(INDEX(報告入力!$C$7:$C$696,MATCH($S$197&amp;"|"&amp;$A234,報告入力!$CM$7:$CM$696,0)),"")</f>
        <v>入金確認済</v>
      </c>
    </row>
    <row r="235" s="135" customFormat="true" ht="20.1" hidden="false" customHeight="true" outlineLevel="0" collapsed="false">
      <c r="A235" s="231" t="s">
        <v>219</v>
      </c>
      <c r="B235" s="226"/>
      <c r="C235" s="216"/>
      <c r="D235" s="136" t="n">
        <f aca="false">SUMIFS(報告入力!$BA$7:$BA$696,報告入力!$A$7:$A$696,$S$197,報告入力!$B$7:$B$696,$A235)</f>
        <v>866873</v>
      </c>
      <c r="E235" s="139" t="n">
        <f aca="false">SUMIFS(報告入力!$BB$7:$BB$696,報告入力!$A$7:$A$696,$S$197,報告入力!$B$7:$B$696,$A235)</f>
        <v>71055</v>
      </c>
      <c r="F235" s="138" t="n">
        <f aca="false">SUMIFS(報告入力!$BC$7:$BC$696,報告入力!$A$7:$A$696,$S$197,報告入力!$B$7:$B$696,$A235)</f>
        <v>823</v>
      </c>
      <c r="G235" s="133" t="n">
        <f aca="false">SUM(B235:F235)</f>
        <v>938751</v>
      </c>
      <c r="H235" s="227"/>
      <c r="I235" s="230" t="n">
        <f aca="false">SUMIFS(報告入力!$BE$7:$BE$696,報告入力!$A$7:$A$696,$S$197,報告入力!$B$7:$B$696,$A235)</f>
        <v>491795</v>
      </c>
      <c r="J235" s="133" t="n">
        <f aca="false">SUM(H235:I235)</f>
        <v>491795</v>
      </c>
      <c r="K235" s="213"/>
      <c r="L235" s="230" t="n">
        <f aca="false">SUMIFS(報告入力!$BG$7:$BG$696,報告入力!$A$7:$A$696,$S$197,報告入力!$B$7:$B$696,$A235)</f>
        <v>42612</v>
      </c>
      <c r="M235" s="133" t="n">
        <f aca="false">SUM(K235:L235)</f>
        <v>42612</v>
      </c>
      <c r="N235" s="213"/>
      <c r="O235" s="230" t="n">
        <f aca="false">SUMIFS(報告入力!$BI$7:$BI$696,報告入力!$A$7:$A$696,$S$197,報告入力!$B$7:$B$696,$A235)</f>
        <v>10895</v>
      </c>
      <c r="P235" s="133" t="n">
        <f aca="false">SUM(N235:O235)</f>
        <v>10895</v>
      </c>
      <c r="Q235" s="135" t="str">
        <f aca="false">IF(P170=P235,"〇","×")</f>
        <v>×</v>
      </c>
      <c r="R235" s="135" t="str">
        <f aca="false">IFERROR(INDEX(報告入力!$C$7:$C$696,MATCH($S$197&amp;"|"&amp;$A235,報告入力!$CM$7:$CM$696,0)),"")</f>
        <v>入金確認済</v>
      </c>
    </row>
    <row r="236" s="135" customFormat="true" ht="20.1" hidden="false" customHeight="true" outlineLevel="0" collapsed="false">
      <c r="A236" s="214" t="s">
        <v>199</v>
      </c>
      <c r="B236" s="142" t="n">
        <f aca="false">SUMIFS(報告入力!$AY$7:$AY$696,報告入力!$A$7:$A$696,$S$197,報告入力!$B$7:$B$696,$A236)</f>
        <v>118309</v>
      </c>
      <c r="C236" s="138" t="n">
        <f aca="false">SUMIFS(報告入力!$AZ$7:$AZ$696,報告入力!$A$7:$A$696,$S$197,報告入力!$B$7:$B$696,$A236)</f>
        <v>9697</v>
      </c>
      <c r="D236" s="136" t="n">
        <f aca="false">SUMIFS(報告入力!$BA$7:$BA$696,報告入力!$A$7:$A$696,$S$197,報告入力!$B$7:$B$696,$A236)</f>
        <v>118310</v>
      </c>
      <c r="E236" s="139" t="n">
        <f aca="false">SUMIFS(報告入力!$BB$7:$BB$696,報告入力!$A$7:$A$696,$S$197,報告入力!$B$7:$B$696,$A236)</f>
        <v>9697</v>
      </c>
      <c r="F236" s="138" t="n">
        <f aca="false">SUMIFS(報告入力!$BC$7:$BC$696,報告入力!$A$7:$A$696,$S$197,報告入力!$B$7:$B$696,$A236)</f>
        <v>112</v>
      </c>
      <c r="G236" s="133" t="n">
        <f aca="false">SUM(B236:F236)</f>
        <v>256125</v>
      </c>
      <c r="H236" s="139" t="n">
        <f aca="false">SUMIFS(報告入力!$BD$7:$BD$696,報告入力!$A$7:$A$696,$S$197,報告入力!$B$7:$B$696,$A236)</f>
        <v>67054</v>
      </c>
      <c r="I236" s="230" t="n">
        <f aca="false">SUMIFS(報告入力!$BE$7:$BE$696,報告入力!$A$7:$A$696,$S$197,報告入力!$B$7:$B$696,$A236)</f>
        <v>67119</v>
      </c>
      <c r="J236" s="133" t="n">
        <f aca="false">SUM(H236:I236)</f>
        <v>134173</v>
      </c>
      <c r="K236" s="230" t="n">
        <f aca="false">SUMIFS(報告入力!$BF$7:$BF$696,報告入力!$A$7:$A$696,$S$197,報告入力!$B$7:$B$696,$A236)</f>
        <v>10214</v>
      </c>
      <c r="L236" s="230" t="n">
        <f aca="false">SUMIFS(報告入力!$BG$7:$BG$696,報告入力!$A$7:$A$696,$S$197,報告入力!$B$7:$B$696,$A236)</f>
        <v>10214</v>
      </c>
      <c r="M236" s="133" t="n">
        <f aca="false">SUM(K236:L236)</f>
        <v>20428</v>
      </c>
      <c r="N236" s="230" t="n">
        <f aca="false">SUMIFS(報告入力!$BH$7:$BH$696,報告入力!$A$7:$A$696,$S$197,報告入力!$B$7:$B$696,$A236)</f>
        <v>1486</v>
      </c>
      <c r="O236" s="230" t="n">
        <f aca="false">SUMIFS(報告入力!$BI$7:$BI$696,報告入力!$A$7:$A$696,$S$197,報告入力!$B$7:$B$696,$A236)</f>
        <v>1486</v>
      </c>
      <c r="P236" s="133" t="n">
        <f aca="false">SUM(N236:O236)</f>
        <v>2972</v>
      </c>
      <c r="Q236" s="135" t="str">
        <f aca="false">IF(P171=P236,"〇","×")</f>
        <v>×</v>
      </c>
      <c r="R236" s="135" t="str">
        <f aca="false">IFERROR(INDEX(報告入力!$C$7:$C$696,MATCH($S$197&amp;"|"&amp;$A236,報告入力!$CM$7:$CM$696,0)),"")</f>
        <v>入金確認済</v>
      </c>
    </row>
    <row r="237" s="135" customFormat="true" ht="20.1" hidden="false" customHeight="true" outlineLevel="0" collapsed="false">
      <c r="A237" s="214" t="s">
        <v>200</v>
      </c>
      <c r="B237" s="142" t="n">
        <f aca="false">SUMIFS(報告入力!$AY$7:$AY$696,報告入力!$A$7:$A$696,$S$197,報告入力!$B$7:$B$696,$A237)</f>
        <v>137250</v>
      </c>
      <c r="C237" s="138" t="n">
        <f aca="false">SUMIFS(報告入力!$AZ$7:$AZ$696,報告入力!$A$7:$A$696,$S$197,報告入力!$B$7:$B$696,$A237)</f>
        <v>11250</v>
      </c>
      <c r="D237" s="136" t="n">
        <f aca="false">SUMIFS(報告入力!$BA$7:$BA$696,報告入力!$A$7:$A$696,$S$197,報告入力!$B$7:$B$696,$A237)</f>
        <v>137250</v>
      </c>
      <c r="E237" s="139" t="n">
        <f aca="false">SUMIFS(報告入力!$BB$7:$BB$696,報告入力!$A$7:$A$696,$S$197,報告入力!$B$7:$B$696,$A237)</f>
        <v>11250</v>
      </c>
      <c r="F237" s="138" t="n">
        <f aca="false">SUMIFS(報告入力!$BC$7:$BC$696,報告入力!$A$7:$A$696,$S$197,報告入力!$B$7:$B$696,$A237)</f>
        <v>130</v>
      </c>
      <c r="G237" s="133" t="n">
        <f aca="false">SUM(B237:F237)</f>
        <v>297130</v>
      </c>
      <c r="H237" s="139" t="n">
        <f aca="false">SUMIFS(報告入力!$BD$7:$BD$696,報告入力!$A$7:$A$696,$S$197,報告入力!$B$7:$B$696,$A237)</f>
        <v>82872</v>
      </c>
      <c r="I237" s="230" t="n">
        <f aca="false">SUMIFS(報告入力!$BE$7:$BE$696,報告入力!$A$7:$A$696,$S$197,報告入力!$B$7:$B$696,$A237)</f>
        <v>82952</v>
      </c>
      <c r="J237" s="133" t="n">
        <f aca="false">SUM(H237:I237)</f>
        <v>165824</v>
      </c>
      <c r="K237" s="230" t="n">
        <f aca="false">SUMIFS(報告入力!$BF$7:$BF$696,報告入力!$A$7:$A$696,$S$197,報告入力!$B$7:$B$696,$A237)</f>
        <v>12624</v>
      </c>
      <c r="L237" s="230" t="n">
        <f aca="false">SUMIFS(報告入力!$BG$7:$BG$696,報告入力!$A$7:$A$696,$S$197,報告入力!$B$7:$B$696,$A237)</f>
        <v>12624</v>
      </c>
      <c r="M237" s="133" t="n">
        <f aca="false">SUM(K237:L237)</f>
        <v>25248</v>
      </c>
      <c r="N237" s="230" t="n">
        <f aca="false">SUMIFS(報告入力!$BH$7:$BH$696,報告入力!$A$7:$A$696,$S$197,報告入力!$B$7:$B$696,$A237)</f>
        <v>1837</v>
      </c>
      <c r="O237" s="230" t="n">
        <f aca="false">SUMIFS(報告入力!$BI$7:$BI$696,報告入力!$A$7:$A$696,$S$197,報告入力!$B$7:$B$696,$A237)</f>
        <v>1837</v>
      </c>
      <c r="P237" s="133" t="n">
        <f aca="false">SUM(N237:O237)</f>
        <v>3674</v>
      </c>
      <c r="Q237" s="135" t="str">
        <f aca="false">IF(P172=P237,"〇","×")</f>
        <v>×</v>
      </c>
      <c r="R237" s="135" t="str">
        <f aca="false">IFERROR(INDEX(報告入力!$C$7:$C$696,MATCH($S$197&amp;"|"&amp;$A237,報告入力!$CM$7:$CM$696,0)),"")</f>
        <v>入金確認済</v>
      </c>
    </row>
    <row r="238" s="135" customFormat="true" ht="20.1" hidden="false" customHeight="true" outlineLevel="0" collapsed="false">
      <c r="A238" s="214" t="s">
        <v>201</v>
      </c>
      <c r="B238" s="142" t="n">
        <f aca="false">SUMIFS(報告入力!$AY$7:$AY$696,報告入力!$A$7:$A$696,$S$197,報告入力!$B$7:$B$696,$A238)</f>
        <v>97264</v>
      </c>
      <c r="C238" s="138" t="n">
        <f aca="false">SUMIFS(報告入力!$AZ$7:$AZ$696,報告入力!$A$7:$A$696,$S$197,報告入力!$B$7:$B$696,$A238)</f>
        <v>7972</v>
      </c>
      <c r="D238" s="136" t="n">
        <f aca="false">SUMIFS(報告入力!$BA$7:$BA$696,報告入力!$A$7:$A$696,$S$197,報告入力!$B$7:$B$696,$A238)</f>
        <v>97265</v>
      </c>
      <c r="E238" s="139" t="n">
        <f aca="false">SUMIFS(報告入力!$BB$7:$BB$696,報告入力!$A$7:$A$696,$S$197,報告入力!$B$7:$B$696,$A238)</f>
        <v>7972</v>
      </c>
      <c r="F238" s="138" t="n">
        <f aca="false">SUMIFS(報告入力!$BC$7:$BC$696,報告入力!$A$7:$A$696,$S$197,報告入力!$B$7:$B$696,$A238)</f>
        <v>92</v>
      </c>
      <c r="G238" s="133" t="n">
        <f aca="false">SUM(B238:F238)</f>
        <v>210565</v>
      </c>
      <c r="H238" s="139" t="n">
        <f aca="false">SUMIFS(報告入力!$BD$7:$BD$696,報告入力!$A$7:$A$696,$S$197,報告入力!$B$7:$B$696,$A238)</f>
        <v>55127</v>
      </c>
      <c r="I238" s="230" t="n">
        <f aca="false">SUMIFS(報告入力!$BE$7:$BE$696,報告入力!$A$7:$A$696,$S$197,報告入力!$B$7:$B$696,$A238)</f>
        <v>55180</v>
      </c>
      <c r="J238" s="133" t="n">
        <f aca="false">SUM(H238:I238)</f>
        <v>110307</v>
      </c>
      <c r="K238" s="230" t="n">
        <f aca="false">SUMIFS(報告入力!$BF$7:$BF$696,報告入力!$A$7:$A$696,$S$197,報告入力!$B$7:$B$696,$A238)</f>
        <v>0</v>
      </c>
      <c r="L238" s="230" t="n">
        <f aca="false">SUMIFS(報告入力!$BG$7:$BG$696,報告入力!$A$7:$A$696,$S$197,報告入力!$B$7:$B$696,$A238)</f>
        <v>0</v>
      </c>
      <c r="M238" s="133" t="n">
        <f aca="false">SUM(K238:L238)</f>
        <v>0</v>
      </c>
      <c r="N238" s="230" t="n">
        <f aca="false">SUMIFS(報告入力!$BH$7:$BH$696,報告入力!$A$7:$A$696,$S$197,報告入力!$B$7:$B$696,$A238)</f>
        <v>1222</v>
      </c>
      <c r="O238" s="230" t="n">
        <f aca="false">SUMIFS(報告入力!$BI$7:$BI$696,報告入力!$A$7:$A$696,$S$197,報告入力!$B$7:$B$696,$A238)</f>
        <v>1222</v>
      </c>
      <c r="P238" s="133" t="n">
        <f aca="false">SUM(N238:O238)</f>
        <v>2444</v>
      </c>
      <c r="Q238" s="135" t="str">
        <f aca="false">IF(P173=P238,"〇","×")</f>
        <v>×</v>
      </c>
      <c r="R238" s="135" t="str">
        <f aca="false">IFERROR(INDEX(報告入力!$C$7:$C$696,MATCH($S$197&amp;"|"&amp;$A238,報告入力!$CM$7:$CM$696,0)),"")</f>
        <v>入金確認済</v>
      </c>
    </row>
    <row r="239" s="135" customFormat="true" ht="20.1" hidden="false" customHeight="true" outlineLevel="0" collapsed="false">
      <c r="A239" s="146" t="s">
        <v>202</v>
      </c>
      <c r="B239" s="142" t="n">
        <f aca="false">SUMIFS(報告入力!$AY$7:$AY$696,報告入力!$A$7:$A$696,$S$197,報告入力!$B$7:$B$696,$A239)</f>
        <v>2344680</v>
      </c>
      <c r="C239" s="138" t="n">
        <f aca="false">SUMIFS(報告入力!$AZ$7:$AZ$696,報告入力!$A$7:$A$696,$S$197,報告入力!$B$7:$B$696,$A239)</f>
        <v>192180</v>
      </c>
      <c r="D239" s="136" t="n">
        <f aca="false">SUMIFS(報告入力!$BA$7:$BA$696,報告入力!$A$7:$A$696,$S$197,報告入力!$B$7:$B$696,$A239)</f>
        <v>2352564</v>
      </c>
      <c r="E239" s="139" t="n">
        <f aca="false">SUMIFS(報告入力!$BB$7:$BB$696,報告入力!$A$7:$A$696,$S$197,報告入力!$B$7:$B$696,$A239)</f>
        <v>192510</v>
      </c>
      <c r="F239" s="138" t="n">
        <f aca="false">SUMIFS(報告入力!$BC$7:$BC$696,報告入力!$A$7:$A$696,$S$197,報告入力!$B$7:$B$696,$A239)</f>
        <v>2230</v>
      </c>
      <c r="G239" s="133" t="n">
        <f aca="false">SUM(B239:F239)</f>
        <v>5084164</v>
      </c>
      <c r="H239" s="139" t="n">
        <f aca="false">SUMIFS(報告入力!$BD$7:$BD$696,報告入力!$A$7:$A$696,$S$197,報告入力!$B$7:$B$696,$A239)</f>
        <v>1331127</v>
      </c>
      <c r="I239" s="230" t="n">
        <f aca="false">SUMIFS(報告入力!$BE$7:$BE$696,報告入力!$A$7:$A$696,$S$197,報告入力!$B$7:$B$696,$A239)</f>
        <v>1332425</v>
      </c>
      <c r="J239" s="133" t="n">
        <f aca="false">SUM(H239:I239)</f>
        <v>2663552</v>
      </c>
      <c r="K239" s="230" t="n">
        <f aca="false">SUMIFS(報告入力!$BF$7:$BF$696,報告入力!$A$7:$A$696,$S$197,報告入力!$B$7:$B$696,$A239)</f>
        <v>158559</v>
      </c>
      <c r="L239" s="230" t="n">
        <f aca="false">SUMIFS(報告入力!$BG$7:$BG$696,報告入力!$A$7:$A$696,$S$197,報告入力!$B$7:$B$696,$A239)</f>
        <v>158568</v>
      </c>
      <c r="M239" s="133" t="n">
        <f aca="false">SUM(K239:L239)</f>
        <v>317127</v>
      </c>
      <c r="N239" s="230" t="n">
        <f aca="false">SUMIFS(報告入力!$BH$7:$BH$696,報告入力!$A$7:$A$696,$S$197,報告入力!$B$7:$B$696,$A239)</f>
        <v>29507</v>
      </c>
      <c r="O239" s="230" t="n">
        <f aca="false">SUMIFS(報告入力!$BI$7:$BI$696,報告入力!$A$7:$A$696,$S$197,報告入力!$B$7:$B$696,$A239)</f>
        <v>29518</v>
      </c>
      <c r="P239" s="133" t="n">
        <f aca="false">SUM(N239:O239)</f>
        <v>59025</v>
      </c>
      <c r="Q239" s="135" t="str">
        <f aca="false">IF(P174=P239,"〇","×")</f>
        <v>×</v>
      </c>
      <c r="R239" s="135" t="str">
        <f aca="false">IFERROR(INDEX(報告入力!$C$7:$C$696,MATCH($S$197&amp;"|"&amp;$A239,報告入力!$CM$7:$CM$696,0)),"")</f>
        <v>入金確認済</v>
      </c>
    </row>
    <row r="240" s="135" customFormat="true" ht="20.1" hidden="false" customHeight="true" outlineLevel="0" collapsed="false">
      <c r="A240" s="146" t="s">
        <v>203</v>
      </c>
      <c r="B240" s="226"/>
      <c r="C240" s="216"/>
      <c r="D240" s="136" t="n">
        <f aca="false">SUMIFS(報告入力!$BA$7:$BA$696,報告入力!$A$7:$A$696,$S$197,報告入力!$B$7:$B$696,$A240)</f>
        <v>463724</v>
      </c>
      <c r="E240" s="139" t="n">
        <f aca="false">SUMIFS(報告入力!$BB$7:$BB$696,報告入力!$A$7:$A$696,$S$197,報告入力!$B$7:$B$696,$A240)</f>
        <v>38010</v>
      </c>
      <c r="F240" s="138" t="n">
        <f aca="false">SUMIFS(報告入力!$BC$7:$BC$696,報告入力!$A$7:$A$696,$S$197,報告入力!$B$7:$B$696,$A240)</f>
        <v>440</v>
      </c>
      <c r="G240" s="133" t="n">
        <f aca="false">SUM(B240:F240)</f>
        <v>502174</v>
      </c>
      <c r="H240" s="227"/>
      <c r="I240" s="230" t="n">
        <f aca="false">SUMIFS(報告入力!$BE$7:$BE$696,報告入力!$A$7:$A$696,$S$197,報告入力!$B$7:$B$696,$A240)</f>
        <v>277095</v>
      </c>
      <c r="J240" s="133" t="n">
        <f aca="false">SUM(H240:I240)</f>
        <v>277095</v>
      </c>
      <c r="K240" s="227"/>
      <c r="L240" s="230" t="n">
        <f aca="false">SUMIFS(報告入力!$BG$7:$BG$696,報告入力!$A$7:$A$696,$S$197,報告入力!$B$7:$B$696,$A240)</f>
        <v>22649</v>
      </c>
      <c r="M240" s="133" t="n">
        <f aca="false">SUM(K240:L240)</f>
        <v>22649</v>
      </c>
      <c r="N240" s="227"/>
      <c r="O240" s="230" t="n">
        <f aca="false">SUMIFS(報告入力!$BI$7:$BI$696,報告入力!$A$7:$A$696,$S$197,報告入力!$B$7:$B$696,$A240)</f>
        <v>6138</v>
      </c>
      <c r="P240" s="133" t="n">
        <f aca="false">SUM(N240:O240)</f>
        <v>6138</v>
      </c>
      <c r="Q240" s="135" t="str">
        <f aca="false">IF(P175=P240,"〇","×")</f>
        <v>×</v>
      </c>
      <c r="R240" s="135" t="str">
        <f aca="false">IFERROR(INDEX(報告入力!$C$7:$C$696,MATCH($S$197&amp;"|"&amp;$A240,報告入力!$CM$7:$CM$696,0)),"")</f>
        <v>入金確認済</v>
      </c>
    </row>
    <row r="241" s="135" customFormat="true" ht="19.5" hidden="false" customHeight="true" outlineLevel="0" collapsed="false">
      <c r="A241" s="232" t="s">
        <v>204</v>
      </c>
      <c r="B241" s="142" t="n">
        <f aca="false">SUMIFS(報告入力!$AY$7:$AY$696,報告入力!$A$7:$A$696,$S$197,報告入力!$B$7:$B$696,$A241)</f>
        <v>213467757</v>
      </c>
      <c r="C241" s="138" t="n">
        <f aca="false">SUMIFS(報告入力!$AZ$7:$AZ$696,報告入力!$A$7:$A$696,$S$197,報告入力!$B$7:$B$696,$A241)</f>
        <v>17496681</v>
      </c>
      <c r="D241" s="136" t="n">
        <f aca="false">SUMIFS(報告入力!$BA$7:$BA$696,報告入力!$A$7:$A$696,$S$197,報告入力!$B$7:$B$696,$A241)</f>
        <v>308184891</v>
      </c>
      <c r="E241" s="139" t="n">
        <f aca="false">SUMIFS(報告入力!$BB$7:$BB$696,報告入力!$A$7:$A$696,$S$197,報告入力!$B$7:$B$696,$A241)</f>
        <v>17496681</v>
      </c>
      <c r="F241" s="138" t="n">
        <f aca="false">SUMIFS(報告入力!$BC$7:$BC$696,報告入力!$A$7:$A$696,$S$197,報告入力!$B$7:$B$696,$A241)</f>
        <v>206290</v>
      </c>
      <c r="G241" s="133" t="n">
        <f aca="false">SUM(B241:F241)</f>
        <v>556852300</v>
      </c>
      <c r="H241" s="139" t="n">
        <f aca="false">SUMIFS(報告入力!$BD$7:$BD$696,報告入力!$A$7:$A$696,$S$197,報告入力!$B$7:$B$696,$A241)</f>
        <v>128088779</v>
      </c>
      <c r="I241" s="230" t="n">
        <f aca="false">SUMIFS(報告入力!$BE$7:$BE$696,報告入力!$A$7:$A$696,$S$197,報告入力!$B$7:$B$696,$A241)</f>
        <v>128231932</v>
      </c>
      <c r="J241" s="133" t="n">
        <f aca="false">SUM(H241:I241)</f>
        <v>256320711</v>
      </c>
      <c r="K241" s="230" t="n">
        <f aca="false">SUMIFS(報告入力!$BF$7:$BF$696,報告入力!$A$7:$A$696,$S$197,報告入力!$B$7:$B$696,$A241)</f>
        <v>11861523</v>
      </c>
      <c r="L241" s="230" t="n">
        <f aca="false">SUMIFS(報告入力!$BG$7:$BG$696,報告入力!$A$7:$A$696,$S$197,報告入力!$B$7:$B$696,$A241)</f>
        <v>11861523</v>
      </c>
      <c r="M241" s="133" t="n">
        <f aca="false">SUM(K241:L241)</f>
        <v>23723046</v>
      </c>
      <c r="N241" s="230" t="n">
        <f aca="false">SUMIFS(報告入力!$BH$7:$BH$696,報告入力!$A$7:$A$696,$S$197,報告入力!$B$7:$B$696,$A241)</f>
        <v>2838695</v>
      </c>
      <c r="O241" s="230" t="n">
        <f aca="false">SUMIFS(報告入力!$BI$7:$BI$696,報告入力!$A$7:$A$696,$S$197,報告入力!$B$7:$B$696,$A241)</f>
        <v>2838695</v>
      </c>
      <c r="P241" s="133" t="n">
        <f aca="false">SUM(N241:O241)</f>
        <v>5677390</v>
      </c>
      <c r="Q241" s="135" t="str">
        <f aca="false">IF(P176=P241,"〇","×")</f>
        <v>×</v>
      </c>
      <c r="R241" s="135" t="str">
        <f aca="false">IFERROR(INDEX(報告入力!$C$7:$C$696,MATCH($S$197&amp;"|"&amp;$A241,報告入力!$CM$7:$CM$696,0)),"")</f>
        <v>入金確認済</v>
      </c>
    </row>
    <row r="242" s="162" customFormat="true" ht="21.75" hidden="false" customHeight="true" outlineLevel="0" collapsed="false">
      <c r="A242" s="214" t="s">
        <v>205</v>
      </c>
      <c r="B242" s="152"/>
      <c r="C242" s="156"/>
      <c r="D242" s="152"/>
      <c r="E242" s="234"/>
      <c r="F242" s="156"/>
      <c r="G242" s="235" t="n">
        <f aca="false">SUM(B242:F242)</f>
        <v>0</v>
      </c>
      <c r="H242" s="143" t="n">
        <f aca="false">SUMIFS(報告入力!$BD$7:$BD$696,報告入力!$A$7:$A$696,$S$197,報告入力!$B$7:$B$696,$A242)</f>
        <v>121298</v>
      </c>
      <c r="I242" s="150" t="n">
        <f aca="false">SUMIFS(報告入力!$BE$7:$BE$696,報告入力!$A$7:$A$696,$S$197,報告入力!$B$7:$B$696,$A242)</f>
        <v>121416</v>
      </c>
      <c r="J242" s="141" t="n">
        <f aca="false">SUM(H242:I242)</f>
        <v>242714</v>
      </c>
      <c r="K242" s="142" t="n">
        <f aca="false">SUMIFS(報告入力!$BF$7:$BF$696,報告入力!$A$7:$A$696,$S$197,報告入力!$B$7:$B$696,$A242)</f>
        <v>14756</v>
      </c>
      <c r="L242" s="150" t="n">
        <f aca="false">SUMIFS(報告入力!$BG$7:$BG$696,報告入力!$A$7:$A$696,$S$197,報告入力!$B$7:$B$696,$A242)</f>
        <v>14756</v>
      </c>
      <c r="M242" s="141" t="n">
        <f aca="false">SUM(K242:L242)</f>
        <v>29512</v>
      </c>
      <c r="N242" s="230" t="n">
        <f aca="false">SUMIFS(報告入力!$BH$7:$BH$696,報告入力!$A$7:$A$696,$S$197,報告入力!$B$7:$B$696,$A242)</f>
        <v>2687</v>
      </c>
      <c r="O242" s="230" t="n">
        <f aca="false">SUMIFS(報告入力!$BI$7:$BI$696,報告入力!$A$7:$A$696,$S$197,報告入力!$B$7:$B$696,$A242)</f>
        <v>2688</v>
      </c>
      <c r="P242" s="141" t="n">
        <f aca="false">SUM(N242:O242)</f>
        <v>5375</v>
      </c>
      <c r="Q242" s="162" t="str">
        <f aca="false">IF(P177=P242,"〇","×")</f>
        <v>×</v>
      </c>
      <c r="R242" s="162" t="str">
        <f aca="false">IFERROR(INDEX(報告入力!$C$7:$C$696,MATCH($S$197&amp;"|"&amp;$A242,報告入力!$CM$7:$CM$696,0)),"")</f>
        <v>入金確認済</v>
      </c>
    </row>
    <row r="243" s="162" customFormat="true" ht="21.75" hidden="false" customHeight="true" outlineLevel="0" collapsed="false">
      <c r="A243" s="236" t="s">
        <v>206</v>
      </c>
      <c r="B243" s="336"/>
      <c r="C243" s="355"/>
      <c r="D243" s="336"/>
      <c r="E243" s="334"/>
      <c r="F243" s="356"/>
      <c r="G243" s="327" t="n">
        <f aca="false">SUM(B243:F243)</f>
        <v>0</v>
      </c>
      <c r="H243" s="334"/>
      <c r="I243" s="335"/>
      <c r="J243" s="330" t="n">
        <f aca="false">SUM(H243:I243)</f>
        <v>0</v>
      </c>
      <c r="K243" s="334"/>
      <c r="L243" s="335"/>
      <c r="M243" s="330" t="n">
        <f aca="false">SUM(K243:L243)</f>
        <v>0</v>
      </c>
      <c r="N243" s="335"/>
      <c r="O243" s="335"/>
      <c r="P243" s="330" t="n">
        <f aca="false">SUM(N243:O243)</f>
        <v>0</v>
      </c>
      <c r="Q243" s="162" t="str">
        <f aca="false">IF(P178=P243,"〇","×")</f>
        <v>〇</v>
      </c>
      <c r="R243" s="162" t="str">
        <f aca="false">IFERROR(INDEX(報告入力!$C$7:$C$696,MATCH($S$197&amp;"|"&amp;$A243,報告入力!$CM$7:$CM$696,0)),"")</f>
        <v>報告なし</v>
      </c>
    </row>
    <row r="244" s="162" customFormat="true" ht="21.75" hidden="false" customHeight="true" outlineLevel="0" collapsed="false">
      <c r="A244" s="236" t="s">
        <v>207</v>
      </c>
      <c r="B244" s="142" t="n">
        <f aca="false">SUMIFS(報告入力!$AY$7:$AY$696,報告入力!$A$7:$A$696,$S$197,報告入力!$B$7:$B$696,$A244)</f>
        <v>274500</v>
      </c>
      <c r="C244" s="147" t="n">
        <f aca="false">SUMIFS(報告入力!$AZ$7:$AZ$696,報告入力!$A$7:$A$696,$S$197,報告入力!$B$7:$B$696,$A244)</f>
        <v>22500</v>
      </c>
      <c r="D244" s="142" t="n">
        <f aca="false">SUMIFS(報告入力!$BA$7:$BA$696,報告入力!$A$7:$A$696,$S$197,報告入力!$B$7:$B$696,$A244)</f>
        <v>274500</v>
      </c>
      <c r="E244" s="143" t="n">
        <f aca="false">SUMIFS(報告入力!$BB$7:$BB$696,報告入力!$A$7:$A$696,$S$197,報告入力!$B$7:$B$696,$A244)</f>
        <v>22500</v>
      </c>
      <c r="F244" s="148" t="n">
        <f aca="false">SUMIFS(報告入力!$BC$7:$BC$696,報告入力!$A$7:$A$696,$S$197,報告入力!$B$7:$B$696,$A244)</f>
        <v>260</v>
      </c>
      <c r="G244" s="133" t="n">
        <f aca="false">SUM(B244:F244)</f>
        <v>594260</v>
      </c>
      <c r="H244" s="143" t="n">
        <f aca="false">SUMIFS(報告入力!$BD$7:$BD$696,報告入力!$A$7:$A$696,$S$197,報告入力!$B$7:$B$696,$A244)</f>
        <v>207958</v>
      </c>
      <c r="I244" s="230" t="n">
        <f aca="false">SUMIFS(報告入力!$BE$7:$BE$696,報告入力!$A$7:$A$696,$S$197,報告入力!$B$7:$B$696,$A244)</f>
        <v>208159</v>
      </c>
      <c r="J244" s="141" t="n">
        <f aca="false">SUM(H244:I244)</f>
        <v>416117</v>
      </c>
      <c r="K244" s="143" t="n">
        <f aca="false">SUMIFS(報告入力!$BF$7:$BF$696,報告入力!$A$7:$A$696,$S$197,報告入力!$B$7:$B$696,$A244)</f>
        <v>31678</v>
      </c>
      <c r="L244" s="230" t="n">
        <f aca="false">SUMIFS(報告入力!$BG$7:$BG$696,報告入力!$A$7:$A$696,$S$197,報告入力!$B$7:$B$696,$A244)</f>
        <v>31679</v>
      </c>
      <c r="M244" s="141" t="n">
        <f aca="false">SUM(K244:L244)</f>
        <v>63357</v>
      </c>
      <c r="N244" s="230" t="n">
        <f aca="false">SUMIFS(報告入力!$BH$7:$BH$696,報告入力!$A$7:$A$696,$S$197,報告入力!$B$7:$B$696,$A244)</f>
        <v>4610</v>
      </c>
      <c r="O244" s="230" t="n">
        <f aca="false">SUMIFS(報告入力!$BI$7:$BI$696,報告入力!$A$7:$A$696,$S$197,報告入力!$B$7:$B$696,$A244)</f>
        <v>4611</v>
      </c>
      <c r="P244" s="141" t="n">
        <f aca="false">SUM(N244:O244)</f>
        <v>9221</v>
      </c>
      <c r="Q244" s="162" t="str">
        <f aca="false">IF(P179=P244,"〇","×")</f>
        <v>×</v>
      </c>
      <c r="R244" s="162" t="str">
        <f aca="false">IFERROR(INDEX(報告入力!$C$7:$C$696,MATCH($S$197&amp;"|"&amp;$A244,報告入力!$CM$7:$CM$696,0)),"")</f>
        <v>入金確認済</v>
      </c>
    </row>
    <row r="245" s="162" customFormat="true" ht="19.5" hidden="false" customHeight="true" outlineLevel="0" collapsed="false">
      <c r="A245" s="174"/>
      <c r="B245" s="182"/>
      <c r="C245" s="181"/>
      <c r="D245" s="245"/>
      <c r="E245" s="183"/>
      <c r="F245" s="181"/>
      <c r="G245" s="246" t="n">
        <f aca="false">SUM(B245:F245)</f>
        <v>0</v>
      </c>
      <c r="H245" s="247"/>
      <c r="I245" s="183"/>
      <c r="J245" s="248" t="n">
        <f aca="false">SUM(H245:I245)</f>
        <v>0</v>
      </c>
      <c r="K245" s="245"/>
      <c r="L245" s="183"/>
      <c r="M245" s="248" t="n">
        <f aca="false">SUM(K245:L245)</f>
        <v>0</v>
      </c>
      <c r="N245" s="245"/>
      <c r="O245" s="183"/>
      <c r="P245" s="248" t="n">
        <f aca="false">SUM(N245:O245)</f>
        <v>0</v>
      </c>
      <c r="Q245" s="162" t="str">
        <f aca="false">IF(P180=P245,"〇","×")</f>
        <v>〇</v>
      </c>
    </row>
    <row r="246" s="162" customFormat="true" ht="19.5" hidden="false" customHeight="true" outlineLevel="0" collapsed="false">
      <c r="A246" s="174"/>
      <c r="B246" s="182"/>
      <c r="C246" s="181"/>
      <c r="D246" s="245"/>
      <c r="E246" s="183"/>
      <c r="F246" s="181"/>
      <c r="G246" s="246" t="n">
        <f aca="false">SUM(B246:F246)</f>
        <v>0</v>
      </c>
      <c r="H246" s="247"/>
      <c r="I246" s="183"/>
      <c r="J246" s="248" t="n">
        <f aca="false">SUM(H246:I246)</f>
        <v>0</v>
      </c>
      <c r="K246" s="245"/>
      <c r="L246" s="183"/>
      <c r="M246" s="248" t="n">
        <f aca="false">SUM(K246:L246)</f>
        <v>0</v>
      </c>
      <c r="N246" s="245"/>
      <c r="O246" s="183"/>
      <c r="P246" s="248" t="n">
        <f aca="false">SUM(N246:O246)</f>
        <v>0</v>
      </c>
      <c r="Q246" s="162" t="str">
        <f aca="false">IF(P181=P246,"〇","×")</f>
        <v>〇</v>
      </c>
    </row>
    <row r="247" s="162" customFormat="true" ht="19.5" hidden="false" customHeight="true" outlineLevel="0" collapsed="false">
      <c r="A247" s="187"/>
      <c r="B247" s="249"/>
      <c r="C247" s="250"/>
      <c r="D247" s="251"/>
      <c r="E247" s="252"/>
      <c r="F247" s="250"/>
      <c r="G247" s="253"/>
      <c r="H247" s="254"/>
      <c r="I247" s="254"/>
      <c r="J247" s="255"/>
      <c r="K247" s="256"/>
      <c r="L247" s="254"/>
      <c r="M247" s="255"/>
      <c r="N247" s="256"/>
      <c r="O247" s="254"/>
      <c r="P247" s="255"/>
      <c r="Q247" s="162" t="str">
        <f aca="false">IF(P182=P247,"〇","×")</f>
        <v>〇</v>
      </c>
    </row>
    <row r="248" s="135" customFormat="true" ht="19.5" hidden="false" customHeight="true" outlineLevel="0" collapsed="false">
      <c r="A248" s="196" t="s">
        <v>497</v>
      </c>
      <c r="B248" s="197" t="n">
        <f aca="false">SUM(B218:B247)</f>
        <v>218965976</v>
      </c>
      <c r="C248" s="200" t="n">
        <f aca="false">SUM(C218:C247)</f>
        <v>17947340</v>
      </c>
      <c r="D248" s="198" t="n">
        <f aca="false">SUM(D218:D247)</f>
        <v>326258469</v>
      </c>
      <c r="E248" s="199" t="n">
        <f aca="false">SUM(E218:E247)</f>
        <v>18977785</v>
      </c>
      <c r="F248" s="200" t="n">
        <f aca="false">SUM(F218:F247)</f>
        <v>223728</v>
      </c>
      <c r="G248" s="201" t="n">
        <f aca="false">SUM(B248:F248)</f>
        <v>582373298</v>
      </c>
      <c r="H248" s="198" t="n">
        <f aca="false">SUM(H218:H246)</f>
        <v>131386005</v>
      </c>
      <c r="I248" s="198" t="n">
        <f aca="false">SUM(I218:I246)</f>
        <v>138736379</v>
      </c>
      <c r="J248" s="200" t="n">
        <f aca="false">SUM(H248:I248)</f>
        <v>270122384</v>
      </c>
      <c r="K248" s="197" t="n">
        <f aca="false">SUM(K218:K246)</f>
        <v>12229693</v>
      </c>
      <c r="L248" s="198" t="n">
        <f aca="false">SUM(L218:L246)</f>
        <v>13093701</v>
      </c>
      <c r="M248" s="200" t="n">
        <f aca="false">SUM(K248:L248)</f>
        <v>25323394</v>
      </c>
      <c r="N248" s="197" t="n">
        <f aca="false">SUM(N218:N246)</f>
        <v>2911782</v>
      </c>
      <c r="O248" s="198" t="n">
        <f aca="false">SUM(O218:O246)</f>
        <v>3071378</v>
      </c>
      <c r="P248" s="200" t="n">
        <f aca="false">SUM(N248:O248)</f>
        <v>5983160</v>
      </c>
      <c r="Q248" s="135" t="str">
        <f aca="false">IF(P183=P248,"〇","×")</f>
        <v>×</v>
      </c>
    </row>
    <row r="249" s="162" customFormat="true" ht="0.2" hidden="false" customHeight="true" outlineLevel="0" collapsed="false">
      <c r="A249" s="174" t="s">
        <v>496</v>
      </c>
      <c r="B249" s="256"/>
      <c r="C249" s="257"/>
      <c r="D249" s="254"/>
      <c r="E249" s="258"/>
      <c r="F249" s="259"/>
      <c r="G249" s="260"/>
      <c r="H249" s="261"/>
      <c r="I249" s="261"/>
      <c r="J249" s="262"/>
      <c r="K249" s="263"/>
      <c r="L249" s="264"/>
      <c r="M249" s="265"/>
      <c r="N249" s="263"/>
      <c r="O249" s="264"/>
      <c r="P249" s="265"/>
      <c r="Q249" s="162" t="str">
        <f aca="false">IF(P184=P249,"〇","×")</f>
        <v>〇</v>
      </c>
    </row>
    <row r="250" s="162" customFormat="true" ht="0.2" hidden="false" customHeight="true" outlineLevel="0" collapsed="false">
      <c r="A250" s="266" t="s">
        <v>496</v>
      </c>
      <c r="B250" s="267"/>
      <c r="C250" s="268"/>
      <c r="D250" s="254"/>
      <c r="E250" s="258"/>
      <c r="F250" s="257"/>
      <c r="G250" s="253"/>
      <c r="H250" s="269"/>
      <c r="I250" s="269"/>
      <c r="J250" s="270"/>
      <c r="K250" s="271"/>
      <c r="L250" s="272"/>
      <c r="M250" s="273"/>
      <c r="N250" s="271"/>
      <c r="O250" s="272"/>
      <c r="P250" s="273"/>
      <c r="Q250" s="162" t="str">
        <f aca="false">IF(P185=P250,"〇","×")</f>
        <v>〇</v>
      </c>
    </row>
    <row r="251" s="135" customFormat="true" ht="20.1" hidden="false" customHeight="true" outlineLevel="0" collapsed="false">
      <c r="A251" s="214" t="s">
        <v>208</v>
      </c>
      <c r="B251" s="142" t="n">
        <f aca="false">SUMIFS(報告入力!$AY$7:$AY$696,報告入力!$A$7:$A$696,$S$197,報告入力!$B$7:$B$696,$A251)</f>
        <v>305244</v>
      </c>
      <c r="C251" s="138" t="n">
        <f aca="false">SUMIFS(報告入力!$AZ$7:$AZ$696,報告入力!$A$7:$A$696,$S$197,報告入力!$B$7:$B$696,$A251)</f>
        <v>25020</v>
      </c>
      <c r="D251" s="136" t="n">
        <f aca="false">SUMIFS(報告入力!$BA$7:$BA$696,報告入力!$A$7:$A$696,$S$197,報告入力!$B$7:$B$696,$A251)</f>
        <v>305244</v>
      </c>
      <c r="E251" s="139" t="n">
        <f aca="false">SUMIFS(報告入力!$BB$7:$BB$696,報告入力!$A$7:$A$696,$S$197,報告入力!$B$7:$B$696,$A251)</f>
        <v>25020</v>
      </c>
      <c r="F251" s="138" t="n">
        <f aca="false">SUMIFS(報告入力!$BC$7:$BC$696,報告入力!$A$7:$A$696,$S$197,報告入力!$B$7:$B$696,$A251)</f>
        <v>289</v>
      </c>
      <c r="G251" s="133" t="n">
        <f aca="false">SUM(B251:F251)</f>
        <v>660817</v>
      </c>
      <c r="H251" s="155"/>
      <c r="I251" s="155"/>
      <c r="J251" s="221" t="n">
        <f aca="false">SUM(H251:I251)</f>
        <v>0</v>
      </c>
      <c r="K251" s="155"/>
      <c r="L251" s="155"/>
      <c r="M251" s="221" t="n">
        <f aca="false">SUM(K251:L251)</f>
        <v>0</v>
      </c>
      <c r="N251" s="155"/>
      <c r="O251" s="155"/>
      <c r="P251" s="221" t="n">
        <f aca="false">SUM(N251:O251)</f>
        <v>0</v>
      </c>
      <c r="Q251" s="135" t="str">
        <f aca="false">IF(P186=P251,"〇","×")</f>
        <v>〇</v>
      </c>
      <c r="R251" s="135" t="str">
        <f aca="false">IFERROR(INDEX(報告入力!$C$7:$C$696,MATCH($S$197&amp;"|"&amp;$A251,報告入力!$CM$7:$CM$696,0)),"")</f>
        <v>入金確認済</v>
      </c>
    </row>
    <row r="252" s="135" customFormat="true" ht="21.75" hidden="false" customHeight="true" outlineLevel="0" collapsed="false">
      <c r="A252" s="214" t="s">
        <v>209</v>
      </c>
      <c r="B252" s="210" t="n">
        <f aca="false">SUMIFS(報告入力!$AY$7:$AY$696,報告入力!$A$7:$A$696,$S$197,報告入力!$B$7:$B$696,$A252)</f>
        <v>120871</v>
      </c>
      <c r="C252" s="224" t="n">
        <f aca="false">SUMIFS(報告入力!$AZ$7:$AZ$696,報告入力!$A$7:$A$696,$S$197,報告入力!$B$7:$B$696,$A252)</f>
        <v>9907</v>
      </c>
      <c r="D252" s="274" t="n">
        <f aca="false">SUMIFS(報告入力!$BA$7:$BA$696,報告入力!$A$7:$A$696,$S$197,報告入力!$B$7:$B$696,$A252)</f>
        <v>120872</v>
      </c>
      <c r="E252" s="275" t="n">
        <f aca="false">SUMIFS(報告入力!$BB$7:$BB$696,報告入力!$A$7:$A$696,$S$197,報告入力!$B$7:$B$696,$A252)</f>
        <v>9907</v>
      </c>
      <c r="F252" s="276" t="n">
        <f aca="false">SUMIFS(報告入力!$BC$7:$BC$696,報告入力!$A$7:$A$696,$S$197,報告入力!$B$7:$B$696,$A252)</f>
        <v>114</v>
      </c>
      <c r="G252" s="144" t="n">
        <f aca="false">SUM(B252:F252)</f>
        <v>261671</v>
      </c>
      <c r="H252" s="277"/>
      <c r="I252" s="277"/>
      <c r="J252" s="278" t="n">
        <f aca="false">SUM(H252:I252)</f>
        <v>0</v>
      </c>
      <c r="K252" s="277"/>
      <c r="L252" s="277"/>
      <c r="M252" s="278" t="n">
        <f aca="false">SUM(K252:L252)</f>
        <v>0</v>
      </c>
      <c r="N252" s="277"/>
      <c r="O252" s="277"/>
      <c r="P252" s="278" t="n">
        <f aca="false">SUM(N252:O252)</f>
        <v>0</v>
      </c>
      <c r="Q252" s="135" t="str">
        <f aca="false">IF(P187=P252,"〇","×")</f>
        <v>〇</v>
      </c>
      <c r="R252" s="135" t="str">
        <f aca="false">IFERROR(INDEX(報告入力!$C$7:$C$696,MATCH($S$197&amp;"|"&amp;$A252,報告入力!$CM$7:$CM$696,0)),"")</f>
        <v>入金確認済</v>
      </c>
    </row>
    <row r="253" s="135" customFormat="true" ht="20.25" hidden="false" customHeight="true" outlineLevel="0" collapsed="false">
      <c r="A253" s="196" t="s">
        <v>497</v>
      </c>
      <c r="B253" s="197" t="n">
        <f aca="false">SUM(B249:B252)</f>
        <v>426115</v>
      </c>
      <c r="C253" s="200" t="n">
        <f aca="false">SUM(C249:C252)</f>
        <v>34927</v>
      </c>
      <c r="D253" s="198" t="n">
        <f aca="false">SUM(D249:D252)</f>
        <v>426116</v>
      </c>
      <c r="E253" s="199" t="n">
        <f aca="false">SUM(E249:E252)</f>
        <v>34927</v>
      </c>
      <c r="F253" s="200" t="n">
        <f aca="false">SUM(F249:F252)</f>
        <v>403</v>
      </c>
      <c r="G253" s="201" t="n">
        <f aca="false">SUM(B253:F253)</f>
        <v>922488</v>
      </c>
      <c r="H253" s="303" t="n">
        <f aca="false">SUM(H249:H252)</f>
        <v>0</v>
      </c>
      <c r="I253" s="362" t="n">
        <f aca="false">SUM(I249:I252)</f>
        <v>0</v>
      </c>
      <c r="J253" s="283" t="n">
        <f aca="false">SUM(H253:I253)</f>
        <v>0</v>
      </c>
      <c r="K253" s="281" t="n">
        <f aca="false">SUM(K249:K252)</f>
        <v>0</v>
      </c>
      <c r="L253" s="282" t="n">
        <f aca="false">SUM(L249:L252)</f>
        <v>0</v>
      </c>
      <c r="M253" s="283" t="n">
        <f aca="false">SUM(K253:L253)</f>
        <v>0</v>
      </c>
      <c r="N253" s="281" t="n">
        <f aca="false">SUM(N249:N252)</f>
        <v>0</v>
      </c>
      <c r="O253" s="282" t="n">
        <f aca="false">SUM(O249:O252)</f>
        <v>0</v>
      </c>
      <c r="P253" s="283" t="n">
        <f aca="false">SUM(N253:O253)</f>
        <v>0</v>
      </c>
      <c r="Q253" s="135" t="str">
        <f aca="false">IF(P188=P253,"〇","×")</f>
        <v>〇</v>
      </c>
    </row>
    <row r="254" s="135" customFormat="true" ht="20.1" hidden="false" customHeight="true" outlineLevel="0" collapsed="false">
      <c r="A254" s="125" t="s">
        <v>210</v>
      </c>
      <c r="B254" s="142" t="n">
        <f aca="false">SUMIFS(報告入力!$AY$7:$AY$696,報告入力!$A$7:$A$696,$S$197,報告入力!$B$7:$B$696,$A254)</f>
        <v>31384</v>
      </c>
      <c r="C254" s="138" t="n">
        <f aca="false">SUMIFS(報告入力!$AZ$7:$AZ$696,報告入力!$A$7:$A$696,$S$197,報告入力!$B$7:$B$696,$A254)</f>
        <v>2572</v>
      </c>
      <c r="D254" s="136" t="n">
        <f aca="false">SUMIFS(報告入力!$BA$7:$BA$696,報告入力!$A$7:$A$696,$S$197,報告入力!$B$7:$B$696,$A254)</f>
        <v>31385</v>
      </c>
      <c r="E254" s="139" t="n">
        <f aca="false">SUMIFS(報告入力!$BB$7:$BB$696,報告入力!$A$7:$A$696,$S$197,報告入力!$B$7:$B$696,$A254)</f>
        <v>2572</v>
      </c>
      <c r="F254" s="218"/>
      <c r="G254" s="133" t="n">
        <f aca="false">SUM(B254:F254)</f>
        <v>67913</v>
      </c>
      <c r="H254" s="139" t="n">
        <f aca="false">SUMIFS(報告入力!$BD$7:$BD$696,報告入力!$A$7:$A$696,$S$197,報告入力!$B$7:$B$696,$A254)</f>
        <v>17787</v>
      </c>
      <c r="I254" s="140" t="n">
        <f aca="false">SUMIFS(報告入力!$BE$7:$BE$696,報告入力!$A$7:$A$696,$S$197,報告入力!$B$7:$B$696,$A254)</f>
        <v>17805</v>
      </c>
      <c r="J254" s="141" t="n">
        <f aca="false">SUM(H254:I254)</f>
        <v>35592</v>
      </c>
      <c r="K254" s="139" t="n">
        <f aca="false">SUMIFS(報告入力!$BF$7:$BF$696,報告入力!$A$7:$A$696,$S$197,報告入力!$B$7:$B$696,$A254)</f>
        <v>2709</v>
      </c>
      <c r="L254" s="140" t="n">
        <f aca="false">SUMIFS(報告入力!$BG$7:$BG$696,報告入力!$A$7:$A$696,$S$197,報告入力!$B$7:$B$696,$A254)</f>
        <v>2709</v>
      </c>
      <c r="M254" s="141" t="n">
        <f aca="false">SUM(K254:L254)</f>
        <v>5418</v>
      </c>
      <c r="N254" s="139" t="n">
        <f aca="false">SUMIFS(報告入力!$BH$7:$BH$696,報告入力!$A$7:$A$696,$S$197,報告入力!$B$7:$B$696,$A254)</f>
        <v>394</v>
      </c>
      <c r="O254" s="140" t="n">
        <f aca="false">SUMIFS(報告入力!$BI$7:$BI$696,報告入力!$A$7:$A$696,$S$197,報告入力!$B$7:$B$696,$A254)</f>
        <v>394</v>
      </c>
      <c r="P254" s="141" t="n">
        <f aca="false">SUM(N254:O254)</f>
        <v>788</v>
      </c>
      <c r="Q254" s="135" t="str">
        <f aca="false">IF(P189=P254,"〇","×")</f>
        <v>×</v>
      </c>
      <c r="R254" s="135" t="str">
        <f aca="false">IFERROR(INDEX(報告入力!$C$7:$C$696,MATCH($S$197&amp;"|"&amp;$A254,報告入力!$CM$7:$CM$696,0)),"")</f>
        <v>入金確認済</v>
      </c>
    </row>
    <row r="255" s="135" customFormat="true" ht="20.1" hidden="false" customHeight="true" outlineLevel="0" collapsed="false">
      <c r="A255" s="125" t="s">
        <v>211</v>
      </c>
      <c r="B255" s="240" t="n">
        <f aca="false">SUMIFS(報告入力!$AY$7:$AY$696,報告入力!$A$7:$A$696,$S$197,報告入力!$B$7:$B$696,$A255)</f>
        <v>0</v>
      </c>
      <c r="C255" s="237" t="n">
        <f aca="false">SUMIFS(報告入力!$AZ$7:$AZ$696,報告入力!$A$7:$A$696,$S$197,報告入力!$B$7:$B$696,$A255)</f>
        <v>0</v>
      </c>
      <c r="D255" s="203" t="n">
        <f aca="false">SUMIFS(報告入力!$BA$7:$BA$696,報告入力!$A$7:$A$696,$S$197,報告入力!$B$7:$B$696,$A255)</f>
        <v>0</v>
      </c>
      <c r="E255" s="207" t="n">
        <f aca="false">SUMIFS(報告入力!$BB$7:$BB$696,報告入力!$A$7:$A$696,$S$197,報告入力!$B$7:$B$696,$A255)</f>
        <v>0</v>
      </c>
      <c r="F255" s="218"/>
      <c r="G255" s="206" t="n">
        <f aca="false">SUM(B255:F255)</f>
        <v>0</v>
      </c>
      <c r="H255" s="207" t="n">
        <f aca="false">SUMIFS(報告入力!$BD$7:$BD$696,報告入力!$A$7:$A$696,$S$197,報告入力!$B$7:$B$696,$A255)</f>
        <v>0</v>
      </c>
      <c r="I255" s="208" t="n">
        <f aca="false">SUMIFS(報告入力!$BE$7:$BE$696,報告入力!$A$7:$A$696,$S$197,報告入力!$B$7:$B$696,$A255)</f>
        <v>0</v>
      </c>
      <c r="J255" s="160" t="n">
        <f aca="false">SUM(H255:I255)</f>
        <v>0</v>
      </c>
      <c r="K255" s="287" t="n">
        <f aca="false">SUMIFS(報告入力!$BF$7:$BF$696,報告入力!$A$7:$A$696,$S$197,報告入力!$B$7:$B$696,$A255)</f>
        <v>0</v>
      </c>
      <c r="L255" s="208" t="n">
        <f aca="false">SUMIFS(報告入力!$BG$7:$BG$696,報告入力!$A$7:$A$696,$S$197,報告入力!$B$7:$B$696,$A255)</f>
        <v>0</v>
      </c>
      <c r="M255" s="160" t="n">
        <f aca="false">SUM(K255:L255)</f>
        <v>0</v>
      </c>
      <c r="N255" s="287" t="n">
        <f aca="false">SUMIFS(報告入力!$BH$7:$BH$696,報告入力!$A$7:$A$696,$S$197,報告入力!$B$7:$B$696,$A255)</f>
        <v>0</v>
      </c>
      <c r="O255" s="208" t="n">
        <f aca="false">SUMIFS(報告入力!$BI$7:$BI$696,報告入力!$A$7:$A$696,$S$197,報告入力!$B$7:$B$696,$A255)</f>
        <v>0</v>
      </c>
      <c r="P255" s="160" t="n">
        <f aca="false">SUM(N255:O255)</f>
        <v>0</v>
      </c>
      <c r="Q255" s="135" t="str">
        <f aca="false">IF(P190=P255,"〇","×")</f>
        <v>〇</v>
      </c>
      <c r="R255" s="135" t="str">
        <f aca="false">IFERROR(INDEX(報告入力!$C$7:$C$696,MATCH($S$197&amp;"|"&amp;$A255,報告入力!$CM$7:$CM$696,0)),"")</f>
        <v>未受領</v>
      </c>
    </row>
    <row r="256" s="135" customFormat="true" ht="20.1" hidden="false" customHeight="true" outlineLevel="0" collapsed="false">
      <c r="A256" s="217" t="s">
        <v>212</v>
      </c>
      <c r="B256" s="142" t="n">
        <f aca="false">SUMIFS(報告入力!$AY$7:$AY$696,報告入力!$A$7:$A$696,$S$197,報告入力!$B$7:$B$696,$A256)</f>
        <v>46024</v>
      </c>
      <c r="C256" s="138" t="n">
        <f aca="false">SUMIFS(報告入力!$AZ$7:$AZ$696,報告入力!$A$7:$A$696,$S$197,報告入力!$B$7:$B$696,$A256)</f>
        <v>3772</v>
      </c>
      <c r="D256" s="136" t="n">
        <f aca="false">SUMIFS(報告入力!$BA$7:$BA$696,報告入力!$A$7:$A$696,$S$197,報告入力!$B$7:$B$696,$A256)</f>
        <v>46025</v>
      </c>
      <c r="E256" s="139" t="n">
        <f aca="false">SUMIFS(報告入力!$BB$7:$BB$696,報告入力!$A$7:$A$696,$S$197,報告入力!$B$7:$B$696,$A256)</f>
        <v>3772</v>
      </c>
      <c r="F256" s="218"/>
      <c r="G256" s="133" t="n">
        <f aca="false">SUM(B256:F256)</f>
        <v>99593</v>
      </c>
      <c r="H256" s="139" t="n">
        <f aca="false">SUMIFS(報告入力!$BD$7:$BD$696,報告入力!$A$7:$A$696,$S$197,報告入力!$B$7:$B$696,$A256)</f>
        <v>39568</v>
      </c>
      <c r="I256" s="140" t="n">
        <f aca="false">SUMIFS(報告入力!$BE$7:$BE$696,報告入力!$A$7:$A$696,$S$197,報告入力!$B$7:$B$696,$A256)</f>
        <v>39607</v>
      </c>
      <c r="J256" s="141" t="n">
        <f aca="false">SUM(H256:I256)</f>
        <v>79175</v>
      </c>
      <c r="K256" s="134" t="n">
        <f aca="false">SUMIFS(報告入力!$BF$7:$BF$696,報告入力!$A$7:$A$696,$S$197,報告入力!$B$7:$B$696,$A256)</f>
        <v>2054</v>
      </c>
      <c r="L256" s="140" t="n">
        <f aca="false">SUMIFS(報告入力!$BG$7:$BG$696,報告入力!$A$7:$A$696,$S$197,報告入力!$B$7:$B$696,$A256)</f>
        <v>2054</v>
      </c>
      <c r="M256" s="141" t="n">
        <f aca="false">SUM(K256:L256)</f>
        <v>4108</v>
      </c>
      <c r="N256" s="134" t="n">
        <f aca="false">SUMIFS(報告入力!$BH$7:$BH$696,報告入力!$A$7:$A$696,$S$197,報告入力!$B$7:$B$696,$A256)</f>
        <v>877</v>
      </c>
      <c r="O256" s="140" t="n">
        <f aca="false">SUMIFS(報告入力!$BI$7:$BI$696,報告入力!$A$7:$A$696,$S$197,報告入力!$B$7:$B$696,$A256)</f>
        <v>877</v>
      </c>
      <c r="P256" s="141" t="n">
        <f aca="false">SUM(N256:O256)</f>
        <v>1754</v>
      </c>
      <c r="Q256" s="135" t="str">
        <f aca="false">IF(P191=P256,"〇","×")</f>
        <v>×</v>
      </c>
      <c r="R256" s="135" t="str">
        <f aca="false">IFERROR(INDEX(報告入力!$C$7:$C$696,MATCH($S$197&amp;"|"&amp;$A256,報告入力!$CM$7:$CM$696,0)),"")</f>
        <v>入金確認済</v>
      </c>
    </row>
    <row r="257" s="135" customFormat="true" ht="20.1" hidden="false" customHeight="true" outlineLevel="0" collapsed="false">
      <c r="A257" s="217" t="s">
        <v>213</v>
      </c>
      <c r="B257" s="240"/>
      <c r="C257" s="237"/>
      <c r="D257" s="203"/>
      <c r="E257" s="207"/>
      <c r="F257" s="337"/>
      <c r="G257" s="206" t="n">
        <f aca="false">SUM(B257:F257)</f>
        <v>0</v>
      </c>
      <c r="H257" s="357"/>
      <c r="I257" s="358"/>
      <c r="J257" s="309" t="n">
        <f aca="false">SUM(H257:I257)</f>
        <v>0</v>
      </c>
      <c r="K257" s="359"/>
      <c r="L257" s="358"/>
      <c r="M257" s="309" t="n">
        <f aca="false">SUM(K257:L257)</f>
        <v>0</v>
      </c>
      <c r="N257" s="359"/>
      <c r="O257" s="358"/>
      <c r="P257" s="309" t="n">
        <f aca="false">SUM(N257:O257)</f>
        <v>0</v>
      </c>
      <c r="Q257" s="135" t="str">
        <f aca="false">IF(P192=P257,"〇","×")</f>
        <v>〇</v>
      </c>
      <c r="R257" s="135" t="str">
        <f aca="false">IFERROR(INDEX(報告入力!$C$7:$C$696,MATCH($S$197&amp;"|"&amp;$A257,報告入力!$CM$7:$CM$696,0)),"")</f>
        <v>報告なし</v>
      </c>
    </row>
    <row r="258" s="135" customFormat="true" ht="20.1" hidden="false" customHeight="true" outlineLevel="0" collapsed="false">
      <c r="A258" s="196" t="s">
        <v>497</v>
      </c>
      <c r="B258" s="197" t="n">
        <f aca="false">SUM(B254:B257)</f>
        <v>77408</v>
      </c>
      <c r="C258" s="201" t="n">
        <f aca="false">SUM(C254:C257)</f>
        <v>6344</v>
      </c>
      <c r="D258" s="197" t="n">
        <f aca="false">SUM(D254:D257)</f>
        <v>77410</v>
      </c>
      <c r="E258" s="199" t="n">
        <f aca="false">SUM(E254:E257)</f>
        <v>6344</v>
      </c>
      <c r="F258" s="200" t="n">
        <f aca="false">SUM(F254:F257)</f>
        <v>0</v>
      </c>
      <c r="G258" s="201" t="n">
        <f aca="false">SUM(B258:F258)</f>
        <v>167506</v>
      </c>
      <c r="H258" s="301" t="n">
        <f aca="false">SUM(H254:H257)</f>
        <v>57355</v>
      </c>
      <c r="I258" s="199" t="n">
        <f aca="false">SUM(I254:I257)</f>
        <v>57412</v>
      </c>
      <c r="J258" s="200" t="n">
        <f aca="false">SUM(H258:I258)</f>
        <v>114767</v>
      </c>
      <c r="K258" s="197" t="n">
        <f aca="false">SUM(K254:K257)</f>
        <v>4763</v>
      </c>
      <c r="L258" s="301" t="n">
        <f aca="false">SUM(L254:L257)</f>
        <v>4763</v>
      </c>
      <c r="M258" s="200" t="n">
        <f aca="false">SUM(K258:L258)</f>
        <v>9526</v>
      </c>
      <c r="N258" s="197" t="n">
        <f aca="false">SUM(N254:N257)</f>
        <v>1271</v>
      </c>
      <c r="O258" s="301" t="n">
        <f aca="false">SUM(O254:O257)</f>
        <v>1271</v>
      </c>
      <c r="P258" s="200" t="n">
        <f aca="false">SUM(N258:O258)</f>
        <v>2542</v>
      </c>
      <c r="Q258" s="135" t="str">
        <f aca="false">IF(P193=P258,"〇","×")</f>
        <v>×</v>
      </c>
    </row>
    <row r="259" s="135" customFormat="true" ht="20.1" hidden="false" customHeight="true" outlineLevel="0" collapsed="false">
      <c r="A259" s="302" t="s">
        <v>214</v>
      </c>
      <c r="B259" s="303"/>
      <c r="C259" s="304"/>
      <c r="D259" s="305"/>
      <c r="E259" s="306"/>
      <c r="F259" s="292"/>
      <c r="G259" s="293"/>
      <c r="H259" s="338"/>
      <c r="I259" s="339"/>
      <c r="J259" s="296" t="n">
        <f aca="false">SUM(H259:I259)</f>
        <v>0</v>
      </c>
      <c r="K259" s="338"/>
      <c r="L259" s="339"/>
      <c r="M259" s="296" t="n">
        <f aca="false">SUM(K259:L259)</f>
        <v>0</v>
      </c>
      <c r="N259" s="338"/>
      <c r="O259" s="339"/>
      <c r="P259" s="296" t="n">
        <f aca="false">SUM(N259:O259)</f>
        <v>0</v>
      </c>
      <c r="Q259" s="135" t="str">
        <f aca="false">IF(P194=P259,"〇","×")</f>
        <v>×</v>
      </c>
      <c r="R259" s="135" t="str">
        <f aca="false">IFERROR(INDEX(報告入力!$C$7:$C$696,MATCH($S$197&amp;"|"&amp;$A259,報告入力!$CM$7:$CM$696,0)),"")</f>
        <v>報告なし</v>
      </c>
    </row>
    <row r="260" s="135" customFormat="true" ht="17.35" hidden="false" customHeight="false" outlineLevel="0" collapsed="false">
      <c r="A260" s="310" t="s">
        <v>499</v>
      </c>
      <c r="B260" s="311" t="n">
        <f aca="false">SUM(+B217+B248+B253+B258+B259)</f>
        <v>907213270</v>
      </c>
      <c r="C260" s="312" t="n">
        <f aca="false">SUM(+C217+C248+C253+C258+C259)</f>
        <v>74370232</v>
      </c>
      <c r="D260" s="311" t="n">
        <f aca="false">SUM(+D217+D248+D253+D258+D259)</f>
        <v>1308496586</v>
      </c>
      <c r="E260" s="313" t="n">
        <f aca="false">SUM(+E217+E248+E253+E258+E259)</f>
        <v>74372823</v>
      </c>
      <c r="F260" s="312" t="n">
        <f aca="false">SUM(+F217+F248+F253+F258+F259)</f>
        <v>874113</v>
      </c>
      <c r="G260" s="314" t="n">
        <f aca="false">SUM(B260:F260)</f>
        <v>2365327024</v>
      </c>
      <c r="H260" s="315" t="n">
        <f aca="false">SUM(+H217+H248+H253+H258+H259)</f>
        <v>614527425</v>
      </c>
      <c r="I260" s="315" t="n">
        <f aca="false">SUM(+I217+I248+I253+I258+I259)</f>
        <v>622929746</v>
      </c>
      <c r="J260" s="316" t="n">
        <f aca="false">SUM(H260:I260)</f>
        <v>1237457171</v>
      </c>
      <c r="K260" s="317" t="n">
        <f aca="false">SUM(+K217+K248+K253+K258+K259)</f>
        <v>58354858</v>
      </c>
      <c r="L260" s="315" t="n">
        <f aca="false">SUM(+L217+L248+L253+L258+L259)</f>
        <v>58358254</v>
      </c>
      <c r="M260" s="316" t="n">
        <f aca="false">SUM(K260:L260)</f>
        <v>116713112</v>
      </c>
      <c r="N260" s="317" t="n">
        <f aca="false">SUM(+N217+N248+N253+N258+N259)</f>
        <v>13618708</v>
      </c>
      <c r="O260" s="315" t="n">
        <f aca="false">SUM(+O217+O248+O253+O258+O259)</f>
        <v>13625291</v>
      </c>
      <c r="P260" s="316" t="n">
        <f aca="false">SUM(N260:O260)</f>
        <v>27243999</v>
      </c>
      <c r="Q260" s="135" t="str">
        <f aca="false">IF(P195=P260,"〇","×")</f>
        <v>×</v>
      </c>
    </row>
    <row r="261" s="341" customFormat="true" ht="33.75" hidden="false" customHeight="true" outlineLevel="0" collapsed="false">
      <c r="A261" s="340"/>
      <c r="G261" s="109"/>
      <c r="Q261" s="341" t="str">
        <f aca="false">IF(P196=P261,"〇","×")</f>
        <v>〇</v>
      </c>
    </row>
    <row r="262" s="322" customFormat="true" ht="30" hidden="false" customHeight="true" outlineLevel="0" collapsed="false">
      <c r="A262" s="320"/>
      <c r="B262" s="112" t="n">
        <f aca="false">EOMONTH(B197,1)</f>
        <v>46234</v>
      </c>
      <c r="C262" s="112"/>
      <c r="D262" s="112"/>
      <c r="E262" s="112"/>
      <c r="F262" s="112"/>
      <c r="G262" s="112"/>
      <c r="H262" s="112" t="n">
        <f aca="false">B262</f>
        <v>46234</v>
      </c>
      <c r="I262" s="112"/>
      <c r="J262" s="112"/>
      <c r="K262" s="112" t="n">
        <f aca="false">H262</f>
        <v>46234</v>
      </c>
      <c r="L262" s="112"/>
      <c r="M262" s="112"/>
      <c r="N262" s="112" t="n">
        <f aca="false">K262</f>
        <v>46234</v>
      </c>
      <c r="O262" s="112"/>
      <c r="P262" s="112"/>
      <c r="Q262" s="322" t="str">
        <f aca="false">IF(P197=P262,"〇","×")</f>
        <v>〇</v>
      </c>
      <c r="S262" s="322" t="s">
        <v>504</v>
      </c>
    </row>
    <row r="263" customFormat="false" ht="22.5" hidden="false" customHeight="true" outlineLevel="0" collapsed="false">
      <c r="A263" s="114" t="s">
        <v>483</v>
      </c>
      <c r="B263" s="114" t="s">
        <v>484</v>
      </c>
      <c r="C263" s="114"/>
      <c r="D263" s="114"/>
      <c r="E263" s="114"/>
      <c r="F263" s="114"/>
      <c r="G263" s="114"/>
      <c r="H263" s="116" t="s">
        <v>485</v>
      </c>
      <c r="I263" s="116"/>
      <c r="J263" s="116"/>
      <c r="K263" s="116" t="s">
        <v>486</v>
      </c>
      <c r="L263" s="116"/>
      <c r="M263" s="116"/>
      <c r="N263" s="116" t="str">
        <f aca="false">$N$3</f>
        <v>子ども・子育て支援納付金</v>
      </c>
      <c r="O263" s="116"/>
      <c r="P263" s="116"/>
      <c r="Q263" s="105" t="str">
        <f aca="false">IF(P198=P263,"〇","×")</f>
        <v>〇</v>
      </c>
    </row>
    <row r="264" customFormat="false" ht="22.5" hidden="false" customHeight="true" outlineLevel="0" collapsed="false">
      <c r="A264" s="114"/>
      <c r="B264" s="117" t="s">
        <v>487</v>
      </c>
      <c r="C264" s="117"/>
      <c r="D264" s="117" t="s">
        <v>488</v>
      </c>
      <c r="E264" s="117"/>
      <c r="F264" s="117"/>
      <c r="G264" s="117" t="s">
        <v>489</v>
      </c>
      <c r="H264" s="121" t="s">
        <v>490</v>
      </c>
      <c r="I264" s="119" t="s">
        <v>491</v>
      </c>
      <c r="J264" s="120" t="s">
        <v>489</v>
      </c>
      <c r="K264" s="121" t="s">
        <v>490</v>
      </c>
      <c r="L264" s="119" t="s">
        <v>491</v>
      </c>
      <c r="M264" s="120" t="s">
        <v>489</v>
      </c>
      <c r="N264" s="121" t="s">
        <v>490</v>
      </c>
      <c r="O264" s="119" t="s">
        <v>491</v>
      </c>
      <c r="P264" s="120" t="s">
        <v>489</v>
      </c>
      <c r="Q264" s="105" t="str">
        <f aca="false">IF(P199=P264,"〇","×")</f>
        <v>〇</v>
      </c>
    </row>
    <row r="265" customFormat="false" ht="22.5" hidden="false" customHeight="true" outlineLevel="0" collapsed="false">
      <c r="A265" s="114"/>
      <c r="B265" s="122" t="s">
        <v>492</v>
      </c>
      <c r="C265" s="123" t="s">
        <v>493</v>
      </c>
      <c r="D265" s="124" t="s">
        <v>492</v>
      </c>
      <c r="E265" s="124" t="s">
        <v>494</v>
      </c>
      <c r="F265" s="123" t="s">
        <v>93</v>
      </c>
      <c r="G265" s="117"/>
      <c r="H265" s="121"/>
      <c r="I265" s="119"/>
      <c r="J265" s="120"/>
      <c r="K265" s="121"/>
      <c r="L265" s="119"/>
      <c r="M265" s="120"/>
      <c r="N265" s="121"/>
      <c r="O265" s="119"/>
      <c r="P265" s="120"/>
      <c r="Q265" s="105" t="str">
        <f aca="false">IF(P200=P265,"〇","×")</f>
        <v>〇</v>
      </c>
    </row>
    <row r="266" s="135" customFormat="true" ht="19.5" hidden="false" customHeight="true" outlineLevel="0" collapsed="false">
      <c r="A266" s="125" t="s">
        <v>166</v>
      </c>
      <c r="B266" s="142" t="n">
        <f aca="false">SUMIFS(報告入力!$AY$7:$AY$696,報告入力!$A$7:$A$696,$S$262,報告入力!$B$7:$B$696,$A266)</f>
        <v>244123006</v>
      </c>
      <c r="C266" s="138" t="n">
        <f aca="false">SUMIFS(報告入力!$AZ$7:$AZ$696,報告入力!$A$7:$A$696,$S$262,報告入力!$B$7:$B$696,$A266)</f>
        <v>20014957</v>
      </c>
      <c r="D266" s="136" t="n">
        <f aca="false">SUMIFS(報告入力!$BA$7:$BA$696,報告入力!$A$7:$A$696,$S$262,報告入力!$B$7:$B$696,$A266)</f>
        <v>350370377</v>
      </c>
      <c r="E266" s="139" t="n">
        <f aca="false">SUMIFS(報告入力!$BB$7:$BB$696,報告入力!$A$7:$A$696,$S$262,報告入力!$B$7:$B$696,$A266)</f>
        <v>19497061</v>
      </c>
      <c r="F266" s="138" t="n">
        <f aca="false">SUMIFS(報告入力!$BC$7:$BC$696,報告入力!$A$7:$A$696,$S$262,報告入力!$B$7:$B$696,$A266)</f>
        <v>236288</v>
      </c>
      <c r="G266" s="133" t="n">
        <f aca="false">SUM(B266:F266)</f>
        <v>634241689</v>
      </c>
      <c r="H266" s="142" t="n">
        <f aca="false">SUMIFS(報告入力!$BD$7:$BD$696,報告入力!$A$7:$A$696,$S$262,報告入力!$B$7:$B$696,$A266)</f>
        <v>176768259</v>
      </c>
      <c r="I266" s="230" t="n">
        <f aca="false">SUMIFS(報告入力!$BE$7:$BE$696,報告入力!$A$7:$A$696,$S$262,報告入力!$B$7:$B$696,$A266)</f>
        <v>176034034</v>
      </c>
      <c r="J266" s="133" t="n">
        <f aca="false">SUM(H266:I266)</f>
        <v>352802293</v>
      </c>
      <c r="K266" s="142" t="n">
        <f aca="false">SUMIFS(報告入力!$BF$7:$BF$696,報告入力!$A$7:$A$696,$S$262,報告入力!$B$7:$B$696,$A266)</f>
        <v>16103399</v>
      </c>
      <c r="L266" s="230" t="n">
        <f aca="false">SUMIFS(報告入力!$BG$7:$BG$696,報告入力!$A$7:$A$696,$S$262,報告入力!$B$7:$B$696,$A266)</f>
        <v>15690256</v>
      </c>
      <c r="M266" s="133" t="n">
        <f aca="false">SUM(K266:L266)</f>
        <v>31793655</v>
      </c>
      <c r="N266" s="230" t="n">
        <f aca="false">SUMIFS(報告入力!$BH$7:$BH$696,報告入力!$A$7:$A$696,$S$262,報告入力!$B$7:$B$696,$A266)</f>
        <v>3918168</v>
      </c>
      <c r="O266" s="230" t="n">
        <f aca="false">SUMIFS(報告入力!$BI$7:$BI$696,報告入力!$A$7:$A$696,$S$262,報告入力!$B$7:$B$696,$A266)</f>
        <v>3834790</v>
      </c>
      <c r="P266" s="133" t="n">
        <f aca="false">SUM(N266:O266)</f>
        <v>7752958</v>
      </c>
      <c r="Q266" s="135" t="str">
        <f aca="false">IF(P201=P266,"〇","×")</f>
        <v>×</v>
      </c>
      <c r="R266" s="135" t="str">
        <f aca="false">IFERROR(INDEX(報告入力!$C$7:$C$696,MATCH($S$262&amp;"|"&amp;$A266,報告入力!$CM$7:$CM$696,0)),"")</f>
        <v>入金確認済</v>
      </c>
    </row>
    <row r="267" s="135" customFormat="true" ht="20.1" hidden="false" customHeight="true" outlineLevel="0" collapsed="false">
      <c r="A267" s="125" t="s">
        <v>169</v>
      </c>
      <c r="B267" s="142" t="n">
        <f aca="false">SUMIFS(報告入力!$AY$7:$AY$696,報告入力!$A$7:$A$696,$S$262,報告入力!$B$7:$B$696,$A267)</f>
        <v>16670844</v>
      </c>
      <c r="C267" s="138" t="n">
        <f aca="false">SUMIFS(報告入力!$AZ$7:$AZ$696,報告入力!$A$7:$A$696,$S$262,報告入力!$B$7:$B$696,$A267)</f>
        <v>1366464</v>
      </c>
      <c r="D267" s="136" t="n">
        <f aca="false">SUMIFS(報告入力!$BA$7:$BA$696,報告入力!$A$7:$A$696,$S$262,報告入力!$B$7:$B$696,$A267)</f>
        <v>24012163</v>
      </c>
      <c r="E267" s="139" t="n">
        <f aca="false">SUMIFS(報告入力!$BB$7:$BB$696,報告入力!$A$7:$A$696,$S$262,報告入力!$B$7:$B$696,$A267)</f>
        <v>1366463</v>
      </c>
      <c r="F267" s="138" t="n">
        <f aca="false">SUMIFS(報告入力!$BC$7:$BC$696,報告入力!$A$7:$A$696,$S$262,報告入力!$B$7:$B$696,$A267)</f>
        <v>15983</v>
      </c>
      <c r="G267" s="133" t="n">
        <f aca="false">SUM(B267:F267)</f>
        <v>43431917</v>
      </c>
      <c r="H267" s="142" t="n">
        <f aca="false">SUMIFS(報告入力!$BD$7:$BD$696,報告入力!$A$7:$A$696,$S$262,報告入力!$B$7:$B$696,$A267)</f>
        <v>9763701</v>
      </c>
      <c r="I267" s="230" t="n">
        <f aca="false">SUMIFS(報告入力!$BE$7:$BE$696,報告入力!$A$7:$A$696,$S$262,報告入力!$B$7:$B$696,$A267)</f>
        <v>9929666</v>
      </c>
      <c r="J267" s="133" t="n">
        <f aca="false">SUM(H267:I267)</f>
        <v>19693367</v>
      </c>
      <c r="K267" s="142" t="n">
        <f aca="false">SUMIFS(報告入力!$BF$7:$BF$696,報告入力!$A$7:$A$696,$S$262,報告入力!$B$7:$B$696,$A267)</f>
        <v>1038285</v>
      </c>
      <c r="L267" s="230" t="n">
        <f aca="false">SUMIFS(報告入力!$BG$7:$BG$696,報告入力!$A$7:$A$696,$S$262,報告入力!$B$7:$B$696,$A267)</f>
        <v>1038282</v>
      </c>
      <c r="M267" s="133" t="n">
        <f aca="false">SUM(K267:L267)</f>
        <v>2076567</v>
      </c>
      <c r="N267" s="230" t="n">
        <f aca="false">SUMIFS(報告入力!$BH$7:$BH$696,報告入力!$A$7:$A$696,$S$262,報告入力!$B$7:$B$696,$A267)</f>
        <v>216545</v>
      </c>
      <c r="O267" s="230" t="n">
        <f aca="false">SUMIFS(報告入力!$BI$7:$BI$696,報告入力!$A$7:$A$696,$S$262,報告入力!$B$7:$B$696,$A267)</f>
        <v>216620</v>
      </c>
      <c r="P267" s="133" t="n">
        <f aca="false">SUM(N267:O267)</f>
        <v>433165</v>
      </c>
      <c r="Q267" s="135" t="str">
        <f aca="false">IF(P202=P267,"〇","×")</f>
        <v>×</v>
      </c>
      <c r="R267" s="135" t="str">
        <f aca="false">IFERROR(INDEX(報告入力!$C$7:$C$696,MATCH($S$262&amp;"|"&amp;$A267,報告入力!$CM$7:$CM$696,0)),"")</f>
        <v>入金確認済</v>
      </c>
    </row>
    <row r="268" s="135" customFormat="true" ht="20.1" hidden="false" customHeight="true" outlineLevel="0" collapsed="false">
      <c r="A268" s="125" t="s">
        <v>170</v>
      </c>
      <c r="B268" s="142" t="n">
        <f aca="false">SUMIFS(報告入力!$AY$7:$AY$696,報告入力!$A$7:$A$696,$S$262,報告入力!$B$7:$B$696,$A268)</f>
        <v>55474802</v>
      </c>
      <c r="C268" s="138" t="n">
        <f aca="false">SUMIFS(報告入力!$AZ$7:$AZ$696,報告入力!$A$7:$A$696,$S$262,報告入力!$B$7:$B$696,$A268)</f>
        <v>4547114</v>
      </c>
      <c r="D268" s="136" t="n">
        <f aca="false">SUMIFS(報告入力!$BA$7:$BA$696,報告入力!$A$7:$A$696,$S$262,報告入力!$B$7:$B$696,$A268)</f>
        <v>79748812</v>
      </c>
      <c r="E268" s="139" t="n">
        <f aca="false">SUMIFS(報告入力!$BB$7:$BB$696,報告入力!$A$7:$A$696,$S$262,報告入力!$B$7:$B$696,$A268)</f>
        <v>4523176</v>
      </c>
      <c r="F268" s="138" t="n">
        <f aca="false">SUMIFS(報告入力!$BC$7:$BC$696,報告入力!$A$7:$A$696,$S$262,報告入力!$B$7:$B$696,$A268)</f>
        <v>53211</v>
      </c>
      <c r="G268" s="133" t="n">
        <f aca="false">SUM(B268:F268)</f>
        <v>144347115</v>
      </c>
      <c r="H268" s="142" t="n">
        <f aca="false">SUMIFS(報告入力!$BD$7:$BD$696,報告入力!$A$7:$A$696,$S$262,報告入力!$B$7:$B$696,$A268)</f>
        <v>32141726</v>
      </c>
      <c r="I268" s="230" t="n">
        <f aca="false">SUMIFS(報告入力!$BE$7:$BE$696,報告入力!$A$7:$A$696,$S$262,報告入力!$B$7:$B$696,$A268)</f>
        <v>32523185</v>
      </c>
      <c r="J268" s="133" t="n">
        <f aca="false">SUM(H268:I268)</f>
        <v>64664911</v>
      </c>
      <c r="K268" s="142" t="n">
        <f aca="false">SUMIFS(報告入力!$BF$7:$BF$696,報告入力!$A$7:$A$696,$S$262,報告入力!$B$7:$B$696,$A268)</f>
        <v>2067121</v>
      </c>
      <c r="L268" s="230" t="n">
        <f aca="false">SUMIFS(報告入力!$BG$7:$BG$696,報告入力!$A$7:$A$696,$S$262,報告入力!$B$7:$B$696,$A268)</f>
        <v>2054164</v>
      </c>
      <c r="M268" s="133" t="n">
        <f aca="false">SUM(K268:L268)</f>
        <v>4121285</v>
      </c>
      <c r="N268" s="230" t="n">
        <f aca="false">SUMIFS(報告入力!$BH$7:$BH$696,報告入力!$A$7:$A$696,$S$262,報告入力!$B$7:$B$696,$A268)</f>
        <v>712644</v>
      </c>
      <c r="O268" s="230" t="n">
        <f aca="false">SUMIFS(報告入力!$BI$7:$BI$696,報告入力!$A$7:$A$696,$S$262,報告入力!$B$7:$B$696,$A268)</f>
        <v>709244</v>
      </c>
      <c r="P268" s="133" t="n">
        <f aca="false">SUM(N268:O268)</f>
        <v>1421888</v>
      </c>
      <c r="Q268" s="135" t="str">
        <f aca="false">IF(P203=P268,"〇","×")</f>
        <v>×</v>
      </c>
      <c r="R268" s="135" t="str">
        <f aca="false">IFERROR(INDEX(報告入力!$C$7:$C$696,MATCH($S$262&amp;"|"&amp;$A268,報告入力!$CM$7:$CM$696,0)),"")</f>
        <v>入金確認済</v>
      </c>
    </row>
    <row r="269" s="135" customFormat="true" ht="18.75" hidden="false" customHeight="true" outlineLevel="0" collapsed="false">
      <c r="A269" s="125" t="s">
        <v>171</v>
      </c>
      <c r="B269" s="142" t="n">
        <f aca="false">SUMIFS(報告入力!$AY$7:$AY$696,報告入力!$A$7:$A$696,$S$262,報告入力!$B$7:$B$696,$A269)</f>
        <v>1796328</v>
      </c>
      <c r="C269" s="138" t="n">
        <f aca="false">SUMIFS(報告入力!$AZ$7:$AZ$696,報告入力!$A$7:$A$696,$S$262,報告入力!$B$7:$B$696,$A269)</f>
        <v>147240</v>
      </c>
      <c r="D269" s="136" t="n">
        <f aca="false">SUMIFS(報告入力!$BA$7:$BA$696,報告入力!$A$7:$A$696,$S$262,報告入力!$B$7:$B$696,$A269)</f>
        <v>2604382</v>
      </c>
      <c r="E269" s="139" t="n">
        <f aca="false">SUMIFS(報告入力!$BB$7:$BB$696,報告入力!$A$7:$A$696,$S$262,報告入力!$B$7:$B$696,$A269)</f>
        <v>147240</v>
      </c>
      <c r="F269" s="138" t="n">
        <f aca="false">SUMIFS(報告入力!$BC$7:$BC$696,報告入力!$A$7:$A$696,$S$262,報告入力!$B$7:$B$696,$A269)</f>
        <v>1759</v>
      </c>
      <c r="G269" s="133" t="n">
        <f aca="false">SUM(B269:F269)</f>
        <v>4696949</v>
      </c>
      <c r="H269" s="142" t="n">
        <f aca="false">SUMIFS(報告入力!$BD$7:$BD$696,報告入力!$A$7:$A$696,$S$262,報告入力!$B$7:$B$696,$A269)</f>
        <v>1024323</v>
      </c>
      <c r="I269" s="230" t="n">
        <f aca="false">SUMIFS(報告入力!$BE$7:$BE$696,報告入力!$A$7:$A$696,$S$262,報告入力!$B$7:$B$696,$A269)</f>
        <v>1042063</v>
      </c>
      <c r="J269" s="133" t="n">
        <f aca="false">SUM(H269:I269)</f>
        <v>2066386</v>
      </c>
      <c r="K269" s="142" t="n">
        <f aca="false">SUMIFS(報告入力!$BF$7:$BF$696,報告入力!$A$7:$A$696,$S$262,報告入力!$B$7:$B$696,$A269)</f>
        <v>104770</v>
      </c>
      <c r="L269" s="230" t="n">
        <f aca="false">SUMIFS(報告入力!$BG$7:$BG$696,報告入力!$A$7:$A$696,$S$262,報告入力!$B$7:$B$696,$A269)</f>
        <v>104769</v>
      </c>
      <c r="M269" s="133" t="n">
        <f aca="false">SUM(K269:L269)</f>
        <v>209539</v>
      </c>
      <c r="N269" s="230" t="n">
        <f aca="false">SUMIFS(報告入力!$BH$7:$BH$696,報告入力!$A$7:$A$696,$S$262,報告入力!$B$7:$B$696,$A269)</f>
        <v>22706</v>
      </c>
      <c r="O269" s="230" t="n">
        <f aca="false">SUMIFS(報告入力!$BI$7:$BI$696,報告入力!$A$7:$A$696,$S$262,報告入力!$B$7:$B$696,$A269)</f>
        <v>22715</v>
      </c>
      <c r="P269" s="133" t="n">
        <f aca="false">SUM(N269:O269)</f>
        <v>45421</v>
      </c>
      <c r="Q269" s="135" t="str">
        <f aca="false">IF(P204=P269,"〇","×")</f>
        <v>×</v>
      </c>
      <c r="R269" s="135" t="str">
        <f aca="false">IFERROR(INDEX(報告入力!$C$7:$C$696,MATCH($S$262&amp;"|"&amp;$A269,報告入力!$CM$7:$CM$696,0)),"")</f>
        <v>入金確認済</v>
      </c>
    </row>
    <row r="270" s="135" customFormat="true" ht="20.1" hidden="false" customHeight="true" outlineLevel="0" collapsed="false">
      <c r="A270" s="125" t="s">
        <v>172</v>
      </c>
      <c r="B270" s="142" t="n">
        <f aca="false">SUMIFS(報告入力!$AY$7:$AY$696,報告入力!$A$7:$A$696,$S$262,報告入力!$B$7:$B$696,$A270)</f>
        <v>24640950</v>
      </c>
      <c r="C270" s="138" t="n">
        <f aca="false">SUMIFS(報告入力!$AZ$7:$AZ$696,報告入力!$A$7:$A$696,$S$262,報告入力!$B$7:$B$696,$A270)</f>
        <v>2019750</v>
      </c>
      <c r="D270" s="136" t="n">
        <f aca="false">SUMIFS(報告入力!$BA$7:$BA$696,報告入力!$A$7:$A$696,$S$262,報告入力!$B$7:$B$696,$A270)</f>
        <v>35480583</v>
      </c>
      <c r="E270" s="139" t="n">
        <f aca="false">SUMIFS(報告入力!$BB$7:$BB$696,報告入力!$A$7:$A$696,$S$262,報告入力!$B$7:$B$696,$A270)</f>
        <v>2019750</v>
      </c>
      <c r="F270" s="138" t="n">
        <f aca="false">SUMIFS(報告入力!$BC$7:$BC$696,報告入力!$A$7:$A$696,$S$262,報告入力!$B$7:$B$696,$A270)</f>
        <v>23603</v>
      </c>
      <c r="G270" s="133" t="n">
        <f aca="false">SUM(B270:F270)</f>
        <v>64184636</v>
      </c>
      <c r="H270" s="142" t="n">
        <f aca="false">SUMIFS(報告入力!$BD$7:$BD$696,報告入力!$A$7:$A$696,$S$262,報告入力!$B$7:$B$696,$A270)</f>
        <v>24013321</v>
      </c>
      <c r="I270" s="230" t="n">
        <f aca="false">SUMIFS(報告入力!$BE$7:$BE$696,報告入力!$A$7:$A$696,$S$262,報告入力!$B$7:$B$696,$A270)</f>
        <v>24514598</v>
      </c>
      <c r="J270" s="133" t="n">
        <f aca="false">SUM(H270:I270)</f>
        <v>48527919</v>
      </c>
      <c r="K270" s="142" t="n">
        <f aca="false">SUMIFS(報告入力!$BF$7:$BF$696,報告入力!$A$7:$A$696,$S$262,報告入力!$B$7:$B$696,$A270)</f>
        <v>2806952</v>
      </c>
      <c r="L270" s="230" t="n">
        <f aca="false">SUMIFS(報告入力!$BG$7:$BG$696,報告入力!$A$7:$A$696,$S$262,報告入力!$B$7:$B$696,$A270)</f>
        <v>2818162</v>
      </c>
      <c r="M270" s="133" t="n">
        <f aca="false">SUM(K270:L270)</f>
        <v>5625114</v>
      </c>
      <c r="N270" s="230" t="n">
        <f aca="false">SUMIFS(報告入力!$BH$7:$BH$696,報告入力!$A$7:$A$696,$S$262,報告入力!$B$7:$B$696,$A270)</f>
        <v>533601</v>
      </c>
      <c r="O270" s="230" t="n">
        <f aca="false">SUMIFS(報告入力!$BI$7:$BI$696,報告入力!$A$7:$A$696,$S$262,報告入力!$B$7:$B$696,$A270)</f>
        <v>534518</v>
      </c>
      <c r="P270" s="133" t="n">
        <f aca="false">SUM(N270:O270)</f>
        <v>1068119</v>
      </c>
      <c r="Q270" s="135" t="str">
        <f aca="false">IF(P205=P270,"〇","×")</f>
        <v>×</v>
      </c>
      <c r="R270" s="135" t="str">
        <f aca="false">IFERROR(INDEX(報告入力!$C$7:$C$696,MATCH($S$262&amp;"|"&amp;$A270,報告入力!$CM$7:$CM$696,0)),"")</f>
        <v>入金確認済</v>
      </c>
    </row>
    <row r="271" s="135" customFormat="true" ht="20.1" hidden="false" customHeight="true" outlineLevel="0" collapsed="false">
      <c r="A271" s="125" t="s">
        <v>173</v>
      </c>
      <c r="B271" s="142" t="n">
        <f aca="false">SUMIFS(報告入力!$AY$7:$AY$696,報告入力!$A$7:$A$696,$S$262,報告入力!$B$7:$B$696,$A271)</f>
        <v>269925</v>
      </c>
      <c r="C271" s="138" t="n">
        <f aca="false">SUMIFS(報告入力!$AZ$7:$AZ$696,報告入力!$A$7:$A$696,$S$262,報告入力!$B$7:$B$696,$A271)</f>
        <v>22125</v>
      </c>
      <c r="D271" s="136" t="n">
        <f aca="false">SUMIFS(報告入力!$BA$7:$BA$696,報告入力!$A$7:$A$696,$S$262,報告入力!$B$7:$B$696,$A271)</f>
        <v>387630</v>
      </c>
      <c r="E271" s="139" t="n">
        <f aca="false">SUMIFS(報告入力!$BB$7:$BB$696,報告入力!$A$7:$A$696,$S$262,報告入力!$B$7:$B$696,$A271)</f>
        <v>22125</v>
      </c>
      <c r="F271" s="138" t="n">
        <f aca="false">SUMIFS(報告入力!$BC$7:$BC$696,報告入力!$A$7:$A$696,$S$262,報告入力!$B$7:$B$696,$A271)</f>
        <v>256</v>
      </c>
      <c r="G271" s="133" t="n">
        <f aca="false">SUM(B271:F271)</f>
        <v>702061</v>
      </c>
      <c r="H271" s="142" t="n">
        <f aca="false">SUMIFS(報告入力!$BD$7:$BD$696,報告入力!$A$7:$A$696,$S$262,報告入力!$B$7:$B$696,$A271)</f>
        <v>173210</v>
      </c>
      <c r="I271" s="230" t="n">
        <f aca="false">SUMIFS(報告入力!$BE$7:$BE$696,報告入力!$A$7:$A$696,$S$262,報告入力!$B$7:$B$696,$A271)</f>
        <v>176117</v>
      </c>
      <c r="J271" s="133" t="n">
        <f aca="false">SUM(H271:I271)</f>
        <v>349327</v>
      </c>
      <c r="K271" s="142" t="n">
        <f aca="false">SUMIFS(報告入力!$BF$7:$BF$696,報告入力!$A$7:$A$696,$S$262,報告入力!$B$7:$B$696,$A271)</f>
        <v>15800</v>
      </c>
      <c r="L271" s="230" t="n">
        <f aca="false">SUMIFS(報告入力!$BG$7:$BG$696,報告入力!$A$7:$A$696,$S$262,報告入力!$B$7:$B$696,$A271)</f>
        <v>15800</v>
      </c>
      <c r="M271" s="133" t="n">
        <f aca="false">SUM(K271:L271)</f>
        <v>31600</v>
      </c>
      <c r="N271" s="230" t="n">
        <f aca="false">SUMIFS(報告入力!$BH$7:$BH$696,報告入力!$A$7:$A$696,$S$262,報告入力!$B$7:$B$696,$A271)</f>
        <v>3839</v>
      </c>
      <c r="O271" s="230" t="n">
        <f aca="false">SUMIFS(報告入力!$BI$7:$BI$696,報告入力!$A$7:$A$696,$S$262,報告入力!$B$7:$B$696,$A271)</f>
        <v>3840</v>
      </c>
      <c r="P271" s="133" t="n">
        <f aca="false">SUM(N271:O271)</f>
        <v>7679</v>
      </c>
      <c r="Q271" s="135" t="str">
        <f aca="false">IF(P206=P271,"〇","×")</f>
        <v>×</v>
      </c>
      <c r="R271" s="135" t="str">
        <f aca="false">IFERROR(INDEX(報告入力!$C$7:$C$696,MATCH($S$262&amp;"|"&amp;$A271,報告入力!$CM$7:$CM$696,0)),"")</f>
        <v>入金確認済</v>
      </c>
    </row>
    <row r="272" s="135" customFormat="true" ht="20.1" hidden="false" customHeight="true" outlineLevel="0" collapsed="false">
      <c r="A272" s="125" t="s">
        <v>174</v>
      </c>
      <c r="B272" s="142" t="n">
        <f aca="false">SUMIFS(報告入力!$AY$7:$AY$696,報告入力!$A$7:$A$696,$S$262,報告入力!$B$7:$B$696,$A272)</f>
        <v>618540</v>
      </c>
      <c r="C272" s="138" t="n">
        <f aca="false">SUMIFS(報告入力!$AZ$7:$AZ$696,報告入力!$A$7:$A$696,$S$262,報告入力!$B$7:$B$696,$A272)</f>
        <v>50700</v>
      </c>
      <c r="D272" s="136" t="n">
        <f aca="false">SUMIFS(報告入力!$BA$7:$BA$696,報告入力!$A$7:$A$696,$S$262,報告入力!$B$7:$B$696,$A272)</f>
        <v>888264</v>
      </c>
      <c r="E272" s="139" t="n">
        <f aca="false">SUMIFS(報告入力!$BB$7:$BB$696,報告入力!$A$7:$A$696,$S$262,報告入力!$B$7:$B$696,$A272)</f>
        <v>50700</v>
      </c>
      <c r="F272" s="138" t="n">
        <f aca="false">SUMIFS(報告入力!$BC$7:$BC$696,報告入力!$A$7:$A$696,$S$262,報告入力!$B$7:$B$696,$A272)</f>
        <v>587</v>
      </c>
      <c r="G272" s="133" t="n">
        <f aca="false">SUM(B272:F272)</f>
        <v>1608791</v>
      </c>
      <c r="H272" s="142" t="n">
        <f aca="false">SUMIFS(報告入力!$BD$7:$BD$696,報告入力!$A$7:$A$696,$S$262,報告入力!$B$7:$B$696,$A272)</f>
        <v>364051</v>
      </c>
      <c r="I272" s="230" t="n">
        <f aca="false">SUMIFS(報告入力!$BE$7:$BE$696,報告入力!$A$7:$A$696,$S$262,報告入力!$B$7:$B$696,$A272)</f>
        <v>370163</v>
      </c>
      <c r="J272" s="133" t="n">
        <f aca="false">SUM(H272:I272)</f>
        <v>734214</v>
      </c>
      <c r="K272" s="142" t="n">
        <f aca="false">SUMIFS(報告入力!$BF$7:$BF$696,報告入力!$A$7:$A$696,$S$262,報告入力!$B$7:$B$696,$A272)</f>
        <v>30257</v>
      </c>
      <c r="L272" s="230" t="n">
        <f aca="false">SUMIFS(報告入力!$BG$7:$BG$696,報告入力!$A$7:$A$696,$S$262,報告入力!$B$7:$B$696,$A272)</f>
        <v>30257</v>
      </c>
      <c r="M272" s="133" t="n">
        <f aca="false">SUM(K272:L272)</f>
        <v>60514</v>
      </c>
      <c r="N272" s="230" t="n">
        <f aca="false">SUMIFS(報告入力!$BH$7:$BH$696,報告入力!$A$7:$A$696,$S$262,報告入力!$B$7:$B$696,$A272)</f>
        <v>8070</v>
      </c>
      <c r="O272" s="230" t="n">
        <f aca="false">SUMIFS(報告入力!$BI$7:$BI$696,報告入力!$A$7:$A$696,$S$262,報告入力!$B$7:$B$696,$A272)</f>
        <v>8073</v>
      </c>
      <c r="P272" s="133" t="n">
        <f aca="false">SUM(N272:O272)</f>
        <v>16143</v>
      </c>
      <c r="Q272" s="135" t="str">
        <f aca="false">IF(P207=P272,"〇","×")</f>
        <v>×</v>
      </c>
      <c r="R272" s="135" t="str">
        <f aca="false">IFERROR(INDEX(報告入力!$C$7:$C$696,MATCH($S$262&amp;"|"&amp;$A272,報告入力!$CM$7:$CM$696,0)),"")</f>
        <v>入金確認済</v>
      </c>
    </row>
    <row r="273" s="135" customFormat="true" ht="20.1" hidden="false" customHeight="true" outlineLevel="0" collapsed="false">
      <c r="A273" s="125" t="s">
        <v>175</v>
      </c>
      <c r="B273" s="142" t="n">
        <f aca="false">SUMIFS(報告入力!$AY$7:$AY$696,報告入力!$A$7:$A$696,$S$262,報告入力!$B$7:$B$696,$A273)</f>
        <v>1317600</v>
      </c>
      <c r="C273" s="138" t="n">
        <f aca="false">SUMIFS(報告入力!$AZ$7:$AZ$696,報告入力!$A$7:$A$696,$S$262,報告入力!$B$7:$B$696,$A273)</f>
        <v>108000</v>
      </c>
      <c r="D273" s="136" t="n">
        <f aca="false">SUMIFS(報告入力!$BA$7:$BA$696,報告入力!$A$7:$A$696,$S$262,報告入力!$B$7:$B$696,$A273)</f>
        <v>1903332</v>
      </c>
      <c r="E273" s="139" t="n">
        <f aca="false">SUMIFS(報告入力!$BB$7:$BB$696,報告入力!$A$7:$A$696,$S$262,報告入力!$B$7:$B$696,$A273)</f>
        <v>108000</v>
      </c>
      <c r="F273" s="138" t="n">
        <f aca="false">SUMIFS(報告入力!$BC$7:$BC$696,報告入力!$A$7:$A$696,$S$262,報告入力!$B$7:$B$696,$A273)</f>
        <v>1275</v>
      </c>
      <c r="G273" s="133" t="n">
        <f aca="false">SUM(B273:F273)</f>
        <v>3438207</v>
      </c>
      <c r="H273" s="142" t="n">
        <f aca="false">SUMIFS(報告入力!$BD$7:$BD$696,報告入力!$A$7:$A$696,$S$262,報告入力!$B$7:$B$696,$A273)</f>
        <v>766995</v>
      </c>
      <c r="I273" s="230" t="n">
        <f aca="false">SUMIFS(報告入力!$BE$7:$BE$696,報告入力!$A$7:$A$696,$S$262,報告入力!$B$7:$B$696,$A273)</f>
        <v>780119</v>
      </c>
      <c r="J273" s="133" t="n">
        <f aca="false">SUM(H273:I273)</f>
        <v>1547114</v>
      </c>
      <c r="K273" s="142" t="n">
        <f aca="false">SUMIFS(報告入力!$BF$7:$BF$696,報告入力!$A$7:$A$696,$S$262,報告入力!$B$7:$B$696,$A273)</f>
        <v>107914</v>
      </c>
      <c r="L273" s="230" t="n">
        <f aca="false">SUMIFS(報告入力!$BG$7:$BG$696,報告入力!$A$7:$A$696,$S$262,報告入力!$B$7:$B$696,$A273)</f>
        <v>107914</v>
      </c>
      <c r="M273" s="133" t="n">
        <f aca="false">SUM(K273:L273)</f>
        <v>215828</v>
      </c>
      <c r="N273" s="230" t="n">
        <f aca="false">SUMIFS(報告入力!$BH$7:$BH$696,報告入力!$A$7:$A$696,$S$262,報告入力!$B$7:$B$696,$A273)</f>
        <v>17000</v>
      </c>
      <c r="O273" s="230" t="n">
        <f aca="false">SUMIFS(報告入力!$BI$7:$BI$696,報告入力!$A$7:$A$696,$S$262,報告入力!$B$7:$B$696,$A273)</f>
        <v>17007</v>
      </c>
      <c r="P273" s="133" t="n">
        <f aca="false">SUM(N273:O273)</f>
        <v>34007</v>
      </c>
      <c r="Q273" s="135" t="str">
        <f aca="false">IF(P208=P273,"〇","×")</f>
        <v>×</v>
      </c>
      <c r="R273" s="135" t="str">
        <f aca="false">IFERROR(INDEX(報告入力!$C$7:$C$696,MATCH($S$262&amp;"|"&amp;$A273,報告入力!$CM$7:$CM$696,0)),"")</f>
        <v>入金確認済</v>
      </c>
    </row>
    <row r="274" s="135" customFormat="true" ht="20.1" hidden="false" customHeight="true" outlineLevel="0" collapsed="false">
      <c r="A274" s="125" t="s">
        <v>176</v>
      </c>
      <c r="B274" s="142" t="n">
        <f aca="false">SUMIFS(報告入力!$AY$7:$AY$696,報告入力!$A$7:$A$696,$S$262,報告入力!$B$7:$B$696,$A274)</f>
        <v>396195</v>
      </c>
      <c r="C274" s="138" t="n">
        <f aca="false">SUMIFS(報告入力!$AZ$7:$AZ$696,報告入力!$A$7:$A$696,$S$262,報告入力!$B$7:$B$696,$A274)</f>
        <v>32475</v>
      </c>
      <c r="D274" s="136" t="n">
        <f aca="false">SUMIFS(報告入力!$BA$7:$BA$696,報告入力!$A$7:$A$696,$S$262,報告入力!$B$7:$B$696,$A274)</f>
        <v>568962</v>
      </c>
      <c r="E274" s="139" t="n">
        <f aca="false">SUMIFS(報告入力!$BB$7:$BB$696,報告入力!$A$7:$A$696,$S$262,報告入力!$B$7:$B$696,$A274)</f>
        <v>32475</v>
      </c>
      <c r="F274" s="138" t="n">
        <f aca="false">SUMIFS(報告入力!$BC$7:$BC$696,報告入力!$A$7:$A$696,$S$262,報告入力!$B$7:$B$696,$A274)</f>
        <v>376</v>
      </c>
      <c r="G274" s="133" t="n">
        <f aca="false">SUM(B274:F274)</f>
        <v>1030483</v>
      </c>
      <c r="H274" s="142" t="n">
        <f aca="false">SUMIFS(報告入力!$BD$7:$BD$696,報告入力!$A$7:$A$696,$S$262,報告入力!$B$7:$B$696,$A274)</f>
        <v>299021</v>
      </c>
      <c r="I274" s="230" t="n">
        <f aca="false">SUMIFS(報告入力!$BE$7:$BE$696,報告入力!$A$7:$A$696,$S$262,報告入力!$B$7:$B$696,$A274)</f>
        <v>304040</v>
      </c>
      <c r="J274" s="133" t="n">
        <f aca="false">SUM(H274:I274)</f>
        <v>603061</v>
      </c>
      <c r="K274" s="142" t="n">
        <f aca="false">SUMIFS(報告入力!$BF$7:$BF$696,報告入力!$A$7:$A$696,$S$262,報告入力!$B$7:$B$696,$A274)</f>
        <v>33383</v>
      </c>
      <c r="L274" s="230" t="n">
        <f aca="false">SUMIFS(報告入力!$BG$7:$BG$696,報告入力!$A$7:$A$696,$S$262,報告入力!$B$7:$B$696,$A274)</f>
        <v>33385</v>
      </c>
      <c r="M274" s="133" t="n">
        <f aca="false">SUM(K274:L274)</f>
        <v>66768</v>
      </c>
      <c r="N274" s="230" t="n">
        <f aca="false">SUMIFS(報告入力!$BH$7:$BH$696,報告入力!$A$7:$A$696,$S$262,報告入力!$B$7:$B$696,$A274)</f>
        <v>6628</v>
      </c>
      <c r="O274" s="230" t="n">
        <f aca="false">SUMIFS(報告入力!$BI$7:$BI$696,報告入力!$A$7:$A$696,$S$262,報告入力!$B$7:$B$696,$A274)</f>
        <v>6630</v>
      </c>
      <c r="P274" s="133" t="n">
        <f aca="false">SUM(N274:O274)</f>
        <v>13258</v>
      </c>
      <c r="Q274" s="135" t="str">
        <f aca="false">IF(P209=P274,"〇","×")</f>
        <v>×</v>
      </c>
      <c r="R274" s="135" t="str">
        <f aca="false">IFERROR(INDEX(報告入力!$C$7:$C$696,MATCH($S$262&amp;"|"&amp;$A274,報告入力!$CM$7:$CM$696,0)),"")</f>
        <v>入金確認済</v>
      </c>
    </row>
    <row r="275" s="135" customFormat="true" ht="20.1" hidden="false" customHeight="true" outlineLevel="0" collapsed="false">
      <c r="A275" s="125" t="s">
        <v>177</v>
      </c>
      <c r="B275" s="142" t="n">
        <f aca="false">SUMIFS(報告入力!$AY$7:$AY$696,報告入力!$A$7:$A$696,$S$262,報告入力!$B$7:$B$696,$A275)</f>
        <v>22759527</v>
      </c>
      <c r="C275" s="138" t="n">
        <f aca="false">SUMIFS(報告入力!$AZ$7:$AZ$696,報告入力!$A$7:$A$696,$S$262,報告入力!$B$7:$B$696,$A275)</f>
        <v>1865535</v>
      </c>
      <c r="D275" s="136" t="n">
        <f aca="false">SUMIFS(報告入力!$BA$7:$BA$696,報告入力!$A$7:$A$696,$S$262,報告入力!$B$7:$B$696,$A275)</f>
        <v>32881359</v>
      </c>
      <c r="E275" s="139" t="n">
        <f aca="false">SUMIFS(報告入力!$BB$7:$BB$696,報告入力!$A$7:$A$696,$S$262,報告入力!$B$7:$B$696,$A275)</f>
        <v>1865535</v>
      </c>
      <c r="F275" s="138" t="n">
        <f aca="false">SUMIFS(報告入力!$BC$7:$BC$696,報告入力!$A$7:$A$696,$S$262,報告入力!$B$7:$B$696,$A275)</f>
        <v>22039</v>
      </c>
      <c r="G275" s="133" t="n">
        <f aca="false">SUM(B275:F275)</f>
        <v>59393995</v>
      </c>
      <c r="H275" s="139" t="n">
        <f aca="false">SUMIFS(報告入力!$BD$7:$BD$696,報告入力!$A$7:$A$696,$S$262,報告入力!$B$7:$B$696,$A275)</f>
        <v>13590710</v>
      </c>
      <c r="I275" s="230" t="n">
        <f aca="false">SUMIFS(報告入力!$BE$7:$BE$696,報告入力!$A$7:$A$696,$S$262,報告入力!$B$7:$B$696,$A275)</f>
        <v>13823267</v>
      </c>
      <c r="J275" s="133" t="n">
        <f aca="false">SUM(H275:I275)</f>
        <v>27413977</v>
      </c>
      <c r="K275" s="230" t="n">
        <f aca="false">SUMIFS(報告入力!$BF$7:$BF$696,報告入力!$A$7:$A$696,$S$262,報告入力!$B$7:$B$696,$A275)</f>
        <v>1377049</v>
      </c>
      <c r="L275" s="230" t="n">
        <f aca="false">SUMIFS(報告入力!$BG$7:$BG$696,報告入力!$A$7:$A$696,$S$262,報告入力!$B$7:$B$696,$A275)</f>
        <v>1377049</v>
      </c>
      <c r="M275" s="133" t="n">
        <f aca="false">SUM(K275:L275)</f>
        <v>2754098</v>
      </c>
      <c r="N275" s="230" t="n">
        <f aca="false">SUMIFS(報告入力!$BH$7:$BH$696,報告入力!$A$7:$A$696,$S$262,報告入力!$B$7:$B$696,$A275)</f>
        <v>301037</v>
      </c>
      <c r="O275" s="230" t="n">
        <f aca="false">SUMIFS(報告入力!$BI$7:$BI$696,報告入力!$A$7:$A$696,$S$262,報告入力!$B$7:$B$696,$A275)</f>
        <v>301136</v>
      </c>
      <c r="P275" s="133" t="n">
        <f aca="false">SUM(N275:O275)</f>
        <v>602173</v>
      </c>
      <c r="Q275" s="135" t="str">
        <f aca="false">IF(P210=P275,"〇","×")</f>
        <v>×</v>
      </c>
      <c r="R275" s="135" t="str">
        <f aca="false">IFERROR(INDEX(報告入力!$C$7:$C$696,MATCH($S$262&amp;"|"&amp;$A275,報告入力!$CM$7:$CM$696,0)),"")</f>
        <v>入金確認済</v>
      </c>
    </row>
    <row r="276" s="135" customFormat="true" ht="19.5" hidden="false" customHeight="true" outlineLevel="0" collapsed="false">
      <c r="A276" s="146" t="s">
        <v>495</v>
      </c>
      <c r="B276" s="142" t="n">
        <f aca="false">SUMIFS(報告入力!$AY$7:$AY$696,報告入力!$A$7:$A$696,$S$262,報告入力!$B$7:$B$696,$A276)</f>
        <v>48495</v>
      </c>
      <c r="C276" s="138" t="n">
        <f aca="false">SUMIFS(報告入力!$AZ$7:$AZ$696,報告入力!$A$7:$A$696,$S$262,報告入力!$B$7:$B$696,$A276)</f>
        <v>3975</v>
      </c>
      <c r="D276" s="136" t="n">
        <f aca="false">SUMIFS(報告入力!$BA$7:$BA$696,報告入力!$A$7:$A$696,$S$262,報告入力!$B$7:$B$696,$A276)</f>
        <v>69642</v>
      </c>
      <c r="E276" s="139" t="n">
        <f aca="false">SUMIFS(報告入力!$BB$7:$BB$696,報告入力!$A$7:$A$696,$S$262,報告入力!$B$7:$B$696,$A276)</f>
        <v>3975</v>
      </c>
      <c r="F276" s="138" t="n">
        <f aca="false">SUMIFS(報告入力!$BC$7:$BC$696,報告入力!$A$7:$A$696,$S$262,報告入力!$B$7:$B$696,$A276)</f>
        <v>46</v>
      </c>
      <c r="G276" s="133" t="n">
        <f aca="false">SUM(B276:F276)</f>
        <v>126133</v>
      </c>
      <c r="H276" s="139" t="n">
        <f aca="false">SUMIFS(報告入力!$BD$7:$BD$696,報告入力!$A$7:$A$696,$S$262,報告入力!$B$7:$B$696,$A276)</f>
        <v>27485</v>
      </c>
      <c r="I276" s="230" t="n">
        <f aca="false">SUMIFS(報告入力!$BE$7:$BE$696,報告入力!$A$7:$A$696,$S$262,報告入力!$B$7:$B$696,$A276)</f>
        <v>27946</v>
      </c>
      <c r="J276" s="133" t="n">
        <f aca="false">SUM(H276:I276)</f>
        <v>55431</v>
      </c>
      <c r="K276" s="230" t="n">
        <f aca="false">SUMIFS(報告入力!$BF$7:$BF$696,報告入力!$A$7:$A$696,$S$262,報告入力!$B$7:$B$696,$A276)</f>
        <v>4187</v>
      </c>
      <c r="L276" s="230" t="n">
        <f aca="false">SUMIFS(報告入力!$BG$7:$BG$696,報告入力!$A$7:$A$696,$S$262,報告入力!$B$7:$B$696,$A276)</f>
        <v>4187</v>
      </c>
      <c r="M276" s="133" t="n">
        <f aca="false">SUM(K276:L276)</f>
        <v>8374</v>
      </c>
      <c r="N276" s="230" t="n">
        <f aca="false">SUMIFS(報告入力!$BH$7:$BH$696,報告入力!$A$7:$A$696,$S$262,報告入力!$B$7:$B$696,$A276)</f>
        <v>609</v>
      </c>
      <c r="O276" s="230" t="n">
        <f aca="false">SUMIFS(報告入力!$BI$7:$BI$696,報告入力!$A$7:$A$696,$S$262,報告入力!$B$7:$B$696,$A276)</f>
        <v>609</v>
      </c>
      <c r="P276" s="133" t="n">
        <f aca="false">SUM(N276:O276)</f>
        <v>1218</v>
      </c>
      <c r="Q276" s="135" t="str">
        <f aca="false">IF(P211=P276,"〇","×")</f>
        <v>×</v>
      </c>
      <c r="R276" s="135" t="str">
        <f aca="false">IFERROR(INDEX(報告入力!$C$7:$C$696,MATCH($S$262&amp;"|"&amp;$A276,報告入力!$CM$7:$CM$696,0)),"")</f>
        <v>入金確認済</v>
      </c>
    </row>
    <row r="277" s="162" customFormat="true" ht="19.5" hidden="false" customHeight="true" outlineLevel="0" collapsed="false">
      <c r="A277" s="151" t="s">
        <v>179</v>
      </c>
      <c r="B277" s="152" t="n">
        <f aca="false">SUMIFS(報告入力!$AY$7:$AY$696,報告入力!$A$7:$A$696,$S$262,報告入力!$B$7:$B$696,$A277)</f>
        <v>0</v>
      </c>
      <c r="C277" s="153" t="n">
        <f aca="false">SUMIFS(報告入力!$AZ$7:$AZ$696,報告入力!$A$7:$A$696,$S$262,報告入力!$B$7:$B$696,$A277)</f>
        <v>0</v>
      </c>
      <c r="D277" s="154"/>
      <c r="E277" s="155"/>
      <c r="F277" s="156" t="n">
        <f aca="false">SUMIFS(報告入力!$BC$7:$BC$696,報告入力!$A$7:$A$696,$S$262,報告入力!$B$7:$B$696,$A277)</f>
        <v>0</v>
      </c>
      <c r="G277" s="157" t="n">
        <f aca="false">SUM(B277:F277)</f>
        <v>0</v>
      </c>
      <c r="H277" s="139" t="n">
        <f aca="false">SUMIFS(報告入力!$BD$7:$BD$696,報告入力!$A$7:$A$696,$S$262,報告入力!$B$7:$B$696,$A277)</f>
        <v>386553</v>
      </c>
      <c r="I277" s="140" t="n">
        <f aca="false">SUMIFS(報告入力!$BE$7:$BE$696,報告入力!$A$7:$A$696,$S$262,報告入力!$B$7:$B$696,$A277)</f>
        <v>393048</v>
      </c>
      <c r="J277" s="141" t="n">
        <f aca="false">SUM(H277:I277)</f>
        <v>779601</v>
      </c>
      <c r="K277" s="134" t="n">
        <f aca="false">SUMIFS(報告入力!$BF$7:$BF$696,報告入力!$A$7:$A$696,$S$262,報告入力!$B$7:$B$696,$A277)</f>
        <v>12008</v>
      </c>
      <c r="L277" s="140" t="n">
        <f aca="false">SUMIFS(報告入力!$BG$7:$BG$696,報告入力!$A$7:$A$696,$S$262,報告入力!$B$7:$B$696,$A277)</f>
        <v>12008</v>
      </c>
      <c r="M277" s="141" t="n">
        <f aca="false">SUM(K277:L277)</f>
        <v>24016</v>
      </c>
      <c r="N277" s="230" t="n">
        <f aca="false">SUMIFS(報告入力!$BH$7:$BH$696,報告入力!$A$7:$A$696,$S$262,報告入力!$B$7:$B$696,$A277)</f>
        <v>8565</v>
      </c>
      <c r="O277" s="230" t="n">
        <f aca="false">SUMIFS(報告入力!$BI$7:$BI$696,報告入力!$A$7:$A$696,$S$262,報告入力!$B$7:$B$696,$A277)</f>
        <v>8572</v>
      </c>
      <c r="P277" s="141" t="n">
        <f aca="false">SUM(N277:O277)</f>
        <v>17137</v>
      </c>
      <c r="Q277" s="162" t="str">
        <f aca="false">IF(P212=P277,"〇","×")</f>
        <v>×</v>
      </c>
      <c r="R277" s="162" t="str">
        <f aca="false">IFERROR(INDEX(報告入力!$C$7:$C$696,MATCH($S$262&amp;"|"&amp;$A277,報告入力!$CM$7:$CM$696,0)),"")</f>
        <v>入金確認済</v>
      </c>
    </row>
    <row r="278" s="162" customFormat="true" ht="19.5" hidden="false" customHeight="true" outlineLevel="0" collapsed="false">
      <c r="A278" s="163" t="s">
        <v>496</v>
      </c>
      <c r="B278" s="164"/>
      <c r="C278" s="165"/>
      <c r="D278" s="164"/>
      <c r="E278" s="166"/>
      <c r="F278" s="167"/>
      <c r="G278" s="168"/>
      <c r="H278" s="169"/>
      <c r="I278" s="170"/>
      <c r="J278" s="171"/>
      <c r="K278" s="172"/>
      <c r="L278" s="173"/>
      <c r="M278" s="173"/>
      <c r="N278" s="172"/>
      <c r="O278" s="173"/>
      <c r="P278" s="173"/>
      <c r="Q278" s="162" t="str">
        <f aca="false">IF(P213=P278,"〇","×")</f>
        <v>〇</v>
      </c>
    </row>
    <row r="279" s="162" customFormat="true" ht="19.5" hidden="false" customHeight="true" outlineLevel="0" collapsed="false">
      <c r="A279" s="174" t="s">
        <v>496</v>
      </c>
      <c r="B279" s="175"/>
      <c r="C279" s="176"/>
      <c r="D279" s="175"/>
      <c r="E279" s="177"/>
      <c r="F279" s="178"/>
      <c r="G279" s="179"/>
      <c r="H279" s="180"/>
      <c r="I279" s="177"/>
      <c r="J279" s="181"/>
      <c r="K279" s="182"/>
      <c r="L279" s="183"/>
      <c r="M279" s="183"/>
      <c r="N279" s="182"/>
      <c r="O279" s="183"/>
      <c r="P279" s="183"/>
      <c r="Q279" s="162" t="str">
        <f aca="false">IF(P214=P279,"〇","×")</f>
        <v>〇</v>
      </c>
    </row>
    <row r="280" s="162" customFormat="true" ht="19.5" hidden="false" customHeight="true" outlineLevel="0" collapsed="false">
      <c r="A280" s="174" t="s">
        <v>496</v>
      </c>
      <c r="B280" s="164"/>
      <c r="C280" s="165"/>
      <c r="D280" s="164"/>
      <c r="E280" s="166"/>
      <c r="F280" s="167"/>
      <c r="G280" s="168"/>
      <c r="H280" s="184"/>
      <c r="I280" s="166"/>
      <c r="J280" s="171"/>
      <c r="K280" s="185"/>
      <c r="L280" s="186"/>
      <c r="M280" s="186"/>
      <c r="N280" s="185"/>
      <c r="O280" s="186"/>
      <c r="P280" s="186"/>
      <c r="Q280" s="162" t="str">
        <f aca="false">IF(P215=P280,"〇","×")</f>
        <v>〇</v>
      </c>
    </row>
    <row r="281" s="162" customFormat="true" ht="19.5" hidden="false" customHeight="true" outlineLevel="0" collapsed="false">
      <c r="A281" s="187" t="s">
        <v>496</v>
      </c>
      <c r="B281" s="188"/>
      <c r="C281" s="189"/>
      <c r="D281" s="188"/>
      <c r="E281" s="190"/>
      <c r="F281" s="191"/>
      <c r="G281" s="192"/>
      <c r="H281" s="180"/>
      <c r="I281" s="193"/>
      <c r="J281" s="194"/>
      <c r="K281" s="182"/>
      <c r="L281" s="183"/>
      <c r="M281" s="195"/>
      <c r="N281" s="182"/>
      <c r="O281" s="183"/>
      <c r="P281" s="195"/>
      <c r="Q281" s="162" t="str">
        <f aca="false">IF(P216=P281,"〇","×")</f>
        <v>〇</v>
      </c>
    </row>
    <row r="282" s="162" customFormat="true" ht="19.5" hidden="false" customHeight="true" outlineLevel="0" collapsed="false">
      <c r="A282" s="196" t="s">
        <v>497</v>
      </c>
      <c r="B282" s="197" t="n">
        <f aca="false">SUM(B266:B281)</f>
        <v>368116212</v>
      </c>
      <c r="C282" s="198" t="n">
        <f aca="false">SUM(C266:C281)</f>
        <v>30178335</v>
      </c>
      <c r="D282" s="197" t="n">
        <f aca="false">SUM(D266:D281)</f>
        <v>528915506</v>
      </c>
      <c r="E282" s="199" t="n">
        <f aca="false">SUM(E266:E281)</f>
        <v>29636500</v>
      </c>
      <c r="F282" s="200" t="n">
        <f aca="false">SUM(F266:F281)</f>
        <v>355423</v>
      </c>
      <c r="G282" s="201" t="n">
        <f aca="false">SUM(B282:F282)</f>
        <v>957201976</v>
      </c>
      <c r="H282" s="198" t="n">
        <f aca="false">SUM(H266:H281)</f>
        <v>259319355</v>
      </c>
      <c r="I282" s="198" t="n">
        <f aca="false">SUM(I266:I281)</f>
        <v>259918246</v>
      </c>
      <c r="J282" s="200" t="n">
        <f aca="false">SUM(H282:I282)</f>
        <v>519237601</v>
      </c>
      <c r="K282" s="197" t="n">
        <f aca="false">SUM(K266:K281)</f>
        <v>23701125</v>
      </c>
      <c r="L282" s="198" t="n">
        <f aca="false">SUM(L266:L281)</f>
        <v>23286233</v>
      </c>
      <c r="M282" s="200" t="n">
        <f aca="false">SUM(K282:L282)</f>
        <v>46987358</v>
      </c>
      <c r="N282" s="197" t="n">
        <f aca="false">SUM(N266:N281)</f>
        <v>5749412</v>
      </c>
      <c r="O282" s="198" t="n">
        <f aca="false">SUM(O266:O281)</f>
        <v>5663754</v>
      </c>
      <c r="P282" s="200" t="n">
        <f aca="false">SUM(N282:O282)</f>
        <v>11413166</v>
      </c>
      <c r="Q282" s="162" t="str">
        <f aca="false">IF(P217=P282,"〇","×")</f>
        <v>×</v>
      </c>
    </row>
    <row r="283" s="135" customFormat="true" ht="20.1" hidden="false" customHeight="true" outlineLevel="0" collapsed="false">
      <c r="A283" s="202" t="s">
        <v>180</v>
      </c>
      <c r="B283" s="363"/>
      <c r="C283" s="364"/>
      <c r="D283" s="365"/>
      <c r="E283" s="328"/>
      <c r="F283" s="333"/>
      <c r="G283" s="327" t="n">
        <f aca="false">SUM(B283:F283)</f>
        <v>0</v>
      </c>
      <c r="H283" s="328"/>
      <c r="I283" s="335"/>
      <c r="J283" s="327" t="n">
        <f aca="false">SUM(H283:I283)</f>
        <v>0</v>
      </c>
      <c r="K283" s="335"/>
      <c r="L283" s="335"/>
      <c r="M283" s="327" t="n">
        <f aca="false">SUM(K283:L283)</f>
        <v>0</v>
      </c>
      <c r="N283" s="335"/>
      <c r="O283" s="335"/>
      <c r="P283" s="327" t="n">
        <f aca="false">SUM(N283:O283)</f>
        <v>0</v>
      </c>
      <c r="Q283" s="135" t="str">
        <f aca="false">IF(P218=P283,"〇","×")</f>
        <v>〇</v>
      </c>
      <c r="R283" s="135" t="str">
        <f aca="false">IFERROR(INDEX(報告入力!$C$7:$C$696,MATCH($S$262&amp;"|"&amp;$A283,報告入力!$CM$7:$CM$696,0)),"")</f>
        <v>報告なし</v>
      </c>
    </row>
    <row r="284" s="135" customFormat="true" ht="20.1" hidden="false" customHeight="true" outlineLevel="0" collapsed="false">
      <c r="A284" s="366" t="s">
        <v>182</v>
      </c>
      <c r="B284" s="142" t="n">
        <f aca="false">SUMIFS(報告入力!$AY$7:$AY$696,報告入力!$A$7:$A$696,$S$262,報告入力!$B$7:$B$696,$A284)</f>
        <v>0</v>
      </c>
      <c r="C284" s="138" t="n">
        <f aca="false">SUMIFS(報告入力!$AZ$7:$AZ$696,報告入力!$A$7:$A$696,$S$262,報告入力!$B$7:$B$696,$A284)</f>
        <v>0</v>
      </c>
      <c r="D284" s="128" t="n">
        <f aca="false">SUMIFS(報告入力!$BA$7:$BA$696,報告入力!$A$7:$A$696,$S$262,報告入力!$B$7:$B$696,$A284)</f>
        <v>807030</v>
      </c>
      <c r="E284" s="139" t="n">
        <f aca="false">SUMIFS(報告入力!$BB$7:$BB$696,報告入力!$A$7:$A$696,$S$262,報告入力!$B$7:$B$696,$A284)</f>
        <v>66150</v>
      </c>
      <c r="F284" s="138" t="n">
        <f aca="false">SUMIFS(報告入力!$BC$7:$BC$696,報告入力!$A$7:$A$696,$S$262,報告入力!$B$7:$B$696,$A284)</f>
        <v>829</v>
      </c>
      <c r="G284" s="133" t="n">
        <f aca="false">SUM(B284:F284)</f>
        <v>874009</v>
      </c>
      <c r="H284" s="139" t="n">
        <f aca="false">SUMIFS(報告入力!$BD$7:$BD$696,報告入力!$A$7:$A$696,$S$262,報告入力!$B$7:$B$696,$A284)</f>
        <v>0</v>
      </c>
      <c r="I284" s="230" t="n">
        <f aca="false">SUMIFS(報告入力!$BE$7:$BE$696,報告入力!$A$7:$A$696,$S$262,報告入力!$B$7:$B$696,$A284)</f>
        <v>462519</v>
      </c>
      <c r="J284" s="133" t="n">
        <f aca="false">SUM(H284:I284)</f>
        <v>462519</v>
      </c>
      <c r="K284" s="230" t="n">
        <f aca="false">SUMIFS(報告入力!$BF$7:$BF$696,報告入力!$A$7:$A$696,$S$262,報告入力!$B$7:$B$696,$A284)</f>
        <v>0</v>
      </c>
      <c r="L284" s="230" t="n">
        <f aca="false">SUMIFS(報告入力!$BG$7:$BG$696,報告入力!$A$7:$A$696,$S$262,報告入力!$B$7:$B$696,$A284)</f>
        <v>57354</v>
      </c>
      <c r="M284" s="133" t="n">
        <f aca="false">SUM(K284:L284)</f>
        <v>57354</v>
      </c>
      <c r="N284" s="230" t="n">
        <f aca="false">SUMIFS(報告入力!$BH$7:$BH$696,報告入力!$A$7:$A$696,$S$262,報告入力!$B$7:$B$696,$A284)</f>
        <v>0</v>
      </c>
      <c r="O284" s="230" t="n">
        <f aca="false">SUMIFS(報告入力!$BI$7:$BI$696,報告入力!$A$7:$A$696,$S$262,報告入力!$B$7:$B$696,$A284)</f>
        <v>10246</v>
      </c>
      <c r="P284" s="133" t="n">
        <f aca="false">SUM(N284:O284)</f>
        <v>10246</v>
      </c>
      <c r="Q284" s="135" t="str">
        <f aca="false">IF(P219=P284,"〇","×")</f>
        <v>×</v>
      </c>
      <c r="R284" s="135" t="str">
        <f aca="false">IFERROR(INDEX(報告入力!$C$7:$C$696,MATCH($S$262&amp;"|"&amp;$A284,報告入力!$CM$7:$CM$696,0)),"")</f>
        <v>入金確認済</v>
      </c>
    </row>
    <row r="285" s="135" customFormat="true" ht="20.1" hidden="false" customHeight="true" outlineLevel="0" collapsed="false">
      <c r="A285" s="366" t="s">
        <v>183</v>
      </c>
      <c r="B285" s="211"/>
      <c r="C285" s="212"/>
      <c r="D285" s="128" t="n">
        <f aca="false">SUMIFS(報告入力!$BA$7:$BA$696,報告入力!$A$7:$A$696,$S$262,報告入力!$B$7:$B$696,$A285)</f>
        <v>2034960</v>
      </c>
      <c r="E285" s="139" t="n">
        <f aca="false">SUMIFS(報告入力!$BB$7:$BB$696,報告入力!$A$7:$A$696,$S$262,報告入力!$B$7:$B$696,$A285)</f>
        <v>166800</v>
      </c>
      <c r="F285" s="138" t="n">
        <f aca="false">SUMIFS(報告入力!$BC$7:$BC$696,報告入力!$A$7:$A$696,$S$262,報告入力!$B$7:$B$696,$A285)</f>
        <v>2038</v>
      </c>
      <c r="G285" s="133" t="n">
        <f aca="false">SUM(B285:F285)</f>
        <v>2203798</v>
      </c>
      <c r="H285" s="227"/>
      <c r="I285" s="230" t="n">
        <f aca="false">SUMIFS(報告入力!$BE$7:$BE$696,報告入力!$A$7:$A$696,$S$262,報告入力!$B$7:$B$696,$A285)</f>
        <v>1310786</v>
      </c>
      <c r="J285" s="133" t="n">
        <f aca="false">SUM(H285:I285)</f>
        <v>1310786</v>
      </c>
      <c r="K285" s="213"/>
      <c r="L285" s="230" t="n">
        <f aca="false">SUMIFS(報告入力!$BG$7:$BG$696,報告入力!$A$7:$A$696,$S$262,報告入力!$B$7:$B$696,$A285)</f>
        <v>143859</v>
      </c>
      <c r="M285" s="133" t="n">
        <f aca="false">SUM(K285:L285)</f>
        <v>143859</v>
      </c>
      <c r="N285" s="213"/>
      <c r="O285" s="230" t="n">
        <f aca="false">SUMIFS(報告入力!$BI$7:$BI$696,報告入力!$A$7:$A$696,$S$262,報告入力!$B$7:$B$696,$A285)</f>
        <v>29034</v>
      </c>
      <c r="P285" s="133" t="n">
        <f aca="false">SUM(N285:O285)</f>
        <v>29034</v>
      </c>
      <c r="Q285" s="135" t="str">
        <f aca="false">IF(P220=P285,"〇","×")</f>
        <v>×</v>
      </c>
      <c r="R285" s="135" t="str">
        <f aca="false">IFERROR(INDEX(報告入力!$C$7:$C$696,MATCH($S$262&amp;"|"&amp;$A285,報告入力!$CM$7:$CM$696,0)),"")</f>
        <v>入金確認済</v>
      </c>
    </row>
    <row r="286" s="135" customFormat="true" ht="20.1" hidden="false" customHeight="true" outlineLevel="0" collapsed="false">
      <c r="A286" s="366" t="s">
        <v>184</v>
      </c>
      <c r="B286" s="211"/>
      <c r="C286" s="212"/>
      <c r="D286" s="128" t="n">
        <f aca="false">SUMIFS(報告入力!$BA$7:$BA$696,報告入力!$A$7:$A$696,$S$262,報告入力!$B$7:$B$696,$A286)</f>
        <v>59475</v>
      </c>
      <c r="E286" s="139" t="n">
        <f aca="false">SUMIFS(報告入力!$BB$7:$BB$696,報告入力!$A$7:$A$696,$S$262,報告入力!$B$7:$B$696,$A286)</f>
        <v>4875</v>
      </c>
      <c r="F286" s="138" t="n">
        <f aca="false">SUMIFS(報告入力!$BC$7:$BC$696,報告入力!$A$7:$A$696,$S$262,報告入力!$B$7:$B$696,$A286)</f>
        <v>56</v>
      </c>
      <c r="G286" s="133" t="n">
        <f aca="false">SUM(B286:F286)</f>
        <v>64406</v>
      </c>
      <c r="H286" s="227"/>
      <c r="I286" s="230" t="n">
        <f aca="false">SUMIFS(報告入力!$BE$7:$BE$696,報告入力!$A$7:$A$696,$S$262,報告入力!$B$7:$B$696,$A286)</f>
        <v>36856</v>
      </c>
      <c r="J286" s="133" t="n">
        <f aca="false">SUM(H286:I286)</f>
        <v>36856</v>
      </c>
      <c r="K286" s="213"/>
      <c r="L286" s="230" t="n">
        <f aca="false">SUMIFS(報告入力!$BG$7:$BG$696,報告入力!$A$7:$A$696,$S$262,報告入力!$B$7:$B$696,$A286)</f>
        <v>5609</v>
      </c>
      <c r="M286" s="133" t="n">
        <f aca="false">SUM(K286:L286)</f>
        <v>5609</v>
      </c>
      <c r="N286" s="213"/>
      <c r="O286" s="230" t="n">
        <f aca="false">SUMIFS(報告入力!$BI$7:$BI$696,報告入力!$A$7:$A$696,$S$262,報告入力!$B$7:$B$696,$A286)</f>
        <v>816</v>
      </c>
      <c r="P286" s="133" t="n">
        <f aca="false">SUM(N286:O286)</f>
        <v>816</v>
      </c>
      <c r="Q286" s="135" t="str">
        <f aca="false">IF(P221=P286,"〇","×")</f>
        <v>×</v>
      </c>
      <c r="R286" s="135" t="str">
        <f aca="false">IFERROR(INDEX(報告入力!$C$7:$C$696,MATCH($S$262&amp;"|"&amp;$A286,報告入力!$CM$7:$CM$696,0)),"")</f>
        <v>入金確認済</v>
      </c>
    </row>
    <row r="287" s="135" customFormat="true" ht="20.1" hidden="false" customHeight="true" outlineLevel="0" collapsed="false">
      <c r="A287" s="367" t="s">
        <v>185</v>
      </c>
      <c r="B287" s="211"/>
      <c r="C287" s="212"/>
      <c r="D287" s="128" t="n">
        <f aca="false">SUMIFS(報告入力!$BA$7:$BA$696,報告入力!$A$7:$A$696,$S$262,報告入力!$B$7:$B$696,$A287)</f>
        <v>368745</v>
      </c>
      <c r="E287" s="139" t="n">
        <f aca="false">SUMIFS(報告入力!$BB$7:$BB$696,報告入力!$A$7:$A$696,$S$262,報告入力!$B$7:$B$696,$A287)</f>
        <v>30225</v>
      </c>
      <c r="F287" s="138" t="n">
        <f aca="false">SUMIFS(報告入力!$BC$7:$BC$696,報告入力!$A$7:$A$696,$S$262,報告入力!$B$7:$B$696,$A287)</f>
        <v>395</v>
      </c>
      <c r="G287" s="133" t="n">
        <f aca="false">SUM(B287:F287)</f>
        <v>399365</v>
      </c>
      <c r="H287" s="227"/>
      <c r="I287" s="230" t="n">
        <f aca="false">SUMIFS(報告入力!$BE$7:$BE$696,報告入力!$A$7:$A$696,$S$262,報告入力!$B$7:$B$696,$A287)</f>
        <v>209223</v>
      </c>
      <c r="J287" s="133" t="n">
        <f aca="false">SUM(H287:I287)</f>
        <v>209223</v>
      </c>
      <c r="K287" s="213"/>
      <c r="L287" s="230" t="n">
        <f aca="false">SUMIFS(報告入力!$BG$7:$BG$696,報告入力!$A$7:$A$696,$S$262,報告入力!$B$7:$B$696,$A287)</f>
        <v>26781</v>
      </c>
      <c r="M287" s="133" t="n">
        <f aca="false">SUM(K287:L287)</f>
        <v>26781</v>
      </c>
      <c r="N287" s="213"/>
      <c r="O287" s="230" t="n">
        <f aca="false">SUMIFS(報告入力!$BI$7:$BI$696,報告入力!$A$7:$A$696,$S$262,報告入力!$B$7:$B$696,$A287)</f>
        <v>4634</v>
      </c>
      <c r="P287" s="133" t="n">
        <f aca="false">SUM(N287:O287)</f>
        <v>4634</v>
      </c>
      <c r="Q287" s="135" t="str">
        <f aca="false">IF(P222=P287,"〇","×")</f>
        <v>×</v>
      </c>
      <c r="R287" s="135" t="str">
        <f aca="false">IFERROR(INDEX(報告入力!$C$7:$C$696,MATCH($S$262&amp;"|"&amp;$A287,報告入力!$CM$7:$CM$696,0)),"")</f>
        <v>入金確認済</v>
      </c>
    </row>
    <row r="288" s="135" customFormat="true" ht="20.1" hidden="false" customHeight="true" outlineLevel="0" collapsed="false">
      <c r="A288" s="368" t="s">
        <v>186</v>
      </c>
      <c r="B288" s="211"/>
      <c r="C288" s="216"/>
      <c r="D288" s="128" t="n">
        <f aca="false">SUMIFS(報告入力!$BA$7:$BA$696,報告入力!$A$7:$A$696,$S$262,報告入力!$B$7:$B$696,$A288)</f>
        <v>45750</v>
      </c>
      <c r="E288" s="139" t="n">
        <f aca="false">SUMIFS(報告入力!$BB$7:$BB$696,報告入力!$A$7:$A$696,$S$262,報告入力!$B$7:$B$696,$A288)</f>
        <v>3750</v>
      </c>
      <c r="F288" s="138" t="n">
        <f aca="false">SUMIFS(報告入力!$BC$7:$BC$696,報告入力!$A$7:$A$696,$S$262,報告入力!$B$7:$B$696,$A288)</f>
        <v>43</v>
      </c>
      <c r="G288" s="133" t="n">
        <f aca="false">SUM(B288:F288)</f>
        <v>49543</v>
      </c>
      <c r="H288" s="227"/>
      <c r="I288" s="230" t="n">
        <f aca="false">SUMIFS(報告入力!$BE$7:$BE$696,報告入力!$A$7:$A$696,$S$262,報告入力!$B$7:$B$696,$A288)</f>
        <v>25955</v>
      </c>
      <c r="J288" s="133" t="n">
        <f aca="false">SUM(H288:I288)</f>
        <v>25955</v>
      </c>
      <c r="K288" s="213"/>
      <c r="L288" s="230" t="n">
        <f aca="false">SUMIFS(報告入力!$BG$7:$BG$696,報告入力!$A$7:$A$696,$S$262,報告入力!$B$7:$B$696,$A288)</f>
        <v>3950</v>
      </c>
      <c r="M288" s="133" t="n">
        <f aca="false">SUM(K288:L288)</f>
        <v>3950</v>
      </c>
      <c r="N288" s="213"/>
      <c r="O288" s="230" t="n">
        <f aca="false">SUMIFS(報告入力!$BI$7:$BI$696,報告入力!$A$7:$A$696,$S$262,報告入力!$B$7:$B$696,$A288)</f>
        <v>575</v>
      </c>
      <c r="P288" s="133" t="n">
        <f aca="false">SUM(N288:O288)</f>
        <v>575</v>
      </c>
      <c r="Q288" s="135" t="str">
        <f aca="false">IF(P223=P288,"〇","×")</f>
        <v>×</v>
      </c>
      <c r="R288" s="135" t="str">
        <f aca="false">IFERROR(INDEX(報告入力!$C$7:$C$696,MATCH($S$262&amp;"|"&amp;$A288,報告入力!$CM$7:$CM$696,0)),"")</f>
        <v>入金確認済</v>
      </c>
    </row>
    <row r="289" s="135" customFormat="true" ht="20.1" hidden="false" customHeight="true" outlineLevel="0" collapsed="false">
      <c r="A289" s="368" t="s">
        <v>187</v>
      </c>
      <c r="B289" s="211"/>
      <c r="C289" s="216"/>
      <c r="D289" s="128" t="n">
        <f aca="false">SUMIFS(報告入力!$BA$7:$BA$696,報告入力!$A$7:$A$696,$S$262,報告入力!$B$7:$B$696,$A289)</f>
        <v>0</v>
      </c>
      <c r="E289" s="139" t="n">
        <f aca="false">SUMIFS(報告入力!$BB$7:$BB$696,報告入力!$A$7:$A$696,$S$262,報告入力!$B$7:$B$696,$A289)</f>
        <v>0</v>
      </c>
      <c r="F289" s="138" t="n">
        <f aca="false">SUMIFS(報告入力!$BC$7:$BC$696,報告入力!$A$7:$A$696,$S$262,報告入力!$B$7:$B$696,$A289)</f>
        <v>0</v>
      </c>
      <c r="G289" s="133" t="n">
        <f aca="false">SUM(B289:F289)</f>
        <v>0</v>
      </c>
      <c r="H289" s="213"/>
      <c r="I289" s="230" t="n">
        <f aca="false">SUMIFS(報告入力!$BE$7:$BE$696,報告入力!$A$7:$A$696,$S$262,報告入力!$B$7:$B$696,$A289)</f>
        <v>0</v>
      </c>
      <c r="J289" s="133" t="n">
        <f aca="false">SUM(H289:I289)</f>
        <v>0</v>
      </c>
      <c r="K289" s="213"/>
      <c r="L289" s="230" t="n">
        <f aca="false">SUMIFS(報告入力!$BG$7:$BG$696,報告入力!$A$7:$A$696,$S$262,報告入力!$B$7:$B$696,$A289)</f>
        <v>0</v>
      </c>
      <c r="M289" s="133" t="n">
        <f aca="false">SUM(K289:L289)</f>
        <v>0</v>
      </c>
      <c r="N289" s="213"/>
      <c r="O289" s="230" t="n">
        <f aca="false">SUMIFS(報告入力!$BI$7:$BI$696,報告入力!$A$7:$A$696,$S$262,報告入力!$B$7:$B$696,$A289)</f>
        <v>0</v>
      </c>
      <c r="P289" s="133" t="n">
        <f aca="false">SUM(N289:O289)</f>
        <v>0</v>
      </c>
      <c r="Q289" s="135" t="str">
        <f aca="false">IF(P224=P289,"〇","×")</f>
        <v>〇</v>
      </c>
      <c r="R289" s="135" t="str">
        <f aca="false">IFERROR(INDEX(報告入力!$C$7:$C$696,MATCH($S$262&amp;"|"&amp;$A289,報告入力!$CM$7:$CM$696,0)),"")</f>
        <v>入金確認済</v>
      </c>
    </row>
    <row r="290" s="135" customFormat="true" ht="20.1" hidden="false" customHeight="true" outlineLevel="0" collapsed="false">
      <c r="A290" s="369" t="s">
        <v>188</v>
      </c>
      <c r="B290" s="211"/>
      <c r="C290" s="218"/>
      <c r="D290" s="128" t="n">
        <f aca="false">SUMIFS(報告入力!$BA$7:$BA$696,報告入力!$A$7:$A$696,$S$262,報告入力!$B$7:$B$696,$A290)</f>
        <v>193065</v>
      </c>
      <c r="E290" s="139" t="n">
        <f aca="false">SUMIFS(報告入力!$BB$7:$BB$696,報告入力!$A$7:$A$696,$S$262,報告入力!$B$7:$B$696,$A290)</f>
        <v>15825</v>
      </c>
      <c r="F290" s="138" t="n">
        <f aca="false">SUMIFS(報告入力!$BC$7:$BC$696,報告入力!$A$7:$A$696,$S$262,報告入力!$B$7:$B$696,$A290)</f>
        <v>183</v>
      </c>
      <c r="G290" s="133" t="n">
        <f aca="false">SUM(B290:F290)</f>
        <v>209073</v>
      </c>
      <c r="H290" s="213"/>
      <c r="I290" s="230" t="n">
        <f aca="false">SUMIFS(報告入力!$BE$7:$BE$696,報告入力!$A$7:$A$696,$S$262,報告入力!$B$7:$B$696,$A290)</f>
        <v>109530</v>
      </c>
      <c r="J290" s="133" t="n">
        <f aca="false">SUM(H290:I290)</f>
        <v>109530</v>
      </c>
      <c r="K290" s="213"/>
      <c r="L290" s="230" t="n">
        <f aca="false">SUMIFS(報告入力!$BG$7:$BG$696,報告入力!$A$7:$A$696,$S$262,報告入力!$B$7:$B$696,$A290)</f>
        <v>12956</v>
      </c>
      <c r="M290" s="133" t="n">
        <f aca="false">SUM(K290:L290)</f>
        <v>12956</v>
      </c>
      <c r="N290" s="213"/>
      <c r="O290" s="230" t="n">
        <f aca="false">SUMIFS(報告入力!$BI$7:$BI$696,報告入力!$A$7:$A$696,$S$262,報告入力!$B$7:$B$696,$A290)</f>
        <v>2426</v>
      </c>
      <c r="P290" s="133" t="n">
        <f aca="false">SUM(N290:O290)</f>
        <v>2426</v>
      </c>
      <c r="Q290" s="135" t="str">
        <f aca="false">IF(P225=P290,"〇","×")</f>
        <v>×</v>
      </c>
      <c r="R290" s="135" t="str">
        <f aca="false">IFERROR(INDEX(報告入力!$C$7:$C$696,MATCH($S$262&amp;"|"&amp;$A290,報告入力!$CM$7:$CM$696,0)),"")</f>
        <v>入金確認済</v>
      </c>
    </row>
    <row r="291" s="135" customFormat="true" ht="20.1" hidden="false" customHeight="true" outlineLevel="0" collapsed="false">
      <c r="A291" s="366" t="s">
        <v>189</v>
      </c>
      <c r="B291" s="142" t="n">
        <f aca="false">SUMIFS(報告入力!$AY$7:$AY$696,報告入力!$A$7:$A$696,$S$262,報告入力!$B$7:$B$696,$A291)</f>
        <v>241560</v>
      </c>
      <c r="C291" s="138" t="n">
        <f aca="false">SUMIFS(報告入力!$AZ$7:$AZ$696,報告入力!$A$7:$A$696,$S$262,報告入力!$B$7:$B$696,$A291)</f>
        <v>19800</v>
      </c>
      <c r="D291" s="142" t="n">
        <f aca="false">SUMIFS(報告入力!$BA$7:$BA$696,報告入力!$A$7:$A$696,$S$262,報告入力!$B$7:$B$696,$A291)</f>
        <v>241560</v>
      </c>
      <c r="E291" s="230" t="n">
        <f aca="false">SUMIFS(報告入力!$BB$7:$BB$696,報告入力!$A$7:$A$696,$S$262,報告入力!$B$7:$B$696,$A291)</f>
        <v>19800</v>
      </c>
      <c r="F291" s="137" t="n">
        <f aca="false">SUMIFS(報告入力!$BC$7:$BC$696,報告入力!$A$7:$A$696,$S$262,報告入力!$B$7:$B$696,$A291)</f>
        <v>229</v>
      </c>
      <c r="G291" s="133" t="n">
        <f aca="false">SUM(B291:F291)</f>
        <v>522949</v>
      </c>
      <c r="H291" s="139" t="n">
        <f aca="false">SUMIFS(報告入力!$BD$7:$BD$696,報告入力!$A$7:$A$696,$S$262,報告入力!$B$7:$B$696,$A291)</f>
        <v>140019</v>
      </c>
      <c r="I291" s="230" t="n">
        <f aca="false">SUMIFS(報告入力!$BE$7:$BE$696,報告入力!$A$7:$A$696,$S$262,報告入力!$B$7:$B$696,$A291)</f>
        <v>140157</v>
      </c>
      <c r="J291" s="133" t="n">
        <f aca="false">SUM(H291:I291)</f>
        <v>280176</v>
      </c>
      <c r="K291" s="230" t="n">
        <f aca="false">SUMIFS(報告入力!$BF$7:$BF$696,報告入力!$A$7:$A$696,$S$262,報告入力!$B$7:$B$696,$A291)</f>
        <v>10744</v>
      </c>
      <c r="L291" s="230" t="n">
        <f aca="false">SUMIFS(報告入力!$BG$7:$BG$696,報告入力!$A$7:$A$696,$S$262,報告入力!$B$7:$B$696,$A291)</f>
        <v>10744</v>
      </c>
      <c r="M291" s="133" t="n">
        <f aca="false">SUM(K291:L291)</f>
        <v>21488</v>
      </c>
      <c r="N291" s="230" t="n">
        <f aca="false">SUMIFS(報告入力!$BH$7:$BH$696,報告入力!$A$7:$A$696,$S$262,報告入力!$B$7:$B$696,$A291)</f>
        <v>3104</v>
      </c>
      <c r="O291" s="230" t="n">
        <f aca="false">SUMIFS(報告入力!$BI$7:$BI$696,報告入力!$A$7:$A$696,$S$262,報告入力!$B$7:$B$696,$A291)</f>
        <v>3105</v>
      </c>
      <c r="P291" s="133" t="n">
        <f aca="false">SUM(N291:O291)</f>
        <v>6209</v>
      </c>
      <c r="Q291" s="135" t="str">
        <f aca="false">IF(P226=P291,"〇","×")</f>
        <v>×</v>
      </c>
      <c r="R291" s="135" t="str">
        <f aca="false">IFERROR(INDEX(報告入力!$C$7:$C$696,MATCH($S$262&amp;"|"&amp;$A291,報告入力!$CM$7:$CM$696,0)),"")</f>
        <v>入金確認済</v>
      </c>
    </row>
    <row r="292" s="135" customFormat="true" ht="20.1" hidden="false" customHeight="true" outlineLevel="0" collapsed="false">
      <c r="A292" s="219" t="s">
        <v>190</v>
      </c>
      <c r="B292" s="136" t="n">
        <f aca="false">SUMIFS(報告入力!$AY$7:$AY$696,報告入力!$A$7:$A$696,$S$262,報告入力!$B$7:$B$696,$A292)</f>
        <v>40260</v>
      </c>
      <c r="C292" s="138" t="n">
        <f aca="false">SUMIFS(報告入力!$AZ$7:$AZ$696,報告入力!$A$7:$A$696,$S$262,報告入力!$B$7:$B$696,$A292)</f>
        <v>3300</v>
      </c>
      <c r="D292" s="128" t="n">
        <f aca="false">SUMIFS(報告入力!$BA$7:$BA$696,報告入力!$A$7:$A$696,$S$262,報告入力!$B$7:$B$696,$A292)</f>
        <v>40260</v>
      </c>
      <c r="E292" s="139" t="n">
        <f aca="false">SUMIFS(報告入力!$BB$7:$BB$696,報告入力!$A$7:$A$696,$S$262,報告入力!$B$7:$B$696,$A292)</f>
        <v>3300</v>
      </c>
      <c r="F292" s="138" t="n">
        <f aca="false">SUMIFS(報告入力!$BC$7:$BC$696,報告入力!$A$7:$A$696,$S$262,報告入力!$B$7:$B$696,$A292)</f>
        <v>38</v>
      </c>
      <c r="G292" s="133" t="n">
        <f aca="false">SUM(B292:F292)</f>
        <v>87158</v>
      </c>
      <c r="H292" s="139" t="n">
        <f aca="false">SUMIFS(報告入力!$BD$7:$BD$696,報告入力!$A$7:$A$696,$S$262,報告入力!$B$7:$B$696,$A292)</f>
        <v>22818</v>
      </c>
      <c r="I292" s="230" t="n">
        <f aca="false">SUMIFS(報告入力!$BE$7:$BE$696,報告入力!$A$7:$A$696,$S$262,報告入力!$B$7:$B$696,$A292)</f>
        <v>22840</v>
      </c>
      <c r="J292" s="133" t="n">
        <f aca="false">SUM(H292:I292)</f>
        <v>45658</v>
      </c>
      <c r="K292" s="139" t="n">
        <f aca="false">SUMIFS(報告入力!$BF$7:$BF$696,報告入力!$A$7:$A$696,$S$262,報告入力!$B$7:$B$696,$A292)</f>
        <v>0</v>
      </c>
      <c r="L292" s="230" t="n">
        <f aca="false">SUMIFS(報告入力!$BG$7:$BG$696,報告入力!$A$7:$A$696,$S$262,報告入力!$B$7:$B$696,$A292)</f>
        <v>0</v>
      </c>
      <c r="M292" s="133" t="n">
        <f aca="false">SUM(K292:L292)</f>
        <v>0</v>
      </c>
      <c r="N292" s="139" t="n">
        <f aca="false">SUMIFS(報告入力!$BH$7:$BH$696,報告入力!$A$7:$A$696,$S$262,報告入力!$B$7:$B$696,$A292)</f>
        <v>506</v>
      </c>
      <c r="O292" s="230" t="n">
        <f aca="false">SUMIFS(報告入力!$BI$7:$BI$696,報告入力!$A$7:$A$696,$S$262,報告入力!$B$7:$B$696,$A292)</f>
        <v>506</v>
      </c>
      <c r="P292" s="133" t="n">
        <f aca="false">SUM(N292:O292)</f>
        <v>1012</v>
      </c>
      <c r="Q292" s="135" t="str">
        <f aca="false">IF(P227=P292,"〇","×")</f>
        <v>×</v>
      </c>
      <c r="R292" s="135" t="str">
        <f aca="false">IFERROR(INDEX(報告入力!$C$7:$C$696,MATCH($S$262&amp;"|"&amp;$A292,報告入力!$CM$7:$CM$696,0)),"")</f>
        <v>入金確認済</v>
      </c>
    </row>
    <row r="293" s="135" customFormat="true" ht="20.1" hidden="false" customHeight="true" outlineLevel="0" collapsed="false">
      <c r="A293" s="370" t="s">
        <v>191</v>
      </c>
      <c r="B293" s="142" t="n">
        <f aca="false">SUMIFS(報告入力!$AY$7:$AY$696,報告入力!$A$7:$A$696,$S$262,報告入力!$B$7:$B$696,$A293)</f>
        <v>107970</v>
      </c>
      <c r="C293" s="138" t="n">
        <f aca="false">SUMIFS(報告入力!$AZ$7:$AZ$696,報告入力!$A$7:$A$696,$S$262,報告入力!$B$7:$B$696,$A293)</f>
        <v>8850</v>
      </c>
      <c r="D293" s="128" t="n">
        <f aca="false">SUMIFS(報告入力!$BA$7:$BA$696,報告入力!$A$7:$A$696,$S$262,報告入力!$B$7:$B$696,$A293)</f>
        <v>107970</v>
      </c>
      <c r="E293" s="139" t="n">
        <f aca="false">SUMIFS(報告入力!$BB$7:$BB$696,報告入力!$A$7:$A$696,$S$262,報告入力!$B$7:$B$696,$A293)</f>
        <v>8850</v>
      </c>
      <c r="F293" s="138" t="n">
        <f aca="false">SUMIFS(報告入力!$BC$7:$BC$696,報告入力!$A$7:$A$696,$S$262,報告入力!$B$7:$B$696,$A293)</f>
        <v>102</v>
      </c>
      <c r="G293" s="133" t="n">
        <f aca="false">SUM(B293:F293)</f>
        <v>233742</v>
      </c>
      <c r="H293" s="139" t="n">
        <f aca="false">SUMIFS(報告入力!$BD$7:$BD$696,報告入力!$A$7:$A$696,$S$262,報告入力!$B$7:$B$696,$A293)</f>
        <v>61194</v>
      </c>
      <c r="I293" s="230" t="n">
        <f aca="false">SUMIFS(報告入力!$BE$7:$BE$696,報告入力!$A$7:$A$696,$S$262,報告入力!$B$7:$B$696,$A293)</f>
        <v>61253</v>
      </c>
      <c r="J293" s="133" t="n">
        <f aca="false">SUM(H293:I293)</f>
        <v>122447</v>
      </c>
      <c r="K293" s="230" t="n">
        <f aca="false">SUMIFS(報告入力!$BF$7:$BF$696,報告入力!$A$7:$A$696,$S$262,報告入力!$B$7:$B$696,$A293)</f>
        <v>9322</v>
      </c>
      <c r="L293" s="230" t="n">
        <f aca="false">SUMIFS(報告入力!$BG$7:$BG$696,報告入力!$A$7:$A$696,$S$262,報告入力!$B$7:$B$696,$A293)</f>
        <v>9322</v>
      </c>
      <c r="M293" s="133" t="n">
        <f aca="false">SUM(K293:L293)</f>
        <v>18644</v>
      </c>
      <c r="N293" s="230" t="n">
        <f aca="false">SUMIFS(報告入力!$BH$7:$BH$696,報告入力!$A$7:$A$696,$S$262,報告入力!$B$7:$B$696,$A293)</f>
        <v>1356</v>
      </c>
      <c r="O293" s="230" t="n">
        <f aca="false">SUMIFS(報告入力!$BI$7:$BI$696,報告入力!$A$7:$A$696,$S$262,報告入力!$B$7:$B$696,$A293)</f>
        <v>1357</v>
      </c>
      <c r="P293" s="133" t="n">
        <f aca="false">SUM(N293:O293)</f>
        <v>2713</v>
      </c>
      <c r="Q293" s="135" t="str">
        <f aca="false">IF(P228=P293,"〇","×")</f>
        <v>×</v>
      </c>
      <c r="R293" s="135" t="str">
        <f aca="false">IFERROR(INDEX(報告入力!$C$7:$C$696,MATCH($S$262&amp;"|"&amp;$A293,報告入力!$CM$7:$CM$696,0)),"")</f>
        <v>入金確認済</v>
      </c>
    </row>
    <row r="294" s="135" customFormat="true" ht="20.1" hidden="false" customHeight="true" outlineLevel="0" collapsed="false">
      <c r="A294" s="366" t="s">
        <v>192</v>
      </c>
      <c r="B294" s="142" t="n">
        <f aca="false">SUMIFS(報告入力!$AY$7:$AY$696,報告入力!$A$7:$A$696,$S$262,報告入力!$B$7:$B$696,$A294)</f>
        <v>755790</v>
      </c>
      <c r="C294" s="138" t="n">
        <f aca="false">SUMIFS(報告入力!$AZ$7:$AZ$696,報告入力!$A$7:$A$696,$S$262,報告入力!$B$7:$B$696,$A294)</f>
        <v>61950</v>
      </c>
      <c r="D294" s="128" t="n">
        <f aca="false">SUMIFS(報告入力!$BA$7:$BA$696,報告入力!$A$7:$A$696,$S$262,報告入力!$B$7:$B$696,$A294)</f>
        <v>746877</v>
      </c>
      <c r="E294" s="139" t="n">
        <f aca="false">SUMIFS(報告入力!$BB$7:$BB$696,報告入力!$A$7:$A$696,$S$262,報告入力!$B$7:$B$696,$A294)</f>
        <v>61950</v>
      </c>
      <c r="F294" s="138" t="n">
        <f aca="false">SUMIFS(報告入力!$BC$7:$BC$696,報告入力!$A$7:$A$696,$S$262,報告入力!$B$7:$B$696,$A294)</f>
        <v>753</v>
      </c>
      <c r="G294" s="133" t="n">
        <f aca="false">SUM(B294:F294)</f>
        <v>1627320</v>
      </c>
      <c r="H294" s="139" t="n">
        <f aca="false">SUMIFS(報告入力!$BD$7:$BD$696,報告入力!$A$7:$A$696,$S$262,報告入力!$B$7:$B$696,$A294)</f>
        <v>428357</v>
      </c>
      <c r="I294" s="230" t="n">
        <f aca="false">SUMIFS(報告入力!$BE$7:$BE$696,報告入力!$A$7:$A$696,$S$262,報告入力!$B$7:$B$696,$A294)</f>
        <v>437689</v>
      </c>
      <c r="J294" s="133" t="n">
        <f aca="false">SUM(H294:I294)</f>
        <v>866046</v>
      </c>
      <c r="K294" s="230" t="n">
        <f aca="false">SUMIFS(報告入力!$BF$7:$BF$696,報告入力!$A$7:$A$696,$S$262,報告入力!$B$7:$B$696,$A294)</f>
        <v>39816</v>
      </c>
      <c r="L294" s="230" t="n">
        <f aca="false">SUMIFS(報告入力!$BG$7:$BG$696,報告入力!$A$7:$A$696,$S$262,報告入力!$B$7:$B$696,$A294)</f>
        <v>39816</v>
      </c>
      <c r="M294" s="133" t="n">
        <f aca="false">SUM(K294:L294)</f>
        <v>79632</v>
      </c>
      <c r="N294" s="230" t="n">
        <f aca="false">SUMIFS(報告入力!$BH$7:$BH$696,報告入力!$A$7:$A$696,$S$262,報告入力!$B$7:$B$696,$A294)</f>
        <v>9495</v>
      </c>
      <c r="O294" s="230" t="n">
        <f aca="false">SUMIFS(報告入力!$BI$7:$BI$696,報告入力!$A$7:$A$696,$S$262,報告入力!$B$7:$B$696,$A294)</f>
        <v>9499</v>
      </c>
      <c r="P294" s="133" t="n">
        <f aca="false">SUM(N294:O294)</f>
        <v>18994</v>
      </c>
      <c r="Q294" s="135" t="str">
        <f aca="false">IF(P229=P294,"〇","×")</f>
        <v>×</v>
      </c>
      <c r="R294" s="135" t="str">
        <f aca="false">IFERROR(INDEX(報告入力!$C$7:$C$696,MATCH($S$262&amp;"|"&amp;$A294,報告入力!$CM$7:$CM$696,0)),"")</f>
        <v>入金確認済</v>
      </c>
    </row>
    <row r="295" s="135" customFormat="true" ht="20.1" hidden="false" customHeight="true" outlineLevel="0" collapsed="false">
      <c r="A295" s="366" t="s">
        <v>193</v>
      </c>
      <c r="B295" s="226"/>
      <c r="C295" s="216"/>
      <c r="D295" s="128" t="n">
        <f aca="false">SUMIFS(報告入力!$BA$7:$BA$696,報告入力!$A$7:$A$696,$S$262,報告入力!$B$7:$B$696,$A295)</f>
        <v>582855</v>
      </c>
      <c r="E295" s="139" t="n">
        <f aca="false">SUMIFS(報告入力!$BB$7:$BB$696,報告入力!$A$7:$A$696,$S$262,報告入力!$B$7:$B$696,$A295)</f>
        <v>47775</v>
      </c>
      <c r="F295" s="138" t="n">
        <f aca="false">SUMIFS(報告入力!$BC$7:$BC$696,報告入力!$A$7:$A$696,$S$262,報告入力!$B$7:$B$696,$A295)</f>
        <v>579</v>
      </c>
      <c r="G295" s="133" t="n">
        <f aca="false">SUM(B295:F295)</f>
        <v>631209</v>
      </c>
      <c r="H295" s="213"/>
      <c r="I295" s="230" t="n">
        <f aca="false">SUMIFS(報告入力!$BE$7:$BE$696,報告入力!$A$7:$A$696,$S$262,報告入力!$B$7:$B$696,$A295)</f>
        <v>330681</v>
      </c>
      <c r="J295" s="133" t="n">
        <f aca="false">SUM(H295:I295)</f>
        <v>330681</v>
      </c>
      <c r="K295" s="213"/>
      <c r="L295" s="230" t="n">
        <f aca="false">SUMIFS(報告入力!$BG$7:$BG$696,報告入力!$A$7:$A$696,$S$262,報告入力!$B$7:$B$696,$A295)</f>
        <v>28203</v>
      </c>
      <c r="M295" s="133" t="n">
        <f aca="false">SUM(K295:L295)</f>
        <v>28203</v>
      </c>
      <c r="N295" s="213"/>
      <c r="O295" s="230" t="n">
        <f aca="false">SUMIFS(報告入力!$BI$7:$BI$696,報告入力!$A$7:$A$696,$S$262,報告入力!$B$7:$B$696,$A295)</f>
        <v>7324</v>
      </c>
      <c r="P295" s="133" t="n">
        <f aca="false">SUM(N295:O295)</f>
        <v>7324</v>
      </c>
      <c r="Q295" s="135" t="str">
        <f aca="false">IF(P230=P295,"〇","×")</f>
        <v>×</v>
      </c>
      <c r="R295" s="135" t="str">
        <f aca="false">IFERROR(INDEX(報告入力!$C$7:$C$696,MATCH($S$262&amp;"|"&amp;$A295,報告入力!$CM$7:$CM$696,0)),"")</f>
        <v>入金確認済</v>
      </c>
    </row>
    <row r="296" s="135" customFormat="true" ht="20.1" hidden="false" customHeight="true" outlineLevel="0" collapsed="false">
      <c r="A296" s="371" t="s">
        <v>194</v>
      </c>
      <c r="B296" s="211"/>
      <c r="C296" s="218"/>
      <c r="D296" s="128" t="n">
        <f aca="false">SUMIFS(報告入力!$BA$7:$BA$696,報告入力!$A$7:$A$696,$S$262,報告入力!$B$7:$B$696,$A296)</f>
        <v>1056825</v>
      </c>
      <c r="E296" s="139" t="n">
        <f aca="false">SUMIFS(報告入力!$BB$7:$BB$696,報告入力!$A$7:$A$696,$S$262,報告入力!$B$7:$B$696,$A296)</f>
        <v>86625</v>
      </c>
      <c r="F296" s="138" t="n">
        <f aca="false">SUMIFS(報告入力!$BC$7:$BC$696,報告入力!$A$7:$A$696,$S$262,報告入力!$B$7:$B$696,$A296)</f>
        <v>1000</v>
      </c>
      <c r="G296" s="133" t="n">
        <f aca="false">SUM(B296:F296)</f>
        <v>1144450</v>
      </c>
      <c r="H296" s="213"/>
      <c r="I296" s="230" t="n">
        <f aca="false">SUMIFS(報告入力!$BE$7:$BE$696,報告入力!$A$7:$A$696,$S$262,報告入力!$B$7:$B$696,$A296)</f>
        <v>606306</v>
      </c>
      <c r="J296" s="133" t="n">
        <f aca="false">SUM(H296:I296)</f>
        <v>606306</v>
      </c>
      <c r="K296" s="213"/>
      <c r="L296" s="230" t="n">
        <f aca="false">SUMIFS(報告入力!$BG$7:$BG$696,報告入力!$A$7:$A$696,$S$262,報告入力!$B$7:$B$696,$A296)</f>
        <v>86900</v>
      </c>
      <c r="M296" s="133" t="n">
        <f aca="false">SUM(K296:L296)</f>
        <v>86900</v>
      </c>
      <c r="N296" s="213"/>
      <c r="O296" s="230" t="n">
        <f aca="false">SUMIFS(報告入力!$BI$7:$BI$696,報告入力!$A$7:$A$696,$S$262,報告入力!$B$7:$B$696,$A296)</f>
        <v>13430</v>
      </c>
      <c r="P296" s="133" t="n">
        <f aca="false">SUM(N296:O296)</f>
        <v>13430</v>
      </c>
      <c r="Q296" s="135" t="str">
        <f aca="false">IF(P231=P296,"〇","×")</f>
        <v>×</v>
      </c>
      <c r="R296" s="135" t="str">
        <f aca="false">IFERROR(INDEX(報告入力!$C$7:$C$696,MATCH($S$262&amp;"|"&amp;$A296,報告入力!$CM$7:$CM$696,0)),"")</f>
        <v>入金確認済</v>
      </c>
    </row>
    <row r="297" s="135" customFormat="true" ht="20.1" hidden="false" customHeight="true" outlineLevel="0" collapsed="false">
      <c r="A297" s="372" t="s">
        <v>195</v>
      </c>
      <c r="B297" s="211"/>
      <c r="C297" s="218"/>
      <c r="D297" s="128" t="n">
        <f aca="false">SUMIFS(報告入力!$BA$7:$BA$696,報告入力!$A$7:$A$696,$S$262,報告入力!$B$7:$B$696,$A297)</f>
        <v>0</v>
      </c>
      <c r="E297" s="139" t="n">
        <f aca="false">SUMIFS(報告入力!$BB$7:$BB$696,報告入力!$A$7:$A$696,$S$262,報告入力!$B$7:$B$696,$A297)</f>
        <v>0</v>
      </c>
      <c r="F297" s="138" t="n">
        <f aca="false">SUMIFS(報告入力!$BC$7:$BC$696,報告入力!$A$7:$A$696,$S$262,報告入力!$B$7:$B$696,$A297)</f>
        <v>0</v>
      </c>
      <c r="G297" s="133" t="n">
        <f aca="false">SUM(B297:F297)</f>
        <v>0</v>
      </c>
      <c r="H297" s="213"/>
      <c r="I297" s="230" t="n">
        <f aca="false">SUMIFS(報告入力!$BE$7:$BE$696,報告入力!$A$7:$A$696,$S$262,報告入力!$B$7:$B$696,$A297)</f>
        <v>0</v>
      </c>
      <c r="J297" s="133" t="n">
        <f aca="false">SUM(H297:I297)</f>
        <v>0</v>
      </c>
      <c r="K297" s="213"/>
      <c r="L297" s="230" t="n">
        <f aca="false">SUMIFS(報告入力!$BG$7:$BG$696,報告入力!$A$7:$A$696,$S$262,報告入力!$B$7:$B$696,$A297)</f>
        <v>0</v>
      </c>
      <c r="M297" s="133" t="n">
        <f aca="false">SUM(K297:L297)</f>
        <v>0</v>
      </c>
      <c r="N297" s="213"/>
      <c r="O297" s="230" t="n">
        <f aca="false">SUMIFS(報告入力!$BI$7:$BI$696,報告入力!$A$7:$A$696,$S$262,報告入力!$B$7:$B$696,$A297)</f>
        <v>0</v>
      </c>
      <c r="P297" s="133" t="n">
        <f aca="false">SUM(N297:O297)</f>
        <v>0</v>
      </c>
      <c r="Q297" s="135" t="str">
        <f aca="false">IF(P232=P297,"〇","×")</f>
        <v>〇</v>
      </c>
      <c r="R297" s="135" t="str">
        <f aca="false">IFERROR(INDEX(報告入力!$C$7:$C$696,MATCH($S$262&amp;"|"&amp;$A297,報告入力!$CM$7:$CM$696,0)),"")</f>
        <v>入金確認済</v>
      </c>
    </row>
    <row r="298" s="135" customFormat="true" ht="20.1" hidden="false" customHeight="true" outlineLevel="0" collapsed="false">
      <c r="A298" s="366" t="s">
        <v>196</v>
      </c>
      <c r="B298" s="211"/>
      <c r="C298" s="218"/>
      <c r="D298" s="128" t="n">
        <f aca="false">SUMIFS(報告入力!$BA$7:$BA$696,報告入力!$A$7:$A$696,$S$262,報告入力!$B$7:$B$696,$A298)</f>
        <v>405345</v>
      </c>
      <c r="E298" s="139" t="n">
        <f aca="false">SUMIFS(報告入力!$BB$7:$BB$696,報告入力!$A$7:$A$696,$S$262,報告入力!$B$7:$B$696,$A298)</f>
        <v>33225</v>
      </c>
      <c r="F298" s="138" t="n">
        <f aca="false">SUMIFS(報告入力!$BC$7:$BC$696,報告入力!$A$7:$A$696,$S$262,報告入力!$B$7:$B$696,$A298)</f>
        <v>383</v>
      </c>
      <c r="G298" s="133" t="n">
        <f aca="false">SUM(B298:F298)</f>
        <v>438953</v>
      </c>
      <c r="H298" s="213"/>
      <c r="I298" s="230" t="n">
        <f aca="false">SUMIFS(報告入力!$BE$7:$BE$696,報告入力!$A$7:$A$696,$S$262,報告入力!$B$7:$B$696,$A298)</f>
        <v>229960</v>
      </c>
      <c r="J298" s="133" t="n">
        <f aca="false">SUM(H298:I298)</f>
        <v>229960</v>
      </c>
      <c r="K298" s="213"/>
      <c r="L298" s="230" t="n">
        <f aca="false">SUMIFS(報告入力!$BG$7:$BG$696,報告入力!$A$7:$A$696,$S$262,報告入力!$B$7:$B$696,$A298)</f>
        <v>34997</v>
      </c>
      <c r="M298" s="133" t="n">
        <f aca="false">SUM(K298:L298)</f>
        <v>34997</v>
      </c>
      <c r="N298" s="213"/>
      <c r="O298" s="230" t="n">
        <f aca="false">SUMIFS(報告入力!$BI$7:$BI$696,報告入力!$A$7:$A$696,$S$262,報告入力!$B$7:$B$696,$A298)</f>
        <v>5093</v>
      </c>
      <c r="P298" s="133" t="n">
        <f aca="false">SUM(N298:O298)</f>
        <v>5093</v>
      </c>
      <c r="Q298" s="135" t="str">
        <f aca="false">IF(P233=P298,"〇","×")</f>
        <v>×</v>
      </c>
      <c r="R298" s="135" t="str">
        <f aca="false">IFERROR(INDEX(報告入力!$C$7:$C$696,MATCH($S$262&amp;"|"&amp;$A298,報告入力!$CM$7:$CM$696,0)),"")</f>
        <v>入金確認済</v>
      </c>
    </row>
    <row r="299" s="135" customFormat="true" ht="20.1" hidden="false" customHeight="true" outlineLevel="0" collapsed="false">
      <c r="A299" s="368" t="s">
        <v>197</v>
      </c>
      <c r="B299" s="142" t="n">
        <f aca="false">SUMIFS(報告入力!$AY$7:$AY$696,報告入力!$A$7:$A$696,$S$262,報告入力!$B$7:$B$696,$A299)</f>
        <v>148230</v>
      </c>
      <c r="C299" s="138" t="n">
        <f aca="false">SUMIFS(報告入力!$AZ$7:$AZ$696,報告入力!$A$7:$A$696,$S$262,報告入力!$B$7:$B$696,$A299)</f>
        <v>12150</v>
      </c>
      <c r="D299" s="128" t="n">
        <f aca="false">SUMIFS(報告入力!$BA$7:$BA$696,報告入力!$A$7:$A$696,$S$262,報告入力!$B$7:$B$696,$A299)</f>
        <v>148230</v>
      </c>
      <c r="E299" s="139" t="n">
        <f aca="false">SUMIFS(報告入力!$BB$7:$BB$696,報告入力!$A$7:$A$696,$S$262,報告入力!$B$7:$B$696,$A299)</f>
        <v>12150</v>
      </c>
      <c r="F299" s="138" t="n">
        <f aca="false">SUMIFS(報告入力!$BC$7:$BC$696,報告入力!$A$7:$A$696,$S$262,報告入力!$B$7:$B$696,$A299)</f>
        <v>140</v>
      </c>
      <c r="G299" s="133" t="n">
        <f aca="false">SUM(B299:F299)</f>
        <v>320900</v>
      </c>
      <c r="H299" s="139" t="n">
        <f aca="false">SUMIFS(報告入力!$BD$7:$BD$696,報告入力!$A$7:$A$696,$S$262,報告入力!$B$7:$B$696,$A299)</f>
        <v>87123</v>
      </c>
      <c r="I299" s="230" t="n">
        <f aca="false">SUMIFS(報告入力!$BE$7:$BE$696,報告入力!$A$7:$A$696,$S$262,報告入力!$B$7:$B$696,$A299)</f>
        <v>87208</v>
      </c>
      <c r="J299" s="133" t="n">
        <f aca="false">SUM(H299:I299)</f>
        <v>174331</v>
      </c>
      <c r="K299" s="230" t="n">
        <f aca="false">SUMIFS(報告入力!$BF$7:$BF$696,報告入力!$A$7:$A$696,$S$262,報告入力!$B$7:$B$696,$A299)</f>
        <v>10033</v>
      </c>
      <c r="L299" s="230" t="n">
        <f aca="false">SUMIFS(報告入力!$BG$7:$BG$696,報告入力!$A$7:$A$696,$S$262,報告入力!$B$7:$B$696,$A299)</f>
        <v>10033</v>
      </c>
      <c r="M299" s="133" t="n">
        <f aca="false">SUM(K299:L299)</f>
        <v>20066</v>
      </c>
      <c r="N299" s="230" t="n">
        <f aca="false">SUMIFS(報告入力!$BH$7:$BH$696,報告入力!$A$7:$A$696,$S$262,報告入力!$B$7:$B$696,$A299)</f>
        <v>1931</v>
      </c>
      <c r="O299" s="230" t="n">
        <f aca="false">SUMIFS(報告入力!$BI$7:$BI$696,報告入力!$A$7:$A$696,$S$262,報告入力!$B$7:$B$696,$A299)</f>
        <v>1932</v>
      </c>
      <c r="P299" s="133" t="n">
        <f aca="false">SUM(N299:O299)</f>
        <v>3863</v>
      </c>
      <c r="Q299" s="135" t="str">
        <f aca="false">IF(P234=P299,"〇","×")</f>
        <v>×</v>
      </c>
      <c r="R299" s="135" t="str">
        <f aca="false">IFERROR(INDEX(報告入力!$C$7:$C$696,MATCH($S$262&amp;"|"&amp;$A299,報告入力!$CM$7:$CM$696,0)),"")</f>
        <v>入金確認済</v>
      </c>
    </row>
    <row r="300" s="135" customFormat="true" ht="20.1" hidden="false" customHeight="true" outlineLevel="0" collapsed="false">
      <c r="A300" s="231" t="s">
        <v>219</v>
      </c>
      <c r="B300" s="226"/>
      <c r="C300" s="216"/>
      <c r="D300" s="128" t="n">
        <f aca="false">SUMIFS(報告入力!$BA$7:$BA$696,報告入力!$A$7:$A$696,$S$262,報告入力!$B$7:$B$696,$A300)</f>
        <v>455670</v>
      </c>
      <c r="E300" s="139" t="n">
        <f aca="false">SUMIFS(報告入力!$BB$7:$BB$696,報告入力!$A$7:$A$696,$S$262,報告入力!$B$7:$B$696,$A300)</f>
        <v>37350</v>
      </c>
      <c r="F300" s="138" t="n">
        <f aca="false">SUMIFS(報告入力!$BC$7:$BC$696,報告入力!$A$7:$A$696,$S$262,報告入力!$B$7:$B$696,$A300)</f>
        <v>432</v>
      </c>
      <c r="G300" s="133" t="n">
        <f aca="false">SUM(B300:F300)</f>
        <v>493452</v>
      </c>
      <c r="H300" s="213"/>
      <c r="I300" s="230" t="n">
        <f aca="false">SUMIFS(報告入力!$BE$7:$BE$696,報告入力!$A$7:$A$696,$S$262,報告入力!$B$7:$B$696,$A300)</f>
        <v>267855</v>
      </c>
      <c r="J300" s="133" t="n">
        <f aca="false">SUM(H300:I300)</f>
        <v>267855</v>
      </c>
      <c r="K300" s="213"/>
      <c r="L300" s="230" t="n">
        <f aca="false">SUMIFS(報告入力!$BG$7:$BG$696,報告入力!$A$7:$A$696,$S$262,報告入力!$B$7:$B$696,$A300)</f>
        <v>21725</v>
      </c>
      <c r="M300" s="133" t="n">
        <f aca="false">SUM(K300:L300)</f>
        <v>21725</v>
      </c>
      <c r="N300" s="213"/>
      <c r="O300" s="230" t="n">
        <f aca="false">SUMIFS(報告入力!$BI$7:$BI$696,報告入力!$A$7:$A$696,$S$262,報告入力!$B$7:$B$696,$A300)</f>
        <v>5934</v>
      </c>
      <c r="P300" s="133" t="n">
        <f aca="false">SUM(N300:O300)</f>
        <v>5934</v>
      </c>
      <c r="Q300" s="135" t="str">
        <f aca="false">IF(P235=P300,"〇","×")</f>
        <v>×</v>
      </c>
      <c r="R300" s="135" t="str">
        <f aca="false">IFERROR(INDEX(報告入力!$C$7:$C$696,MATCH($S$262&amp;"|"&amp;$A300,報告入力!$CM$7:$CM$696,0)),"")</f>
        <v>入金確認済</v>
      </c>
    </row>
    <row r="301" s="135" customFormat="true" ht="20.1" hidden="false" customHeight="true" outlineLevel="0" collapsed="false">
      <c r="A301" s="367" t="s">
        <v>199</v>
      </c>
      <c r="B301" s="142" t="n">
        <f aca="false">SUMIFS(報告入力!$AY$7:$AY$696,報告入力!$A$7:$A$696,$S$262,報告入力!$B$7:$B$696,$A301)</f>
        <v>56730</v>
      </c>
      <c r="C301" s="138" t="n">
        <f aca="false">SUMIFS(報告入力!$AZ$7:$AZ$696,報告入力!$A$7:$A$696,$S$262,報告入力!$B$7:$B$696,$A301)</f>
        <v>4650</v>
      </c>
      <c r="D301" s="128" t="n">
        <f aca="false">SUMIFS(報告入力!$BA$7:$BA$696,報告入力!$A$7:$A$696,$S$262,報告入力!$B$7:$B$696,$A301)</f>
        <v>56730</v>
      </c>
      <c r="E301" s="139" t="n">
        <f aca="false">SUMIFS(報告入力!$BB$7:$BB$696,報告入力!$A$7:$A$696,$S$262,報告入力!$B$7:$B$696,$A301)</f>
        <v>4650</v>
      </c>
      <c r="F301" s="138" t="n">
        <f aca="false">SUMIFS(報告入力!$BC$7:$BC$696,報告入力!$A$7:$A$696,$S$262,報告入力!$B$7:$B$696,$A301)</f>
        <v>53</v>
      </c>
      <c r="G301" s="133" t="n">
        <f aca="false">SUM(B301:F301)</f>
        <v>122813</v>
      </c>
      <c r="H301" s="139" t="n">
        <f aca="false">SUMIFS(報告入力!$BD$7:$BD$696,報告入力!$A$7:$A$696,$S$262,報告入力!$B$7:$B$696,$A301)</f>
        <v>32153</v>
      </c>
      <c r="I301" s="230" t="n">
        <f aca="false">SUMIFS(報告入力!$BE$7:$BE$696,報告入力!$A$7:$A$696,$S$262,報告入力!$B$7:$B$696,$A301)</f>
        <v>32184</v>
      </c>
      <c r="J301" s="133" t="n">
        <f aca="false">SUM(H301:I301)</f>
        <v>64337</v>
      </c>
      <c r="K301" s="230" t="n">
        <f aca="false">SUMIFS(報告入力!$BF$7:$BF$696,報告入力!$A$7:$A$696,$S$262,報告入力!$B$7:$B$696,$A301)</f>
        <v>4898</v>
      </c>
      <c r="L301" s="230" t="n">
        <f aca="false">SUMIFS(報告入力!$BG$7:$BG$696,報告入力!$A$7:$A$696,$S$262,報告入力!$B$7:$B$696,$A301)</f>
        <v>4898</v>
      </c>
      <c r="M301" s="133" t="n">
        <f aca="false">SUM(K301:L301)</f>
        <v>9796</v>
      </c>
      <c r="N301" s="230" t="n">
        <f aca="false">SUMIFS(報告入力!$BH$7:$BH$696,報告入力!$A$7:$A$696,$S$262,報告入力!$B$7:$B$696,$A301)</f>
        <v>713</v>
      </c>
      <c r="O301" s="230" t="n">
        <f aca="false">SUMIFS(報告入力!$BI$7:$BI$696,報告入力!$A$7:$A$696,$S$262,報告入力!$B$7:$B$696,$A301)</f>
        <v>713</v>
      </c>
      <c r="P301" s="133" t="n">
        <f aca="false">SUM(N301:O301)</f>
        <v>1426</v>
      </c>
      <c r="Q301" s="135" t="str">
        <f aca="false">IF(P236=P301,"〇","×")</f>
        <v>×</v>
      </c>
      <c r="R301" s="135" t="str">
        <f aca="false">IFERROR(INDEX(報告入力!$C$7:$C$696,MATCH($S$262&amp;"|"&amp;$A301,報告入力!$CM$7:$CM$696,0)),"")</f>
        <v>入金確認済</v>
      </c>
    </row>
    <row r="302" s="135" customFormat="true" ht="20.1" hidden="false" customHeight="true" outlineLevel="0" collapsed="false">
      <c r="A302" s="367" t="s">
        <v>200</v>
      </c>
      <c r="B302" s="142" t="n">
        <f aca="false">SUMIFS(報告入力!$AY$7:$AY$696,報告入力!$A$7:$A$696,$S$262,報告入力!$B$7:$B$696,$A302)</f>
        <v>59475</v>
      </c>
      <c r="C302" s="138" t="n">
        <f aca="false">SUMIFS(報告入力!$AZ$7:$AZ$696,報告入力!$A$7:$A$696,$S$262,報告入力!$B$7:$B$696,$A302)</f>
        <v>4875</v>
      </c>
      <c r="D302" s="128" t="n">
        <f aca="false">SUMIFS(報告入力!$BA$7:$BA$696,報告入力!$A$7:$A$696,$S$262,報告入力!$B$7:$B$696,$A302)</f>
        <v>59475</v>
      </c>
      <c r="E302" s="139" t="n">
        <f aca="false">SUMIFS(報告入力!$BB$7:$BB$696,報告入力!$A$7:$A$696,$S$262,報告入力!$B$7:$B$696,$A302)</f>
        <v>4875</v>
      </c>
      <c r="F302" s="138" t="n">
        <f aca="false">SUMIFS(報告入力!$BC$7:$BC$696,報告入力!$A$7:$A$696,$S$262,報告入力!$B$7:$B$696,$A302)</f>
        <v>56</v>
      </c>
      <c r="G302" s="133" t="n">
        <f aca="false">SUM(B302:F302)</f>
        <v>128756</v>
      </c>
      <c r="H302" s="139" t="n">
        <f aca="false">SUMIFS(報告入力!$BD$7:$BD$696,報告入力!$A$7:$A$696,$S$262,報告入力!$B$7:$B$696,$A302)</f>
        <v>38895</v>
      </c>
      <c r="I302" s="230" t="n">
        <f aca="false">SUMIFS(報告入力!$BE$7:$BE$696,報告入力!$A$7:$A$696,$S$262,報告入力!$B$7:$B$696,$A302)</f>
        <v>38932</v>
      </c>
      <c r="J302" s="133" t="n">
        <f aca="false">SUM(H302:I302)</f>
        <v>77827</v>
      </c>
      <c r="K302" s="230" t="n">
        <f aca="false">SUMIFS(報告入力!$BF$7:$BF$696,報告入力!$A$7:$A$696,$S$262,報告入力!$B$7:$B$696,$A302)</f>
        <v>5925</v>
      </c>
      <c r="L302" s="230" t="n">
        <f aca="false">SUMIFS(報告入力!$BG$7:$BG$696,報告入力!$A$7:$A$696,$S$262,報告入力!$B$7:$B$696,$A302)</f>
        <v>5925</v>
      </c>
      <c r="M302" s="133" t="n">
        <f aca="false">SUM(K302:L302)</f>
        <v>11850</v>
      </c>
      <c r="N302" s="230" t="n">
        <f aca="false">SUMIFS(報告入力!$BH$7:$BH$696,報告入力!$A$7:$A$696,$S$262,報告入力!$B$7:$B$696,$A302)</f>
        <v>862</v>
      </c>
      <c r="O302" s="230" t="n">
        <f aca="false">SUMIFS(報告入力!$BI$7:$BI$696,報告入力!$A$7:$A$696,$S$262,報告入力!$B$7:$B$696,$A302)</f>
        <v>862</v>
      </c>
      <c r="P302" s="133" t="n">
        <f aca="false">SUM(N302:O302)</f>
        <v>1724</v>
      </c>
      <c r="Q302" s="135" t="str">
        <f aca="false">IF(P237=P302,"〇","×")</f>
        <v>×</v>
      </c>
      <c r="R302" s="135" t="str">
        <f aca="false">IFERROR(INDEX(報告入力!$C$7:$C$696,MATCH($S$262&amp;"|"&amp;$A302,報告入力!$CM$7:$CM$696,0)),"")</f>
        <v>入金確認済</v>
      </c>
    </row>
    <row r="303" s="135" customFormat="true" ht="20.1" hidden="false" customHeight="true" outlineLevel="0" collapsed="false">
      <c r="A303" s="367" t="s">
        <v>201</v>
      </c>
      <c r="B303" s="142" t="n">
        <f aca="false">SUMIFS(報告入力!$AY$7:$AY$696,報告入力!$A$7:$A$696,$S$262,報告入力!$B$7:$B$696,$A303)</f>
        <v>45750</v>
      </c>
      <c r="C303" s="138" t="n">
        <f aca="false">SUMIFS(報告入力!$AZ$7:$AZ$696,報告入力!$A$7:$A$696,$S$262,報告入力!$B$7:$B$696,$A303)</f>
        <v>3750</v>
      </c>
      <c r="D303" s="128" t="n">
        <f aca="false">SUMIFS(報告入力!$BA$7:$BA$696,報告入力!$A$7:$A$696,$S$262,報告入力!$B$7:$B$696,$A303)</f>
        <v>45750</v>
      </c>
      <c r="E303" s="139" t="n">
        <f aca="false">SUMIFS(報告入力!$BB$7:$BB$696,報告入力!$A$7:$A$696,$S$262,報告入力!$B$7:$B$696,$A303)</f>
        <v>3750</v>
      </c>
      <c r="F303" s="138" t="n">
        <f aca="false">SUMIFS(報告入力!$BC$7:$BC$696,報告入力!$A$7:$A$696,$S$262,報告入力!$B$7:$B$696,$A303)</f>
        <v>43</v>
      </c>
      <c r="G303" s="133" t="n">
        <f aca="false">SUM(B303:F303)</f>
        <v>99043</v>
      </c>
      <c r="H303" s="139" t="n">
        <f aca="false">SUMIFS(報告入力!$BD$7:$BD$696,報告入力!$A$7:$A$696,$S$262,報告入力!$B$7:$B$696,$A303)</f>
        <v>25930</v>
      </c>
      <c r="I303" s="230" t="n">
        <f aca="false">SUMIFS(報告入力!$BE$7:$BE$696,報告入力!$A$7:$A$696,$S$262,報告入力!$B$7:$B$696,$A303)</f>
        <v>25955</v>
      </c>
      <c r="J303" s="133" t="n">
        <f aca="false">SUM(H303:I303)</f>
        <v>51885</v>
      </c>
      <c r="K303" s="230" t="n">
        <f aca="false">SUMIFS(報告入力!$BF$7:$BF$696,報告入力!$A$7:$A$696,$S$262,報告入力!$B$7:$B$696,$A303)</f>
        <v>0</v>
      </c>
      <c r="L303" s="230" t="n">
        <f aca="false">SUMIFS(報告入力!$BG$7:$BG$696,報告入力!$A$7:$A$696,$S$262,報告入力!$B$7:$B$696,$A303)</f>
        <v>0</v>
      </c>
      <c r="M303" s="133" t="n">
        <f aca="false">SUM(K303:L303)</f>
        <v>0</v>
      </c>
      <c r="N303" s="230" t="n">
        <f aca="false">SUMIFS(報告入力!$BH$7:$BH$696,報告入力!$A$7:$A$696,$S$262,報告入力!$B$7:$B$696,$A303)</f>
        <v>575</v>
      </c>
      <c r="O303" s="230" t="n">
        <f aca="false">SUMIFS(報告入力!$BI$7:$BI$696,報告入力!$A$7:$A$696,$S$262,報告入力!$B$7:$B$696,$A303)</f>
        <v>575</v>
      </c>
      <c r="P303" s="133" t="n">
        <f aca="false">SUM(N303:O303)</f>
        <v>1150</v>
      </c>
      <c r="Q303" s="135" t="str">
        <f aca="false">IF(P238=P303,"〇","×")</f>
        <v>×</v>
      </c>
      <c r="R303" s="135" t="str">
        <f aca="false">IFERROR(INDEX(報告入力!$C$7:$C$696,MATCH($S$262&amp;"|"&amp;$A303,報告入力!$CM$7:$CM$696,0)),"")</f>
        <v>入金確認済</v>
      </c>
    </row>
    <row r="304" s="135" customFormat="true" ht="20.1" hidden="false" customHeight="true" outlineLevel="0" collapsed="false">
      <c r="A304" s="368" t="s">
        <v>202</v>
      </c>
      <c r="B304" s="142" t="n">
        <f aca="false">SUMIFS(報告入力!$AY$7:$AY$696,報告入力!$A$7:$A$696,$S$262,報告入力!$B$7:$B$696,$A304)</f>
        <v>1231590</v>
      </c>
      <c r="C304" s="138" t="n">
        <f aca="false">SUMIFS(報告入力!$AZ$7:$AZ$696,報告入力!$A$7:$A$696,$S$262,報告入力!$B$7:$B$696,$A304)</f>
        <v>100950</v>
      </c>
      <c r="D304" s="128" t="n">
        <f aca="false">SUMIFS(報告入力!$BA$7:$BA$696,報告入力!$A$7:$A$696,$S$262,報告入力!$B$7:$B$696,$A304)</f>
        <v>1231590</v>
      </c>
      <c r="E304" s="139" t="n">
        <f aca="false">SUMIFS(報告入力!$BB$7:$BB$696,報告入力!$A$7:$A$696,$S$262,報告入力!$B$7:$B$696,$A304)</f>
        <v>100950</v>
      </c>
      <c r="F304" s="138" t="n">
        <f aca="false">SUMIFS(報告入力!$BC$7:$BC$696,報告入力!$A$7:$A$696,$S$262,報告入力!$B$7:$B$696,$A304)</f>
        <v>1237</v>
      </c>
      <c r="G304" s="133" t="n">
        <f aca="false">SUM(B304:F304)</f>
        <v>2666317</v>
      </c>
      <c r="H304" s="139" t="n">
        <f aca="false">SUMIFS(報告入力!$BD$7:$BD$696,報告入力!$A$7:$A$696,$S$262,報告入力!$B$7:$B$696,$A304)</f>
        <v>708914</v>
      </c>
      <c r="I304" s="230" t="n">
        <f aca="false">SUMIFS(報告入力!$BE$7:$BE$696,報告入力!$A$7:$A$696,$S$262,報告入力!$B$7:$B$696,$A304)</f>
        <v>709649</v>
      </c>
      <c r="J304" s="133" t="n">
        <f aca="false">SUM(H304:I304)</f>
        <v>1418563</v>
      </c>
      <c r="K304" s="230" t="n">
        <f aca="false">SUMIFS(報告入力!$BF$7:$BF$696,報告入力!$A$7:$A$696,$S$262,報告入力!$B$7:$B$696,$A304)</f>
        <v>82002</v>
      </c>
      <c r="L304" s="230" t="n">
        <f aca="false">SUMIFS(報告入力!$BG$7:$BG$696,報告入力!$A$7:$A$696,$S$262,報告入力!$B$7:$B$696,$A304)</f>
        <v>82002</v>
      </c>
      <c r="M304" s="133" t="n">
        <f aca="false">SUM(K304:L304)</f>
        <v>164004</v>
      </c>
      <c r="N304" s="230" t="n">
        <f aca="false">SUMIFS(報告入力!$BH$7:$BH$696,報告入力!$A$7:$A$696,$S$262,報告入力!$B$7:$B$696,$A304)</f>
        <v>15716</v>
      </c>
      <c r="O304" s="230" t="n">
        <f aca="false">SUMIFS(報告入力!$BI$7:$BI$696,報告入力!$A$7:$A$696,$S$262,報告入力!$B$7:$B$696,$A304)</f>
        <v>15720</v>
      </c>
      <c r="P304" s="133" t="n">
        <f aca="false">SUM(N304:O304)</f>
        <v>31436</v>
      </c>
      <c r="Q304" s="135" t="str">
        <f aca="false">IF(P239=P304,"〇","×")</f>
        <v>×</v>
      </c>
      <c r="R304" s="135" t="str">
        <f aca="false">IFERROR(INDEX(報告入力!$C$7:$C$696,MATCH($S$262&amp;"|"&amp;$A304,報告入力!$CM$7:$CM$696,0)),"")</f>
        <v>入金確認済</v>
      </c>
    </row>
    <row r="305" s="135" customFormat="true" ht="20.1" hidden="false" customHeight="true" outlineLevel="0" collapsed="false">
      <c r="A305" s="368" t="s">
        <v>203</v>
      </c>
      <c r="B305" s="226"/>
      <c r="C305" s="216"/>
      <c r="D305" s="128" t="n">
        <f aca="false">SUMIFS(報告入力!$BA$7:$BA$696,報告入力!$A$7:$A$696,$S$262,報告入力!$B$7:$B$696,$A305)</f>
        <v>256200</v>
      </c>
      <c r="E305" s="139" t="n">
        <f aca="false">SUMIFS(報告入力!$BB$7:$BB$696,報告入力!$A$7:$A$696,$S$262,報告入力!$B$7:$B$696,$A305)</f>
        <v>21000</v>
      </c>
      <c r="F305" s="138" t="n">
        <f aca="false">SUMIFS(報告入力!$BC$7:$BC$696,報告入力!$A$7:$A$696,$S$262,報告入力!$B$7:$B$696,$A305)</f>
        <v>243</v>
      </c>
      <c r="G305" s="133" t="n">
        <f aca="false">SUM(B305:F305)</f>
        <v>277443</v>
      </c>
      <c r="H305" s="227"/>
      <c r="I305" s="230" t="n">
        <f aca="false">SUMIFS(報告入力!$BE$7:$BE$696,報告入力!$A$7:$A$696,$S$262,報告入力!$B$7:$B$696,$A305)</f>
        <v>148462</v>
      </c>
      <c r="J305" s="133" t="n">
        <f aca="false">SUM(H305:I305)</f>
        <v>148462</v>
      </c>
      <c r="K305" s="227"/>
      <c r="L305" s="230" t="n">
        <f aca="false">SUMIFS(報告入力!$BG$7:$BG$696,報告入力!$A$7:$A$696,$S$262,報告入力!$B$7:$B$696,$A305)</f>
        <v>10507</v>
      </c>
      <c r="M305" s="133" t="n">
        <f aca="false">SUM(K305:L305)</f>
        <v>10507</v>
      </c>
      <c r="N305" s="227"/>
      <c r="O305" s="230" t="n">
        <f aca="false">SUMIFS(報告入力!$BI$7:$BI$696,報告入力!$A$7:$A$696,$S$262,報告入力!$B$7:$B$696,$A305)</f>
        <v>3289</v>
      </c>
      <c r="P305" s="133" t="n">
        <f aca="false">SUM(N305:O305)</f>
        <v>3289</v>
      </c>
      <c r="Q305" s="135" t="str">
        <f aca="false">IF(P240=P305,"〇","×")</f>
        <v>×</v>
      </c>
      <c r="R305" s="135" t="str">
        <f aca="false">IFERROR(INDEX(報告入力!$C$7:$C$696,MATCH($S$262&amp;"|"&amp;$A305,報告入力!$CM$7:$CM$696,0)),"")</f>
        <v>入金確認済</v>
      </c>
    </row>
    <row r="306" s="135" customFormat="true" ht="19.5" hidden="false" customHeight="true" outlineLevel="0" collapsed="false">
      <c r="A306" s="373" t="s">
        <v>204</v>
      </c>
      <c r="B306" s="142" t="n">
        <f aca="false">SUMIFS(報告入力!$AY$7:$AY$696,報告入力!$A$7:$A$696,$S$262,報告入力!$B$7:$B$696,$A306)</f>
        <v>127522361</v>
      </c>
      <c r="C306" s="148" t="n">
        <f aca="false">SUMIFS(報告入力!$AZ$7:$AZ$696,報告入力!$A$7:$A$696,$S$262,報告入力!$B$7:$B$696,$A306)</f>
        <v>10450553</v>
      </c>
      <c r="D306" s="143" t="n">
        <f aca="false">SUMIFS(報告入力!$BA$7:$BA$696,報告入力!$A$7:$A$696,$S$262,報告入力!$B$7:$B$696,$A306)</f>
        <v>186040804</v>
      </c>
      <c r="E306" s="139" t="n">
        <f aca="false">SUMIFS(報告入力!$BB$7:$BB$696,報告入力!$A$7:$A$696,$S$262,報告入力!$B$7:$B$696,$A306)</f>
        <v>10450553</v>
      </c>
      <c r="F306" s="138" t="n">
        <f aca="false">SUMIFS(報告入力!$BC$7:$BC$696,報告入力!$A$7:$A$696,$S$262,報告入力!$B$7:$B$696,$A306)</f>
        <v>127229</v>
      </c>
      <c r="G306" s="133" t="n">
        <f aca="false">SUM(B306:F306)</f>
        <v>334591500</v>
      </c>
      <c r="H306" s="139" t="n">
        <f aca="false">SUMIFS(報告入力!$BD$7:$BD$696,報告入力!$A$7:$A$696,$S$262,報告入力!$B$7:$B$696,$A306)</f>
        <v>94661023</v>
      </c>
      <c r="I306" s="230" t="n">
        <f aca="false">SUMIFS(報告入力!$BE$7:$BE$696,報告入力!$A$7:$A$696,$S$262,報告入力!$B$7:$B$696,$A306)</f>
        <v>94767454</v>
      </c>
      <c r="J306" s="133" t="n">
        <f aca="false">SUM(H306:I306)</f>
        <v>189428477</v>
      </c>
      <c r="K306" s="230" t="n">
        <f aca="false">SUMIFS(報告入力!$BF$7:$BF$696,報告入力!$A$7:$A$696,$S$262,報告入力!$B$7:$B$696,$A306)</f>
        <v>8045644</v>
      </c>
      <c r="L306" s="230" t="n">
        <f aca="false">SUMIFS(報告入力!$BG$7:$BG$696,報告入力!$A$7:$A$696,$S$262,報告入力!$B$7:$B$696,$A306)</f>
        <v>8045644</v>
      </c>
      <c r="M306" s="133" t="n">
        <f aca="false">SUM(K306:L306)</f>
        <v>16091288</v>
      </c>
      <c r="N306" s="230" t="n">
        <f aca="false">SUMIFS(報告入力!$BH$7:$BH$696,報告入力!$A$7:$A$696,$S$262,報告入力!$B$7:$B$696,$A306)</f>
        <v>2098459</v>
      </c>
      <c r="O306" s="230" t="n">
        <f aca="false">SUMIFS(報告入力!$BI$7:$BI$696,報告入力!$A$7:$A$696,$S$262,報告入力!$B$7:$B$696,$A306)</f>
        <v>2098458</v>
      </c>
      <c r="P306" s="133" t="n">
        <f aca="false">SUM(N306:O306)</f>
        <v>4196917</v>
      </c>
      <c r="Q306" s="135" t="str">
        <f aca="false">IF(P241=P306,"〇","×")</f>
        <v>×</v>
      </c>
      <c r="R306" s="135" t="str">
        <f aca="false">IFERROR(INDEX(報告入力!$C$7:$C$696,MATCH($S$262&amp;"|"&amp;$A306,報告入力!$CM$7:$CM$696,0)),"")</f>
        <v>入金確認済</v>
      </c>
    </row>
    <row r="307" s="162" customFormat="true" ht="21.75" hidden="false" customHeight="true" outlineLevel="0" collapsed="false">
      <c r="A307" s="214" t="s">
        <v>205</v>
      </c>
      <c r="B307" s="152"/>
      <c r="C307" s="156"/>
      <c r="D307" s="152"/>
      <c r="E307" s="234"/>
      <c r="F307" s="156"/>
      <c r="G307" s="235" t="n">
        <f aca="false">SUM(B307:F307)</f>
        <v>0</v>
      </c>
      <c r="H307" s="143" t="n">
        <f aca="false">SUMIFS(報告入力!$BD$7:$BD$696,報告入力!$A$7:$A$696,$S$262,報告入力!$B$7:$B$696,$A307)</f>
        <v>104755</v>
      </c>
      <c r="I307" s="150" t="n">
        <f aca="false">SUMIFS(報告入力!$BE$7:$BE$696,報告入力!$A$7:$A$696,$S$262,報告入力!$B$7:$B$696,$A307)</f>
        <v>104857</v>
      </c>
      <c r="J307" s="141" t="n">
        <f aca="false">SUM(H307:I307)</f>
        <v>209612</v>
      </c>
      <c r="K307" s="142" t="n">
        <f aca="false">SUMIFS(報告入力!$BF$7:$BF$696,報告入力!$A$7:$A$696,$S$262,報告入力!$B$7:$B$696,$A307)</f>
        <v>11060</v>
      </c>
      <c r="L307" s="150" t="n">
        <f aca="false">SUMIFS(報告入力!$BG$7:$BG$696,報告入力!$A$7:$A$696,$S$262,報告入力!$B$7:$B$696,$A307)</f>
        <v>11060</v>
      </c>
      <c r="M307" s="141" t="n">
        <f aca="false">SUM(K307:L307)</f>
        <v>22120</v>
      </c>
      <c r="N307" s="142" t="n">
        <f aca="false">SUMIFS(報告入力!$BH$7:$BH$696,報告入力!$A$7:$A$696,$S$262,報告入力!$B$7:$B$696,$A307)</f>
        <v>2321</v>
      </c>
      <c r="O307" s="230" t="n">
        <f aca="false">SUMIFS(報告入力!$BI$7:$BI$696,報告入力!$A$7:$A$696,$S$262,報告入力!$B$7:$B$696,$A307)</f>
        <v>2322</v>
      </c>
      <c r="P307" s="141" t="n">
        <f aca="false">SUM(N307:O307)</f>
        <v>4643</v>
      </c>
      <c r="Q307" s="162" t="str">
        <f aca="false">IF(P242=P307,"〇","×")</f>
        <v>×</v>
      </c>
      <c r="R307" s="162" t="str">
        <f aca="false">IFERROR(INDEX(報告入力!$C$7:$C$696,MATCH($S$262&amp;"|"&amp;$A307,報告入力!$CM$7:$CM$696,0)),"")</f>
        <v>入金確認済</v>
      </c>
    </row>
    <row r="308" s="162" customFormat="true" ht="21.75" hidden="false" customHeight="true" outlineLevel="0" collapsed="false">
      <c r="A308" s="236" t="s">
        <v>206</v>
      </c>
      <c r="B308" s="336"/>
      <c r="C308" s="355"/>
      <c r="D308" s="334"/>
      <c r="E308" s="334"/>
      <c r="F308" s="356"/>
      <c r="G308" s="327" t="n">
        <f aca="false">SUM(B308:F308)</f>
        <v>0</v>
      </c>
      <c r="H308" s="334"/>
      <c r="I308" s="335"/>
      <c r="J308" s="330" t="n">
        <f aca="false">SUM(H308:I308)</f>
        <v>0</v>
      </c>
      <c r="K308" s="334"/>
      <c r="L308" s="335"/>
      <c r="M308" s="330" t="n">
        <f aca="false">SUM(K308:L308)</f>
        <v>0</v>
      </c>
      <c r="N308" s="334"/>
      <c r="O308" s="335"/>
      <c r="P308" s="330" t="n">
        <f aca="false">SUM(N308:O308)</f>
        <v>0</v>
      </c>
      <c r="Q308" s="162" t="str">
        <f aca="false">IF(P243=P308,"〇","×")</f>
        <v>〇</v>
      </c>
      <c r="R308" s="162" t="str">
        <f aca="false">IFERROR(INDEX(報告入力!$C$7:$C$696,MATCH($S$262&amp;"|"&amp;$A308,報告入力!$CM$7:$CM$696,0)),"")</f>
        <v>報告なし</v>
      </c>
    </row>
    <row r="309" s="162" customFormat="true" ht="21.75" hidden="false" customHeight="true" outlineLevel="0" collapsed="false">
      <c r="A309" s="236" t="s">
        <v>207</v>
      </c>
      <c r="B309" s="142" t="n">
        <f aca="false">SUMIFS(報告入力!$AY$7:$AY$696,報告入力!$A$7:$A$696,$S$262,報告入力!$B$7:$B$696,$A309)</f>
        <v>118950</v>
      </c>
      <c r="C309" s="147" t="n">
        <f aca="false">SUMIFS(報告入力!$AZ$7:$AZ$696,報告入力!$A$7:$A$696,$S$262,報告入力!$B$7:$B$696,$A309)</f>
        <v>9750</v>
      </c>
      <c r="D309" s="142" t="n">
        <f aca="false">SUMIFS(報告入力!$BA$7:$BA$696,報告入力!$A$7:$A$696,$S$262,報告入力!$B$7:$B$696,$A309)</f>
        <v>118950</v>
      </c>
      <c r="E309" s="143" t="n">
        <f aca="false">SUMIFS(報告入力!$BB$7:$BB$696,報告入力!$A$7:$A$696,$S$262,報告入力!$B$7:$B$696,$A309)</f>
        <v>9750</v>
      </c>
      <c r="F309" s="148" t="n">
        <f aca="false">SUMIFS(報告入力!$BC$7:$BC$696,報告入力!$A$7:$A$696,$S$262,報告入力!$B$7:$B$696,$A309)</f>
        <v>112</v>
      </c>
      <c r="G309" s="133" t="n">
        <f aca="false">SUM(B309:F309)</f>
        <v>257512</v>
      </c>
      <c r="H309" s="143" t="n">
        <f aca="false">SUMIFS(報告入力!$BD$7:$BD$696,報告入力!$A$7:$A$696,$S$262,報告入力!$B$7:$B$696,$A309)</f>
        <v>84531</v>
      </c>
      <c r="I309" s="230" t="n">
        <f aca="false">SUMIFS(報告入力!$BE$7:$BE$696,報告入力!$A$7:$A$696,$S$262,報告入力!$B$7:$B$696,$A309)</f>
        <v>84613</v>
      </c>
      <c r="J309" s="141" t="n">
        <f aca="false">SUM(H309:I309)</f>
        <v>169144</v>
      </c>
      <c r="K309" s="143" t="n">
        <f aca="false">SUMIFS(報告入力!$BF$7:$BF$696,報告入力!$A$7:$A$696,$S$262,報告入力!$B$7:$B$696,$A309)</f>
        <v>12877</v>
      </c>
      <c r="L309" s="230" t="n">
        <f aca="false">SUMIFS(報告入力!$BG$7:$BG$696,報告入力!$A$7:$A$696,$S$262,報告入力!$B$7:$B$696,$A309)</f>
        <v>12877</v>
      </c>
      <c r="M309" s="141" t="n">
        <f aca="false">SUM(K309:L309)</f>
        <v>25754</v>
      </c>
      <c r="N309" s="143" t="n">
        <f aca="false">SUMIFS(報告入力!$BH$7:$BH$696,報告入力!$A$7:$A$696,$S$262,報告入力!$B$7:$B$696,$A309)</f>
        <v>1874</v>
      </c>
      <c r="O309" s="230" t="n">
        <f aca="false">SUMIFS(報告入力!$BI$7:$BI$696,報告入力!$A$7:$A$696,$S$262,報告入力!$B$7:$B$696,$A309)</f>
        <v>1874</v>
      </c>
      <c r="P309" s="141" t="n">
        <f aca="false">SUM(N309:O309)</f>
        <v>3748</v>
      </c>
      <c r="Q309" s="162" t="str">
        <f aca="false">IF(P244=P309,"〇","×")</f>
        <v>×</v>
      </c>
      <c r="R309" s="162" t="str">
        <f aca="false">IFERROR(INDEX(報告入力!$C$7:$C$696,MATCH($S$262&amp;"|"&amp;$A309,報告入力!$CM$7:$CM$696,0)),"")</f>
        <v>入金確認済</v>
      </c>
    </row>
    <row r="310" s="162" customFormat="true" ht="21.75" hidden="false" customHeight="true" outlineLevel="0" collapsed="false">
      <c r="A310" s="374"/>
      <c r="B310" s="375"/>
      <c r="C310" s="194"/>
      <c r="D310" s="245"/>
      <c r="E310" s="183"/>
      <c r="F310" s="181"/>
      <c r="G310" s="246" t="n">
        <f aca="false">SUM(B310:F310)</f>
        <v>0</v>
      </c>
      <c r="H310" s="247"/>
      <c r="I310" s="183"/>
      <c r="J310" s="248" t="n">
        <f aca="false">SUM(H310:I310)</f>
        <v>0</v>
      </c>
      <c r="K310" s="245"/>
      <c r="L310" s="183"/>
      <c r="M310" s="248" t="n">
        <f aca="false">SUM(K310:L310)</f>
        <v>0</v>
      </c>
      <c r="N310" s="245"/>
      <c r="O310" s="183"/>
      <c r="P310" s="248" t="n">
        <f aca="false">SUM(N310:O310)</f>
        <v>0</v>
      </c>
      <c r="Q310" s="162" t="str">
        <f aca="false">IF(P245=P310,"〇","×")</f>
        <v>〇</v>
      </c>
    </row>
    <row r="311" s="162" customFormat="true" ht="0.2" hidden="false" customHeight="true" outlineLevel="0" collapsed="false">
      <c r="A311" s="174"/>
      <c r="B311" s="185"/>
      <c r="C311" s="171"/>
      <c r="D311" s="245"/>
      <c r="E311" s="183"/>
      <c r="F311" s="181"/>
      <c r="G311" s="246" t="n">
        <f aca="false">SUM(B311:F311)</f>
        <v>0</v>
      </c>
      <c r="H311" s="247"/>
      <c r="I311" s="183"/>
      <c r="J311" s="248" t="n">
        <f aca="false">SUM(H311:I311)</f>
        <v>0</v>
      </c>
      <c r="K311" s="245"/>
      <c r="L311" s="183"/>
      <c r="M311" s="248" t="n">
        <f aca="false">SUM(K311:L311)</f>
        <v>0</v>
      </c>
      <c r="N311" s="245"/>
      <c r="O311" s="183"/>
      <c r="P311" s="248" t="n">
        <f aca="false">SUM(N311:O311)</f>
        <v>0</v>
      </c>
      <c r="Q311" s="162" t="str">
        <f aca="false">IF(P246=P311,"〇","×")</f>
        <v>〇</v>
      </c>
    </row>
    <row r="312" s="162" customFormat="true" ht="0.2" hidden="false" customHeight="true" outlineLevel="0" collapsed="false">
      <c r="A312" s="187"/>
      <c r="B312" s="249"/>
      <c r="C312" s="250"/>
      <c r="D312" s="251"/>
      <c r="E312" s="252"/>
      <c r="F312" s="250"/>
      <c r="G312" s="253"/>
      <c r="H312" s="254"/>
      <c r="I312" s="254"/>
      <c r="J312" s="255"/>
      <c r="K312" s="256"/>
      <c r="L312" s="254"/>
      <c r="M312" s="255"/>
      <c r="N312" s="256"/>
      <c r="O312" s="254"/>
      <c r="P312" s="255"/>
      <c r="Q312" s="162" t="str">
        <f aca="false">IF(P247=P312,"〇","×")</f>
        <v>〇</v>
      </c>
    </row>
    <row r="313" s="135" customFormat="true" ht="20.1" hidden="false" customHeight="true" outlineLevel="0" collapsed="false">
      <c r="A313" s="196" t="s">
        <v>497</v>
      </c>
      <c r="B313" s="197" t="n">
        <f aca="false">SUM(B283:B312)</f>
        <v>130328666</v>
      </c>
      <c r="C313" s="200" t="n">
        <f aca="false">SUM(C283:C312)</f>
        <v>10680578</v>
      </c>
      <c r="D313" s="198" t="n">
        <f aca="false">SUM(D283:D312)</f>
        <v>195104116</v>
      </c>
      <c r="E313" s="199" t="n">
        <f aca="false">SUM(E283:E312)</f>
        <v>11194178</v>
      </c>
      <c r="F313" s="200" t="n">
        <f aca="false">SUM(F283:F312)</f>
        <v>136173</v>
      </c>
      <c r="G313" s="201" t="n">
        <f aca="false">SUM(B313:F313)</f>
        <v>347443711</v>
      </c>
      <c r="H313" s="198" t="n">
        <f aca="false">SUM(H283:H311)</f>
        <v>96395712</v>
      </c>
      <c r="I313" s="198" t="n">
        <f aca="false">SUM(I283:I311)</f>
        <v>100250924</v>
      </c>
      <c r="J313" s="200" t="n">
        <f aca="false">SUM(H313:I313)</f>
        <v>196646636</v>
      </c>
      <c r="K313" s="197" t="n">
        <f aca="false">SUM(K283:K311)</f>
        <v>8232321</v>
      </c>
      <c r="L313" s="198" t="n">
        <f aca="false">SUM(L283:L311)</f>
        <v>8665162</v>
      </c>
      <c r="M313" s="200" t="n">
        <f aca="false">SUM(K313:L313)</f>
        <v>16897483</v>
      </c>
      <c r="N313" s="197" t="n">
        <f aca="false">SUM(N283:N311)</f>
        <v>2136912</v>
      </c>
      <c r="O313" s="198" t="n">
        <f aca="false">SUM(O283:O311)</f>
        <v>2219724</v>
      </c>
      <c r="P313" s="200" t="n">
        <f aca="false">SUM(N313:O313)</f>
        <v>4356636</v>
      </c>
      <c r="Q313" s="135" t="str">
        <f aca="false">IF(P248=P313,"〇","×")</f>
        <v>×</v>
      </c>
    </row>
    <row r="314" s="162" customFormat="true" ht="0.2" hidden="false" customHeight="true" outlineLevel="0" collapsed="false">
      <c r="A314" s="174" t="s">
        <v>496</v>
      </c>
      <c r="B314" s="256"/>
      <c r="C314" s="257"/>
      <c r="D314" s="254"/>
      <c r="E314" s="258"/>
      <c r="F314" s="259"/>
      <c r="G314" s="260"/>
      <c r="H314" s="261"/>
      <c r="I314" s="261"/>
      <c r="J314" s="262"/>
      <c r="K314" s="263"/>
      <c r="L314" s="264"/>
      <c r="M314" s="265"/>
      <c r="N314" s="263"/>
      <c r="O314" s="264"/>
      <c r="P314" s="265"/>
      <c r="Q314" s="162" t="str">
        <f aca="false">IF(P249=P314,"〇","×")</f>
        <v>〇</v>
      </c>
    </row>
    <row r="315" s="162" customFormat="true" ht="0.2" hidden="false" customHeight="true" outlineLevel="0" collapsed="false">
      <c r="A315" s="266" t="s">
        <v>496</v>
      </c>
      <c r="B315" s="267"/>
      <c r="C315" s="268"/>
      <c r="D315" s="254"/>
      <c r="E315" s="258"/>
      <c r="F315" s="257"/>
      <c r="G315" s="253"/>
      <c r="H315" s="269"/>
      <c r="I315" s="269"/>
      <c r="J315" s="270"/>
      <c r="K315" s="271"/>
      <c r="L315" s="272"/>
      <c r="M315" s="273"/>
      <c r="N315" s="271"/>
      <c r="O315" s="272"/>
      <c r="P315" s="273"/>
      <c r="Q315" s="162" t="str">
        <f aca="false">IF(P250=P315,"〇","×")</f>
        <v>〇</v>
      </c>
    </row>
    <row r="316" s="135" customFormat="true" ht="20.1" hidden="false" customHeight="true" outlineLevel="0" collapsed="false">
      <c r="A316" s="214" t="s">
        <v>208</v>
      </c>
      <c r="B316" s="142" t="n">
        <f aca="false">SUMIFS(報告入力!$AY$7:$AY$696,報告入力!$A$7:$A$696,$S$262,報告入力!$B$7:$B$696,$A316)</f>
        <v>145485</v>
      </c>
      <c r="C316" s="138" t="n">
        <f aca="false">SUMIFS(報告入力!$AZ$7:$AZ$696,報告入力!$A$7:$A$696,$S$262,報告入力!$B$7:$B$696,$A316)</f>
        <v>11925</v>
      </c>
      <c r="D316" s="136" t="n">
        <f aca="false">SUMIFS(報告入力!$BA$7:$BA$696,報告入力!$A$7:$A$696,$S$262,報告入力!$B$7:$B$696,$A316)</f>
        <v>145485</v>
      </c>
      <c r="E316" s="139" t="n">
        <f aca="false">SUMIFS(報告入力!$BB$7:$BB$696,報告入力!$A$7:$A$696,$S$262,報告入力!$B$7:$B$696,$A316)</f>
        <v>11925</v>
      </c>
      <c r="F316" s="138" t="n">
        <f aca="false">SUMIFS(報告入力!$BC$7:$BC$696,報告入力!$A$7:$A$696,$S$262,報告入力!$B$7:$B$696,$A316)</f>
        <v>138</v>
      </c>
      <c r="G316" s="133" t="n">
        <f aca="false">SUM(B316:F316)</f>
        <v>314958</v>
      </c>
      <c r="H316" s="155"/>
      <c r="I316" s="155"/>
      <c r="J316" s="221" t="n">
        <f aca="false">SUM(H316:I316)</f>
        <v>0</v>
      </c>
      <c r="K316" s="155"/>
      <c r="L316" s="155"/>
      <c r="M316" s="221" t="n">
        <f aca="false">SUM(K316:L316)</f>
        <v>0</v>
      </c>
      <c r="N316" s="155"/>
      <c r="O316" s="155"/>
      <c r="P316" s="221" t="n">
        <f aca="false">SUM(N316:O316)</f>
        <v>0</v>
      </c>
      <c r="Q316" s="135" t="str">
        <f aca="false">IF(P251=P316,"〇","×")</f>
        <v>〇</v>
      </c>
      <c r="R316" s="135" t="str">
        <f aca="false">IFERROR(INDEX(報告入力!$C$7:$C$696,MATCH($S$262&amp;"|"&amp;$A316,報告入力!$CM$7:$CM$696,0)),"")</f>
        <v>入金確認済</v>
      </c>
    </row>
    <row r="317" s="135" customFormat="true" ht="21.75" hidden="false" customHeight="true" outlineLevel="0" collapsed="false">
      <c r="A317" s="214" t="s">
        <v>209</v>
      </c>
      <c r="B317" s="210" t="n">
        <f aca="false">SUMIFS(報告入力!$AY$7:$AY$696,報告入力!$A$7:$A$696,$S$262,報告入力!$B$7:$B$696,$A317)</f>
        <v>53985</v>
      </c>
      <c r="C317" s="224" t="n">
        <f aca="false">SUMIFS(報告入力!$AZ$7:$AZ$696,報告入力!$A$7:$A$696,$S$262,報告入力!$B$7:$B$696,$A317)</f>
        <v>4425</v>
      </c>
      <c r="D317" s="274" t="n">
        <f aca="false">SUMIFS(報告入力!$BA$7:$BA$696,報告入力!$A$7:$A$696,$S$262,報告入力!$B$7:$B$696,$A317)</f>
        <v>53985</v>
      </c>
      <c r="E317" s="275" t="n">
        <f aca="false">SUMIFS(報告入力!$BB$7:$BB$696,報告入力!$A$7:$A$696,$S$262,報告入力!$B$7:$B$696,$A317)</f>
        <v>4425</v>
      </c>
      <c r="F317" s="276" t="n">
        <f aca="false">SUMIFS(報告入力!$BC$7:$BC$696,報告入力!$A$7:$A$696,$S$262,報告入力!$B$7:$B$696,$A317)</f>
        <v>51</v>
      </c>
      <c r="G317" s="144" t="n">
        <f aca="false">SUM(B317:F317)</f>
        <v>116871</v>
      </c>
      <c r="H317" s="277"/>
      <c r="I317" s="277"/>
      <c r="J317" s="278" t="n">
        <f aca="false">SUM(H317:I317)</f>
        <v>0</v>
      </c>
      <c r="K317" s="277"/>
      <c r="L317" s="277"/>
      <c r="M317" s="278" t="n">
        <f aca="false">SUM(K317:L317)</f>
        <v>0</v>
      </c>
      <c r="N317" s="277"/>
      <c r="O317" s="277"/>
      <c r="P317" s="278" t="n">
        <f aca="false">SUM(N317:O317)</f>
        <v>0</v>
      </c>
      <c r="Q317" s="135" t="str">
        <f aca="false">IF(P252=P317,"〇","×")</f>
        <v>〇</v>
      </c>
      <c r="R317" s="135" t="str">
        <f aca="false">IFERROR(INDEX(報告入力!$C$7:$C$696,MATCH($S$262&amp;"|"&amp;$A317,報告入力!$CM$7:$CM$696,0)),"")</f>
        <v>入金確認済</v>
      </c>
    </row>
    <row r="318" s="135" customFormat="true" ht="19.5" hidden="false" customHeight="true" outlineLevel="0" collapsed="false">
      <c r="A318" s="196" t="s">
        <v>497</v>
      </c>
      <c r="B318" s="197" t="n">
        <f aca="false">SUM(B314:B317)</f>
        <v>199470</v>
      </c>
      <c r="C318" s="200" t="n">
        <f aca="false">SUM(C314:C317)</f>
        <v>16350</v>
      </c>
      <c r="D318" s="198" t="n">
        <f aca="false">SUM(D314:D317)</f>
        <v>199470</v>
      </c>
      <c r="E318" s="199" t="n">
        <f aca="false">SUM(E314:E317)</f>
        <v>16350</v>
      </c>
      <c r="F318" s="200" t="n">
        <f aca="false">SUM(F314:F317)</f>
        <v>189</v>
      </c>
      <c r="G318" s="201" t="n">
        <f aca="false">SUM(B318:F318)</f>
        <v>431829</v>
      </c>
      <c r="H318" s="281" t="n">
        <f aca="false">SUM(H314:H317)</f>
        <v>0</v>
      </c>
      <c r="I318" s="282" t="n">
        <f aca="false">SUM(I314:I317)</f>
        <v>0</v>
      </c>
      <c r="J318" s="283" t="n">
        <f aca="false">SUM(H318:I318)</f>
        <v>0</v>
      </c>
      <c r="K318" s="281" t="n">
        <f aca="false">SUM(K314:K317)</f>
        <v>0</v>
      </c>
      <c r="L318" s="282" t="n">
        <f aca="false">SUM(L314:L317)</f>
        <v>0</v>
      </c>
      <c r="M318" s="283" t="n">
        <f aca="false">SUM(K318:L318)</f>
        <v>0</v>
      </c>
      <c r="N318" s="281" t="n">
        <f aca="false">SUM(N314:N317)</f>
        <v>0</v>
      </c>
      <c r="O318" s="282" t="n">
        <f aca="false">SUM(O314:O317)</f>
        <v>0</v>
      </c>
      <c r="P318" s="283" t="n">
        <f aca="false">SUM(N318:O318)</f>
        <v>0</v>
      </c>
      <c r="Q318" s="135" t="str">
        <f aca="false">IF(P253=P318,"〇","×")</f>
        <v>〇</v>
      </c>
    </row>
    <row r="319" s="135" customFormat="true" ht="20.1" hidden="false" customHeight="true" outlineLevel="0" collapsed="false">
      <c r="A319" s="125" t="s">
        <v>210</v>
      </c>
      <c r="B319" s="142" t="n">
        <f aca="false">SUMIFS(報告入力!$AY$7:$AY$696,報告入力!$A$7:$A$696,$S$262,報告入力!$B$7:$B$696,$A319)</f>
        <v>29280</v>
      </c>
      <c r="C319" s="138" t="n">
        <f aca="false">SUMIFS(報告入力!$AZ$7:$AZ$696,報告入力!$A$7:$A$696,$S$262,報告入力!$B$7:$B$696,$A319)</f>
        <v>2400</v>
      </c>
      <c r="D319" s="136" t="n">
        <f aca="false">SUMIFS(報告入力!$BA$7:$BA$696,報告入力!$A$7:$A$696,$S$262,報告入力!$B$7:$B$696,$A319)</f>
        <v>29280</v>
      </c>
      <c r="E319" s="139" t="n">
        <f aca="false">SUMIFS(報告入力!$BB$7:$BB$696,報告入力!$A$7:$A$696,$S$262,報告入力!$B$7:$B$696,$A319)</f>
        <v>2400</v>
      </c>
      <c r="F319" s="218"/>
      <c r="G319" s="133" t="n">
        <f aca="false">SUM(B319:F319)</f>
        <v>63360</v>
      </c>
      <c r="H319" s="139" t="n">
        <f aca="false">SUMIFS(報告入力!$BD$7:$BD$696,報告入力!$A$7:$A$696,$S$262,報告入力!$B$7:$B$696,$A319)</f>
        <v>16595</v>
      </c>
      <c r="I319" s="140" t="n">
        <f aca="false">SUMIFS(報告入力!$BE$7:$BE$696,報告入力!$A$7:$A$696,$S$262,報告入力!$B$7:$B$696,$A319)</f>
        <v>15315</v>
      </c>
      <c r="J319" s="141" t="n">
        <f aca="false">SUM(H319:I319)</f>
        <v>31910</v>
      </c>
      <c r="K319" s="139" t="n">
        <f aca="false">SUMIFS(報告入力!$BF$7:$BF$696,報告入力!$A$7:$A$696,$S$262,報告入力!$B$7:$B$696,$A319)</f>
        <v>2528</v>
      </c>
      <c r="L319" s="140" t="n">
        <f aca="false">SUMIFS(報告入力!$BG$7:$BG$696,報告入力!$A$7:$A$696,$S$262,報告入力!$B$7:$B$696,$A319)</f>
        <v>2528</v>
      </c>
      <c r="M319" s="141" t="n">
        <f aca="false">SUM(K319:L319)</f>
        <v>5056</v>
      </c>
      <c r="N319" s="139" t="n">
        <f aca="false">SUMIFS(報告入力!$BH$7:$BH$696,報告入力!$A$7:$A$696,$S$262,報告入力!$B$7:$B$696,$A319)</f>
        <v>368</v>
      </c>
      <c r="O319" s="140" t="n">
        <f aca="false">SUMIFS(報告入力!$BI$7:$BI$696,報告入力!$A$7:$A$696,$S$262,報告入力!$B$7:$B$696,$A319)</f>
        <v>368</v>
      </c>
      <c r="P319" s="141" t="n">
        <f aca="false">SUM(N319:O319)</f>
        <v>736</v>
      </c>
      <c r="Q319" s="135" t="str">
        <f aca="false">IF(P254=P319,"〇","×")</f>
        <v>×</v>
      </c>
      <c r="R319" s="135" t="str">
        <f aca="false">IFERROR(INDEX(報告入力!$C$7:$C$696,MATCH($S$262&amp;"|"&amp;$A319,報告入力!$CM$7:$CM$696,0)),"")</f>
        <v>入金確認済</v>
      </c>
    </row>
    <row r="320" s="135" customFormat="true" ht="20.1" hidden="false" customHeight="true" outlineLevel="0" collapsed="false">
      <c r="A320" s="125" t="s">
        <v>211</v>
      </c>
      <c r="B320" s="240" t="n">
        <f aca="false">SUMIFS(報告入力!$AY$7:$AY$696,報告入力!$A$7:$A$696,$S$262,報告入力!$B$7:$B$696,$A320)</f>
        <v>0</v>
      </c>
      <c r="C320" s="237" t="n">
        <f aca="false">SUMIFS(報告入力!$AZ$7:$AZ$696,報告入力!$A$7:$A$696,$S$262,報告入力!$B$7:$B$696,$A320)</f>
        <v>0</v>
      </c>
      <c r="D320" s="203" t="n">
        <f aca="false">SUMIFS(報告入力!$BA$7:$BA$696,報告入力!$A$7:$A$696,$S$262,報告入力!$B$7:$B$696,$A320)</f>
        <v>0</v>
      </c>
      <c r="E320" s="207" t="n">
        <f aca="false">SUMIFS(報告入力!$BB$7:$BB$696,報告入力!$A$7:$A$696,$S$262,報告入力!$B$7:$B$696,$A320)</f>
        <v>0</v>
      </c>
      <c r="F320" s="218"/>
      <c r="G320" s="206" t="n">
        <f aca="false">SUM(B320:F320)</f>
        <v>0</v>
      </c>
      <c r="H320" s="207" t="n">
        <f aca="false">SUMIFS(報告入力!$BD$7:$BD$696,報告入力!$A$7:$A$696,$S$262,報告入力!$B$7:$B$696,$A320)</f>
        <v>0</v>
      </c>
      <c r="I320" s="208" t="n">
        <f aca="false">SUMIFS(報告入力!$BE$7:$BE$696,報告入力!$A$7:$A$696,$S$262,報告入力!$B$7:$B$696,$A320)</f>
        <v>0</v>
      </c>
      <c r="J320" s="160" t="n">
        <f aca="false">SUM(H320:I320)</f>
        <v>0</v>
      </c>
      <c r="K320" s="287" t="n">
        <f aca="false">SUMIFS(報告入力!$BF$7:$BF$696,報告入力!$A$7:$A$696,$S$262,報告入力!$B$7:$B$696,$A320)</f>
        <v>0</v>
      </c>
      <c r="L320" s="208" t="n">
        <f aca="false">SUMIFS(報告入力!$BG$7:$BG$696,報告入力!$A$7:$A$696,$S$262,報告入力!$B$7:$B$696,$A320)</f>
        <v>0</v>
      </c>
      <c r="M320" s="160" t="n">
        <f aca="false">SUM(K320:L320)</f>
        <v>0</v>
      </c>
      <c r="N320" s="287" t="n">
        <f aca="false">SUMIFS(報告入力!$BH$7:$BH$696,報告入力!$A$7:$A$696,$S$262,報告入力!$B$7:$B$696,$A320)</f>
        <v>0</v>
      </c>
      <c r="O320" s="208" t="n">
        <f aca="false">SUMIFS(報告入力!$BI$7:$BI$696,報告入力!$A$7:$A$696,$S$262,報告入力!$B$7:$B$696,$A320)</f>
        <v>0</v>
      </c>
      <c r="P320" s="160" t="n">
        <f aca="false">SUM(N320:O320)</f>
        <v>0</v>
      </c>
      <c r="Q320" s="135" t="str">
        <f aca="false">IF(P255=P320,"〇","×")</f>
        <v>〇</v>
      </c>
      <c r="R320" s="135" t="str">
        <f aca="false">IFERROR(INDEX(報告入力!$C$7:$C$696,MATCH($S$262&amp;"|"&amp;$A320,報告入力!$CM$7:$CM$696,0)),"")</f>
        <v>未受領</v>
      </c>
    </row>
    <row r="321" s="135" customFormat="true" ht="20.1" hidden="false" customHeight="true" outlineLevel="0" collapsed="false">
      <c r="A321" s="217" t="s">
        <v>212</v>
      </c>
      <c r="B321" s="142" t="n">
        <f aca="false">SUMIFS(報告入力!$AY$7:$AY$696,報告入力!$A$7:$A$696,$S$262,報告入力!$B$7:$B$696,$A321)</f>
        <v>27450</v>
      </c>
      <c r="C321" s="138" t="n">
        <f aca="false">SUMIFS(報告入力!$AZ$7:$AZ$696,報告入力!$A$7:$A$696,$S$262,報告入力!$B$7:$B$696,$A321)</f>
        <v>2250</v>
      </c>
      <c r="D321" s="136" t="n">
        <f aca="false">SUMIFS(報告入力!$BA$7:$BA$696,報告入力!$A$7:$A$696,$S$262,報告入力!$B$7:$B$696,$A321)</f>
        <v>27450</v>
      </c>
      <c r="E321" s="139" t="n">
        <f aca="false">SUMIFS(報告入力!$BB$7:$BB$696,報告入力!$A$7:$A$696,$S$262,報告入力!$B$7:$B$696,$A321)</f>
        <v>2250</v>
      </c>
      <c r="F321" s="218"/>
      <c r="G321" s="133" t="n">
        <f aca="false">SUM(B321:F321)</f>
        <v>59400</v>
      </c>
      <c r="H321" s="139" t="n">
        <f aca="false">SUMIFS(報告入力!$BD$7:$BD$696,報告入力!$A$7:$A$696,$S$262,報告入力!$B$7:$B$696,$A321)</f>
        <v>31116</v>
      </c>
      <c r="I321" s="140" t="n">
        <f aca="false">SUMIFS(報告入力!$BE$7:$BE$696,報告入力!$A$7:$A$696,$S$262,報告入力!$B$7:$B$696,$A321)</f>
        <v>31146</v>
      </c>
      <c r="J321" s="141" t="n">
        <f aca="false">SUM(H321:I321)</f>
        <v>62262</v>
      </c>
      <c r="K321" s="134" t="n">
        <f aca="false">SUMIFS(報告入力!$BF$7:$BF$696,報告入力!$A$7:$A$696,$S$262,報告入力!$B$7:$B$696,$A321)</f>
        <v>2370</v>
      </c>
      <c r="L321" s="140" t="n">
        <f aca="false">SUMIFS(報告入力!$BG$7:$BG$696,報告入力!$A$7:$A$696,$S$262,報告入力!$B$7:$B$696,$A321)</f>
        <v>2370</v>
      </c>
      <c r="M321" s="141" t="n">
        <f aca="false">SUM(K321:L321)</f>
        <v>4740</v>
      </c>
      <c r="N321" s="134" t="n">
        <f aca="false">SUMIFS(報告入力!$BH$7:$BH$696,報告入力!$A$7:$A$696,$S$262,報告入力!$B$7:$B$696,$A321)</f>
        <v>690</v>
      </c>
      <c r="O321" s="140" t="n">
        <f aca="false">SUMIFS(報告入力!$BI$7:$BI$696,報告入力!$A$7:$A$696,$S$262,報告入力!$B$7:$B$696,$A321)</f>
        <v>690</v>
      </c>
      <c r="P321" s="141" t="n">
        <f aca="false">SUM(N321:O321)</f>
        <v>1380</v>
      </c>
      <c r="Q321" s="135" t="str">
        <f aca="false">IF(P256=P321,"〇","×")</f>
        <v>×</v>
      </c>
      <c r="R321" s="135" t="str">
        <f aca="false">IFERROR(INDEX(報告入力!$C$7:$C$696,MATCH($S$262&amp;"|"&amp;$A321,報告入力!$CM$7:$CM$696,0)),"")</f>
        <v>入金確認済</v>
      </c>
    </row>
    <row r="322" s="135" customFormat="true" ht="20.1" hidden="false" customHeight="true" outlineLevel="0" collapsed="false">
      <c r="A322" s="217" t="s">
        <v>213</v>
      </c>
      <c r="B322" s="240"/>
      <c r="C322" s="237"/>
      <c r="D322" s="203"/>
      <c r="E322" s="207"/>
      <c r="F322" s="337"/>
      <c r="G322" s="206" t="n">
        <f aca="false">SUM(B322:F322)</f>
        <v>0</v>
      </c>
      <c r="H322" s="357"/>
      <c r="I322" s="358"/>
      <c r="J322" s="309" t="n">
        <f aca="false">SUM(H322:I322)</f>
        <v>0</v>
      </c>
      <c r="K322" s="359"/>
      <c r="L322" s="358"/>
      <c r="M322" s="309" t="n">
        <f aca="false">SUM(K322:L322)</f>
        <v>0</v>
      </c>
      <c r="N322" s="359"/>
      <c r="O322" s="358"/>
      <c r="P322" s="309" t="n">
        <f aca="false">SUM(N322:O322)</f>
        <v>0</v>
      </c>
      <c r="Q322" s="135" t="str">
        <f aca="false">IF(P257=P322,"〇","×")</f>
        <v>〇</v>
      </c>
      <c r="R322" s="135" t="str">
        <f aca="false">IFERROR(INDEX(報告入力!$C$7:$C$696,MATCH($S$262&amp;"|"&amp;$A322,報告入力!$CM$7:$CM$696,0)),"")</f>
        <v>報告なし</v>
      </c>
    </row>
    <row r="323" s="135" customFormat="true" ht="20.1" hidden="false" customHeight="true" outlineLevel="0" collapsed="false">
      <c r="A323" s="196" t="s">
        <v>497</v>
      </c>
      <c r="B323" s="197" t="n">
        <f aca="false">SUM(B319:B322)</f>
        <v>56730</v>
      </c>
      <c r="C323" s="201" t="n">
        <f aca="false">SUM(C319:C322)</f>
        <v>4650</v>
      </c>
      <c r="D323" s="197" t="n">
        <f aca="false">SUM(D319:D322)</f>
        <v>56730</v>
      </c>
      <c r="E323" s="199" t="n">
        <f aca="false">SUM(E319:E322)</f>
        <v>4650</v>
      </c>
      <c r="F323" s="200" t="n">
        <f aca="false">SUM(F319:F322)</f>
        <v>0</v>
      </c>
      <c r="G323" s="201" t="n">
        <f aca="false">SUM(B323:F323)</f>
        <v>122760</v>
      </c>
      <c r="H323" s="301" t="n">
        <f aca="false">SUM(H319:H322)</f>
        <v>47711</v>
      </c>
      <c r="I323" s="199" t="n">
        <f aca="false">SUM(I319:I322)</f>
        <v>46461</v>
      </c>
      <c r="J323" s="200" t="n">
        <f aca="false">SUM(H323:I323)</f>
        <v>94172</v>
      </c>
      <c r="K323" s="197" t="n">
        <f aca="false">SUM(K319:K322)</f>
        <v>4898</v>
      </c>
      <c r="L323" s="301" t="n">
        <f aca="false">SUM(L319:L322)</f>
        <v>4898</v>
      </c>
      <c r="M323" s="200" t="n">
        <f aca="false">SUM(K323:L323)</f>
        <v>9796</v>
      </c>
      <c r="N323" s="197" t="n">
        <f aca="false">SUM(N319:N322)</f>
        <v>1058</v>
      </c>
      <c r="O323" s="301" t="n">
        <f aca="false">SUM(O319:O322)</f>
        <v>1058</v>
      </c>
      <c r="P323" s="200" t="n">
        <f aca="false">SUM(N323:O323)</f>
        <v>2116</v>
      </c>
      <c r="Q323" s="135" t="str">
        <f aca="false">IF(P258=P323,"〇","×")</f>
        <v>×</v>
      </c>
    </row>
    <row r="324" s="135" customFormat="true" ht="20.1" hidden="false" customHeight="true" outlineLevel="0" collapsed="false">
      <c r="A324" s="302" t="s">
        <v>214</v>
      </c>
      <c r="B324" s="303"/>
      <c r="C324" s="304"/>
      <c r="D324" s="305"/>
      <c r="E324" s="306"/>
      <c r="F324" s="292"/>
      <c r="G324" s="293"/>
      <c r="H324" s="307" t="n">
        <f aca="false">SUMIFS(報告入力!$BD$7:$BD$696,報告入力!$A$7:$A$696,$S$262,報告入力!$B$7:$B$696,$A324)</f>
        <v>2297617</v>
      </c>
      <c r="I324" s="339"/>
      <c r="J324" s="309" t="n">
        <f aca="false">SUM(H324:I324)</f>
        <v>2297617</v>
      </c>
      <c r="K324" s="307" t="n">
        <f aca="false">SUMIFS(報告入力!$BF$7:$BF$696,報告入力!$A$7:$A$696,$S$262,報告入力!$B$7:$B$696,$A324)</f>
        <v>156680</v>
      </c>
      <c r="L324" s="339"/>
      <c r="M324" s="309" t="n">
        <f aca="false">SUM(K324:L324)</f>
        <v>156680</v>
      </c>
      <c r="N324" s="307" t="n">
        <f aca="false">SUMIFS(報告入力!$BH$7:$BH$696,報告入力!$A$7:$A$696,$S$262,報告入力!$B$7:$B$696,$A324)</f>
        <v>50945</v>
      </c>
      <c r="O324" s="339"/>
      <c r="P324" s="309" t="n">
        <f aca="false">SUM(N324:O324)</f>
        <v>50945</v>
      </c>
      <c r="Q324" s="135" t="str">
        <f aca="false">IF(P259=P324,"〇","×")</f>
        <v>×</v>
      </c>
      <c r="R324" s="135" t="str">
        <f aca="false">IFERROR(INDEX(報告入力!$C$7:$C$696,MATCH($S$262&amp;"|"&amp;$A324,報告入力!$CM$7:$CM$696,0)),"")</f>
        <v>受領済</v>
      </c>
    </row>
    <row r="325" s="135" customFormat="true" ht="30" hidden="false" customHeight="true" outlineLevel="0" collapsed="false">
      <c r="A325" s="310" t="s">
        <v>499</v>
      </c>
      <c r="B325" s="311" t="n">
        <f aca="false">SUM(+B282+B313+B318+B323+B324)</f>
        <v>498701078</v>
      </c>
      <c r="C325" s="312" t="n">
        <f aca="false">SUM(+C282+C313+C318+C323+C324)</f>
        <v>40879913</v>
      </c>
      <c r="D325" s="311" t="n">
        <f aca="false">SUM(+D282+D313+D318+D323+D324)</f>
        <v>724275822</v>
      </c>
      <c r="E325" s="313" t="n">
        <f aca="false">SUM(+E282+E313+E318+E323+E324)</f>
        <v>40851678</v>
      </c>
      <c r="F325" s="312" t="n">
        <f aca="false">SUM(+F282+F313+F318+F323+F324)</f>
        <v>491785</v>
      </c>
      <c r="G325" s="314" t="n">
        <f aca="false">SUM(B325:F325)</f>
        <v>1305200276</v>
      </c>
      <c r="H325" s="315" t="n">
        <f aca="false">SUM(+H282+H313+H318+H323+H324)</f>
        <v>358060395</v>
      </c>
      <c r="I325" s="315" t="n">
        <f aca="false">SUM(+I282+I313+I318+I323+I324)</f>
        <v>360215631</v>
      </c>
      <c r="J325" s="316" t="n">
        <f aca="false">SUM(H325:I325)</f>
        <v>718276026</v>
      </c>
      <c r="K325" s="317" t="n">
        <f aca="false">SUM(+K282+K313+K318+K323+K324)</f>
        <v>32095024</v>
      </c>
      <c r="L325" s="315" t="n">
        <f aca="false">SUM(+L282+L313+L318+L323+L324)</f>
        <v>31956293</v>
      </c>
      <c r="M325" s="316" t="n">
        <f aca="false">SUM(K325:L325)</f>
        <v>64051317</v>
      </c>
      <c r="N325" s="317" t="n">
        <f aca="false">SUM(+N282+N313+N318+N323+N324)</f>
        <v>7938327</v>
      </c>
      <c r="O325" s="315" t="n">
        <f aca="false">SUM(+O282+O313+O318+O323+O324)</f>
        <v>7884536</v>
      </c>
      <c r="P325" s="316" t="n">
        <f aca="false">SUM(N325:O325)</f>
        <v>15822863</v>
      </c>
      <c r="Q325" s="135" t="str">
        <f aca="false">IF(P260=P325,"〇","×")</f>
        <v>×</v>
      </c>
    </row>
    <row r="326" s="341" customFormat="true" ht="39" hidden="false" customHeight="true" outlineLevel="0" collapsed="false">
      <c r="A326" s="340"/>
      <c r="G326" s="109"/>
      <c r="Q326" s="341" t="str">
        <f aca="false">IF(P261=P326,"〇","×")</f>
        <v>〇</v>
      </c>
    </row>
    <row r="327" s="322" customFormat="true" ht="30" hidden="false" customHeight="true" outlineLevel="0" collapsed="false">
      <c r="A327" s="320"/>
      <c r="B327" s="112" t="n">
        <f aca="false">EOMONTH(B262,1)</f>
        <v>46265</v>
      </c>
      <c r="C327" s="112"/>
      <c r="D327" s="112"/>
      <c r="E327" s="112"/>
      <c r="F327" s="112"/>
      <c r="G327" s="112"/>
      <c r="H327" s="112" t="n">
        <f aca="false">B327</f>
        <v>46265</v>
      </c>
      <c r="I327" s="112"/>
      <c r="J327" s="112"/>
      <c r="K327" s="112" t="n">
        <f aca="false">H327</f>
        <v>46265</v>
      </c>
      <c r="L327" s="112"/>
      <c r="M327" s="112"/>
      <c r="N327" s="112" t="n">
        <f aca="false">K327</f>
        <v>46265</v>
      </c>
      <c r="O327" s="112"/>
      <c r="P327" s="112"/>
      <c r="Q327" s="322" t="str">
        <f aca="false">IF(P262=P327,"〇","×")</f>
        <v>〇</v>
      </c>
      <c r="S327" s="322" t="s">
        <v>505</v>
      </c>
    </row>
    <row r="328" customFormat="false" ht="22.5" hidden="false" customHeight="true" outlineLevel="0" collapsed="false">
      <c r="A328" s="114" t="s">
        <v>483</v>
      </c>
      <c r="B328" s="114" t="s">
        <v>484</v>
      </c>
      <c r="C328" s="114"/>
      <c r="D328" s="114"/>
      <c r="E328" s="114"/>
      <c r="F328" s="114"/>
      <c r="G328" s="114"/>
      <c r="H328" s="116" t="s">
        <v>485</v>
      </c>
      <c r="I328" s="116"/>
      <c r="J328" s="116"/>
      <c r="K328" s="116" t="s">
        <v>486</v>
      </c>
      <c r="L328" s="116"/>
      <c r="M328" s="116"/>
      <c r="N328" s="116" t="str">
        <f aca="false">$N$3</f>
        <v>子ども・子育て支援納付金</v>
      </c>
      <c r="O328" s="116"/>
      <c r="P328" s="116"/>
      <c r="Q328" s="105" t="str">
        <f aca="false">IF(P263=P328,"〇","×")</f>
        <v>〇</v>
      </c>
    </row>
    <row r="329" customFormat="false" ht="22.5" hidden="false" customHeight="true" outlineLevel="0" collapsed="false">
      <c r="A329" s="114"/>
      <c r="B329" s="117" t="s">
        <v>487</v>
      </c>
      <c r="C329" s="117"/>
      <c r="D329" s="117" t="s">
        <v>488</v>
      </c>
      <c r="E329" s="117"/>
      <c r="F329" s="117"/>
      <c r="G329" s="117" t="s">
        <v>489</v>
      </c>
      <c r="H329" s="121" t="s">
        <v>490</v>
      </c>
      <c r="I329" s="119" t="s">
        <v>491</v>
      </c>
      <c r="J329" s="120" t="s">
        <v>489</v>
      </c>
      <c r="K329" s="121" t="s">
        <v>490</v>
      </c>
      <c r="L329" s="119" t="s">
        <v>491</v>
      </c>
      <c r="M329" s="120" t="s">
        <v>489</v>
      </c>
      <c r="N329" s="121" t="s">
        <v>490</v>
      </c>
      <c r="O329" s="119" t="s">
        <v>491</v>
      </c>
      <c r="P329" s="120" t="s">
        <v>489</v>
      </c>
      <c r="Q329" s="105" t="str">
        <f aca="false">IF(P264=P329,"〇","×")</f>
        <v>〇</v>
      </c>
    </row>
    <row r="330" customFormat="false" ht="22.5" hidden="false" customHeight="true" outlineLevel="0" collapsed="false">
      <c r="A330" s="114"/>
      <c r="B330" s="122" t="s">
        <v>492</v>
      </c>
      <c r="C330" s="123" t="s">
        <v>493</v>
      </c>
      <c r="D330" s="124" t="s">
        <v>492</v>
      </c>
      <c r="E330" s="124" t="s">
        <v>494</v>
      </c>
      <c r="F330" s="123" t="s">
        <v>93</v>
      </c>
      <c r="G330" s="117"/>
      <c r="H330" s="121"/>
      <c r="I330" s="119"/>
      <c r="J330" s="120"/>
      <c r="K330" s="121"/>
      <c r="L330" s="119"/>
      <c r="M330" s="120"/>
      <c r="N330" s="121"/>
      <c r="O330" s="119"/>
      <c r="P330" s="120"/>
      <c r="Q330" s="105" t="str">
        <f aca="false">IF(P265=P330,"〇","×")</f>
        <v>〇</v>
      </c>
    </row>
    <row r="331" s="135" customFormat="true" ht="20.1" hidden="false" customHeight="true" outlineLevel="0" collapsed="false">
      <c r="A331" s="125" t="s">
        <v>166</v>
      </c>
      <c r="B331" s="142" t="n">
        <f aca="false">SUMIFS(報告入力!$AY$7:$AY$696,報告入力!$A$7:$A$696,$S$327,報告入力!$B$7:$B$696,$A331)</f>
        <v>240011361</v>
      </c>
      <c r="C331" s="138" t="n">
        <f aca="false">SUMIFS(報告入力!$AZ$7:$AZ$696,報告入力!$A$7:$A$696,$S$327,報告入力!$B$7:$B$696,$A331)</f>
        <v>19665696</v>
      </c>
      <c r="D331" s="136" t="n">
        <f aca="false">SUMIFS(報告入力!$BA$7:$BA$696,報告入力!$A$7:$A$696,$S$327,報告入力!$B$7:$B$696,$A331)</f>
        <v>344490798</v>
      </c>
      <c r="E331" s="139" t="n">
        <f aca="false">SUMIFS(報告入力!$BB$7:$BB$696,報告入力!$A$7:$A$696,$S$327,報告入力!$B$7:$B$696,$A331)</f>
        <v>19152698</v>
      </c>
      <c r="F331" s="138" t="n">
        <f aca="false">SUMIFS(報告入力!$BC$7:$BC$696,報告入力!$A$7:$A$696,$S$327,報告入力!$B$7:$B$696,$A331)</f>
        <v>232681</v>
      </c>
      <c r="G331" s="133" t="n">
        <f aca="false">SUM(B331:F331)</f>
        <v>623553234</v>
      </c>
      <c r="H331" s="139" t="n">
        <f aca="false">SUMIFS(報告入力!$BD$7:$BD$696,報告入力!$A$7:$A$696,$S$327,報告入力!$B$7:$B$696,$A331)</f>
        <v>174300356</v>
      </c>
      <c r="I331" s="230" t="n">
        <f aca="false">SUMIFS(報告入力!$BE$7:$BE$696,報告入力!$A$7:$A$696,$S$327,報告入力!$B$7:$B$696,$A331)</f>
        <v>173680228</v>
      </c>
      <c r="J331" s="133" t="n">
        <f aca="false">SUM(H331:I331)</f>
        <v>347980584</v>
      </c>
      <c r="K331" s="139" t="n">
        <f aca="false">SUMIFS(報告入力!$BF$7:$BF$696,報告入力!$A$7:$A$696,$S$327,報告入力!$B$7:$B$696,$A331)</f>
        <v>16027547</v>
      </c>
      <c r="L331" s="230" t="n">
        <f aca="false">SUMIFS(報告入力!$BG$7:$BG$696,報告入力!$A$7:$A$696,$S$327,報告入力!$B$7:$B$696,$A331)</f>
        <v>15616952</v>
      </c>
      <c r="M331" s="133" t="n">
        <f aca="false">SUM(K331:L331)</f>
        <v>31644499</v>
      </c>
      <c r="N331" s="230" t="n">
        <f aca="false">SUMIFS(報告入力!$BH$7:$BH$696,報告入力!$A$7:$A$696,$S$327,報告入力!$B$7:$B$696,$A331)</f>
        <v>3863510</v>
      </c>
      <c r="O331" s="230" t="n">
        <f aca="false">SUMIFS(報告入力!$BI$7:$BI$696,報告入力!$A$7:$A$696,$S$327,報告入力!$B$7:$B$696,$A331)</f>
        <v>3783419</v>
      </c>
      <c r="P331" s="133" t="n">
        <f aca="false">SUM(N331:O331)</f>
        <v>7646929</v>
      </c>
      <c r="Q331" s="135" t="str">
        <f aca="false">IF(P266=P331,"〇","×")</f>
        <v>×</v>
      </c>
      <c r="R331" s="135" t="str">
        <f aca="false">IFERROR(INDEX(報告入力!$C$7:$C$696,MATCH($S$327&amp;"|"&amp;$A331,報告入力!$CM$7:$CM$696,0)),"")</f>
        <v>入金確認済</v>
      </c>
    </row>
    <row r="332" s="135" customFormat="true" ht="20.1" hidden="false" customHeight="true" outlineLevel="0" collapsed="false">
      <c r="A332" s="125" t="s">
        <v>169</v>
      </c>
      <c r="B332" s="142" t="n">
        <f aca="false">SUMIFS(報告入力!$AY$7:$AY$696,報告入力!$A$7:$A$696,$S$327,報告入力!$B$7:$B$696,$A332)</f>
        <v>16588035</v>
      </c>
      <c r="C332" s="138" t="n">
        <f aca="false">SUMIFS(報告入力!$AZ$7:$AZ$696,報告入力!$A$7:$A$696,$S$327,報告入力!$B$7:$B$696,$A332)</f>
        <v>1359675</v>
      </c>
      <c r="D332" s="136" t="n">
        <f aca="false">SUMIFS(報告入力!$BA$7:$BA$696,報告入力!$A$7:$A$696,$S$327,報告入力!$B$7:$B$696,$A332)</f>
        <v>23873287</v>
      </c>
      <c r="E332" s="139" t="n">
        <f aca="false">SUMIFS(報告入力!$BB$7:$BB$696,報告入力!$A$7:$A$696,$S$327,報告入力!$B$7:$B$696,$A332)</f>
        <v>1356600</v>
      </c>
      <c r="F332" s="138" t="n">
        <f aca="false">SUMIFS(報告入力!$BC$7:$BC$696,報告入力!$A$7:$A$696,$S$327,報告入力!$B$7:$B$696,$A332)</f>
        <v>15939</v>
      </c>
      <c r="G332" s="133" t="n">
        <f aca="false">SUM(B332:F332)</f>
        <v>43193536</v>
      </c>
      <c r="H332" s="139" t="n">
        <f aca="false">SUMIFS(報告入力!$BD$7:$BD$696,報告入力!$A$7:$A$696,$S$327,報告入力!$B$7:$B$696,$A332)</f>
        <v>9727752</v>
      </c>
      <c r="I332" s="230" t="n">
        <f aca="false">SUMIFS(報告入力!$BE$7:$BE$696,報告入力!$A$7:$A$696,$S$327,報告入力!$B$7:$B$696,$A332)</f>
        <v>9871456</v>
      </c>
      <c r="J332" s="133" t="n">
        <f aca="false">SUM(H332:I332)</f>
        <v>19599208</v>
      </c>
      <c r="K332" s="139" t="n">
        <f aca="false">SUMIFS(報告入力!$BF$7:$BF$696,報告入力!$A$7:$A$696,$S$327,報告入力!$B$7:$B$696,$A332)</f>
        <v>1036431</v>
      </c>
      <c r="L332" s="230" t="n">
        <f aca="false">SUMIFS(報告入力!$BG$7:$BG$696,報告入力!$A$7:$A$696,$S$327,報告入力!$B$7:$B$696,$A332)</f>
        <v>1036430</v>
      </c>
      <c r="M332" s="133" t="n">
        <f aca="false">SUM(K332:L332)</f>
        <v>2072861</v>
      </c>
      <c r="N332" s="230" t="n">
        <f aca="false">SUMIFS(報告入力!$BH$7:$BH$696,報告入力!$A$7:$A$696,$S$327,報告入力!$B$7:$B$696,$A332)</f>
        <v>215631</v>
      </c>
      <c r="O332" s="230" t="n">
        <f aca="false">SUMIFS(報告入力!$BI$7:$BI$696,報告入力!$A$7:$A$696,$S$327,報告入力!$B$7:$B$696,$A332)</f>
        <v>215235</v>
      </c>
      <c r="P332" s="133" t="n">
        <f aca="false">SUM(N332:O332)</f>
        <v>430866</v>
      </c>
      <c r="Q332" s="135" t="str">
        <f aca="false">IF(P267=P332,"〇","×")</f>
        <v>×</v>
      </c>
      <c r="R332" s="135" t="str">
        <f aca="false">IFERROR(INDEX(報告入力!$C$7:$C$696,MATCH($S$327&amp;"|"&amp;$A332,報告入力!$CM$7:$CM$696,0)),"")</f>
        <v>入金確認済</v>
      </c>
    </row>
    <row r="333" s="135" customFormat="true" ht="20.1" hidden="false" customHeight="true" outlineLevel="0" collapsed="false">
      <c r="A333" s="125" t="s">
        <v>170</v>
      </c>
      <c r="B333" s="142" t="n">
        <f aca="false">SUMIFS(報告入力!$AY$7:$AY$696,報告入力!$A$7:$A$696,$S$327,報告入力!$B$7:$B$696,$A333)</f>
        <v>55235805</v>
      </c>
      <c r="C333" s="138" t="n">
        <f aca="false">SUMIFS(報告入力!$AZ$7:$AZ$696,報告入力!$A$7:$A$696,$S$327,報告入力!$B$7:$B$696,$A333)</f>
        <v>4527525</v>
      </c>
      <c r="D333" s="136" t="n">
        <f aca="false">SUMIFS(報告入力!$BA$7:$BA$696,報告入力!$A$7:$A$696,$S$327,報告入力!$B$7:$B$696,$A333)</f>
        <v>79571664</v>
      </c>
      <c r="E333" s="139" t="n">
        <f aca="false">SUMIFS(報告入力!$BB$7:$BB$696,報告入力!$A$7:$A$696,$S$327,報告入力!$B$7:$B$696,$A333)</f>
        <v>4511700</v>
      </c>
      <c r="F333" s="138" t="n">
        <f aca="false">SUMIFS(報告入力!$BC$7:$BC$696,報告入力!$A$7:$A$696,$S$327,報告入力!$B$7:$B$696,$A333)</f>
        <v>53136</v>
      </c>
      <c r="G333" s="133" t="n">
        <f aca="false">SUM(B333:F333)</f>
        <v>143899830</v>
      </c>
      <c r="H333" s="139" t="n">
        <f aca="false">SUMIFS(報告入力!$BD$7:$BD$696,報告入力!$A$7:$A$696,$S$327,報告入力!$B$7:$B$696,$A333)</f>
        <v>31992417</v>
      </c>
      <c r="I333" s="230" t="n">
        <f aca="false">SUMIFS(報告入力!$BE$7:$BE$696,報告入力!$A$7:$A$696,$S$327,報告入力!$B$7:$B$696,$A333)</f>
        <v>32430032</v>
      </c>
      <c r="J333" s="133" t="n">
        <f aca="false">SUM(H333:I333)</f>
        <v>64422449</v>
      </c>
      <c r="K333" s="139" t="n">
        <f aca="false">SUMIFS(報告入力!$BF$7:$BF$696,報告入力!$A$7:$A$696,$S$327,報告入力!$B$7:$B$696,$A333)</f>
        <v>2081981</v>
      </c>
      <c r="L333" s="230" t="n">
        <f aca="false">SUMIFS(報告入力!$BG$7:$BG$696,報告入力!$A$7:$A$696,$S$327,報告入力!$B$7:$B$696,$A333)</f>
        <v>2069025</v>
      </c>
      <c r="M333" s="133" t="n">
        <f aca="false">SUM(K333:L333)</f>
        <v>4151006</v>
      </c>
      <c r="N333" s="230" t="n">
        <f aca="false">SUMIFS(報告入力!$BH$7:$BH$696,報告入力!$A$7:$A$696,$S$327,報告入力!$B$7:$B$696,$A333)</f>
        <v>709180</v>
      </c>
      <c r="O333" s="230" t="n">
        <f aca="false">SUMIFS(報告入力!$BI$7:$BI$696,報告入力!$A$7:$A$696,$S$327,報告入力!$B$7:$B$696,$A333)</f>
        <v>707025</v>
      </c>
      <c r="P333" s="133" t="n">
        <f aca="false">SUM(N333:O333)</f>
        <v>1416205</v>
      </c>
      <c r="Q333" s="135" t="str">
        <f aca="false">IF(P268=P333,"〇","×")</f>
        <v>×</v>
      </c>
      <c r="R333" s="135" t="str">
        <f aca="false">IFERROR(INDEX(報告入力!$C$7:$C$696,MATCH($S$327&amp;"|"&amp;$A333,報告入力!$CM$7:$CM$696,0)),"")</f>
        <v>入金確認済</v>
      </c>
    </row>
    <row r="334" s="135" customFormat="true" ht="20.1" hidden="false" customHeight="true" outlineLevel="0" collapsed="false">
      <c r="A334" s="125" t="s">
        <v>171</v>
      </c>
      <c r="B334" s="142" t="n">
        <f aca="false">SUMIFS(報告入力!$AY$7:$AY$696,報告入力!$A$7:$A$696,$S$327,報告入力!$B$7:$B$696,$A334)</f>
        <v>1820850</v>
      </c>
      <c r="C334" s="138" t="n">
        <f aca="false">SUMIFS(報告入力!$AZ$7:$AZ$696,報告入力!$A$7:$A$696,$S$327,報告入力!$B$7:$B$696,$A334)</f>
        <v>149250</v>
      </c>
      <c r="D334" s="136" t="n">
        <f aca="false">SUMIFS(報告入力!$BA$7:$BA$696,報告入力!$A$7:$A$696,$S$327,報告入力!$B$7:$B$696,$A334)</f>
        <v>2624436</v>
      </c>
      <c r="E334" s="139" t="n">
        <f aca="false">SUMIFS(報告入力!$BB$7:$BB$696,報告入力!$A$7:$A$696,$S$327,報告入力!$B$7:$B$696,$A334)</f>
        <v>149250</v>
      </c>
      <c r="F334" s="138" t="n">
        <f aca="false">SUMIFS(報告入力!$BC$7:$BC$696,報告入力!$A$7:$A$696,$S$327,報告入力!$B$7:$B$696,$A334)</f>
        <v>1750</v>
      </c>
      <c r="G334" s="133" t="n">
        <f aca="false">SUM(B334:F334)</f>
        <v>4745536</v>
      </c>
      <c r="H334" s="142" t="n">
        <f aca="false">SUMIFS(報告入力!$BD$7:$BD$696,報告入力!$A$7:$A$696,$S$327,報告入力!$B$7:$B$696,$A334)</f>
        <v>1038220</v>
      </c>
      <c r="I334" s="230" t="n">
        <f aca="false">SUMIFS(報告入力!$BE$7:$BE$696,報告入力!$A$7:$A$696,$S$327,報告入力!$B$7:$B$696,$A334)</f>
        <v>1055863</v>
      </c>
      <c r="J334" s="133" t="n">
        <f aca="false">SUM(H334:I334)</f>
        <v>2094083</v>
      </c>
      <c r="K334" s="142" t="n">
        <f aca="false">SUMIFS(報告入力!$BF$7:$BF$696,報告入力!$A$7:$A$696,$S$327,報告入力!$B$7:$B$696,$A334)</f>
        <v>103885</v>
      </c>
      <c r="L334" s="230" t="n">
        <f aca="false">SUMIFS(報告入力!$BG$7:$BG$696,報告入力!$A$7:$A$696,$S$327,報告入力!$B$7:$B$696,$A334)</f>
        <v>103885</v>
      </c>
      <c r="M334" s="133" t="n">
        <f aca="false">SUM(K334:L334)</f>
        <v>207770</v>
      </c>
      <c r="N334" s="230" t="n">
        <f aca="false">SUMIFS(報告入力!$BH$7:$BH$696,報告入力!$A$7:$A$696,$S$327,報告入力!$B$7:$B$696,$A334)</f>
        <v>23014</v>
      </c>
      <c r="O334" s="230" t="n">
        <f aca="false">SUMIFS(報告入力!$BI$7:$BI$696,報告入力!$A$7:$A$696,$S$327,報告入力!$B$7:$B$696,$A334)</f>
        <v>23023</v>
      </c>
      <c r="P334" s="133" t="n">
        <f aca="false">SUM(N334:O334)</f>
        <v>46037</v>
      </c>
      <c r="Q334" s="135" t="str">
        <f aca="false">IF(P269=P334,"〇","×")</f>
        <v>×</v>
      </c>
      <c r="R334" s="135" t="str">
        <f aca="false">IFERROR(INDEX(報告入力!$C$7:$C$696,MATCH($S$327&amp;"|"&amp;$A334,報告入力!$CM$7:$CM$696,0)),"")</f>
        <v>入金確認済</v>
      </c>
    </row>
    <row r="335" s="135" customFormat="true" ht="20.1" hidden="false" customHeight="true" outlineLevel="0" collapsed="false">
      <c r="A335" s="125" t="s">
        <v>172</v>
      </c>
      <c r="B335" s="142" t="n">
        <f aca="false">SUMIFS(報告入力!$AY$7:$AY$696,報告入力!$A$7:$A$696,$S$327,報告入力!$B$7:$B$696,$A335)</f>
        <v>24341928</v>
      </c>
      <c r="C335" s="138" t="n">
        <f aca="false">SUMIFS(報告入力!$AZ$7:$AZ$696,報告入力!$A$7:$A$696,$S$327,報告入力!$B$7:$B$696,$A335)</f>
        <v>1995240</v>
      </c>
      <c r="D335" s="136" t="n">
        <f aca="false">SUMIFS(報告入力!$BA$7:$BA$696,報告入力!$A$7:$A$696,$S$327,報告入力!$B$7:$B$696,$A335)</f>
        <v>35033612</v>
      </c>
      <c r="E335" s="139" t="n">
        <f aca="false">SUMIFS(報告入力!$BB$7:$BB$696,報告入力!$A$7:$A$696,$S$327,報告入力!$B$7:$B$696,$A335)</f>
        <v>1995240</v>
      </c>
      <c r="F335" s="138" t="n">
        <f aca="false">SUMIFS(報告入力!$BC$7:$BC$696,報告入力!$A$7:$A$696,$S$327,報告入力!$B$7:$B$696,$A335)</f>
        <v>23280</v>
      </c>
      <c r="G335" s="133" t="n">
        <f aca="false">SUM(B335:F335)</f>
        <v>63389300</v>
      </c>
      <c r="H335" s="139" t="n">
        <f aca="false">SUMIFS(報告入力!$BD$7:$BD$696,報告入力!$A$7:$A$696,$S$327,報告入力!$B$7:$B$696,$A335)</f>
        <v>23861925</v>
      </c>
      <c r="I335" s="230" t="n">
        <f aca="false">SUMIFS(報告入力!$BE$7:$BE$696,報告入力!$A$7:$A$696,$S$327,報告入力!$B$7:$B$696,$A335)</f>
        <v>24258573</v>
      </c>
      <c r="J335" s="133" t="n">
        <f aca="false">SUM(H335:I335)</f>
        <v>48120498</v>
      </c>
      <c r="K335" s="139" t="n">
        <f aca="false">SUMIFS(報告入力!$BF$7:$BF$696,報告入力!$A$7:$A$696,$S$327,報告入力!$B$7:$B$696,$A335)</f>
        <v>2786882</v>
      </c>
      <c r="L335" s="230" t="n">
        <f aca="false">SUMIFS(報告入力!$BG$7:$BG$696,報告入力!$A$7:$A$696,$S$327,報告入力!$B$7:$B$696,$A335)</f>
        <v>2788577</v>
      </c>
      <c r="M335" s="133" t="n">
        <f aca="false">SUM(K335:L335)</f>
        <v>5575459</v>
      </c>
      <c r="N335" s="230" t="n">
        <f aca="false">SUMIFS(報告入力!$BH$7:$BH$696,報告入力!$A$7:$A$696,$S$327,報告入力!$B$7:$B$696,$A335)</f>
        <v>528582</v>
      </c>
      <c r="O335" s="230" t="n">
        <f aca="false">SUMIFS(報告入力!$BI$7:$BI$696,報告入力!$A$7:$A$696,$S$327,報告入力!$B$7:$B$696,$A335)</f>
        <v>528695</v>
      </c>
      <c r="P335" s="133" t="n">
        <f aca="false">SUM(N335:O335)</f>
        <v>1057277</v>
      </c>
      <c r="Q335" s="135" t="str">
        <f aca="false">IF(P270=P335,"〇","×")</f>
        <v>×</v>
      </c>
      <c r="R335" s="135" t="str">
        <f aca="false">IFERROR(INDEX(報告入力!$C$7:$C$696,MATCH($S$327&amp;"|"&amp;$A335,報告入力!$CM$7:$CM$696,0)),"")</f>
        <v>入金確認済</v>
      </c>
    </row>
    <row r="336" s="135" customFormat="true" ht="20.1" hidden="false" customHeight="true" outlineLevel="0" collapsed="false">
      <c r="A336" s="125" t="s">
        <v>173</v>
      </c>
      <c r="B336" s="142" t="n">
        <f aca="false">SUMIFS(報告入力!$AY$7:$AY$696,報告入力!$A$7:$A$696,$S$327,報告入力!$B$7:$B$696,$A336)</f>
        <v>269925</v>
      </c>
      <c r="C336" s="138" t="n">
        <f aca="false">SUMIFS(報告入力!$AZ$7:$AZ$696,報告入力!$A$7:$A$696,$S$327,報告入力!$B$7:$B$696,$A336)</f>
        <v>22125</v>
      </c>
      <c r="D336" s="136" t="n">
        <f aca="false">SUMIFS(報告入力!$BA$7:$BA$696,報告入力!$A$7:$A$696,$S$327,報告入力!$B$7:$B$696,$A336)</f>
        <v>387630</v>
      </c>
      <c r="E336" s="139" t="n">
        <f aca="false">SUMIFS(報告入力!$BB$7:$BB$696,報告入力!$A$7:$A$696,$S$327,報告入力!$B$7:$B$696,$A336)</f>
        <v>22125</v>
      </c>
      <c r="F336" s="138" t="n">
        <f aca="false">SUMIFS(報告入力!$BC$7:$BC$696,報告入力!$A$7:$A$696,$S$327,報告入力!$B$7:$B$696,$A336)</f>
        <v>256</v>
      </c>
      <c r="G336" s="133" t="n">
        <f aca="false">SUM(B336:F336)</f>
        <v>702061</v>
      </c>
      <c r="H336" s="139" t="n">
        <f aca="false">SUMIFS(報告入力!$BD$7:$BD$696,報告入力!$A$7:$A$696,$S$327,報告入力!$B$7:$B$696,$A336)</f>
        <v>173210</v>
      </c>
      <c r="I336" s="230" t="n">
        <f aca="false">SUMIFS(報告入力!$BE$7:$BE$696,報告入力!$A$7:$A$696,$S$327,報告入力!$B$7:$B$696,$A336)</f>
        <v>176117</v>
      </c>
      <c r="J336" s="133" t="n">
        <f aca="false">SUM(H336:I336)</f>
        <v>349327</v>
      </c>
      <c r="K336" s="139" t="n">
        <f aca="false">SUMIFS(報告入力!$BF$7:$BF$696,報告入力!$A$7:$A$696,$S$327,報告入力!$B$7:$B$696,$A336)</f>
        <v>15800</v>
      </c>
      <c r="L336" s="230" t="n">
        <f aca="false">SUMIFS(報告入力!$BG$7:$BG$696,報告入力!$A$7:$A$696,$S$327,報告入力!$B$7:$B$696,$A336)</f>
        <v>15800</v>
      </c>
      <c r="M336" s="133" t="n">
        <f aca="false">SUM(K336:L336)</f>
        <v>31600</v>
      </c>
      <c r="N336" s="230" t="n">
        <f aca="false">SUMIFS(報告入力!$BH$7:$BH$696,報告入力!$A$7:$A$696,$S$327,報告入力!$B$7:$B$696,$A336)</f>
        <v>3839</v>
      </c>
      <c r="O336" s="230" t="n">
        <f aca="false">SUMIFS(報告入力!$BI$7:$BI$696,報告入力!$A$7:$A$696,$S$327,報告入力!$B$7:$B$696,$A336)</f>
        <v>3840</v>
      </c>
      <c r="P336" s="133" t="n">
        <f aca="false">SUM(N336:O336)</f>
        <v>7679</v>
      </c>
      <c r="Q336" s="135" t="str">
        <f aca="false">IF(P271=P336,"〇","×")</f>
        <v>〇</v>
      </c>
      <c r="R336" s="135" t="str">
        <f aca="false">IFERROR(INDEX(報告入力!$C$7:$C$696,MATCH($S$327&amp;"|"&amp;$A336,報告入力!$CM$7:$CM$696,0)),"")</f>
        <v>入金確認済</v>
      </c>
    </row>
    <row r="337" s="135" customFormat="true" ht="20.1" hidden="false" customHeight="true" outlineLevel="0" collapsed="false">
      <c r="A337" s="125" t="s">
        <v>174</v>
      </c>
      <c r="B337" s="142" t="n">
        <f aca="false">SUMIFS(報告入力!$AY$7:$AY$696,報告入力!$A$7:$A$696,$S$327,報告入力!$B$7:$B$696,$A337)</f>
        <v>618540</v>
      </c>
      <c r="C337" s="138" t="n">
        <f aca="false">SUMIFS(報告入力!$AZ$7:$AZ$696,報告入力!$A$7:$A$696,$S$327,報告入力!$B$7:$B$696,$A337)</f>
        <v>50700</v>
      </c>
      <c r="D337" s="136" t="n">
        <f aca="false">SUMIFS(報告入力!$BA$7:$BA$696,報告入力!$A$7:$A$696,$S$327,報告入力!$B$7:$B$696,$A337)</f>
        <v>888264</v>
      </c>
      <c r="E337" s="139" t="n">
        <f aca="false">SUMIFS(報告入力!$BB$7:$BB$696,報告入力!$A$7:$A$696,$S$327,報告入力!$B$7:$B$696,$A337)</f>
        <v>50700</v>
      </c>
      <c r="F337" s="138" t="n">
        <f aca="false">SUMIFS(報告入力!$BC$7:$BC$696,報告入力!$A$7:$A$696,$S$327,報告入力!$B$7:$B$696,$A337)</f>
        <v>587</v>
      </c>
      <c r="G337" s="133" t="n">
        <f aca="false">SUM(B337:F337)</f>
        <v>1608791</v>
      </c>
      <c r="H337" s="139" t="n">
        <f aca="false">SUMIFS(報告入力!$BD$7:$BD$696,報告入力!$A$7:$A$696,$S$327,報告入力!$B$7:$B$696,$A337)</f>
        <v>364051</v>
      </c>
      <c r="I337" s="230" t="n">
        <f aca="false">SUMIFS(報告入力!$BE$7:$BE$696,報告入力!$A$7:$A$696,$S$327,報告入力!$B$7:$B$696,$A337)</f>
        <v>370163</v>
      </c>
      <c r="J337" s="133" t="n">
        <f aca="false">SUM(H337:I337)</f>
        <v>734214</v>
      </c>
      <c r="K337" s="139" t="n">
        <f aca="false">SUMIFS(報告入力!$BF$7:$BF$696,報告入力!$A$7:$A$696,$S$327,報告入力!$B$7:$B$696,$A337)</f>
        <v>30257</v>
      </c>
      <c r="L337" s="230" t="n">
        <f aca="false">SUMIFS(報告入力!$BG$7:$BG$696,報告入力!$A$7:$A$696,$S$327,報告入力!$B$7:$B$696,$A337)</f>
        <v>30257</v>
      </c>
      <c r="M337" s="133" t="n">
        <f aca="false">SUM(K337:L337)</f>
        <v>60514</v>
      </c>
      <c r="N337" s="230" t="n">
        <f aca="false">SUMIFS(報告入力!$BH$7:$BH$696,報告入力!$A$7:$A$696,$S$327,報告入力!$B$7:$B$696,$A337)</f>
        <v>8070</v>
      </c>
      <c r="O337" s="230" t="n">
        <f aca="false">SUMIFS(報告入力!$BI$7:$BI$696,報告入力!$A$7:$A$696,$S$327,報告入力!$B$7:$B$696,$A337)</f>
        <v>8073</v>
      </c>
      <c r="P337" s="133" t="n">
        <f aca="false">SUM(N337:O337)</f>
        <v>16143</v>
      </c>
      <c r="Q337" s="135" t="str">
        <f aca="false">IF(P272=P337,"〇","×")</f>
        <v>〇</v>
      </c>
      <c r="R337" s="135" t="str">
        <f aca="false">IFERROR(INDEX(報告入力!$C$7:$C$696,MATCH($S$327&amp;"|"&amp;$A337,報告入力!$CM$7:$CM$696,0)),"")</f>
        <v>入金確認済</v>
      </c>
    </row>
    <row r="338" s="135" customFormat="true" ht="20.1" hidden="false" customHeight="true" outlineLevel="0" collapsed="false">
      <c r="A338" s="125" t="s">
        <v>175</v>
      </c>
      <c r="B338" s="142" t="n">
        <f aca="false">SUMIFS(報告入力!$AY$7:$AY$696,報告入力!$A$7:$A$696,$S$327,報告入力!$B$7:$B$696,$A338)</f>
        <v>1317600</v>
      </c>
      <c r="C338" s="138" t="n">
        <f aca="false">SUMIFS(報告入力!$AZ$7:$AZ$696,報告入力!$A$7:$A$696,$S$327,報告入力!$B$7:$B$696,$A338)</f>
        <v>108000</v>
      </c>
      <c r="D338" s="136" t="n">
        <f aca="false">SUMIFS(報告入力!$BA$7:$BA$696,報告入力!$A$7:$A$696,$S$327,報告入力!$B$7:$B$696,$A338)</f>
        <v>1903332</v>
      </c>
      <c r="E338" s="139" t="n">
        <f aca="false">SUMIFS(報告入力!$BB$7:$BB$696,報告入力!$A$7:$A$696,$S$327,報告入力!$B$7:$B$696,$A338)</f>
        <v>108000</v>
      </c>
      <c r="F338" s="138" t="n">
        <f aca="false">SUMIFS(報告入力!$BC$7:$BC$696,報告入力!$A$7:$A$696,$S$327,報告入力!$B$7:$B$696,$A338)</f>
        <v>1275</v>
      </c>
      <c r="G338" s="133" t="n">
        <f aca="false">SUM(B338:F338)</f>
        <v>3438207</v>
      </c>
      <c r="H338" s="139" t="n">
        <f aca="false">SUMIFS(報告入力!$BD$7:$BD$696,報告入力!$A$7:$A$696,$S$327,報告入力!$B$7:$B$696,$A338)</f>
        <v>766995</v>
      </c>
      <c r="I338" s="230" t="n">
        <f aca="false">SUMIFS(報告入力!$BE$7:$BE$696,報告入力!$A$7:$A$696,$S$327,報告入力!$B$7:$B$696,$A338)</f>
        <v>780119</v>
      </c>
      <c r="J338" s="133" t="n">
        <f aca="false">SUM(H338:I338)</f>
        <v>1547114</v>
      </c>
      <c r="K338" s="139" t="n">
        <f aca="false">SUMIFS(報告入力!$BF$7:$BF$696,報告入力!$A$7:$A$696,$S$327,報告入力!$B$7:$B$696,$A338)</f>
        <v>107914</v>
      </c>
      <c r="L338" s="230" t="n">
        <f aca="false">SUMIFS(報告入力!$BG$7:$BG$696,報告入力!$A$7:$A$696,$S$327,報告入力!$B$7:$B$696,$A338)</f>
        <v>107914</v>
      </c>
      <c r="M338" s="133" t="n">
        <f aca="false">SUM(K338:L338)</f>
        <v>215828</v>
      </c>
      <c r="N338" s="230" t="n">
        <f aca="false">SUMIFS(報告入力!$BH$7:$BH$696,報告入力!$A$7:$A$696,$S$327,報告入力!$B$7:$B$696,$A338)</f>
        <v>17000</v>
      </c>
      <c r="O338" s="230" t="n">
        <f aca="false">SUMIFS(報告入力!$BI$7:$BI$696,報告入力!$A$7:$A$696,$S$327,報告入力!$B$7:$B$696,$A338)</f>
        <v>17007</v>
      </c>
      <c r="P338" s="133" t="n">
        <f aca="false">SUM(N338:O338)</f>
        <v>34007</v>
      </c>
      <c r="Q338" s="135" t="str">
        <f aca="false">IF(P273=P338,"〇","×")</f>
        <v>〇</v>
      </c>
      <c r="R338" s="135" t="str">
        <f aca="false">IFERROR(INDEX(報告入力!$C$7:$C$696,MATCH($S$327&amp;"|"&amp;$A338,報告入力!$CM$7:$CM$696,0)),"")</f>
        <v>入金確認済</v>
      </c>
    </row>
    <row r="339" s="135" customFormat="true" ht="20.1" hidden="false" customHeight="true" outlineLevel="0" collapsed="false">
      <c r="A339" s="125" t="s">
        <v>176</v>
      </c>
      <c r="B339" s="142" t="n">
        <f aca="false">SUMIFS(報告入力!$AY$7:$AY$696,報告入力!$A$7:$A$696,$S$327,報告入力!$B$7:$B$696,$A339)</f>
        <v>396195</v>
      </c>
      <c r="C339" s="138" t="n">
        <f aca="false">SUMIFS(報告入力!$AZ$7:$AZ$696,報告入力!$A$7:$A$696,$S$327,報告入力!$B$7:$B$696,$A339)</f>
        <v>32475</v>
      </c>
      <c r="D339" s="136" t="n">
        <f aca="false">SUMIFS(報告入力!$BA$7:$BA$696,報告入力!$A$7:$A$696,$S$327,報告入力!$B$7:$B$696,$A339)</f>
        <v>568962</v>
      </c>
      <c r="E339" s="139" t="n">
        <f aca="false">SUMIFS(報告入力!$BB$7:$BB$696,報告入力!$A$7:$A$696,$S$327,報告入力!$B$7:$B$696,$A339)</f>
        <v>32475</v>
      </c>
      <c r="F339" s="138" t="n">
        <f aca="false">SUMIFS(報告入力!$BC$7:$BC$696,報告入力!$A$7:$A$696,$S$327,報告入力!$B$7:$B$696,$A339)</f>
        <v>376</v>
      </c>
      <c r="G339" s="133" t="n">
        <f aca="false">SUM(B339:F339)</f>
        <v>1030483</v>
      </c>
      <c r="H339" s="139" t="n">
        <f aca="false">SUMIFS(報告入力!$BD$7:$BD$696,報告入力!$A$7:$A$696,$S$327,報告入力!$B$7:$B$696,$A339)</f>
        <v>299021</v>
      </c>
      <c r="I339" s="230" t="n">
        <f aca="false">SUMIFS(報告入力!$BE$7:$BE$696,報告入力!$A$7:$A$696,$S$327,報告入力!$B$7:$B$696,$A339)</f>
        <v>304040</v>
      </c>
      <c r="J339" s="133" t="n">
        <f aca="false">SUM(H339:I339)</f>
        <v>603061</v>
      </c>
      <c r="K339" s="139" t="n">
        <f aca="false">SUMIFS(報告入力!$BF$7:$BF$696,報告入力!$A$7:$A$696,$S$327,報告入力!$B$7:$B$696,$A339)</f>
        <v>33383</v>
      </c>
      <c r="L339" s="230" t="n">
        <f aca="false">SUMIFS(報告入力!$BG$7:$BG$696,報告入力!$A$7:$A$696,$S$327,報告入力!$B$7:$B$696,$A339)</f>
        <v>33385</v>
      </c>
      <c r="M339" s="133" t="n">
        <f aca="false">SUM(K339:L339)</f>
        <v>66768</v>
      </c>
      <c r="N339" s="230" t="n">
        <f aca="false">SUMIFS(報告入力!$BH$7:$BH$696,報告入力!$A$7:$A$696,$S$327,報告入力!$B$7:$B$696,$A339)</f>
        <v>6628</v>
      </c>
      <c r="O339" s="230" t="n">
        <f aca="false">SUMIFS(報告入力!$BI$7:$BI$696,報告入力!$A$7:$A$696,$S$327,報告入力!$B$7:$B$696,$A339)</f>
        <v>6630</v>
      </c>
      <c r="P339" s="133" t="n">
        <f aca="false">SUM(N339:O339)</f>
        <v>13258</v>
      </c>
      <c r="Q339" s="135" t="str">
        <f aca="false">IF(P274=P339,"〇","×")</f>
        <v>〇</v>
      </c>
      <c r="R339" s="135" t="str">
        <f aca="false">IFERROR(INDEX(報告入力!$C$7:$C$696,MATCH($S$327&amp;"|"&amp;$A339,報告入力!$CM$7:$CM$696,0)),"")</f>
        <v>入金確認済</v>
      </c>
    </row>
    <row r="340" s="135" customFormat="true" ht="20.1" hidden="false" customHeight="true" outlineLevel="0" collapsed="false">
      <c r="A340" s="125" t="s">
        <v>177</v>
      </c>
      <c r="B340" s="142" t="n">
        <f aca="false">SUMIFS(報告入力!$AY$7:$AY$696,報告入力!$A$7:$A$696,$S$327,報告入力!$B$7:$B$696,$A340)</f>
        <v>22626120</v>
      </c>
      <c r="C340" s="138" t="n">
        <f aca="false">SUMIFS(報告入力!$AZ$7:$AZ$696,報告入力!$A$7:$A$696,$S$327,報告入力!$B$7:$B$696,$A340)</f>
        <v>1854600</v>
      </c>
      <c r="D340" s="136" t="n">
        <f aca="false">SUMIFS(報告入力!$BA$7:$BA$696,報告入力!$A$7:$A$696,$S$327,報告入力!$B$7:$B$696,$A340)</f>
        <v>32739144</v>
      </c>
      <c r="E340" s="139" t="n">
        <f aca="false">SUMIFS(報告入力!$BB$7:$BB$696,報告入力!$A$7:$A$696,$S$327,報告入力!$B$7:$B$696,$A340)</f>
        <v>1854600</v>
      </c>
      <c r="F340" s="138" t="n">
        <f aca="false">SUMIFS(報告入力!$BC$7:$BC$696,報告入力!$A$7:$A$696,$S$327,報告入力!$B$7:$B$696,$A340)</f>
        <v>21850</v>
      </c>
      <c r="G340" s="133" t="n">
        <f aca="false">SUM(B340:F340)</f>
        <v>59096314</v>
      </c>
      <c r="H340" s="139" t="n">
        <f aca="false">SUMIFS(報告入力!$BD$7:$BD$696,報告入力!$A$7:$A$696,$S$327,報告入力!$B$7:$B$696,$A340)</f>
        <v>13500472</v>
      </c>
      <c r="I340" s="230" t="n">
        <f aca="false">SUMIFS(報告入力!$BE$7:$BE$696,報告入力!$A$7:$A$696,$S$327,報告入力!$B$7:$B$696,$A340)</f>
        <v>13734572</v>
      </c>
      <c r="J340" s="133" t="n">
        <f aca="false">SUM(H340:I340)</f>
        <v>27235044</v>
      </c>
      <c r="K340" s="139" t="n">
        <f aca="false">SUMIFS(報告入力!$BF$7:$BF$696,報告入力!$A$7:$A$696,$S$327,報告入力!$B$7:$B$696,$A340)</f>
        <v>1365752</v>
      </c>
      <c r="L340" s="230" t="n">
        <f aca="false">SUMIFS(報告入力!$BG$7:$BG$696,報告入力!$A$7:$A$696,$S$327,報告入力!$B$7:$B$696,$A340)</f>
        <v>1365752</v>
      </c>
      <c r="M340" s="133" t="n">
        <f aca="false">SUM(K340:L340)</f>
        <v>2731504</v>
      </c>
      <c r="N340" s="230" t="n">
        <f aca="false">SUMIFS(報告入力!$BH$7:$BH$696,報告入力!$A$7:$A$696,$S$327,報告入力!$B$7:$B$696,$A340)</f>
        <v>299280</v>
      </c>
      <c r="O340" s="230" t="n">
        <f aca="false">SUMIFS(報告入力!$BI$7:$BI$696,報告入力!$A$7:$A$696,$S$327,報告入力!$B$7:$B$696,$A340)</f>
        <v>299377</v>
      </c>
      <c r="P340" s="133" t="n">
        <f aca="false">SUM(N340:O340)</f>
        <v>598657</v>
      </c>
      <c r="Q340" s="135" t="str">
        <f aca="false">IF(P275=P340,"〇","×")</f>
        <v>×</v>
      </c>
      <c r="R340" s="135" t="str">
        <f aca="false">IFERROR(INDEX(報告入力!$C$7:$C$696,MATCH($S$327&amp;"|"&amp;$A340,報告入力!$CM$7:$CM$696,0)),"")</f>
        <v>入金確認済</v>
      </c>
    </row>
    <row r="341" s="135" customFormat="true" ht="19.5" hidden="false" customHeight="true" outlineLevel="0" collapsed="false">
      <c r="A341" s="146" t="s">
        <v>495</v>
      </c>
      <c r="B341" s="142" t="n">
        <f aca="false">SUMIFS(報告入力!$AY$7:$AY$696,報告入力!$A$7:$A$696,$S$327,報告入力!$B$7:$B$696,$A341)</f>
        <v>48495</v>
      </c>
      <c r="C341" s="138" t="n">
        <f aca="false">SUMIFS(報告入力!$AZ$7:$AZ$696,報告入力!$A$7:$A$696,$S$327,報告入力!$B$7:$B$696,$A341)</f>
        <v>3975</v>
      </c>
      <c r="D341" s="136" t="n">
        <f aca="false">SUMIFS(報告入力!$BA$7:$BA$696,報告入力!$A$7:$A$696,$S$327,報告入力!$B$7:$B$696,$A341)</f>
        <v>69642</v>
      </c>
      <c r="E341" s="139" t="n">
        <f aca="false">SUMIFS(報告入力!$BB$7:$BB$696,報告入力!$A$7:$A$696,$S$327,報告入力!$B$7:$B$696,$A341)</f>
        <v>3975</v>
      </c>
      <c r="F341" s="138" t="n">
        <f aca="false">SUMIFS(報告入力!$BC$7:$BC$696,報告入力!$A$7:$A$696,$S$327,報告入力!$B$7:$B$696,$A341)</f>
        <v>46</v>
      </c>
      <c r="G341" s="133" t="n">
        <f aca="false">SUM(B341:F341)</f>
        <v>126133</v>
      </c>
      <c r="H341" s="139" t="n">
        <f aca="false">SUMIFS(報告入力!$BD$7:$BD$696,報告入力!$A$7:$A$696,$S$327,報告入力!$B$7:$B$696,$A341)</f>
        <v>27485</v>
      </c>
      <c r="I341" s="230" t="n">
        <f aca="false">SUMIFS(報告入力!$BE$7:$BE$696,報告入力!$A$7:$A$696,$S$327,報告入力!$B$7:$B$696,$A341)</f>
        <v>27946</v>
      </c>
      <c r="J341" s="133" t="n">
        <f aca="false">SUM(H341:I341)</f>
        <v>55431</v>
      </c>
      <c r="K341" s="139" t="n">
        <f aca="false">SUMIFS(報告入力!$BF$7:$BF$696,報告入力!$A$7:$A$696,$S$327,報告入力!$B$7:$B$696,$A341)</f>
        <v>4187</v>
      </c>
      <c r="L341" s="230" t="n">
        <f aca="false">SUMIFS(報告入力!$BG$7:$BG$696,報告入力!$A$7:$A$696,$S$327,報告入力!$B$7:$B$696,$A341)</f>
        <v>4187</v>
      </c>
      <c r="M341" s="133" t="n">
        <f aca="false">SUM(K341:L341)</f>
        <v>8374</v>
      </c>
      <c r="N341" s="230" t="n">
        <f aca="false">SUMIFS(報告入力!$BH$7:$BH$696,報告入力!$A$7:$A$696,$S$327,報告入力!$B$7:$B$696,$A341)</f>
        <v>609</v>
      </c>
      <c r="O341" s="230" t="n">
        <f aca="false">SUMIFS(報告入力!$BI$7:$BI$696,報告入力!$A$7:$A$696,$S$327,報告入力!$B$7:$B$696,$A341)</f>
        <v>609</v>
      </c>
      <c r="P341" s="133" t="n">
        <f aca="false">SUM(N341:O341)</f>
        <v>1218</v>
      </c>
      <c r="Q341" s="135" t="str">
        <f aca="false">IF(P276=P341,"〇","×")</f>
        <v>〇</v>
      </c>
      <c r="R341" s="135" t="str">
        <f aca="false">IFERROR(INDEX(報告入力!$C$7:$C$696,MATCH($S$327&amp;"|"&amp;$A341,報告入力!$CM$7:$CM$696,0)),"")</f>
        <v>入金確認済</v>
      </c>
    </row>
    <row r="342" s="162" customFormat="true" ht="19.5" hidden="false" customHeight="true" outlineLevel="0" collapsed="false">
      <c r="A342" s="151" t="s">
        <v>179</v>
      </c>
      <c r="B342" s="152" t="n">
        <f aca="false">SUMIFS(報告入力!$AY$7:$AY$696,報告入力!$A$7:$A$696,$S$327,報告入力!$B$7:$B$696,$A342)</f>
        <v>0</v>
      </c>
      <c r="C342" s="153" t="n">
        <f aca="false">SUMIFS(報告入力!$AZ$7:$AZ$696,報告入力!$A$7:$A$696,$S$327,報告入力!$B$7:$B$696,$A342)</f>
        <v>0</v>
      </c>
      <c r="D342" s="154"/>
      <c r="E342" s="155"/>
      <c r="F342" s="156" t="n">
        <f aca="false">SUMIFS(報告入力!$BC$7:$BC$696,報告入力!$A$7:$A$696,$S$327,報告入力!$B$7:$B$696,$A342)</f>
        <v>0</v>
      </c>
      <c r="G342" s="157" t="n">
        <f aca="false">SUM(B342:F342)</f>
        <v>0</v>
      </c>
      <c r="H342" s="139" t="n">
        <f aca="false">SUMIFS(報告入力!$BD$7:$BD$696,報告入力!$A$7:$A$696,$S$327,報告入力!$B$7:$B$696,$A342)</f>
        <v>269662</v>
      </c>
      <c r="I342" s="140" t="n">
        <f aca="false">SUMIFS(報告入力!$BE$7:$BE$696,報告入力!$A$7:$A$696,$S$327,報告入力!$B$7:$B$696,$A342)</f>
        <v>274195</v>
      </c>
      <c r="J342" s="141" t="n">
        <f aca="false">SUM(H342:I342)</f>
        <v>543857</v>
      </c>
      <c r="K342" s="134" t="n">
        <f aca="false">SUMIFS(報告入力!$BF$7:$BF$696,報告入力!$A$7:$A$696,$S$327,報告入力!$B$7:$B$696,$A342)</f>
        <v>10428</v>
      </c>
      <c r="L342" s="140" t="n">
        <f aca="false">SUMIFS(報告入力!$BG$7:$BG$696,報告入力!$A$7:$A$696,$S$327,報告入力!$B$7:$B$696,$A342)</f>
        <v>10428</v>
      </c>
      <c r="M342" s="141" t="n">
        <f aca="false">SUM(K342:L342)</f>
        <v>20856</v>
      </c>
      <c r="N342" s="230" t="n">
        <f aca="false">SUMIFS(報告入力!$BH$7:$BH$696,報告入力!$A$7:$A$696,$S$327,報告入力!$B$7:$B$696,$A342)</f>
        <v>5976</v>
      </c>
      <c r="O342" s="230" t="n">
        <f aca="false">SUMIFS(報告入力!$BI$7:$BI$696,報告入力!$A$7:$A$696,$S$327,報告入力!$B$7:$B$696,$A342)</f>
        <v>5980</v>
      </c>
      <c r="P342" s="141" t="n">
        <f aca="false">SUM(N342:O342)</f>
        <v>11956</v>
      </c>
      <c r="Q342" s="162" t="str">
        <f aca="false">IF(P277=P342,"〇","×")</f>
        <v>×</v>
      </c>
      <c r="R342" s="162" t="str">
        <f aca="false">IFERROR(INDEX(報告入力!$C$7:$C$696,MATCH($S$327&amp;"|"&amp;$A342,報告入力!$CM$7:$CM$696,0)),"")</f>
        <v>入金確認済</v>
      </c>
    </row>
    <row r="343" s="162" customFormat="true" ht="19.5" hidden="false" customHeight="true" outlineLevel="0" collapsed="false">
      <c r="A343" s="163" t="s">
        <v>496</v>
      </c>
      <c r="B343" s="164"/>
      <c r="C343" s="165"/>
      <c r="D343" s="164"/>
      <c r="E343" s="166"/>
      <c r="F343" s="167"/>
      <c r="G343" s="168"/>
      <c r="H343" s="169"/>
      <c r="I343" s="170"/>
      <c r="J343" s="171"/>
      <c r="K343" s="172"/>
      <c r="L343" s="173"/>
      <c r="M343" s="173"/>
      <c r="N343" s="172"/>
      <c r="O343" s="173"/>
      <c r="P343" s="173"/>
      <c r="Q343" s="162" t="str">
        <f aca="false">IF(P278=P343,"〇","×")</f>
        <v>〇</v>
      </c>
    </row>
    <row r="344" s="162" customFormat="true" ht="19.5" hidden="false" customHeight="true" outlineLevel="0" collapsed="false">
      <c r="A344" s="174" t="s">
        <v>496</v>
      </c>
      <c r="B344" s="175"/>
      <c r="C344" s="176"/>
      <c r="D344" s="175"/>
      <c r="E344" s="177"/>
      <c r="F344" s="178"/>
      <c r="G344" s="179"/>
      <c r="H344" s="180"/>
      <c r="I344" s="177"/>
      <c r="J344" s="181"/>
      <c r="K344" s="182"/>
      <c r="L344" s="183"/>
      <c r="M344" s="183"/>
      <c r="N344" s="182"/>
      <c r="O344" s="183"/>
      <c r="P344" s="183"/>
      <c r="Q344" s="162" t="str">
        <f aca="false">IF(P279=P344,"〇","×")</f>
        <v>〇</v>
      </c>
    </row>
    <row r="345" s="162" customFormat="true" ht="19.5" hidden="false" customHeight="true" outlineLevel="0" collapsed="false">
      <c r="A345" s="174" t="s">
        <v>496</v>
      </c>
      <c r="B345" s="164"/>
      <c r="C345" s="165"/>
      <c r="D345" s="164"/>
      <c r="E345" s="166"/>
      <c r="F345" s="167"/>
      <c r="G345" s="168"/>
      <c r="H345" s="184"/>
      <c r="I345" s="166"/>
      <c r="J345" s="171"/>
      <c r="K345" s="185"/>
      <c r="L345" s="186"/>
      <c r="M345" s="186"/>
      <c r="N345" s="185"/>
      <c r="O345" s="186"/>
      <c r="P345" s="186"/>
      <c r="Q345" s="162" t="str">
        <f aca="false">IF(P280=P345,"〇","×")</f>
        <v>〇</v>
      </c>
    </row>
    <row r="346" s="162" customFormat="true" ht="19.5" hidden="false" customHeight="true" outlineLevel="0" collapsed="false">
      <c r="A346" s="187" t="s">
        <v>496</v>
      </c>
      <c r="B346" s="188"/>
      <c r="C346" s="189"/>
      <c r="D346" s="188"/>
      <c r="E346" s="190"/>
      <c r="F346" s="191"/>
      <c r="G346" s="192"/>
      <c r="H346" s="180"/>
      <c r="I346" s="193"/>
      <c r="J346" s="194"/>
      <c r="K346" s="182"/>
      <c r="L346" s="183"/>
      <c r="M346" s="195"/>
      <c r="N346" s="182"/>
      <c r="O346" s="183"/>
      <c r="P346" s="195"/>
      <c r="Q346" s="162" t="str">
        <f aca="false">IF(P281=P346,"〇","×")</f>
        <v>〇</v>
      </c>
    </row>
    <row r="347" s="162" customFormat="true" ht="19.5" hidden="false" customHeight="true" outlineLevel="0" collapsed="false">
      <c r="A347" s="196" t="s">
        <v>497</v>
      </c>
      <c r="B347" s="197" t="n">
        <f aca="false">SUM(B331:B346)</f>
        <v>363274854</v>
      </c>
      <c r="C347" s="198" t="n">
        <f aca="false">SUM(C331:C346)</f>
        <v>29769261</v>
      </c>
      <c r="D347" s="197" t="n">
        <f aca="false">SUM(D331:D346)</f>
        <v>522150771</v>
      </c>
      <c r="E347" s="199" t="n">
        <f aca="false">SUM(E331:E346)</f>
        <v>29237363</v>
      </c>
      <c r="F347" s="200" t="n">
        <f aca="false">SUM(F331:F346)</f>
        <v>351176</v>
      </c>
      <c r="G347" s="201" t="n">
        <f aca="false">SUM(B347:F347)</f>
        <v>944783425</v>
      </c>
      <c r="H347" s="198" t="n">
        <f aca="false">SUM(H331:H346)</f>
        <v>256321566</v>
      </c>
      <c r="I347" s="198" t="n">
        <f aca="false">SUM(I331:I346)</f>
        <v>256963304</v>
      </c>
      <c r="J347" s="200" t="n">
        <f aca="false">SUM(H347:I347)</f>
        <v>513284870</v>
      </c>
      <c r="K347" s="197" t="n">
        <f aca="false">SUM(K331:K346)</f>
        <v>23604447</v>
      </c>
      <c r="L347" s="198" t="n">
        <f aca="false">SUM(L331:L346)</f>
        <v>23182592</v>
      </c>
      <c r="M347" s="200" t="n">
        <f aca="false">SUM(K347:L347)</f>
        <v>46787039</v>
      </c>
      <c r="N347" s="197" t="n">
        <f aca="false">SUM(N331:N346)</f>
        <v>5681319</v>
      </c>
      <c r="O347" s="198" t="n">
        <f aca="false">SUM(O331:O346)</f>
        <v>5598913</v>
      </c>
      <c r="P347" s="200" t="n">
        <f aca="false">SUM(N347:O347)</f>
        <v>11280232</v>
      </c>
      <c r="Q347" s="162" t="str">
        <f aca="false">IF(P282=P347,"〇","×")</f>
        <v>×</v>
      </c>
    </row>
    <row r="348" s="135" customFormat="true" ht="20.1" hidden="false" customHeight="true" outlineLevel="0" collapsed="false">
      <c r="A348" s="202" t="s">
        <v>180</v>
      </c>
      <c r="B348" s="336"/>
      <c r="C348" s="333"/>
      <c r="D348" s="324"/>
      <c r="E348" s="328"/>
      <c r="F348" s="333"/>
      <c r="G348" s="327" t="n">
        <f aca="false">SUM(B348:F348)</f>
        <v>0</v>
      </c>
      <c r="H348" s="328"/>
      <c r="I348" s="335"/>
      <c r="J348" s="327" t="n">
        <f aca="false">SUM(H348:I348)</f>
        <v>0</v>
      </c>
      <c r="K348" s="328"/>
      <c r="L348" s="335"/>
      <c r="M348" s="327" t="n">
        <f aca="false">SUM(K348:L348)</f>
        <v>0</v>
      </c>
      <c r="N348" s="328"/>
      <c r="O348" s="335"/>
      <c r="P348" s="327" t="n">
        <f aca="false">SUM(N348:O348)</f>
        <v>0</v>
      </c>
      <c r="Q348" s="135" t="str">
        <f aca="false">IF(P283=P348,"〇","×")</f>
        <v>〇</v>
      </c>
      <c r="R348" s="135" t="str">
        <f aca="false">IFERROR(INDEX(報告入力!$C$7:$C$696,MATCH($S$327&amp;"|"&amp;$A348,報告入力!$CM$7:$CM$696,0)),"")</f>
        <v>報告なし</v>
      </c>
    </row>
    <row r="349" s="135" customFormat="true" ht="20.1" hidden="false" customHeight="true" outlineLevel="0" collapsed="false">
      <c r="A349" s="125" t="s">
        <v>182</v>
      </c>
      <c r="B349" s="142" t="n">
        <f aca="false">SUMIFS(報告入力!$AY$7:$AY$696,報告入力!$A$7:$A$696,$S$327,報告入力!$B$7:$B$696,$A349)</f>
        <v>0</v>
      </c>
      <c r="C349" s="138" t="n">
        <f aca="false">SUMIFS(報告入力!$AZ$7:$AZ$696,報告入力!$A$7:$A$696,$S$327,報告入力!$B$7:$B$696,$A349)</f>
        <v>0</v>
      </c>
      <c r="D349" s="128" t="n">
        <f aca="false">SUMIFS(報告入力!$BA$7:$BA$696,報告入力!$A$7:$A$696,$S$327,報告入力!$B$7:$B$696,$A349)</f>
        <v>779580</v>
      </c>
      <c r="E349" s="139" t="n">
        <f aca="false">SUMIFS(報告入力!$BB$7:$BB$696,報告入力!$A$7:$A$696,$S$327,報告入力!$B$7:$B$696,$A349)</f>
        <v>63900</v>
      </c>
      <c r="F349" s="138" t="n">
        <f aca="false">SUMIFS(報告入力!$BC$7:$BC$696,報告入力!$A$7:$A$696,$S$327,報告入力!$B$7:$B$696,$A349)</f>
        <v>801</v>
      </c>
      <c r="G349" s="133" t="n">
        <f aca="false">SUM(B349:F349)</f>
        <v>844281</v>
      </c>
      <c r="H349" s="139" t="n">
        <f aca="false">SUMIFS(報告入力!$BD$7:$BD$696,報告入力!$A$7:$A$696,$S$327,報告入力!$B$7:$B$696,$A349)</f>
        <v>0</v>
      </c>
      <c r="I349" s="230" t="n">
        <f aca="false">SUMIFS(報告入力!$BE$7:$BE$696,報告入力!$A$7:$A$696,$S$327,報告入力!$B$7:$B$696,$A349)</f>
        <v>440717</v>
      </c>
      <c r="J349" s="133" t="n">
        <f aca="false">SUM(H349:I349)</f>
        <v>440717</v>
      </c>
      <c r="K349" s="230" t="n">
        <f aca="false">SUMIFS(報告入力!$BF$7:$BF$696,報告入力!$A$7:$A$696,$S$327,報告入力!$B$7:$B$696,$A349)</f>
        <v>0</v>
      </c>
      <c r="L349" s="230" t="n">
        <f aca="false">SUMIFS(報告入力!$BG$7:$BG$696,報告入力!$A$7:$A$696,$S$327,報告入力!$B$7:$B$696,$A349)</f>
        <v>54036</v>
      </c>
      <c r="M349" s="133" t="n">
        <f aca="false">SUM(K349:L349)</f>
        <v>54036</v>
      </c>
      <c r="N349" s="230" t="n">
        <f aca="false">SUMIFS(報告入力!$BH$7:$BH$696,報告入力!$A$7:$A$696,$S$327,報告入力!$B$7:$B$696,$A349)</f>
        <v>0</v>
      </c>
      <c r="O349" s="230" t="n">
        <f aca="false">SUMIFS(報告入力!$BI$7:$BI$696,報告入力!$A$7:$A$696,$S$327,報告入力!$B$7:$B$696,$A349)</f>
        <v>9764</v>
      </c>
      <c r="P349" s="133" t="n">
        <f aca="false">SUM(N349:O349)</f>
        <v>9764</v>
      </c>
      <c r="Q349" s="135" t="str">
        <f aca="false">IF(P284=P349,"〇","×")</f>
        <v>×</v>
      </c>
      <c r="R349" s="135" t="str">
        <f aca="false">IFERROR(INDEX(報告入力!$C$7:$C$696,MATCH($S$327&amp;"|"&amp;$A349,報告入力!$CM$7:$CM$696,0)),"")</f>
        <v>入金確認済</v>
      </c>
    </row>
    <row r="350" s="135" customFormat="true" ht="20.1" hidden="false" customHeight="true" outlineLevel="0" collapsed="false">
      <c r="A350" s="125" t="s">
        <v>183</v>
      </c>
      <c r="B350" s="211"/>
      <c r="C350" s="212"/>
      <c r="D350" s="128" t="n">
        <f aca="false">SUMIFS(報告入力!$BA$7:$BA$696,報告入力!$A$7:$A$696,$S$327,報告入力!$B$7:$B$696,$A350)</f>
        <v>2034960</v>
      </c>
      <c r="E350" s="139" t="n">
        <f aca="false">SUMIFS(報告入力!$BB$7:$BB$696,報告入力!$A$7:$A$696,$S$327,報告入力!$B$7:$B$696,$A350)</f>
        <v>166800</v>
      </c>
      <c r="F350" s="138" t="n">
        <f aca="false">SUMIFS(報告入力!$BC$7:$BC$696,報告入力!$A$7:$A$696,$S$327,報告入力!$B$7:$B$696,$A350)</f>
        <v>2038</v>
      </c>
      <c r="G350" s="133" t="n">
        <f aca="false">SUM(B350:F350)</f>
        <v>2203798</v>
      </c>
      <c r="H350" s="213"/>
      <c r="I350" s="230" t="n">
        <f aca="false">SUMIFS(報告入力!$BE$7:$BE$696,報告入力!$A$7:$A$696,$S$327,報告入力!$B$7:$B$696,$A350)</f>
        <v>1310786</v>
      </c>
      <c r="J350" s="133" t="n">
        <f aca="false">SUM(H350:I350)</f>
        <v>1310786</v>
      </c>
      <c r="K350" s="213"/>
      <c r="L350" s="230" t="n">
        <f aca="false">SUMIFS(報告入力!$BG$7:$BG$696,報告入力!$A$7:$A$696,$S$327,報告入力!$B$7:$B$696,$A350)</f>
        <v>143859</v>
      </c>
      <c r="M350" s="133" t="n">
        <f aca="false">SUM(K350:L350)</f>
        <v>143859</v>
      </c>
      <c r="N350" s="213"/>
      <c r="O350" s="230" t="n">
        <f aca="false">SUMIFS(報告入力!$BI$7:$BI$696,報告入力!$A$7:$A$696,$S$327,報告入力!$B$7:$B$696,$A350)</f>
        <v>29034</v>
      </c>
      <c r="P350" s="133" t="n">
        <f aca="false">SUM(N350:O350)</f>
        <v>29034</v>
      </c>
      <c r="Q350" s="135" t="str">
        <f aca="false">IF(P285=P350,"〇","×")</f>
        <v>〇</v>
      </c>
      <c r="R350" s="135" t="str">
        <f aca="false">IFERROR(INDEX(報告入力!$C$7:$C$696,MATCH($S$327&amp;"|"&amp;$A350,報告入力!$CM$7:$CM$696,0)),"")</f>
        <v>入金確認済</v>
      </c>
    </row>
    <row r="351" s="135" customFormat="true" ht="20.1" hidden="false" customHeight="true" outlineLevel="0" collapsed="false">
      <c r="A351" s="125" t="s">
        <v>184</v>
      </c>
      <c r="B351" s="211"/>
      <c r="C351" s="212"/>
      <c r="D351" s="136" t="n">
        <f aca="false">SUMIFS(報告入力!$BA$7:$BA$696,報告入力!$A$7:$A$696,$S$327,報告入力!$B$7:$B$696,$A351)</f>
        <v>59475</v>
      </c>
      <c r="E351" s="139" t="n">
        <f aca="false">SUMIFS(報告入力!$BB$7:$BB$696,報告入力!$A$7:$A$696,$S$327,報告入力!$B$7:$B$696,$A351)</f>
        <v>4875</v>
      </c>
      <c r="F351" s="138" t="n">
        <f aca="false">SUMIFS(報告入力!$BC$7:$BC$696,報告入力!$A$7:$A$696,$S$327,報告入力!$B$7:$B$696,$A351)</f>
        <v>56</v>
      </c>
      <c r="G351" s="133" t="n">
        <f aca="false">SUM(B351:F351)</f>
        <v>64406</v>
      </c>
      <c r="H351" s="213"/>
      <c r="I351" s="230" t="n">
        <f aca="false">SUMIFS(報告入力!$BE$7:$BE$696,報告入力!$A$7:$A$696,$S$327,報告入力!$B$7:$B$696,$A351)</f>
        <v>36856</v>
      </c>
      <c r="J351" s="133" t="n">
        <f aca="false">SUM(H351:I351)</f>
        <v>36856</v>
      </c>
      <c r="K351" s="213"/>
      <c r="L351" s="230" t="n">
        <f aca="false">SUMIFS(報告入力!$BG$7:$BG$696,報告入力!$A$7:$A$696,$S$327,報告入力!$B$7:$B$696,$A351)</f>
        <v>5609</v>
      </c>
      <c r="M351" s="133" t="n">
        <f aca="false">SUM(K351:L351)</f>
        <v>5609</v>
      </c>
      <c r="N351" s="213"/>
      <c r="O351" s="230" t="n">
        <f aca="false">SUMIFS(報告入力!$BI$7:$BI$696,報告入力!$A$7:$A$696,$S$327,報告入力!$B$7:$B$696,$A351)</f>
        <v>816</v>
      </c>
      <c r="P351" s="133" t="n">
        <f aca="false">SUM(N351:O351)</f>
        <v>816</v>
      </c>
      <c r="Q351" s="135" t="str">
        <f aca="false">IF(P286=P351,"〇","×")</f>
        <v>〇</v>
      </c>
      <c r="R351" s="135" t="str">
        <f aca="false">IFERROR(INDEX(報告入力!$C$7:$C$696,MATCH($S$327&amp;"|"&amp;$A351,報告入力!$CM$7:$CM$696,0)),"")</f>
        <v>入金確認済</v>
      </c>
    </row>
    <row r="352" s="135" customFormat="true" ht="19.5" hidden="false" customHeight="true" outlineLevel="0" collapsed="false">
      <c r="A352" s="214" t="s">
        <v>185</v>
      </c>
      <c r="B352" s="211"/>
      <c r="C352" s="212"/>
      <c r="D352" s="128" t="n">
        <f aca="false">SUMIFS(報告入力!$BA$7:$BA$696,報告入力!$A$7:$A$696,$S$327,報告入力!$B$7:$B$696,$A352)</f>
        <v>339465</v>
      </c>
      <c r="E352" s="139" t="n">
        <f aca="false">SUMIFS(報告入力!$BB$7:$BB$696,報告入力!$A$7:$A$696,$S$327,報告入力!$B$7:$B$696,$A352)</f>
        <v>27825</v>
      </c>
      <c r="F352" s="138" t="n">
        <f aca="false">SUMIFS(報告入力!$BC$7:$BC$696,報告入力!$A$7:$A$696,$S$327,報告入力!$B$7:$B$696,$A352)</f>
        <v>395</v>
      </c>
      <c r="G352" s="133" t="n">
        <f aca="false">SUM(B352:F352)</f>
        <v>367685</v>
      </c>
      <c r="H352" s="227"/>
      <c r="I352" s="230" t="n">
        <f aca="false">SUMIFS(報告入力!$BE$7:$BE$696,報告入力!$A$7:$A$696,$S$327,報告入力!$B$7:$B$696,$A352)</f>
        <v>192628</v>
      </c>
      <c r="J352" s="133" t="n">
        <f aca="false">SUM(H352:I352)</f>
        <v>192628</v>
      </c>
      <c r="K352" s="213"/>
      <c r="L352" s="230" t="n">
        <f aca="false">SUMIFS(報告入力!$BG$7:$BG$696,報告入力!$A$7:$A$696,$S$327,報告入力!$B$7:$B$696,$A352)</f>
        <v>26781</v>
      </c>
      <c r="M352" s="133" t="n">
        <f aca="false">SUM(K352:L352)</f>
        <v>26781</v>
      </c>
      <c r="N352" s="213"/>
      <c r="O352" s="230" t="n">
        <f aca="false">SUMIFS(報告入力!$BI$7:$BI$696,報告入力!$A$7:$A$696,$S$327,報告入力!$B$7:$B$696,$A352)</f>
        <v>4266</v>
      </c>
      <c r="P352" s="133" t="n">
        <f aca="false">SUM(N352:O352)</f>
        <v>4266</v>
      </c>
      <c r="Q352" s="135" t="str">
        <f aca="false">IF(P287=P352,"〇","×")</f>
        <v>×</v>
      </c>
      <c r="R352" s="135" t="str">
        <f aca="false">IFERROR(INDEX(報告入力!$C$7:$C$696,MATCH($S$327&amp;"|"&amp;$A352,報告入力!$CM$7:$CM$696,0)),"")</f>
        <v>入金確認済</v>
      </c>
    </row>
    <row r="353" s="135" customFormat="true" ht="20.1" hidden="false" customHeight="true" outlineLevel="0" collapsed="false">
      <c r="A353" s="146" t="s">
        <v>186</v>
      </c>
      <c r="B353" s="211"/>
      <c r="C353" s="216"/>
      <c r="D353" s="136" t="n">
        <f aca="false">SUMIFS(報告入力!$BA$7:$BA$696,報告入力!$A$7:$A$696,$S$327,報告入力!$B$7:$B$696,$A353)</f>
        <v>45750</v>
      </c>
      <c r="E353" s="139" t="n">
        <f aca="false">SUMIFS(報告入力!$BB$7:$BB$696,報告入力!$A$7:$A$696,$S$327,報告入力!$B$7:$B$696,$A353)</f>
        <v>3750</v>
      </c>
      <c r="F353" s="138" t="n">
        <f aca="false">SUMIFS(報告入力!$BC$7:$BC$696,報告入力!$A$7:$A$696,$S$327,報告入力!$B$7:$B$696,$A353)</f>
        <v>43</v>
      </c>
      <c r="G353" s="133" t="n">
        <f aca="false">SUM(B353:F353)</f>
        <v>49543</v>
      </c>
      <c r="H353" s="213"/>
      <c r="I353" s="230" t="n">
        <f aca="false">SUMIFS(報告入力!$BE$7:$BE$696,報告入力!$A$7:$A$696,$S$327,報告入力!$B$7:$B$696,$A353)</f>
        <v>25955</v>
      </c>
      <c r="J353" s="133" t="n">
        <f aca="false">SUM(H353:I353)</f>
        <v>25955</v>
      </c>
      <c r="K353" s="213"/>
      <c r="L353" s="230" t="n">
        <f aca="false">SUMIFS(報告入力!$BG$7:$BG$696,報告入力!$A$7:$A$696,$S$327,報告入力!$B$7:$B$696,$A353)</f>
        <v>3950</v>
      </c>
      <c r="M353" s="133" t="n">
        <f aca="false">SUM(K353:L353)</f>
        <v>3950</v>
      </c>
      <c r="N353" s="213"/>
      <c r="O353" s="230" t="n">
        <f aca="false">SUMIFS(報告入力!$BI$7:$BI$696,報告入力!$A$7:$A$696,$S$327,報告入力!$B$7:$B$696,$A353)</f>
        <v>575</v>
      </c>
      <c r="P353" s="133" t="n">
        <f aca="false">SUM(N353:O353)</f>
        <v>575</v>
      </c>
      <c r="Q353" s="135" t="str">
        <f aca="false">IF(P288=P353,"〇","×")</f>
        <v>〇</v>
      </c>
      <c r="R353" s="135" t="str">
        <f aca="false">IFERROR(INDEX(報告入力!$C$7:$C$696,MATCH($S$327&amp;"|"&amp;$A353,報告入力!$CM$7:$CM$696,0)),"")</f>
        <v>入金確認済</v>
      </c>
    </row>
    <row r="354" s="135" customFormat="true" ht="20.1" hidden="false" customHeight="true" outlineLevel="0" collapsed="false">
      <c r="A354" s="146" t="s">
        <v>187</v>
      </c>
      <c r="B354" s="211"/>
      <c r="C354" s="216"/>
      <c r="D354" s="136" t="n">
        <f aca="false">SUMIFS(報告入力!$BA$7:$BA$696,報告入力!$A$7:$A$696,$S$327,報告入力!$B$7:$B$696,$A354)</f>
        <v>0</v>
      </c>
      <c r="E354" s="139" t="n">
        <f aca="false">SUMIFS(報告入力!$BB$7:$BB$696,報告入力!$A$7:$A$696,$S$327,報告入力!$B$7:$B$696,$A354)</f>
        <v>0</v>
      </c>
      <c r="F354" s="138" t="n">
        <f aca="false">SUMIFS(報告入力!$BC$7:$BC$696,報告入力!$A$7:$A$696,$S$327,報告入力!$B$7:$B$696,$A354)</f>
        <v>0</v>
      </c>
      <c r="G354" s="133" t="n">
        <f aca="false">SUM(B354:F354)</f>
        <v>0</v>
      </c>
      <c r="H354" s="213"/>
      <c r="I354" s="230" t="n">
        <f aca="false">SUMIFS(報告入力!$BE$7:$BE$696,報告入力!$A$7:$A$696,$S$327,報告入力!$B$7:$B$696,$A354)</f>
        <v>0</v>
      </c>
      <c r="J354" s="133" t="n">
        <f aca="false">SUM(H354:I354)</f>
        <v>0</v>
      </c>
      <c r="K354" s="213"/>
      <c r="L354" s="230" t="n">
        <f aca="false">SUMIFS(報告入力!$BG$7:$BG$696,報告入力!$A$7:$A$696,$S$327,報告入力!$B$7:$B$696,$A354)</f>
        <v>0</v>
      </c>
      <c r="M354" s="133" t="n">
        <f aca="false">SUM(K354:L354)</f>
        <v>0</v>
      </c>
      <c r="N354" s="213"/>
      <c r="O354" s="230" t="n">
        <f aca="false">SUMIFS(報告入力!$BI$7:$BI$696,報告入力!$A$7:$A$696,$S$327,報告入力!$B$7:$B$696,$A354)</f>
        <v>0</v>
      </c>
      <c r="P354" s="133" t="n">
        <f aca="false">SUM(N354:O354)</f>
        <v>0</v>
      </c>
      <c r="Q354" s="135" t="str">
        <f aca="false">IF(P289=P354,"〇","×")</f>
        <v>〇</v>
      </c>
      <c r="R354" s="135" t="str">
        <f aca="false">IFERROR(INDEX(報告入力!$C$7:$C$696,MATCH($S$327&amp;"|"&amp;$A354,報告入力!$CM$7:$CM$696,0)),"")</f>
        <v>入金確認済</v>
      </c>
    </row>
    <row r="355" s="135" customFormat="true" ht="20.1" hidden="false" customHeight="true" outlineLevel="0" collapsed="false">
      <c r="A355" s="217" t="s">
        <v>188</v>
      </c>
      <c r="B355" s="211"/>
      <c r="C355" s="218"/>
      <c r="D355" s="136" t="n">
        <f aca="false">SUMIFS(報告入力!$BA$7:$BA$696,報告入力!$A$7:$A$696,$S$327,報告入力!$B$7:$B$696,$A355)</f>
        <v>193065</v>
      </c>
      <c r="E355" s="139" t="n">
        <f aca="false">SUMIFS(報告入力!$BB$7:$BB$696,報告入力!$A$7:$A$696,$S$327,報告入力!$B$7:$B$696,$A355)</f>
        <v>15825</v>
      </c>
      <c r="F355" s="138" t="n">
        <f aca="false">SUMIFS(報告入力!$BC$7:$BC$696,報告入力!$A$7:$A$696,$S$327,報告入力!$B$7:$B$696,$A355)</f>
        <v>183</v>
      </c>
      <c r="G355" s="133" t="n">
        <f aca="false">SUM(B355:F355)</f>
        <v>209073</v>
      </c>
      <c r="H355" s="213"/>
      <c r="I355" s="230" t="n">
        <f aca="false">SUMIFS(報告入力!$BE$7:$BE$696,報告入力!$A$7:$A$696,$S$327,報告入力!$B$7:$B$696,$A355)</f>
        <v>109530</v>
      </c>
      <c r="J355" s="133" t="n">
        <f aca="false">SUM(H355:I355)</f>
        <v>109530</v>
      </c>
      <c r="K355" s="213"/>
      <c r="L355" s="230" t="n">
        <f aca="false">SUMIFS(報告入力!$BG$7:$BG$696,報告入力!$A$7:$A$696,$S$327,報告入力!$B$7:$B$696,$A355)</f>
        <v>12956</v>
      </c>
      <c r="M355" s="133" t="n">
        <f aca="false">SUM(K355:L355)</f>
        <v>12956</v>
      </c>
      <c r="N355" s="213"/>
      <c r="O355" s="230" t="n">
        <f aca="false">SUMIFS(報告入力!$BI$7:$BI$696,報告入力!$A$7:$A$696,$S$327,報告入力!$B$7:$B$696,$A355)</f>
        <v>2426</v>
      </c>
      <c r="P355" s="133" t="n">
        <f aca="false">SUM(N355:O355)</f>
        <v>2426</v>
      </c>
      <c r="Q355" s="135" t="str">
        <f aca="false">IF(P290=P355,"〇","×")</f>
        <v>〇</v>
      </c>
      <c r="R355" s="135" t="str">
        <f aca="false">IFERROR(INDEX(報告入力!$C$7:$C$696,MATCH($S$327&amp;"|"&amp;$A355,報告入力!$CM$7:$CM$696,0)),"")</f>
        <v>入金確認済</v>
      </c>
    </row>
    <row r="356" s="135" customFormat="true" ht="20.1" hidden="false" customHeight="true" outlineLevel="0" collapsed="false">
      <c r="A356" s="125" t="s">
        <v>189</v>
      </c>
      <c r="B356" s="142" t="n">
        <f aca="false">SUMIFS(報告入力!$AY$7:$AY$696,報告入力!$A$7:$A$696,$S$327,報告入力!$B$7:$B$696,$A356)</f>
        <v>241560</v>
      </c>
      <c r="C356" s="138" t="n">
        <f aca="false">SUMIFS(報告入力!$AZ$7:$AZ$696,報告入力!$A$7:$A$696,$S$327,報告入力!$B$7:$B$696,$A356)</f>
        <v>19800</v>
      </c>
      <c r="D356" s="136" t="n">
        <f aca="false">SUMIFS(報告入力!$BA$7:$BA$696,報告入力!$A$7:$A$696,$S$327,報告入力!$B$7:$B$696,$A356)</f>
        <v>241560</v>
      </c>
      <c r="E356" s="139" t="n">
        <f aca="false">SUMIFS(報告入力!$BB$7:$BB$696,報告入力!$A$7:$A$696,$S$327,報告入力!$B$7:$B$696,$A356)</f>
        <v>19800</v>
      </c>
      <c r="F356" s="138" t="n">
        <f aca="false">SUMIFS(報告入力!$BC$7:$BC$696,報告入力!$A$7:$A$696,$S$327,報告入力!$B$7:$B$696,$A356)</f>
        <v>229</v>
      </c>
      <c r="G356" s="133" t="n">
        <f aca="false">SUM(B356:F356)</f>
        <v>522949</v>
      </c>
      <c r="H356" s="139" t="n">
        <f aca="false">SUMIFS(報告入力!$BD$7:$BD$696,報告入力!$A$7:$A$696,$S$327,報告入力!$B$7:$B$696,$A356)</f>
        <v>140019</v>
      </c>
      <c r="I356" s="230" t="n">
        <f aca="false">SUMIFS(報告入力!$BE$7:$BE$696,報告入力!$A$7:$A$696,$S$327,報告入力!$B$7:$B$696,$A356)</f>
        <v>140157</v>
      </c>
      <c r="J356" s="133" t="n">
        <f aca="false">SUM(H356:I356)</f>
        <v>280176</v>
      </c>
      <c r="K356" s="139" t="n">
        <f aca="false">SUMIFS(報告入力!$BF$7:$BF$696,報告入力!$A$7:$A$696,$S$327,報告入力!$B$7:$B$696,$A356)</f>
        <v>10744</v>
      </c>
      <c r="L356" s="230" t="n">
        <f aca="false">SUMIFS(報告入力!$BG$7:$BG$696,報告入力!$A$7:$A$696,$S$327,報告入力!$B$7:$B$696,$A356)</f>
        <v>10744</v>
      </c>
      <c r="M356" s="133" t="n">
        <f aca="false">SUM(K356:L356)</f>
        <v>21488</v>
      </c>
      <c r="N356" s="139" t="n">
        <f aca="false">SUMIFS(報告入力!$BH$7:$BH$696,報告入力!$A$7:$A$696,$S$327,報告入力!$B$7:$B$696,$A356)</f>
        <v>3104</v>
      </c>
      <c r="O356" s="230" t="n">
        <f aca="false">SUMIFS(報告入力!$BI$7:$BI$696,報告入力!$A$7:$A$696,$S$327,報告入力!$B$7:$B$696,$A356)</f>
        <v>3105</v>
      </c>
      <c r="P356" s="133" t="n">
        <f aca="false">SUM(N356:O356)</f>
        <v>6209</v>
      </c>
      <c r="Q356" s="135" t="str">
        <f aca="false">IF(P291=P356,"〇","×")</f>
        <v>〇</v>
      </c>
      <c r="R356" s="135" t="str">
        <f aca="false">IFERROR(INDEX(報告入力!$C$7:$C$696,MATCH($S$327&amp;"|"&amp;$A356,報告入力!$CM$7:$CM$696,0)),"")</f>
        <v>入金確認済</v>
      </c>
    </row>
    <row r="357" s="135" customFormat="true" ht="20.1" hidden="false" customHeight="true" outlineLevel="0" collapsed="false">
      <c r="A357" s="219" t="s">
        <v>190</v>
      </c>
      <c r="B357" s="136" t="n">
        <f aca="false">SUMIFS(報告入力!$AY$7:$AY$696,報告入力!$A$7:$A$696,$S$327,報告入力!$B$7:$B$696,$A357)</f>
        <v>40260</v>
      </c>
      <c r="C357" s="138" t="n">
        <f aca="false">SUMIFS(報告入力!$AZ$7:$AZ$696,報告入力!$A$7:$A$696,$S$327,報告入力!$B$7:$B$696,$A357)</f>
        <v>3300</v>
      </c>
      <c r="D357" s="136" t="n">
        <f aca="false">SUMIFS(報告入力!$BA$7:$BA$696,報告入力!$A$7:$A$696,$S$327,報告入力!$B$7:$B$696,$A357)</f>
        <v>40260</v>
      </c>
      <c r="E357" s="139" t="n">
        <f aca="false">SUMIFS(報告入力!$BB$7:$BB$696,報告入力!$A$7:$A$696,$S$327,報告入力!$B$7:$B$696,$A357)</f>
        <v>3300</v>
      </c>
      <c r="F357" s="138" t="n">
        <f aca="false">SUMIFS(報告入力!$BC$7:$BC$696,報告入力!$A$7:$A$696,$S$327,報告入力!$B$7:$B$696,$A357)</f>
        <v>38</v>
      </c>
      <c r="G357" s="133" t="n">
        <f aca="false">SUM(B357:F357)</f>
        <v>87158</v>
      </c>
      <c r="H357" s="139" t="n">
        <f aca="false">SUMIFS(報告入力!$BD$7:$BD$696,報告入力!$A$7:$A$696,$S$327,報告入力!$B$7:$B$696,$A357)</f>
        <v>22818</v>
      </c>
      <c r="I357" s="230" t="n">
        <f aca="false">SUMIFS(報告入力!$BE$7:$BE$696,報告入力!$A$7:$A$696,$S$327,報告入力!$B$7:$B$696,$A357)</f>
        <v>22840</v>
      </c>
      <c r="J357" s="133" t="n">
        <f aca="false">SUM(H357:I357)</f>
        <v>45658</v>
      </c>
      <c r="K357" s="139" t="n">
        <f aca="false">SUMIFS(報告入力!$BF$7:$BF$696,報告入力!$A$7:$A$696,$S$327,報告入力!$B$7:$B$696,$A357)</f>
        <v>0</v>
      </c>
      <c r="L357" s="230" t="n">
        <f aca="false">SUMIFS(報告入力!$BG$7:$BG$696,報告入力!$A$7:$A$696,$S$327,報告入力!$B$7:$B$696,$A357)</f>
        <v>0</v>
      </c>
      <c r="M357" s="133" t="n">
        <f aca="false">SUM(K357:L357)</f>
        <v>0</v>
      </c>
      <c r="N357" s="139" t="n">
        <f aca="false">SUMIFS(報告入力!$BH$7:$BH$696,報告入力!$A$7:$A$696,$S$327,報告入力!$B$7:$B$696,$A357)</f>
        <v>506</v>
      </c>
      <c r="O357" s="230" t="n">
        <f aca="false">SUMIFS(報告入力!$BI$7:$BI$696,報告入力!$A$7:$A$696,$S$327,報告入力!$B$7:$B$696,$A357)</f>
        <v>506</v>
      </c>
      <c r="P357" s="133" t="n">
        <f aca="false">SUM(N357:O357)</f>
        <v>1012</v>
      </c>
      <c r="Q357" s="135" t="str">
        <f aca="false">IF(P292=P357,"〇","×")</f>
        <v>〇</v>
      </c>
      <c r="R357" s="135" t="str">
        <f aca="false">IFERROR(INDEX(報告入力!$C$7:$C$696,MATCH($S$327&amp;"|"&amp;$A357,報告入力!$CM$7:$CM$696,0)),"")</f>
        <v>入金確認済</v>
      </c>
    </row>
    <row r="358" s="135" customFormat="true" ht="20.1" hidden="false" customHeight="true" outlineLevel="0" collapsed="false">
      <c r="A358" s="222" t="s">
        <v>191</v>
      </c>
      <c r="B358" s="142" t="n">
        <f aca="false">SUMIFS(報告入力!$AY$7:$AY$696,報告入力!$A$7:$A$696,$S$327,報告入力!$B$7:$B$696,$A358)</f>
        <v>107970</v>
      </c>
      <c r="C358" s="138" t="n">
        <f aca="false">SUMIFS(報告入力!$AZ$7:$AZ$696,報告入力!$A$7:$A$696,$S$327,報告入力!$B$7:$B$696,$A358)</f>
        <v>8850</v>
      </c>
      <c r="D358" s="136" t="n">
        <f aca="false">SUMIFS(報告入力!$BA$7:$BA$696,報告入力!$A$7:$A$696,$S$327,報告入力!$B$7:$B$696,$A358)</f>
        <v>107970</v>
      </c>
      <c r="E358" s="139" t="n">
        <f aca="false">SUMIFS(報告入力!$BB$7:$BB$696,報告入力!$A$7:$A$696,$S$327,報告入力!$B$7:$B$696,$A358)</f>
        <v>8850</v>
      </c>
      <c r="F358" s="138" t="n">
        <f aca="false">SUMIFS(報告入力!$BC$7:$BC$696,報告入力!$A$7:$A$696,$S$327,報告入力!$B$7:$B$696,$A358)</f>
        <v>102</v>
      </c>
      <c r="G358" s="133" t="n">
        <f aca="false">SUM(B358:F358)</f>
        <v>233742</v>
      </c>
      <c r="H358" s="139" t="n">
        <f aca="false">SUMIFS(報告入力!$BD$7:$BD$696,報告入力!$A$7:$A$696,$S$327,報告入力!$B$7:$B$696,$A358)</f>
        <v>61194</v>
      </c>
      <c r="I358" s="230" t="n">
        <f aca="false">SUMIFS(報告入力!$BE$7:$BE$696,報告入力!$A$7:$A$696,$S$327,報告入力!$B$7:$B$696,$A358)</f>
        <v>61253</v>
      </c>
      <c r="J358" s="133" t="n">
        <f aca="false">SUM(H358:I358)</f>
        <v>122447</v>
      </c>
      <c r="K358" s="139" t="n">
        <f aca="false">SUMIFS(報告入力!$BF$7:$BF$696,報告入力!$A$7:$A$696,$S$327,報告入力!$B$7:$B$696,$A358)</f>
        <v>9322</v>
      </c>
      <c r="L358" s="230" t="n">
        <f aca="false">SUMIFS(報告入力!$BG$7:$BG$696,報告入力!$A$7:$A$696,$S$327,報告入力!$B$7:$B$696,$A358)</f>
        <v>9322</v>
      </c>
      <c r="M358" s="133" t="n">
        <f aca="false">SUM(K358:L358)</f>
        <v>18644</v>
      </c>
      <c r="N358" s="139" t="n">
        <f aca="false">SUMIFS(報告入力!$BH$7:$BH$696,報告入力!$A$7:$A$696,$S$327,報告入力!$B$7:$B$696,$A358)</f>
        <v>1356</v>
      </c>
      <c r="O358" s="230" t="n">
        <f aca="false">SUMIFS(報告入力!$BI$7:$BI$696,報告入力!$A$7:$A$696,$S$327,報告入力!$B$7:$B$696,$A358)</f>
        <v>1357</v>
      </c>
      <c r="P358" s="133" t="n">
        <f aca="false">SUM(N358:O358)</f>
        <v>2713</v>
      </c>
      <c r="Q358" s="135" t="str">
        <f aca="false">IF(P293=P358,"〇","×")</f>
        <v>〇</v>
      </c>
      <c r="R358" s="135" t="str">
        <f aca="false">IFERROR(INDEX(報告入力!$C$7:$C$696,MATCH($S$327&amp;"|"&amp;$A358,報告入力!$CM$7:$CM$696,0)),"")</f>
        <v>入金確認済</v>
      </c>
    </row>
    <row r="359" s="135" customFormat="true" ht="20.1" hidden="false" customHeight="true" outlineLevel="0" collapsed="false">
      <c r="A359" s="125" t="s">
        <v>192</v>
      </c>
      <c r="B359" s="142" t="n">
        <f aca="false">SUMIFS(報告入力!$AY$7:$AY$696,報告入力!$A$7:$A$696,$S$327,報告入力!$B$7:$B$696,$A359)</f>
        <v>793305</v>
      </c>
      <c r="C359" s="138" t="n">
        <f aca="false">SUMIFS(報告入力!$AZ$7:$AZ$696,報告入力!$A$7:$A$696,$S$327,報告入力!$B$7:$B$696,$A359)</f>
        <v>65025</v>
      </c>
      <c r="D359" s="128" t="n">
        <f aca="false">SUMIFS(報告入力!$BA$7:$BA$696,報告入力!$A$7:$A$696,$S$327,報告入力!$B$7:$B$696,$A359)</f>
        <v>793304</v>
      </c>
      <c r="E359" s="139" t="n">
        <f aca="false">SUMIFS(報告入力!$BB$7:$BB$696,報告入力!$A$7:$A$696,$S$327,報告入力!$B$7:$B$696,$A359)</f>
        <v>65024</v>
      </c>
      <c r="F359" s="138" t="n">
        <f aca="false">SUMIFS(報告入力!$BC$7:$BC$696,報告入力!$A$7:$A$696,$S$327,報告入力!$B$7:$B$696,$A359)</f>
        <v>756</v>
      </c>
      <c r="G359" s="133" t="n">
        <f aca="false">SUM(B359:F359)</f>
        <v>1717414</v>
      </c>
      <c r="H359" s="139" t="n">
        <f aca="false">SUMIFS(報告入力!$BD$7:$BD$696,報告入力!$A$7:$A$696,$S$327,報告入力!$B$7:$B$696,$A359)</f>
        <v>449619</v>
      </c>
      <c r="I359" s="230" t="n">
        <f aca="false">SUMIFS(報告入力!$BE$7:$BE$696,報告入力!$A$7:$A$696,$S$327,報告入力!$B$7:$B$696,$A359)</f>
        <v>450061</v>
      </c>
      <c r="J359" s="133" t="n">
        <f aca="false">SUM(H359:I359)</f>
        <v>899680</v>
      </c>
      <c r="K359" s="230" t="n">
        <f aca="false">SUMIFS(報告入力!$BF$7:$BF$696,報告入力!$A$7:$A$696,$S$327,報告入力!$B$7:$B$696,$A359)</f>
        <v>39816</v>
      </c>
      <c r="L359" s="230" t="n">
        <f aca="false">SUMIFS(報告入力!$BG$7:$BG$696,報告入力!$A$7:$A$696,$S$327,報告入力!$B$7:$B$696,$A359)</f>
        <v>39816</v>
      </c>
      <c r="M359" s="133" t="n">
        <f aca="false">SUM(K359:L359)</f>
        <v>79632</v>
      </c>
      <c r="N359" s="139" t="n">
        <f aca="false">SUMIFS(報告入力!$BH$7:$BH$696,報告入力!$A$7:$A$696,$S$327,報告入力!$B$7:$B$696,$A359)</f>
        <v>9966</v>
      </c>
      <c r="O359" s="230" t="n">
        <f aca="false">SUMIFS(報告入力!$BI$7:$BI$696,報告入力!$A$7:$A$696,$S$327,報告入力!$B$7:$B$696,$A359)</f>
        <v>9969</v>
      </c>
      <c r="P359" s="133" t="n">
        <f aca="false">SUM(N359:O359)</f>
        <v>19935</v>
      </c>
      <c r="Q359" s="135" t="str">
        <f aca="false">IF(P294=P359,"〇","×")</f>
        <v>×</v>
      </c>
      <c r="R359" s="135" t="str">
        <f aca="false">IFERROR(INDEX(報告入力!$C$7:$C$696,MATCH($S$327&amp;"|"&amp;$A359,報告入力!$CM$7:$CM$696,0)),"")</f>
        <v>入金確認済</v>
      </c>
    </row>
    <row r="360" s="135" customFormat="true" ht="20.1" hidden="false" customHeight="true" outlineLevel="0" collapsed="false">
      <c r="A360" s="125" t="s">
        <v>193</v>
      </c>
      <c r="B360" s="226"/>
      <c r="C360" s="216"/>
      <c r="D360" s="136" t="n">
        <f aca="false">SUMIFS(報告入力!$BA$7:$BA$696,報告入力!$A$7:$A$696,$S$327,報告入力!$B$7:$B$696,$A360)</f>
        <v>582855</v>
      </c>
      <c r="E360" s="139" t="n">
        <f aca="false">SUMIFS(報告入力!$BB$7:$BB$696,報告入力!$A$7:$A$696,$S$327,報告入力!$B$7:$B$696,$A360)</f>
        <v>47775</v>
      </c>
      <c r="F360" s="138" t="n">
        <f aca="false">SUMIFS(報告入力!$BC$7:$BC$696,報告入力!$A$7:$A$696,$S$327,報告入力!$B$7:$B$696,$A360)</f>
        <v>579</v>
      </c>
      <c r="G360" s="133" t="n">
        <f aca="false">SUM(B360:F360)</f>
        <v>631209</v>
      </c>
      <c r="H360" s="227"/>
      <c r="I360" s="230" t="n">
        <f aca="false">SUMIFS(報告入力!$BE$7:$BE$696,報告入力!$A$7:$A$696,$S$327,報告入力!$B$7:$B$696,$A360)</f>
        <v>330681</v>
      </c>
      <c r="J360" s="133" t="n">
        <f aca="false">SUM(H360:I360)</f>
        <v>330681</v>
      </c>
      <c r="K360" s="213"/>
      <c r="L360" s="230" t="n">
        <f aca="false">SUMIFS(報告入力!$BG$7:$BG$696,報告入力!$A$7:$A$696,$S$327,報告入力!$B$7:$B$696,$A360)</f>
        <v>28203</v>
      </c>
      <c r="M360" s="133" t="n">
        <f aca="false">SUM(K360:L360)</f>
        <v>28203</v>
      </c>
      <c r="N360" s="213"/>
      <c r="O360" s="230" t="n">
        <f aca="false">SUMIFS(報告入力!$BI$7:$BI$696,報告入力!$A$7:$A$696,$S$327,報告入力!$B$7:$B$696,$A360)</f>
        <v>7324</v>
      </c>
      <c r="P360" s="133" t="n">
        <f aca="false">SUM(N360:O360)</f>
        <v>7324</v>
      </c>
      <c r="Q360" s="135" t="str">
        <f aca="false">IF(P295=P360,"〇","×")</f>
        <v>〇</v>
      </c>
      <c r="R360" s="135" t="str">
        <f aca="false">IFERROR(INDEX(報告入力!$C$7:$C$696,MATCH($S$327&amp;"|"&amp;$A360,報告入力!$CM$7:$CM$696,0)),"")</f>
        <v>入金確認済</v>
      </c>
    </row>
    <row r="361" s="135" customFormat="true" ht="20.1" hidden="false" customHeight="true" outlineLevel="0" collapsed="false">
      <c r="A361" s="228" t="s">
        <v>194</v>
      </c>
      <c r="B361" s="211"/>
      <c r="C361" s="218"/>
      <c r="D361" s="136" t="n">
        <f aca="false">SUMIFS(報告入力!$BA$7:$BA$696,報告入力!$A$7:$A$696,$S$327,報告入力!$B$7:$B$696,$A361)</f>
        <v>1056825</v>
      </c>
      <c r="E361" s="139" t="n">
        <f aca="false">SUMIFS(報告入力!$BB$7:$BB$696,報告入力!$A$7:$A$696,$S$327,報告入力!$B$7:$B$696,$A361)</f>
        <v>86625</v>
      </c>
      <c r="F361" s="138" t="n">
        <f aca="false">SUMIFS(報告入力!$BC$7:$BC$696,報告入力!$A$7:$A$696,$S$327,報告入力!$B$7:$B$696,$A361)</f>
        <v>1000</v>
      </c>
      <c r="G361" s="133" t="n">
        <f aca="false">SUM(B361:F361)</f>
        <v>1144450</v>
      </c>
      <c r="H361" s="213"/>
      <c r="I361" s="230" t="n">
        <f aca="false">SUMIFS(報告入力!$BE$7:$BE$696,報告入力!$A$7:$A$696,$S$327,報告入力!$B$7:$B$696,$A361)</f>
        <v>599038</v>
      </c>
      <c r="J361" s="133" t="n">
        <f aca="false">SUM(H361:I361)</f>
        <v>599038</v>
      </c>
      <c r="K361" s="213"/>
      <c r="L361" s="230" t="n">
        <f aca="false">SUMIFS(報告入力!$BG$7:$BG$696,報告入力!$A$7:$A$696,$S$327,報告入力!$B$7:$B$696,$A361)</f>
        <v>85794</v>
      </c>
      <c r="M361" s="133" t="n">
        <f aca="false">SUM(K361:L361)</f>
        <v>85794</v>
      </c>
      <c r="N361" s="213"/>
      <c r="O361" s="230" t="n">
        <f aca="false">SUMIFS(報告入力!$BI$7:$BI$696,報告入力!$A$7:$A$696,$S$327,報告入力!$B$7:$B$696,$A361)</f>
        <v>13270</v>
      </c>
      <c r="P361" s="133" t="n">
        <f aca="false">SUM(N361:O361)</f>
        <v>13270</v>
      </c>
      <c r="Q361" s="135" t="str">
        <f aca="false">IF(P296=P361,"〇","×")</f>
        <v>×</v>
      </c>
      <c r="R361" s="135" t="str">
        <f aca="false">IFERROR(INDEX(報告入力!$C$7:$C$696,MATCH($S$327&amp;"|"&amp;$A361,報告入力!$CM$7:$CM$696,0)),"")</f>
        <v>入金確認済</v>
      </c>
    </row>
    <row r="362" s="135" customFormat="true" ht="18.75" hidden="false" customHeight="true" outlineLevel="0" collapsed="false">
      <c r="A362" s="229" t="s">
        <v>195</v>
      </c>
      <c r="B362" s="211"/>
      <c r="C362" s="218"/>
      <c r="D362" s="136" t="n">
        <f aca="false">SUMIFS(報告入力!$BA$7:$BA$696,報告入力!$A$7:$A$696,$S$327,報告入力!$B$7:$B$696,$A362)</f>
        <v>0</v>
      </c>
      <c r="E362" s="139" t="n">
        <f aca="false">SUMIFS(報告入力!$BB$7:$BB$696,報告入力!$A$7:$A$696,$S$327,報告入力!$B$7:$B$696,$A362)</f>
        <v>0</v>
      </c>
      <c r="F362" s="138" t="n">
        <f aca="false">SUMIFS(報告入力!$BC$7:$BC$696,報告入力!$A$7:$A$696,$S$327,報告入力!$B$7:$B$696,$A362)</f>
        <v>0</v>
      </c>
      <c r="G362" s="133" t="n">
        <f aca="false">SUM(B362:F362)</f>
        <v>0</v>
      </c>
      <c r="H362" s="213"/>
      <c r="I362" s="230" t="n">
        <f aca="false">SUMIFS(報告入力!$BE$7:$BE$696,報告入力!$A$7:$A$696,$S$327,報告入力!$B$7:$B$696,$A362)</f>
        <v>0</v>
      </c>
      <c r="J362" s="133" t="n">
        <f aca="false">SUM(H362:I362)</f>
        <v>0</v>
      </c>
      <c r="K362" s="213"/>
      <c r="L362" s="230" t="n">
        <f aca="false">SUMIFS(報告入力!$BG$7:$BG$696,報告入力!$A$7:$A$696,$S$327,報告入力!$B$7:$B$696,$A362)</f>
        <v>0</v>
      </c>
      <c r="M362" s="133" t="n">
        <f aca="false">SUM(K362:L362)</f>
        <v>0</v>
      </c>
      <c r="N362" s="213"/>
      <c r="O362" s="230" t="n">
        <f aca="false">SUMIFS(報告入力!$BI$7:$BI$696,報告入力!$A$7:$A$696,$S$327,報告入力!$B$7:$B$696,$A362)</f>
        <v>0</v>
      </c>
      <c r="P362" s="133" t="n">
        <f aca="false">SUM(N362:O362)</f>
        <v>0</v>
      </c>
      <c r="Q362" s="135" t="str">
        <f aca="false">IF(P297=P362,"〇","×")</f>
        <v>〇</v>
      </c>
      <c r="R362" s="135" t="str">
        <f aca="false">IFERROR(INDEX(報告入力!$C$7:$C$696,MATCH($S$327&amp;"|"&amp;$A362,報告入力!$CM$7:$CM$696,0)),"")</f>
        <v>入金確認済</v>
      </c>
    </row>
    <row r="363" s="135" customFormat="true" ht="20.1" hidden="false" customHeight="true" outlineLevel="0" collapsed="false">
      <c r="A363" s="125" t="s">
        <v>196</v>
      </c>
      <c r="B363" s="211"/>
      <c r="C363" s="218"/>
      <c r="D363" s="136" t="n">
        <f aca="false">SUMIFS(報告入力!$BA$7:$BA$696,報告入力!$A$7:$A$696,$S$327,報告入力!$B$7:$B$696,$A363)</f>
        <v>405345</v>
      </c>
      <c r="E363" s="139" t="n">
        <f aca="false">SUMIFS(報告入力!$BB$7:$BB$696,報告入力!$A$7:$A$696,$S$327,報告入力!$B$7:$B$696,$A363)</f>
        <v>33225</v>
      </c>
      <c r="F363" s="138" t="n">
        <f aca="false">SUMIFS(報告入力!$BC$7:$BC$696,報告入力!$A$7:$A$696,$S$327,報告入力!$B$7:$B$696,$A363)</f>
        <v>383</v>
      </c>
      <c r="G363" s="133" t="n">
        <f aca="false">SUM(B363:F363)</f>
        <v>438953</v>
      </c>
      <c r="H363" s="213"/>
      <c r="I363" s="230" t="n">
        <f aca="false">SUMIFS(報告入力!$BE$7:$BE$696,報告入力!$A$7:$A$696,$S$327,報告入力!$B$7:$B$696,$A363)</f>
        <v>229960</v>
      </c>
      <c r="J363" s="133" t="n">
        <f aca="false">SUM(H363:I363)</f>
        <v>229960</v>
      </c>
      <c r="K363" s="213"/>
      <c r="L363" s="230" t="n">
        <f aca="false">SUMIFS(報告入力!$BG$7:$BG$696,報告入力!$A$7:$A$696,$S$327,報告入力!$B$7:$B$696,$A363)</f>
        <v>34997</v>
      </c>
      <c r="M363" s="133" t="n">
        <f aca="false">SUM(K363:L363)</f>
        <v>34997</v>
      </c>
      <c r="N363" s="213"/>
      <c r="O363" s="230" t="n">
        <f aca="false">SUMIFS(報告入力!$BI$7:$BI$696,報告入力!$A$7:$A$696,$S$327,報告入力!$B$7:$B$696,$A363)</f>
        <v>5093</v>
      </c>
      <c r="P363" s="133" t="n">
        <f aca="false">SUM(N363:O363)</f>
        <v>5093</v>
      </c>
      <c r="Q363" s="135" t="str">
        <f aca="false">IF(P298=P363,"〇","×")</f>
        <v>〇</v>
      </c>
      <c r="R363" s="135" t="str">
        <f aca="false">IFERROR(INDEX(報告入力!$C$7:$C$696,MATCH($S$327&amp;"|"&amp;$A363,報告入力!$CM$7:$CM$696,0)),"")</f>
        <v>入金確認済</v>
      </c>
    </row>
    <row r="364" s="135" customFormat="true" ht="20.1" hidden="false" customHeight="true" outlineLevel="0" collapsed="false">
      <c r="A364" s="146" t="s">
        <v>197</v>
      </c>
      <c r="B364" s="142" t="n">
        <f aca="false">SUMIFS(報告入力!$AY$7:$AY$696,報告入力!$A$7:$A$696,$S$327,報告入力!$B$7:$B$696,$A364)</f>
        <v>148230</v>
      </c>
      <c r="C364" s="138" t="n">
        <f aca="false">SUMIFS(報告入力!$AZ$7:$AZ$696,報告入力!$A$7:$A$696,$S$327,報告入力!$B$7:$B$696,$A364)</f>
        <v>12150</v>
      </c>
      <c r="D364" s="128" t="n">
        <f aca="false">SUMIFS(報告入力!$BA$7:$BA$696,報告入力!$A$7:$A$696,$S$327,報告入力!$B$7:$B$696,$A364)</f>
        <v>148230</v>
      </c>
      <c r="E364" s="139" t="n">
        <f aca="false">SUMIFS(報告入力!$BB$7:$BB$696,報告入力!$A$7:$A$696,$S$327,報告入力!$B$7:$B$696,$A364)</f>
        <v>12150</v>
      </c>
      <c r="F364" s="138" t="n">
        <f aca="false">SUMIFS(報告入力!$BC$7:$BC$696,報告入力!$A$7:$A$696,$S$327,報告入力!$B$7:$B$696,$A364)</f>
        <v>140</v>
      </c>
      <c r="G364" s="133" t="n">
        <f aca="false">SUM(B364:F364)</f>
        <v>320900</v>
      </c>
      <c r="H364" s="139" t="n">
        <f aca="false">SUMIFS(報告入力!$BD$7:$BD$696,報告入力!$A$7:$A$696,$S$327,報告入力!$B$7:$B$696,$A364)</f>
        <v>87123</v>
      </c>
      <c r="I364" s="230" t="n">
        <f aca="false">SUMIFS(報告入力!$BE$7:$BE$696,報告入力!$A$7:$A$696,$S$327,報告入力!$B$7:$B$696,$A364)</f>
        <v>87208</v>
      </c>
      <c r="J364" s="133" t="n">
        <f aca="false">SUM(H364:I364)</f>
        <v>174331</v>
      </c>
      <c r="K364" s="139" t="n">
        <f aca="false">SUMIFS(報告入力!$BF$7:$BF$696,報告入力!$A$7:$A$696,$S$327,報告入力!$B$7:$B$696,$A364)</f>
        <v>10033</v>
      </c>
      <c r="L364" s="230" t="n">
        <f aca="false">SUMIFS(報告入力!$BG$7:$BG$696,報告入力!$A$7:$A$696,$S$327,報告入力!$B$7:$B$696,$A364)</f>
        <v>10033</v>
      </c>
      <c r="M364" s="133" t="n">
        <f aca="false">SUM(K364:L364)</f>
        <v>20066</v>
      </c>
      <c r="N364" s="139" t="n">
        <f aca="false">SUMIFS(報告入力!$BH$7:$BH$696,報告入力!$A$7:$A$696,$S$327,報告入力!$B$7:$B$696,$A364)</f>
        <v>1931</v>
      </c>
      <c r="O364" s="230" t="n">
        <f aca="false">SUMIFS(報告入力!$BI$7:$BI$696,報告入力!$A$7:$A$696,$S$327,報告入力!$B$7:$B$696,$A364)</f>
        <v>1932</v>
      </c>
      <c r="P364" s="133" t="n">
        <f aca="false">SUM(N364:O364)</f>
        <v>3863</v>
      </c>
      <c r="Q364" s="135" t="str">
        <f aca="false">IF(P299=P364,"〇","×")</f>
        <v>〇</v>
      </c>
      <c r="R364" s="135" t="str">
        <f aca="false">IFERROR(INDEX(報告入力!$C$7:$C$696,MATCH($S$327&amp;"|"&amp;$A364,報告入力!$CM$7:$CM$696,0)),"")</f>
        <v>入金確認済</v>
      </c>
    </row>
    <row r="365" s="135" customFormat="true" ht="20.1" hidden="false" customHeight="true" outlineLevel="0" collapsed="false">
      <c r="A365" s="231" t="s">
        <v>219</v>
      </c>
      <c r="B365" s="226"/>
      <c r="C365" s="216"/>
      <c r="D365" s="136" t="n">
        <f aca="false">SUMIFS(報告入力!$BA$7:$BA$696,報告入力!$A$7:$A$696,$S$327,報告入力!$B$7:$B$696,$A365)</f>
        <v>455670</v>
      </c>
      <c r="E365" s="139" t="n">
        <f aca="false">SUMIFS(報告入力!$BB$7:$BB$696,報告入力!$A$7:$A$696,$S$327,報告入力!$B$7:$B$696,$A365)</f>
        <v>37350</v>
      </c>
      <c r="F365" s="138" t="n">
        <f aca="false">SUMIFS(報告入力!$BC$7:$BC$696,報告入力!$A$7:$A$696,$S$327,報告入力!$B$7:$B$696,$A365)</f>
        <v>432</v>
      </c>
      <c r="G365" s="133" t="n">
        <f aca="false">SUM(B365:F365)</f>
        <v>493452</v>
      </c>
      <c r="H365" s="213"/>
      <c r="I365" s="230" t="n">
        <f aca="false">SUMIFS(報告入力!$BE$7:$BE$696,報告入力!$A$7:$A$696,$S$327,報告入力!$B$7:$B$696,$A365)</f>
        <v>267855</v>
      </c>
      <c r="J365" s="133" t="n">
        <f aca="false">SUM(H365:I365)</f>
        <v>267855</v>
      </c>
      <c r="K365" s="227"/>
      <c r="L365" s="230" t="n">
        <f aca="false">SUMIFS(報告入力!$BG$7:$BG$696,報告入力!$A$7:$A$696,$S$327,報告入力!$B$7:$B$696,$A365)</f>
        <v>21725</v>
      </c>
      <c r="M365" s="133" t="n">
        <f aca="false">SUM(K365:L365)</f>
        <v>21725</v>
      </c>
      <c r="N365" s="227"/>
      <c r="O365" s="230" t="n">
        <f aca="false">SUMIFS(報告入力!$BI$7:$BI$696,報告入力!$A$7:$A$696,$S$327,報告入力!$B$7:$B$696,$A365)</f>
        <v>5934</v>
      </c>
      <c r="P365" s="133" t="n">
        <f aca="false">SUM(N365:O365)</f>
        <v>5934</v>
      </c>
      <c r="Q365" s="135" t="str">
        <f aca="false">IF(P300=P365,"〇","×")</f>
        <v>〇</v>
      </c>
      <c r="R365" s="135" t="str">
        <f aca="false">IFERROR(INDEX(報告入力!$C$7:$C$696,MATCH($S$327&amp;"|"&amp;$A365,報告入力!$CM$7:$CM$696,0)),"")</f>
        <v>入金確認済</v>
      </c>
    </row>
    <row r="366" s="376" customFormat="true" ht="20.1" hidden="false" customHeight="true" outlineLevel="0" collapsed="false">
      <c r="A366" s="214" t="s">
        <v>199</v>
      </c>
      <c r="B366" s="142" t="n">
        <f aca="false">SUMIFS(報告入力!$AY$7:$AY$696,報告入力!$A$7:$A$696,$S$327,報告入力!$B$7:$B$696,$A366)</f>
        <v>56730</v>
      </c>
      <c r="C366" s="138" t="n">
        <f aca="false">SUMIFS(報告入力!$AZ$7:$AZ$696,報告入力!$A$7:$A$696,$S$327,報告入力!$B$7:$B$696,$A366)</f>
        <v>4650</v>
      </c>
      <c r="D366" s="136" t="n">
        <f aca="false">SUMIFS(報告入力!$BA$7:$BA$696,報告入力!$A$7:$A$696,$S$327,報告入力!$B$7:$B$696,$A366)</f>
        <v>56730</v>
      </c>
      <c r="E366" s="139" t="n">
        <f aca="false">SUMIFS(報告入力!$BB$7:$BB$696,報告入力!$A$7:$A$696,$S$327,報告入力!$B$7:$B$696,$A366)</f>
        <v>4650</v>
      </c>
      <c r="F366" s="138" t="n">
        <f aca="false">SUMIFS(報告入力!$BC$7:$BC$696,報告入力!$A$7:$A$696,$S$327,報告入力!$B$7:$B$696,$A366)</f>
        <v>53</v>
      </c>
      <c r="G366" s="133" t="n">
        <f aca="false">SUM(B366:F366)</f>
        <v>122813</v>
      </c>
      <c r="H366" s="139" t="n">
        <f aca="false">SUMIFS(報告入力!$BD$7:$BD$696,報告入力!$A$7:$A$696,$S$327,報告入力!$B$7:$B$696,$A366)</f>
        <v>32153</v>
      </c>
      <c r="I366" s="230" t="n">
        <f aca="false">SUMIFS(報告入力!$BE$7:$BE$696,報告入力!$A$7:$A$696,$S$327,報告入力!$B$7:$B$696,$A366)</f>
        <v>32184</v>
      </c>
      <c r="J366" s="133" t="n">
        <f aca="false">SUM(H366:I366)</f>
        <v>64337</v>
      </c>
      <c r="K366" s="139" t="n">
        <f aca="false">SUMIFS(報告入力!$BF$7:$BF$696,報告入力!$A$7:$A$696,$S$327,報告入力!$B$7:$B$696,$A366)</f>
        <v>4898</v>
      </c>
      <c r="L366" s="230" t="n">
        <f aca="false">SUMIFS(報告入力!$BG$7:$BG$696,報告入力!$A$7:$A$696,$S$327,報告入力!$B$7:$B$696,$A366)</f>
        <v>4898</v>
      </c>
      <c r="M366" s="133" t="n">
        <f aca="false">SUM(K366:L366)</f>
        <v>9796</v>
      </c>
      <c r="N366" s="139" t="n">
        <f aca="false">SUMIFS(報告入力!$BH$7:$BH$696,報告入力!$A$7:$A$696,$S$327,報告入力!$B$7:$B$696,$A366)</f>
        <v>713</v>
      </c>
      <c r="O366" s="230" t="n">
        <f aca="false">SUMIFS(報告入力!$BI$7:$BI$696,報告入力!$A$7:$A$696,$S$327,報告入力!$B$7:$B$696,$A366)</f>
        <v>713</v>
      </c>
      <c r="P366" s="133" t="n">
        <f aca="false">SUM(N366:O366)</f>
        <v>1426</v>
      </c>
      <c r="Q366" s="376" t="str">
        <f aca="false">IF(P301=P366,"〇","×")</f>
        <v>〇</v>
      </c>
      <c r="R366" s="376" t="str">
        <f aca="false">IFERROR(INDEX(報告入力!$C$7:$C$696,MATCH($S$327&amp;"|"&amp;$A366,報告入力!$CM$7:$CM$696,0)),"")</f>
        <v>入金確認済</v>
      </c>
    </row>
    <row r="367" s="135" customFormat="true" ht="20.1" hidden="false" customHeight="true" outlineLevel="0" collapsed="false">
      <c r="A367" s="214" t="s">
        <v>200</v>
      </c>
      <c r="B367" s="142" t="n">
        <f aca="false">SUMIFS(報告入力!$AY$7:$AY$696,報告入力!$A$7:$A$696,$S$327,報告入力!$B$7:$B$696,$A367)</f>
        <v>59475</v>
      </c>
      <c r="C367" s="138" t="n">
        <f aca="false">SUMIFS(報告入力!$AZ$7:$AZ$696,報告入力!$A$7:$A$696,$S$327,報告入力!$B$7:$B$696,$A367)</f>
        <v>4875</v>
      </c>
      <c r="D367" s="136" t="n">
        <f aca="false">SUMIFS(報告入力!$BA$7:$BA$696,報告入力!$A$7:$A$696,$S$327,報告入力!$B$7:$B$696,$A367)</f>
        <v>59475</v>
      </c>
      <c r="E367" s="139" t="n">
        <f aca="false">SUMIFS(報告入力!$BB$7:$BB$696,報告入力!$A$7:$A$696,$S$327,報告入力!$B$7:$B$696,$A367)</f>
        <v>4875</v>
      </c>
      <c r="F367" s="138" t="n">
        <f aca="false">SUMIFS(報告入力!$BC$7:$BC$696,報告入力!$A$7:$A$696,$S$327,報告入力!$B$7:$B$696,$A367)</f>
        <v>56</v>
      </c>
      <c r="G367" s="133" t="n">
        <f aca="false">SUM(B367:F367)</f>
        <v>128756</v>
      </c>
      <c r="H367" s="139" t="n">
        <f aca="false">SUMIFS(報告入力!$BD$7:$BD$696,報告入力!$A$7:$A$696,$S$327,報告入力!$B$7:$B$696,$A367)</f>
        <v>38895</v>
      </c>
      <c r="I367" s="230" t="n">
        <f aca="false">SUMIFS(報告入力!$BE$7:$BE$696,報告入力!$A$7:$A$696,$S$327,報告入力!$B$7:$B$696,$A367)</f>
        <v>38932</v>
      </c>
      <c r="J367" s="133" t="n">
        <f aca="false">SUM(H367:I367)</f>
        <v>77827</v>
      </c>
      <c r="K367" s="139" t="n">
        <f aca="false">SUMIFS(報告入力!$BF$7:$BF$696,報告入力!$A$7:$A$696,$S$327,報告入力!$B$7:$B$696,$A367)</f>
        <v>5925</v>
      </c>
      <c r="L367" s="230" t="n">
        <f aca="false">SUMIFS(報告入力!$BG$7:$BG$696,報告入力!$A$7:$A$696,$S$327,報告入力!$B$7:$B$696,$A367)</f>
        <v>5925</v>
      </c>
      <c r="M367" s="133" t="n">
        <f aca="false">SUM(K367:L367)</f>
        <v>11850</v>
      </c>
      <c r="N367" s="139" t="n">
        <f aca="false">SUMIFS(報告入力!$BH$7:$BH$696,報告入力!$A$7:$A$696,$S$327,報告入力!$B$7:$B$696,$A367)</f>
        <v>862</v>
      </c>
      <c r="O367" s="230" t="n">
        <f aca="false">SUMIFS(報告入力!$BI$7:$BI$696,報告入力!$A$7:$A$696,$S$327,報告入力!$B$7:$B$696,$A367)</f>
        <v>862</v>
      </c>
      <c r="P367" s="133" t="n">
        <f aca="false">SUM(N367:O367)</f>
        <v>1724</v>
      </c>
      <c r="Q367" s="135" t="str">
        <f aca="false">IF(P302=P367,"〇","×")</f>
        <v>〇</v>
      </c>
      <c r="R367" s="135" t="str">
        <f aca="false">IFERROR(INDEX(報告入力!$C$7:$C$696,MATCH($S$327&amp;"|"&amp;$A367,報告入力!$CM$7:$CM$696,0)),"")</f>
        <v>入金確認済</v>
      </c>
    </row>
    <row r="368" s="135" customFormat="true" ht="20.1" hidden="false" customHeight="true" outlineLevel="0" collapsed="false">
      <c r="A368" s="214" t="s">
        <v>201</v>
      </c>
      <c r="B368" s="142" t="n">
        <f aca="false">SUMIFS(報告入力!$AY$7:$AY$696,報告入力!$A$7:$A$696,$S$327,報告入力!$B$7:$B$696,$A368)</f>
        <v>45750</v>
      </c>
      <c r="C368" s="147" t="n">
        <f aca="false">SUMIFS(報告入力!$AZ$7:$AZ$696,報告入力!$A$7:$A$696,$S$327,報告入力!$B$7:$B$696,$A368)</f>
        <v>3750</v>
      </c>
      <c r="D368" s="143" t="n">
        <f aca="false">SUMIFS(報告入力!$BA$7:$BA$696,報告入力!$A$7:$A$696,$S$327,報告入力!$B$7:$B$696,$A368)</f>
        <v>45750</v>
      </c>
      <c r="E368" s="143" t="n">
        <f aca="false">SUMIFS(報告入力!$BB$7:$BB$696,報告入力!$A$7:$A$696,$S$327,報告入力!$B$7:$B$696,$A368)</f>
        <v>3750</v>
      </c>
      <c r="F368" s="148" t="n">
        <f aca="false">SUMIFS(報告入力!$BC$7:$BC$696,報告入力!$A$7:$A$696,$S$327,報告入力!$B$7:$B$696,$A368)</f>
        <v>43</v>
      </c>
      <c r="G368" s="133" t="n">
        <f aca="false">SUM(B368:F368)</f>
        <v>99043</v>
      </c>
      <c r="H368" s="143" t="n">
        <f aca="false">SUMIFS(報告入力!$BD$7:$BD$696,報告入力!$A$7:$A$696,$S$327,報告入力!$B$7:$B$696,$A368)</f>
        <v>25930</v>
      </c>
      <c r="I368" s="230" t="n">
        <f aca="false">SUMIFS(報告入力!$BE$7:$BE$696,報告入力!$A$7:$A$696,$S$327,報告入力!$B$7:$B$696,$A368)</f>
        <v>25955</v>
      </c>
      <c r="J368" s="141" t="n">
        <f aca="false">SUM(H368:I368)</f>
        <v>51885</v>
      </c>
      <c r="K368" s="143" t="n">
        <f aca="false">SUMIFS(報告入力!$BF$7:$BF$696,報告入力!$A$7:$A$696,$S$327,報告入力!$B$7:$B$696,$A368)</f>
        <v>0</v>
      </c>
      <c r="L368" s="230" t="n">
        <f aca="false">SUMIFS(報告入力!$BG$7:$BG$696,報告入力!$A$7:$A$696,$S$327,報告入力!$B$7:$B$696,$A368)</f>
        <v>0</v>
      </c>
      <c r="M368" s="141" t="n">
        <f aca="false">SUM(K368:L368)</f>
        <v>0</v>
      </c>
      <c r="N368" s="143" t="n">
        <f aca="false">SUMIFS(報告入力!$BH$7:$BH$696,報告入力!$A$7:$A$696,$S$327,報告入力!$B$7:$B$696,$A368)</f>
        <v>575</v>
      </c>
      <c r="O368" s="230" t="n">
        <f aca="false">SUMIFS(報告入力!$BI$7:$BI$696,報告入力!$A$7:$A$696,$S$327,報告入力!$B$7:$B$696,$A368)</f>
        <v>575</v>
      </c>
      <c r="P368" s="141" t="n">
        <f aca="false">SUM(N368:O368)</f>
        <v>1150</v>
      </c>
      <c r="Q368" s="135" t="str">
        <f aca="false">IF(P303=P368,"〇","×")</f>
        <v>〇</v>
      </c>
      <c r="R368" s="135" t="str">
        <f aca="false">IFERROR(INDEX(報告入力!$C$7:$C$696,MATCH($S$327&amp;"|"&amp;$A368,報告入力!$CM$7:$CM$696,0)),"")</f>
        <v>入金確認済</v>
      </c>
    </row>
    <row r="369" s="135" customFormat="true" ht="20.1" hidden="false" customHeight="true" outlineLevel="0" collapsed="false">
      <c r="A369" s="146" t="s">
        <v>202</v>
      </c>
      <c r="B369" s="142" t="n">
        <f aca="false">SUMIFS(報告入力!$AY$7:$AY$696,報告入力!$A$7:$A$696,$S$327,報告入力!$B$7:$B$696,$A369)</f>
        <v>1231590</v>
      </c>
      <c r="C369" s="138" t="n">
        <f aca="false">SUMIFS(報告入力!$AZ$7:$AZ$696,報告入力!$A$7:$A$696,$S$327,報告入力!$B$7:$B$696,$A369)</f>
        <v>100950</v>
      </c>
      <c r="D369" s="136" t="n">
        <f aca="false">SUMIFS(報告入力!$BA$7:$BA$696,報告入力!$A$7:$A$696,$S$327,報告入力!$B$7:$B$696,$A369)</f>
        <v>1231590</v>
      </c>
      <c r="E369" s="139" t="n">
        <f aca="false">SUMIFS(報告入力!$BB$7:$BB$696,報告入力!$A$7:$A$696,$S$327,報告入力!$B$7:$B$696,$A369)</f>
        <v>100950</v>
      </c>
      <c r="F369" s="138" t="n">
        <f aca="false">SUMIFS(報告入力!$BC$7:$BC$696,報告入力!$A$7:$A$696,$S$327,報告入力!$B$7:$B$696,$A369)</f>
        <v>1237</v>
      </c>
      <c r="G369" s="133" t="n">
        <f aca="false">SUM(B369:F369)</f>
        <v>2666317</v>
      </c>
      <c r="H369" s="139" t="n">
        <f aca="false">SUMIFS(報告入力!$BD$7:$BD$696,報告入力!$A$7:$A$696,$S$327,報告入力!$B$7:$B$696,$A369)</f>
        <v>708914</v>
      </c>
      <c r="I369" s="230" t="n">
        <f aca="false">SUMIFS(報告入力!$BE$7:$BE$696,報告入力!$A$7:$A$696,$S$327,報告入力!$B$7:$B$696,$A369)</f>
        <v>709649</v>
      </c>
      <c r="J369" s="133" t="n">
        <f aca="false">SUM(H369:I369)</f>
        <v>1418563</v>
      </c>
      <c r="K369" s="139" t="n">
        <f aca="false">SUMIFS(報告入力!$BF$7:$BF$696,報告入力!$A$7:$A$696,$S$327,報告入力!$B$7:$B$696,$A369)</f>
        <v>82002</v>
      </c>
      <c r="L369" s="230" t="n">
        <f aca="false">SUMIFS(報告入力!$BG$7:$BG$696,報告入力!$A$7:$A$696,$S$327,報告入力!$B$7:$B$696,$A369)</f>
        <v>82002</v>
      </c>
      <c r="M369" s="133" t="n">
        <f aca="false">SUM(K369:L369)</f>
        <v>164004</v>
      </c>
      <c r="N369" s="139" t="n">
        <f aca="false">SUMIFS(報告入力!$BH$7:$BH$696,報告入力!$A$7:$A$696,$S$327,報告入力!$B$7:$B$696,$A369)</f>
        <v>15716</v>
      </c>
      <c r="O369" s="230" t="n">
        <f aca="false">SUMIFS(報告入力!$BI$7:$BI$696,報告入力!$A$7:$A$696,$S$327,報告入力!$B$7:$B$696,$A369)</f>
        <v>15720</v>
      </c>
      <c r="P369" s="133" t="n">
        <f aca="false">SUM(N369:O369)</f>
        <v>31436</v>
      </c>
      <c r="Q369" s="135" t="str">
        <f aca="false">IF(P304=P369,"〇","×")</f>
        <v>〇</v>
      </c>
      <c r="R369" s="135" t="str">
        <f aca="false">IFERROR(INDEX(報告入力!$C$7:$C$696,MATCH($S$327&amp;"|"&amp;$A369,報告入力!$CM$7:$CM$696,0)),"")</f>
        <v>入金確認済</v>
      </c>
    </row>
    <row r="370" s="135" customFormat="true" ht="20.1" hidden="false" customHeight="true" outlineLevel="0" collapsed="false">
      <c r="A370" s="146" t="s">
        <v>203</v>
      </c>
      <c r="B370" s="226"/>
      <c r="C370" s="216"/>
      <c r="D370" s="136" t="n">
        <f aca="false">SUMIFS(報告入力!$BA$7:$BA$696,報告入力!$A$7:$A$696,$S$327,報告入力!$B$7:$B$696,$A370)</f>
        <v>245220</v>
      </c>
      <c r="E370" s="139" t="n">
        <f aca="false">SUMIFS(報告入力!$BB$7:$BB$696,報告入力!$A$7:$A$696,$S$327,報告入力!$B$7:$B$696,$A370)</f>
        <v>20100</v>
      </c>
      <c r="F370" s="138" t="n">
        <f aca="false">SUMIFS(報告入力!$BC$7:$BC$696,報告入力!$A$7:$A$696,$S$327,報告入力!$B$7:$B$696,$A370)</f>
        <v>233</v>
      </c>
      <c r="G370" s="133" t="n">
        <f aca="false">SUM(B370:F370)</f>
        <v>265553</v>
      </c>
      <c r="H370" s="227"/>
      <c r="I370" s="230" t="n">
        <f aca="false">SUMIFS(報告入力!$BE$7:$BE$696,報告入力!$A$7:$A$696,$S$327,報告入力!$B$7:$B$696,$A370)</f>
        <v>142234</v>
      </c>
      <c r="J370" s="133" t="n">
        <f aca="false">SUM(H370:I370)</f>
        <v>142234</v>
      </c>
      <c r="K370" s="227"/>
      <c r="L370" s="230" t="n">
        <f aca="false">SUMIFS(報告入力!$BG$7:$BG$696,報告入力!$A$7:$A$696,$S$327,報告入力!$B$7:$B$696,$A370)</f>
        <v>10507</v>
      </c>
      <c r="M370" s="133" t="n">
        <f aca="false">SUM(K370:L370)</f>
        <v>10507</v>
      </c>
      <c r="N370" s="227"/>
      <c r="O370" s="230" t="n">
        <f aca="false">SUMIFS(報告入力!$BI$7:$BI$696,報告入力!$A$7:$A$696,$S$327,報告入力!$B$7:$B$696,$A370)</f>
        <v>3151</v>
      </c>
      <c r="P370" s="133" t="n">
        <f aca="false">SUM(N370:O370)</f>
        <v>3151</v>
      </c>
      <c r="Q370" s="135" t="str">
        <f aca="false">IF(P305=P370,"〇","×")</f>
        <v>×</v>
      </c>
      <c r="R370" s="135" t="str">
        <f aca="false">IFERROR(INDEX(報告入力!$C$7:$C$696,MATCH($S$327&amp;"|"&amp;$A370,報告入力!$CM$7:$CM$696,0)),"")</f>
        <v>入金確認済</v>
      </c>
    </row>
    <row r="371" s="135" customFormat="true" ht="19.5" hidden="false" customHeight="true" outlineLevel="0" collapsed="false">
      <c r="A371" s="232" t="s">
        <v>204</v>
      </c>
      <c r="B371" s="142" t="n">
        <f aca="false">SUMIFS(報告入力!$AY$7:$AY$696,報告入力!$A$7:$A$696,$S$327,報告入力!$B$7:$B$696,$A371)</f>
        <v>126418505</v>
      </c>
      <c r="C371" s="138" t="n">
        <f aca="false">SUMIFS(報告入力!$AZ$7:$AZ$696,報告入力!$A$7:$A$696,$S$327,報告入力!$B$7:$B$696,$A371)</f>
        <v>10367948</v>
      </c>
      <c r="D371" s="136" t="n">
        <f aca="false">SUMIFS(報告入力!$BA$7:$BA$696,報告入力!$A$7:$A$696,$S$327,報告入力!$B$7:$B$696,$A371)</f>
        <v>184607059</v>
      </c>
      <c r="E371" s="139" t="n">
        <f aca="false">SUMIFS(報告入力!$BB$7:$BB$696,報告入力!$A$7:$A$696,$S$327,報告入力!$B$7:$B$696,$A371)</f>
        <v>10367948</v>
      </c>
      <c r="F371" s="138" t="n">
        <f aca="false">SUMIFS(報告入力!$BC$7:$BC$696,報告入力!$A$7:$A$696,$S$327,報告入力!$B$7:$B$696,$A371)</f>
        <v>126507</v>
      </c>
      <c r="G371" s="133" t="n">
        <f aca="false">SUM(B371:F371)</f>
        <v>331887967</v>
      </c>
      <c r="H371" s="139" t="n">
        <f aca="false">SUMIFS(報告入力!$BD$7:$BD$696,報告入力!$A$7:$A$696,$S$327,報告入力!$B$7:$B$696,$A371)</f>
        <v>94190280</v>
      </c>
      <c r="I371" s="230" t="n">
        <f aca="false">SUMIFS(報告入力!$BE$7:$BE$696,報告入力!$A$7:$A$696,$S$327,報告入力!$B$7:$B$696,$A371)</f>
        <v>94296058</v>
      </c>
      <c r="J371" s="133" t="n">
        <f aca="false">SUM(H371:I371)</f>
        <v>188486338</v>
      </c>
      <c r="K371" s="139" t="n">
        <f aca="false">SUMIFS(報告入力!$BF$7:$BF$696,報告入力!$A$7:$A$696,$S$327,報告入力!$B$7:$B$696,$A371)</f>
        <v>8065234</v>
      </c>
      <c r="L371" s="230" t="n">
        <f aca="false">SUMIFS(報告入力!$BG$7:$BG$696,報告入力!$A$7:$A$696,$S$327,報告入力!$B$7:$B$696,$A371)</f>
        <v>8065234</v>
      </c>
      <c r="M371" s="133" t="n">
        <f aca="false">SUM(K371:L371)</f>
        <v>16130468</v>
      </c>
      <c r="N371" s="139" t="n">
        <f aca="false">SUMIFS(報告入力!$BH$7:$BH$696,報告入力!$A$7:$A$696,$S$327,報告入力!$B$7:$B$696,$A371)</f>
        <v>2089205</v>
      </c>
      <c r="O371" s="230" t="n">
        <f aca="false">SUMIFS(報告入力!$BI$7:$BI$696,報告入力!$A$7:$A$696,$S$327,報告入力!$B$7:$B$696,$A371)</f>
        <v>2089203</v>
      </c>
      <c r="P371" s="133" t="n">
        <f aca="false">SUM(N371:O371)</f>
        <v>4178408</v>
      </c>
      <c r="Q371" s="135" t="str">
        <f aca="false">IF(P306=P371,"〇","×")</f>
        <v>×</v>
      </c>
      <c r="R371" s="135" t="str">
        <f aca="false">IFERROR(INDEX(報告入力!$C$7:$C$696,MATCH($S$327&amp;"|"&amp;$A371,報告入力!$CM$7:$CM$696,0)),"")</f>
        <v>入金確認済</v>
      </c>
    </row>
    <row r="372" s="162" customFormat="true" ht="21.75" hidden="false" customHeight="true" outlineLevel="0" collapsed="false">
      <c r="A372" s="214" t="s">
        <v>205</v>
      </c>
      <c r="B372" s="152"/>
      <c r="C372" s="156"/>
      <c r="D372" s="152"/>
      <c r="E372" s="234"/>
      <c r="F372" s="156"/>
      <c r="G372" s="235" t="n">
        <f aca="false">SUM(B372:F372)</f>
        <v>0</v>
      </c>
      <c r="H372" s="143" t="n">
        <f aca="false">SUMIFS(報告入力!$BD$7:$BD$696,報告入力!$A$7:$A$696,$S$327,報告入力!$B$7:$B$696,$A372)</f>
        <v>104755</v>
      </c>
      <c r="I372" s="150" t="n">
        <f aca="false">SUMIFS(報告入力!$BE$7:$BE$696,報告入力!$A$7:$A$696,$S$327,報告入力!$B$7:$B$696,$A372)</f>
        <v>104857</v>
      </c>
      <c r="J372" s="141" t="n">
        <f aca="false">SUM(H372:I372)</f>
        <v>209612</v>
      </c>
      <c r="K372" s="142" t="n">
        <f aca="false">SUMIFS(報告入力!$BF$7:$BF$696,報告入力!$A$7:$A$696,$S$327,報告入力!$B$7:$B$696,$A372)</f>
        <v>11060</v>
      </c>
      <c r="L372" s="150" t="n">
        <f aca="false">SUMIFS(報告入力!$BG$7:$BG$696,報告入力!$A$7:$A$696,$S$327,報告入力!$B$7:$B$696,$A372)</f>
        <v>11060</v>
      </c>
      <c r="M372" s="141" t="n">
        <f aca="false">SUM(K372:L372)</f>
        <v>22120</v>
      </c>
      <c r="N372" s="142" t="n">
        <f aca="false">SUMIFS(報告入力!$BH$7:$BH$696,報告入力!$A$7:$A$696,$S$327,報告入力!$B$7:$B$696,$A372)</f>
        <v>2321</v>
      </c>
      <c r="O372" s="230" t="n">
        <f aca="false">SUMIFS(報告入力!$BI$7:$BI$696,報告入力!$A$7:$A$696,$S$327,報告入力!$B$7:$B$696,$A372)</f>
        <v>2322</v>
      </c>
      <c r="P372" s="141" t="n">
        <f aca="false">SUM(N372:O372)</f>
        <v>4643</v>
      </c>
      <c r="Q372" s="162" t="str">
        <f aca="false">IF(P307=P372,"〇","×")</f>
        <v>〇</v>
      </c>
      <c r="R372" s="162" t="str">
        <f aca="false">IFERROR(INDEX(報告入力!$C$7:$C$696,MATCH($S$327&amp;"|"&amp;$A372,報告入力!$CM$7:$CM$696,0)),"")</f>
        <v>入金確認済</v>
      </c>
    </row>
    <row r="373" s="162" customFormat="true" ht="21.75" hidden="false" customHeight="true" outlineLevel="0" collapsed="false">
      <c r="A373" s="236" t="s">
        <v>206</v>
      </c>
      <c r="B373" s="336"/>
      <c r="C373" s="355"/>
      <c r="D373" s="336"/>
      <c r="E373" s="334"/>
      <c r="F373" s="356"/>
      <c r="G373" s="327" t="n">
        <f aca="false">SUM(B373:F373)</f>
        <v>0</v>
      </c>
      <c r="H373" s="334"/>
      <c r="I373" s="335"/>
      <c r="J373" s="330" t="n">
        <f aca="false">SUM(H373:I373)</f>
        <v>0</v>
      </c>
      <c r="K373" s="334"/>
      <c r="L373" s="335"/>
      <c r="M373" s="330" t="n">
        <f aca="false">SUM(K373:L373)</f>
        <v>0</v>
      </c>
      <c r="N373" s="334"/>
      <c r="O373" s="335"/>
      <c r="P373" s="330" t="n">
        <f aca="false">SUM(N373:O373)</f>
        <v>0</v>
      </c>
      <c r="Q373" s="162" t="str">
        <f aca="false">IF(P308=P373,"〇","×")</f>
        <v>〇</v>
      </c>
      <c r="R373" s="162" t="str">
        <f aca="false">IFERROR(INDEX(報告入力!$C$7:$C$696,MATCH($S$327&amp;"|"&amp;$A373,報告入力!$CM$7:$CM$696,0)),"")</f>
        <v>報告なし</v>
      </c>
    </row>
    <row r="374" s="162" customFormat="true" ht="21.75" hidden="false" customHeight="true" outlineLevel="0" collapsed="false">
      <c r="A374" s="236" t="s">
        <v>207</v>
      </c>
      <c r="B374" s="142" t="n">
        <f aca="false">SUMIFS(報告入力!$AY$7:$AY$696,報告入力!$A$7:$A$696,$S$327,報告入力!$B$7:$B$696,$A374)</f>
        <v>118950</v>
      </c>
      <c r="C374" s="147" t="n">
        <f aca="false">SUMIFS(報告入力!$AZ$7:$AZ$696,報告入力!$A$7:$A$696,$S$327,報告入力!$B$7:$B$696,$A374)</f>
        <v>9750</v>
      </c>
      <c r="D374" s="142" t="n">
        <f aca="false">SUMIFS(報告入力!$BA$7:$BA$696,報告入力!$A$7:$A$696,$S$327,報告入力!$B$7:$B$696,$A374)</f>
        <v>118950</v>
      </c>
      <c r="E374" s="143" t="n">
        <f aca="false">SUMIFS(報告入力!$BB$7:$BB$696,報告入力!$A$7:$A$696,$S$327,報告入力!$B$7:$B$696,$A374)</f>
        <v>9750</v>
      </c>
      <c r="F374" s="148" t="n">
        <f aca="false">SUMIFS(報告入力!$BC$7:$BC$696,報告入力!$A$7:$A$696,$S$327,報告入力!$B$7:$B$696,$A374)</f>
        <v>112</v>
      </c>
      <c r="G374" s="133" t="n">
        <f aca="false">SUM(B374:F374)</f>
        <v>257512</v>
      </c>
      <c r="H374" s="143" t="n">
        <f aca="false">SUMIFS(報告入力!$BD$7:$BD$696,報告入力!$A$7:$A$696,$S$327,報告入力!$B$7:$B$696,$A374)</f>
        <v>84531</v>
      </c>
      <c r="I374" s="230" t="n">
        <f aca="false">SUMIFS(報告入力!$BE$7:$BE$696,報告入力!$A$7:$A$696,$S$327,報告入力!$B$7:$B$696,$A374)</f>
        <v>84613</v>
      </c>
      <c r="J374" s="141" t="n">
        <f aca="false">SUM(H374:I374)</f>
        <v>169144</v>
      </c>
      <c r="K374" s="143" t="n">
        <f aca="false">SUMIFS(報告入力!$BF$7:$BF$696,報告入力!$A$7:$A$696,$S$327,報告入力!$B$7:$B$696,$A374)</f>
        <v>12877</v>
      </c>
      <c r="L374" s="230" t="n">
        <f aca="false">SUMIFS(報告入力!$BG$7:$BG$696,報告入力!$A$7:$A$696,$S$327,報告入力!$B$7:$B$696,$A374)</f>
        <v>12877</v>
      </c>
      <c r="M374" s="141" t="n">
        <f aca="false">SUM(K374:L374)</f>
        <v>25754</v>
      </c>
      <c r="N374" s="143" t="n">
        <f aca="false">SUMIFS(報告入力!$BH$7:$BH$696,報告入力!$A$7:$A$696,$S$327,報告入力!$B$7:$B$696,$A374)</f>
        <v>1874</v>
      </c>
      <c r="O374" s="230" t="n">
        <f aca="false">SUMIFS(報告入力!$BI$7:$BI$696,報告入力!$A$7:$A$696,$S$327,報告入力!$B$7:$B$696,$A374)</f>
        <v>1874</v>
      </c>
      <c r="P374" s="141" t="n">
        <f aca="false">SUM(N374:O374)</f>
        <v>3748</v>
      </c>
      <c r="Q374" s="162" t="str">
        <f aca="false">IF(P309=P374,"〇","×")</f>
        <v>〇</v>
      </c>
      <c r="R374" s="162" t="str">
        <f aca="false">IFERROR(INDEX(報告入力!$C$7:$C$696,MATCH($S$327&amp;"|"&amp;$A374,報告入力!$CM$7:$CM$696,0)),"")</f>
        <v>入金確認済</v>
      </c>
    </row>
    <row r="375" s="162" customFormat="true" ht="21.75" hidden="false" customHeight="true" outlineLevel="0" collapsed="false">
      <c r="A375" s="174"/>
      <c r="B375" s="182"/>
      <c r="C375" s="181"/>
      <c r="D375" s="245"/>
      <c r="E375" s="183"/>
      <c r="F375" s="181"/>
      <c r="G375" s="246" t="n">
        <f aca="false">SUM(B375:F375)</f>
        <v>0</v>
      </c>
      <c r="H375" s="247"/>
      <c r="I375" s="183"/>
      <c r="J375" s="248" t="n">
        <f aca="false">SUM(H375:I375)</f>
        <v>0</v>
      </c>
      <c r="K375" s="245"/>
      <c r="L375" s="183"/>
      <c r="M375" s="248" t="n">
        <f aca="false">SUM(K375:L375)</f>
        <v>0</v>
      </c>
      <c r="N375" s="245"/>
      <c r="O375" s="183"/>
      <c r="P375" s="248" t="n">
        <f aca="false">SUM(N375:O375)</f>
        <v>0</v>
      </c>
      <c r="Q375" s="162" t="str">
        <f aca="false">IF(P310=P375,"〇","×")</f>
        <v>〇</v>
      </c>
    </row>
    <row r="376" s="162" customFormat="true" ht="0.2" hidden="false" customHeight="true" outlineLevel="0" collapsed="false">
      <c r="A376" s="174"/>
      <c r="B376" s="182"/>
      <c r="C376" s="181"/>
      <c r="D376" s="245"/>
      <c r="E376" s="183"/>
      <c r="F376" s="181"/>
      <c r="G376" s="246" t="n">
        <f aca="false">SUM(B376:F376)</f>
        <v>0</v>
      </c>
      <c r="H376" s="247"/>
      <c r="I376" s="183"/>
      <c r="J376" s="248" t="n">
        <f aca="false">SUM(H376:I376)</f>
        <v>0</v>
      </c>
      <c r="K376" s="245"/>
      <c r="L376" s="183"/>
      <c r="M376" s="248" t="n">
        <f aca="false">SUM(K376:L376)</f>
        <v>0</v>
      </c>
      <c r="N376" s="245"/>
      <c r="O376" s="183"/>
      <c r="P376" s="248" t="n">
        <f aca="false">SUM(N376:O376)</f>
        <v>0</v>
      </c>
      <c r="Q376" s="162" t="str">
        <f aca="false">IF(P311=P376,"〇","×")</f>
        <v>〇</v>
      </c>
    </row>
    <row r="377" s="162" customFormat="true" ht="0.2" hidden="false" customHeight="true" outlineLevel="0" collapsed="false">
      <c r="A377" s="187"/>
      <c r="B377" s="249"/>
      <c r="C377" s="250"/>
      <c r="D377" s="251"/>
      <c r="E377" s="252"/>
      <c r="F377" s="250"/>
      <c r="G377" s="253"/>
      <c r="H377" s="254"/>
      <c r="I377" s="254"/>
      <c r="J377" s="255"/>
      <c r="K377" s="256"/>
      <c r="L377" s="254"/>
      <c r="M377" s="255"/>
      <c r="N377" s="256"/>
      <c r="O377" s="254"/>
      <c r="P377" s="255"/>
      <c r="Q377" s="162" t="str">
        <f aca="false">IF(P312=P377,"〇","×")</f>
        <v>〇</v>
      </c>
    </row>
    <row r="378" s="135" customFormat="true" ht="20.1" hidden="false" customHeight="true" outlineLevel="0" collapsed="false">
      <c r="A378" s="196" t="s">
        <v>497</v>
      </c>
      <c r="B378" s="197" t="n">
        <f aca="false">SUM(B348:B377)</f>
        <v>129262325</v>
      </c>
      <c r="C378" s="200" t="n">
        <f aca="false">SUM(C348:C377)</f>
        <v>10601048</v>
      </c>
      <c r="D378" s="198" t="n">
        <f aca="false">SUM(D348:D377)</f>
        <v>193649088</v>
      </c>
      <c r="E378" s="199" t="n">
        <f aca="false">SUM(E348:E377)</f>
        <v>11109097</v>
      </c>
      <c r="F378" s="200" t="n">
        <f aca="false">SUM(F348:F377)</f>
        <v>135416</v>
      </c>
      <c r="G378" s="201" t="n">
        <f aca="false">SUM(B378:F378)</f>
        <v>344756974</v>
      </c>
      <c r="H378" s="198" t="n">
        <f aca="false">SUM(H348:H376)</f>
        <v>95946231</v>
      </c>
      <c r="I378" s="198" t="n">
        <f aca="false">SUM(I348:I376)</f>
        <v>99740007</v>
      </c>
      <c r="J378" s="200" t="n">
        <f aca="false">SUM(H378:I378)</f>
        <v>195686238</v>
      </c>
      <c r="K378" s="197" t="n">
        <f aca="false">SUM(K348:K376)</f>
        <v>8251911</v>
      </c>
      <c r="L378" s="198" t="n">
        <f aca="false">SUM(L348:L376)</f>
        <v>8680328</v>
      </c>
      <c r="M378" s="200" t="n">
        <f aca="false">SUM(K378:L378)</f>
        <v>16932239</v>
      </c>
      <c r="N378" s="197" t="n">
        <f aca="false">SUM(N348:N376)</f>
        <v>2128129</v>
      </c>
      <c r="O378" s="198" t="n">
        <f aca="false">SUM(O348:O376)</f>
        <v>2209791</v>
      </c>
      <c r="P378" s="200" t="n">
        <f aca="false">SUM(N378:O378)</f>
        <v>4337920</v>
      </c>
      <c r="Q378" s="135" t="str">
        <f aca="false">IF(P313=P378,"〇","×")</f>
        <v>×</v>
      </c>
    </row>
    <row r="379" s="162" customFormat="true" ht="0.2" hidden="false" customHeight="true" outlineLevel="0" collapsed="false">
      <c r="A379" s="174" t="s">
        <v>496</v>
      </c>
      <c r="B379" s="256"/>
      <c r="C379" s="257"/>
      <c r="D379" s="254"/>
      <c r="E379" s="258"/>
      <c r="F379" s="259"/>
      <c r="G379" s="260"/>
      <c r="H379" s="261"/>
      <c r="I379" s="261"/>
      <c r="J379" s="262"/>
      <c r="K379" s="263"/>
      <c r="L379" s="264"/>
      <c r="M379" s="265"/>
      <c r="N379" s="263"/>
      <c r="O379" s="264"/>
      <c r="P379" s="265"/>
      <c r="Q379" s="162" t="str">
        <f aca="false">IF(P314=P379,"〇","×")</f>
        <v>〇</v>
      </c>
    </row>
    <row r="380" s="162" customFormat="true" ht="0.2" hidden="false" customHeight="true" outlineLevel="0" collapsed="false">
      <c r="A380" s="266" t="s">
        <v>496</v>
      </c>
      <c r="B380" s="267"/>
      <c r="C380" s="268"/>
      <c r="D380" s="254"/>
      <c r="E380" s="258"/>
      <c r="F380" s="257"/>
      <c r="G380" s="253"/>
      <c r="H380" s="269"/>
      <c r="I380" s="269"/>
      <c r="J380" s="270"/>
      <c r="K380" s="271"/>
      <c r="L380" s="272"/>
      <c r="M380" s="273"/>
      <c r="N380" s="271"/>
      <c r="O380" s="272"/>
      <c r="P380" s="273"/>
      <c r="Q380" s="162" t="str">
        <f aca="false">IF(P315=P380,"〇","×")</f>
        <v>〇</v>
      </c>
    </row>
    <row r="381" s="135" customFormat="true" ht="20.1" hidden="false" customHeight="true" outlineLevel="0" collapsed="false">
      <c r="A381" s="214" t="s">
        <v>208</v>
      </c>
      <c r="B381" s="142" t="n">
        <f aca="false">SUMIFS(報告入力!$AY$7:$AY$696,報告入力!$A$7:$A$696,$S$327,報告入力!$B$7:$B$696,$A381)</f>
        <v>145485</v>
      </c>
      <c r="C381" s="138" t="n">
        <f aca="false">SUMIFS(報告入力!$AZ$7:$AZ$696,報告入力!$A$7:$A$696,$S$327,報告入力!$B$7:$B$696,$A381)</f>
        <v>11925</v>
      </c>
      <c r="D381" s="136" t="n">
        <f aca="false">SUMIFS(報告入力!$BA$7:$BA$696,報告入力!$A$7:$A$696,$S$327,報告入力!$B$7:$B$696,$A381)</f>
        <v>145485</v>
      </c>
      <c r="E381" s="139" t="n">
        <f aca="false">SUMIFS(報告入力!$BB$7:$BB$696,報告入力!$A$7:$A$696,$S$327,報告入力!$B$7:$B$696,$A381)</f>
        <v>11925</v>
      </c>
      <c r="F381" s="138" t="n">
        <f aca="false">SUMIFS(報告入力!$BC$7:$BC$696,報告入力!$A$7:$A$696,$S$327,報告入力!$B$7:$B$696,$A381)</f>
        <v>138</v>
      </c>
      <c r="G381" s="133" t="n">
        <f aca="false">SUM(B381:F381)</f>
        <v>314958</v>
      </c>
      <c r="H381" s="155"/>
      <c r="I381" s="155"/>
      <c r="J381" s="221" t="n">
        <f aca="false">SUM(H381:I381)</f>
        <v>0</v>
      </c>
      <c r="K381" s="155"/>
      <c r="L381" s="155"/>
      <c r="M381" s="221" t="n">
        <f aca="false">SUM(K381:L381)</f>
        <v>0</v>
      </c>
      <c r="N381" s="155"/>
      <c r="O381" s="155"/>
      <c r="P381" s="221" t="n">
        <f aca="false">SUM(N381:O381)</f>
        <v>0</v>
      </c>
      <c r="Q381" s="135" t="str">
        <f aca="false">IF(P316=P381,"〇","×")</f>
        <v>〇</v>
      </c>
      <c r="R381" s="135" t="str">
        <f aca="false">IFERROR(INDEX(報告入力!$C$7:$C$696,MATCH($S$327&amp;"|"&amp;$A381,報告入力!$CM$7:$CM$696,0)),"")</f>
        <v>入金確認済</v>
      </c>
    </row>
    <row r="382" s="135" customFormat="true" ht="21.75" hidden="false" customHeight="true" outlineLevel="0" collapsed="false">
      <c r="A382" s="377" t="s">
        <v>209</v>
      </c>
      <c r="B382" s="210" t="n">
        <f aca="false">SUMIFS(報告入力!$AY$7:$AY$696,報告入力!$A$7:$A$696,$S$327,報告入力!$B$7:$B$696,$A382)</f>
        <v>53985</v>
      </c>
      <c r="C382" s="224" t="n">
        <f aca="false">SUMIFS(報告入力!$AZ$7:$AZ$696,報告入力!$A$7:$A$696,$S$327,報告入力!$B$7:$B$696,$A382)</f>
        <v>4425</v>
      </c>
      <c r="D382" s="274" t="n">
        <f aca="false">SUMIFS(報告入力!$BA$7:$BA$696,報告入力!$A$7:$A$696,$S$327,報告入力!$B$7:$B$696,$A382)</f>
        <v>53985</v>
      </c>
      <c r="E382" s="275" t="n">
        <f aca="false">SUMIFS(報告入力!$BB$7:$BB$696,報告入力!$A$7:$A$696,$S$327,報告入力!$B$7:$B$696,$A382)</f>
        <v>4425</v>
      </c>
      <c r="F382" s="276" t="n">
        <f aca="false">SUMIFS(報告入力!$BC$7:$BC$696,報告入力!$A$7:$A$696,$S$327,報告入力!$B$7:$B$696,$A382)</f>
        <v>51</v>
      </c>
      <c r="G382" s="144" t="n">
        <f aca="false">SUM(B382:F382)</f>
        <v>116871</v>
      </c>
      <c r="H382" s="277"/>
      <c r="I382" s="277"/>
      <c r="J382" s="278" t="n">
        <f aca="false">SUM(H382:I382)</f>
        <v>0</v>
      </c>
      <c r="K382" s="277"/>
      <c r="L382" s="277"/>
      <c r="M382" s="278" t="n">
        <f aca="false">SUM(K382:L382)</f>
        <v>0</v>
      </c>
      <c r="N382" s="277"/>
      <c r="O382" s="277"/>
      <c r="P382" s="278" t="n">
        <f aca="false">SUM(N382:O382)</f>
        <v>0</v>
      </c>
      <c r="Q382" s="135" t="str">
        <f aca="false">IF(P317=P382,"〇","×")</f>
        <v>〇</v>
      </c>
      <c r="R382" s="135" t="str">
        <f aca="false">IFERROR(INDEX(報告入力!$C$7:$C$696,MATCH($S$327&amp;"|"&amp;$A382,報告入力!$CM$7:$CM$696,0)),"")</f>
        <v>入金確認済</v>
      </c>
    </row>
    <row r="383" s="135" customFormat="true" ht="19.5" hidden="false" customHeight="true" outlineLevel="0" collapsed="false">
      <c r="A383" s="196" t="s">
        <v>497</v>
      </c>
      <c r="B383" s="197" t="n">
        <f aca="false">SUM(B379:B382)</f>
        <v>199470</v>
      </c>
      <c r="C383" s="200" t="n">
        <f aca="false">SUM(C379:C382)</f>
        <v>16350</v>
      </c>
      <c r="D383" s="198" t="n">
        <f aca="false">SUM(D379:D382)</f>
        <v>199470</v>
      </c>
      <c r="E383" s="199" t="n">
        <f aca="false">SUM(E379:E382)</f>
        <v>16350</v>
      </c>
      <c r="F383" s="200" t="n">
        <f aca="false">SUM(F379:F382)</f>
        <v>189</v>
      </c>
      <c r="G383" s="201" t="n">
        <f aca="false">SUM(B383:F383)</f>
        <v>431829</v>
      </c>
      <c r="H383" s="281" t="n">
        <f aca="false">SUM(H379:H382)</f>
        <v>0</v>
      </c>
      <c r="I383" s="282" t="n">
        <f aca="false">SUM(I379:I382)</f>
        <v>0</v>
      </c>
      <c r="J383" s="283" t="n">
        <f aca="false">SUM(H383:I383)</f>
        <v>0</v>
      </c>
      <c r="K383" s="281" t="n">
        <f aca="false">SUM(K379:K382)</f>
        <v>0</v>
      </c>
      <c r="L383" s="282" t="n">
        <f aca="false">SUM(L379:L382)</f>
        <v>0</v>
      </c>
      <c r="M383" s="283" t="n">
        <f aca="false">SUM(K383:L383)</f>
        <v>0</v>
      </c>
      <c r="N383" s="281" t="n">
        <f aca="false">SUM(N379:N382)</f>
        <v>0</v>
      </c>
      <c r="O383" s="282" t="n">
        <f aca="false">SUM(O379:O382)</f>
        <v>0</v>
      </c>
      <c r="P383" s="283" t="n">
        <f aca="false">SUM(N383:O383)</f>
        <v>0</v>
      </c>
      <c r="Q383" s="135" t="str">
        <f aca="false">IF(P318=P383,"〇","×")</f>
        <v>〇</v>
      </c>
    </row>
    <row r="384" s="135" customFormat="true" ht="20.1" hidden="false" customHeight="true" outlineLevel="0" collapsed="false">
      <c r="A384" s="125" t="s">
        <v>210</v>
      </c>
      <c r="B384" s="142" t="n">
        <f aca="false">SUMIFS(報告入力!$AY$7:$AY$696,報告入力!$A$7:$A$696,$S$327,報告入力!$B$7:$B$696,$A384)</f>
        <v>29280</v>
      </c>
      <c r="C384" s="138" t="n">
        <f aca="false">SUMIFS(報告入力!$AZ$7:$AZ$696,報告入力!$A$7:$A$696,$S$327,報告入力!$B$7:$B$696,$A384)</f>
        <v>2400</v>
      </c>
      <c r="D384" s="136" t="n">
        <f aca="false">SUMIFS(報告入力!$BA$7:$BA$696,報告入力!$A$7:$A$696,$S$327,報告入力!$B$7:$B$696,$A384)</f>
        <v>29280</v>
      </c>
      <c r="E384" s="139" t="n">
        <f aca="false">SUMIFS(報告入力!$BB$7:$BB$696,報告入力!$A$7:$A$696,$S$327,報告入力!$B$7:$B$696,$A384)</f>
        <v>2400</v>
      </c>
      <c r="F384" s="218"/>
      <c r="G384" s="133" t="n">
        <f aca="false">SUM(B384:F384)</f>
        <v>63360</v>
      </c>
      <c r="H384" s="139" t="n">
        <f aca="false">SUMIFS(報告入力!$BD$7:$BD$696,報告入力!$A$7:$A$696,$S$327,報告入力!$B$7:$B$696,$A384)</f>
        <v>16595</v>
      </c>
      <c r="I384" s="140" t="n">
        <f aca="false">SUMIFS(報告入力!$BE$7:$BE$696,報告入力!$A$7:$A$696,$S$327,報告入力!$B$7:$B$696,$A384)</f>
        <v>16611</v>
      </c>
      <c r="J384" s="141" t="n">
        <f aca="false">SUM(H384:I384)</f>
        <v>33206</v>
      </c>
      <c r="K384" s="139" t="n">
        <f aca="false">SUMIFS(報告入力!$BF$7:$BF$696,報告入力!$A$7:$A$696,$S$327,報告入力!$B$7:$B$696,$A384)</f>
        <v>2528</v>
      </c>
      <c r="L384" s="140" t="n">
        <f aca="false">SUMIFS(報告入力!$BG$7:$BG$696,報告入力!$A$7:$A$696,$S$327,報告入力!$B$7:$B$696,$A384)</f>
        <v>2528</v>
      </c>
      <c r="M384" s="141" t="n">
        <f aca="false">SUM(K384:L384)</f>
        <v>5056</v>
      </c>
      <c r="N384" s="139" t="n">
        <f aca="false">SUMIFS(報告入力!$BH$7:$BH$696,報告入力!$A$7:$A$696,$S$327,報告入力!$B$7:$B$696,$A384)</f>
        <v>368</v>
      </c>
      <c r="O384" s="140" t="n">
        <f aca="false">SUMIFS(報告入力!$BI$7:$BI$696,報告入力!$A$7:$A$696,$S$327,報告入力!$B$7:$B$696,$A384)</f>
        <v>368</v>
      </c>
      <c r="P384" s="141" t="n">
        <f aca="false">SUM(N384:O384)</f>
        <v>736</v>
      </c>
      <c r="Q384" s="135" t="str">
        <f aca="false">IF(P319=P384,"〇","×")</f>
        <v>〇</v>
      </c>
      <c r="R384" s="135" t="str">
        <f aca="false">IFERROR(INDEX(報告入力!$C$7:$C$696,MATCH($S$327&amp;"|"&amp;$A384,報告入力!$CM$7:$CM$696,0)),"")</f>
        <v>入金確認済</v>
      </c>
    </row>
    <row r="385" s="135" customFormat="true" ht="20.1" hidden="false" customHeight="true" outlineLevel="0" collapsed="false">
      <c r="A385" s="125" t="s">
        <v>211</v>
      </c>
      <c r="B385" s="240" t="n">
        <f aca="false">SUMIFS(報告入力!$AY$7:$AY$696,報告入力!$A$7:$A$696,$S$327,報告入力!$B$7:$B$696,$A385)</f>
        <v>0</v>
      </c>
      <c r="C385" s="237" t="n">
        <f aca="false">SUMIFS(報告入力!$AZ$7:$AZ$696,報告入力!$A$7:$A$696,$S$327,報告入力!$B$7:$B$696,$A385)</f>
        <v>0</v>
      </c>
      <c r="D385" s="203" t="n">
        <f aca="false">SUMIFS(報告入力!$BA$7:$BA$696,報告入力!$A$7:$A$696,$S$327,報告入力!$B$7:$B$696,$A385)</f>
        <v>0</v>
      </c>
      <c r="E385" s="207" t="n">
        <f aca="false">SUMIFS(報告入力!$BB$7:$BB$696,報告入力!$A$7:$A$696,$S$327,報告入力!$B$7:$B$696,$A385)</f>
        <v>0</v>
      </c>
      <c r="F385" s="218"/>
      <c r="G385" s="206" t="n">
        <f aca="false">SUM(B385:F385)</f>
        <v>0</v>
      </c>
      <c r="H385" s="207" t="n">
        <f aca="false">SUMIFS(報告入力!$BD$7:$BD$696,報告入力!$A$7:$A$696,$S$327,報告入力!$B$7:$B$696,$A385)</f>
        <v>0</v>
      </c>
      <c r="I385" s="208" t="n">
        <f aca="false">SUMIFS(報告入力!$BE$7:$BE$696,報告入力!$A$7:$A$696,$S$327,報告入力!$B$7:$B$696,$A385)</f>
        <v>0</v>
      </c>
      <c r="J385" s="160" t="n">
        <f aca="false">SUM(H385:I385)</f>
        <v>0</v>
      </c>
      <c r="K385" s="287" t="n">
        <f aca="false">SUMIFS(報告入力!$BF$7:$BF$696,報告入力!$A$7:$A$696,$S$327,報告入力!$B$7:$B$696,$A385)</f>
        <v>0</v>
      </c>
      <c r="L385" s="208" t="n">
        <f aca="false">SUMIFS(報告入力!$BG$7:$BG$696,報告入力!$A$7:$A$696,$S$327,報告入力!$B$7:$B$696,$A385)</f>
        <v>0</v>
      </c>
      <c r="M385" s="160" t="n">
        <f aca="false">SUM(K385:L385)</f>
        <v>0</v>
      </c>
      <c r="N385" s="287" t="n">
        <f aca="false">SUMIFS(報告入力!$BH$7:$BH$696,報告入力!$A$7:$A$696,$S$327,報告入力!$B$7:$B$696,$A385)</f>
        <v>0</v>
      </c>
      <c r="O385" s="208" t="n">
        <f aca="false">SUMIFS(報告入力!$BI$7:$BI$696,報告入力!$A$7:$A$696,$S$327,報告入力!$B$7:$B$696,$A385)</f>
        <v>0</v>
      </c>
      <c r="P385" s="160" t="n">
        <f aca="false">SUM(N385:O385)</f>
        <v>0</v>
      </c>
      <c r="Q385" s="135" t="str">
        <f aca="false">IF(P320=P385,"〇","×")</f>
        <v>〇</v>
      </c>
      <c r="R385" s="135" t="str">
        <f aca="false">IFERROR(INDEX(報告入力!$C$7:$C$696,MATCH($S$327&amp;"|"&amp;$A385,報告入力!$CM$7:$CM$696,0)),"")</f>
        <v>未受領</v>
      </c>
    </row>
    <row r="386" s="135" customFormat="true" ht="20.1" hidden="false" customHeight="true" outlineLevel="0" collapsed="false">
      <c r="A386" s="217" t="s">
        <v>212</v>
      </c>
      <c r="B386" s="142" t="n">
        <f aca="false">SUMIFS(報告入力!$AY$7:$AY$696,報告入力!$A$7:$A$696,$S$327,報告入力!$B$7:$B$696,$A386)</f>
        <v>27450</v>
      </c>
      <c r="C386" s="138" t="n">
        <f aca="false">SUMIFS(報告入力!$AZ$7:$AZ$696,報告入力!$A$7:$A$696,$S$327,報告入力!$B$7:$B$696,$A386)</f>
        <v>2250</v>
      </c>
      <c r="D386" s="136" t="n">
        <f aca="false">SUMIFS(報告入力!$BA$7:$BA$696,報告入力!$A$7:$A$696,$S$327,報告入力!$B$7:$B$696,$A386)</f>
        <v>27450</v>
      </c>
      <c r="E386" s="139" t="n">
        <f aca="false">SUMIFS(報告入力!$BB$7:$BB$696,報告入力!$A$7:$A$696,$S$327,報告入力!$B$7:$B$696,$A386)</f>
        <v>2250</v>
      </c>
      <c r="F386" s="218"/>
      <c r="G386" s="133" t="n">
        <f aca="false">SUM(B386:F386)</f>
        <v>59400</v>
      </c>
      <c r="H386" s="139" t="n">
        <f aca="false">SUMIFS(報告入力!$BD$7:$BD$696,報告入力!$A$7:$A$696,$S$327,報告入力!$B$7:$B$696,$A386)</f>
        <v>31116</v>
      </c>
      <c r="I386" s="140" t="n">
        <f aca="false">SUMIFS(報告入力!$BE$7:$BE$696,報告入力!$A$7:$A$696,$S$327,報告入力!$B$7:$B$696,$A386)</f>
        <v>31146</v>
      </c>
      <c r="J386" s="141" t="n">
        <f aca="false">SUM(H386:I386)</f>
        <v>62262</v>
      </c>
      <c r="K386" s="134" t="n">
        <f aca="false">SUMIFS(報告入力!$BF$7:$BF$696,報告入力!$A$7:$A$696,$S$327,報告入力!$B$7:$B$696,$A386)</f>
        <v>2370</v>
      </c>
      <c r="L386" s="140" t="n">
        <f aca="false">SUMIFS(報告入力!$BG$7:$BG$696,報告入力!$A$7:$A$696,$S$327,報告入力!$B$7:$B$696,$A386)</f>
        <v>2370</v>
      </c>
      <c r="M386" s="141" t="n">
        <f aca="false">SUM(K386:L386)</f>
        <v>4740</v>
      </c>
      <c r="N386" s="134" t="n">
        <f aca="false">SUMIFS(報告入力!$BH$7:$BH$696,報告入力!$A$7:$A$696,$S$327,報告入力!$B$7:$B$696,$A386)</f>
        <v>690</v>
      </c>
      <c r="O386" s="140" t="n">
        <f aca="false">SUMIFS(報告入力!$BI$7:$BI$696,報告入力!$A$7:$A$696,$S$327,報告入力!$B$7:$B$696,$A386)</f>
        <v>690</v>
      </c>
      <c r="P386" s="141" t="n">
        <f aca="false">SUM(N386:O386)</f>
        <v>1380</v>
      </c>
      <c r="Q386" s="135" t="str">
        <f aca="false">IF(P321=P386,"〇","×")</f>
        <v>〇</v>
      </c>
      <c r="R386" s="135" t="str">
        <f aca="false">IFERROR(INDEX(報告入力!$C$7:$C$696,MATCH($S$327&amp;"|"&amp;$A386,報告入力!$CM$7:$CM$696,0)),"")</f>
        <v>入金確認済</v>
      </c>
    </row>
    <row r="387" s="135" customFormat="true" ht="20.1" hidden="false" customHeight="true" outlineLevel="0" collapsed="false">
      <c r="A387" s="217" t="s">
        <v>213</v>
      </c>
      <c r="B387" s="240"/>
      <c r="C387" s="237"/>
      <c r="D387" s="203"/>
      <c r="E387" s="207"/>
      <c r="F387" s="337"/>
      <c r="G387" s="206" t="n">
        <f aca="false">SUM(B387:F387)</f>
        <v>0</v>
      </c>
      <c r="H387" s="357"/>
      <c r="I387" s="358"/>
      <c r="J387" s="309" t="n">
        <f aca="false">SUM(H387:I387)</f>
        <v>0</v>
      </c>
      <c r="K387" s="359"/>
      <c r="L387" s="358"/>
      <c r="M387" s="309" t="n">
        <f aca="false">SUM(K387:L387)</f>
        <v>0</v>
      </c>
      <c r="N387" s="359"/>
      <c r="O387" s="358"/>
      <c r="P387" s="309" t="n">
        <f aca="false">SUM(N387:O387)</f>
        <v>0</v>
      </c>
      <c r="Q387" s="135" t="str">
        <f aca="false">IF(P322=P387,"〇","×")</f>
        <v>〇</v>
      </c>
      <c r="R387" s="135" t="str">
        <f aca="false">IFERROR(INDEX(報告入力!$C$7:$C$696,MATCH($S$327&amp;"|"&amp;$A387,報告入力!$CM$7:$CM$696,0)),"")</f>
        <v>報告なし</v>
      </c>
    </row>
    <row r="388" s="135" customFormat="true" ht="20.1" hidden="false" customHeight="true" outlineLevel="0" collapsed="false">
      <c r="A388" s="196" t="s">
        <v>497</v>
      </c>
      <c r="B388" s="197" t="n">
        <f aca="false">SUM(B384:B387)</f>
        <v>56730</v>
      </c>
      <c r="C388" s="201" t="n">
        <f aca="false">SUM(C384:C387)</f>
        <v>4650</v>
      </c>
      <c r="D388" s="197" t="n">
        <f aca="false">SUM(D384:D387)</f>
        <v>56730</v>
      </c>
      <c r="E388" s="199" t="n">
        <f aca="false">SUM(E384:E387)</f>
        <v>4650</v>
      </c>
      <c r="F388" s="200" t="n">
        <f aca="false">SUM(F384:F387)</f>
        <v>0</v>
      </c>
      <c r="G388" s="201" t="n">
        <f aca="false">SUM(B388:F388)</f>
        <v>122760</v>
      </c>
      <c r="H388" s="301" t="n">
        <f aca="false">SUM(H384:H387)</f>
        <v>47711</v>
      </c>
      <c r="I388" s="199" t="n">
        <f aca="false">SUM(I384:I387)</f>
        <v>47757</v>
      </c>
      <c r="J388" s="200" t="n">
        <f aca="false">SUM(H388:I388)</f>
        <v>95468</v>
      </c>
      <c r="K388" s="197" t="n">
        <f aca="false">SUM(K384:K387)</f>
        <v>4898</v>
      </c>
      <c r="L388" s="301" t="n">
        <f aca="false">SUM(L384:L387)</f>
        <v>4898</v>
      </c>
      <c r="M388" s="200" t="n">
        <f aca="false">SUM(K388:L388)</f>
        <v>9796</v>
      </c>
      <c r="N388" s="197" t="n">
        <f aca="false">SUM(N384:N387)</f>
        <v>1058</v>
      </c>
      <c r="O388" s="301" t="n">
        <f aca="false">SUM(O384:O387)</f>
        <v>1058</v>
      </c>
      <c r="P388" s="200" t="n">
        <f aca="false">SUM(N388:O388)</f>
        <v>2116</v>
      </c>
      <c r="Q388" s="135" t="str">
        <f aca="false">IF(P323=P388,"〇","×")</f>
        <v>〇</v>
      </c>
    </row>
    <row r="389" s="135" customFormat="true" ht="20.1" hidden="false" customHeight="true" outlineLevel="0" collapsed="false">
      <c r="A389" s="302" t="s">
        <v>214</v>
      </c>
      <c r="B389" s="303"/>
      <c r="C389" s="304"/>
      <c r="D389" s="305"/>
      <c r="E389" s="306"/>
      <c r="F389" s="292"/>
      <c r="G389" s="293"/>
      <c r="H389" s="307" t="n">
        <f aca="false">SUMIFS(報告入力!$BD$7:$BD$696,報告入力!$A$7:$A$696,$S$327,報告入力!$B$7:$B$696,$A389)</f>
        <v>3479204</v>
      </c>
      <c r="I389" s="339"/>
      <c r="J389" s="309" t="n">
        <f aca="false">SUM(H389:I389)</f>
        <v>3479204</v>
      </c>
      <c r="K389" s="307" t="n">
        <f aca="false">SUMIFS(報告入力!$BF$7:$BF$696,報告入力!$A$7:$A$696,$S$327,報告入力!$B$7:$B$696,$A389)</f>
        <v>95674</v>
      </c>
      <c r="L389" s="339"/>
      <c r="M389" s="309" t="n">
        <f aca="false">SUM(K389:L389)</f>
        <v>95674</v>
      </c>
      <c r="N389" s="307" t="n">
        <f aca="false">SUMIFS(報告入力!$BH$7:$BH$696,報告入力!$A$7:$A$696,$S$327,報告入力!$B$7:$B$696,$A389)</f>
        <v>77141</v>
      </c>
      <c r="O389" s="339"/>
      <c r="P389" s="309" t="n">
        <f aca="false">SUM(N389:O389)</f>
        <v>77141</v>
      </c>
      <c r="Q389" s="135" t="str">
        <f aca="false">IF(P324=P389,"〇","×")</f>
        <v>×</v>
      </c>
      <c r="R389" s="135" t="str">
        <f aca="false">IFERROR(INDEX(報告入力!$C$7:$C$696,MATCH($S$327&amp;"|"&amp;$A389,報告入力!$CM$7:$CM$696,0)),"")</f>
        <v>受領済</v>
      </c>
    </row>
    <row r="390" s="135" customFormat="true" ht="30" hidden="false" customHeight="true" outlineLevel="0" collapsed="false">
      <c r="A390" s="310" t="s">
        <v>499</v>
      </c>
      <c r="B390" s="311" t="n">
        <f aca="false">SUM(+B347+B378+B383+B388+B389)</f>
        <v>492793379</v>
      </c>
      <c r="C390" s="312" t="n">
        <f aca="false">SUM(+C347+C378+C383+C388+C389)</f>
        <v>40391309</v>
      </c>
      <c r="D390" s="311" t="n">
        <f aca="false">SUM(+D347+D378+D383+D388+D389)</f>
        <v>716056059</v>
      </c>
      <c r="E390" s="313" t="n">
        <f aca="false">SUM(+E347+E378+E383+E388+E389)</f>
        <v>40367460</v>
      </c>
      <c r="F390" s="312" t="n">
        <f aca="false">SUM(+F347+F378+F383+F388+F389)</f>
        <v>486781</v>
      </c>
      <c r="G390" s="314" t="n">
        <f aca="false">SUM(B390:F390)</f>
        <v>1290094988</v>
      </c>
      <c r="H390" s="315" t="n">
        <f aca="false">SUM(+H347+H378+H383+H388+H389)</f>
        <v>355794712</v>
      </c>
      <c r="I390" s="315" t="n">
        <f aca="false">SUM(+I347+I378+I383+I388+I389)</f>
        <v>356751068</v>
      </c>
      <c r="J390" s="316" t="n">
        <f aca="false">SUM(H390:I390)</f>
        <v>712545780</v>
      </c>
      <c r="K390" s="317" t="n">
        <f aca="false">SUM(+K347+K378+K383+K388+K389)</f>
        <v>31956930</v>
      </c>
      <c r="L390" s="315" t="n">
        <f aca="false">SUM(+L347+L378+L383+L388+L389)</f>
        <v>31867818</v>
      </c>
      <c r="M390" s="316" t="n">
        <f aca="false">SUM(K390:L390)</f>
        <v>63824748</v>
      </c>
      <c r="N390" s="317" t="n">
        <f aca="false">SUM(+N347+N378+N383+N388+N389)</f>
        <v>7887647</v>
      </c>
      <c r="O390" s="315" t="n">
        <f aca="false">SUM(+O347+O378+O383+O388+O389)</f>
        <v>7809762</v>
      </c>
      <c r="P390" s="316" t="n">
        <f aca="false">SUM(N390:O390)</f>
        <v>15697409</v>
      </c>
      <c r="Q390" s="135" t="str">
        <f aca="false">IF(P325=P390,"〇","×")</f>
        <v>×</v>
      </c>
    </row>
    <row r="391" s="341" customFormat="true" ht="39" hidden="false" customHeight="true" outlineLevel="0" collapsed="false">
      <c r="A391" s="340"/>
      <c r="G391" s="109"/>
      <c r="Q391" s="341" t="str">
        <f aca="false">IF(P326=P391,"〇","×")</f>
        <v>〇</v>
      </c>
    </row>
    <row r="392" s="322" customFormat="true" ht="30" hidden="false" customHeight="true" outlineLevel="0" collapsed="false">
      <c r="A392" s="320"/>
      <c r="B392" s="112" t="n">
        <f aca="false">EOMONTH(B327,1)</f>
        <v>46295</v>
      </c>
      <c r="C392" s="112"/>
      <c r="D392" s="112"/>
      <c r="E392" s="112"/>
      <c r="F392" s="112"/>
      <c r="G392" s="112"/>
      <c r="H392" s="112" t="n">
        <f aca="false">B392</f>
        <v>46295</v>
      </c>
      <c r="I392" s="112"/>
      <c r="J392" s="112"/>
      <c r="K392" s="112" t="n">
        <f aca="false">H392</f>
        <v>46295</v>
      </c>
      <c r="L392" s="112"/>
      <c r="M392" s="112"/>
      <c r="N392" s="112" t="n">
        <f aca="false">K392</f>
        <v>46295</v>
      </c>
      <c r="O392" s="112"/>
      <c r="P392" s="112"/>
      <c r="Q392" s="322" t="str">
        <f aca="false">IF(P327=P392,"〇","×")</f>
        <v>〇</v>
      </c>
      <c r="S392" s="322" t="s">
        <v>506</v>
      </c>
    </row>
    <row r="393" customFormat="false" ht="22.5" hidden="false" customHeight="true" outlineLevel="0" collapsed="false">
      <c r="A393" s="114" t="s">
        <v>483</v>
      </c>
      <c r="B393" s="114" t="s">
        <v>484</v>
      </c>
      <c r="C393" s="114"/>
      <c r="D393" s="114"/>
      <c r="E393" s="114"/>
      <c r="F393" s="114"/>
      <c r="G393" s="114"/>
      <c r="H393" s="116" t="s">
        <v>485</v>
      </c>
      <c r="I393" s="116"/>
      <c r="J393" s="116"/>
      <c r="K393" s="116" t="s">
        <v>486</v>
      </c>
      <c r="L393" s="116"/>
      <c r="M393" s="116"/>
      <c r="N393" s="116" t="str">
        <f aca="false">$N$3</f>
        <v>子ども・子育て支援納付金</v>
      </c>
      <c r="O393" s="116"/>
      <c r="P393" s="116"/>
      <c r="Q393" s="105" t="str">
        <f aca="false">IF(P328=P393,"〇","×")</f>
        <v>〇</v>
      </c>
    </row>
    <row r="394" customFormat="false" ht="22.5" hidden="false" customHeight="true" outlineLevel="0" collapsed="false">
      <c r="A394" s="114"/>
      <c r="B394" s="117" t="s">
        <v>487</v>
      </c>
      <c r="C394" s="117"/>
      <c r="D394" s="117" t="s">
        <v>488</v>
      </c>
      <c r="E394" s="117"/>
      <c r="F394" s="117"/>
      <c r="G394" s="117" t="s">
        <v>489</v>
      </c>
      <c r="H394" s="121" t="s">
        <v>490</v>
      </c>
      <c r="I394" s="119" t="s">
        <v>491</v>
      </c>
      <c r="J394" s="120" t="s">
        <v>489</v>
      </c>
      <c r="K394" s="121" t="s">
        <v>490</v>
      </c>
      <c r="L394" s="119" t="s">
        <v>491</v>
      </c>
      <c r="M394" s="120" t="s">
        <v>489</v>
      </c>
      <c r="N394" s="121" t="s">
        <v>490</v>
      </c>
      <c r="O394" s="119" t="s">
        <v>491</v>
      </c>
      <c r="P394" s="120" t="s">
        <v>489</v>
      </c>
      <c r="Q394" s="105" t="str">
        <f aca="false">IF(P329=P394,"〇","×")</f>
        <v>〇</v>
      </c>
    </row>
    <row r="395" customFormat="false" ht="22.5" hidden="false" customHeight="true" outlineLevel="0" collapsed="false">
      <c r="A395" s="114"/>
      <c r="B395" s="122" t="s">
        <v>492</v>
      </c>
      <c r="C395" s="123" t="s">
        <v>493</v>
      </c>
      <c r="D395" s="124" t="s">
        <v>492</v>
      </c>
      <c r="E395" s="124" t="s">
        <v>494</v>
      </c>
      <c r="F395" s="123" t="s">
        <v>93</v>
      </c>
      <c r="G395" s="117"/>
      <c r="H395" s="121"/>
      <c r="I395" s="119"/>
      <c r="J395" s="120"/>
      <c r="K395" s="121"/>
      <c r="L395" s="119"/>
      <c r="M395" s="120"/>
      <c r="N395" s="121"/>
      <c r="O395" s="119"/>
      <c r="P395" s="120"/>
      <c r="Q395" s="105" t="str">
        <f aca="false">IF(P330=P395,"〇","×")</f>
        <v>〇</v>
      </c>
    </row>
    <row r="396" s="135" customFormat="true" ht="20.1" hidden="false" customHeight="true" outlineLevel="0" collapsed="false">
      <c r="A396" s="125" t="s">
        <v>166</v>
      </c>
      <c r="B396" s="142" t="n">
        <f aca="false">SUMIFS(報告入力!$AY$7:$AY$696,報告入力!$A$7:$A$696,$S$392,報告入力!$B$7:$B$696,$A396)</f>
        <v>242937806</v>
      </c>
      <c r="C396" s="138" t="n">
        <f aca="false">SUMIFS(報告入力!$AZ$7:$AZ$696,報告入力!$A$7:$A$696,$S$392,報告入力!$B$7:$B$696,$A396)</f>
        <v>19917809</v>
      </c>
      <c r="D396" s="142" t="n">
        <f aca="false">SUMIFS(報告入力!$BA$7:$BA$696,報告入力!$A$7:$A$696,$S$392,報告入力!$B$7:$B$696,$A396)</f>
        <v>352845876</v>
      </c>
      <c r="E396" s="139" t="n">
        <f aca="false">SUMIFS(報告入力!$BB$7:$BB$696,報告入力!$A$7:$A$696,$S$392,報告入力!$B$7:$B$696,$A396)</f>
        <v>19611961</v>
      </c>
      <c r="F396" s="138" t="n">
        <f aca="false">SUMIFS(報告入力!$BC$7:$BC$696,報告入力!$A$7:$A$696,$S$392,報告入力!$B$7:$B$696,$A396)</f>
        <v>238649</v>
      </c>
      <c r="G396" s="133" t="n">
        <f aca="false">SUM(B396:F396)</f>
        <v>635552101</v>
      </c>
      <c r="H396" s="139" t="n">
        <f aca="false">SUMIFS(報告入力!$BD$7:$BD$696,報告入力!$A$7:$A$696,$S$392,報告入力!$B$7:$B$696,$A396)</f>
        <v>177136759</v>
      </c>
      <c r="I396" s="230" t="n">
        <f aca="false">SUMIFS(報告入力!$BE$7:$BE$696,報告入力!$A$7:$A$696,$S$392,報告入力!$B$7:$B$696,$A396)</f>
        <v>176452442</v>
      </c>
      <c r="J396" s="133" t="n">
        <f aca="false">SUM(H396:I396)</f>
        <v>353589201</v>
      </c>
      <c r="K396" s="139" t="n">
        <f aca="false">SUMIFS(報告入力!$BF$7:$BF$696,報告入力!$A$7:$A$696,$S$392,報告入力!$B$7:$B$696,$A396)</f>
        <v>16364403</v>
      </c>
      <c r="L396" s="230" t="n">
        <f aca="false">SUMIFS(報告入力!$BG$7:$BG$696,報告入力!$A$7:$A$696,$S$392,報告入力!$B$7:$B$696,$A396)</f>
        <v>15937267</v>
      </c>
      <c r="M396" s="133" t="n">
        <f aca="false">SUM(K396:L396)</f>
        <v>32301670</v>
      </c>
      <c r="N396" s="230" t="n">
        <f aca="false">SUMIFS(報告入力!$BH$7:$BH$696,報告入力!$A$7:$A$696,$S$392,報告入力!$B$7:$B$696,$A396)</f>
        <v>3924905</v>
      </c>
      <c r="O396" s="230" t="n">
        <f aca="false">SUMIFS(報告入力!$BI$7:$BI$696,報告入力!$A$7:$A$696,$S$392,報告入力!$B$7:$B$696,$A396)</f>
        <v>3843722</v>
      </c>
      <c r="P396" s="133" t="n">
        <f aca="false">SUM(N396:O396)</f>
        <v>7768627</v>
      </c>
      <c r="Q396" s="135" t="str">
        <f aca="false">IF(P331=P396,"〇","×")</f>
        <v>×</v>
      </c>
      <c r="R396" s="135" t="str">
        <f aca="false">IFERROR(INDEX(報告入力!$C$7:$C$696,MATCH($S$392&amp;"|"&amp;$A396,報告入力!$CM$7:$CM$696,0)),"")</f>
        <v>入金確認済</v>
      </c>
    </row>
    <row r="397" s="135" customFormat="true" ht="20.1" hidden="false" customHeight="true" outlineLevel="0" collapsed="false">
      <c r="A397" s="125" t="s">
        <v>169</v>
      </c>
      <c r="B397" s="142" t="n">
        <f aca="false">SUMIFS(報告入力!$AY$7:$AY$696,報告入力!$A$7:$A$696,$S$392,報告入力!$B$7:$B$696,$A397)</f>
        <v>16590780</v>
      </c>
      <c r="C397" s="138" t="n">
        <f aca="false">SUMIFS(報告入力!$AZ$7:$AZ$696,報告入力!$A$7:$A$696,$S$392,報告入力!$B$7:$B$696,$A397)</f>
        <v>1359900</v>
      </c>
      <c r="D397" s="136" t="n">
        <f aca="false">SUMIFS(報告入力!$BA$7:$BA$696,報告入力!$A$7:$A$696,$S$392,報告入力!$B$7:$B$696,$A397)</f>
        <v>23913219</v>
      </c>
      <c r="E397" s="139" t="n">
        <f aca="false">SUMIFS(報告入力!$BB$7:$BB$696,報告入力!$A$7:$A$696,$S$392,報告入力!$B$7:$B$696,$A397)</f>
        <v>1356825</v>
      </c>
      <c r="F397" s="138" t="n">
        <f aca="false">SUMIFS(報告入力!$BC$7:$BC$696,報告入力!$A$7:$A$696,$S$392,報告入力!$B$7:$B$696,$A397)</f>
        <v>16022</v>
      </c>
      <c r="G397" s="133" t="n">
        <f aca="false">SUM(B397:F397)</f>
        <v>43236746</v>
      </c>
      <c r="H397" s="139" t="n">
        <f aca="false">SUMIFS(報告入力!$BD$7:$BD$696,報告入力!$A$7:$A$696,$S$392,報告入力!$B$7:$B$696,$A397)</f>
        <v>9734474</v>
      </c>
      <c r="I397" s="230" t="n">
        <f aca="false">SUMIFS(報告入力!$BE$7:$BE$696,報告入力!$A$7:$A$696,$S$392,報告入力!$B$7:$B$696,$A397)</f>
        <v>9879856</v>
      </c>
      <c r="J397" s="133" t="n">
        <f aca="false">SUM(H397:I397)</f>
        <v>19614330</v>
      </c>
      <c r="K397" s="139" t="n">
        <f aca="false">SUMIFS(報告入力!$BF$7:$BF$696,報告入力!$A$7:$A$696,$S$392,報告入力!$B$7:$B$696,$A397)</f>
        <v>1041536</v>
      </c>
      <c r="L397" s="230" t="n">
        <f aca="false">SUMIFS(報告入力!$BG$7:$BG$696,報告入力!$A$7:$A$696,$S$392,報告入力!$B$7:$B$696,$A397)</f>
        <v>1041536</v>
      </c>
      <c r="M397" s="133" t="n">
        <f aca="false">SUM(K397:L397)</f>
        <v>2083072</v>
      </c>
      <c r="N397" s="230" t="n">
        <f aca="false">SUMIFS(報告入力!$BH$7:$BH$696,報告入力!$A$7:$A$696,$S$392,報告入力!$B$7:$B$696,$A397)</f>
        <v>215781</v>
      </c>
      <c r="O397" s="230" t="n">
        <f aca="false">SUMIFS(報告入力!$BI$7:$BI$696,報告入力!$A$7:$A$696,$S$392,報告入力!$B$7:$B$696,$A397)</f>
        <v>215393</v>
      </c>
      <c r="P397" s="133" t="n">
        <f aca="false">SUM(N397:O397)</f>
        <v>431174</v>
      </c>
      <c r="Q397" s="135" t="str">
        <f aca="false">IF(P332=P397,"〇","×")</f>
        <v>×</v>
      </c>
      <c r="R397" s="135" t="str">
        <f aca="false">IFERROR(INDEX(報告入力!$C$7:$C$696,MATCH($S$392&amp;"|"&amp;$A397,報告入力!$CM$7:$CM$696,0)),"")</f>
        <v>入金確認済</v>
      </c>
    </row>
    <row r="398" s="135" customFormat="true" ht="20.1" hidden="false" customHeight="true" outlineLevel="0" collapsed="false">
      <c r="A398" s="125" t="s">
        <v>170</v>
      </c>
      <c r="B398" s="142" t="n">
        <f aca="false">SUMIFS(報告入力!$AY$7:$AY$696,報告入力!$A$7:$A$696,$S$392,報告入力!$B$7:$B$696,$A398)</f>
        <v>55206890</v>
      </c>
      <c r="C398" s="138" t="n">
        <f aca="false">SUMIFS(報告入力!$AZ$7:$AZ$696,報告入力!$A$7:$A$696,$S$392,報告入力!$B$7:$B$696,$A398)</f>
        <v>4525154</v>
      </c>
      <c r="D398" s="136" t="n">
        <f aca="false">SUMIFS(報告入力!$BA$7:$BA$696,報告入力!$A$7:$A$696,$S$392,報告入力!$B$7:$B$696,$A398)</f>
        <v>79528245</v>
      </c>
      <c r="E398" s="139" t="n">
        <f aca="false">SUMIFS(報告入力!$BB$7:$BB$696,報告入力!$A$7:$A$696,$S$392,報告入力!$B$7:$B$696,$A398)</f>
        <v>4509405</v>
      </c>
      <c r="F398" s="138" t="n">
        <f aca="false">SUMIFS(報告入力!$BC$7:$BC$696,報告入力!$A$7:$A$696,$S$392,報告入力!$B$7:$B$696,$A398)</f>
        <v>53102</v>
      </c>
      <c r="G398" s="133" t="n">
        <f aca="false">SUM(B398:F398)</f>
        <v>143822796</v>
      </c>
      <c r="H398" s="139" t="n">
        <f aca="false">SUMIFS(報告入力!$BD$7:$BD$696,報告入力!$A$7:$A$696,$S$392,報告入力!$B$7:$B$696,$A398)</f>
        <v>31985730</v>
      </c>
      <c r="I398" s="230" t="n">
        <f aca="false">SUMIFS(報告入力!$BE$7:$BE$696,報告入力!$A$7:$A$696,$S$392,報告入力!$B$7:$B$696,$A398)</f>
        <v>32423703</v>
      </c>
      <c r="J398" s="133" t="n">
        <f aca="false">SUM(H398:I398)</f>
        <v>64409433</v>
      </c>
      <c r="K398" s="139" t="n">
        <f aca="false">SUMIFS(報告入力!$BF$7:$BF$696,報告入力!$A$7:$A$696,$S$392,報告入力!$B$7:$B$696,$A398)</f>
        <v>2067746</v>
      </c>
      <c r="L398" s="230" t="n">
        <f aca="false">SUMIFS(報告入力!$BG$7:$BG$696,報告入力!$A$7:$A$696,$S$392,報告入力!$B$7:$B$696,$A398)</f>
        <v>2054869</v>
      </c>
      <c r="M398" s="133" t="n">
        <f aca="false">SUM(K398:L398)</f>
        <v>4122615</v>
      </c>
      <c r="N398" s="230" t="n">
        <f aca="false">SUMIFS(報告入力!$BH$7:$BH$696,報告入力!$A$7:$A$696,$S$392,報告入力!$B$7:$B$696,$A398)</f>
        <v>709043</v>
      </c>
      <c r="O398" s="230" t="n">
        <f aca="false">SUMIFS(報告入力!$BI$7:$BI$696,報告入力!$A$7:$A$696,$S$392,報告入力!$B$7:$B$696,$A398)</f>
        <v>706903</v>
      </c>
      <c r="P398" s="133" t="n">
        <f aca="false">SUM(N398:O398)</f>
        <v>1415946</v>
      </c>
      <c r="Q398" s="135" t="str">
        <f aca="false">IF(P333=P398,"〇","×")</f>
        <v>×</v>
      </c>
      <c r="R398" s="135" t="str">
        <f aca="false">IFERROR(INDEX(報告入力!$C$7:$C$696,MATCH($S$392&amp;"|"&amp;$A398,報告入力!$CM$7:$CM$696,0)),"")</f>
        <v>入金確認済</v>
      </c>
    </row>
    <row r="399" s="135" customFormat="true" ht="20.1" hidden="false" customHeight="true" outlineLevel="0" collapsed="false">
      <c r="A399" s="125" t="s">
        <v>171</v>
      </c>
      <c r="B399" s="142" t="n">
        <f aca="false">SUMIFS(報告入力!$AY$7:$AY$696,報告入力!$A$7:$A$696,$S$392,報告入力!$B$7:$B$696,$A399)</f>
        <v>1792485</v>
      </c>
      <c r="C399" s="138" t="n">
        <f aca="false">SUMIFS(報告入力!$AZ$7:$AZ$696,報告入力!$A$7:$A$696,$S$392,報告入力!$B$7:$B$696,$A399)</f>
        <v>146925</v>
      </c>
      <c r="D399" s="136" t="n">
        <f aca="false">SUMIFS(報告入力!$BA$7:$BA$696,報告入力!$A$7:$A$696,$S$392,報告入力!$B$7:$B$696,$A399)</f>
        <v>2583702</v>
      </c>
      <c r="E399" s="139" t="n">
        <f aca="false">SUMIFS(報告入力!$BB$7:$BB$696,報告入力!$A$7:$A$696,$S$392,報告入力!$B$7:$B$696,$A399)</f>
        <v>146925</v>
      </c>
      <c r="F399" s="138" t="n">
        <f aca="false">SUMIFS(報告入力!$BC$7:$BC$696,報告入力!$A$7:$A$696,$S$392,報告入力!$B$7:$B$696,$A399)</f>
        <v>1723</v>
      </c>
      <c r="G399" s="133" t="n">
        <f aca="false">SUM(B399:F399)</f>
        <v>4671760</v>
      </c>
      <c r="H399" s="139" t="n">
        <f aca="false">SUMIFS(報告入力!$BD$7:$BD$696,報告入力!$A$7:$A$696,$S$392,報告入力!$B$7:$B$696,$A399)</f>
        <v>1025774</v>
      </c>
      <c r="I399" s="230" t="n">
        <f aca="false">SUMIFS(報告入力!$BE$7:$BE$696,報告入力!$A$7:$A$696,$S$392,報告入力!$B$7:$B$696,$A399)</f>
        <v>1043208</v>
      </c>
      <c r="J399" s="133" t="n">
        <f aca="false">SUM(H399:I399)</f>
        <v>2068982</v>
      </c>
      <c r="K399" s="139" t="n">
        <f aca="false">SUMIFS(報告入力!$BF$7:$BF$696,報告入力!$A$7:$A$696,$S$392,報告入力!$B$7:$B$696,$A399)</f>
        <v>103016</v>
      </c>
      <c r="L399" s="230" t="n">
        <f aca="false">SUMIFS(報告入力!$BG$7:$BG$696,報告入力!$A$7:$A$696,$S$392,報告入力!$B$7:$B$696,$A399)</f>
        <v>103016</v>
      </c>
      <c r="M399" s="133" t="n">
        <f aca="false">SUM(K399:L399)</f>
        <v>206032</v>
      </c>
      <c r="N399" s="230" t="n">
        <f aca="false">SUMIFS(報告入力!$BH$7:$BH$696,報告入力!$A$7:$A$696,$S$392,報告入力!$B$7:$B$696,$A399)</f>
        <v>22741</v>
      </c>
      <c r="O399" s="230" t="n">
        <f aca="false">SUMIFS(報告入力!$BI$7:$BI$696,報告入力!$A$7:$A$696,$S$392,報告入力!$B$7:$B$696,$A399)</f>
        <v>22747</v>
      </c>
      <c r="P399" s="133" t="n">
        <f aca="false">SUM(N399:O399)</f>
        <v>45488</v>
      </c>
      <c r="Q399" s="135" t="str">
        <f aca="false">IF(P334=P399,"〇","×")</f>
        <v>×</v>
      </c>
      <c r="R399" s="135" t="str">
        <f aca="false">IFERROR(INDEX(報告入力!$C$7:$C$696,MATCH($S$392&amp;"|"&amp;$A399,報告入力!$CM$7:$CM$696,0)),"")</f>
        <v>入金確認済</v>
      </c>
    </row>
    <row r="400" s="378" customFormat="true" ht="20.1" hidden="false" customHeight="true" outlineLevel="0" collapsed="false">
      <c r="A400" s="125" t="s">
        <v>172</v>
      </c>
      <c r="B400" s="142" t="n">
        <f aca="false">SUMIFS(報告入力!$AY$7:$AY$696,報告入力!$A$7:$A$696,$S$392,報告入力!$B$7:$B$696,$A400)</f>
        <v>24740685</v>
      </c>
      <c r="C400" s="138" t="n">
        <f aca="false">SUMIFS(報告入力!$AZ$7:$AZ$696,報告入力!$A$7:$A$696,$S$392,報告入力!$B$7:$B$696,$A400)</f>
        <v>2027925</v>
      </c>
      <c r="D400" s="136" t="n">
        <f aca="false">SUMIFS(報告入力!$BA$7:$BA$696,報告入力!$A$7:$A$696,$S$392,報告入力!$B$7:$B$696,$A400)</f>
        <v>35652138</v>
      </c>
      <c r="E400" s="139" t="n">
        <f aca="false">SUMIFS(報告入力!$BB$7:$BB$696,報告入力!$A$7:$A$696,$S$392,報告入力!$B$7:$B$696,$A400)</f>
        <v>2027925</v>
      </c>
      <c r="F400" s="138" t="n">
        <f aca="false">SUMIFS(報告入力!$BC$7:$BC$696,報告入力!$A$7:$A$696,$S$392,報告入力!$B$7:$B$696,$A400)</f>
        <v>23758</v>
      </c>
      <c r="G400" s="133" t="n">
        <f aca="false">SUM(B400:F400)</f>
        <v>64472431</v>
      </c>
      <c r="H400" s="139" t="n">
        <f aca="false">SUMIFS(報告入力!$BD$7:$BD$696,報告入力!$A$7:$A$696,$S$392,報告入力!$B$7:$B$696,$A400)</f>
        <v>24442417</v>
      </c>
      <c r="I400" s="230" t="n">
        <f aca="false">SUMIFS(報告入力!$BE$7:$BE$696,報告入力!$A$7:$A$696,$S$392,報告入力!$B$7:$B$696,$A400)</f>
        <v>24886462</v>
      </c>
      <c r="J400" s="133" t="n">
        <f aca="false">SUM(H400:I400)</f>
        <v>49328879</v>
      </c>
      <c r="K400" s="139" t="n">
        <f aca="false">SUMIFS(報告入力!$BF$7:$BF$696,報告入力!$A$7:$A$696,$S$392,報告入力!$B$7:$B$696,$A400)</f>
        <v>2870104</v>
      </c>
      <c r="L400" s="230" t="n">
        <f aca="false">SUMIFS(報告入力!$BG$7:$BG$696,報告入力!$A$7:$A$696,$S$392,報告入力!$B$7:$B$696,$A400)</f>
        <v>2873699</v>
      </c>
      <c r="M400" s="133" t="n">
        <f aca="false">SUM(K400:L400)</f>
        <v>5743803</v>
      </c>
      <c r="N400" s="230" t="n">
        <f aca="false">SUMIFS(報告入力!$BH$7:$BH$696,報告入力!$A$7:$A$696,$S$392,報告入力!$B$7:$B$696,$A400)</f>
        <v>541422</v>
      </c>
      <c r="O400" s="230" t="n">
        <f aca="false">SUMIFS(報告入力!$BI$7:$BI$696,報告入力!$A$7:$A$696,$S$392,報告入力!$B$7:$B$696,$A400)</f>
        <v>542621</v>
      </c>
      <c r="P400" s="133" t="n">
        <f aca="false">SUM(N400:O400)</f>
        <v>1084043</v>
      </c>
      <c r="Q400" s="378" t="str">
        <f aca="false">IF(P335=P400,"〇","×")</f>
        <v>×</v>
      </c>
      <c r="R400" s="378" t="str">
        <f aca="false">IFERROR(INDEX(報告入力!$C$7:$C$696,MATCH($S$392&amp;"|"&amp;$A400,報告入力!$CM$7:$CM$696,0)),"")</f>
        <v>入金確認済</v>
      </c>
    </row>
    <row r="401" s="135" customFormat="true" ht="20.1" hidden="false" customHeight="true" outlineLevel="0" collapsed="false">
      <c r="A401" s="125" t="s">
        <v>173</v>
      </c>
      <c r="B401" s="142" t="n">
        <f aca="false">SUMIFS(報告入力!$AY$7:$AY$696,報告入力!$A$7:$A$696,$S$392,報告入力!$B$7:$B$696,$A401)</f>
        <v>250710</v>
      </c>
      <c r="C401" s="138" t="n">
        <f aca="false">SUMIFS(報告入力!$AZ$7:$AZ$696,報告入力!$A$7:$A$696,$S$392,報告入力!$B$7:$B$696,$A401)</f>
        <v>20550</v>
      </c>
      <c r="D401" s="136" t="n">
        <f aca="false">SUMIFS(報告入力!$BA$7:$BA$696,報告入力!$A$7:$A$696,$S$392,報告入力!$B$7:$B$696,$A401)</f>
        <v>360036</v>
      </c>
      <c r="E401" s="139" t="n">
        <f aca="false">SUMIFS(報告入力!$BB$7:$BB$696,報告入力!$A$7:$A$696,$S$392,報告入力!$B$7:$B$696,$A401)</f>
        <v>20550</v>
      </c>
      <c r="F401" s="138" t="n">
        <f aca="false">SUMIFS(報告入力!$BC$7:$BC$696,報告入力!$A$7:$A$696,$S$392,報告入力!$B$7:$B$696,$A401)</f>
        <v>238</v>
      </c>
      <c r="G401" s="133" t="n">
        <f aca="false">SUM(B401:F401)</f>
        <v>652084</v>
      </c>
      <c r="H401" s="139" t="n">
        <f aca="false">SUMIFS(報告入力!$BD$7:$BD$696,報告入力!$A$7:$A$696,$S$392,報告入力!$B$7:$B$696,$A401)</f>
        <v>162838</v>
      </c>
      <c r="I401" s="230" t="n">
        <f aca="false">SUMIFS(報告入力!$BE$7:$BE$696,報告入力!$A$7:$A$696,$S$392,報告入力!$B$7:$B$696,$A401)</f>
        <v>165572</v>
      </c>
      <c r="J401" s="133" t="n">
        <f aca="false">SUM(H401:I401)</f>
        <v>328410</v>
      </c>
      <c r="K401" s="139" t="n">
        <f aca="false">SUMIFS(報告入力!$BF$7:$BF$696,報告入力!$A$7:$A$696,$S$392,報告入力!$B$7:$B$696,$A401)</f>
        <v>15879</v>
      </c>
      <c r="L401" s="230" t="n">
        <f aca="false">SUMIFS(報告入力!$BG$7:$BG$696,報告入力!$A$7:$A$696,$S$392,報告入力!$B$7:$B$696,$A401)</f>
        <v>15879</v>
      </c>
      <c r="M401" s="133" t="n">
        <f aca="false">SUM(K401:L401)</f>
        <v>31758</v>
      </c>
      <c r="N401" s="230" t="n">
        <f aca="false">SUMIFS(報告入力!$BH$7:$BH$696,報告入力!$A$7:$A$696,$S$392,報告入力!$B$7:$B$696,$A401)</f>
        <v>3609</v>
      </c>
      <c r="O401" s="230" t="n">
        <f aca="false">SUMIFS(報告入力!$BI$7:$BI$696,報告入力!$A$7:$A$696,$S$392,報告入力!$B$7:$B$696,$A401)</f>
        <v>3611</v>
      </c>
      <c r="P401" s="133" t="n">
        <f aca="false">SUM(N401:O401)</f>
        <v>7220</v>
      </c>
      <c r="Q401" s="135" t="str">
        <f aca="false">IF(P336=P401,"〇","×")</f>
        <v>×</v>
      </c>
      <c r="R401" s="135" t="str">
        <f aca="false">IFERROR(INDEX(報告入力!$C$7:$C$696,MATCH($S$392&amp;"|"&amp;$A401,報告入力!$CM$7:$CM$696,0)),"")</f>
        <v>入金確認済</v>
      </c>
    </row>
    <row r="402" s="135" customFormat="true" ht="20.1" hidden="false" customHeight="true" outlineLevel="0" collapsed="false">
      <c r="A402" s="125" t="s">
        <v>174</v>
      </c>
      <c r="B402" s="142" t="n">
        <f aca="false">SUMIFS(報告入力!$AY$7:$AY$696,報告入力!$A$7:$A$696,$S$392,報告入力!$B$7:$B$696,$A402)</f>
        <v>616710</v>
      </c>
      <c r="C402" s="138" t="n">
        <f aca="false">SUMIFS(報告入力!$AZ$7:$AZ$696,報告入力!$A$7:$A$696,$S$392,報告入力!$B$7:$B$696,$A402)</f>
        <v>50550</v>
      </c>
      <c r="D402" s="136" t="n">
        <f aca="false">SUMIFS(報告入力!$BA$7:$BA$696,報告入力!$A$7:$A$696,$S$392,報告入力!$B$7:$B$696,$A402)</f>
        <v>885636</v>
      </c>
      <c r="E402" s="139" t="n">
        <f aca="false">SUMIFS(報告入力!$BB$7:$BB$696,報告入力!$A$7:$A$696,$S$392,報告入力!$B$7:$B$696,$A402)</f>
        <v>50550</v>
      </c>
      <c r="F402" s="138" t="n">
        <f aca="false">SUMIFS(報告入力!$BC$7:$BC$696,報告入力!$A$7:$A$696,$S$392,報告入力!$B$7:$B$696,$A402)</f>
        <v>585</v>
      </c>
      <c r="G402" s="133" t="n">
        <f aca="false">SUM(B402:F402)</f>
        <v>1604031</v>
      </c>
      <c r="H402" s="139" t="n">
        <f aca="false">SUMIFS(報告入力!$BD$7:$BD$696,報告入力!$A$7:$A$696,$S$392,報告入力!$B$7:$B$696,$A402)</f>
        <v>363015</v>
      </c>
      <c r="I402" s="230" t="n">
        <f aca="false">SUMIFS(報告入力!$BE$7:$BE$696,報告入力!$A$7:$A$696,$S$392,報告入力!$B$7:$B$696,$A402)</f>
        <v>369109</v>
      </c>
      <c r="J402" s="133" t="n">
        <f aca="false">SUM(H402:I402)</f>
        <v>732124</v>
      </c>
      <c r="K402" s="139" t="n">
        <f aca="false">SUMIFS(報告入力!$BF$7:$BF$696,報告入力!$A$7:$A$696,$S$392,報告入力!$B$7:$B$696,$A402)</f>
        <v>30257</v>
      </c>
      <c r="L402" s="230" t="n">
        <f aca="false">SUMIFS(報告入力!$BG$7:$BG$696,報告入力!$A$7:$A$696,$S$392,報告入力!$B$7:$B$696,$A402)</f>
        <v>30257</v>
      </c>
      <c r="M402" s="133" t="n">
        <f aca="false">SUM(K402:L402)</f>
        <v>60514</v>
      </c>
      <c r="N402" s="230" t="n">
        <f aca="false">SUMIFS(報告入力!$BH$7:$BH$696,報告入力!$A$7:$A$696,$S$392,報告入力!$B$7:$B$696,$A402)</f>
        <v>8048</v>
      </c>
      <c r="O402" s="230" t="n">
        <f aca="false">SUMIFS(報告入力!$BI$7:$BI$696,報告入力!$A$7:$A$696,$S$392,報告入力!$B$7:$B$696,$A402)</f>
        <v>8050</v>
      </c>
      <c r="P402" s="133" t="n">
        <f aca="false">SUM(N402:O402)</f>
        <v>16098</v>
      </c>
      <c r="Q402" s="135" t="str">
        <f aca="false">IF(P337=P402,"〇","×")</f>
        <v>×</v>
      </c>
      <c r="R402" s="135" t="str">
        <f aca="false">IFERROR(INDEX(報告入力!$C$7:$C$696,MATCH($S$392&amp;"|"&amp;$A402,報告入力!$CM$7:$CM$696,0)),"")</f>
        <v>入金確認済</v>
      </c>
    </row>
    <row r="403" s="135" customFormat="true" ht="20.1" hidden="false" customHeight="true" outlineLevel="0" collapsed="false">
      <c r="A403" s="125" t="s">
        <v>175</v>
      </c>
      <c r="B403" s="142" t="n">
        <f aca="false">SUMIFS(報告入力!$AY$7:$AY$696,報告入力!$A$7:$A$696,$S$392,報告入力!$B$7:$B$696,$A403)</f>
        <v>1305705</v>
      </c>
      <c r="C403" s="138" t="n">
        <f aca="false">SUMIFS(報告入力!$AZ$7:$AZ$696,報告入力!$A$7:$A$696,$S$392,報告入力!$B$7:$B$696,$A403)</f>
        <v>107025</v>
      </c>
      <c r="D403" s="136" t="n">
        <f aca="false">SUMIFS(報告入力!$BA$7:$BA$696,報告入力!$A$7:$A$696,$S$392,報告入力!$B$7:$B$696,$A403)</f>
        <v>1886250</v>
      </c>
      <c r="E403" s="139" t="n">
        <f aca="false">SUMIFS(報告入力!$BB$7:$BB$696,報告入力!$A$7:$A$696,$S$392,報告入力!$B$7:$B$696,$A403)</f>
        <v>107025</v>
      </c>
      <c r="F403" s="138" t="n">
        <f aca="false">SUMIFS(報告入力!$BC$7:$BC$696,報告入力!$A$7:$A$696,$S$392,報告入力!$B$7:$B$696,$A403)</f>
        <v>1263</v>
      </c>
      <c r="G403" s="133" t="n">
        <f aca="false">SUM(B403:F403)</f>
        <v>3407268</v>
      </c>
      <c r="H403" s="139" t="n">
        <f aca="false">SUMIFS(報告入力!$BD$7:$BD$696,報告入力!$A$7:$A$696,$S$392,報告入力!$B$7:$B$696,$A403)</f>
        <v>760772</v>
      </c>
      <c r="I403" s="230" t="n">
        <f aca="false">SUMIFS(報告入力!$BE$7:$BE$696,報告入力!$A$7:$A$696,$S$392,報告入力!$B$7:$B$696,$A403)</f>
        <v>773791</v>
      </c>
      <c r="J403" s="133" t="n">
        <f aca="false">SUM(H403:I403)</f>
        <v>1534563</v>
      </c>
      <c r="K403" s="139" t="n">
        <f aca="false">SUMIFS(報告入力!$BF$7:$BF$696,報告入力!$A$7:$A$696,$S$392,報告入力!$B$7:$B$696,$A403)</f>
        <v>106808</v>
      </c>
      <c r="L403" s="230" t="n">
        <f aca="false">SUMIFS(報告入力!$BG$7:$BG$696,報告入力!$A$7:$A$696,$S$392,報告入力!$B$7:$B$696,$A403)</f>
        <v>106808</v>
      </c>
      <c r="M403" s="133" t="n">
        <f aca="false">SUM(K403:L403)</f>
        <v>213616</v>
      </c>
      <c r="N403" s="230" t="n">
        <f aca="false">SUMIFS(報告入力!$BH$7:$BH$696,報告入力!$A$7:$A$696,$S$392,報告入力!$B$7:$B$696,$A403)</f>
        <v>16864</v>
      </c>
      <c r="O403" s="230" t="n">
        <f aca="false">SUMIFS(報告入力!$BI$7:$BI$696,報告入力!$A$7:$A$696,$S$392,報告入力!$B$7:$B$696,$A403)</f>
        <v>16870</v>
      </c>
      <c r="P403" s="133" t="n">
        <f aca="false">SUM(N403:O403)</f>
        <v>33734</v>
      </c>
      <c r="Q403" s="135" t="str">
        <f aca="false">IF(P338=P403,"〇","×")</f>
        <v>×</v>
      </c>
      <c r="R403" s="135" t="str">
        <f aca="false">IFERROR(INDEX(報告入力!$C$7:$C$696,MATCH($S$392&amp;"|"&amp;$A403,報告入力!$CM$7:$CM$696,0)),"")</f>
        <v>入金確認済</v>
      </c>
    </row>
    <row r="404" s="135" customFormat="true" ht="20.1" hidden="false" customHeight="true" outlineLevel="0" collapsed="false">
      <c r="A404" s="125" t="s">
        <v>176</v>
      </c>
      <c r="B404" s="142" t="n">
        <f aca="false">SUMIFS(報告入力!$AY$7:$AY$696,報告入力!$A$7:$A$696,$S$392,報告入力!$B$7:$B$696,$A404)</f>
        <v>401685</v>
      </c>
      <c r="C404" s="138" t="n">
        <f aca="false">SUMIFS(報告入力!$AZ$7:$AZ$696,報告入力!$A$7:$A$696,$S$392,報告入力!$B$7:$B$696,$A404)</f>
        <v>32925</v>
      </c>
      <c r="D404" s="136" t="n">
        <f aca="false">SUMIFS(報告入力!$BA$7:$BA$696,報告入力!$A$7:$A$696,$S$392,報告入力!$B$7:$B$696,$A404)</f>
        <v>576846</v>
      </c>
      <c r="E404" s="139" t="n">
        <f aca="false">SUMIFS(報告入力!$BB$7:$BB$696,報告入力!$A$7:$A$696,$S$392,報告入力!$B$7:$B$696,$A404)</f>
        <v>32925</v>
      </c>
      <c r="F404" s="138" t="n">
        <f aca="false">SUMIFS(報告入力!$BC$7:$BC$696,報告入力!$A$7:$A$696,$S$392,報告入力!$B$7:$B$696,$A404)</f>
        <v>381</v>
      </c>
      <c r="G404" s="133" t="n">
        <f aca="false">SUM(B404:F404)</f>
        <v>1044762</v>
      </c>
      <c r="H404" s="139" t="n">
        <f aca="false">SUMIFS(報告入力!$BD$7:$BD$696,報告入力!$A$7:$A$696,$S$392,報告入力!$B$7:$B$696,$A404)</f>
        <v>305452</v>
      </c>
      <c r="I404" s="230" t="n">
        <f aca="false">SUMIFS(報告入力!$BE$7:$BE$696,報告入力!$A$7:$A$696,$S$392,報告入力!$B$7:$B$696,$A404)</f>
        <v>310579</v>
      </c>
      <c r="J404" s="133" t="n">
        <f aca="false">SUM(H404:I404)</f>
        <v>616031</v>
      </c>
      <c r="K404" s="139" t="n">
        <f aca="false">SUMIFS(報告入力!$BF$7:$BF$696,報告入力!$A$7:$A$696,$S$392,報告入力!$B$7:$B$696,$A404)</f>
        <v>34286</v>
      </c>
      <c r="L404" s="230" t="n">
        <f aca="false">SUMIFS(報告入力!$BG$7:$BG$696,報告入力!$A$7:$A$696,$S$392,報告入力!$B$7:$B$696,$A404)</f>
        <v>34286</v>
      </c>
      <c r="M404" s="133" t="n">
        <f aca="false">SUM(K404:L404)</f>
        <v>68572</v>
      </c>
      <c r="N404" s="230" t="n">
        <f aca="false">SUMIFS(報告入力!$BH$7:$BH$696,報告入力!$A$7:$A$696,$S$392,報告入力!$B$7:$B$696,$A404)</f>
        <v>6770</v>
      </c>
      <c r="O404" s="230" t="n">
        <f aca="false">SUMIFS(報告入力!$BI$7:$BI$696,報告入力!$A$7:$A$696,$S$392,報告入力!$B$7:$B$696,$A404)</f>
        <v>6773</v>
      </c>
      <c r="P404" s="133" t="n">
        <f aca="false">SUM(N404:O404)</f>
        <v>13543</v>
      </c>
      <c r="Q404" s="135" t="str">
        <f aca="false">IF(P339=P404,"〇","×")</f>
        <v>×</v>
      </c>
      <c r="R404" s="135" t="str">
        <f aca="false">IFERROR(INDEX(報告入力!$C$7:$C$696,MATCH($S$392&amp;"|"&amp;$A404,報告入力!$CM$7:$CM$696,0)),"")</f>
        <v>入金確認済</v>
      </c>
    </row>
    <row r="405" s="135" customFormat="true" ht="20.1" hidden="false" customHeight="true" outlineLevel="0" collapsed="false">
      <c r="A405" s="125" t="s">
        <v>177</v>
      </c>
      <c r="B405" s="142" t="n">
        <f aca="false">SUMIFS(報告入力!$AY$7:$AY$696,報告入力!$A$7:$A$696,$S$392,報告入力!$B$7:$B$696,$A405)</f>
        <v>23100090</v>
      </c>
      <c r="C405" s="138" t="n">
        <f aca="false">SUMIFS(報告入力!$AZ$7:$AZ$696,報告入力!$A$7:$A$696,$S$392,報告入力!$B$7:$B$696,$A405)</f>
        <v>1893450</v>
      </c>
      <c r="D405" s="136" t="n">
        <f aca="false">SUMIFS(報告入力!$BA$7:$BA$696,報告入力!$A$7:$A$696,$S$392,報告入力!$B$7:$B$696,$A405)</f>
        <v>33230730</v>
      </c>
      <c r="E405" s="139" t="n">
        <f aca="false">SUMIFS(報告入力!$BB$7:$BB$696,報告入力!$A$7:$A$696,$S$392,報告入力!$B$7:$B$696,$A405)</f>
        <v>1893450</v>
      </c>
      <c r="F405" s="138" t="n">
        <f aca="false">SUMIFS(報告入力!$BC$7:$BC$696,報告入力!$A$7:$A$696,$S$392,報告入力!$B$7:$B$696,$A405)</f>
        <v>22229</v>
      </c>
      <c r="G405" s="133" t="n">
        <f aca="false">SUM(B405:F405)</f>
        <v>60139949</v>
      </c>
      <c r="H405" s="139" t="n">
        <f aca="false">SUMIFS(報告入力!$BD$7:$BD$696,報告入力!$A$7:$A$696,$S$392,報告入力!$B$7:$B$696,$A405)</f>
        <v>13765012</v>
      </c>
      <c r="I405" s="230" t="n">
        <f aca="false">SUMIFS(報告入力!$BE$7:$BE$696,報告入力!$A$7:$A$696,$S$392,報告入力!$B$7:$B$696,$A405)</f>
        <v>13995454</v>
      </c>
      <c r="J405" s="133" t="n">
        <f aca="false">SUM(H405:I405)</f>
        <v>27760466</v>
      </c>
      <c r="K405" s="139" t="n">
        <f aca="false">SUMIFS(報告入力!$BF$7:$BF$696,報告入力!$A$7:$A$696,$S$392,報告入力!$B$7:$B$696,$A405)</f>
        <v>1381939</v>
      </c>
      <c r="L405" s="230" t="n">
        <f aca="false">SUMIFS(報告入力!$BG$7:$BG$696,報告入力!$A$7:$A$696,$S$392,報告入力!$B$7:$B$696,$A405)</f>
        <v>1381939</v>
      </c>
      <c r="M405" s="133" t="n">
        <f aca="false">SUM(K405:L405)</f>
        <v>2763878</v>
      </c>
      <c r="N405" s="230" t="n">
        <f aca="false">SUMIFS(報告入力!$BH$7:$BH$696,報告入力!$A$7:$A$696,$S$392,報告入力!$B$7:$B$696,$A405)</f>
        <v>305093</v>
      </c>
      <c r="O405" s="230" t="n">
        <f aca="false">SUMIFS(報告入力!$BI$7:$BI$696,報告入力!$A$7:$A$696,$S$392,報告入力!$B$7:$B$696,$A405)</f>
        <v>305196</v>
      </c>
      <c r="P405" s="133" t="n">
        <f aca="false">SUM(N405:O405)</f>
        <v>610289</v>
      </c>
      <c r="Q405" s="135" t="str">
        <f aca="false">IF(P340=P405,"〇","×")</f>
        <v>×</v>
      </c>
      <c r="R405" s="135" t="str">
        <f aca="false">IFERROR(INDEX(報告入力!$C$7:$C$696,MATCH($S$392&amp;"|"&amp;$A405,報告入力!$CM$7:$CM$696,0)),"")</f>
        <v>入金確認済</v>
      </c>
    </row>
    <row r="406" s="135" customFormat="true" ht="19.5" hidden="false" customHeight="true" outlineLevel="0" collapsed="false">
      <c r="A406" s="146" t="s">
        <v>495</v>
      </c>
      <c r="B406" s="142" t="n">
        <f aca="false">SUMIFS(報告入力!$AY$7:$AY$696,報告入力!$A$7:$A$696,$S$392,報告入力!$B$7:$B$696,$A406)</f>
        <v>48495</v>
      </c>
      <c r="C406" s="138" t="n">
        <f aca="false">SUMIFS(報告入力!$AZ$7:$AZ$696,報告入力!$A$7:$A$696,$S$392,報告入力!$B$7:$B$696,$A406)</f>
        <v>3975</v>
      </c>
      <c r="D406" s="136" t="n">
        <f aca="false">SUMIFS(報告入力!$BA$7:$BA$696,報告入力!$A$7:$A$696,$S$392,報告入力!$B$7:$B$696,$A406)</f>
        <v>69642</v>
      </c>
      <c r="E406" s="139" t="n">
        <f aca="false">SUMIFS(報告入力!$BB$7:$BB$696,報告入力!$A$7:$A$696,$S$392,報告入力!$B$7:$B$696,$A406)</f>
        <v>3975</v>
      </c>
      <c r="F406" s="138" t="n">
        <f aca="false">SUMIFS(報告入力!$BC$7:$BC$696,報告入力!$A$7:$A$696,$S$392,報告入力!$B$7:$B$696,$A406)</f>
        <v>46</v>
      </c>
      <c r="G406" s="133" t="n">
        <f aca="false">SUM(B406:F406)</f>
        <v>126133</v>
      </c>
      <c r="H406" s="139" t="n">
        <f aca="false">SUMIFS(報告入力!$BD$7:$BD$696,報告入力!$A$7:$A$696,$S$392,報告入力!$B$7:$B$696,$A406)</f>
        <v>27485</v>
      </c>
      <c r="I406" s="230" t="n">
        <f aca="false">SUMIFS(報告入力!$BE$7:$BE$696,報告入力!$A$7:$A$696,$S$392,報告入力!$B$7:$B$696,$A406)</f>
        <v>27946</v>
      </c>
      <c r="J406" s="133" t="n">
        <f aca="false">SUM(H406:I406)</f>
        <v>55431</v>
      </c>
      <c r="K406" s="139" t="n">
        <f aca="false">SUMIFS(報告入力!$BF$7:$BF$696,報告入力!$A$7:$A$696,$S$392,報告入力!$B$7:$B$696,$A406)</f>
        <v>4187</v>
      </c>
      <c r="L406" s="230" t="n">
        <f aca="false">SUMIFS(報告入力!$BG$7:$BG$696,報告入力!$A$7:$A$696,$S$392,報告入力!$B$7:$B$696,$A406)</f>
        <v>4187</v>
      </c>
      <c r="M406" s="133" t="n">
        <f aca="false">SUM(K406:L406)</f>
        <v>8374</v>
      </c>
      <c r="N406" s="230" t="n">
        <f aca="false">SUMIFS(報告入力!$BH$7:$BH$696,報告入力!$A$7:$A$696,$S$392,報告入力!$B$7:$B$696,$A406)</f>
        <v>609</v>
      </c>
      <c r="O406" s="230" t="n">
        <f aca="false">SUMIFS(報告入力!$BI$7:$BI$696,報告入力!$A$7:$A$696,$S$392,報告入力!$B$7:$B$696,$A406)</f>
        <v>609</v>
      </c>
      <c r="P406" s="133" t="n">
        <f aca="false">SUM(N406:O406)</f>
        <v>1218</v>
      </c>
      <c r="Q406" s="135" t="str">
        <f aca="false">IF(P341=P406,"〇","×")</f>
        <v>〇</v>
      </c>
      <c r="R406" s="135" t="str">
        <f aca="false">IFERROR(INDEX(報告入力!$C$7:$C$696,MATCH($S$392&amp;"|"&amp;$A406,報告入力!$CM$7:$CM$696,0)),"")</f>
        <v>入金確認済</v>
      </c>
    </row>
    <row r="407" s="162" customFormat="true" ht="19.5" hidden="false" customHeight="true" outlineLevel="0" collapsed="false">
      <c r="A407" s="151" t="s">
        <v>179</v>
      </c>
      <c r="B407" s="152" t="n">
        <f aca="false">SUMIFS(報告入力!$AY$7:$AY$696,報告入力!$A$7:$A$696,$S$392,報告入力!$B$7:$B$696,$A407)</f>
        <v>0</v>
      </c>
      <c r="C407" s="153" t="n">
        <f aca="false">SUMIFS(報告入力!$AZ$7:$AZ$696,報告入力!$A$7:$A$696,$S$392,報告入力!$B$7:$B$696,$A407)</f>
        <v>0</v>
      </c>
      <c r="D407" s="154"/>
      <c r="E407" s="155"/>
      <c r="F407" s="156" t="n">
        <f aca="false">SUMIFS(報告入力!$BC$7:$BC$696,報告入力!$A$7:$A$696,$S$392,報告入力!$B$7:$B$696,$A407)</f>
        <v>0</v>
      </c>
      <c r="G407" s="157" t="n">
        <f aca="false">SUM(B407:F407)</f>
        <v>0</v>
      </c>
      <c r="H407" s="139" t="n">
        <f aca="false">SUMIFS(報告入力!$BD$7:$BD$696,報告入力!$A$7:$A$696,$S$392,報告入力!$B$7:$B$696,$A407)</f>
        <v>261885</v>
      </c>
      <c r="I407" s="140" t="n">
        <f aca="false">SUMIFS(報告入力!$BE$7:$BE$696,報告入力!$A$7:$A$696,$S$392,報告入力!$B$7:$B$696,$A407)</f>
        <v>266286</v>
      </c>
      <c r="J407" s="141" t="n">
        <f aca="false">SUM(H407:I407)</f>
        <v>528171</v>
      </c>
      <c r="K407" s="134" t="n">
        <f aca="false">SUMIFS(報告入力!$BF$7:$BF$696,報告入力!$A$7:$A$696,$S$392,報告入力!$B$7:$B$696,$A407)</f>
        <v>10507</v>
      </c>
      <c r="L407" s="140" t="n">
        <f aca="false">SUMIFS(報告入力!$BG$7:$BG$696,報告入力!$A$7:$A$696,$S$392,報告入力!$B$7:$B$696,$A407)</f>
        <v>10507</v>
      </c>
      <c r="M407" s="141" t="n">
        <f aca="false">SUM(K407:L407)</f>
        <v>21014</v>
      </c>
      <c r="N407" s="230" t="n">
        <f aca="false">SUMIFS(報告入力!$BH$7:$BH$696,報告入力!$A$7:$A$696,$S$392,報告入力!$B$7:$B$696,$A407)</f>
        <v>5803</v>
      </c>
      <c r="O407" s="230" t="n">
        <f aca="false">SUMIFS(報告入力!$BI$7:$BI$696,報告入力!$A$7:$A$696,$S$392,報告入力!$B$7:$B$696,$A407)</f>
        <v>5807</v>
      </c>
      <c r="P407" s="141" t="n">
        <f aca="false">SUM(N407:O407)</f>
        <v>11610</v>
      </c>
      <c r="Q407" s="162" t="str">
        <f aca="false">IF(P342=P407,"〇","×")</f>
        <v>×</v>
      </c>
      <c r="R407" s="162" t="str">
        <f aca="false">IFERROR(INDEX(報告入力!$C$7:$C$696,MATCH($S$392&amp;"|"&amp;$A407,報告入力!$CM$7:$CM$696,0)),"")</f>
        <v>入金確認済</v>
      </c>
    </row>
    <row r="408" s="162" customFormat="true" ht="19.5" hidden="false" customHeight="true" outlineLevel="0" collapsed="false">
      <c r="A408" s="163" t="s">
        <v>496</v>
      </c>
      <c r="B408" s="164"/>
      <c r="C408" s="165"/>
      <c r="D408" s="164"/>
      <c r="E408" s="166"/>
      <c r="F408" s="167"/>
      <c r="G408" s="168"/>
      <c r="H408" s="169"/>
      <c r="I408" s="170"/>
      <c r="J408" s="171"/>
      <c r="K408" s="172"/>
      <c r="L408" s="173"/>
      <c r="M408" s="173"/>
      <c r="N408" s="172"/>
      <c r="O408" s="173"/>
      <c r="P408" s="173"/>
      <c r="Q408" s="162" t="str">
        <f aca="false">IF(P343=P408,"〇","×")</f>
        <v>〇</v>
      </c>
    </row>
    <row r="409" s="162" customFormat="true" ht="19.5" hidden="false" customHeight="true" outlineLevel="0" collapsed="false">
      <c r="A409" s="174" t="s">
        <v>496</v>
      </c>
      <c r="B409" s="175"/>
      <c r="C409" s="176"/>
      <c r="D409" s="175"/>
      <c r="E409" s="177"/>
      <c r="F409" s="178"/>
      <c r="G409" s="179"/>
      <c r="H409" s="180"/>
      <c r="I409" s="177"/>
      <c r="J409" s="181"/>
      <c r="K409" s="182"/>
      <c r="L409" s="183"/>
      <c r="M409" s="183"/>
      <c r="N409" s="182"/>
      <c r="O409" s="183"/>
      <c r="P409" s="183"/>
      <c r="Q409" s="162" t="str">
        <f aca="false">IF(P344=P409,"〇","×")</f>
        <v>〇</v>
      </c>
    </row>
    <row r="410" s="162" customFormat="true" ht="19.5" hidden="false" customHeight="true" outlineLevel="0" collapsed="false">
      <c r="A410" s="174" t="s">
        <v>496</v>
      </c>
      <c r="B410" s="164"/>
      <c r="C410" s="165"/>
      <c r="D410" s="164"/>
      <c r="E410" s="166"/>
      <c r="F410" s="167"/>
      <c r="G410" s="168"/>
      <c r="H410" s="184"/>
      <c r="I410" s="166"/>
      <c r="J410" s="171"/>
      <c r="K410" s="185"/>
      <c r="L410" s="186"/>
      <c r="M410" s="186"/>
      <c r="N410" s="185"/>
      <c r="O410" s="186"/>
      <c r="P410" s="186"/>
      <c r="Q410" s="162" t="str">
        <f aca="false">IF(P345=P410,"〇","×")</f>
        <v>〇</v>
      </c>
    </row>
    <row r="411" s="162" customFormat="true" ht="19.5" hidden="false" customHeight="true" outlineLevel="0" collapsed="false">
      <c r="A411" s="187" t="s">
        <v>496</v>
      </c>
      <c r="B411" s="188"/>
      <c r="C411" s="189"/>
      <c r="D411" s="188"/>
      <c r="E411" s="190"/>
      <c r="F411" s="191"/>
      <c r="G411" s="192"/>
      <c r="H411" s="180"/>
      <c r="I411" s="193"/>
      <c r="J411" s="194"/>
      <c r="K411" s="182"/>
      <c r="L411" s="183"/>
      <c r="M411" s="195"/>
      <c r="N411" s="182"/>
      <c r="O411" s="183"/>
      <c r="P411" s="195"/>
      <c r="Q411" s="162" t="str">
        <f aca="false">IF(P346=P411,"〇","×")</f>
        <v>〇</v>
      </c>
    </row>
    <row r="412" s="162" customFormat="true" ht="19.5" hidden="false" customHeight="true" outlineLevel="0" collapsed="false">
      <c r="A412" s="196" t="s">
        <v>497</v>
      </c>
      <c r="B412" s="197" t="n">
        <f aca="false">SUM(B396:B411)</f>
        <v>366992041</v>
      </c>
      <c r="C412" s="198" t="n">
        <f aca="false">SUM(C396:C411)</f>
        <v>30086188</v>
      </c>
      <c r="D412" s="197" t="n">
        <f aca="false">SUM(D396:D411)</f>
        <v>531532320</v>
      </c>
      <c r="E412" s="199" t="n">
        <f aca="false">SUM(E396:E411)</f>
        <v>29761516</v>
      </c>
      <c r="F412" s="200" t="n">
        <f aca="false">SUM(F396:F411)</f>
        <v>357996</v>
      </c>
      <c r="G412" s="201" t="n">
        <f aca="false">SUM(B412:F412)</f>
        <v>958730061</v>
      </c>
      <c r="H412" s="198" t="n">
        <f aca="false">SUM(H396:H411)</f>
        <v>259971613</v>
      </c>
      <c r="I412" s="198" t="n">
        <f aca="false">SUM(I396:I411)</f>
        <v>260594408</v>
      </c>
      <c r="J412" s="200" t="n">
        <f aca="false">SUM(H412:I412)</f>
        <v>520566021</v>
      </c>
      <c r="K412" s="197" t="n">
        <f aca="false">SUM(K396:K411)</f>
        <v>24030668</v>
      </c>
      <c r="L412" s="198" t="n">
        <f aca="false">SUM(L396:L411)</f>
        <v>23594250</v>
      </c>
      <c r="M412" s="200" t="n">
        <f aca="false">SUM(K412:L412)</f>
        <v>47624918</v>
      </c>
      <c r="N412" s="197" t="n">
        <f aca="false">SUM(N396:N411)</f>
        <v>5760688</v>
      </c>
      <c r="O412" s="198" t="n">
        <f aca="false">SUM(O396:O411)</f>
        <v>5678302</v>
      </c>
      <c r="P412" s="200" t="n">
        <f aca="false">SUM(N412:O412)</f>
        <v>11438990</v>
      </c>
      <c r="Q412" s="162" t="str">
        <f aca="false">IF(P347=P412,"〇","×")</f>
        <v>×</v>
      </c>
    </row>
    <row r="413" s="135" customFormat="true" ht="20.1" hidden="false" customHeight="true" outlineLevel="0" collapsed="false">
      <c r="A413" s="202" t="s">
        <v>180</v>
      </c>
      <c r="B413" s="336"/>
      <c r="C413" s="333"/>
      <c r="D413" s="324"/>
      <c r="E413" s="328"/>
      <c r="F413" s="333"/>
      <c r="G413" s="327" t="n">
        <f aca="false">SUM(B413:F413)</f>
        <v>0</v>
      </c>
      <c r="H413" s="328"/>
      <c r="I413" s="335"/>
      <c r="J413" s="327" t="n">
        <f aca="false">SUM(H413:I413)</f>
        <v>0</v>
      </c>
      <c r="K413" s="328"/>
      <c r="L413" s="335"/>
      <c r="M413" s="327" t="n">
        <f aca="false">SUM(K413:L413)</f>
        <v>0</v>
      </c>
      <c r="N413" s="328"/>
      <c r="O413" s="335"/>
      <c r="P413" s="327" t="n">
        <f aca="false">SUM(N413:O413)</f>
        <v>0</v>
      </c>
      <c r="Q413" s="135" t="str">
        <f aca="false">IF(P348=P413,"〇","×")</f>
        <v>〇</v>
      </c>
      <c r="R413" s="135" t="str">
        <f aca="false">IFERROR(INDEX(報告入力!$C$7:$C$696,MATCH($S$392&amp;"|"&amp;$A413,報告入力!$CM$7:$CM$696,0)),"")</f>
        <v>報告なし</v>
      </c>
    </row>
    <row r="414" s="378" customFormat="true" ht="20.1" hidden="false" customHeight="true" outlineLevel="0" collapsed="false">
      <c r="A414" s="125" t="s">
        <v>182</v>
      </c>
      <c r="B414" s="142" t="n">
        <f aca="false">SUMIFS(報告入力!$AY$7:$AY$696,報告入力!$A$7:$A$696,$S$392,報告入力!$B$7:$B$696,$A414)</f>
        <v>0</v>
      </c>
      <c r="C414" s="138" t="n">
        <f aca="false">SUMIFS(報告入力!$AZ$7:$AZ$696,報告入力!$A$7:$A$696,$S$392,報告入力!$B$7:$B$696,$A414)</f>
        <v>0</v>
      </c>
      <c r="D414" s="136" t="n">
        <f aca="false">SUMIFS(報告入力!$BA$7:$BA$696,報告入力!$A$7:$A$696,$S$392,報告入力!$B$7:$B$696,$A414)</f>
        <v>785070</v>
      </c>
      <c r="E414" s="139" t="n">
        <f aca="false">SUMIFS(報告入力!$BB$7:$BB$696,報告入力!$A$7:$A$696,$S$392,報告入力!$B$7:$B$696,$A414)</f>
        <v>64350</v>
      </c>
      <c r="F414" s="138" t="n">
        <f aca="false">SUMIFS(報告入力!$BC$7:$BC$696,報告入力!$A$7:$A$696,$S$392,報告入力!$B$7:$B$696,$A414)</f>
        <v>776</v>
      </c>
      <c r="G414" s="133" t="n">
        <f aca="false">SUM(B414:F414)</f>
        <v>850196</v>
      </c>
      <c r="H414" s="139" t="n">
        <f aca="false">SUMIFS(報告入力!$BD$7:$BD$696,報告入力!$A$7:$A$696,$S$392,報告入力!$B$7:$B$696,$A414)</f>
        <v>0</v>
      </c>
      <c r="I414" s="230" t="n">
        <f aca="false">SUMIFS(報告入力!$BE$7:$BE$696,報告入力!$A$7:$A$696,$S$392,報告入力!$B$7:$B$696,$A414)</f>
        <v>446945</v>
      </c>
      <c r="J414" s="133" t="n">
        <f aca="false">SUM(H414:I414)</f>
        <v>446945</v>
      </c>
      <c r="K414" s="139" t="n">
        <f aca="false">SUMIFS(報告入力!$BF$7:$BF$696,報告入力!$A$7:$A$696,$S$392,報告入力!$B$7:$B$696,$A414)</f>
        <v>0</v>
      </c>
      <c r="L414" s="230" t="n">
        <f aca="false">SUMIFS(報告入力!$BG$7:$BG$696,報告入力!$A$7:$A$696,$S$392,報告入力!$B$7:$B$696,$A414)</f>
        <v>55616</v>
      </c>
      <c r="M414" s="133" t="n">
        <f aca="false">SUM(K414:L414)</f>
        <v>55616</v>
      </c>
      <c r="N414" s="139" t="n">
        <f aca="false">SUMIFS(報告入力!$BH$7:$BH$696,報告入力!$A$7:$A$696,$S$392,報告入力!$B$7:$B$696,$A414)</f>
        <v>0</v>
      </c>
      <c r="O414" s="230" t="n">
        <f aca="false">SUMIFS(報告入力!$BI$7:$BI$696,報告入力!$A$7:$A$696,$S$392,報告入力!$B$7:$B$696,$A414)</f>
        <v>9901</v>
      </c>
      <c r="P414" s="133" t="n">
        <f aca="false">SUM(N414:O414)</f>
        <v>9901</v>
      </c>
      <c r="Q414" s="378" t="str">
        <f aca="false">IF(P349=P414,"〇","×")</f>
        <v>×</v>
      </c>
      <c r="R414" s="378" t="str">
        <f aca="false">IFERROR(INDEX(報告入力!$C$7:$C$696,MATCH($S$392&amp;"|"&amp;$A414,報告入力!$CM$7:$CM$696,0)),"")</f>
        <v>入金確認済</v>
      </c>
    </row>
    <row r="415" s="135" customFormat="true" ht="20.1" hidden="false" customHeight="true" outlineLevel="0" collapsed="false">
      <c r="A415" s="125" t="s">
        <v>183</v>
      </c>
      <c r="B415" s="211"/>
      <c r="C415" s="212"/>
      <c r="D415" s="136" t="n">
        <f aca="false">SUMIFS(報告入力!$BA$7:$BA$696,報告入力!$A$7:$A$696,$S$392,報告入力!$B$7:$B$696,$A415)</f>
        <v>2013915</v>
      </c>
      <c r="E415" s="139" t="n">
        <f aca="false">SUMIFS(報告入力!$BB$7:$BB$696,報告入力!$A$7:$A$696,$S$392,報告入力!$B$7:$B$696,$A415)</f>
        <v>165075</v>
      </c>
      <c r="F415" s="138" t="n">
        <f aca="false">SUMIFS(報告入力!$BC$7:$BC$696,報告入力!$A$7:$A$696,$S$392,報告入力!$B$7:$B$696,$A415)</f>
        <v>2074</v>
      </c>
      <c r="G415" s="133" t="n">
        <f aca="false">SUM(B415:F415)</f>
        <v>2181064</v>
      </c>
      <c r="H415" s="213"/>
      <c r="I415" s="230" t="n">
        <f aca="false">SUMIFS(報告入力!$BE$7:$BE$696,報告入力!$A$7:$A$696,$S$392,報告入力!$B$7:$B$696,$A415)</f>
        <v>1295257</v>
      </c>
      <c r="J415" s="133" t="n">
        <f aca="false">SUM(H415:I415)</f>
        <v>1295257</v>
      </c>
      <c r="K415" s="213"/>
      <c r="L415" s="230" t="n">
        <f aca="false">SUMIFS(報告入力!$BG$7:$BG$696,報告入力!$A$7:$A$696,$S$392,報告入力!$B$7:$B$696,$A415)</f>
        <v>146861</v>
      </c>
      <c r="M415" s="133" t="n">
        <f aca="false">SUM(K415:L415)</f>
        <v>146861</v>
      </c>
      <c r="N415" s="213"/>
      <c r="O415" s="230" t="n">
        <f aca="false">SUMIFS(報告入力!$BI$7:$BI$696,報告入力!$A$7:$A$696,$S$392,報告入力!$B$7:$B$696,$A415)</f>
        <v>28689</v>
      </c>
      <c r="P415" s="133" t="n">
        <f aca="false">SUM(N415:O415)</f>
        <v>28689</v>
      </c>
      <c r="Q415" s="135" t="str">
        <f aca="false">IF(P350=P415,"〇","×")</f>
        <v>×</v>
      </c>
      <c r="R415" s="135" t="str">
        <f aca="false">IFERROR(INDEX(報告入力!$C$7:$C$696,MATCH($S$392&amp;"|"&amp;$A415,報告入力!$CM$7:$CM$696,0)),"")</f>
        <v>入金確認済</v>
      </c>
    </row>
    <row r="416" s="135" customFormat="true" ht="20.1" hidden="false" customHeight="true" outlineLevel="0" collapsed="false">
      <c r="A416" s="125" t="s">
        <v>184</v>
      </c>
      <c r="B416" s="211"/>
      <c r="C416" s="212"/>
      <c r="D416" s="136" t="n">
        <f aca="false">SUMIFS(報告入力!$BA$7:$BA$696,報告入力!$A$7:$A$696,$S$392,報告入力!$B$7:$B$696,$A416)</f>
        <v>59475</v>
      </c>
      <c r="E416" s="139" t="n">
        <f aca="false">SUMIFS(報告入力!$BB$7:$BB$696,報告入力!$A$7:$A$696,$S$392,報告入力!$B$7:$B$696,$A416)</f>
        <v>4875</v>
      </c>
      <c r="F416" s="138" t="n">
        <f aca="false">SUMIFS(報告入力!$BC$7:$BC$696,報告入力!$A$7:$A$696,$S$392,報告入力!$B$7:$B$696,$A416)</f>
        <v>56</v>
      </c>
      <c r="G416" s="133" t="n">
        <f aca="false">SUM(B416:F416)</f>
        <v>64406</v>
      </c>
      <c r="H416" s="213"/>
      <c r="I416" s="230" t="n">
        <f aca="false">SUMIFS(報告入力!$BE$7:$BE$696,報告入力!$A$7:$A$696,$S$392,報告入力!$B$7:$B$696,$A416)</f>
        <v>33741</v>
      </c>
      <c r="J416" s="133" t="n">
        <f aca="false">SUM(H416:I416)</f>
        <v>33741</v>
      </c>
      <c r="K416" s="213"/>
      <c r="L416" s="230" t="n">
        <f aca="false">SUMIFS(報告入力!$BG$7:$BG$696,報告入力!$A$7:$A$696,$S$392,報告入力!$B$7:$B$696,$A416)</f>
        <v>5135</v>
      </c>
      <c r="M416" s="133" t="n">
        <f aca="false">SUM(K416:L416)</f>
        <v>5135</v>
      </c>
      <c r="N416" s="213"/>
      <c r="O416" s="230" t="n">
        <f aca="false">SUMIFS(報告入力!$BI$7:$BI$696,報告入力!$A$7:$A$696,$S$392,報告入力!$B$7:$B$696,$A416)</f>
        <v>747</v>
      </c>
      <c r="P416" s="133" t="n">
        <f aca="false">SUM(N416:O416)</f>
        <v>747</v>
      </c>
      <c r="Q416" s="135" t="str">
        <f aca="false">IF(P351=P416,"〇","×")</f>
        <v>×</v>
      </c>
      <c r="R416" s="135" t="str">
        <f aca="false">IFERROR(INDEX(報告入力!$C$7:$C$696,MATCH($S$392&amp;"|"&amp;$A416,報告入力!$CM$7:$CM$696,0)),"")</f>
        <v>入金確認済</v>
      </c>
    </row>
    <row r="417" s="135" customFormat="true" ht="20.1" hidden="false" customHeight="true" outlineLevel="0" collapsed="false">
      <c r="A417" s="214" t="s">
        <v>185</v>
      </c>
      <c r="B417" s="211"/>
      <c r="C417" s="212"/>
      <c r="D417" s="136" t="n">
        <f aca="false">SUMIFS(報告入力!$BA$7:$BA$696,報告入力!$A$7:$A$696,$S$392,報告入力!$B$7:$B$696,$A417)</f>
        <v>368745</v>
      </c>
      <c r="E417" s="139" t="n">
        <f aca="false">SUMIFS(報告入力!$BB$7:$BB$696,報告入力!$A$7:$A$696,$S$392,報告入力!$B$7:$B$696,$A417)</f>
        <v>30225</v>
      </c>
      <c r="F417" s="138" t="n">
        <f aca="false">SUMIFS(報告入力!$BC$7:$BC$696,報告入力!$A$7:$A$696,$S$392,報告入力!$B$7:$B$696,$A417)</f>
        <v>395</v>
      </c>
      <c r="G417" s="133" t="n">
        <f aca="false">SUM(B417:F417)</f>
        <v>399365</v>
      </c>
      <c r="H417" s="213"/>
      <c r="I417" s="230" t="n">
        <f aca="false">SUMIFS(報告入力!$BE$7:$BE$696,報告入力!$A$7:$A$696,$S$392,報告入力!$B$7:$B$696,$A417)</f>
        <v>209223</v>
      </c>
      <c r="J417" s="133" t="n">
        <f aca="false">SUM(H417:I417)</f>
        <v>209223</v>
      </c>
      <c r="K417" s="213"/>
      <c r="L417" s="230" t="n">
        <f aca="false">SUMIFS(報告入力!$BG$7:$BG$696,報告入力!$A$7:$A$696,$S$392,報告入力!$B$7:$B$696,$A417)</f>
        <v>26781</v>
      </c>
      <c r="M417" s="133" t="n">
        <f aca="false">SUM(K417:L417)</f>
        <v>26781</v>
      </c>
      <c r="N417" s="213"/>
      <c r="O417" s="230" t="n">
        <f aca="false">SUMIFS(報告入力!$BI$7:$BI$696,報告入力!$A$7:$A$696,$S$392,報告入力!$B$7:$B$696,$A417)</f>
        <v>4634</v>
      </c>
      <c r="P417" s="133" t="n">
        <f aca="false">SUM(N417:O417)</f>
        <v>4634</v>
      </c>
      <c r="Q417" s="135" t="str">
        <f aca="false">IF(P352=P417,"〇","×")</f>
        <v>×</v>
      </c>
      <c r="R417" s="135" t="str">
        <f aca="false">IFERROR(INDEX(報告入力!$C$7:$C$696,MATCH($S$392&amp;"|"&amp;$A417,報告入力!$CM$7:$CM$696,0)),"")</f>
        <v>入金確認済</v>
      </c>
    </row>
    <row r="418" s="135" customFormat="true" ht="20.1" hidden="false" customHeight="true" outlineLevel="0" collapsed="false">
      <c r="A418" s="146" t="s">
        <v>186</v>
      </c>
      <c r="B418" s="211"/>
      <c r="C418" s="216"/>
      <c r="D418" s="136" t="n">
        <f aca="false">SUMIFS(報告入力!$BA$7:$BA$696,報告入力!$A$7:$A$696,$S$392,報告入力!$B$7:$B$696,$A418)</f>
        <v>45750</v>
      </c>
      <c r="E418" s="139" t="n">
        <f aca="false">SUMIFS(報告入力!$BB$7:$BB$696,報告入力!$A$7:$A$696,$S$392,報告入力!$B$7:$B$696,$A418)</f>
        <v>3750</v>
      </c>
      <c r="F418" s="138" t="n">
        <f aca="false">SUMIFS(報告入力!$BC$7:$BC$696,報告入力!$A$7:$A$696,$S$392,報告入力!$B$7:$B$696,$A418)</f>
        <v>43</v>
      </c>
      <c r="G418" s="133" t="n">
        <f aca="false">SUM(B418:F418)</f>
        <v>49543</v>
      </c>
      <c r="H418" s="213"/>
      <c r="I418" s="230" t="n">
        <f aca="false">SUMIFS(報告入力!$BE$7:$BE$696,報告入力!$A$7:$A$696,$S$392,報告入力!$B$7:$B$696,$A418)</f>
        <v>25955</v>
      </c>
      <c r="J418" s="133" t="n">
        <f aca="false">SUM(H418:I418)</f>
        <v>25955</v>
      </c>
      <c r="K418" s="213"/>
      <c r="L418" s="230" t="n">
        <f aca="false">SUMIFS(報告入力!$BG$7:$BG$696,報告入力!$A$7:$A$696,$S$392,報告入力!$B$7:$B$696,$A418)</f>
        <v>3950</v>
      </c>
      <c r="M418" s="133" t="n">
        <f aca="false">SUM(K418:L418)</f>
        <v>3950</v>
      </c>
      <c r="N418" s="213"/>
      <c r="O418" s="230" t="n">
        <f aca="false">SUMIFS(報告入力!$BI$7:$BI$696,報告入力!$A$7:$A$696,$S$392,報告入力!$B$7:$B$696,$A418)</f>
        <v>575</v>
      </c>
      <c r="P418" s="133" t="n">
        <f aca="false">SUM(N418:O418)</f>
        <v>575</v>
      </c>
      <c r="Q418" s="135" t="str">
        <f aca="false">IF(P353=P418,"〇","×")</f>
        <v>〇</v>
      </c>
      <c r="R418" s="135" t="str">
        <f aca="false">IFERROR(INDEX(報告入力!$C$7:$C$696,MATCH($S$392&amp;"|"&amp;$A418,報告入力!$CM$7:$CM$696,0)),"")</f>
        <v>入金確認済</v>
      </c>
    </row>
    <row r="419" s="135" customFormat="true" ht="20.1" hidden="false" customHeight="true" outlineLevel="0" collapsed="false">
      <c r="A419" s="352" t="s">
        <v>187</v>
      </c>
      <c r="B419" s="211"/>
      <c r="C419" s="216"/>
      <c r="D419" s="136" t="n">
        <f aca="false">SUMIFS(報告入力!$BA$7:$BA$696,報告入力!$A$7:$A$696,$S$392,報告入力!$B$7:$B$696,$A419)</f>
        <v>0</v>
      </c>
      <c r="E419" s="139" t="n">
        <f aca="false">SUMIFS(報告入力!$BB$7:$BB$696,報告入力!$A$7:$A$696,$S$392,報告入力!$B$7:$B$696,$A419)</f>
        <v>0</v>
      </c>
      <c r="F419" s="138" t="n">
        <f aca="false">SUMIFS(報告入力!$BC$7:$BC$696,報告入力!$A$7:$A$696,$S$392,報告入力!$B$7:$B$696,$A419)</f>
        <v>0</v>
      </c>
      <c r="G419" s="133" t="n">
        <f aca="false">SUM(B419:F419)</f>
        <v>0</v>
      </c>
      <c r="H419" s="213"/>
      <c r="I419" s="230" t="n">
        <f aca="false">SUMIFS(報告入力!$BE$7:$BE$696,報告入力!$A$7:$A$696,$S$392,報告入力!$B$7:$B$696,$A419)</f>
        <v>0</v>
      </c>
      <c r="J419" s="133" t="n">
        <f aca="false">SUM(H419:I419)</f>
        <v>0</v>
      </c>
      <c r="K419" s="213"/>
      <c r="L419" s="230" t="n">
        <f aca="false">SUMIFS(報告入力!$BG$7:$BG$696,報告入力!$A$7:$A$696,$S$392,報告入力!$B$7:$B$696,$A419)</f>
        <v>0</v>
      </c>
      <c r="M419" s="133" t="n">
        <f aca="false">SUM(K419:L419)</f>
        <v>0</v>
      </c>
      <c r="N419" s="213"/>
      <c r="O419" s="230" t="n">
        <f aca="false">SUMIFS(報告入力!$BI$7:$BI$696,報告入力!$A$7:$A$696,$S$392,報告入力!$B$7:$B$696,$A419)</f>
        <v>0</v>
      </c>
      <c r="P419" s="133" t="n">
        <f aca="false">SUM(N419:O419)</f>
        <v>0</v>
      </c>
      <c r="Q419" s="135" t="str">
        <f aca="false">IF(P354=P419,"〇","×")</f>
        <v>〇</v>
      </c>
      <c r="R419" s="135" t="str">
        <f aca="false">IFERROR(INDEX(報告入力!$C$7:$C$696,MATCH($S$392&amp;"|"&amp;$A419,報告入力!$CM$7:$CM$696,0)),"")</f>
        <v>入金確認済</v>
      </c>
    </row>
    <row r="420" s="135" customFormat="true" ht="19.5" hidden="false" customHeight="true" outlineLevel="0" collapsed="false">
      <c r="A420" s="217" t="s">
        <v>188</v>
      </c>
      <c r="B420" s="211"/>
      <c r="C420" s="218"/>
      <c r="D420" s="136" t="n">
        <f aca="false">SUMIFS(報告入力!$BA$7:$BA$696,報告入力!$A$7:$A$696,$S$392,報告入力!$B$7:$B$696,$A420)</f>
        <v>192150</v>
      </c>
      <c r="E420" s="139" t="n">
        <f aca="false">SUMIFS(報告入力!$BB$7:$BB$696,報告入力!$A$7:$A$696,$S$392,報告入力!$B$7:$B$696,$A420)</f>
        <v>15750</v>
      </c>
      <c r="F420" s="138" t="n">
        <f aca="false">SUMIFS(報告入力!$BC$7:$BC$696,報告入力!$A$7:$A$696,$S$392,報告入力!$B$7:$B$696,$A420)</f>
        <v>182</v>
      </c>
      <c r="G420" s="133" t="n">
        <f aca="false">SUM(B420:F420)</f>
        <v>208082</v>
      </c>
      <c r="H420" s="213"/>
      <c r="I420" s="230" t="n">
        <f aca="false">SUMIFS(報告入力!$BE$7:$BE$696,報告入力!$A$7:$A$696,$S$392,報告入力!$B$7:$B$696,$A420)</f>
        <v>109011</v>
      </c>
      <c r="J420" s="133" t="n">
        <f aca="false">SUM(H420:I420)</f>
        <v>109011</v>
      </c>
      <c r="K420" s="213"/>
      <c r="L420" s="230" t="n">
        <f aca="false">SUMIFS(報告入力!$BG$7:$BG$696,報告入力!$A$7:$A$696,$S$392,報告入力!$B$7:$B$696,$A420)</f>
        <v>12877</v>
      </c>
      <c r="M420" s="133" t="n">
        <f aca="false">SUM(K420:L420)</f>
        <v>12877</v>
      </c>
      <c r="N420" s="213"/>
      <c r="O420" s="230" t="n">
        <f aca="false">SUMIFS(報告入力!$BI$7:$BI$696,報告入力!$A$7:$A$696,$S$392,報告入力!$B$7:$B$696,$A420)</f>
        <v>2415</v>
      </c>
      <c r="P420" s="133" t="n">
        <f aca="false">SUM(N420:O420)</f>
        <v>2415</v>
      </c>
      <c r="Q420" s="135" t="str">
        <f aca="false">IF(P355=P420,"〇","×")</f>
        <v>×</v>
      </c>
      <c r="R420" s="135" t="str">
        <f aca="false">IFERROR(INDEX(報告入力!$C$7:$C$696,MATCH($S$392&amp;"|"&amp;$A420,報告入力!$CM$7:$CM$696,0)),"")</f>
        <v>入金確認済</v>
      </c>
    </row>
    <row r="421" s="135" customFormat="true" ht="20.1" hidden="false" customHeight="true" outlineLevel="0" collapsed="false">
      <c r="A421" s="125" t="s">
        <v>189</v>
      </c>
      <c r="B421" s="142" t="n">
        <f aca="false">SUMIFS(報告入力!$AY$7:$AY$696,報告入力!$A$7:$A$696,$S$392,報告入力!$B$7:$B$696,$A421)</f>
        <v>247050</v>
      </c>
      <c r="C421" s="138" t="n">
        <f aca="false">SUMIFS(報告入力!$AZ$7:$AZ$696,報告入力!$A$7:$A$696,$S$392,報告入力!$B$7:$B$696,$A421)</f>
        <v>20250</v>
      </c>
      <c r="D421" s="136" t="n">
        <f aca="false">SUMIFS(報告入力!$BA$7:$BA$696,報告入力!$A$7:$A$696,$S$392,報告入力!$B$7:$B$696,$A421)</f>
        <v>247050</v>
      </c>
      <c r="E421" s="139" t="n">
        <f aca="false">SUMIFS(報告入力!$BB$7:$BB$696,報告入力!$A$7:$A$696,$S$392,報告入力!$B$7:$B$696,$A421)</f>
        <v>20250</v>
      </c>
      <c r="F421" s="138" t="n">
        <f aca="false">SUMIFS(報告入力!$BC$7:$BC$696,報告入力!$A$7:$A$696,$S$392,報告入力!$B$7:$B$696,$A421)</f>
        <v>234</v>
      </c>
      <c r="G421" s="133" t="n">
        <f aca="false">SUM(B421:F421)</f>
        <v>534834</v>
      </c>
      <c r="H421" s="139" t="n">
        <f aca="false">SUMIFS(報告入力!$BD$7:$BD$696,報告入力!$A$7:$A$696,$S$392,報告入力!$B$7:$B$696,$A421)</f>
        <v>140021</v>
      </c>
      <c r="I421" s="230" t="n">
        <f aca="false">SUMIFS(報告入力!$BE$7:$BE$696,報告入力!$A$7:$A$696,$S$392,報告入力!$B$7:$B$696,$A421)</f>
        <v>140157</v>
      </c>
      <c r="J421" s="133" t="n">
        <f aca="false">SUM(H421:I421)</f>
        <v>280178</v>
      </c>
      <c r="K421" s="139" t="n">
        <f aca="false">SUMIFS(報告入力!$BF$7:$BF$696,報告入力!$A$7:$A$696,$S$392,報告入力!$B$7:$B$696,$A421)</f>
        <v>10270</v>
      </c>
      <c r="L421" s="230" t="n">
        <f aca="false">SUMIFS(報告入力!$BG$7:$BG$696,報告入力!$A$7:$A$696,$S$392,報告入力!$B$7:$B$696,$A421)</f>
        <v>10270</v>
      </c>
      <c r="M421" s="133" t="n">
        <f aca="false">SUM(K421:L421)</f>
        <v>20540</v>
      </c>
      <c r="N421" s="139" t="n">
        <f aca="false">SUMIFS(報告入力!$BH$7:$BH$696,報告入力!$A$7:$A$696,$S$392,報告入力!$B$7:$B$696,$A421)</f>
        <v>3104</v>
      </c>
      <c r="O421" s="230" t="n">
        <f aca="false">SUMIFS(報告入力!$BI$7:$BI$696,報告入力!$A$7:$A$696,$S$392,報告入力!$B$7:$B$696,$A421)</f>
        <v>3105</v>
      </c>
      <c r="P421" s="133" t="n">
        <f aca="false">SUM(N421:O421)</f>
        <v>6209</v>
      </c>
      <c r="Q421" s="135" t="str">
        <f aca="false">IF(P356=P421,"〇","×")</f>
        <v>〇</v>
      </c>
      <c r="R421" s="135" t="str">
        <f aca="false">IFERROR(INDEX(報告入力!$C$7:$C$696,MATCH($S$392&amp;"|"&amp;$A421,報告入力!$CM$7:$CM$696,0)),"")</f>
        <v>入金確認済</v>
      </c>
    </row>
    <row r="422" s="135" customFormat="true" ht="20.1" hidden="false" customHeight="true" outlineLevel="0" collapsed="false">
      <c r="A422" s="379" t="s">
        <v>190</v>
      </c>
      <c r="B422" s="380" t="n">
        <f aca="false">SUMIFS(報告入力!$AY$7:$AY$696,報告入力!$A$7:$A$696,$S$392,報告入力!$B$7:$B$696,$A422)</f>
        <v>43005</v>
      </c>
      <c r="C422" s="381" t="n">
        <f aca="false">SUMIFS(報告入力!$AZ$7:$AZ$696,報告入力!$A$7:$A$696,$S$392,報告入力!$B$7:$B$696,$A422)</f>
        <v>3525</v>
      </c>
      <c r="D422" s="380" t="n">
        <f aca="false">SUMIFS(報告入力!$BA$7:$BA$696,報告入力!$A$7:$A$696,$S$392,報告入力!$B$7:$B$696,$A422)</f>
        <v>43005</v>
      </c>
      <c r="E422" s="382" t="n">
        <f aca="false">SUMIFS(報告入力!$BB$7:$BB$696,報告入力!$A$7:$A$696,$S$392,報告入力!$B$7:$B$696,$A422)</f>
        <v>3525</v>
      </c>
      <c r="F422" s="381" t="n">
        <f aca="false">SUMIFS(報告入力!$BC$7:$BC$696,報告入力!$A$7:$A$696,$S$392,報告入力!$B$7:$B$696,$A422)</f>
        <v>40</v>
      </c>
      <c r="G422" s="383" t="n">
        <f aca="false">SUM(B422:F422)</f>
        <v>93100</v>
      </c>
      <c r="H422" s="139" t="n">
        <f aca="false">SUMIFS(報告入力!$BD$7:$BD$696,報告入力!$A$7:$A$696,$S$392,報告入力!$B$7:$B$696,$A422)</f>
        <v>24374</v>
      </c>
      <c r="I422" s="230" t="n">
        <f aca="false">SUMIFS(報告入力!$BE$7:$BE$696,報告入力!$A$7:$A$696,$S$392,報告入力!$B$7:$B$696,$A422)</f>
        <v>24397</v>
      </c>
      <c r="J422" s="133" t="n">
        <f aca="false">SUM(H422:I422)</f>
        <v>48771</v>
      </c>
      <c r="K422" s="139" t="n">
        <f aca="false">SUMIFS(報告入力!$BF$7:$BF$696,報告入力!$A$7:$A$696,$S$392,報告入力!$B$7:$B$696,$A422)</f>
        <v>0</v>
      </c>
      <c r="L422" s="230" t="n">
        <f aca="false">SUMIFS(報告入力!$BG$7:$BG$696,報告入力!$A$7:$A$696,$S$392,報告入力!$B$7:$B$696,$A422)</f>
        <v>0</v>
      </c>
      <c r="M422" s="133" t="n">
        <f aca="false">SUM(K422:L422)</f>
        <v>0</v>
      </c>
      <c r="N422" s="139" t="n">
        <f aca="false">SUMIFS(報告入力!$BH$7:$BH$696,報告入力!$A$7:$A$696,$S$392,報告入力!$B$7:$B$696,$A422)</f>
        <v>540</v>
      </c>
      <c r="O422" s="230" t="n">
        <f aca="false">SUMIFS(報告入力!$BI$7:$BI$696,報告入力!$A$7:$A$696,$S$392,報告入力!$B$7:$B$696,$A422)</f>
        <v>540</v>
      </c>
      <c r="P422" s="133" t="n">
        <f aca="false">SUM(N422:O422)</f>
        <v>1080</v>
      </c>
      <c r="Q422" s="135" t="str">
        <f aca="false">IF(P357=P422,"〇","×")</f>
        <v>×</v>
      </c>
      <c r="R422" s="135" t="str">
        <f aca="false">IFERROR(INDEX(報告入力!$C$7:$C$696,MATCH($S$392&amp;"|"&amp;$A422,報告入力!$CM$7:$CM$696,0)),"")</f>
        <v>入金確認済</v>
      </c>
    </row>
    <row r="423" s="135" customFormat="true" ht="20.1" hidden="false" customHeight="true" outlineLevel="0" collapsed="false">
      <c r="A423" s="222" t="s">
        <v>191</v>
      </c>
      <c r="B423" s="142" t="n">
        <f aca="false">SUMIFS(報告入力!$AY$7:$AY$696,報告入力!$A$7:$A$696,$S$392,報告入力!$B$7:$B$696,$A423)</f>
        <v>107970</v>
      </c>
      <c r="C423" s="138" t="n">
        <f aca="false">SUMIFS(報告入力!$AZ$7:$AZ$696,報告入力!$A$7:$A$696,$S$392,報告入力!$B$7:$B$696,$A423)</f>
        <v>8850</v>
      </c>
      <c r="D423" s="136" t="n">
        <f aca="false">SUMIFS(報告入力!$BA$7:$BA$696,報告入力!$A$7:$A$696,$S$392,報告入力!$B$7:$B$696,$A423)</f>
        <v>107970</v>
      </c>
      <c r="E423" s="139" t="n">
        <f aca="false">SUMIFS(報告入力!$BB$7:$BB$696,報告入力!$A$7:$A$696,$S$392,報告入力!$B$7:$B$696,$A423)</f>
        <v>8850</v>
      </c>
      <c r="F423" s="138" t="n">
        <f aca="false">SUMIFS(報告入力!$BC$7:$BC$696,報告入力!$A$7:$A$696,$S$392,報告入力!$B$7:$B$696,$A423)</f>
        <v>102</v>
      </c>
      <c r="G423" s="133" t="n">
        <f aca="false">SUM(B423:F423)</f>
        <v>233742</v>
      </c>
      <c r="H423" s="139" t="n">
        <f aca="false">SUMIFS(報告入力!$BD$7:$BD$696,報告入力!$A$7:$A$696,$S$392,報告入力!$B$7:$B$696,$A423)</f>
        <v>61194</v>
      </c>
      <c r="I423" s="230" t="n">
        <f aca="false">SUMIFS(報告入力!$BE$7:$BE$696,報告入力!$A$7:$A$696,$S$392,報告入力!$B$7:$B$696,$A423)</f>
        <v>61253</v>
      </c>
      <c r="J423" s="133" t="n">
        <f aca="false">SUM(H423:I423)</f>
        <v>122447</v>
      </c>
      <c r="K423" s="139" t="n">
        <f aca="false">SUMIFS(報告入力!$BF$7:$BF$696,報告入力!$A$7:$A$696,$S$392,報告入力!$B$7:$B$696,$A423)</f>
        <v>9322</v>
      </c>
      <c r="L423" s="230" t="n">
        <f aca="false">SUMIFS(報告入力!$BG$7:$BG$696,報告入力!$A$7:$A$696,$S$392,報告入力!$B$7:$B$696,$A423)</f>
        <v>9322</v>
      </c>
      <c r="M423" s="133" t="n">
        <f aca="false">SUM(K423:L423)</f>
        <v>18644</v>
      </c>
      <c r="N423" s="139" t="n">
        <f aca="false">SUMIFS(報告入力!$BH$7:$BH$696,報告入力!$A$7:$A$696,$S$392,報告入力!$B$7:$B$696,$A423)</f>
        <v>1357</v>
      </c>
      <c r="O423" s="230" t="n">
        <f aca="false">SUMIFS(報告入力!$BI$7:$BI$696,報告入力!$A$7:$A$696,$S$392,報告入力!$B$7:$B$696,$A423)</f>
        <v>1357</v>
      </c>
      <c r="P423" s="133" t="n">
        <f aca="false">SUM(N423:O423)</f>
        <v>2714</v>
      </c>
      <c r="Q423" s="135" t="str">
        <f aca="false">IF(P358=P423,"〇","×")</f>
        <v>×</v>
      </c>
      <c r="R423" s="135" t="str">
        <f aca="false">IFERROR(INDEX(報告入力!$C$7:$C$696,MATCH($S$392&amp;"|"&amp;$A423,報告入力!$CM$7:$CM$696,0)),"")</f>
        <v>入金確認済</v>
      </c>
    </row>
    <row r="424" s="135" customFormat="true" ht="20.1" hidden="false" customHeight="true" outlineLevel="0" collapsed="false">
      <c r="A424" s="125" t="s">
        <v>192</v>
      </c>
      <c r="B424" s="142" t="n">
        <f aca="false">SUMIFS(報告入力!$AY$7:$AY$696,報告入力!$A$7:$A$696,$S$392,報告入力!$B$7:$B$696,$A424)</f>
        <v>816180</v>
      </c>
      <c r="C424" s="138" t="n">
        <f aca="false">SUMIFS(報告入力!$AZ$7:$AZ$696,報告入力!$A$7:$A$696,$S$392,報告入力!$B$7:$B$696,$A424)</f>
        <v>66900</v>
      </c>
      <c r="D424" s="136" t="n">
        <f aca="false">SUMIFS(報告入力!$BA$7:$BA$696,報告入力!$A$7:$A$696,$S$392,報告入力!$B$7:$B$696,$A424)</f>
        <v>816180</v>
      </c>
      <c r="E424" s="139" t="n">
        <f aca="false">SUMIFS(報告入力!$BB$7:$BB$696,報告入力!$A$7:$A$696,$S$392,報告入力!$B$7:$B$696,$A424)</f>
        <v>66900</v>
      </c>
      <c r="F424" s="138" t="n">
        <f aca="false">SUMIFS(報告入力!$BC$7:$BC$696,報告入力!$A$7:$A$696,$S$392,報告入力!$B$7:$B$696,$A424)</f>
        <v>775</v>
      </c>
      <c r="G424" s="133" t="n">
        <f aca="false">SUM(B424:F424)</f>
        <v>1766935</v>
      </c>
      <c r="H424" s="139" t="n">
        <f aca="false">SUMIFS(報告入力!$BD$7:$BD$696,報告入力!$A$7:$A$696,$S$392,報告入力!$B$7:$B$696,$A424)</f>
        <v>462583</v>
      </c>
      <c r="I424" s="230" t="n">
        <f aca="false">SUMIFS(報告入力!$BE$7:$BE$696,報告入力!$A$7:$A$696,$S$392,報告入力!$B$7:$B$696,$A424)</f>
        <v>463037</v>
      </c>
      <c r="J424" s="133" t="n">
        <f aca="false">SUM(H424:I424)</f>
        <v>925620</v>
      </c>
      <c r="K424" s="139" t="n">
        <f aca="false">SUMIFS(報告入力!$BF$7:$BF$696,報告入力!$A$7:$A$696,$S$392,報告入力!$B$7:$B$696,$A424)</f>
        <v>40527</v>
      </c>
      <c r="L424" s="230" t="n">
        <f aca="false">SUMIFS(報告入力!$BG$7:$BG$696,報告入力!$A$7:$A$696,$S$392,報告入力!$B$7:$B$696,$A424)</f>
        <v>40527</v>
      </c>
      <c r="M424" s="133" t="n">
        <f aca="false">SUM(K424:L424)</f>
        <v>81054</v>
      </c>
      <c r="N424" s="139" t="n">
        <f aca="false">SUMIFS(報告入力!$BH$7:$BH$696,報告入力!$A$7:$A$696,$S$392,報告入力!$B$7:$B$696,$A424)</f>
        <v>10254</v>
      </c>
      <c r="O424" s="230" t="n">
        <f aca="false">SUMIFS(報告入力!$BI$7:$BI$696,報告入力!$A$7:$A$696,$S$392,報告入力!$B$7:$B$696,$A424)</f>
        <v>10258</v>
      </c>
      <c r="P424" s="133" t="n">
        <f aca="false">SUM(N424:O424)</f>
        <v>20512</v>
      </c>
      <c r="Q424" s="135" t="str">
        <f aca="false">IF(P359=P424,"〇","×")</f>
        <v>×</v>
      </c>
      <c r="R424" s="135" t="str">
        <f aca="false">IFERROR(INDEX(報告入力!$C$7:$C$696,MATCH($S$392&amp;"|"&amp;$A424,報告入力!$CM$7:$CM$696,0)),"")</f>
        <v>入金確認済</v>
      </c>
    </row>
    <row r="425" s="135" customFormat="true" ht="20.1" hidden="false" customHeight="true" outlineLevel="0" collapsed="false">
      <c r="A425" s="125" t="s">
        <v>193</v>
      </c>
      <c r="B425" s="226"/>
      <c r="C425" s="216"/>
      <c r="D425" s="136" t="n">
        <f aca="false">SUMIFS(報告入力!$BA$7:$BA$696,報告入力!$A$7:$A$696,$S$392,報告入力!$B$7:$B$696,$A425)</f>
        <v>570960</v>
      </c>
      <c r="E425" s="139" t="n">
        <f aca="false">SUMIFS(報告入力!$BB$7:$BB$696,報告入力!$A$7:$A$696,$S$392,報告入力!$B$7:$B$696,$A425)</f>
        <v>46800</v>
      </c>
      <c r="F425" s="138" t="n">
        <f aca="false">SUMIFS(報告入力!$BC$7:$BC$696,報告入力!$A$7:$A$696,$S$392,報告入力!$B$7:$B$696,$A425)</f>
        <v>567</v>
      </c>
      <c r="G425" s="133" t="n">
        <f aca="false">SUM(B425:F425)</f>
        <v>618327</v>
      </c>
      <c r="H425" s="227"/>
      <c r="I425" s="230" t="n">
        <f aca="false">SUMIFS(報告入力!$BE$7:$BE$696,報告入力!$A$7:$A$696,$S$392,報告入力!$B$7:$B$696,$A425)</f>
        <v>323933</v>
      </c>
      <c r="J425" s="133" t="n">
        <f aca="false">SUM(H425:I425)</f>
        <v>323933</v>
      </c>
      <c r="K425" s="213"/>
      <c r="L425" s="230" t="n">
        <f aca="false">SUMIFS(報告入力!$BG$7:$BG$696,報告入力!$A$7:$A$696,$S$392,報告入力!$B$7:$B$696,$A425)</f>
        <v>26781</v>
      </c>
      <c r="M425" s="133" t="n">
        <f aca="false">SUM(K425:L425)</f>
        <v>26781</v>
      </c>
      <c r="N425" s="213"/>
      <c r="O425" s="230" t="n">
        <f aca="false">SUMIFS(報告入力!$BI$7:$BI$696,報告入力!$A$7:$A$696,$S$392,報告入力!$B$7:$B$696,$A425)</f>
        <v>7176</v>
      </c>
      <c r="P425" s="133" t="n">
        <f aca="false">SUM(N425:O425)</f>
        <v>7176</v>
      </c>
      <c r="Q425" s="135" t="str">
        <f aca="false">IF(P360=P425,"〇","×")</f>
        <v>×</v>
      </c>
      <c r="R425" s="135" t="str">
        <f aca="false">IFERROR(INDEX(報告入力!$C$7:$C$696,MATCH($S$392&amp;"|"&amp;$A425,報告入力!$CM$7:$CM$696,0)),"")</f>
        <v>入金確認済</v>
      </c>
    </row>
    <row r="426" s="135" customFormat="true" ht="20.1" hidden="false" customHeight="true" outlineLevel="0" collapsed="false">
      <c r="A426" s="228" t="s">
        <v>194</v>
      </c>
      <c r="B426" s="211"/>
      <c r="C426" s="218"/>
      <c r="D426" s="136" t="n">
        <f aca="false">SUMIFS(報告入力!$BA$7:$BA$696,報告入力!$A$7:$A$696,$S$392,報告入力!$B$7:$B$696,$A426)</f>
        <v>1051335</v>
      </c>
      <c r="E426" s="139" t="n">
        <f aca="false">SUMIFS(報告入力!$BB$7:$BB$696,報告入力!$A$7:$A$696,$S$392,報告入力!$B$7:$B$696,$A426)</f>
        <v>86175</v>
      </c>
      <c r="F426" s="138" t="n">
        <f aca="false">SUMIFS(報告入力!$BC$7:$BC$696,報告入力!$A$7:$A$696,$S$392,報告入力!$B$7:$B$696,$A426)</f>
        <v>996</v>
      </c>
      <c r="G426" s="133" t="n">
        <f aca="false">SUM(B426:F426)</f>
        <v>1138506</v>
      </c>
      <c r="H426" s="213"/>
      <c r="I426" s="230" t="n">
        <f aca="false">SUMIFS(報告入力!$BE$7:$BE$696,報告入力!$A$7:$A$696,$S$392,報告入力!$B$7:$B$696,$A426)</f>
        <v>598000</v>
      </c>
      <c r="J426" s="133" t="n">
        <f aca="false">SUM(H426:I426)</f>
        <v>598000</v>
      </c>
      <c r="K426" s="213"/>
      <c r="L426" s="230" t="n">
        <f aca="false">SUMIFS(報告入力!$BG$7:$BG$696,報告入力!$A$7:$A$696,$S$392,報告入力!$B$7:$B$696,$A426)</f>
        <v>85636</v>
      </c>
      <c r="M426" s="133" t="n">
        <f aca="false">SUM(K426:L426)</f>
        <v>85636</v>
      </c>
      <c r="N426" s="213"/>
      <c r="O426" s="230" t="n">
        <f aca="false">SUMIFS(報告入力!$BI$7:$BI$696,報告入力!$A$7:$A$696,$S$392,報告入力!$B$7:$B$696,$A426)</f>
        <v>13247</v>
      </c>
      <c r="P426" s="133" t="n">
        <f aca="false">SUM(N426:O426)</f>
        <v>13247</v>
      </c>
      <c r="Q426" s="135" t="str">
        <f aca="false">IF(P361=P426,"〇","×")</f>
        <v>×</v>
      </c>
      <c r="R426" s="135" t="str">
        <f aca="false">IFERROR(INDEX(報告入力!$C$7:$C$696,MATCH($S$392&amp;"|"&amp;$A426,報告入力!$CM$7:$CM$696,0)),"")</f>
        <v>入金確認済</v>
      </c>
    </row>
    <row r="427" s="135" customFormat="true" ht="20.1" hidden="false" customHeight="true" outlineLevel="0" collapsed="false">
      <c r="A427" s="229" t="s">
        <v>195</v>
      </c>
      <c r="B427" s="211"/>
      <c r="C427" s="218"/>
      <c r="D427" s="136" t="n">
        <f aca="false">SUMIFS(報告入力!$BA$7:$BA$696,報告入力!$A$7:$A$696,$S$392,報告入力!$B$7:$B$696,$A427)</f>
        <v>0</v>
      </c>
      <c r="E427" s="139" t="n">
        <f aca="false">SUMIFS(報告入力!$BB$7:$BB$696,報告入力!$A$7:$A$696,$S$392,報告入力!$B$7:$B$696,$A427)</f>
        <v>0</v>
      </c>
      <c r="F427" s="138" t="n">
        <f aca="false">SUMIFS(報告入力!$BC$7:$BC$696,報告入力!$A$7:$A$696,$S$392,報告入力!$B$7:$B$696,$A427)</f>
        <v>0</v>
      </c>
      <c r="G427" s="133" t="n">
        <f aca="false">SUM(B427:F427)</f>
        <v>0</v>
      </c>
      <c r="H427" s="213"/>
      <c r="I427" s="230" t="n">
        <f aca="false">SUMIFS(報告入力!$BE$7:$BE$696,報告入力!$A$7:$A$696,$S$392,報告入力!$B$7:$B$696,$A427)</f>
        <v>0</v>
      </c>
      <c r="J427" s="133" t="n">
        <f aca="false">SUM(H427:I427)</f>
        <v>0</v>
      </c>
      <c r="K427" s="213"/>
      <c r="L427" s="230" t="n">
        <f aca="false">SUMIFS(報告入力!$BG$7:$BG$696,報告入力!$A$7:$A$696,$S$392,報告入力!$B$7:$B$696,$A427)</f>
        <v>0</v>
      </c>
      <c r="M427" s="133" t="n">
        <f aca="false">SUM(K427:L427)</f>
        <v>0</v>
      </c>
      <c r="N427" s="213"/>
      <c r="O427" s="230" t="n">
        <f aca="false">SUMIFS(報告入力!$BI$7:$BI$696,報告入力!$A$7:$A$696,$S$392,報告入力!$B$7:$B$696,$A427)</f>
        <v>0</v>
      </c>
      <c r="P427" s="133" t="n">
        <f aca="false">SUM(N427:O427)</f>
        <v>0</v>
      </c>
      <c r="Q427" s="135" t="str">
        <f aca="false">IF(P362=P427,"〇","×")</f>
        <v>〇</v>
      </c>
      <c r="R427" s="135" t="str">
        <f aca="false">IFERROR(INDEX(報告入力!$C$7:$C$696,MATCH($S$392&amp;"|"&amp;$A427,報告入力!$CM$7:$CM$696,0)),"")</f>
        <v>入金確認済</v>
      </c>
    </row>
    <row r="428" s="135" customFormat="true" ht="20.1" hidden="false" customHeight="true" outlineLevel="0" collapsed="false">
      <c r="A428" s="125" t="s">
        <v>196</v>
      </c>
      <c r="B428" s="211"/>
      <c r="C428" s="218"/>
      <c r="D428" s="136" t="n">
        <f aca="false">SUMIFS(報告入力!$BA$7:$BA$696,報告入力!$A$7:$A$696,$S$392,報告入力!$B$7:$B$696,$A428)</f>
        <v>412665</v>
      </c>
      <c r="E428" s="139" t="n">
        <f aca="false">SUMIFS(報告入力!$BB$7:$BB$696,報告入力!$A$7:$A$696,$S$392,報告入力!$B$7:$B$696,$A428)</f>
        <v>33825</v>
      </c>
      <c r="F428" s="138" t="n">
        <f aca="false">SUMIFS(報告入力!$BC$7:$BC$696,報告入力!$A$7:$A$696,$S$392,報告入力!$B$7:$B$696,$A428)</f>
        <v>389</v>
      </c>
      <c r="G428" s="133" t="n">
        <f aca="false">SUM(B428:F428)</f>
        <v>446879</v>
      </c>
      <c r="H428" s="213"/>
      <c r="I428" s="230" t="n">
        <f aca="false">SUMIFS(報告入力!$BE$7:$BE$696,報告入力!$A$7:$A$696,$S$392,報告入力!$B$7:$B$696,$A428)</f>
        <v>234113</v>
      </c>
      <c r="J428" s="133" t="n">
        <f aca="false">SUM(H428:I428)</f>
        <v>234113</v>
      </c>
      <c r="K428" s="213"/>
      <c r="L428" s="230" t="n">
        <f aca="false">SUMIFS(報告入力!$BG$7:$BG$696,報告入力!$A$7:$A$696,$S$392,報告入力!$B$7:$B$696,$A428)</f>
        <v>35629</v>
      </c>
      <c r="M428" s="133" t="n">
        <f aca="false">SUM(K428:L428)</f>
        <v>35629</v>
      </c>
      <c r="N428" s="213"/>
      <c r="O428" s="230" t="n">
        <f aca="false">SUMIFS(報告入力!$BI$7:$BI$696,報告入力!$A$7:$A$696,$S$392,報告入力!$B$7:$B$696,$A428)</f>
        <v>5186</v>
      </c>
      <c r="P428" s="133" t="n">
        <f aca="false">SUM(N428:O428)</f>
        <v>5186</v>
      </c>
      <c r="Q428" s="135" t="str">
        <f aca="false">IF(P363=P428,"〇","×")</f>
        <v>×</v>
      </c>
      <c r="R428" s="135" t="str">
        <f aca="false">IFERROR(INDEX(報告入力!$C$7:$C$696,MATCH($S$392&amp;"|"&amp;$A428,報告入力!$CM$7:$CM$696,0)),"")</f>
        <v>入金確認済</v>
      </c>
    </row>
    <row r="429" s="135" customFormat="true" ht="20.1" hidden="false" customHeight="true" outlineLevel="0" collapsed="false">
      <c r="A429" s="146" t="s">
        <v>197</v>
      </c>
      <c r="B429" s="142" t="n">
        <f aca="false">SUMIFS(報告入力!$AY$7:$AY$696,報告入力!$A$7:$A$696,$S$392,報告入力!$B$7:$B$696,$A429)</f>
        <v>148230</v>
      </c>
      <c r="C429" s="138" t="n">
        <f aca="false">SUMIFS(報告入力!$AZ$7:$AZ$696,報告入力!$A$7:$A$696,$S$392,報告入力!$B$7:$B$696,$A429)</f>
        <v>12150</v>
      </c>
      <c r="D429" s="136" t="n">
        <f aca="false">SUMIFS(報告入力!$BA$7:$BA$696,報告入力!$A$7:$A$696,$S$392,報告入力!$B$7:$B$696,$A429)</f>
        <v>148230</v>
      </c>
      <c r="E429" s="139" t="n">
        <f aca="false">SUMIFS(報告入力!$BB$7:$BB$696,報告入力!$A$7:$A$696,$S$392,報告入力!$B$7:$B$696,$A429)</f>
        <v>12150</v>
      </c>
      <c r="F429" s="138" t="n">
        <f aca="false">SUMIFS(報告入力!$BC$7:$BC$696,報告入力!$A$7:$A$696,$S$392,報告入力!$B$7:$B$696,$A429)</f>
        <v>140</v>
      </c>
      <c r="G429" s="133" t="n">
        <f aca="false">SUM(B429:F429)</f>
        <v>320900</v>
      </c>
      <c r="H429" s="139" t="n">
        <f aca="false">SUMIFS(報告入力!$BD$7:$BD$696,報告入力!$A$7:$A$696,$S$392,報告入力!$B$7:$B$696,$A429)</f>
        <v>84012</v>
      </c>
      <c r="I429" s="230" t="n">
        <f aca="false">SUMIFS(報告入力!$BE$7:$BE$696,報告入力!$A$7:$A$696,$S$392,報告入力!$B$7:$B$696,$A429)</f>
        <v>84094</v>
      </c>
      <c r="J429" s="133" t="n">
        <f aca="false">SUM(H429:I429)</f>
        <v>168106</v>
      </c>
      <c r="K429" s="139" t="n">
        <f aca="false">SUMIFS(報告入力!$BF$7:$BF$696,報告入力!$A$7:$A$696,$S$392,報告入力!$B$7:$B$696,$A429)</f>
        <v>9322</v>
      </c>
      <c r="L429" s="230" t="n">
        <f aca="false">SUMIFS(報告入力!$BG$7:$BG$696,報告入力!$A$7:$A$696,$S$392,報告入力!$B$7:$B$696,$A429)</f>
        <v>9322</v>
      </c>
      <c r="M429" s="133" t="n">
        <f aca="false">SUM(K429:L429)</f>
        <v>18644</v>
      </c>
      <c r="N429" s="139" t="n">
        <f aca="false">SUMIFS(報告入力!$BH$7:$BH$696,報告入力!$A$7:$A$696,$S$392,報告入力!$B$7:$B$696,$A429)</f>
        <v>1862</v>
      </c>
      <c r="O429" s="230" t="n">
        <f aca="false">SUMIFS(報告入力!$BI$7:$BI$696,報告入力!$A$7:$A$696,$S$392,報告入力!$B$7:$B$696,$A429)</f>
        <v>1863</v>
      </c>
      <c r="P429" s="133" t="n">
        <f aca="false">SUM(N429:O429)</f>
        <v>3725</v>
      </c>
      <c r="Q429" s="135" t="str">
        <f aca="false">IF(P364=P429,"〇","×")</f>
        <v>×</v>
      </c>
      <c r="R429" s="135" t="str">
        <f aca="false">IFERROR(INDEX(報告入力!$C$7:$C$696,MATCH($S$392&amp;"|"&amp;$A429,報告入力!$CM$7:$CM$696,0)),"")</f>
        <v>入金確認済</v>
      </c>
    </row>
    <row r="430" s="135" customFormat="true" ht="20.1" hidden="false" customHeight="true" outlineLevel="0" collapsed="false">
      <c r="A430" s="231" t="s">
        <v>219</v>
      </c>
      <c r="B430" s="226"/>
      <c r="C430" s="216"/>
      <c r="D430" s="136" t="n">
        <f aca="false">SUMIFS(報告入力!$BA$7:$BA$696,報告入力!$A$7:$A$696,$S$392,報告入力!$B$7:$B$696,$A430)</f>
        <v>444690</v>
      </c>
      <c r="E430" s="139" t="n">
        <f aca="false">SUMIFS(報告入力!$BB$7:$BB$696,報告入力!$A$7:$A$696,$S$392,報告入力!$B$7:$B$696,$A430)</f>
        <v>36450</v>
      </c>
      <c r="F430" s="138" t="n">
        <f aca="false">SUMIFS(報告入力!$BC$7:$BC$696,報告入力!$A$7:$A$696,$S$392,報告入力!$B$7:$B$696,$A430)</f>
        <v>422</v>
      </c>
      <c r="G430" s="133" t="n">
        <f aca="false">SUM(B430:F430)</f>
        <v>481562</v>
      </c>
      <c r="H430" s="227"/>
      <c r="I430" s="230" t="n">
        <f aca="false">SUMIFS(報告入力!$BE$7:$BE$696,報告入力!$A$7:$A$696,$S$392,報告入力!$B$7:$B$696,$A430)</f>
        <v>261626</v>
      </c>
      <c r="J430" s="133" t="n">
        <f aca="false">SUM(H430:I430)</f>
        <v>261626</v>
      </c>
      <c r="K430" s="227"/>
      <c r="L430" s="230" t="n">
        <f aca="false">SUMIFS(報告入力!$BG$7:$BG$696,報告入力!$A$7:$A$696,$S$392,報告入力!$B$7:$B$696,$A430)</f>
        <v>21251</v>
      </c>
      <c r="M430" s="133" t="n">
        <f aca="false">SUM(K430:L430)</f>
        <v>21251</v>
      </c>
      <c r="N430" s="227"/>
      <c r="O430" s="230" t="n">
        <f aca="false">SUMIFS(報告入力!$BI$7:$BI$696,報告入力!$A$7:$A$696,$S$392,報告入力!$B$7:$B$696,$A430)</f>
        <v>5796</v>
      </c>
      <c r="P430" s="133" t="n">
        <f aca="false">SUM(N430:O430)</f>
        <v>5796</v>
      </c>
      <c r="Q430" s="135" t="str">
        <f aca="false">IF(P365=P430,"〇","×")</f>
        <v>×</v>
      </c>
      <c r="R430" s="135" t="str">
        <f aca="false">IFERROR(INDEX(報告入力!$C$7:$C$696,MATCH($S$392&amp;"|"&amp;$A430,報告入力!$CM$7:$CM$696,0)),"")</f>
        <v>入金確認済</v>
      </c>
    </row>
    <row r="431" s="135" customFormat="true" ht="20.1" hidden="false" customHeight="true" outlineLevel="0" collapsed="false">
      <c r="A431" s="214" t="s">
        <v>199</v>
      </c>
      <c r="B431" s="142" t="n">
        <f aca="false">SUMIFS(報告入力!$AY$7:$AY$696,報告入力!$A$7:$A$696,$S$392,報告入力!$B$7:$B$696,$A431)</f>
        <v>53985</v>
      </c>
      <c r="C431" s="138" t="n">
        <f aca="false">SUMIFS(報告入力!$AZ$7:$AZ$696,報告入力!$A$7:$A$696,$S$392,報告入力!$B$7:$B$696,$A431)</f>
        <v>4425</v>
      </c>
      <c r="D431" s="136" t="n">
        <f aca="false">SUMIFS(報告入力!$BA$7:$BA$696,報告入力!$A$7:$A$696,$S$392,報告入力!$B$7:$B$696,$A431)</f>
        <v>53985</v>
      </c>
      <c r="E431" s="139" t="n">
        <f aca="false">SUMIFS(報告入力!$BB$7:$BB$696,報告入力!$A$7:$A$696,$S$392,報告入力!$B$7:$B$696,$A431)</f>
        <v>4425</v>
      </c>
      <c r="F431" s="138" t="n">
        <f aca="false">SUMIFS(報告入力!$BC$7:$BC$696,報告入力!$A$7:$A$696,$S$392,報告入力!$B$7:$B$696,$A431)</f>
        <v>51</v>
      </c>
      <c r="G431" s="133" t="n">
        <f aca="false">SUM(B431:F431)</f>
        <v>116871</v>
      </c>
      <c r="H431" s="139" t="n">
        <f aca="false">SUMIFS(報告入力!$BD$7:$BD$696,報告入力!$A$7:$A$696,$S$392,報告入力!$B$7:$B$696,$A431)</f>
        <v>30597</v>
      </c>
      <c r="I431" s="230" t="n">
        <f aca="false">SUMIFS(報告入力!$BE$7:$BE$696,報告入力!$A$7:$A$696,$S$392,報告入力!$B$7:$B$696,$A431)</f>
        <v>30626</v>
      </c>
      <c r="J431" s="133" t="n">
        <f aca="false">SUM(H431:I431)</f>
        <v>61223</v>
      </c>
      <c r="K431" s="139" t="n">
        <f aca="false">SUMIFS(報告入力!$BF$7:$BF$696,報告入力!$A$7:$A$696,$S$392,報告入力!$B$7:$B$696,$A431)</f>
        <v>4661</v>
      </c>
      <c r="L431" s="230" t="n">
        <f aca="false">SUMIFS(報告入力!$BG$7:$BG$696,報告入力!$A$7:$A$696,$S$392,報告入力!$B$7:$B$696,$A431)</f>
        <v>4661</v>
      </c>
      <c r="M431" s="133" t="n">
        <f aca="false">SUM(K431:L431)</f>
        <v>9322</v>
      </c>
      <c r="N431" s="139" t="n">
        <f aca="false">SUMIFS(報告入力!$BH$7:$BH$696,報告入力!$A$7:$A$696,$S$392,報告入力!$B$7:$B$696,$A431)</f>
        <v>678</v>
      </c>
      <c r="O431" s="230" t="n">
        <f aca="false">SUMIFS(報告入力!$BI$7:$BI$696,報告入力!$A$7:$A$696,$S$392,報告入力!$B$7:$B$696,$A431)</f>
        <v>678</v>
      </c>
      <c r="P431" s="133" t="n">
        <f aca="false">SUM(N431:O431)</f>
        <v>1356</v>
      </c>
      <c r="Q431" s="135" t="str">
        <f aca="false">IF(P366=P431,"〇","×")</f>
        <v>×</v>
      </c>
      <c r="R431" s="135" t="str">
        <f aca="false">IFERROR(INDEX(報告入力!$C$7:$C$696,MATCH($S$392&amp;"|"&amp;$A431,報告入力!$CM$7:$CM$696,0)),"")</f>
        <v>入金確認済</v>
      </c>
    </row>
    <row r="432" s="135" customFormat="true" ht="20.1" hidden="false" customHeight="true" outlineLevel="0" collapsed="false">
      <c r="A432" s="214" t="s">
        <v>200</v>
      </c>
      <c r="B432" s="142" t="n">
        <f aca="false">SUMIFS(報告入力!$AY$7:$AY$696,報告入力!$A$7:$A$696,$S$392,報告入力!$B$7:$B$696,$A432)</f>
        <v>59475</v>
      </c>
      <c r="C432" s="138" t="n">
        <f aca="false">SUMIFS(報告入力!$AZ$7:$AZ$696,報告入力!$A$7:$A$696,$S$392,報告入力!$B$7:$B$696,$A432)</f>
        <v>4875</v>
      </c>
      <c r="D432" s="136" t="n">
        <f aca="false">SUMIFS(報告入力!$BA$7:$BA$696,報告入力!$A$7:$A$696,$S$392,報告入力!$B$7:$B$696,$A432)</f>
        <v>59475</v>
      </c>
      <c r="E432" s="139" t="n">
        <f aca="false">SUMIFS(報告入力!$BB$7:$BB$696,報告入力!$A$7:$A$696,$S$392,報告入力!$B$7:$B$696,$A432)</f>
        <v>4875</v>
      </c>
      <c r="F432" s="138" t="n">
        <f aca="false">SUMIFS(報告入力!$BC$7:$BC$696,報告入力!$A$7:$A$696,$S$392,報告入力!$B$7:$B$696,$A432)</f>
        <v>56</v>
      </c>
      <c r="G432" s="133" t="n">
        <f aca="false">SUM(B432:F432)</f>
        <v>128756</v>
      </c>
      <c r="H432" s="139" t="n">
        <f aca="false">SUMIFS(報告入力!$BD$7:$BD$696,報告入力!$A$7:$A$696,$S$392,報告入力!$B$7:$B$696,$A432)</f>
        <v>36820</v>
      </c>
      <c r="I432" s="230" t="n">
        <f aca="false">SUMIFS(報告入力!$BE$7:$BE$696,報告入力!$A$7:$A$696,$S$392,報告入力!$B$7:$B$696,$A432)</f>
        <v>36856</v>
      </c>
      <c r="J432" s="133" t="n">
        <f aca="false">SUM(H432:I432)</f>
        <v>73676</v>
      </c>
      <c r="K432" s="139" t="n">
        <f aca="false">SUMIFS(報告入力!$BF$7:$BF$696,報告入力!$A$7:$A$696,$S$392,報告入力!$B$7:$B$696,$A432)</f>
        <v>5609</v>
      </c>
      <c r="L432" s="230" t="n">
        <f aca="false">SUMIFS(報告入力!$BG$7:$BG$696,報告入力!$A$7:$A$696,$S$392,報告入力!$B$7:$B$696,$A432)</f>
        <v>5609</v>
      </c>
      <c r="M432" s="133" t="n">
        <f aca="false">SUM(K432:L432)</f>
        <v>11218</v>
      </c>
      <c r="N432" s="139" t="n">
        <f aca="false">SUMIFS(報告入力!$BH$7:$BH$696,報告入力!$A$7:$A$696,$S$392,報告入力!$B$7:$B$696,$A432)</f>
        <v>816</v>
      </c>
      <c r="O432" s="230" t="n">
        <f aca="false">SUMIFS(報告入力!$BI$7:$BI$696,報告入力!$A$7:$A$696,$S$392,報告入力!$B$7:$B$696,$A432)</f>
        <v>816</v>
      </c>
      <c r="P432" s="133" t="n">
        <f aca="false">SUM(N432:O432)</f>
        <v>1632</v>
      </c>
      <c r="Q432" s="135" t="str">
        <f aca="false">IF(P367=P432,"〇","×")</f>
        <v>×</v>
      </c>
      <c r="R432" s="135" t="str">
        <f aca="false">IFERROR(INDEX(報告入力!$C$7:$C$696,MATCH($S$392&amp;"|"&amp;$A432,報告入力!$CM$7:$CM$696,0)),"")</f>
        <v>入金確認済</v>
      </c>
    </row>
    <row r="433" s="135" customFormat="true" ht="20.1" hidden="false" customHeight="true" outlineLevel="0" collapsed="false">
      <c r="A433" s="214" t="s">
        <v>201</v>
      </c>
      <c r="B433" s="142" t="n">
        <f aca="false">SUMIFS(報告入力!$AY$7:$AY$696,報告入力!$A$7:$A$696,$S$392,報告入力!$B$7:$B$696,$A433)</f>
        <v>45750</v>
      </c>
      <c r="C433" s="138" t="n">
        <f aca="false">SUMIFS(報告入力!$AZ$7:$AZ$696,報告入力!$A$7:$A$696,$S$392,報告入力!$B$7:$B$696,$A433)</f>
        <v>3750</v>
      </c>
      <c r="D433" s="136" t="n">
        <f aca="false">SUMIFS(報告入力!$BA$7:$BA$696,報告入力!$A$7:$A$696,$S$392,報告入力!$B$7:$B$696,$A433)</f>
        <v>45750</v>
      </c>
      <c r="E433" s="139" t="n">
        <f aca="false">SUMIFS(報告入力!$BB$7:$BB$696,報告入力!$A$7:$A$696,$S$392,報告入力!$B$7:$B$696,$A433)</f>
        <v>3750</v>
      </c>
      <c r="F433" s="138" t="n">
        <f aca="false">SUMIFS(報告入力!$BC$7:$BC$696,報告入力!$A$7:$A$696,$S$392,報告入力!$B$7:$B$696,$A433)</f>
        <v>43</v>
      </c>
      <c r="G433" s="133" t="n">
        <f aca="false">SUM(B433:F433)</f>
        <v>99043</v>
      </c>
      <c r="H433" s="139" t="n">
        <f aca="false">SUMIFS(報告入力!$BD$7:$BD$696,報告入力!$A$7:$A$696,$S$392,報告入力!$B$7:$B$696,$A433)</f>
        <v>25930</v>
      </c>
      <c r="I433" s="230" t="n">
        <f aca="false">SUMIFS(報告入力!$BE$7:$BE$696,報告入力!$A$7:$A$696,$S$392,報告入力!$B$7:$B$696,$A433)</f>
        <v>25955</v>
      </c>
      <c r="J433" s="133" t="n">
        <f aca="false">SUM(H433:I433)</f>
        <v>51885</v>
      </c>
      <c r="K433" s="139" t="n">
        <f aca="false">SUMIFS(報告入力!$BF$7:$BF$696,報告入力!$A$7:$A$696,$S$392,報告入力!$B$7:$B$696,$A433)</f>
        <v>0</v>
      </c>
      <c r="L433" s="230" t="n">
        <f aca="false">SUMIFS(報告入力!$BG$7:$BG$696,報告入力!$A$7:$A$696,$S$392,報告入力!$B$7:$B$696,$A433)</f>
        <v>0</v>
      </c>
      <c r="M433" s="133" t="n">
        <f aca="false">SUM(K433:L433)</f>
        <v>0</v>
      </c>
      <c r="N433" s="139" t="n">
        <f aca="false">SUMIFS(報告入力!$BH$7:$BH$696,報告入力!$A$7:$A$696,$S$392,報告入力!$B$7:$B$696,$A433)</f>
        <v>575</v>
      </c>
      <c r="O433" s="230" t="n">
        <f aca="false">SUMIFS(報告入力!$BI$7:$BI$696,報告入力!$A$7:$A$696,$S$392,報告入力!$B$7:$B$696,$A433)</f>
        <v>575</v>
      </c>
      <c r="P433" s="133" t="n">
        <f aca="false">SUM(N433:O433)</f>
        <v>1150</v>
      </c>
      <c r="Q433" s="135" t="str">
        <f aca="false">IF(P368=P433,"〇","×")</f>
        <v>〇</v>
      </c>
      <c r="R433" s="135" t="str">
        <f aca="false">IFERROR(INDEX(報告入力!$C$7:$C$696,MATCH($S$392&amp;"|"&amp;$A433,報告入力!$CM$7:$CM$696,0)),"")</f>
        <v>入金確認済</v>
      </c>
    </row>
    <row r="434" s="135" customFormat="true" ht="20.1" hidden="false" customHeight="true" outlineLevel="0" collapsed="false">
      <c r="A434" s="146" t="s">
        <v>202</v>
      </c>
      <c r="B434" s="142" t="n">
        <f aca="false">SUMIFS(報告入力!$AY$7:$AY$696,報告入力!$A$7:$A$696,$S$392,報告入力!$B$7:$B$696,$A434)</f>
        <v>1236165</v>
      </c>
      <c r="C434" s="138" t="n">
        <f aca="false">SUMIFS(報告入力!$AZ$7:$AZ$696,報告入力!$A$7:$A$696,$S$392,報告入力!$B$7:$B$696,$A434)</f>
        <v>101325</v>
      </c>
      <c r="D434" s="136" t="n">
        <f aca="false">SUMIFS(報告入力!$BA$7:$BA$696,報告入力!$A$7:$A$696,$S$392,報告入力!$B$7:$B$696,$A434)</f>
        <v>1236165</v>
      </c>
      <c r="E434" s="139" t="n">
        <f aca="false">SUMIFS(報告入力!$BB$7:$BB$696,報告入力!$A$7:$A$696,$S$392,報告入力!$B$7:$B$696,$A434)</f>
        <v>101325</v>
      </c>
      <c r="F434" s="138" t="n">
        <f aca="false">SUMIFS(報告入力!$BC$7:$BC$696,報告入力!$A$7:$A$696,$S$392,報告入力!$B$7:$B$696,$A434)</f>
        <v>1241</v>
      </c>
      <c r="G434" s="133" t="n">
        <f aca="false">SUM(B434:F434)</f>
        <v>2676221</v>
      </c>
      <c r="H434" s="139" t="n">
        <f aca="false">SUMIFS(報告入力!$BD$7:$BD$696,報告入力!$A$7:$A$696,$S$392,報告入力!$B$7:$B$696,$A434)</f>
        <v>702171</v>
      </c>
      <c r="I434" s="230" t="n">
        <f aca="false">SUMIFS(報告入力!$BE$7:$BE$696,報告入力!$A$7:$A$696,$S$392,報告入力!$B$7:$B$696,$A434)</f>
        <v>702901</v>
      </c>
      <c r="J434" s="133" t="n">
        <f aca="false">SUM(H434:I434)</f>
        <v>1405072</v>
      </c>
      <c r="K434" s="139" t="n">
        <f aca="false">SUMIFS(報告入力!$BF$7:$BF$696,報告入力!$A$7:$A$696,$S$392,報告入力!$B$7:$B$696,$A434)</f>
        <v>80185</v>
      </c>
      <c r="L434" s="230" t="n">
        <f aca="false">SUMIFS(報告入力!$BG$7:$BG$696,報告入力!$A$7:$A$696,$S$392,報告入力!$B$7:$B$696,$A434)</f>
        <v>80185</v>
      </c>
      <c r="M434" s="133" t="n">
        <f aca="false">SUM(K434:L434)</f>
        <v>160370</v>
      </c>
      <c r="N434" s="139" t="n">
        <f aca="false">SUMIFS(報告入力!$BH$7:$BH$696,報告入力!$A$7:$A$696,$S$392,報告入力!$B$7:$B$696,$A434)</f>
        <v>15566</v>
      </c>
      <c r="O434" s="230" t="n">
        <f aca="false">SUMIFS(報告入力!$BI$7:$BI$696,報告入力!$A$7:$A$696,$S$392,報告入力!$B$7:$B$696,$A434)</f>
        <v>15571</v>
      </c>
      <c r="P434" s="133" t="n">
        <f aca="false">SUM(N434:O434)</f>
        <v>31137</v>
      </c>
      <c r="Q434" s="135" t="str">
        <f aca="false">IF(P369=P434,"〇","×")</f>
        <v>×</v>
      </c>
      <c r="R434" s="135" t="str">
        <f aca="false">IFERROR(INDEX(報告入力!$C$7:$C$696,MATCH($S$392&amp;"|"&amp;$A434,報告入力!$CM$7:$CM$696,0)),"")</f>
        <v>入金確認済</v>
      </c>
    </row>
    <row r="435" s="135" customFormat="true" ht="20.1" hidden="false" customHeight="true" outlineLevel="0" collapsed="false">
      <c r="A435" s="146" t="s">
        <v>203</v>
      </c>
      <c r="B435" s="226"/>
      <c r="C435" s="216"/>
      <c r="D435" s="136" t="n">
        <f aca="false">SUMIFS(報告入力!$BA$7:$BA$696,報告入力!$A$7:$A$696,$S$392,報告入力!$B$7:$B$696,$A435)</f>
        <v>256200</v>
      </c>
      <c r="E435" s="139" t="n">
        <f aca="false">SUMIFS(報告入力!$BB$7:$BB$696,報告入力!$A$7:$A$696,$S$392,報告入力!$B$7:$B$696,$A435)</f>
        <v>21000</v>
      </c>
      <c r="F435" s="138" t="n">
        <f aca="false">SUMIFS(報告入力!$BC$7:$BC$696,報告入力!$A$7:$A$696,$S$392,報告入力!$B$7:$B$696,$A435)</f>
        <v>243</v>
      </c>
      <c r="G435" s="133" t="n">
        <f aca="false">SUM(B435:F435)</f>
        <v>277443</v>
      </c>
      <c r="H435" s="227"/>
      <c r="I435" s="230" t="n">
        <f aca="false">SUMIFS(報告入力!$BE$7:$BE$696,報告入力!$A$7:$A$696,$S$392,報告入力!$B$7:$B$696,$A435)</f>
        <v>152096</v>
      </c>
      <c r="J435" s="133" t="n">
        <f aca="false">SUM(H435:I435)</f>
        <v>152096</v>
      </c>
      <c r="K435" s="227"/>
      <c r="L435" s="230" t="n">
        <f aca="false">SUMIFS(報告入力!$BG$7:$BG$696,報告入力!$A$7:$A$696,$S$392,報告入力!$B$7:$B$696,$A435)</f>
        <v>11297</v>
      </c>
      <c r="M435" s="133" t="n">
        <f aca="false">SUM(K435:L435)</f>
        <v>11297</v>
      </c>
      <c r="N435" s="227"/>
      <c r="O435" s="230" t="n">
        <f aca="false">SUMIFS(報告入力!$BI$7:$BI$696,報告入力!$A$7:$A$696,$S$392,報告入力!$B$7:$B$696,$A435)</f>
        <v>3369</v>
      </c>
      <c r="P435" s="133" t="n">
        <f aca="false">SUM(N435:O435)</f>
        <v>3369</v>
      </c>
      <c r="Q435" s="135" t="str">
        <f aca="false">IF(P370=P435,"〇","×")</f>
        <v>×</v>
      </c>
      <c r="R435" s="135" t="str">
        <f aca="false">IFERROR(INDEX(報告入力!$C$7:$C$696,MATCH($S$392&amp;"|"&amp;$A435,報告入力!$CM$7:$CM$696,0)),"")</f>
        <v>入金確認済</v>
      </c>
    </row>
    <row r="436" s="135" customFormat="true" ht="19.5" hidden="false" customHeight="true" outlineLevel="0" collapsed="false">
      <c r="A436" s="232" t="s">
        <v>204</v>
      </c>
      <c r="B436" s="142" t="n">
        <f aca="false">SUMIFS(報告入力!$AY$7:$AY$696,報告入力!$A$7:$A$696,$S$392,報告入力!$B$7:$B$696,$A436)</f>
        <v>128122523</v>
      </c>
      <c r="C436" s="138" t="n">
        <f aca="false">SUMIFS(報告入力!$AZ$7:$AZ$696,報告入力!$A$7:$A$696,$S$392,報告入力!$B$7:$B$696,$A436)</f>
        <v>10458518</v>
      </c>
      <c r="D436" s="136" t="n">
        <f aca="false">SUMIFS(報告入力!$BA$7:$BA$696,報告入力!$A$7:$A$696,$S$392,報告入力!$B$7:$B$696,$A436)</f>
        <v>186990337</v>
      </c>
      <c r="E436" s="139" t="n">
        <f aca="false">SUMIFS(報告入力!$BB$7:$BB$696,報告入力!$A$7:$A$696,$S$392,報告入力!$B$7:$B$696,$A436)</f>
        <v>10458518</v>
      </c>
      <c r="F436" s="138" t="n">
        <f aca="false">SUMIFS(報告入力!$BC$7:$BC$696,報告入力!$A$7:$A$696,$S$392,報告入力!$B$7:$B$696,$A436)</f>
        <v>128050</v>
      </c>
      <c r="G436" s="133" t="n">
        <f aca="false">SUM(B436:F436)</f>
        <v>336157946</v>
      </c>
      <c r="H436" s="139" t="n">
        <f aca="false">SUMIFS(報告入力!$BD$7:$BD$696,報告入力!$A$7:$A$696,$S$392,報告入力!$B$7:$B$696,$A436)</f>
        <v>93939323</v>
      </c>
      <c r="I436" s="230" t="n">
        <f aca="false">SUMIFS(報告入力!$BE$7:$BE$696,報告入力!$A$7:$A$696,$S$392,報告入力!$B$7:$B$696,$A436)</f>
        <v>94044383</v>
      </c>
      <c r="J436" s="133" t="n">
        <f aca="false">SUM(H436:I436)</f>
        <v>187983706</v>
      </c>
      <c r="K436" s="139" t="n">
        <f aca="false">SUMIFS(報告入力!$BF$7:$BF$696,報告入力!$A$7:$A$696,$S$392,報告入力!$B$7:$B$696,$A436)</f>
        <v>8077450</v>
      </c>
      <c r="L436" s="230" t="n">
        <f aca="false">SUMIFS(報告入力!$BG$7:$BG$696,報告入力!$A$7:$A$696,$S$392,報告入力!$B$7:$B$696,$A436)</f>
        <v>8077450</v>
      </c>
      <c r="M436" s="133" t="n">
        <f aca="false">SUM(K436:L436)</f>
        <v>16154900</v>
      </c>
      <c r="N436" s="139" t="n">
        <f aca="false">SUMIFS(報告入力!$BH$7:$BH$696,報告入力!$A$7:$A$696,$S$392,報告入力!$B$7:$B$696,$A436)</f>
        <v>2082320</v>
      </c>
      <c r="O436" s="230" t="n">
        <f aca="false">SUMIFS(報告入力!$BI$7:$BI$696,報告入力!$A$7:$A$696,$S$392,報告入力!$B$7:$B$696,$A436)</f>
        <v>2082319</v>
      </c>
      <c r="P436" s="133" t="n">
        <f aca="false">SUM(N436:O436)</f>
        <v>4164639</v>
      </c>
      <c r="Q436" s="135" t="str">
        <f aca="false">IF(P371=P436,"〇","×")</f>
        <v>×</v>
      </c>
      <c r="R436" s="135" t="str">
        <f aca="false">IFERROR(INDEX(報告入力!$C$7:$C$696,MATCH($S$392&amp;"|"&amp;$A436,報告入力!$CM$7:$CM$696,0)),"")</f>
        <v>入金確認済</v>
      </c>
    </row>
    <row r="437" s="162" customFormat="true" ht="21.75" hidden="false" customHeight="true" outlineLevel="0" collapsed="false">
      <c r="A437" s="214" t="s">
        <v>205</v>
      </c>
      <c r="B437" s="152"/>
      <c r="C437" s="156"/>
      <c r="D437" s="152"/>
      <c r="E437" s="234"/>
      <c r="F437" s="156"/>
      <c r="G437" s="235" t="n">
        <f aca="false">SUM(B437:F437)</f>
        <v>0</v>
      </c>
      <c r="H437" s="143" t="n">
        <f aca="false">SUMIFS(報告入力!$BD$7:$BD$696,報告入力!$A$7:$A$696,$S$392,報告入力!$B$7:$B$696,$A437)</f>
        <v>104236</v>
      </c>
      <c r="I437" s="150" t="n">
        <f aca="false">SUMIFS(報告入力!$BE$7:$BE$696,報告入力!$A$7:$A$696,$S$392,報告入力!$B$7:$B$696,$A437)</f>
        <v>104338</v>
      </c>
      <c r="J437" s="141" t="n">
        <f aca="false">SUM(H437:I437)</f>
        <v>208574</v>
      </c>
      <c r="K437" s="142" t="n">
        <f aca="false">SUMIFS(報告入力!$BF$7:$BF$696,報告入力!$A$7:$A$696,$S$392,報告入力!$B$7:$B$696,$A437)</f>
        <v>11218</v>
      </c>
      <c r="L437" s="150" t="n">
        <f aca="false">SUMIFS(報告入力!$BG$7:$BG$696,報告入力!$A$7:$A$696,$S$392,報告入力!$B$7:$B$696,$A437)</f>
        <v>11218</v>
      </c>
      <c r="M437" s="141" t="n">
        <f aca="false">SUM(K437:L437)</f>
        <v>22436</v>
      </c>
      <c r="N437" s="142" t="n">
        <f aca="false">SUMIFS(報告入力!$BH$7:$BH$696,報告入力!$A$7:$A$696,$S$392,報告入力!$B$7:$B$696,$A437)</f>
        <v>2309</v>
      </c>
      <c r="O437" s="150" t="n">
        <f aca="false">SUMIFS(報告入力!$BI$7:$BI$696,報告入力!$A$7:$A$696,$S$392,報告入力!$B$7:$B$696,$A437)</f>
        <v>2311</v>
      </c>
      <c r="P437" s="141" t="n">
        <f aca="false">SUM(N437:O437)</f>
        <v>4620</v>
      </c>
      <c r="Q437" s="162" t="str">
        <f aca="false">IF(P372=P437,"〇","×")</f>
        <v>×</v>
      </c>
      <c r="R437" s="162" t="str">
        <f aca="false">IFERROR(INDEX(報告入力!$C$7:$C$696,MATCH($S$392&amp;"|"&amp;$A437,報告入力!$CM$7:$CM$696,0)),"")</f>
        <v>入金確認済</v>
      </c>
    </row>
    <row r="438" s="162" customFormat="true" ht="21.75" hidden="false" customHeight="true" outlineLevel="0" collapsed="false">
      <c r="A438" s="236" t="s">
        <v>206</v>
      </c>
      <c r="B438" s="336"/>
      <c r="C438" s="355"/>
      <c r="D438" s="336"/>
      <c r="E438" s="334"/>
      <c r="F438" s="356"/>
      <c r="G438" s="327" t="n">
        <f aca="false">SUM(B438:F438)</f>
        <v>0</v>
      </c>
      <c r="H438" s="334"/>
      <c r="I438" s="335"/>
      <c r="J438" s="330" t="n">
        <f aca="false">SUM(H438:I438)</f>
        <v>0</v>
      </c>
      <c r="K438" s="334"/>
      <c r="L438" s="335"/>
      <c r="M438" s="330" t="n">
        <f aca="false">SUM(K438:L438)</f>
        <v>0</v>
      </c>
      <c r="N438" s="334"/>
      <c r="O438" s="335"/>
      <c r="P438" s="330" t="n">
        <f aca="false">SUM(N438:O438)</f>
        <v>0</v>
      </c>
      <c r="Q438" s="162" t="str">
        <f aca="false">IF(P373=P438,"〇","×")</f>
        <v>〇</v>
      </c>
      <c r="R438" s="162" t="str">
        <f aca="false">IFERROR(INDEX(報告入力!$C$7:$C$696,MATCH($S$392&amp;"|"&amp;$A438,報告入力!$CM$7:$CM$696,0)),"")</f>
        <v>報告なし</v>
      </c>
    </row>
    <row r="439" s="162" customFormat="true" ht="21.75" hidden="false" customHeight="true" outlineLevel="0" collapsed="false">
      <c r="A439" s="236" t="s">
        <v>207</v>
      </c>
      <c r="B439" s="142" t="n">
        <f aca="false">SUMIFS(報告入力!$AY$7:$AY$696,報告入力!$A$7:$A$696,$S$392,報告入力!$B$7:$B$696,$A439)</f>
        <v>118950</v>
      </c>
      <c r="C439" s="147" t="n">
        <f aca="false">SUMIFS(報告入力!$AZ$7:$AZ$696,報告入力!$A$7:$A$696,$S$392,報告入力!$B$7:$B$696,$A439)</f>
        <v>9750</v>
      </c>
      <c r="D439" s="142" t="n">
        <f aca="false">SUMIFS(報告入力!$BA$7:$BA$696,報告入力!$A$7:$A$696,$S$392,報告入力!$B$7:$B$696,$A439)</f>
        <v>118950</v>
      </c>
      <c r="E439" s="143" t="n">
        <f aca="false">SUMIFS(報告入力!$BB$7:$BB$696,報告入力!$A$7:$A$696,$S$392,報告入力!$B$7:$B$696,$A439)</f>
        <v>9750</v>
      </c>
      <c r="F439" s="148" t="n">
        <f aca="false">SUMIFS(報告入力!$BC$7:$BC$696,報告入力!$A$7:$A$696,$S$392,報告入力!$B$7:$B$696,$A439)</f>
        <v>112</v>
      </c>
      <c r="G439" s="133" t="n">
        <f aca="false">SUM(B439:F439)</f>
        <v>257512</v>
      </c>
      <c r="H439" s="143" t="n">
        <f aca="false">SUMIFS(報告入力!$BD$7:$BD$696,報告入力!$A$7:$A$696,$S$392,報告入力!$B$7:$B$696,$A439)</f>
        <v>86605</v>
      </c>
      <c r="I439" s="230" t="n">
        <f aca="false">SUMIFS(報告入力!$BE$7:$BE$696,報告入力!$A$7:$A$696,$S$392,報告入力!$B$7:$B$696,$A439)</f>
        <v>86689</v>
      </c>
      <c r="J439" s="141" t="n">
        <f aca="false">SUM(H439:I439)</f>
        <v>173294</v>
      </c>
      <c r="K439" s="143" t="n">
        <f aca="false">SUMIFS(報告入力!$BF$7:$BF$696,報告入力!$A$7:$A$696,$S$392,報告入力!$B$7:$B$696,$A439)</f>
        <v>13193</v>
      </c>
      <c r="L439" s="230" t="n">
        <f aca="false">SUMIFS(報告入力!$BG$7:$BG$696,報告入力!$A$7:$A$696,$S$392,報告入力!$B$7:$B$696,$A439)</f>
        <v>13193</v>
      </c>
      <c r="M439" s="141" t="n">
        <f aca="false">SUM(K439:L439)</f>
        <v>26386</v>
      </c>
      <c r="N439" s="143" t="n">
        <f aca="false">SUMIFS(報告入力!$BH$7:$BH$696,報告入力!$A$7:$A$696,$S$392,報告入力!$B$7:$B$696,$A439)</f>
        <v>1920</v>
      </c>
      <c r="O439" s="230" t="n">
        <f aca="false">SUMIFS(報告入力!$BI$7:$BI$696,報告入力!$A$7:$A$696,$S$392,報告入力!$B$7:$B$696,$A439)</f>
        <v>1920</v>
      </c>
      <c r="P439" s="141" t="n">
        <f aca="false">SUM(N439:O439)</f>
        <v>3840</v>
      </c>
      <c r="Q439" s="162" t="str">
        <f aca="false">IF(P374=P439,"〇","×")</f>
        <v>×</v>
      </c>
      <c r="R439" s="162" t="str">
        <f aca="false">IFERROR(INDEX(報告入力!$C$7:$C$696,MATCH($S$392&amp;"|"&amp;$A439,報告入力!$CM$7:$CM$696,0)),"")</f>
        <v>入金確認済</v>
      </c>
    </row>
    <row r="440" s="162" customFormat="true" ht="21.75" hidden="false" customHeight="true" outlineLevel="0" collapsed="false">
      <c r="A440" s="174"/>
      <c r="B440" s="182"/>
      <c r="C440" s="243"/>
      <c r="D440" s="245"/>
      <c r="E440" s="183"/>
      <c r="F440" s="181"/>
      <c r="G440" s="246" t="n">
        <f aca="false">SUM(B440:F440)</f>
        <v>0</v>
      </c>
      <c r="H440" s="247"/>
      <c r="I440" s="183"/>
      <c r="J440" s="248" t="n">
        <f aca="false">SUM(H440:I440)</f>
        <v>0</v>
      </c>
      <c r="K440" s="245"/>
      <c r="L440" s="183"/>
      <c r="M440" s="248" t="n">
        <f aca="false">SUM(K440:L440)</f>
        <v>0</v>
      </c>
      <c r="N440" s="245"/>
      <c r="O440" s="183"/>
      <c r="P440" s="248" t="n">
        <f aca="false">SUM(N440:O440)</f>
        <v>0</v>
      </c>
      <c r="Q440" s="162" t="str">
        <f aca="false">IF(P375=P440,"〇","×")</f>
        <v>〇</v>
      </c>
    </row>
    <row r="441" s="162" customFormat="true" ht="0.2" hidden="false" customHeight="true" outlineLevel="0" collapsed="false">
      <c r="A441" s="174"/>
      <c r="B441" s="182"/>
      <c r="C441" s="181"/>
      <c r="D441" s="245"/>
      <c r="E441" s="183"/>
      <c r="F441" s="181"/>
      <c r="G441" s="246" t="n">
        <f aca="false">SUM(B441:F441)</f>
        <v>0</v>
      </c>
      <c r="H441" s="247"/>
      <c r="I441" s="183"/>
      <c r="J441" s="248" t="n">
        <f aca="false">SUM(H441:I441)</f>
        <v>0</v>
      </c>
      <c r="K441" s="245"/>
      <c r="L441" s="183"/>
      <c r="M441" s="248" t="n">
        <f aca="false">SUM(K441:L441)</f>
        <v>0</v>
      </c>
      <c r="N441" s="245"/>
      <c r="O441" s="183"/>
      <c r="P441" s="248" t="n">
        <f aca="false">SUM(N441:O441)</f>
        <v>0</v>
      </c>
      <c r="Q441" s="162" t="str">
        <f aca="false">IF(P376=P441,"〇","×")</f>
        <v>〇</v>
      </c>
    </row>
    <row r="442" s="162" customFormat="true" ht="0.2" hidden="false" customHeight="true" outlineLevel="0" collapsed="false">
      <c r="A442" s="187"/>
      <c r="B442" s="249"/>
      <c r="C442" s="250"/>
      <c r="D442" s="251"/>
      <c r="E442" s="252"/>
      <c r="F442" s="250"/>
      <c r="G442" s="253"/>
      <c r="H442" s="254"/>
      <c r="I442" s="254"/>
      <c r="J442" s="255"/>
      <c r="K442" s="256"/>
      <c r="L442" s="254"/>
      <c r="M442" s="255"/>
      <c r="N442" s="256"/>
      <c r="O442" s="254"/>
      <c r="P442" s="255"/>
      <c r="Q442" s="162" t="str">
        <f aca="false">IF(P377=P442,"〇","×")</f>
        <v>〇</v>
      </c>
    </row>
    <row r="443" s="135" customFormat="true" ht="20.1" hidden="false" customHeight="true" outlineLevel="0" collapsed="false">
      <c r="A443" s="196" t="s">
        <v>497</v>
      </c>
      <c r="B443" s="197" t="n">
        <f aca="false">SUM(B413:B442)</f>
        <v>130999283</v>
      </c>
      <c r="C443" s="200" t="n">
        <f aca="false">SUM(C413:C442)</f>
        <v>10694318</v>
      </c>
      <c r="D443" s="198" t="n">
        <f aca="false">SUM(D413:D442)</f>
        <v>196068052</v>
      </c>
      <c r="E443" s="199" t="n">
        <f aca="false">SUM(E413:E442)</f>
        <v>11202593</v>
      </c>
      <c r="F443" s="200" t="n">
        <f aca="false">SUM(F413:F442)</f>
        <v>136987</v>
      </c>
      <c r="G443" s="201" t="n">
        <f aca="false">SUM(B443:F443)</f>
        <v>349101233</v>
      </c>
      <c r="H443" s="198" t="n">
        <f aca="false">SUM(H413:H441)</f>
        <v>95697866</v>
      </c>
      <c r="I443" s="198" t="n">
        <f aca="false">SUM(I413:I441)</f>
        <v>99494586</v>
      </c>
      <c r="J443" s="200" t="n">
        <f aca="false">SUM(H443:I443)</f>
        <v>195192452</v>
      </c>
      <c r="K443" s="197" t="n">
        <f aca="false">SUM(K413:K441)</f>
        <v>8261757</v>
      </c>
      <c r="L443" s="198" t="n">
        <f aca="false">SUM(L413:L441)</f>
        <v>8693571</v>
      </c>
      <c r="M443" s="200" t="n">
        <f aca="false">SUM(K443:L443)</f>
        <v>16955328</v>
      </c>
      <c r="N443" s="197" t="n">
        <f aca="false">SUM(N413:N441)</f>
        <v>2121301</v>
      </c>
      <c r="O443" s="198" t="n">
        <f aca="false">SUM(O413:O441)</f>
        <v>2203048</v>
      </c>
      <c r="P443" s="200" t="n">
        <f aca="false">SUM(N443:O443)</f>
        <v>4324349</v>
      </c>
      <c r="Q443" s="135" t="str">
        <f aca="false">IF(P378=P443,"〇","×")</f>
        <v>×</v>
      </c>
    </row>
    <row r="444" s="162" customFormat="true" ht="0.2" hidden="false" customHeight="true" outlineLevel="0" collapsed="false">
      <c r="A444" s="174" t="s">
        <v>496</v>
      </c>
      <c r="B444" s="256"/>
      <c r="C444" s="257"/>
      <c r="D444" s="254"/>
      <c r="E444" s="258"/>
      <c r="F444" s="259"/>
      <c r="G444" s="260"/>
      <c r="H444" s="261"/>
      <c r="I444" s="261"/>
      <c r="J444" s="262"/>
      <c r="K444" s="263"/>
      <c r="L444" s="264"/>
      <c r="M444" s="265"/>
      <c r="N444" s="263"/>
      <c r="O444" s="264"/>
      <c r="P444" s="265"/>
      <c r="Q444" s="162" t="str">
        <f aca="false">IF(P379=P444,"〇","×")</f>
        <v>〇</v>
      </c>
    </row>
    <row r="445" s="162" customFormat="true" ht="0.2" hidden="false" customHeight="true" outlineLevel="0" collapsed="false">
      <c r="A445" s="266" t="s">
        <v>496</v>
      </c>
      <c r="B445" s="267"/>
      <c r="C445" s="268"/>
      <c r="D445" s="254"/>
      <c r="E445" s="258"/>
      <c r="F445" s="257"/>
      <c r="G445" s="253"/>
      <c r="H445" s="269"/>
      <c r="I445" s="269"/>
      <c r="J445" s="270"/>
      <c r="K445" s="271"/>
      <c r="L445" s="272"/>
      <c r="M445" s="273"/>
      <c r="N445" s="271"/>
      <c r="O445" s="272"/>
      <c r="P445" s="273"/>
      <c r="Q445" s="162" t="str">
        <f aca="false">IF(P380=P445,"〇","×")</f>
        <v>〇</v>
      </c>
    </row>
    <row r="446" s="135" customFormat="true" ht="20.1" hidden="false" customHeight="true" outlineLevel="0" collapsed="false">
      <c r="A446" s="214" t="s">
        <v>208</v>
      </c>
      <c r="B446" s="142" t="n">
        <f aca="false">SUMIFS(報告入力!$AY$7:$AY$696,報告入力!$A$7:$A$696,$S$392,報告入力!$B$7:$B$696,$A446)</f>
        <v>142740</v>
      </c>
      <c r="C446" s="138" t="n">
        <f aca="false">SUMIFS(報告入力!$AZ$7:$AZ$696,報告入力!$A$7:$A$696,$S$392,報告入力!$B$7:$B$696,$A446)</f>
        <v>11700</v>
      </c>
      <c r="D446" s="136" t="n">
        <f aca="false">SUMIFS(報告入力!$BA$7:$BA$696,報告入力!$A$7:$A$696,$S$392,報告入力!$B$7:$B$696,$A446)</f>
        <v>142740</v>
      </c>
      <c r="E446" s="139" t="n">
        <f aca="false">SUMIFS(報告入力!$BB$7:$BB$696,報告入力!$A$7:$A$696,$S$392,報告入力!$B$7:$B$696,$A446)</f>
        <v>11700</v>
      </c>
      <c r="F446" s="138" t="n">
        <f aca="false">SUMIFS(報告入力!$BC$7:$BC$696,報告入力!$A$7:$A$696,$S$392,報告入力!$B$7:$B$696,$A446)</f>
        <v>135</v>
      </c>
      <c r="G446" s="133" t="n">
        <f aca="false">SUM(B446:F446)</f>
        <v>309015</v>
      </c>
      <c r="H446" s="155"/>
      <c r="I446" s="155"/>
      <c r="J446" s="221" t="n">
        <f aca="false">SUM(H446:I446)</f>
        <v>0</v>
      </c>
      <c r="K446" s="155"/>
      <c r="L446" s="155"/>
      <c r="M446" s="221" t="n">
        <f aca="false">SUM(K446:L446)</f>
        <v>0</v>
      </c>
      <c r="N446" s="155"/>
      <c r="O446" s="155"/>
      <c r="P446" s="221" t="n">
        <f aca="false">SUM(N446:O446)</f>
        <v>0</v>
      </c>
      <c r="Q446" s="135" t="str">
        <f aca="false">IF(P381=P446,"〇","×")</f>
        <v>〇</v>
      </c>
      <c r="R446" s="135" t="str">
        <f aca="false">IFERROR(INDEX(報告入力!$C$7:$C$696,MATCH($S$392&amp;"|"&amp;$A446,報告入力!$CM$7:$CM$696,0)),"")</f>
        <v>入金確認済</v>
      </c>
    </row>
    <row r="447" s="135" customFormat="true" ht="21.75" hidden="false" customHeight="true" outlineLevel="0" collapsed="false">
      <c r="A447" s="214" t="s">
        <v>209</v>
      </c>
      <c r="B447" s="210" t="n">
        <f aca="false">SUMIFS(報告入力!$AY$7:$AY$696,報告入力!$A$7:$A$696,$S$392,報告入力!$B$7:$B$696,$A447)</f>
        <v>53985</v>
      </c>
      <c r="C447" s="224" t="n">
        <f aca="false">SUMIFS(報告入力!$AZ$7:$AZ$696,報告入力!$A$7:$A$696,$S$392,報告入力!$B$7:$B$696,$A447)</f>
        <v>4425</v>
      </c>
      <c r="D447" s="274" t="n">
        <f aca="false">SUMIFS(報告入力!$BA$7:$BA$696,報告入力!$A$7:$A$696,$S$392,報告入力!$B$7:$B$696,$A447)</f>
        <v>53985</v>
      </c>
      <c r="E447" s="275" t="n">
        <f aca="false">SUMIFS(報告入力!$BB$7:$BB$696,報告入力!$A$7:$A$696,$S$392,報告入力!$B$7:$B$696,$A447)</f>
        <v>4425</v>
      </c>
      <c r="F447" s="276" t="n">
        <f aca="false">SUMIFS(報告入力!$BC$7:$BC$696,報告入力!$A$7:$A$696,$S$392,報告入力!$B$7:$B$696,$A447)</f>
        <v>51</v>
      </c>
      <c r="G447" s="144" t="n">
        <f aca="false">SUM(B447:F447)</f>
        <v>116871</v>
      </c>
      <c r="H447" s="277"/>
      <c r="I447" s="277"/>
      <c r="J447" s="278" t="n">
        <f aca="false">SUM(H447:I447)</f>
        <v>0</v>
      </c>
      <c r="K447" s="277"/>
      <c r="L447" s="277"/>
      <c r="M447" s="278" t="n">
        <f aca="false">SUM(K447:L447)</f>
        <v>0</v>
      </c>
      <c r="N447" s="277"/>
      <c r="O447" s="277"/>
      <c r="P447" s="278" t="n">
        <f aca="false">SUM(N447:O447)</f>
        <v>0</v>
      </c>
      <c r="Q447" s="135" t="str">
        <f aca="false">IF(P382=P447,"〇","×")</f>
        <v>〇</v>
      </c>
      <c r="R447" s="135" t="str">
        <f aca="false">IFERROR(INDEX(報告入力!$C$7:$C$696,MATCH($S$392&amp;"|"&amp;$A447,報告入力!$CM$7:$CM$696,0)),"")</f>
        <v>入金確認済</v>
      </c>
    </row>
    <row r="448" s="135" customFormat="true" ht="19.5" hidden="false" customHeight="true" outlineLevel="0" collapsed="false">
      <c r="A448" s="196" t="s">
        <v>497</v>
      </c>
      <c r="B448" s="197" t="n">
        <f aca="false">SUM(B444:B447)</f>
        <v>196725</v>
      </c>
      <c r="C448" s="200" t="n">
        <f aca="false">SUM(C444:C447)</f>
        <v>16125</v>
      </c>
      <c r="D448" s="198" t="n">
        <f aca="false">SUM(D444:D447)</f>
        <v>196725</v>
      </c>
      <c r="E448" s="199" t="n">
        <f aca="false">SUM(E444:E447)</f>
        <v>16125</v>
      </c>
      <c r="F448" s="200" t="n">
        <f aca="false">SUM(F444:F447)</f>
        <v>186</v>
      </c>
      <c r="G448" s="201" t="n">
        <f aca="false">SUM(B448:F448)</f>
        <v>425886</v>
      </c>
      <c r="H448" s="281" t="n">
        <f aca="false">SUM(H444:H447)</f>
        <v>0</v>
      </c>
      <c r="I448" s="282" t="n">
        <f aca="false">SUM(I444:I447)</f>
        <v>0</v>
      </c>
      <c r="J448" s="283" t="n">
        <f aca="false">SUM(H448:I448)</f>
        <v>0</v>
      </c>
      <c r="K448" s="281" t="n">
        <f aca="false">SUM(K444:K447)</f>
        <v>0</v>
      </c>
      <c r="L448" s="282" t="n">
        <f aca="false">SUM(L444:L447)</f>
        <v>0</v>
      </c>
      <c r="M448" s="283" t="n">
        <f aca="false">SUM(K448:L448)</f>
        <v>0</v>
      </c>
      <c r="N448" s="281" t="n">
        <f aca="false">SUM(N444:N447)</f>
        <v>0</v>
      </c>
      <c r="O448" s="282" t="n">
        <f aca="false">SUM(O444:O447)</f>
        <v>0</v>
      </c>
      <c r="P448" s="283" t="n">
        <f aca="false">SUM(N448:O448)</f>
        <v>0</v>
      </c>
      <c r="Q448" s="135" t="str">
        <f aca="false">IF(P383=P448,"〇","×")</f>
        <v>〇</v>
      </c>
    </row>
    <row r="449" s="135" customFormat="true" ht="20.1" hidden="false" customHeight="true" outlineLevel="0" collapsed="false">
      <c r="A449" s="125" t="s">
        <v>210</v>
      </c>
      <c r="B449" s="142" t="n">
        <f aca="false">SUMIFS(報告入力!$AY$7:$AY$696,報告入力!$A$7:$A$696,$S$392,報告入力!$B$7:$B$696,$A449)</f>
        <v>31110</v>
      </c>
      <c r="C449" s="138" t="n">
        <f aca="false">SUMIFS(報告入力!$AZ$7:$AZ$696,報告入力!$A$7:$A$696,$S$392,報告入力!$B$7:$B$696,$A449)</f>
        <v>2550</v>
      </c>
      <c r="D449" s="136" t="n">
        <f aca="false">SUMIFS(報告入力!$BA$7:$BA$696,報告入力!$A$7:$A$696,$S$392,報告入力!$B$7:$B$696,$A449)</f>
        <v>31110</v>
      </c>
      <c r="E449" s="139" t="n">
        <f aca="false">SUMIFS(報告入力!$BB$7:$BB$696,報告入力!$A$7:$A$696,$S$392,報告入力!$B$7:$B$696,$A449)</f>
        <v>2550</v>
      </c>
      <c r="F449" s="337"/>
      <c r="G449" s="133" t="n">
        <f aca="false">SUM(B449:F449)</f>
        <v>67320</v>
      </c>
      <c r="H449" s="139" t="n">
        <f aca="false">SUMIFS(報告入力!$BD$7:$BD$696,報告入力!$A$7:$A$696,$S$392,報告入力!$B$7:$B$696,$A449)</f>
        <v>17632</v>
      </c>
      <c r="I449" s="140" t="n">
        <f aca="false">SUMIFS(報告入力!$BE$7:$BE$696,報告入力!$A$7:$A$696,$S$392,報告入力!$B$7:$B$696,$A449)</f>
        <v>17649</v>
      </c>
      <c r="J449" s="141" t="n">
        <f aca="false">SUM(H449:I449)</f>
        <v>35281</v>
      </c>
      <c r="K449" s="139" t="n">
        <f aca="false">SUMIFS(報告入力!$BF$7:$BF$696,報告入力!$A$7:$A$696,$S$392,報告入力!$B$7:$B$696,$A449)</f>
        <v>2686</v>
      </c>
      <c r="L449" s="140" t="n">
        <f aca="false">SUMIFS(報告入力!$BG$7:$BG$696,報告入力!$A$7:$A$696,$S$392,報告入力!$B$7:$B$696,$A449)</f>
        <v>2686</v>
      </c>
      <c r="M449" s="141" t="n">
        <f aca="false">SUM(K449:L449)</f>
        <v>5372</v>
      </c>
      <c r="N449" s="139" t="n">
        <f aca="false">SUMIFS(報告入力!$BH$7:$BH$696,報告入力!$A$7:$A$696,$S$392,報告入力!$B$7:$B$696,$A449)</f>
        <v>391</v>
      </c>
      <c r="O449" s="140" t="n">
        <f aca="false">SUMIFS(報告入力!$BI$7:$BI$696,報告入力!$A$7:$A$696,$S$392,報告入力!$B$7:$B$696,$A449)</f>
        <v>391</v>
      </c>
      <c r="P449" s="141" t="n">
        <f aca="false">SUM(N449:O449)</f>
        <v>782</v>
      </c>
      <c r="Q449" s="135" t="str">
        <f aca="false">IF(P384=P449,"〇","×")</f>
        <v>×</v>
      </c>
      <c r="R449" s="135" t="str">
        <f aca="false">IFERROR(INDEX(報告入力!$C$7:$C$696,MATCH($S$392&amp;"|"&amp;$A449,報告入力!$CM$7:$CM$696,0)),"")</f>
        <v>入金確認済</v>
      </c>
    </row>
    <row r="450" s="135" customFormat="true" ht="20.1" hidden="false" customHeight="true" outlineLevel="0" collapsed="false">
      <c r="A450" s="125" t="s">
        <v>211</v>
      </c>
      <c r="B450" s="240" t="n">
        <f aca="false">SUMIFS(報告入力!$AY$7:$AY$696,報告入力!$A$7:$A$696,$S$392,報告入力!$B$7:$B$696,$A450)</f>
        <v>0</v>
      </c>
      <c r="C450" s="237" t="n">
        <f aca="false">SUMIFS(報告入力!$AZ$7:$AZ$696,報告入力!$A$7:$A$696,$S$392,報告入力!$B$7:$B$696,$A450)</f>
        <v>0</v>
      </c>
      <c r="D450" s="203" t="n">
        <f aca="false">SUMIFS(報告入力!$BA$7:$BA$696,報告入力!$A$7:$A$696,$S$392,報告入力!$B$7:$B$696,$A450)</f>
        <v>0</v>
      </c>
      <c r="E450" s="207" t="n">
        <f aca="false">SUMIFS(報告入力!$BB$7:$BB$696,報告入力!$A$7:$A$696,$S$392,報告入力!$B$7:$B$696,$A450)</f>
        <v>0</v>
      </c>
      <c r="F450" s="337"/>
      <c r="G450" s="206" t="n">
        <f aca="false">SUM(B450:F450)</f>
        <v>0</v>
      </c>
      <c r="H450" s="207" t="n">
        <f aca="false">SUMIFS(報告入力!$BD$7:$BD$696,報告入力!$A$7:$A$696,$S$392,報告入力!$B$7:$B$696,$A450)</f>
        <v>0</v>
      </c>
      <c r="I450" s="208" t="n">
        <f aca="false">SUMIFS(報告入力!$BE$7:$BE$696,報告入力!$A$7:$A$696,$S$392,報告入力!$B$7:$B$696,$A450)</f>
        <v>0</v>
      </c>
      <c r="J450" s="160" t="n">
        <f aca="false">SUM(H450:I450)</f>
        <v>0</v>
      </c>
      <c r="K450" s="287" t="n">
        <f aca="false">SUMIFS(報告入力!$BF$7:$BF$696,報告入力!$A$7:$A$696,$S$392,報告入力!$B$7:$B$696,$A450)</f>
        <v>0</v>
      </c>
      <c r="L450" s="208" t="n">
        <f aca="false">SUMIFS(報告入力!$BG$7:$BG$696,報告入力!$A$7:$A$696,$S$392,報告入力!$B$7:$B$696,$A450)</f>
        <v>0</v>
      </c>
      <c r="M450" s="160" t="n">
        <f aca="false">SUM(K450:L450)</f>
        <v>0</v>
      </c>
      <c r="N450" s="287" t="n">
        <f aca="false">SUMIFS(報告入力!$BH$7:$BH$696,報告入力!$A$7:$A$696,$S$392,報告入力!$B$7:$B$696,$A450)</f>
        <v>0</v>
      </c>
      <c r="O450" s="208" t="n">
        <f aca="false">SUMIFS(報告入力!$BI$7:$BI$696,報告入力!$A$7:$A$696,$S$392,報告入力!$B$7:$B$696,$A450)</f>
        <v>0</v>
      </c>
      <c r="P450" s="160" t="n">
        <f aca="false">SUM(N450:O450)</f>
        <v>0</v>
      </c>
      <c r="Q450" s="135" t="str">
        <f aca="false">IF(P385=P450,"〇","×")</f>
        <v>〇</v>
      </c>
      <c r="R450" s="135" t="str">
        <f aca="false">IFERROR(INDEX(報告入力!$C$7:$C$696,MATCH($S$392&amp;"|"&amp;$A450,報告入力!$CM$7:$CM$696,0)),"")</f>
        <v>未受領</v>
      </c>
    </row>
    <row r="451" s="135" customFormat="true" ht="20.1" hidden="false" customHeight="true" outlineLevel="0" collapsed="false">
      <c r="A451" s="217" t="s">
        <v>212</v>
      </c>
      <c r="B451" s="142" t="n">
        <f aca="false">SUMIFS(報告入力!$AY$7:$AY$696,報告入力!$A$7:$A$696,$S$392,報告入力!$B$7:$B$696,$A451)</f>
        <v>29280</v>
      </c>
      <c r="C451" s="138" t="n">
        <f aca="false">SUMIFS(報告入力!$AZ$7:$AZ$696,報告入力!$A$7:$A$696,$S$392,報告入力!$B$7:$B$696,$A451)</f>
        <v>2400</v>
      </c>
      <c r="D451" s="136" t="n">
        <f aca="false">SUMIFS(報告入力!$BA$7:$BA$696,報告入力!$A$7:$A$696,$S$392,報告入力!$B$7:$B$696,$A451)</f>
        <v>29280</v>
      </c>
      <c r="E451" s="139" t="n">
        <f aca="false">SUMIFS(報告入力!$BB$7:$BB$696,報告入力!$A$7:$A$696,$S$392,報告入力!$B$7:$B$696,$A451)</f>
        <v>2400</v>
      </c>
      <c r="F451" s="337"/>
      <c r="G451" s="133" t="n">
        <f aca="false">SUM(B451:F451)</f>
        <v>63360</v>
      </c>
      <c r="H451" s="139" t="n">
        <f aca="false">SUMIFS(報告入力!$BD$7:$BD$696,報告入力!$A$7:$A$696,$S$392,報告入力!$B$7:$B$696,$A451)</f>
        <v>32153</v>
      </c>
      <c r="I451" s="140" t="n">
        <f aca="false">SUMIFS(報告入力!$BE$7:$BE$696,報告入力!$A$7:$A$696,$S$392,報告入力!$B$7:$B$696,$A451)</f>
        <v>32184</v>
      </c>
      <c r="J451" s="141" t="n">
        <f aca="false">SUM(H451:I451)</f>
        <v>64337</v>
      </c>
      <c r="K451" s="134" t="n">
        <f aca="false">SUMIFS(報告入力!$BF$7:$BF$696,報告入力!$A$7:$A$696,$S$392,報告入力!$B$7:$B$696,$A451)</f>
        <v>2370</v>
      </c>
      <c r="L451" s="140" t="n">
        <f aca="false">SUMIFS(報告入力!$BG$7:$BG$696,報告入力!$A$7:$A$696,$S$392,報告入力!$B$7:$B$696,$A451)</f>
        <v>2370</v>
      </c>
      <c r="M451" s="141" t="n">
        <f aca="false">SUM(K451:L451)</f>
        <v>4740</v>
      </c>
      <c r="N451" s="134" t="n">
        <f aca="false">SUMIFS(報告入力!$BH$7:$BH$696,報告入力!$A$7:$A$696,$S$392,報告入力!$B$7:$B$696,$A451)</f>
        <v>713</v>
      </c>
      <c r="O451" s="140" t="n">
        <f aca="false">SUMIFS(報告入力!$BI$7:$BI$696,報告入力!$A$7:$A$696,$S$392,報告入力!$B$7:$B$696,$A451)</f>
        <v>713</v>
      </c>
      <c r="P451" s="141" t="n">
        <f aca="false">SUM(N451:O451)</f>
        <v>1426</v>
      </c>
      <c r="Q451" s="135" t="str">
        <f aca="false">IF(P386=P451,"〇","×")</f>
        <v>×</v>
      </c>
      <c r="R451" s="135" t="str">
        <f aca="false">IFERROR(INDEX(報告入力!$C$7:$C$696,MATCH($S$392&amp;"|"&amp;$A451,報告入力!$CM$7:$CM$696,0)),"")</f>
        <v>入金確認済</v>
      </c>
    </row>
    <row r="452" s="135" customFormat="true" ht="20.1" hidden="false" customHeight="true" outlineLevel="0" collapsed="false">
      <c r="A452" s="217" t="s">
        <v>213</v>
      </c>
      <c r="B452" s="240"/>
      <c r="C452" s="237"/>
      <c r="D452" s="203"/>
      <c r="E452" s="207"/>
      <c r="F452" s="337"/>
      <c r="G452" s="206" t="n">
        <f aca="false">SUM(B452:F452)</f>
        <v>0</v>
      </c>
      <c r="H452" s="357"/>
      <c r="I452" s="358"/>
      <c r="J452" s="309" t="n">
        <f aca="false">SUM(H452:I452)</f>
        <v>0</v>
      </c>
      <c r="K452" s="359"/>
      <c r="L452" s="358"/>
      <c r="M452" s="309" t="n">
        <f aca="false">SUM(K452:L452)</f>
        <v>0</v>
      </c>
      <c r="N452" s="359"/>
      <c r="O452" s="358"/>
      <c r="P452" s="309" t="n">
        <f aca="false">SUM(N452:O452)</f>
        <v>0</v>
      </c>
      <c r="Q452" s="135" t="str">
        <f aca="false">IF(P387=P452,"〇","×")</f>
        <v>〇</v>
      </c>
      <c r="R452" s="135" t="str">
        <f aca="false">IFERROR(INDEX(報告入力!$C$7:$C$696,MATCH($S$392&amp;"|"&amp;$A452,報告入力!$CM$7:$CM$696,0)),"")</f>
        <v>報告なし</v>
      </c>
    </row>
    <row r="453" s="135" customFormat="true" ht="20.1" hidden="false" customHeight="true" outlineLevel="0" collapsed="false">
      <c r="A453" s="196" t="s">
        <v>497</v>
      </c>
      <c r="B453" s="197" t="n">
        <f aca="false">SUM(B449:B452)</f>
        <v>60390</v>
      </c>
      <c r="C453" s="201" t="n">
        <f aca="false">SUM(C449:C452)</f>
        <v>4950</v>
      </c>
      <c r="D453" s="197" t="n">
        <f aca="false">SUM(D449:D452)</f>
        <v>60390</v>
      </c>
      <c r="E453" s="199" t="n">
        <f aca="false">SUM(E449:E452)</f>
        <v>4950</v>
      </c>
      <c r="F453" s="200" t="n">
        <f aca="false">SUM(F449:F452)</f>
        <v>0</v>
      </c>
      <c r="G453" s="201" t="n">
        <f aca="false">SUM(B453:F453)</f>
        <v>130680</v>
      </c>
      <c r="H453" s="301" t="n">
        <f aca="false">SUM(H449:H452)</f>
        <v>49785</v>
      </c>
      <c r="I453" s="199" t="n">
        <f aca="false">SUM(I449:I452)</f>
        <v>49833</v>
      </c>
      <c r="J453" s="200" t="n">
        <f aca="false">SUM(H453:I453)</f>
        <v>99618</v>
      </c>
      <c r="K453" s="197" t="n">
        <f aca="false">SUM(K449:K452)</f>
        <v>5056</v>
      </c>
      <c r="L453" s="301" t="n">
        <f aca="false">SUM(L449:L452)</f>
        <v>5056</v>
      </c>
      <c r="M453" s="200" t="n">
        <f aca="false">SUM(K453:L453)</f>
        <v>10112</v>
      </c>
      <c r="N453" s="197" t="n">
        <f aca="false">SUM(N449:N452)</f>
        <v>1104</v>
      </c>
      <c r="O453" s="301" t="n">
        <f aca="false">SUM(O449:O452)</f>
        <v>1104</v>
      </c>
      <c r="P453" s="200" t="n">
        <f aca="false">SUM(N453:O453)</f>
        <v>2208</v>
      </c>
      <c r="Q453" s="135" t="str">
        <f aca="false">IF(P388=P453,"〇","×")</f>
        <v>×</v>
      </c>
    </row>
    <row r="454" s="135" customFormat="true" ht="20.1" hidden="false" customHeight="true" outlineLevel="0" collapsed="false">
      <c r="A454" s="302" t="s">
        <v>214</v>
      </c>
      <c r="B454" s="303"/>
      <c r="C454" s="304"/>
      <c r="D454" s="305"/>
      <c r="E454" s="306"/>
      <c r="F454" s="292"/>
      <c r="G454" s="293"/>
      <c r="H454" s="384" t="n">
        <f aca="false">SUMIFS(報告入力!$BD$7:$BD$696,報告入力!$A$7:$A$696,$S$392,報告入力!$B$7:$B$696,$A454)</f>
        <v>6877798</v>
      </c>
      <c r="I454" s="339"/>
      <c r="J454" s="309" t="n">
        <f aca="false">SUM(H454:I454)</f>
        <v>6877798</v>
      </c>
      <c r="K454" s="384" t="n">
        <f aca="false">SUMIFS(報告入力!$BF$7:$BF$696,報告入力!$A$7:$A$696,$S$392,報告入力!$B$7:$B$696,$A454)</f>
        <v>345917</v>
      </c>
      <c r="L454" s="339"/>
      <c r="M454" s="309" t="n">
        <f aca="false">SUM(K454:L454)</f>
        <v>345917</v>
      </c>
      <c r="N454" s="384" t="n">
        <f aca="false">SUMIFS(報告入力!$BH$7:$BH$696,報告入力!$A$7:$A$696,$S$392,報告入力!$B$7:$B$696,$A454)</f>
        <v>152502</v>
      </c>
      <c r="O454" s="339"/>
      <c r="P454" s="309" t="n">
        <f aca="false">SUM(N454:O454)</f>
        <v>152502</v>
      </c>
      <c r="Q454" s="135" t="str">
        <f aca="false">IF(P389=P454,"〇","×")</f>
        <v>×</v>
      </c>
      <c r="R454" s="135" t="str">
        <f aca="false">IFERROR(INDEX(報告入力!$C$7:$C$696,MATCH($S$392&amp;"|"&amp;$A454,報告入力!$CM$7:$CM$696,0)),"")</f>
        <v>受領済</v>
      </c>
    </row>
    <row r="455" s="135" customFormat="true" ht="30" hidden="false" customHeight="true" outlineLevel="0" collapsed="false">
      <c r="A455" s="310" t="s">
        <v>499</v>
      </c>
      <c r="B455" s="311" t="n">
        <f aca="false">SUM(+B412+B443+B448+B453+B454)</f>
        <v>498248439</v>
      </c>
      <c r="C455" s="312" t="n">
        <f aca="false">SUM(+C412+C443+C448+C453+C454)</f>
        <v>40801581</v>
      </c>
      <c r="D455" s="311" t="n">
        <f aca="false">SUM(+D412+D443+D448+D453+D454)</f>
        <v>727857487</v>
      </c>
      <c r="E455" s="313" t="n">
        <f aca="false">SUM(+E412+E443+E448+E453+E454)</f>
        <v>40985184</v>
      </c>
      <c r="F455" s="312" t="n">
        <f aca="false">SUM(+F412+F443+F448+F453+F454)</f>
        <v>495169</v>
      </c>
      <c r="G455" s="314" t="n">
        <f aca="false">SUM(B455:F455)</f>
        <v>1308387860</v>
      </c>
      <c r="H455" s="315" t="n">
        <f aca="false">SUM(+H412+H443+H448+H453+H454)</f>
        <v>362597062</v>
      </c>
      <c r="I455" s="315" t="n">
        <f aca="false">SUM(+I412+I443+I448+I453+I454)</f>
        <v>360138827</v>
      </c>
      <c r="J455" s="316" t="n">
        <f aca="false">SUM(H455:I455)</f>
        <v>722735889</v>
      </c>
      <c r="K455" s="317" t="n">
        <f aca="false">SUM(+K412+K443+K448+K453+K454)</f>
        <v>32643398</v>
      </c>
      <c r="L455" s="315" t="n">
        <f aca="false">SUM(+L412+L443+L448+L453+L454)</f>
        <v>32292877</v>
      </c>
      <c r="M455" s="316" t="n">
        <f aca="false">SUM(K455:L455)</f>
        <v>64936275</v>
      </c>
      <c r="N455" s="317" t="n">
        <f aca="false">SUM(+N412+N443+N448+N453+N454)</f>
        <v>8035595</v>
      </c>
      <c r="O455" s="315" t="n">
        <f aca="false">SUM(+O412+O443+O448+O453+O454)</f>
        <v>7882454</v>
      </c>
      <c r="P455" s="316" t="n">
        <f aca="false">SUM(N455:O455)</f>
        <v>15918049</v>
      </c>
      <c r="Q455" s="135" t="str">
        <f aca="false">IF(P390=P455,"〇","×")</f>
        <v>×</v>
      </c>
    </row>
    <row r="456" s="341" customFormat="true" ht="39" hidden="false" customHeight="true" outlineLevel="0" collapsed="false">
      <c r="A456" s="340"/>
      <c r="G456" s="109"/>
      <c r="Q456" s="341" t="str">
        <f aca="false">IF(P391=P456,"〇","×")</f>
        <v>〇</v>
      </c>
    </row>
    <row r="457" s="322" customFormat="true" ht="30" hidden="false" customHeight="true" outlineLevel="0" collapsed="false">
      <c r="A457" s="320"/>
      <c r="B457" s="112" t="n">
        <f aca="false">EOMONTH(B392,1)</f>
        <v>46326</v>
      </c>
      <c r="C457" s="112"/>
      <c r="D457" s="112"/>
      <c r="E457" s="112"/>
      <c r="F457" s="112"/>
      <c r="G457" s="112"/>
      <c r="H457" s="112" t="n">
        <f aca="false">B457</f>
        <v>46326</v>
      </c>
      <c r="I457" s="112"/>
      <c r="J457" s="112"/>
      <c r="K457" s="112" t="n">
        <f aca="false">H457</f>
        <v>46326</v>
      </c>
      <c r="L457" s="112"/>
      <c r="M457" s="112"/>
      <c r="N457" s="112" t="n">
        <f aca="false">K457</f>
        <v>46326</v>
      </c>
      <c r="O457" s="112"/>
      <c r="P457" s="112"/>
      <c r="Q457" s="322" t="str">
        <f aca="false">IF(P392=P457,"〇","×")</f>
        <v>〇</v>
      </c>
      <c r="S457" s="322" t="s">
        <v>507</v>
      </c>
    </row>
    <row r="458" customFormat="false" ht="22.5" hidden="false" customHeight="true" outlineLevel="0" collapsed="false">
      <c r="A458" s="114" t="s">
        <v>483</v>
      </c>
      <c r="B458" s="114" t="s">
        <v>484</v>
      </c>
      <c r="C458" s="114"/>
      <c r="D458" s="114"/>
      <c r="E458" s="114"/>
      <c r="F458" s="114"/>
      <c r="G458" s="114"/>
      <c r="H458" s="116" t="s">
        <v>485</v>
      </c>
      <c r="I458" s="116"/>
      <c r="J458" s="116"/>
      <c r="K458" s="116" t="s">
        <v>486</v>
      </c>
      <c r="L458" s="116"/>
      <c r="M458" s="116"/>
      <c r="N458" s="116" t="str">
        <f aca="false">$N$3</f>
        <v>子ども・子育て支援納付金</v>
      </c>
      <c r="O458" s="116"/>
      <c r="P458" s="116"/>
      <c r="Q458" s="105" t="str">
        <f aca="false">IF(P393=P458,"〇","×")</f>
        <v>〇</v>
      </c>
    </row>
    <row r="459" customFormat="false" ht="22.5" hidden="false" customHeight="true" outlineLevel="0" collapsed="false">
      <c r="A459" s="114"/>
      <c r="B459" s="117" t="s">
        <v>487</v>
      </c>
      <c r="C459" s="117"/>
      <c r="D459" s="117" t="s">
        <v>488</v>
      </c>
      <c r="E459" s="117"/>
      <c r="F459" s="117"/>
      <c r="G459" s="117" t="s">
        <v>489</v>
      </c>
      <c r="H459" s="121" t="s">
        <v>490</v>
      </c>
      <c r="I459" s="119" t="s">
        <v>491</v>
      </c>
      <c r="J459" s="120" t="s">
        <v>489</v>
      </c>
      <c r="K459" s="121" t="s">
        <v>490</v>
      </c>
      <c r="L459" s="119" t="s">
        <v>491</v>
      </c>
      <c r="M459" s="120" t="s">
        <v>489</v>
      </c>
      <c r="N459" s="121" t="s">
        <v>490</v>
      </c>
      <c r="O459" s="119" t="s">
        <v>491</v>
      </c>
      <c r="P459" s="120" t="s">
        <v>489</v>
      </c>
      <c r="Q459" s="105" t="str">
        <f aca="false">IF(P394=P459,"〇","×")</f>
        <v>〇</v>
      </c>
    </row>
    <row r="460" customFormat="false" ht="22.5" hidden="false" customHeight="true" outlineLevel="0" collapsed="false">
      <c r="A460" s="114"/>
      <c r="B460" s="122" t="s">
        <v>492</v>
      </c>
      <c r="C460" s="123" t="s">
        <v>493</v>
      </c>
      <c r="D460" s="124" t="s">
        <v>492</v>
      </c>
      <c r="E460" s="124" t="s">
        <v>494</v>
      </c>
      <c r="F460" s="123" t="s">
        <v>93</v>
      </c>
      <c r="G460" s="117"/>
      <c r="H460" s="121"/>
      <c r="I460" s="119"/>
      <c r="J460" s="120"/>
      <c r="K460" s="121"/>
      <c r="L460" s="119"/>
      <c r="M460" s="120"/>
      <c r="N460" s="121"/>
      <c r="O460" s="119"/>
      <c r="P460" s="120"/>
      <c r="Q460" s="105" t="str">
        <f aca="false">IF(P395=P460,"〇","×")</f>
        <v>〇</v>
      </c>
    </row>
    <row r="461" s="135" customFormat="true" ht="20.1" hidden="false" customHeight="true" outlineLevel="0" collapsed="false">
      <c r="A461" s="125" t="s">
        <v>166</v>
      </c>
      <c r="B461" s="385" t="n">
        <f aca="false">SUMIFS(報告入力!$AY$7:$AY$696,報告入力!$A$7:$A$696,$S$457,報告入力!$B$7:$B$696,$A461)</f>
        <v>233913712</v>
      </c>
      <c r="C461" s="386" t="n">
        <f aca="false">SUMIFS(報告入力!$AZ$7:$AZ$696,報告入力!$A$7:$A$696,$S$457,報告入力!$B$7:$B$696,$A461)</f>
        <v>19178131</v>
      </c>
      <c r="D461" s="387" t="n">
        <f aca="false">SUMIFS(報告入力!$BA$7:$BA$696,報告入力!$A$7:$A$696,$S$457,報告入力!$B$7:$B$696,$A461)</f>
        <v>339986672</v>
      </c>
      <c r="E461" s="387" t="n">
        <f aca="false">SUMIFS(報告入力!$BB$7:$BB$696,報告入力!$A$7:$A$696,$S$457,報告入力!$B$7:$B$696,$A461)</f>
        <v>18646418</v>
      </c>
      <c r="F461" s="388" t="n">
        <f aca="false">SUMIFS(報告入力!$BC$7:$BC$696,報告入力!$A$7:$A$696,$S$457,報告入力!$B$7:$B$696,$A461)</f>
        <v>245153</v>
      </c>
      <c r="G461" s="389" t="n">
        <f aca="false">SUM(B461:F461)</f>
        <v>611970086</v>
      </c>
      <c r="H461" s="390" t="n">
        <f aca="false">SUMIFS(報告入力!$BD$7:$BD$696,報告入力!$A$7:$A$696,$S$457,報告入力!$B$7:$B$696,$A461)</f>
        <v>180562030</v>
      </c>
      <c r="I461" s="205" t="n">
        <f aca="false">SUMIFS(報告入力!$BE$7:$BE$696,報告入力!$A$7:$A$696,$S$457,報告入力!$B$7:$B$696,$A461)</f>
        <v>179918563</v>
      </c>
      <c r="J461" s="206" t="n">
        <f aca="false">SUM(H461:I461)</f>
        <v>360480593</v>
      </c>
      <c r="K461" s="287" t="n">
        <f aca="false">SUMIFS(報告入力!$BF$7:$BF$696,報告入力!$A$7:$A$696,$S$457,報告入力!$B$7:$B$696,$A461)</f>
        <v>15720292</v>
      </c>
      <c r="L461" s="205" t="n">
        <f aca="false">SUMIFS(報告入力!$BG$7:$BG$696,報告入力!$A$7:$A$696,$S$457,報告入力!$B$7:$B$696,$A461)</f>
        <v>15284428</v>
      </c>
      <c r="M461" s="206" t="n">
        <f aca="false">SUM(K461:L461)</f>
        <v>31004720</v>
      </c>
      <c r="N461" s="287" t="n">
        <f aca="false">SUMIFS(報告入力!$BH$7:$BH$696,報告入力!$A$7:$A$696,$S$457,報告入力!$B$7:$B$696,$A461)</f>
        <v>1</v>
      </c>
      <c r="O461" s="205" t="n">
        <f aca="false">SUMIFS(報告入力!$BI$7:$BI$696,報告入力!$A$7:$A$696,$S$457,報告入力!$B$7:$B$696,$A461)</f>
        <v>1</v>
      </c>
      <c r="P461" s="206" t="n">
        <f aca="false">SUM(N461:O461)</f>
        <v>2</v>
      </c>
      <c r="Q461" s="135" t="str">
        <f aca="false">IF(P396=P461,"〇","×")</f>
        <v>×</v>
      </c>
      <c r="R461" s="135" t="str">
        <f aca="false">IFERROR(INDEX(報告入力!$C$7:$C$696,MATCH($S$457&amp;"|"&amp;$A461,報告入力!$CM$7:$CM$696,0)),"")</f>
        <v>未受領</v>
      </c>
    </row>
    <row r="462" s="135" customFormat="true" ht="20.1" hidden="false" customHeight="true" outlineLevel="0" collapsed="false">
      <c r="A462" s="125" t="s">
        <v>169</v>
      </c>
      <c r="B462" s="203" t="n">
        <f aca="false">SUMIFS(報告入力!$AY$7:$AY$696,報告入力!$A$7:$A$696,$S$457,報告入力!$B$7:$B$696,$A462)</f>
        <v>16602675</v>
      </c>
      <c r="C462" s="204" t="n">
        <f aca="false">SUMIFS(報告入力!$AZ$7:$AZ$696,報告入力!$A$7:$A$696,$S$457,報告入力!$B$7:$B$696,$A462)</f>
        <v>1360875</v>
      </c>
      <c r="D462" s="387" t="n">
        <f aca="false">SUMIFS(報告入力!$BA$7:$BA$696,報告入力!$A$7:$A$696,$S$457,報告入力!$B$7:$B$696,$A462)</f>
        <v>24157652</v>
      </c>
      <c r="E462" s="387" t="n">
        <f aca="false">SUMIFS(報告入力!$BB$7:$BB$696,報告入力!$A$7:$A$696,$S$457,報告入力!$B$7:$B$696,$A462)</f>
        <v>1359399</v>
      </c>
      <c r="F462" s="237" t="n">
        <f aca="false">SUMIFS(報告入力!$BC$7:$BC$696,報告入力!$A$7:$A$696,$S$457,報告入力!$B$7:$B$696,$A462)</f>
        <v>17126</v>
      </c>
      <c r="G462" s="206" t="n">
        <f aca="false">SUM(B462:F462)</f>
        <v>43497727</v>
      </c>
      <c r="H462" s="207" t="n">
        <f aca="false">SUMIFS(報告入力!$BD$7:$BD$696,報告入力!$A$7:$A$696,$S$457,報告入力!$B$7:$B$696,$A462)</f>
        <v>10398568</v>
      </c>
      <c r="I462" s="208" t="n">
        <f aca="false">SUMIFS(報告入力!$BE$7:$BE$696,報告入力!$A$7:$A$696,$S$457,報告入力!$B$7:$B$696,$A462)</f>
        <v>10572334</v>
      </c>
      <c r="J462" s="160" t="n">
        <f aca="false">SUM(H462:I462)</f>
        <v>20970902</v>
      </c>
      <c r="K462" s="240" t="n">
        <f aca="false">SUMIFS(報告入力!$BF$7:$BF$696,報告入力!$A$7:$A$696,$S$457,報告入力!$B$7:$B$696,$A462)</f>
        <v>1038485</v>
      </c>
      <c r="L462" s="238" t="n">
        <f aca="false">SUMIFS(報告入力!$BG$7:$BG$696,報告入力!$A$7:$A$696,$S$457,報告入力!$B$7:$B$696,$A462)</f>
        <v>1038485</v>
      </c>
      <c r="M462" s="160" t="n">
        <f aca="false">SUM(K462:L462)</f>
        <v>2076970</v>
      </c>
      <c r="N462" s="240" t="n">
        <f aca="false">SUMIFS(報告入力!$BH$7:$BH$696,報告入力!$A$7:$A$696,$S$457,報告入力!$B$7:$B$696,$A462)</f>
        <v>1</v>
      </c>
      <c r="O462" s="238" t="n">
        <f aca="false">SUMIFS(報告入力!$BI$7:$BI$696,報告入力!$A$7:$A$696,$S$457,報告入力!$B$7:$B$696,$A462)</f>
        <v>1</v>
      </c>
      <c r="P462" s="160" t="n">
        <f aca="false">SUM(N462:O462)</f>
        <v>2</v>
      </c>
      <c r="Q462" s="135" t="str">
        <f aca="false">IF(P397=P462,"〇","×")</f>
        <v>×</v>
      </c>
      <c r="R462" s="135" t="str">
        <f aca="false">IFERROR(INDEX(報告入力!$C$7:$C$696,MATCH($S$457&amp;"|"&amp;$A462,報告入力!$CM$7:$CM$696,0)),"")</f>
        <v>未受領</v>
      </c>
    </row>
    <row r="463" s="135" customFormat="true" ht="20.1" hidden="false" customHeight="true" outlineLevel="0" collapsed="false">
      <c r="A463" s="125" t="s">
        <v>170</v>
      </c>
      <c r="B463" s="203" t="n">
        <f aca="false">SUMIFS(報告入力!$AY$7:$AY$696,報告入力!$A$7:$A$696,$S$457,報告入力!$B$7:$B$696,$A463)</f>
        <v>53818470</v>
      </c>
      <c r="C463" s="204" t="n">
        <f aca="false">SUMIFS(報告入力!$AZ$7:$AZ$696,報告入力!$A$7:$A$696,$S$457,報告入力!$B$7:$B$696,$A463)</f>
        <v>4405650</v>
      </c>
      <c r="D463" s="387" t="n">
        <f aca="false">SUMIFS(報告入力!$BA$7:$BA$696,報告入力!$A$7:$A$696,$S$457,報告入力!$B$7:$B$696,$A463)</f>
        <v>78389280</v>
      </c>
      <c r="E463" s="387" t="n">
        <f aca="false">SUMIFS(報告入力!$BB$7:$BB$696,報告入力!$A$7:$A$696,$S$457,報告入力!$B$7:$B$696,$A463)</f>
        <v>4404675</v>
      </c>
      <c r="F463" s="237" t="n">
        <f aca="false">SUMIFS(報告入力!$BC$7:$BC$696,報告入力!$A$7:$A$696,$S$457,報告入力!$B$7:$B$696,$A463)</f>
        <v>55545</v>
      </c>
      <c r="G463" s="206" t="n">
        <f aca="false">SUM(B463:F463)</f>
        <v>141073620</v>
      </c>
      <c r="H463" s="238" t="n">
        <f aca="false">SUMIFS(報告入力!$BD$7:$BD$696,報告入力!$A$7:$A$696,$S$457,報告入力!$B$7:$B$696,$A463)</f>
        <v>33023349</v>
      </c>
      <c r="I463" s="207" t="n">
        <f aca="false">SUMIFS(報告入力!$BE$7:$BE$696,報告入力!$A$7:$A$696,$S$457,報告入力!$B$7:$B$696,$A463)</f>
        <v>33605263</v>
      </c>
      <c r="J463" s="160" t="n">
        <f aca="false">SUM(H463:I463)</f>
        <v>66628612</v>
      </c>
      <c r="K463" s="240" t="n">
        <f aca="false">SUMIFS(報告入力!$BF$7:$BF$696,報告入力!$A$7:$A$696,$S$457,報告入力!$B$7:$B$696,$A463)</f>
        <v>1962484</v>
      </c>
      <c r="L463" s="207" t="n">
        <f aca="false">SUMIFS(報告入力!$BG$7:$BG$696,報告入力!$A$7:$A$696,$S$457,報告入力!$B$7:$B$696,$A463)</f>
        <v>1955455</v>
      </c>
      <c r="M463" s="160" t="n">
        <f aca="false">SUM(K463:L463)</f>
        <v>3917939</v>
      </c>
      <c r="N463" s="240" t="n">
        <f aca="false">SUMIFS(報告入力!$BH$7:$BH$696,報告入力!$A$7:$A$696,$S$457,報告入力!$B$7:$B$696,$A463)</f>
        <v>1</v>
      </c>
      <c r="O463" s="207" t="n">
        <f aca="false">SUMIFS(報告入力!$BI$7:$BI$696,報告入力!$A$7:$A$696,$S$457,報告入力!$B$7:$B$696,$A463)</f>
        <v>1</v>
      </c>
      <c r="P463" s="160" t="n">
        <f aca="false">SUM(N463:O463)</f>
        <v>2</v>
      </c>
      <c r="Q463" s="135" t="str">
        <f aca="false">IF(P398=P463,"〇","×")</f>
        <v>×</v>
      </c>
      <c r="R463" s="135" t="str">
        <f aca="false">IFERROR(INDEX(報告入力!$C$7:$C$696,MATCH($S$457&amp;"|"&amp;$A463,報告入力!$CM$7:$CM$696,0)),"")</f>
        <v>未受領</v>
      </c>
    </row>
    <row r="464" s="135" customFormat="true" ht="20.1" hidden="false" customHeight="true" outlineLevel="0" collapsed="false">
      <c r="A464" s="125" t="s">
        <v>171</v>
      </c>
      <c r="B464" s="203" t="n">
        <f aca="false">SUMIFS(報告入力!$AY$7:$AY$696,報告入力!$A$7:$A$696,$S$457,報告入力!$B$7:$B$696,$A464)</f>
        <v>1740330</v>
      </c>
      <c r="C464" s="204" t="n">
        <f aca="false">SUMIFS(報告入力!$AZ$7:$AZ$696,報告入力!$A$7:$A$696,$S$457,報告入力!$B$7:$B$696,$A464)</f>
        <v>142650</v>
      </c>
      <c r="D464" s="387" t="n">
        <f aca="false">SUMIFS(報告入力!$BA$7:$BA$696,報告入力!$A$7:$A$696,$S$457,報告入力!$B$7:$B$696,$A464)</f>
        <v>2539620</v>
      </c>
      <c r="E464" s="387" t="n">
        <f aca="false">SUMIFS(報告入力!$BB$7:$BB$696,報告入力!$A$7:$A$696,$S$457,報告入力!$B$7:$B$696,$A464)</f>
        <v>142650</v>
      </c>
      <c r="F464" s="237" t="n">
        <f aca="false">SUMIFS(報告入力!$BC$7:$BC$696,報告入力!$A$7:$A$696,$S$457,報告入力!$B$7:$B$696,$A464)</f>
        <v>1808</v>
      </c>
      <c r="G464" s="206" t="n">
        <f aca="false">SUM(B464:F464)</f>
        <v>4567058</v>
      </c>
      <c r="H464" s="387" t="n">
        <f aca="false">SUMIFS(報告入力!$BD$7:$BD$696,報告入力!$A$7:$A$696,$S$457,報告入力!$B$7:$B$696,$A464)</f>
        <v>1055074</v>
      </c>
      <c r="I464" s="207" t="n">
        <f aca="false">SUMIFS(報告入力!$BE$7:$BE$696,報告入力!$A$7:$A$696,$S$457,報告入力!$B$7:$B$696,$A464)</f>
        <v>1073929</v>
      </c>
      <c r="J464" s="160" t="n">
        <f aca="false">SUM(H464:I464)</f>
        <v>2129003</v>
      </c>
      <c r="K464" s="203" t="n">
        <f aca="false">SUMIFS(報告入力!$BF$7:$BF$696,報告入力!$A$7:$A$696,$S$457,報告入力!$B$7:$B$696,$A464)</f>
        <v>96696</v>
      </c>
      <c r="L464" s="207" t="n">
        <f aca="false">SUMIFS(報告入力!$BG$7:$BG$696,報告入力!$A$7:$A$696,$S$457,報告入力!$B$7:$B$696,$A464)</f>
        <v>96696</v>
      </c>
      <c r="M464" s="160" t="n">
        <f aca="false">SUM(K464:L464)</f>
        <v>193392</v>
      </c>
      <c r="N464" s="203" t="n">
        <f aca="false">SUMIFS(報告入力!$BH$7:$BH$696,報告入力!$A$7:$A$696,$S$457,報告入力!$B$7:$B$696,$A464)</f>
        <v>1</v>
      </c>
      <c r="O464" s="207" t="n">
        <f aca="false">SUMIFS(報告入力!$BI$7:$BI$696,報告入力!$A$7:$A$696,$S$457,報告入力!$B$7:$B$696,$A464)</f>
        <v>1</v>
      </c>
      <c r="P464" s="160" t="n">
        <f aca="false">SUM(N464:O464)</f>
        <v>2</v>
      </c>
      <c r="Q464" s="135" t="str">
        <f aca="false">IF(P399=P464,"〇","×")</f>
        <v>×</v>
      </c>
      <c r="R464" s="135" t="str">
        <f aca="false">IFERROR(INDEX(報告入力!$C$7:$C$696,MATCH($S$457&amp;"|"&amp;$A464,報告入力!$CM$7:$CM$696,0)),"")</f>
        <v>未受領</v>
      </c>
    </row>
    <row r="465" s="135" customFormat="true" ht="20.1" hidden="false" customHeight="true" outlineLevel="0" collapsed="false">
      <c r="A465" s="125" t="s">
        <v>172</v>
      </c>
      <c r="B465" s="203" t="n">
        <f aca="false">SUMIFS(報告入力!$AY$7:$AY$696,報告入力!$A$7:$A$696,$S$457,報告入力!$B$7:$B$696,$A465)</f>
        <v>24178326</v>
      </c>
      <c r="C465" s="204" t="n">
        <f aca="false">SUMIFS(報告入力!$AZ$7:$AZ$696,報告入力!$A$7:$A$696,$S$457,報告入力!$B$7:$B$696,$A465)</f>
        <v>1981830</v>
      </c>
      <c r="D465" s="387" t="n">
        <f aca="false">SUMIFS(報告入力!$BA$7:$BA$696,報告入力!$A$7:$A$696,$S$457,報告入力!$B$7:$B$696,$A465)</f>
        <v>35265535</v>
      </c>
      <c r="E465" s="387" t="n">
        <f aca="false">SUMIFS(報告入力!$BB$7:$BB$696,報告入力!$A$7:$A$696,$S$457,報告入力!$B$7:$B$696,$A465)</f>
        <v>1982550</v>
      </c>
      <c r="F465" s="237" t="n">
        <f aca="false">SUMIFS(報告入力!$BC$7:$BC$696,報告入力!$A$7:$A$696,$S$457,報告入力!$B$7:$B$696,$A465)</f>
        <v>25061</v>
      </c>
      <c r="G465" s="206" t="n">
        <f aca="false">SUM(B465:F465)</f>
        <v>63433302</v>
      </c>
      <c r="H465" s="387" t="n">
        <f aca="false">SUMIFS(報告入力!$BD$7:$BD$696,報告入力!$A$7:$A$696,$S$457,報告入力!$B$7:$B$696,$A465)</f>
        <v>25754073</v>
      </c>
      <c r="I465" s="207" t="n">
        <f aca="false">SUMIFS(報告入力!$BE$7:$BE$696,報告入力!$A$7:$A$696,$S$457,報告入力!$B$7:$B$696,$A465)</f>
        <v>26235747</v>
      </c>
      <c r="J465" s="160" t="n">
        <f aca="false">SUM(H465:I465)</f>
        <v>51989820</v>
      </c>
      <c r="K465" s="203" t="n">
        <f aca="false">SUMIFS(報告入力!$BF$7:$BF$696,報告入力!$A$7:$A$696,$S$457,報告入力!$B$7:$B$696,$A465)</f>
        <v>2801103</v>
      </c>
      <c r="L465" s="207" t="n">
        <f aca="false">SUMIFS(報告入力!$BG$7:$BG$696,報告入力!$A$7:$A$696,$S$457,報告入力!$B$7:$B$696,$A465)</f>
        <v>2793876</v>
      </c>
      <c r="M465" s="160" t="n">
        <f aca="false">SUM(K465:L465)</f>
        <v>5594979</v>
      </c>
      <c r="N465" s="203" t="n">
        <f aca="false">SUMIFS(報告入力!$BH$7:$BH$696,報告入力!$A$7:$A$696,$S$457,報告入力!$B$7:$B$696,$A465)</f>
        <v>1</v>
      </c>
      <c r="O465" s="207" t="n">
        <f aca="false">SUMIFS(報告入力!$BI$7:$BI$696,報告入力!$A$7:$A$696,$S$457,報告入力!$B$7:$B$696,$A465)</f>
        <v>1</v>
      </c>
      <c r="P465" s="160" t="n">
        <f aca="false">SUM(N465:O465)</f>
        <v>2</v>
      </c>
      <c r="Q465" s="135" t="str">
        <f aca="false">IF(P400=P465,"〇","×")</f>
        <v>×</v>
      </c>
      <c r="R465" s="135" t="str">
        <f aca="false">IFERROR(INDEX(報告入力!$C$7:$C$696,MATCH($S$457&amp;"|"&amp;$A465,報告入力!$CM$7:$CM$696,0)),"")</f>
        <v>未受領</v>
      </c>
    </row>
    <row r="466" s="135" customFormat="true" ht="20.1" hidden="false" customHeight="true" outlineLevel="0" collapsed="false">
      <c r="A466" s="125" t="s">
        <v>173</v>
      </c>
      <c r="B466" s="203" t="n">
        <f aca="false">SUMIFS(報告入力!$AY$7:$AY$696,報告入力!$A$7:$A$696,$S$457,報告入力!$B$7:$B$696,$A466)</f>
        <v>280905</v>
      </c>
      <c r="C466" s="204" t="n">
        <f aca="false">SUMIFS(報告入力!$AZ$7:$AZ$696,報告入力!$A$7:$A$696,$S$457,報告入力!$B$7:$B$696,$A466)</f>
        <v>23025</v>
      </c>
      <c r="D466" s="387" t="n">
        <f aca="false">SUMIFS(報告入力!$BA$7:$BA$696,報告入力!$A$7:$A$696,$S$457,報告入力!$B$7:$B$696,$A466)</f>
        <v>408310</v>
      </c>
      <c r="E466" s="387" t="n">
        <f aca="false">SUMIFS(報告入力!$BB$7:$BB$696,報告入力!$A$7:$A$696,$S$457,報告入力!$B$7:$B$696,$A466)</f>
        <v>23025</v>
      </c>
      <c r="F466" s="237" t="n">
        <f aca="false">SUMIFS(報告入力!$BC$7:$BC$696,報告入力!$A$7:$A$696,$S$457,報告入力!$B$7:$B$696,$A466)</f>
        <v>288</v>
      </c>
      <c r="G466" s="206" t="n">
        <f aca="false">SUM(B466:F466)</f>
        <v>735553</v>
      </c>
      <c r="H466" s="207" t="n">
        <f aca="false">SUMIFS(報告入力!$BD$7:$BD$696,報告入力!$A$7:$A$696,$S$457,報告入力!$B$7:$B$696,$A466)</f>
        <v>190331</v>
      </c>
      <c r="I466" s="208" t="n">
        <f aca="false">SUMIFS(報告入力!$BE$7:$BE$696,報告入力!$A$7:$A$696,$S$457,報告入力!$B$7:$B$696,$A466)</f>
        <v>216641</v>
      </c>
      <c r="J466" s="160" t="n">
        <f aca="false">SUM(H466:I466)</f>
        <v>406972</v>
      </c>
      <c r="K466" s="203" t="n">
        <f aca="false">SUMIFS(報告入力!$BF$7:$BF$696,報告入力!$A$7:$A$696,$S$457,報告入力!$B$7:$B$696,$A466)</f>
        <v>15326</v>
      </c>
      <c r="L466" s="207" t="n">
        <f aca="false">SUMIFS(報告入力!$BG$7:$BG$696,報告入力!$A$7:$A$696,$S$457,報告入力!$B$7:$B$696,$A466)</f>
        <v>18565</v>
      </c>
      <c r="M466" s="160" t="n">
        <f aca="false">SUM(K466:L466)</f>
        <v>33891</v>
      </c>
      <c r="N466" s="203" t="n">
        <f aca="false">SUMIFS(報告入力!$BH$7:$BH$696,報告入力!$A$7:$A$696,$S$457,報告入力!$B$7:$B$696,$A466)</f>
        <v>1</v>
      </c>
      <c r="O466" s="207" t="n">
        <f aca="false">SUMIFS(報告入力!$BI$7:$BI$696,報告入力!$A$7:$A$696,$S$457,報告入力!$B$7:$B$696,$A466)</f>
        <v>1</v>
      </c>
      <c r="P466" s="160" t="n">
        <f aca="false">SUM(N466:O466)</f>
        <v>2</v>
      </c>
      <c r="Q466" s="135" t="str">
        <f aca="false">IF(P401=P466,"〇","×")</f>
        <v>×</v>
      </c>
      <c r="R466" s="135" t="str">
        <f aca="false">IFERROR(INDEX(報告入力!$C$7:$C$696,MATCH($S$457&amp;"|"&amp;$A466,報告入力!$CM$7:$CM$696,0)),"")</f>
        <v>未受領</v>
      </c>
    </row>
    <row r="467" s="135" customFormat="true" ht="20.1" hidden="false" customHeight="true" outlineLevel="0" collapsed="false">
      <c r="A467" s="125" t="s">
        <v>174</v>
      </c>
      <c r="B467" s="203" t="n">
        <f aca="false">SUMIFS(報告入力!$AY$7:$AY$696,報告入力!$A$7:$A$696,$S$457,報告入力!$B$7:$B$696,$A467)</f>
        <v>561810</v>
      </c>
      <c r="C467" s="204" t="n">
        <f aca="false">SUMIFS(報告入力!$AZ$7:$AZ$696,報告入力!$A$7:$A$696,$S$457,報告入力!$B$7:$B$696,$A467)</f>
        <v>46050</v>
      </c>
      <c r="D467" s="387" t="n">
        <f aca="false">SUMIFS(報告入力!$BA$7:$BA$696,報告入力!$A$7:$A$696,$S$457,報告入力!$B$7:$B$696,$A467)</f>
        <v>816620</v>
      </c>
      <c r="E467" s="387" t="n">
        <f aca="false">SUMIFS(報告入力!$BB$7:$BB$696,報告入力!$A$7:$A$696,$S$457,報告入力!$B$7:$B$696,$A467)</f>
        <v>46050</v>
      </c>
      <c r="F467" s="237" t="n">
        <f aca="false">SUMIFS(報告入力!$BC$7:$BC$696,報告入力!$A$7:$A$696,$S$457,報告入力!$B$7:$B$696,$A467)</f>
        <v>576</v>
      </c>
      <c r="G467" s="391" t="n">
        <f aca="false">SUM(B467:F467)</f>
        <v>1471106</v>
      </c>
      <c r="H467" s="207" t="n">
        <f aca="false">SUMIFS(報告入力!$BD$7:$BD$696,報告入力!$A$7:$A$696,$S$457,報告入力!$B$7:$B$696,$A467)</f>
        <v>351070</v>
      </c>
      <c r="I467" s="208" t="n">
        <f aca="false">SUMIFS(報告入力!$BE$7:$BE$696,報告入力!$A$7:$A$696,$S$457,報告入力!$B$7:$B$696,$A467)</f>
        <v>357264</v>
      </c>
      <c r="J467" s="160" t="n">
        <f aca="false">SUM(H467:I467)</f>
        <v>708334</v>
      </c>
      <c r="K467" s="287" t="n">
        <f aca="false">SUMIFS(報告入力!$BF$7:$BF$696,報告入力!$A$7:$A$696,$S$457,報告入力!$B$7:$B$696,$A467)</f>
        <v>33353</v>
      </c>
      <c r="L467" s="208" t="n">
        <f aca="false">SUMIFS(報告入力!$BG$7:$BG$696,報告入力!$A$7:$A$696,$S$457,報告入力!$B$7:$B$696,$A467)</f>
        <v>33353</v>
      </c>
      <c r="M467" s="160" t="n">
        <f aca="false">SUM(K467:L467)</f>
        <v>66706</v>
      </c>
      <c r="N467" s="287" t="n">
        <f aca="false">SUMIFS(報告入力!$BH$7:$BH$696,報告入力!$A$7:$A$696,$S$457,報告入力!$B$7:$B$696,$A467)</f>
        <v>1</v>
      </c>
      <c r="O467" s="208" t="n">
        <f aca="false">SUMIFS(報告入力!$BI$7:$BI$696,報告入力!$A$7:$A$696,$S$457,報告入力!$B$7:$B$696,$A467)</f>
        <v>1</v>
      </c>
      <c r="P467" s="160" t="n">
        <f aca="false">SUM(N467:O467)</f>
        <v>2</v>
      </c>
      <c r="Q467" s="135" t="str">
        <f aca="false">IF(P402=P467,"〇","×")</f>
        <v>×</v>
      </c>
      <c r="R467" s="135" t="str">
        <f aca="false">IFERROR(INDEX(報告入力!$C$7:$C$696,MATCH($S$457&amp;"|"&amp;$A467,報告入力!$CM$7:$CM$696,0)),"")</f>
        <v>未受領</v>
      </c>
    </row>
    <row r="468" s="135" customFormat="true" ht="20.1" hidden="false" customHeight="true" outlineLevel="0" collapsed="false">
      <c r="A468" s="125" t="s">
        <v>175</v>
      </c>
      <c r="B468" s="203" t="n">
        <f aca="false">SUMIFS(報告入力!$AY$7:$AY$696,報告入力!$A$7:$A$696,$S$457,報告入力!$B$7:$B$696,$A468)</f>
        <v>1344135</v>
      </c>
      <c r="C468" s="204" t="n">
        <f aca="false">SUMIFS(報告入力!$AZ$7:$AZ$696,報告入力!$A$7:$A$696,$S$457,報告入力!$B$7:$B$696,$A468)</f>
        <v>110175</v>
      </c>
      <c r="D468" s="387" t="n">
        <f aca="false">SUMIFS(報告入力!$BA$7:$BA$696,報告入力!$A$7:$A$696,$S$457,報告入力!$B$7:$B$696,$A468)</f>
        <v>1965390</v>
      </c>
      <c r="E468" s="387" t="n">
        <f aca="false">SUMIFS(報告入力!$BB$7:$BB$696,報告入力!$A$7:$A$696,$S$457,報告入力!$B$7:$B$696,$A468)</f>
        <v>110175</v>
      </c>
      <c r="F468" s="237" t="n">
        <f aca="false">SUMIFS(報告入力!$BC$7:$BC$696,報告入力!$A$7:$A$696,$S$457,報告入力!$B$7:$B$696,$A468)</f>
        <v>1405</v>
      </c>
      <c r="G468" s="206" t="n">
        <f aca="false">SUM(B468:F468)</f>
        <v>3531280</v>
      </c>
      <c r="H468" s="207" t="n">
        <f aca="false">SUMIFS(報告入力!$BD$7:$BD$696,報告入力!$A$7:$A$696,$S$457,報告入力!$B$7:$B$696,$A468)</f>
        <v>836690</v>
      </c>
      <c r="I468" s="208" t="n">
        <f aca="false">SUMIFS(報告入力!$BE$7:$BE$696,報告入力!$A$7:$A$696,$S$457,報告入力!$B$7:$B$696,$A468)</f>
        <v>851727</v>
      </c>
      <c r="J468" s="160" t="n">
        <f aca="false">SUM(H468:I468)</f>
        <v>1688417</v>
      </c>
      <c r="K468" s="287" t="n">
        <f aca="false">SUMIFS(報告入力!$BF$7:$BF$696,報告入力!$A$7:$A$696,$S$457,報告入力!$B$7:$B$696,$A468)</f>
        <v>108309</v>
      </c>
      <c r="L468" s="208" t="n">
        <f aca="false">SUMIFS(報告入力!$BG$7:$BG$696,報告入力!$A$7:$A$696,$S$457,報告入力!$B$7:$B$696,$A468)</f>
        <v>108309</v>
      </c>
      <c r="M468" s="160" t="n">
        <f aca="false">SUM(K468:L468)</f>
        <v>216618</v>
      </c>
      <c r="N468" s="287" t="n">
        <f aca="false">SUMIFS(報告入力!$BH$7:$BH$696,報告入力!$A$7:$A$696,$S$457,報告入力!$B$7:$B$696,$A468)</f>
        <v>1</v>
      </c>
      <c r="O468" s="208" t="n">
        <f aca="false">SUMIFS(報告入力!$BI$7:$BI$696,報告入力!$A$7:$A$696,$S$457,報告入力!$B$7:$B$696,$A468)</f>
        <v>1</v>
      </c>
      <c r="P468" s="160" t="n">
        <f aca="false">SUM(N468:O468)</f>
        <v>2</v>
      </c>
      <c r="Q468" s="135" t="str">
        <f aca="false">IF(P403=P468,"〇","×")</f>
        <v>×</v>
      </c>
      <c r="R468" s="135" t="str">
        <f aca="false">IFERROR(INDEX(報告入力!$C$7:$C$696,MATCH($S$457&amp;"|"&amp;$A468,報告入力!$CM$7:$CM$696,0)),"")</f>
        <v>未受領</v>
      </c>
    </row>
    <row r="469" s="135" customFormat="true" ht="20.1" hidden="false" customHeight="true" outlineLevel="0" collapsed="false">
      <c r="A469" s="125" t="s">
        <v>176</v>
      </c>
      <c r="B469" s="203" t="n">
        <f aca="false">SUMIFS(報告入力!$AY$7:$AY$696,報告入力!$A$7:$A$696,$S$457,報告入力!$B$7:$B$696,$A469)</f>
        <v>382470</v>
      </c>
      <c r="C469" s="204" t="n">
        <f aca="false">SUMIFS(報告入力!$AZ$7:$AZ$696,報告入力!$A$7:$A$696,$S$457,報告入力!$B$7:$B$696,$A469)</f>
        <v>31350</v>
      </c>
      <c r="D469" s="387" t="n">
        <f aca="false">SUMIFS(報告入力!$BA$7:$BA$696,報告入力!$A$7:$A$696,$S$457,報告入力!$B$7:$B$696,$A469)</f>
        <v>555940</v>
      </c>
      <c r="E469" s="387" t="n">
        <f aca="false">SUMIFS(報告入力!$BB$7:$BB$696,報告入力!$A$7:$A$696,$S$457,報告入力!$B$7:$B$696,$A469)</f>
        <v>31350</v>
      </c>
      <c r="F469" s="237" t="n">
        <f aca="false">SUMIFS(報告入力!$BC$7:$BC$696,報告入力!$A$7:$A$696,$S$457,報告入力!$B$7:$B$696,$A469)</f>
        <v>392</v>
      </c>
      <c r="G469" s="206" t="n">
        <f aca="false">SUM(B469:F469)</f>
        <v>1001502</v>
      </c>
      <c r="H469" s="207" t="n">
        <f aca="false">SUMIFS(報告入力!$BD$7:$BD$696,報告入力!$A$7:$A$696,$S$457,報告入力!$B$7:$B$696,$A469)</f>
        <v>308930</v>
      </c>
      <c r="I469" s="208" t="n">
        <f aca="false">SUMIFS(報告入力!$BE$7:$BE$696,報告入力!$A$7:$A$696,$S$457,報告入力!$B$7:$B$696,$A469)</f>
        <v>314382</v>
      </c>
      <c r="J469" s="160" t="n">
        <f aca="false">SUM(H469:I469)</f>
        <v>623312</v>
      </c>
      <c r="K469" s="287" t="n">
        <f aca="false">SUMIFS(報告入力!$BF$7:$BF$696,報告入力!$A$7:$A$696,$S$457,報告入力!$B$7:$B$696,$A469)</f>
        <v>34410</v>
      </c>
      <c r="L469" s="208" t="n">
        <f aca="false">SUMIFS(報告入力!$BG$7:$BG$696,報告入力!$A$7:$A$696,$S$457,報告入力!$B$7:$B$696,$A469)</f>
        <v>34412</v>
      </c>
      <c r="M469" s="160" t="n">
        <f aca="false">SUM(K469:L469)</f>
        <v>68822</v>
      </c>
      <c r="N469" s="287" t="n">
        <f aca="false">SUMIFS(報告入力!$BH$7:$BH$696,報告入力!$A$7:$A$696,$S$457,報告入力!$B$7:$B$696,$A469)</f>
        <v>1</v>
      </c>
      <c r="O469" s="208" t="n">
        <f aca="false">SUMIFS(報告入力!$BI$7:$BI$696,報告入力!$A$7:$A$696,$S$457,報告入力!$B$7:$B$696,$A469)</f>
        <v>1</v>
      </c>
      <c r="P469" s="160" t="n">
        <f aca="false">SUM(N469:O469)</f>
        <v>2</v>
      </c>
      <c r="Q469" s="135" t="str">
        <f aca="false">IF(P404=P469,"〇","×")</f>
        <v>×</v>
      </c>
      <c r="R469" s="135" t="str">
        <f aca="false">IFERROR(INDEX(報告入力!$C$7:$C$696,MATCH($S$457&amp;"|"&amp;$A469,報告入力!$CM$7:$CM$696,0)),"")</f>
        <v>未受領</v>
      </c>
    </row>
    <row r="470" s="135" customFormat="true" ht="20.1" hidden="false" customHeight="true" outlineLevel="0" collapsed="false">
      <c r="A470" s="125" t="s">
        <v>177</v>
      </c>
      <c r="B470" s="203" t="n">
        <f aca="false">SUMIFS(報告入力!$AY$7:$AY$696,報告入力!$A$7:$A$696,$S$457,報告入力!$B$7:$B$696,$A470)</f>
        <v>22426650</v>
      </c>
      <c r="C470" s="204" t="n">
        <f aca="false">SUMIFS(報告入力!$AZ$7:$AZ$696,報告入力!$A$7:$A$696,$S$457,報告入力!$B$7:$B$696,$A470)</f>
        <v>1838250</v>
      </c>
      <c r="D470" s="387" t="n">
        <f aca="false">SUMIFS(報告入力!$BA$7:$BA$696,報告入力!$A$7:$A$696,$S$457,報告入力!$B$7:$B$696,$A470)</f>
        <v>32729025</v>
      </c>
      <c r="E470" s="387" t="n">
        <f aca="false">SUMIFS(報告入力!$BB$7:$BB$696,報告入力!$A$7:$A$696,$S$457,報告入力!$B$7:$B$696,$A470)</f>
        <v>1838250</v>
      </c>
      <c r="F470" s="237" t="n">
        <f aca="false">SUMIFS(報告入力!$BC$7:$BC$696,報告入力!$A$7:$A$696,$S$457,報告入力!$B$7:$B$696,$A470)</f>
        <v>23304</v>
      </c>
      <c r="G470" s="206" t="n">
        <f aca="false">SUM(B470:F470)</f>
        <v>58855479</v>
      </c>
      <c r="H470" s="207" t="n">
        <f aca="false">SUMIFS(報告入力!$BD$7:$BD$696,報告入力!$A$7:$A$696,$S$457,報告入力!$B$7:$B$696,$A470)</f>
        <v>14207723</v>
      </c>
      <c r="I470" s="208" t="n">
        <f aca="false">SUMIFS(報告入力!$BE$7:$BE$696,報告入力!$A$7:$A$696,$S$457,報告入力!$B$7:$B$696,$A470)</f>
        <v>14461569</v>
      </c>
      <c r="J470" s="160" t="n">
        <f aca="false">SUM(H470:I470)</f>
        <v>28669292</v>
      </c>
      <c r="K470" s="287" t="n">
        <f aca="false">SUMIFS(報告入力!$BF$7:$BF$696,報告入力!$A$7:$A$696,$S$457,報告入力!$B$7:$B$696,$A470)</f>
        <v>1349557</v>
      </c>
      <c r="L470" s="208" t="n">
        <f aca="false">SUMIFS(報告入力!$BG$7:$BG$696,報告入力!$A$7:$A$696,$S$457,報告入力!$B$7:$B$696,$A470)</f>
        <v>1349557</v>
      </c>
      <c r="M470" s="160" t="n">
        <f aca="false">SUM(K470:L470)</f>
        <v>2699114</v>
      </c>
      <c r="N470" s="287" t="n">
        <f aca="false">SUMIFS(報告入力!$BH$7:$BH$696,報告入力!$A$7:$A$696,$S$457,報告入力!$B$7:$B$696,$A470)</f>
        <v>1</v>
      </c>
      <c r="O470" s="208" t="n">
        <f aca="false">SUMIFS(報告入力!$BI$7:$BI$696,報告入力!$A$7:$A$696,$S$457,報告入力!$B$7:$B$696,$A470)</f>
        <v>1</v>
      </c>
      <c r="P470" s="160" t="n">
        <f aca="false">SUM(N470:O470)</f>
        <v>2</v>
      </c>
      <c r="Q470" s="135" t="str">
        <f aca="false">IF(P405=P470,"〇","×")</f>
        <v>×</v>
      </c>
      <c r="R470" s="135" t="str">
        <f aca="false">IFERROR(INDEX(報告入力!$C$7:$C$696,MATCH($S$457&amp;"|"&amp;$A470,報告入力!$CM$7:$CM$696,0)),"")</f>
        <v>未受領</v>
      </c>
    </row>
    <row r="471" s="135" customFormat="true" ht="19.5" hidden="false" customHeight="true" outlineLevel="0" collapsed="false">
      <c r="A471" s="146" t="s">
        <v>495</v>
      </c>
      <c r="B471" s="240" t="n">
        <f aca="false">SUMIFS(報告入力!$AY$7:$AY$696,報告入力!$A$7:$A$696,$S$457,報告入力!$B$7:$B$696,$A471)</f>
        <v>48495</v>
      </c>
      <c r="C471" s="392" t="n">
        <f aca="false">SUMIFS(報告入力!$AZ$7:$AZ$696,報告入力!$A$7:$A$696,$S$457,報告入力!$B$7:$B$696,$A471)</f>
        <v>3975</v>
      </c>
      <c r="D471" s="240" t="n">
        <f aca="false">SUMIFS(報告入力!$BA$7:$BA$696,報告入力!$A$7:$A$696,$S$457,報告入力!$B$7:$B$696,$A471)</f>
        <v>70490</v>
      </c>
      <c r="E471" s="238" t="n">
        <f aca="false">SUMIFS(報告入力!$BB$7:$BB$696,報告入力!$A$7:$A$696,$S$457,報告入力!$B$7:$B$696,$A471)</f>
        <v>3975</v>
      </c>
      <c r="F471" s="393" t="n">
        <f aca="false">SUMIFS(報告入力!$BC$7:$BC$696,報告入力!$A$7:$A$696,$S$457,報告入力!$B$7:$B$696,$A471)</f>
        <v>49</v>
      </c>
      <c r="G471" s="391" t="n">
        <f aca="false">SUM(B471:F471)</f>
        <v>126984</v>
      </c>
      <c r="H471" s="394" t="n">
        <f aca="false">SUMIFS(報告入力!$BD$7:$BD$696,報告入力!$A$7:$A$696,$S$457,報告入力!$B$7:$B$696,$A471)</f>
        <v>29155</v>
      </c>
      <c r="I471" s="395" t="n">
        <f aca="false">SUMIFS(報告入力!$BE$7:$BE$696,報告入力!$A$7:$A$696,$S$457,報告入力!$B$7:$B$696,$A471)</f>
        <v>29669</v>
      </c>
      <c r="J471" s="160" t="n">
        <f aca="false">SUM(H471:I471)</f>
        <v>58824</v>
      </c>
      <c r="K471" s="287" t="n">
        <f aca="false">SUMIFS(報告入力!$BF$7:$BF$696,報告入力!$A$7:$A$696,$S$457,報告入力!$B$7:$B$696,$A471)</f>
        <v>4187</v>
      </c>
      <c r="L471" s="208" t="n">
        <f aca="false">SUMIFS(報告入力!$BG$7:$BG$696,報告入力!$A$7:$A$696,$S$457,報告入力!$B$7:$B$696,$A471)</f>
        <v>4187</v>
      </c>
      <c r="M471" s="160" t="n">
        <f aca="false">SUM(K471:L471)</f>
        <v>8374</v>
      </c>
      <c r="N471" s="287" t="n">
        <f aca="false">SUMIFS(報告入力!$BH$7:$BH$696,報告入力!$A$7:$A$696,$S$457,報告入力!$B$7:$B$696,$A471)</f>
        <v>1</v>
      </c>
      <c r="O471" s="208" t="n">
        <f aca="false">SUMIFS(報告入力!$BI$7:$BI$696,報告入力!$A$7:$A$696,$S$457,報告入力!$B$7:$B$696,$A471)</f>
        <v>1</v>
      </c>
      <c r="P471" s="160" t="n">
        <f aca="false">SUM(N471:O471)</f>
        <v>2</v>
      </c>
      <c r="Q471" s="135" t="str">
        <f aca="false">IF(P406=P471,"〇","×")</f>
        <v>×</v>
      </c>
      <c r="R471" s="135" t="str">
        <f aca="false">IFERROR(INDEX(報告入力!$C$7:$C$696,MATCH($S$457&amp;"|"&amp;$A471,報告入力!$CM$7:$CM$696,0)),"")</f>
        <v>未受領</v>
      </c>
    </row>
    <row r="472" s="162" customFormat="true" ht="19.5" hidden="false" customHeight="true" outlineLevel="0" collapsed="false">
      <c r="A472" s="151" t="s">
        <v>179</v>
      </c>
      <c r="B472" s="152" t="n">
        <f aca="false">SUMIFS(報告入力!$AY$7:$AY$696,報告入力!$A$7:$A$696,$S$457,報告入力!$B$7:$B$696,$A472)</f>
        <v>0</v>
      </c>
      <c r="C472" s="153" t="n">
        <f aca="false">SUMIFS(報告入力!$AZ$7:$AZ$696,報告入力!$A$7:$A$696,$S$457,報告入力!$B$7:$B$696,$A472)</f>
        <v>0</v>
      </c>
      <c r="D472" s="154"/>
      <c r="E472" s="155"/>
      <c r="F472" s="156" t="n">
        <f aca="false">SUMIFS(報告入力!$BC$7:$BC$696,報告入力!$A$7:$A$696,$S$457,報告入力!$B$7:$B$696,$A472)</f>
        <v>0</v>
      </c>
      <c r="G472" s="157" t="n">
        <f aca="false">SUM(B472:F472)</f>
        <v>0</v>
      </c>
      <c r="H472" s="207" t="n">
        <f aca="false">SUMIFS(報告入力!$BD$7:$BD$696,報告入力!$A$7:$A$696,$S$457,報告入力!$B$7:$B$696,$A472)</f>
        <v>264840</v>
      </c>
      <c r="I472" s="208" t="n">
        <f aca="false">SUMIFS(報告入力!$BE$7:$BE$696,報告入力!$A$7:$A$696,$S$457,報告入力!$B$7:$B$696,$A472)</f>
        <v>257493</v>
      </c>
      <c r="J472" s="160" t="n">
        <f aca="false">SUM(H472:I472)</f>
        <v>522333</v>
      </c>
      <c r="K472" s="287" t="n">
        <f aca="false">SUMIFS(報告入力!$BF$7:$BF$696,報告入力!$A$7:$A$696,$S$457,報告入力!$B$7:$B$696,$A472)</f>
        <v>8068</v>
      </c>
      <c r="L472" s="208" t="n">
        <f aca="false">SUMIFS(報告入力!$BG$7:$BG$696,報告入力!$A$7:$A$696,$S$457,報告入力!$B$7:$B$696,$A472)</f>
        <v>8068</v>
      </c>
      <c r="M472" s="160" t="n">
        <f aca="false">SUM(K472:L472)</f>
        <v>16136</v>
      </c>
      <c r="N472" s="287" t="n">
        <f aca="false">SUMIFS(報告入力!$BH$7:$BH$696,報告入力!$A$7:$A$696,$S$457,報告入力!$B$7:$B$696,$A472)</f>
        <v>1</v>
      </c>
      <c r="O472" s="208" t="n">
        <f aca="false">SUMIFS(報告入力!$BI$7:$BI$696,報告入力!$A$7:$A$696,$S$457,報告入力!$B$7:$B$696,$A472)</f>
        <v>1</v>
      </c>
      <c r="P472" s="160" t="n">
        <f aca="false">SUM(N472:O472)</f>
        <v>2</v>
      </c>
      <c r="Q472" s="162" t="str">
        <f aca="false">IF(P407=P472,"〇","×")</f>
        <v>×</v>
      </c>
      <c r="R472" s="162" t="str">
        <f aca="false">IFERROR(INDEX(報告入力!$C$7:$C$696,MATCH($S$457&amp;"|"&amp;$A472,報告入力!$CM$7:$CM$696,0)),"")</f>
        <v>未受領</v>
      </c>
    </row>
    <row r="473" s="162" customFormat="true" ht="19.5" hidden="false" customHeight="true" outlineLevel="0" collapsed="false">
      <c r="A473" s="163" t="s">
        <v>496</v>
      </c>
      <c r="B473" s="164"/>
      <c r="C473" s="165"/>
      <c r="D473" s="164"/>
      <c r="E473" s="166"/>
      <c r="F473" s="167"/>
      <c r="G473" s="168"/>
      <c r="H473" s="169"/>
      <c r="I473" s="170"/>
      <c r="J473" s="171"/>
      <c r="K473" s="172"/>
      <c r="L473" s="173"/>
      <c r="M473" s="173"/>
      <c r="N473" s="172"/>
      <c r="O473" s="173"/>
      <c r="P473" s="173"/>
      <c r="Q473" s="162" t="str">
        <f aca="false">IF(P408=P473,"〇","×")</f>
        <v>〇</v>
      </c>
    </row>
    <row r="474" s="162" customFormat="true" ht="19.5" hidden="false" customHeight="true" outlineLevel="0" collapsed="false">
      <c r="A474" s="174" t="s">
        <v>496</v>
      </c>
      <c r="B474" s="175"/>
      <c r="C474" s="176"/>
      <c r="D474" s="175"/>
      <c r="E474" s="177"/>
      <c r="F474" s="178"/>
      <c r="G474" s="179"/>
      <c r="H474" s="180"/>
      <c r="I474" s="177"/>
      <c r="J474" s="181"/>
      <c r="K474" s="182"/>
      <c r="L474" s="183"/>
      <c r="M474" s="183"/>
      <c r="N474" s="182"/>
      <c r="O474" s="183"/>
      <c r="P474" s="183"/>
      <c r="Q474" s="162" t="str">
        <f aca="false">IF(P409=P474,"〇","×")</f>
        <v>〇</v>
      </c>
    </row>
    <row r="475" s="162" customFormat="true" ht="12" hidden="false" customHeight="true" outlineLevel="0" collapsed="false">
      <c r="A475" s="174" t="s">
        <v>496</v>
      </c>
      <c r="B475" s="164"/>
      <c r="C475" s="165"/>
      <c r="D475" s="164"/>
      <c r="E475" s="166"/>
      <c r="F475" s="167"/>
      <c r="G475" s="168"/>
      <c r="H475" s="184"/>
      <c r="I475" s="166"/>
      <c r="J475" s="171"/>
      <c r="K475" s="185"/>
      <c r="L475" s="186"/>
      <c r="M475" s="186"/>
      <c r="N475" s="185"/>
      <c r="O475" s="186"/>
      <c r="P475" s="186"/>
      <c r="Q475" s="162" t="str">
        <f aca="false">IF(P410=P475,"〇","×")</f>
        <v>〇</v>
      </c>
    </row>
    <row r="476" s="162" customFormat="true" ht="19.5" hidden="false" customHeight="true" outlineLevel="0" collapsed="false">
      <c r="A476" s="187" t="s">
        <v>496</v>
      </c>
      <c r="B476" s="188"/>
      <c r="C476" s="189"/>
      <c r="D476" s="188"/>
      <c r="E476" s="190"/>
      <c r="F476" s="191"/>
      <c r="G476" s="192"/>
      <c r="H476" s="180"/>
      <c r="I476" s="193"/>
      <c r="J476" s="194"/>
      <c r="K476" s="182"/>
      <c r="L476" s="183"/>
      <c r="M476" s="195"/>
      <c r="N476" s="182"/>
      <c r="O476" s="183"/>
      <c r="P476" s="195"/>
      <c r="Q476" s="162" t="str">
        <f aca="false">IF(P411=P476,"〇","×")</f>
        <v>〇</v>
      </c>
    </row>
    <row r="477" s="162" customFormat="true" ht="19.5" hidden="false" customHeight="true" outlineLevel="0" collapsed="false">
      <c r="A477" s="196" t="s">
        <v>497</v>
      </c>
      <c r="B477" s="197" t="n">
        <f aca="false">SUM(B461:B476)</f>
        <v>355297978</v>
      </c>
      <c r="C477" s="198" t="n">
        <f aca="false">SUM(C461:C476)</f>
        <v>29121961</v>
      </c>
      <c r="D477" s="197" t="n">
        <f aca="false">SUM(D461:D476)</f>
        <v>516884534</v>
      </c>
      <c r="E477" s="199" t="n">
        <f aca="false">SUM(E461:E476)</f>
        <v>28588517</v>
      </c>
      <c r="F477" s="200" t="n">
        <f aca="false">SUM(F461:F476)</f>
        <v>370707</v>
      </c>
      <c r="G477" s="201" t="n">
        <f aca="false">SUM(B477:F477)</f>
        <v>930263697</v>
      </c>
      <c r="H477" s="198" t="n">
        <f aca="false">SUM(H461:H476)</f>
        <v>266981833</v>
      </c>
      <c r="I477" s="198" t="n">
        <f aca="false">SUM(I461:I476)</f>
        <v>267894581</v>
      </c>
      <c r="J477" s="200" t="n">
        <f aca="false">SUM(H477:I477)</f>
        <v>534876414</v>
      </c>
      <c r="K477" s="197" t="n">
        <f aca="false">SUM(K461:K476)</f>
        <v>23172270</v>
      </c>
      <c r="L477" s="198" t="n">
        <f aca="false">SUM(L461:L476)</f>
        <v>22725391</v>
      </c>
      <c r="M477" s="200" t="n">
        <f aca="false">SUM(K477:L477)</f>
        <v>45897661</v>
      </c>
      <c r="N477" s="197" t="n">
        <f aca="false">SUM(N461:N476)</f>
        <v>12</v>
      </c>
      <c r="O477" s="198" t="n">
        <f aca="false">SUM(O461:O476)</f>
        <v>12</v>
      </c>
      <c r="P477" s="200" t="n">
        <f aca="false">SUM(N477:O477)</f>
        <v>24</v>
      </c>
      <c r="Q477" s="162" t="str">
        <f aca="false">IF(P412=P477,"〇","×")</f>
        <v>×</v>
      </c>
    </row>
    <row r="478" s="135" customFormat="true" ht="20.1" hidden="false" customHeight="true" outlineLevel="0" collapsed="false">
      <c r="A478" s="202" t="s">
        <v>180</v>
      </c>
      <c r="B478" s="324"/>
      <c r="C478" s="325"/>
      <c r="D478" s="363"/>
      <c r="E478" s="334"/>
      <c r="F478" s="333"/>
      <c r="G478" s="327" t="n">
        <f aca="false">SUM(B478:F478)</f>
        <v>0</v>
      </c>
      <c r="H478" s="328"/>
      <c r="I478" s="329"/>
      <c r="J478" s="330" t="n">
        <f aca="false">SUM(H478:I478)</f>
        <v>0</v>
      </c>
      <c r="K478" s="328"/>
      <c r="L478" s="329"/>
      <c r="M478" s="330" t="n">
        <f aca="false">SUM(K478:L478)</f>
        <v>0</v>
      </c>
      <c r="N478" s="328"/>
      <c r="O478" s="329"/>
      <c r="P478" s="330" t="n">
        <f aca="false">SUM(N478:O478)</f>
        <v>0</v>
      </c>
      <c r="Q478" s="135" t="str">
        <f aca="false">IF(P413=P478,"〇","×")</f>
        <v>〇</v>
      </c>
      <c r="R478" s="135" t="str">
        <f aca="false">IFERROR(INDEX(報告入力!$C$7:$C$696,MATCH($S$457&amp;"|"&amp;$A478,報告入力!$CM$7:$CM$696,0)),"")</f>
        <v>報告なし</v>
      </c>
    </row>
    <row r="479" s="135" customFormat="true" ht="20.25" hidden="false" customHeight="true" outlineLevel="0" collapsed="false">
      <c r="A479" s="125" t="s">
        <v>182</v>
      </c>
      <c r="B479" s="240" t="n">
        <f aca="false">SUMIFS(報告入力!$AY$7:$AY$696,報告入力!$A$7:$A$696,$S$457,報告入力!$B$7:$B$696,$A479)</f>
        <v>0</v>
      </c>
      <c r="C479" s="237" t="n">
        <f aca="false">SUMIFS(報告入力!$AZ$7:$AZ$696,報告入力!$A$7:$A$696,$S$457,報告入力!$B$7:$B$696,$A479)</f>
        <v>0</v>
      </c>
      <c r="D479" s="203" t="n">
        <f aca="false">SUMIFS(報告入力!$BA$7:$BA$696,報告入力!$A$7:$A$696,$S$457,報告入力!$B$7:$B$696,$A479)</f>
        <v>695400</v>
      </c>
      <c r="E479" s="207" t="n">
        <f aca="false">SUMIFS(報告入力!$BB$7:$BB$696,報告入力!$A$7:$A$696,$S$457,報告入力!$B$7:$B$696,$A479)</f>
        <v>57000</v>
      </c>
      <c r="F479" s="237" t="n">
        <f aca="false">SUMIFS(報告入力!$BC$7:$BC$696,報告入力!$A$7:$A$696,$S$457,報告入力!$B$7:$B$696,$A479)</f>
        <v>713</v>
      </c>
      <c r="G479" s="206" t="n">
        <f aca="false">SUM(B479:F479)</f>
        <v>753113</v>
      </c>
      <c r="H479" s="207" t="n">
        <f aca="false">SUMIFS(報告入力!$BD$7:$BD$696,報告入力!$A$7:$A$696,$S$457,報告入力!$B$7:$B$696,$A479)</f>
        <v>0</v>
      </c>
      <c r="I479" s="239" t="n">
        <f aca="false">SUMIFS(報告入力!$BE$7:$BE$696,報告入力!$A$7:$A$696,$S$457,報告入力!$B$7:$B$696,$A479)</f>
        <v>420489</v>
      </c>
      <c r="J479" s="206" t="n">
        <f aca="false">SUM(H479:I479)</f>
        <v>420489</v>
      </c>
      <c r="K479" s="207" t="n">
        <f aca="false">SUMIFS(報告入力!$BF$7:$BF$696,報告入力!$A$7:$A$696,$S$457,報告入力!$B$7:$B$696,$A479)</f>
        <v>0</v>
      </c>
      <c r="L479" s="239" t="n">
        <f aca="false">SUMIFS(報告入力!$BG$7:$BG$696,報告入力!$A$7:$A$696,$S$457,報告入力!$B$7:$B$696,$A479)</f>
        <v>51903</v>
      </c>
      <c r="M479" s="206" t="n">
        <f aca="false">SUM(K479:L479)</f>
        <v>51903</v>
      </c>
      <c r="N479" s="207" t="n">
        <f aca="false">SUMIFS(報告入力!$BH$7:$BH$696,報告入力!$A$7:$A$696,$S$457,報告入力!$B$7:$B$696,$A479)</f>
        <v>0</v>
      </c>
      <c r="O479" s="239" t="n">
        <f aca="false">SUMIFS(報告入力!$BI$7:$BI$696,報告入力!$A$7:$A$696,$S$457,報告入力!$B$7:$B$696,$A479)</f>
        <v>1</v>
      </c>
      <c r="P479" s="206" t="n">
        <f aca="false">SUM(N479:O479)</f>
        <v>1</v>
      </c>
      <c r="Q479" s="135" t="str">
        <f aca="false">IF(P414=P479,"〇","×")</f>
        <v>×</v>
      </c>
      <c r="R479" s="135" t="str">
        <f aca="false">IFERROR(INDEX(報告入力!$C$7:$C$696,MATCH($S$457&amp;"|"&amp;$A479,報告入力!$CM$7:$CM$696,0)),"")</f>
        <v>未受領</v>
      </c>
    </row>
    <row r="480" s="135" customFormat="true" ht="20.1" hidden="false" customHeight="true" outlineLevel="0" collapsed="false">
      <c r="A480" s="125" t="s">
        <v>183</v>
      </c>
      <c r="B480" s="211"/>
      <c r="C480" s="212"/>
      <c r="D480" s="240" t="n">
        <f aca="false">SUMIFS(報告入力!$BA$7:$BA$696,報告入力!$A$7:$A$696,$S$457,報告入力!$B$7:$B$696,$A480)</f>
        <v>1881240</v>
      </c>
      <c r="E480" s="207" t="n">
        <f aca="false">SUMIFS(報告入力!$BB$7:$BB$696,報告入力!$A$7:$A$696,$S$457,報告入力!$B$7:$B$696,$A480)</f>
        <v>154200</v>
      </c>
      <c r="F480" s="237" t="n">
        <f aca="false">SUMIFS(報告入力!$BC$7:$BC$696,報告入力!$A$7:$A$696,$S$457,報告入力!$B$7:$B$696,$A480)</f>
        <v>1960</v>
      </c>
      <c r="G480" s="206" t="n">
        <f aca="false">SUM(B480:F480)</f>
        <v>2037400</v>
      </c>
      <c r="H480" s="213"/>
      <c r="I480" s="208" t="n">
        <f aca="false">SUMIFS(報告入力!$BE$7:$BE$696,報告入力!$A$7:$A$696,$S$457,報告入力!$B$7:$B$696,$A480)</f>
        <v>1271974</v>
      </c>
      <c r="J480" s="160" t="n">
        <f aca="false">SUM(H480:I480)</f>
        <v>1271974</v>
      </c>
      <c r="K480" s="213"/>
      <c r="L480" s="208" t="n">
        <f aca="false">SUMIFS(報告入力!$BG$7:$BG$696,報告入力!$A$7:$A$696,$S$457,報告入力!$B$7:$B$696,$A480)</f>
        <v>141252</v>
      </c>
      <c r="M480" s="160" t="n">
        <f aca="false">SUM(K480:L480)</f>
        <v>141252</v>
      </c>
      <c r="N480" s="213"/>
      <c r="O480" s="208" t="n">
        <f aca="false">SUMIFS(報告入力!$BI$7:$BI$696,報告入力!$A$7:$A$696,$S$457,報告入力!$B$7:$B$696,$A480)</f>
        <v>1</v>
      </c>
      <c r="P480" s="160" t="n">
        <f aca="false">SUM(N480:O480)</f>
        <v>1</v>
      </c>
      <c r="Q480" s="135" t="str">
        <f aca="false">IF(P415=P480,"〇","×")</f>
        <v>×</v>
      </c>
      <c r="R480" s="135" t="str">
        <f aca="false">IFERROR(INDEX(報告入力!$C$7:$C$696,MATCH($S$457&amp;"|"&amp;$A480,報告入力!$CM$7:$CM$696,0)),"")</f>
        <v>未受領</v>
      </c>
    </row>
    <row r="481" s="135" customFormat="true" ht="19.5" hidden="false" customHeight="true" outlineLevel="0" collapsed="false">
      <c r="A481" s="125" t="s">
        <v>184</v>
      </c>
      <c r="B481" s="211"/>
      <c r="C481" s="212"/>
      <c r="D481" s="240" t="n">
        <f aca="false">SUMIFS(報告入力!$BA$7:$BA$696,報告入力!$A$7:$A$696,$S$457,報告入力!$B$7:$B$696,$A481)</f>
        <v>48495</v>
      </c>
      <c r="E481" s="207" t="n">
        <f aca="false">SUMIFS(報告入力!$BB$7:$BB$696,報告入力!$A$7:$A$696,$S$457,報告入力!$B$7:$B$696,$A481)</f>
        <v>3975</v>
      </c>
      <c r="F481" s="237" t="n">
        <f aca="false">SUMIFS(報告入力!$BC$7:$BC$696,報告入力!$A$7:$A$696,$S$457,報告入力!$B$7:$B$696,$A481)</f>
        <v>49</v>
      </c>
      <c r="G481" s="206" t="n">
        <f aca="false">SUM(B481:F481)</f>
        <v>52519</v>
      </c>
      <c r="H481" s="213"/>
      <c r="I481" s="208" t="n">
        <f aca="false">SUMIFS(報告入力!$BE$7:$BE$696,報告入力!$A$7:$A$696,$S$457,報告入力!$B$7:$B$696,$A481)</f>
        <v>29208</v>
      </c>
      <c r="J481" s="160" t="n">
        <f aca="false">SUM(H481:I481)</f>
        <v>29208</v>
      </c>
      <c r="K481" s="213"/>
      <c r="L481" s="208" t="n">
        <f aca="false">SUMIFS(報告入力!$BG$7:$BG$696,報告入力!$A$7:$A$696,$S$457,報告入力!$B$7:$B$696,$A481)</f>
        <v>4187</v>
      </c>
      <c r="M481" s="160" t="n">
        <f aca="false">SUM(K481:L481)</f>
        <v>4187</v>
      </c>
      <c r="N481" s="213"/>
      <c r="O481" s="208" t="n">
        <f aca="false">SUMIFS(報告入力!$BI$7:$BI$696,報告入力!$A$7:$A$696,$S$457,報告入力!$B$7:$B$696,$A481)</f>
        <v>1</v>
      </c>
      <c r="P481" s="160" t="n">
        <f aca="false">SUM(N481:O481)</f>
        <v>1</v>
      </c>
      <c r="Q481" s="135" t="str">
        <f aca="false">IF(P416=P481,"〇","×")</f>
        <v>×</v>
      </c>
      <c r="R481" s="135" t="str">
        <f aca="false">IFERROR(INDEX(報告入力!$C$7:$C$696,MATCH($S$457&amp;"|"&amp;$A481,報告入力!$CM$7:$CM$696,0)),"")</f>
        <v>未受領</v>
      </c>
    </row>
    <row r="482" s="135" customFormat="true" ht="20.1" hidden="false" customHeight="true" outlineLevel="0" collapsed="false">
      <c r="A482" s="214" t="s">
        <v>185</v>
      </c>
      <c r="B482" s="211"/>
      <c r="C482" s="212"/>
      <c r="D482" s="387" t="n">
        <f aca="false">SUMIFS(報告入力!$BA$7:$BA$696,報告入力!$A$7:$A$696,$S$457,報告入力!$B$7:$B$696,$A482)</f>
        <v>425475</v>
      </c>
      <c r="E482" s="207" t="n">
        <f aca="false">SUMIFS(報告入力!$BB$7:$BB$696,報告入力!$A$7:$A$696,$S$457,報告入力!$B$7:$B$696,$A482)</f>
        <v>34875</v>
      </c>
      <c r="F482" s="237" t="n">
        <f aca="false">SUMIFS(報告入力!$BC$7:$BC$696,報告入力!$A$7:$A$696,$S$457,報告入力!$B$7:$B$696,$A482)</f>
        <v>435</v>
      </c>
      <c r="G482" s="206" t="n">
        <f aca="false">SUM(B482:F482)</f>
        <v>460785</v>
      </c>
      <c r="H482" s="213"/>
      <c r="I482" s="208" t="n">
        <f aca="false">SUMIFS(報告入力!$BE$7:$BE$696,報告入力!$A$7:$A$696,$S$457,報告入力!$B$7:$B$696,$A482)</f>
        <v>256260</v>
      </c>
      <c r="J482" s="160" t="n">
        <f aca="false">SUM(H482:I482)</f>
        <v>256260</v>
      </c>
      <c r="K482" s="213"/>
      <c r="L482" s="208" t="n">
        <f aca="false">SUMIFS(報告入力!$BG$7:$BG$696,報告入力!$A$7:$A$696,$S$457,報告入力!$B$7:$B$696,$A482)</f>
        <v>34207</v>
      </c>
      <c r="M482" s="160" t="n">
        <f aca="false">SUM(K482:L482)</f>
        <v>34207</v>
      </c>
      <c r="N482" s="213"/>
      <c r="O482" s="208" t="n">
        <f aca="false">SUMIFS(報告入力!$BI$7:$BI$696,報告入力!$A$7:$A$696,$S$457,報告入力!$B$7:$B$696,$A482)</f>
        <v>1</v>
      </c>
      <c r="P482" s="160" t="n">
        <f aca="false">SUM(N482:O482)</f>
        <v>1</v>
      </c>
      <c r="Q482" s="135" t="str">
        <f aca="false">IF(P417=P482,"〇","×")</f>
        <v>×</v>
      </c>
      <c r="R482" s="135" t="str">
        <f aca="false">IFERROR(INDEX(報告入力!$C$7:$C$696,MATCH($S$457&amp;"|"&amp;$A482,報告入力!$CM$7:$CM$696,0)),"")</f>
        <v>未受領</v>
      </c>
    </row>
    <row r="483" s="135" customFormat="true" ht="20.1" hidden="false" customHeight="true" outlineLevel="0" collapsed="false">
      <c r="A483" s="146" t="s">
        <v>186</v>
      </c>
      <c r="B483" s="211"/>
      <c r="C483" s="216"/>
      <c r="D483" s="203" t="n">
        <f aca="false">SUMIFS(報告入力!$BA$7:$BA$696,報告入力!$A$7:$A$696,$S$457,報告入力!$B$7:$B$696,$A483)</f>
        <v>86010</v>
      </c>
      <c r="E483" s="207" t="n">
        <f aca="false">SUMIFS(報告入力!$BB$7:$BB$696,報告入力!$A$7:$A$696,$S$457,報告入力!$B$7:$B$696,$A483)</f>
        <v>7050</v>
      </c>
      <c r="F483" s="237" t="n">
        <f aca="false">SUMIFS(報告入力!$BC$7:$BC$696,報告入力!$A$7:$A$696,$S$457,報告入力!$B$7:$B$696,$A483)</f>
        <v>88</v>
      </c>
      <c r="G483" s="206" t="n">
        <f aca="false">SUM(B483:F483)</f>
        <v>93148</v>
      </c>
      <c r="H483" s="213"/>
      <c r="I483" s="239" t="n">
        <f aca="false">SUMIFS(報告入力!$BE$7:$BE$696,報告入力!$A$7:$A$696,$S$457,報告入力!$B$7:$B$696,$A483)</f>
        <v>51803</v>
      </c>
      <c r="J483" s="206" t="n">
        <f aca="false">SUM(H483:I483)</f>
        <v>51803</v>
      </c>
      <c r="K483" s="213"/>
      <c r="L483" s="239" t="n">
        <f aca="false">SUMIFS(報告入力!$BG$7:$BG$696,報告入力!$A$7:$A$696,$S$457,報告入力!$B$7:$B$696,$A483)</f>
        <v>7426</v>
      </c>
      <c r="M483" s="206" t="n">
        <f aca="false">SUM(K483:L483)</f>
        <v>7426</v>
      </c>
      <c r="N483" s="213"/>
      <c r="O483" s="239" t="n">
        <f aca="false">SUMIFS(報告入力!$BI$7:$BI$696,報告入力!$A$7:$A$696,$S$457,報告入力!$B$7:$B$696,$A483)</f>
        <v>1</v>
      </c>
      <c r="P483" s="206" t="n">
        <f aca="false">SUM(N483:O483)</f>
        <v>1</v>
      </c>
      <c r="Q483" s="135" t="str">
        <f aca="false">IF(P418=P483,"〇","×")</f>
        <v>×</v>
      </c>
      <c r="R483" s="135" t="str">
        <f aca="false">IFERROR(INDEX(報告入力!$C$7:$C$696,MATCH($S$457&amp;"|"&amp;$A483,報告入力!$CM$7:$CM$696,0)),"")</f>
        <v>未受領</v>
      </c>
    </row>
    <row r="484" s="135" customFormat="true" ht="19.5" hidden="false" customHeight="true" outlineLevel="0" collapsed="false">
      <c r="A484" s="146" t="s">
        <v>187</v>
      </c>
      <c r="B484" s="211"/>
      <c r="C484" s="216"/>
      <c r="D484" s="240" t="n">
        <f aca="false">SUMIFS(報告入力!$BA$7:$BA$696,報告入力!$A$7:$A$696,$S$457,報告入力!$B$7:$B$696,$A484)</f>
        <v>48495</v>
      </c>
      <c r="E484" s="207" t="n">
        <f aca="false">SUMIFS(報告入力!$BB$7:$BB$696,報告入力!$A$7:$A$696,$S$457,報告入力!$B$7:$B$696,$A484)</f>
        <v>3975</v>
      </c>
      <c r="F484" s="237" t="n">
        <f aca="false">SUMIFS(報告入力!$BC$7:$BC$696,報告入力!$A$7:$A$696,$S$457,報告入力!$B$7:$B$696,$A484)</f>
        <v>49</v>
      </c>
      <c r="G484" s="206" t="n">
        <f aca="false">SUM(B484:F484)</f>
        <v>52519</v>
      </c>
      <c r="H484" s="213"/>
      <c r="I484" s="208" t="n">
        <f aca="false">SUMIFS(報告入力!$BE$7:$BE$696,報告入力!$A$7:$A$696,$S$457,報告入力!$B$7:$B$696,$A484)</f>
        <v>29208</v>
      </c>
      <c r="J484" s="160" t="n">
        <f aca="false">SUM(H484:I484)</f>
        <v>29208</v>
      </c>
      <c r="K484" s="213"/>
      <c r="L484" s="208" t="n">
        <f aca="false">SUMIFS(報告入力!$BG$7:$BG$696,報告入力!$A$7:$A$696,$S$457,報告入力!$B$7:$B$696,$A484)</f>
        <v>4187</v>
      </c>
      <c r="M484" s="160" t="n">
        <f aca="false">SUM(K484:L484)</f>
        <v>4187</v>
      </c>
      <c r="N484" s="213"/>
      <c r="O484" s="208" t="n">
        <f aca="false">SUMIFS(報告入力!$BI$7:$BI$696,報告入力!$A$7:$A$696,$S$457,報告入力!$B$7:$B$696,$A484)</f>
        <v>1</v>
      </c>
      <c r="P484" s="160" t="n">
        <f aca="false">SUM(N484:O484)</f>
        <v>1</v>
      </c>
      <c r="Q484" s="135" t="str">
        <f aca="false">IF(P419=P484,"〇","×")</f>
        <v>×</v>
      </c>
      <c r="R484" s="135" t="str">
        <f aca="false">IFERROR(INDEX(報告入力!$C$7:$C$696,MATCH($S$457&amp;"|"&amp;$A484,報告入力!$CM$7:$CM$696,0)),"")</f>
        <v>未受領</v>
      </c>
    </row>
    <row r="485" s="135" customFormat="true" ht="20.1" hidden="false" customHeight="true" outlineLevel="0" collapsed="false">
      <c r="A485" s="217" t="s">
        <v>188</v>
      </c>
      <c r="B485" s="211"/>
      <c r="C485" s="218"/>
      <c r="D485" s="203" t="n">
        <f aca="false">SUMIFS(報告入力!$BA$7:$BA$696,報告入力!$A$7:$A$696,$S$457,報告入力!$B$7:$B$696,$A485)</f>
        <v>124440</v>
      </c>
      <c r="E485" s="207" t="n">
        <f aca="false">SUMIFS(報告入力!$BB$7:$BB$696,報告入力!$A$7:$A$696,$S$457,報告入力!$B$7:$B$696,$A485)</f>
        <v>10200</v>
      </c>
      <c r="F485" s="237" t="n">
        <f aca="false">SUMIFS(報告入力!$BC$7:$BC$696,報告入力!$A$7:$A$696,$S$457,報告入力!$B$7:$B$696,$A485)</f>
        <v>127</v>
      </c>
      <c r="G485" s="206" t="n">
        <f aca="false">SUM(B485:F485)</f>
        <v>134767</v>
      </c>
      <c r="H485" s="213"/>
      <c r="I485" s="208" t="n">
        <f aca="false">SUMIFS(報告入力!$BE$7:$BE$696,報告入力!$A$7:$A$696,$S$457,報告入力!$B$7:$B$696,$A485)</f>
        <v>74949</v>
      </c>
      <c r="J485" s="160" t="n">
        <f aca="false">SUM(H485:I485)</f>
        <v>74949</v>
      </c>
      <c r="K485" s="213"/>
      <c r="L485" s="208" t="n">
        <f aca="false">SUMIFS(報告入力!$BG$7:$BG$696,報告入力!$A$7:$A$696,$S$457,報告入力!$B$7:$B$696,$A485)</f>
        <v>7031</v>
      </c>
      <c r="M485" s="160" t="n">
        <f aca="false">SUM(K485:L485)</f>
        <v>7031</v>
      </c>
      <c r="N485" s="213"/>
      <c r="O485" s="208" t="n">
        <f aca="false">SUMIFS(報告入力!$BI$7:$BI$696,報告入力!$A$7:$A$696,$S$457,報告入力!$B$7:$B$696,$A485)</f>
        <v>1</v>
      </c>
      <c r="P485" s="160" t="n">
        <f aca="false">SUM(N485:O485)</f>
        <v>1</v>
      </c>
      <c r="Q485" s="135" t="str">
        <f aca="false">IF(P420=P485,"〇","×")</f>
        <v>×</v>
      </c>
      <c r="R485" s="135" t="str">
        <f aca="false">IFERROR(INDEX(報告入力!$C$7:$C$696,MATCH($S$457&amp;"|"&amp;$A485,報告入力!$CM$7:$CM$696,0)),"")</f>
        <v>未受領</v>
      </c>
    </row>
    <row r="486" s="135" customFormat="true" ht="20.1" hidden="false" customHeight="true" outlineLevel="0" collapsed="false">
      <c r="A486" s="125" t="s">
        <v>189</v>
      </c>
      <c r="B486" s="353" t="n">
        <f aca="false">SUMIFS(報告入力!$AY$7:$AY$696,報告入力!$A$7:$A$696,$S$457,報告入力!$B$7:$B$696,$A486)</f>
        <v>247050</v>
      </c>
      <c r="C486" s="396" t="n">
        <f aca="false">SUMIFS(報告入力!$AZ$7:$AZ$696,報告入力!$A$7:$A$696,$S$457,報告入力!$B$7:$B$696,$A486)</f>
        <v>20250</v>
      </c>
      <c r="D486" s="353" t="n">
        <f aca="false">SUMIFS(報告入力!$BA$7:$BA$696,報告入力!$A$7:$A$696,$S$457,報告入力!$B$7:$B$696,$A486)</f>
        <v>247050</v>
      </c>
      <c r="E486" s="397" t="n">
        <f aca="false">SUMIFS(報告入力!$BB$7:$BB$696,報告入力!$A$7:$A$696,$S$457,報告入力!$B$7:$B$696,$A486)</f>
        <v>20250</v>
      </c>
      <c r="F486" s="398" t="n">
        <f aca="false">SUMIFS(報告入力!$BC$7:$BC$696,報告入力!$A$7:$A$696,$S$457,報告入力!$B$7:$B$696,$A486)</f>
        <v>234</v>
      </c>
      <c r="G486" s="206" t="n">
        <f aca="false">SUM(B486:F486)</f>
        <v>534834</v>
      </c>
      <c r="H486" s="158" t="n">
        <f aca="false">SUMIFS(報告入力!$BD$7:$BD$696,報告入力!$A$7:$A$696,$S$457,報告入力!$B$7:$B$696,$A486)</f>
        <v>140021</v>
      </c>
      <c r="I486" s="397" t="n">
        <f aca="false">SUMIFS(報告入力!$BE$7:$BE$696,報告入力!$A$7:$A$696,$S$457,報告入力!$B$7:$B$696,$A486)</f>
        <v>140157</v>
      </c>
      <c r="J486" s="206" t="n">
        <f aca="false">SUM(H486:I486)</f>
        <v>280178</v>
      </c>
      <c r="K486" s="158" t="n">
        <f aca="false">SUMIFS(報告入力!$BF$7:$BF$696,報告入力!$A$7:$A$696,$S$457,報告入力!$B$7:$B$696,$A486)</f>
        <v>10270</v>
      </c>
      <c r="L486" s="397" t="n">
        <f aca="false">SUMIFS(報告入力!$BG$7:$BG$696,報告入力!$A$7:$A$696,$S$457,報告入力!$B$7:$B$696,$A486)</f>
        <v>10270</v>
      </c>
      <c r="M486" s="206" t="n">
        <f aca="false">SUM(K486:L486)</f>
        <v>20540</v>
      </c>
      <c r="N486" s="158" t="n">
        <f aca="false">SUMIFS(報告入力!$BH$7:$BH$696,報告入力!$A$7:$A$696,$S$457,報告入力!$B$7:$B$696,$A486)</f>
        <v>3104</v>
      </c>
      <c r="O486" s="397" t="n">
        <f aca="false">SUMIFS(報告入力!$BI$7:$BI$696,報告入力!$A$7:$A$696,$S$457,報告入力!$B$7:$B$696,$A486)</f>
        <v>3105</v>
      </c>
      <c r="P486" s="206" t="n">
        <f aca="false">SUM(N486:O486)</f>
        <v>6209</v>
      </c>
      <c r="Q486" s="135" t="str">
        <f aca="false">IF(P421=P486,"〇","×")</f>
        <v>〇</v>
      </c>
      <c r="R486" s="135" t="str">
        <f aca="false">IFERROR(INDEX(報告入力!$C$7:$C$696,MATCH($S$457&amp;"|"&amp;$A486,報告入力!$CM$7:$CM$696,0)),"")</f>
        <v>受領済</v>
      </c>
    </row>
    <row r="487" s="135" customFormat="true" ht="20.1" hidden="false" customHeight="true" outlineLevel="0" collapsed="false">
      <c r="A487" s="219" t="s">
        <v>190</v>
      </c>
      <c r="B487" s="242" t="n">
        <f aca="false">SUMIFS(報告入力!$AY$7:$AY$696,報告入力!$A$7:$A$696,$S$457,報告入力!$B$7:$B$696,$A487)</f>
        <v>43005</v>
      </c>
      <c r="C487" s="396" t="n">
        <f aca="false">SUMIFS(報告入力!$AZ$7:$AZ$696,報告入力!$A$7:$A$696,$S$457,報告入力!$B$7:$B$696,$A487)</f>
        <v>3525</v>
      </c>
      <c r="D487" s="242" t="n">
        <f aca="false">SUMIFS(報告入力!$BA$7:$BA$696,報告入力!$A$7:$A$696,$S$457,報告入力!$B$7:$B$696,$A487)</f>
        <v>43005</v>
      </c>
      <c r="E487" s="158" t="n">
        <f aca="false">SUMIFS(報告入力!$BB$7:$BB$696,報告入力!$A$7:$A$696,$S$457,報告入力!$B$7:$B$696,$A487)</f>
        <v>3525</v>
      </c>
      <c r="F487" s="396" t="n">
        <f aca="false">SUMIFS(報告入力!$BC$7:$BC$696,報告入力!$A$7:$A$696,$S$457,報告入力!$B$7:$B$696,$A487)</f>
        <v>40</v>
      </c>
      <c r="G487" s="391" t="n">
        <f aca="false">SUM(B487:F487)</f>
        <v>93100</v>
      </c>
      <c r="H487" s="158" t="n">
        <f aca="false">SUMIFS(報告入力!$BD$7:$BD$696,報告入力!$A$7:$A$696,$S$457,報告入力!$B$7:$B$696,$A487)</f>
        <v>24374</v>
      </c>
      <c r="I487" s="159" t="n">
        <f aca="false">SUMIFS(報告入力!$BE$7:$BE$696,報告入力!$A$7:$A$696,$S$457,報告入力!$B$7:$B$696,$A487)</f>
        <v>24397</v>
      </c>
      <c r="J487" s="160" t="n">
        <f aca="false">SUM(H487:I487)</f>
        <v>48771</v>
      </c>
      <c r="K487" s="158" t="n">
        <f aca="false">SUMIFS(報告入力!$BF$7:$BF$696,報告入力!$A$7:$A$696,$S$457,報告入力!$B$7:$B$696,$A487)</f>
        <v>0</v>
      </c>
      <c r="L487" s="159" t="n">
        <f aca="false">SUMIFS(報告入力!$BG$7:$BG$696,報告入力!$A$7:$A$696,$S$457,報告入力!$B$7:$B$696,$A487)</f>
        <v>0</v>
      </c>
      <c r="M487" s="160" t="n">
        <f aca="false">SUM(K487:L487)</f>
        <v>0</v>
      </c>
      <c r="N487" s="158" t="n">
        <f aca="false">SUMIFS(報告入力!$BH$7:$BH$696,報告入力!$A$7:$A$696,$S$457,報告入力!$B$7:$B$696,$A487)</f>
        <v>540</v>
      </c>
      <c r="O487" s="159" t="n">
        <f aca="false">SUMIFS(報告入力!$BI$7:$BI$696,報告入力!$A$7:$A$696,$S$457,報告入力!$B$7:$B$696,$A487)</f>
        <v>540</v>
      </c>
      <c r="P487" s="160" t="n">
        <f aca="false">SUM(N487:O487)</f>
        <v>1080</v>
      </c>
      <c r="Q487" s="135" t="str">
        <f aca="false">IF(P422=P487,"〇","×")</f>
        <v>〇</v>
      </c>
      <c r="R487" s="135" t="str">
        <f aca="false">IFERROR(INDEX(報告入力!$C$7:$C$696,MATCH($S$457&amp;"|"&amp;$A487,報告入力!$CM$7:$CM$696,0)),"")</f>
        <v>受領済</v>
      </c>
    </row>
    <row r="488" s="135" customFormat="true" ht="20.1" hidden="false" customHeight="true" outlineLevel="0" collapsed="false">
      <c r="A488" s="222" t="s">
        <v>191</v>
      </c>
      <c r="B488" s="240" t="n">
        <f aca="false">SUMIFS(報告入力!$AY$7:$AY$696,報告入力!$A$7:$A$696,$S$457,報告入力!$B$7:$B$696,$A488)</f>
        <v>102480</v>
      </c>
      <c r="C488" s="237" t="n">
        <f aca="false">SUMIFS(報告入力!$AZ$7:$AZ$696,報告入力!$A$7:$A$696,$S$457,報告入力!$B$7:$B$696,$A488)</f>
        <v>8400</v>
      </c>
      <c r="D488" s="203" t="n">
        <f aca="false">SUMIFS(報告入力!$BA$7:$BA$696,報告入力!$A$7:$A$696,$S$457,報告入力!$B$7:$B$696,$A488)</f>
        <v>102480</v>
      </c>
      <c r="E488" s="207" t="n">
        <f aca="false">SUMIFS(報告入力!$BB$7:$BB$696,報告入力!$A$7:$A$696,$S$457,報告入力!$B$7:$B$696,$A488)</f>
        <v>8400</v>
      </c>
      <c r="F488" s="237" t="n">
        <f aca="false">SUMIFS(報告入力!$BC$7:$BC$696,報告入力!$A$7:$A$696,$S$457,報告入力!$B$7:$B$696,$A488)</f>
        <v>105</v>
      </c>
      <c r="G488" s="206" t="n">
        <f aca="false">SUM(B488:F488)</f>
        <v>221865</v>
      </c>
      <c r="H488" s="207" t="n">
        <f aca="false">SUMIFS(報告入力!$BD$7:$BD$696,報告入力!$A$7:$A$696,$S$457,報告入力!$B$7:$B$696,$A488)</f>
        <v>61610</v>
      </c>
      <c r="I488" s="239" t="n">
        <f aca="false">SUMIFS(報告入力!$BE$7:$BE$696,報告入力!$A$7:$A$696,$S$457,報告入力!$B$7:$B$696,$A488)</f>
        <v>61723</v>
      </c>
      <c r="J488" s="206" t="n">
        <f aca="false">SUM(H488:I488)</f>
        <v>123333</v>
      </c>
      <c r="K488" s="207" t="n">
        <f aca="false">SUMIFS(報告入力!$BF$7:$BF$696,報告入力!$A$7:$A$696,$S$457,報告入力!$B$7:$B$696,$A488)</f>
        <v>4661</v>
      </c>
      <c r="L488" s="239" t="n">
        <f aca="false">SUMIFS(報告入力!$BG$7:$BG$696,報告入力!$A$7:$A$696,$S$457,報告入力!$B$7:$B$696,$A488)</f>
        <v>4661</v>
      </c>
      <c r="M488" s="206" t="n">
        <f aca="false">SUM(K488:L488)</f>
        <v>9322</v>
      </c>
      <c r="N488" s="207" t="n">
        <f aca="false">SUMIFS(報告入力!$BH$7:$BH$696,報告入力!$A$7:$A$696,$S$457,報告入力!$B$7:$B$696,$A488)</f>
        <v>1</v>
      </c>
      <c r="O488" s="239" t="n">
        <f aca="false">SUMIFS(報告入力!$BI$7:$BI$696,報告入力!$A$7:$A$696,$S$457,報告入力!$B$7:$B$696,$A488)</f>
        <v>1</v>
      </c>
      <c r="P488" s="206" t="n">
        <f aca="false">SUM(N488:O488)</f>
        <v>2</v>
      </c>
      <c r="Q488" s="135" t="str">
        <f aca="false">IF(P423=P488,"〇","×")</f>
        <v>×</v>
      </c>
      <c r="R488" s="135" t="str">
        <f aca="false">IFERROR(INDEX(報告入力!$C$7:$C$696,MATCH($S$457&amp;"|"&amp;$A488,報告入力!$CM$7:$CM$696,0)),"")</f>
        <v>未受領</v>
      </c>
    </row>
    <row r="489" s="135" customFormat="true" ht="20.1" hidden="false" customHeight="true" outlineLevel="0" collapsed="false">
      <c r="A489" s="125" t="s">
        <v>192</v>
      </c>
      <c r="B489" s="240" t="n">
        <f aca="false">SUMIFS(報告入力!$AY$7:$AY$696,報告入力!$A$7:$A$696,$S$457,報告入力!$B$7:$B$696,$A489)</f>
        <v>912255</v>
      </c>
      <c r="C489" s="237" t="n">
        <f aca="false">SUMIFS(報告入力!$AZ$7:$AZ$696,報告入力!$A$7:$A$696,$S$457,報告入力!$B$7:$B$696,$A489)</f>
        <v>74775</v>
      </c>
      <c r="D489" s="203" t="n">
        <f aca="false">SUMIFS(報告入力!$BA$7:$BA$696,報告入力!$A$7:$A$696,$S$457,報告入力!$B$7:$B$696,$A489)</f>
        <v>912255</v>
      </c>
      <c r="E489" s="207" t="n">
        <f aca="false">SUMIFS(報告入力!$BB$7:$BB$696,報告入力!$A$7:$A$696,$S$457,報告入力!$B$7:$B$696,$A489)</f>
        <v>74775</v>
      </c>
      <c r="F489" s="237" t="n">
        <f aca="false">SUMIFS(報告入力!$BC$7:$BC$696,報告入力!$A$7:$A$696,$S$457,報告入力!$B$7:$B$696,$A489)</f>
        <v>936</v>
      </c>
      <c r="G489" s="206" t="n">
        <f aca="false">SUM(B489:F489)</f>
        <v>1974996</v>
      </c>
      <c r="H489" s="207" t="n">
        <f aca="false">SUMIFS(報告入力!$BD$7:$BD$696,報告入力!$A$7:$A$696,$S$457,報告入力!$B$7:$B$696,$A489)</f>
        <v>548442</v>
      </c>
      <c r="I489" s="239" t="n">
        <f aca="false">SUMIFS(報告入力!$BE$7:$BE$696,報告入力!$A$7:$A$696,$S$457,報告入力!$B$7:$B$696,$A489)</f>
        <v>549446</v>
      </c>
      <c r="J489" s="206" t="n">
        <f aca="false">SUM(H489:I489)</f>
        <v>1097888</v>
      </c>
      <c r="K489" s="207" t="n">
        <f aca="false">SUMIFS(報告入力!$BF$7:$BF$696,報告入力!$A$7:$A$696,$S$457,報告入力!$B$7:$B$696,$A489)</f>
        <v>50086</v>
      </c>
      <c r="L489" s="239" t="n">
        <f aca="false">SUMIFS(報告入力!$BG$7:$BG$696,報告入力!$A$7:$A$696,$S$457,報告入力!$B$7:$B$696,$A489)</f>
        <v>50086</v>
      </c>
      <c r="M489" s="206" t="n">
        <f aca="false">SUM(K489:L489)</f>
        <v>100172</v>
      </c>
      <c r="N489" s="207" t="n">
        <f aca="false">SUMIFS(報告入力!$BH$7:$BH$696,報告入力!$A$7:$A$696,$S$457,報告入力!$B$7:$B$696,$A489)</f>
        <v>1</v>
      </c>
      <c r="O489" s="239" t="n">
        <f aca="false">SUMIFS(報告入力!$BI$7:$BI$696,報告入力!$A$7:$A$696,$S$457,報告入力!$B$7:$B$696,$A489)</f>
        <v>1</v>
      </c>
      <c r="P489" s="206" t="n">
        <f aca="false">SUM(N489:O489)</f>
        <v>2</v>
      </c>
      <c r="Q489" s="135" t="str">
        <f aca="false">IF(P424=P489,"〇","×")</f>
        <v>×</v>
      </c>
      <c r="R489" s="135" t="str">
        <f aca="false">IFERROR(INDEX(報告入力!$C$7:$C$696,MATCH($S$457&amp;"|"&amp;$A489,報告入力!$CM$7:$CM$696,0)),"")</f>
        <v>未受領</v>
      </c>
    </row>
    <row r="490" s="135" customFormat="true" ht="20.1" hidden="false" customHeight="true" outlineLevel="0" collapsed="false">
      <c r="A490" s="125" t="s">
        <v>193</v>
      </c>
      <c r="B490" s="226"/>
      <c r="C490" s="216"/>
      <c r="D490" s="203" t="n">
        <f aca="false">SUMIFS(報告入力!$BA$7:$BA$696,報告入力!$A$7:$A$696,$S$457,報告入力!$B$7:$B$696,$A490)</f>
        <v>601155</v>
      </c>
      <c r="E490" s="207" t="n">
        <f aca="false">SUMIFS(報告入力!$BB$7:$BB$696,報告入力!$A$7:$A$696,$S$457,報告入力!$B$7:$B$696,$A490)</f>
        <v>49275</v>
      </c>
      <c r="F490" s="237" t="n">
        <f aca="false">SUMIFS(報告入力!$BC$7:$BC$696,報告入力!$A$7:$A$696,$S$457,報告入力!$B$7:$B$696,$A490)</f>
        <v>613</v>
      </c>
      <c r="G490" s="206" t="n">
        <f aca="false">SUM(B490:F490)</f>
        <v>651043</v>
      </c>
      <c r="H490" s="227"/>
      <c r="I490" s="395" t="n">
        <f aca="false">SUMIFS(報告入力!$BE$7:$BE$696,報告入力!$A$7:$A$696,$S$457,報告入力!$B$7:$B$696,$A490)</f>
        <v>362070</v>
      </c>
      <c r="J490" s="160" t="n">
        <f aca="false">SUM(H490:I490)</f>
        <v>362070</v>
      </c>
      <c r="K490" s="213"/>
      <c r="L490" s="395" t="n">
        <f aca="false">SUMIFS(報告入力!$BG$7:$BG$696,報告入力!$A$7:$A$696,$S$457,報告入力!$B$7:$B$696,$A490)</f>
        <v>27255</v>
      </c>
      <c r="M490" s="160" t="n">
        <f aca="false">SUM(K490:L490)</f>
        <v>27255</v>
      </c>
      <c r="N490" s="213"/>
      <c r="O490" s="395" t="n">
        <f aca="false">SUMIFS(報告入力!$BI$7:$BI$696,報告入力!$A$7:$A$696,$S$457,報告入力!$B$7:$B$696,$A490)</f>
        <v>1</v>
      </c>
      <c r="P490" s="160" t="n">
        <f aca="false">SUM(N490:O490)</f>
        <v>1</v>
      </c>
      <c r="Q490" s="135" t="str">
        <f aca="false">IF(P425=P490,"〇","×")</f>
        <v>×</v>
      </c>
      <c r="R490" s="135" t="str">
        <f aca="false">IFERROR(INDEX(報告入力!$C$7:$C$696,MATCH($S$457&amp;"|"&amp;$A490,報告入力!$CM$7:$CM$696,0)),"")</f>
        <v>未受領</v>
      </c>
    </row>
    <row r="491" s="135" customFormat="true" ht="20.1" hidden="false" customHeight="true" outlineLevel="0" collapsed="false">
      <c r="A491" s="228" t="s">
        <v>194</v>
      </c>
      <c r="B491" s="211"/>
      <c r="C491" s="218"/>
      <c r="D491" s="203" t="n">
        <f aca="false">SUMIFS(報告入力!$BA$7:$BA$696,報告入力!$A$7:$A$696,$S$457,報告入力!$B$7:$B$696,$A491)</f>
        <v>1160220</v>
      </c>
      <c r="E491" s="207" t="n">
        <f aca="false">SUMIFS(報告入力!$BB$7:$BB$696,報告入力!$A$7:$A$696,$S$457,報告入力!$B$7:$B$696,$A491)</f>
        <v>95100</v>
      </c>
      <c r="F491" s="393" t="n">
        <f aca="false">SUMIFS(報告入力!$BC$7:$BC$696,報告入力!$A$7:$A$696,$S$457,報告入力!$B$7:$B$696,$A491)</f>
        <v>1185</v>
      </c>
      <c r="G491" s="206" t="n">
        <f aca="false">SUM(B491:F491)</f>
        <v>1256505</v>
      </c>
      <c r="H491" s="213"/>
      <c r="I491" s="395" t="n">
        <f aca="false">SUMIFS(報告入力!$BE$7:$BE$696,報告入力!$A$7:$A$696,$S$457,報告入力!$B$7:$B$696,$A491)</f>
        <v>698790</v>
      </c>
      <c r="J491" s="160" t="n">
        <f aca="false">SUM(H491:I491)</f>
        <v>698790</v>
      </c>
      <c r="K491" s="213"/>
      <c r="L491" s="395" t="n">
        <f aca="false">SUMIFS(報告入力!$BG$7:$BG$696,報告入力!$A$7:$A$696,$S$457,報告入力!$B$7:$B$696,$A491)</f>
        <v>94721</v>
      </c>
      <c r="M491" s="160" t="n">
        <f aca="false">SUM(K491:L491)</f>
        <v>94721</v>
      </c>
      <c r="N491" s="213"/>
      <c r="O491" s="395" t="n">
        <f aca="false">SUMIFS(報告入力!$BI$7:$BI$696,報告入力!$A$7:$A$696,$S$457,報告入力!$B$7:$B$696,$A491)</f>
        <v>1</v>
      </c>
      <c r="P491" s="160" t="n">
        <f aca="false">SUM(N491:O491)</f>
        <v>1</v>
      </c>
      <c r="Q491" s="135" t="str">
        <f aca="false">IF(P426=P491,"〇","×")</f>
        <v>×</v>
      </c>
      <c r="R491" s="135" t="str">
        <f aca="false">IFERROR(INDEX(報告入力!$C$7:$C$696,MATCH($S$457&amp;"|"&amp;$A491,報告入力!$CM$7:$CM$696,0)),"")</f>
        <v>未受領</v>
      </c>
    </row>
    <row r="492" s="135" customFormat="true" ht="20.1" hidden="false" customHeight="true" outlineLevel="0" collapsed="false">
      <c r="A492" s="229" t="s">
        <v>195</v>
      </c>
      <c r="B492" s="211"/>
      <c r="C492" s="218"/>
      <c r="D492" s="203" t="n">
        <f aca="false">SUMIFS(報告入力!$BA$7:$BA$696,報告入力!$A$7:$A$696,$S$457,報告入力!$B$7:$B$696,$A492)</f>
        <v>0</v>
      </c>
      <c r="E492" s="207" t="n">
        <f aca="false">SUMIFS(報告入力!$BB$7:$BB$696,報告入力!$A$7:$A$696,$S$457,報告入力!$B$7:$B$696,$A492)</f>
        <v>0</v>
      </c>
      <c r="F492" s="393" t="n">
        <f aca="false">SUMIFS(報告入力!$BC$7:$BC$696,報告入力!$A$7:$A$696,$S$457,報告入力!$B$7:$B$696,$A492)</f>
        <v>0</v>
      </c>
      <c r="G492" s="206" t="n">
        <f aca="false">SUM(B492:F492)</f>
        <v>0</v>
      </c>
      <c r="H492" s="213"/>
      <c r="I492" s="395" t="n">
        <f aca="false">SUMIFS(報告入力!$BE$7:$BE$696,報告入力!$A$7:$A$696,$S$457,報告入力!$B$7:$B$696,$A492)</f>
        <v>0</v>
      </c>
      <c r="J492" s="160" t="n">
        <f aca="false">SUM(H492:I492)</f>
        <v>0</v>
      </c>
      <c r="K492" s="213"/>
      <c r="L492" s="395" t="n">
        <f aca="false">SUMIFS(報告入力!$BG$7:$BG$696,報告入力!$A$7:$A$696,$S$457,報告入力!$B$7:$B$696,$A492)</f>
        <v>0</v>
      </c>
      <c r="M492" s="160" t="n">
        <f aca="false">SUM(K492:L492)</f>
        <v>0</v>
      </c>
      <c r="N492" s="213"/>
      <c r="O492" s="395" t="n">
        <f aca="false">SUMIFS(報告入力!$BI$7:$BI$696,報告入力!$A$7:$A$696,$S$457,報告入力!$B$7:$B$696,$A492)</f>
        <v>0</v>
      </c>
      <c r="P492" s="160" t="n">
        <f aca="false">SUM(N492:O492)</f>
        <v>0</v>
      </c>
      <c r="Q492" s="135" t="str">
        <f aca="false">IF(P427=P492,"〇","×")</f>
        <v>〇</v>
      </c>
      <c r="R492" s="135" t="str">
        <f aca="false">IFERROR(INDEX(報告入力!$C$7:$C$696,MATCH($S$457&amp;"|"&amp;$A492,報告入力!$CM$7:$CM$696,0)),"")</f>
        <v>未受領</v>
      </c>
    </row>
    <row r="493" s="135" customFormat="true" ht="20.1" hidden="false" customHeight="true" outlineLevel="0" collapsed="false">
      <c r="A493" s="125" t="s">
        <v>196</v>
      </c>
      <c r="B493" s="211"/>
      <c r="C493" s="218"/>
      <c r="D493" s="203" t="n">
        <f aca="false">SUMIFS(報告入力!$BA$7:$BA$696,報告入力!$A$7:$A$696,$S$457,報告入力!$B$7:$B$696,$A493)</f>
        <v>394365</v>
      </c>
      <c r="E493" s="207" t="n">
        <f aca="false">SUMIFS(報告入力!$BB$7:$BB$696,報告入力!$A$7:$A$696,$S$457,報告入力!$B$7:$B$696,$A493)</f>
        <v>32325</v>
      </c>
      <c r="F493" s="393" t="n">
        <f aca="false">SUMIFS(報告入力!$BC$7:$BC$696,報告入力!$A$7:$A$696,$S$457,報告入力!$B$7:$B$696,$A493)</f>
        <v>403</v>
      </c>
      <c r="G493" s="206" t="n">
        <f aca="false">SUM(B493:F493)</f>
        <v>427093</v>
      </c>
      <c r="H493" s="213"/>
      <c r="I493" s="395" t="n">
        <f aca="false">SUMIFS(報告入力!$BE$7:$BE$696,報告入力!$A$7:$A$696,$S$457,報告入力!$B$7:$B$696,$A493)</f>
        <v>237523</v>
      </c>
      <c r="J493" s="160" t="n">
        <f aca="false">SUM(H493:I493)</f>
        <v>237523</v>
      </c>
      <c r="K493" s="213"/>
      <c r="L493" s="395" t="n">
        <f aca="false">SUMIFS(報告入力!$BG$7:$BG$696,報告入力!$A$7:$A$696,$S$457,報告入力!$B$7:$B$696,$A493)</f>
        <v>34049</v>
      </c>
      <c r="M493" s="160" t="n">
        <f aca="false">SUM(K493:L493)</f>
        <v>34049</v>
      </c>
      <c r="N493" s="213"/>
      <c r="O493" s="395" t="n">
        <f aca="false">SUMIFS(報告入力!$BI$7:$BI$696,報告入力!$A$7:$A$696,$S$457,報告入力!$B$7:$B$696,$A493)</f>
        <v>1</v>
      </c>
      <c r="P493" s="160" t="n">
        <f aca="false">SUM(N493:O493)</f>
        <v>1</v>
      </c>
      <c r="Q493" s="135" t="str">
        <f aca="false">IF(P428=P493,"〇","×")</f>
        <v>×</v>
      </c>
      <c r="R493" s="135" t="str">
        <f aca="false">IFERROR(INDEX(報告入力!$C$7:$C$696,MATCH($S$457&amp;"|"&amp;$A493,報告入力!$CM$7:$CM$696,0)),"")</f>
        <v>未受領</v>
      </c>
    </row>
    <row r="494" s="135" customFormat="true" ht="20.1" hidden="false" customHeight="true" outlineLevel="0" collapsed="false">
      <c r="A494" s="146" t="s">
        <v>197</v>
      </c>
      <c r="B494" s="240" t="n">
        <f aca="false">SUMIFS(報告入力!$AY$7:$AY$696,報告入力!$A$7:$A$696,$S$457,報告入力!$B$7:$B$696,$A494)</f>
        <v>137250</v>
      </c>
      <c r="C494" s="237" t="n">
        <f aca="false">SUMIFS(報告入力!$AZ$7:$AZ$696,報告入力!$A$7:$A$696,$S$457,報告入力!$B$7:$B$696,$A494)</f>
        <v>11250</v>
      </c>
      <c r="D494" s="203" t="n">
        <f aca="false">SUMIFS(報告入力!$BA$7:$BA$696,報告入力!$A$7:$A$696,$S$457,報告入力!$B$7:$B$696,$A494)</f>
        <v>137250</v>
      </c>
      <c r="E494" s="207" t="n">
        <f aca="false">SUMIFS(報告入力!$BB$7:$BB$696,報告入力!$A$7:$A$696,$S$457,報告入力!$B$7:$B$696,$A494)</f>
        <v>11250</v>
      </c>
      <c r="F494" s="237" t="n">
        <f aca="false">SUMIFS(報告入力!$BC$7:$BC$696,報告入力!$A$7:$A$696,$S$457,報告入力!$B$7:$B$696,$A494)</f>
        <v>140</v>
      </c>
      <c r="G494" s="206" t="n">
        <f aca="false">SUM(B494:F494)</f>
        <v>297140</v>
      </c>
      <c r="H494" s="207" t="n">
        <f aca="false">SUMIFS(報告入力!$BD$7:$BD$696,報告入力!$A$7:$A$696,$S$457,報告入力!$B$7:$B$696,$A494)</f>
        <v>82514</v>
      </c>
      <c r="I494" s="239" t="n">
        <f aca="false">SUMIFS(報告入力!$BE$7:$BE$696,報告入力!$A$7:$A$696,$S$457,報告入力!$B$7:$B$696,$A494)</f>
        <v>82665</v>
      </c>
      <c r="J494" s="206" t="n">
        <f aca="false">SUM(H494:I494)</f>
        <v>165179</v>
      </c>
      <c r="K494" s="207" t="n">
        <f aca="false">SUMIFS(報告入力!$BF$7:$BF$696,報告入力!$A$7:$A$696,$S$457,報告入力!$B$7:$B$696,$A494)</f>
        <v>8611</v>
      </c>
      <c r="L494" s="239" t="n">
        <f aca="false">SUMIFS(報告入力!$BG$7:$BG$696,報告入力!$A$7:$A$696,$S$457,報告入力!$B$7:$B$696,$A494)</f>
        <v>8611</v>
      </c>
      <c r="M494" s="206" t="n">
        <f aca="false">SUM(K494:L494)</f>
        <v>17222</v>
      </c>
      <c r="N494" s="207" t="n">
        <f aca="false">SUMIFS(報告入力!$BH$7:$BH$696,報告入力!$A$7:$A$696,$S$457,報告入力!$B$7:$B$696,$A494)</f>
        <v>1</v>
      </c>
      <c r="O494" s="239" t="n">
        <f aca="false">SUMIFS(報告入力!$BI$7:$BI$696,報告入力!$A$7:$A$696,$S$457,報告入力!$B$7:$B$696,$A494)</f>
        <v>1</v>
      </c>
      <c r="P494" s="206" t="n">
        <f aca="false">SUM(N494:O494)</f>
        <v>2</v>
      </c>
      <c r="Q494" s="135" t="str">
        <f aca="false">IF(P429=P494,"〇","×")</f>
        <v>×</v>
      </c>
      <c r="R494" s="135" t="str">
        <f aca="false">IFERROR(INDEX(報告入力!$C$7:$C$696,MATCH($S$457&amp;"|"&amp;$A494,報告入力!$CM$7:$CM$696,0)),"")</f>
        <v>未受領</v>
      </c>
    </row>
    <row r="495" s="135" customFormat="true" ht="20.1" hidden="false" customHeight="true" outlineLevel="0" collapsed="false">
      <c r="A495" s="231" t="s">
        <v>219</v>
      </c>
      <c r="B495" s="226"/>
      <c r="C495" s="216"/>
      <c r="D495" s="240" t="n">
        <f aca="false">SUMIFS(報告入力!$BA$7:$BA$696,報告入力!$A$7:$A$696,$S$457,報告入力!$B$7:$B$696,$A495)</f>
        <v>472140</v>
      </c>
      <c r="E495" s="394" t="n">
        <f aca="false">SUMIFS(報告入力!$BB$7:$BB$696,報告入力!$A$7:$A$696,$S$457,報告入力!$B$7:$B$696,$A495)</f>
        <v>38700</v>
      </c>
      <c r="F495" s="393" t="n">
        <f aca="false">SUMIFS(報告入力!$BC$7:$BC$696,報告入力!$A$7:$A$696,$S$457,報告入力!$B$7:$B$696,$A495)</f>
        <v>484</v>
      </c>
      <c r="G495" s="206" t="n">
        <f aca="false">SUM(B495:F495)</f>
        <v>511324</v>
      </c>
      <c r="H495" s="227"/>
      <c r="I495" s="395" t="n">
        <f aca="false">SUMIFS(報告入力!$BE$7:$BE$696,報告入力!$A$7:$A$696,$S$457,報告入力!$B$7:$B$696,$A495)</f>
        <v>289878</v>
      </c>
      <c r="J495" s="160" t="n">
        <f aca="false">SUM(H495:I495)</f>
        <v>289878</v>
      </c>
      <c r="K495" s="227"/>
      <c r="L495" s="395" t="n">
        <f aca="false">SUMIFS(報告入力!$BG$7:$BG$696,報告入力!$A$7:$A$696,$S$457,報告入力!$B$7:$B$696,$A495)</f>
        <v>25517</v>
      </c>
      <c r="M495" s="160" t="n">
        <f aca="false">SUM(K495:L495)</f>
        <v>25517</v>
      </c>
      <c r="N495" s="227"/>
      <c r="O495" s="395" t="n">
        <f aca="false">SUMIFS(報告入力!$BI$7:$BI$696,報告入力!$A$7:$A$696,$S$457,報告入力!$B$7:$B$696,$A495)</f>
        <v>1</v>
      </c>
      <c r="P495" s="160" t="n">
        <f aca="false">SUM(N495:O495)</f>
        <v>1</v>
      </c>
      <c r="Q495" s="135" t="str">
        <f aca="false">IF(P430=P495,"〇","×")</f>
        <v>×</v>
      </c>
      <c r="R495" s="135" t="str">
        <f aca="false">IFERROR(INDEX(報告入力!$C$7:$C$696,MATCH($S$457&amp;"|"&amp;$A495,報告入力!$CM$7:$CM$696,0)),"")</f>
        <v>未受領</v>
      </c>
    </row>
    <row r="496" s="135" customFormat="true" ht="20.1" hidden="false" customHeight="true" outlineLevel="0" collapsed="false">
      <c r="A496" s="214" t="s">
        <v>199</v>
      </c>
      <c r="B496" s="353" t="n">
        <f aca="false">SUMIFS(報告入力!$AY$7:$AY$696,報告入力!$A$7:$A$696,$S$457,報告入力!$B$7:$B$696,$A496)</f>
        <v>53985</v>
      </c>
      <c r="C496" s="396" t="n">
        <f aca="false">SUMIFS(報告入力!$AZ$7:$AZ$696,報告入力!$A$7:$A$696,$S$457,報告入力!$B$7:$B$696,$A496)</f>
        <v>4425</v>
      </c>
      <c r="D496" s="353" t="n">
        <f aca="false">SUMIFS(報告入力!$BA$7:$BA$696,報告入力!$A$7:$A$696,$S$457,報告入力!$B$7:$B$696,$A496)</f>
        <v>53985</v>
      </c>
      <c r="E496" s="397" t="n">
        <f aca="false">SUMIFS(報告入力!$BB$7:$BB$696,報告入力!$A$7:$A$696,$S$457,報告入力!$B$7:$B$696,$A496)</f>
        <v>4425</v>
      </c>
      <c r="F496" s="398" t="n">
        <f aca="false">SUMIFS(報告入力!$BC$7:$BC$696,報告入力!$A$7:$A$696,$S$457,報告入力!$B$7:$B$696,$A496)</f>
        <v>51</v>
      </c>
      <c r="G496" s="206" t="n">
        <f aca="false">SUM(B496:F496)</f>
        <v>116871</v>
      </c>
      <c r="H496" s="158" t="n">
        <f aca="false">SUMIFS(報告入力!$BD$7:$BD$696,報告入力!$A$7:$A$696,$S$457,報告入力!$B$7:$B$696,$A496)</f>
        <v>30597</v>
      </c>
      <c r="I496" s="397" t="n">
        <f aca="false">SUMIFS(報告入力!$BE$7:$BE$696,報告入力!$A$7:$A$696,$S$457,報告入力!$B$7:$B$696,$A496)</f>
        <v>30626</v>
      </c>
      <c r="J496" s="206" t="n">
        <f aca="false">SUM(H496:I496)</f>
        <v>61223</v>
      </c>
      <c r="K496" s="158" t="n">
        <f aca="false">SUMIFS(報告入力!$BF$7:$BF$696,報告入力!$A$7:$A$696,$S$457,報告入力!$B$7:$B$696,$A496)</f>
        <v>4661</v>
      </c>
      <c r="L496" s="397" t="n">
        <f aca="false">SUMIFS(報告入力!$BG$7:$BG$696,報告入力!$A$7:$A$696,$S$457,報告入力!$B$7:$B$696,$A496)</f>
        <v>4661</v>
      </c>
      <c r="M496" s="206" t="n">
        <f aca="false">SUM(K496:L496)</f>
        <v>9322</v>
      </c>
      <c r="N496" s="158" t="n">
        <f aca="false">SUMIFS(報告入力!$BH$7:$BH$696,報告入力!$A$7:$A$696,$S$457,報告入力!$B$7:$B$696,$A496)</f>
        <v>678</v>
      </c>
      <c r="O496" s="397" t="n">
        <f aca="false">SUMIFS(報告入力!$BI$7:$BI$696,報告入力!$A$7:$A$696,$S$457,報告入力!$B$7:$B$696,$A496)</f>
        <v>678</v>
      </c>
      <c r="P496" s="206" t="n">
        <f aca="false">SUM(N496:O496)</f>
        <v>1356</v>
      </c>
      <c r="Q496" s="135" t="str">
        <f aca="false">IF(P431=P496,"〇","×")</f>
        <v>〇</v>
      </c>
      <c r="R496" s="135" t="str">
        <f aca="false">IFERROR(INDEX(報告入力!$C$7:$C$696,MATCH($S$457&amp;"|"&amp;$A496,報告入力!$CM$7:$CM$696,0)),"")</f>
        <v>受領済</v>
      </c>
    </row>
    <row r="497" s="135" customFormat="true" ht="20.1" hidden="false" customHeight="true" outlineLevel="0" collapsed="false">
      <c r="A497" s="214" t="s">
        <v>200</v>
      </c>
      <c r="B497" s="353" t="n">
        <f aca="false">SUMIFS(報告入力!$AY$7:$AY$696,報告入力!$A$7:$A$696,$S$457,報告入力!$B$7:$B$696,$A497)</f>
        <v>59475</v>
      </c>
      <c r="C497" s="396" t="n">
        <f aca="false">SUMIFS(報告入力!$AZ$7:$AZ$696,報告入力!$A$7:$A$696,$S$457,報告入力!$B$7:$B$696,$A497)</f>
        <v>4875</v>
      </c>
      <c r="D497" s="242" t="n">
        <f aca="false">SUMIFS(報告入力!$BA$7:$BA$696,報告入力!$A$7:$A$696,$S$457,報告入力!$B$7:$B$696,$A497)</f>
        <v>59475</v>
      </c>
      <c r="E497" s="158" t="n">
        <f aca="false">SUMIFS(報告入力!$BB$7:$BB$696,報告入力!$A$7:$A$696,$S$457,報告入力!$B$7:$B$696,$A497)</f>
        <v>4875</v>
      </c>
      <c r="F497" s="396" t="n">
        <f aca="false">SUMIFS(報告入力!$BC$7:$BC$696,報告入力!$A$7:$A$696,$S$457,報告入力!$B$7:$B$696,$A497)</f>
        <v>56</v>
      </c>
      <c r="G497" s="206" t="n">
        <f aca="false">SUM(B497:F497)</f>
        <v>128756</v>
      </c>
      <c r="H497" s="158" t="n">
        <f aca="false">SUMIFS(報告入力!$BD$7:$BD$696,報告入力!$A$7:$A$696,$S$457,報告入力!$B$7:$B$696,$A497)</f>
        <v>36820</v>
      </c>
      <c r="I497" s="397" t="n">
        <f aca="false">SUMIFS(報告入力!$BE$7:$BE$696,報告入力!$A$7:$A$696,$S$457,報告入力!$B$7:$B$696,$A497)</f>
        <v>36856</v>
      </c>
      <c r="J497" s="206" t="n">
        <f aca="false">SUM(H497:I497)</f>
        <v>73676</v>
      </c>
      <c r="K497" s="158" t="n">
        <f aca="false">SUMIFS(報告入力!$BF$7:$BF$696,報告入力!$A$7:$A$696,$S$457,報告入力!$B$7:$B$696,$A497)</f>
        <v>5609</v>
      </c>
      <c r="L497" s="397" t="n">
        <f aca="false">SUMIFS(報告入力!$BG$7:$BG$696,報告入力!$A$7:$A$696,$S$457,報告入力!$B$7:$B$696,$A497)</f>
        <v>5609</v>
      </c>
      <c r="M497" s="206" t="n">
        <f aca="false">SUM(K497:L497)</f>
        <v>11218</v>
      </c>
      <c r="N497" s="158" t="n">
        <f aca="false">SUMIFS(報告入力!$BH$7:$BH$696,報告入力!$A$7:$A$696,$S$457,報告入力!$B$7:$B$696,$A497)</f>
        <v>816</v>
      </c>
      <c r="O497" s="397" t="n">
        <f aca="false">SUMIFS(報告入力!$BI$7:$BI$696,報告入力!$A$7:$A$696,$S$457,報告入力!$B$7:$B$696,$A497)</f>
        <v>816</v>
      </c>
      <c r="P497" s="206" t="n">
        <f aca="false">SUM(N497:O497)</f>
        <v>1632</v>
      </c>
      <c r="Q497" s="135" t="str">
        <f aca="false">IF(P432=P497,"〇","×")</f>
        <v>〇</v>
      </c>
      <c r="R497" s="135" t="str">
        <f aca="false">IFERROR(INDEX(報告入力!$C$7:$C$696,MATCH($S$457&amp;"|"&amp;$A497,報告入力!$CM$7:$CM$696,0)),"")</f>
        <v>受領済</v>
      </c>
    </row>
    <row r="498" s="135" customFormat="true" ht="20.1" hidden="false" customHeight="true" outlineLevel="0" collapsed="false">
      <c r="A498" s="214" t="s">
        <v>201</v>
      </c>
      <c r="B498" s="353" t="n">
        <f aca="false">SUMIFS(報告入力!$AY$7:$AY$696,報告入力!$A$7:$A$696,$S$457,報告入力!$B$7:$B$696,$A498)</f>
        <v>45750</v>
      </c>
      <c r="C498" s="396" t="n">
        <f aca="false">SUMIFS(報告入力!$AZ$7:$AZ$696,報告入力!$A$7:$A$696,$S$457,報告入力!$B$7:$B$696,$A498)</f>
        <v>3750</v>
      </c>
      <c r="D498" s="242" t="n">
        <f aca="false">SUMIFS(報告入力!$BA$7:$BA$696,報告入力!$A$7:$A$696,$S$457,報告入力!$B$7:$B$696,$A498)</f>
        <v>45750</v>
      </c>
      <c r="E498" s="158" t="n">
        <f aca="false">SUMIFS(報告入力!$BB$7:$BB$696,報告入力!$A$7:$A$696,$S$457,報告入力!$B$7:$B$696,$A498)</f>
        <v>3750</v>
      </c>
      <c r="F498" s="396" t="n">
        <f aca="false">SUMIFS(報告入力!$BC$7:$BC$696,報告入力!$A$7:$A$696,$S$457,報告入力!$B$7:$B$696,$A498)</f>
        <v>43</v>
      </c>
      <c r="G498" s="206" t="n">
        <f aca="false">SUM(B498:F498)</f>
        <v>99043</v>
      </c>
      <c r="H498" s="158" t="n">
        <f aca="false">SUMIFS(報告入力!$BD$7:$BD$696,報告入力!$A$7:$A$696,$S$457,報告入力!$B$7:$B$696,$A498)</f>
        <v>25930</v>
      </c>
      <c r="I498" s="397" t="n">
        <f aca="false">SUMIFS(報告入力!$BE$7:$BE$696,報告入力!$A$7:$A$696,$S$457,報告入力!$B$7:$B$696,$A498)</f>
        <v>25955</v>
      </c>
      <c r="J498" s="206" t="n">
        <f aca="false">SUM(H498:I498)</f>
        <v>51885</v>
      </c>
      <c r="K498" s="158" t="n">
        <f aca="false">SUMIFS(報告入力!$BF$7:$BF$696,報告入力!$A$7:$A$696,$S$457,報告入力!$B$7:$B$696,$A498)</f>
        <v>0</v>
      </c>
      <c r="L498" s="397" t="n">
        <f aca="false">SUMIFS(報告入力!$BG$7:$BG$696,報告入力!$A$7:$A$696,$S$457,報告入力!$B$7:$B$696,$A498)</f>
        <v>0</v>
      </c>
      <c r="M498" s="206" t="n">
        <f aca="false">SUM(K498:L498)</f>
        <v>0</v>
      </c>
      <c r="N498" s="158" t="n">
        <f aca="false">SUMIFS(報告入力!$BH$7:$BH$696,報告入力!$A$7:$A$696,$S$457,報告入力!$B$7:$B$696,$A498)</f>
        <v>575</v>
      </c>
      <c r="O498" s="397" t="n">
        <f aca="false">SUMIFS(報告入力!$BI$7:$BI$696,報告入力!$A$7:$A$696,$S$457,報告入力!$B$7:$B$696,$A498)</f>
        <v>575</v>
      </c>
      <c r="P498" s="206" t="n">
        <f aca="false">SUM(N498:O498)</f>
        <v>1150</v>
      </c>
      <c r="Q498" s="135" t="str">
        <f aca="false">IF(P433=P498,"〇","×")</f>
        <v>〇</v>
      </c>
      <c r="R498" s="135" t="str">
        <f aca="false">IFERROR(INDEX(報告入力!$C$7:$C$696,MATCH($S$457&amp;"|"&amp;$A498,報告入力!$CM$7:$CM$696,0)),"")</f>
        <v>受領済</v>
      </c>
    </row>
    <row r="499" s="135" customFormat="true" ht="20.1" hidden="false" customHeight="true" outlineLevel="0" collapsed="false">
      <c r="A499" s="146" t="s">
        <v>202</v>
      </c>
      <c r="B499" s="203" t="n">
        <f aca="false">SUMIFS(報告入力!$AY$7:$AY$696,報告入力!$A$7:$A$696,$S$457,報告入力!$B$7:$B$696,$A499)</f>
        <v>1234335</v>
      </c>
      <c r="C499" s="237" t="n">
        <f aca="false">SUMIFS(報告入力!$AZ$7:$AZ$696,報告入力!$A$7:$A$696,$S$457,報告入力!$B$7:$B$696,$A499)</f>
        <v>101175</v>
      </c>
      <c r="D499" s="203" t="n">
        <f aca="false">SUMIFS(報告入力!$BA$7:$BA$696,報告入力!$A$7:$A$696,$S$457,報告入力!$B$7:$B$696,$A499)</f>
        <v>1234335</v>
      </c>
      <c r="E499" s="207" t="n">
        <f aca="false">SUMIFS(報告入力!$BB$7:$BB$696,報告入力!$A$7:$A$696,$S$457,報告入力!$B$7:$B$696,$A499)</f>
        <v>101175</v>
      </c>
      <c r="F499" s="237" t="n">
        <f aca="false">SUMIFS(報告入力!$BC$7:$BC$696,報告入力!$A$7:$A$696,$S$457,報告入力!$B$7:$B$696,$A499)</f>
        <v>1337</v>
      </c>
      <c r="G499" s="206" t="n">
        <f aca="false">SUM(B499:F499)</f>
        <v>2672357</v>
      </c>
      <c r="H499" s="207" t="n">
        <f aca="false">SUMIFS(報告入力!$BD$7:$BD$696,報告入力!$A$7:$A$696,$S$457,報告入力!$B$7:$B$696,$A499)</f>
        <v>742074</v>
      </c>
      <c r="I499" s="208" t="n">
        <f aca="false">SUMIFS(報告入力!$BE$7:$BE$696,報告入力!$A$7:$A$696,$S$457,報告入力!$B$7:$B$696,$A499)</f>
        <v>743509</v>
      </c>
      <c r="J499" s="160" t="n">
        <f aca="false">SUM(H499:I499)</f>
        <v>1485583</v>
      </c>
      <c r="K499" s="207" t="n">
        <f aca="false">SUMIFS(報告入力!$BF$7:$BF$696,報告入力!$A$7:$A$696,$S$457,報告入力!$B$7:$B$696,$A499)</f>
        <v>64227</v>
      </c>
      <c r="L499" s="208" t="n">
        <f aca="false">SUMIFS(報告入力!$BG$7:$BG$696,報告入力!$A$7:$A$696,$S$457,報告入力!$B$7:$B$696,$A499)</f>
        <v>64227</v>
      </c>
      <c r="M499" s="160" t="n">
        <f aca="false">SUM(K499:L499)</f>
        <v>128454</v>
      </c>
      <c r="N499" s="207" t="n">
        <f aca="false">SUMIFS(報告入力!$BH$7:$BH$696,報告入力!$A$7:$A$696,$S$457,報告入力!$B$7:$B$696,$A499)</f>
        <v>1</v>
      </c>
      <c r="O499" s="208" t="n">
        <f aca="false">SUMIFS(報告入力!$BI$7:$BI$696,報告入力!$A$7:$A$696,$S$457,報告入力!$B$7:$B$696,$A499)</f>
        <v>1</v>
      </c>
      <c r="P499" s="160" t="n">
        <f aca="false">SUM(N499:O499)</f>
        <v>2</v>
      </c>
      <c r="Q499" s="135" t="str">
        <f aca="false">IF(P434=P499,"〇","×")</f>
        <v>×</v>
      </c>
      <c r="R499" s="135" t="str">
        <f aca="false">IFERROR(INDEX(報告入力!$C$7:$C$696,MATCH($S$457&amp;"|"&amp;$A499,報告入力!$CM$7:$CM$696,0)),"")</f>
        <v>未受領</v>
      </c>
    </row>
    <row r="500" s="135" customFormat="true" ht="20.1" hidden="false" customHeight="true" outlineLevel="0" collapsed="false">
      <c r="A500" s="146" t="s">
        <v>203</v>
      </c>
      <c r="B500" s="240"/>
      <c r="C500" s="393"/>
      <c r="D500" s="203" t="n">
        <f aca="false">SUMIFS(報告入力!$BA$7:$BA$696,報告入力!$A$7:$A$696,$S$457,報告入力!$B$7:$B$696,$A500)</f>
        <v>245220</v>
      </c>
      <c r="E500" s="207" t="n">
        <f aca="false">SUMIFS(報告入力!$BB$7:$BB$696,報告入力!$A$7:$A$696,$S$457,報告入力!$B$7:$B$696,$A500)</f>
        <v>20100</v>
      </c>
      <c r="F500" s="237" t="n">
        <f aca="false">SUMIFS(報告入力!$BC$7:$BC$696,報告入力!$A$7:$A$696,$S$457,報告入力!$B$7:$B$696,$A500)</f>
        <v>251</v>
      </c>
      <c r="G500" s="206" t="n">
        <f aca="false">SUM(B500:F500)</f>
        <v>265571</v>
      </c>
      <c r="H500" s="227"/>
      <c r="I500" s="239" t="n">
        <f aca="false">SUMIFS(報告入力!$BE$7:$BE$696,報告入力!$A$7:$A$696,$S$457,報告入力!$B$7:$B$696,$A500)</f>
        <v>151001</v>
      </c>
      <c r="J500" s="206" t="n">
        <f aca="false">SUM(H500:I500)</f>
        <v>151001</v>
      </c>
      <c r="K500" s="227"/>
      <c r="L500" s="239" t="n">
        <f aca="false">SUMIFS(報告入力!$BG$7:$BG$696,報告入力!$A$7:$A$696,$S$457,報告入力!$B$7:$B$696,$A500)</f>
        <v>10744</v>
      </c>
      <c r="M500" s="206" t="n">
        <f aca="false">SUM(K500:L500)</f>
        <v>10744</v>
      </c>
      <c r="N500" s="227"/>
      <c r="O500" s="239" t="n">
        <f aca="false">SUMIFS(報告入力!$BI$7:$BI$696,報告入力!$A$7:$A$696,$S$457,報告入力!$B$7:$B$696,$A500)</f>
        <v>1</v>
      </c>
      <c r="P500" s="206" t="n">
        <f aca="false">SUM(N500:O500)</f>
        <v>1</v>
      </c>
      <c r="Q500" s="135" t="str">
        <f aca="false">IF(P435=P500,"〇","×")</f>
        <v>×</v>
      </c>
      <c r="R500" s="135" t="str">
        <f aca="false">IFERROR(INDEX(報告入力!$C$7:$C$696,MATCH($S$457&amp;"|"&amp;$A500,報告入力!$CM$7:$CM$696,0)),"")</f>
        <v>未受領</v>
      </c>
    </row>
    <row r="501" s="135" customFormat="true" ht="19.5" hidden="false" customHeight="true" outlineLevel="0" collapsed="false">
      <c r="A501" s="232" t="s">
        <v>204</v>
      </c>
      <c r="B501" s="240" t="n">
        <f aca="false">SUMIFS(報告入力!$AY$7:$AY$696,報告入力!$A$7:$A$696,$S$457,報告入力!$B$7:$B$696,$A501)</f>
        <v>124033466</v>
      </c>
      <c r="C501" s="393" t="n">
        <f aca="false">SUMIFS(報告入力!$AZ$7:$AZ$696,報告入力!$A$7:$A$696,$S$457,報告入力!$B$7:$B$696,$A501)</f>
        <v>10166678</v>
      </c>
      <c r="D501" s="240" t="n">
        <f aca="false">SUMIFS(報告入力!$BA$7:$BA$696,報告入力!$A$7:$A$696,$S$457,報告入力!$B$7:$B$696,$A501)</f>
        <v>183571142</v>
      </c>
      <c r="E501" s="394" t="n">
        <f aca="false">SUMIFS(報告入力!$BB$7:$BB$696,報告入力!$A$7:$A$696,$S$457,報告入力!$B$7:$B$696,$A501)</f>
        <v>10169978</v>
      </c>
      <c r="F501" s="393" t="n">
        <f aca="false">SUMIFS(報告入力!$BC$7:$BC$696,報告入力!$A$7:$A$696,$S$457,報告入力!$B$7:$B$696,$A501)</f>
        <v>134503</v>
      </c>
      <c r="G501" s="206" t="n">
        <f aca="false">SUM(B501:F501)</f>
        <v>328075767</v>
      </c>
      <c r="H501" s="238" t="n">
        <f aca="false">SUMIFS(報告入力!$BD$7:$BD$696,報告入力!$A$7:$A$696,$S$457,報告入力!$B$7:$B$696,$A501)</f>
        <v>96329196</v>
      </c>
      <c r="I501" s="395" t="n">
        <f aca="false">SUMIFS(報告入力!$BE$7:$BE$696,報告入力!$A$7:$A$696,$S$457,報告入力!$B$7:$B$696,$A501)</f>
        <v>96541373</v>
      </c>
      <c r="J501" s="160" t="n">
        <f aca="false">SUM(H501:I501)</f>
        <v>192870569</v>
      </c>
      <c r="K501" s="240" t="n">
        <f aca="false">SUMIFS(報告入力!$BF$7:$BF$696,報告入力!$A$7:$A$696,$S$457,報告入力!$B$7:$B$696,$A501)</f>
        <v>7758167</v>
      </c>
      <c r="L501" s="395" t="n">
        <f aca="false">SUMIFS(報告入力!$BG$7:$BG$696,報告入力!$A$7:$A$696,$S$457,報告入力!$B$7:$B$696,$A501)</f>
        <v>7761643</v>
      </c>
      <c r="M501" s="160" t="n">
        <f aca="false">SUM(K501:L501)</f>
        <v>15519810</v>
      </c>
      <c r="N501" s="240" t="n">
        <f aca="false">SUMIFS(報告入力!$BH$7:$BH$696,報告入力!$A$7:$A$696,$S$457,報告入力!$B$7:$B$696,$A501)</f>
        <v>1</v>
      </c>
      <c r="O501" s="395" t="n">
        <f aca="false">SUMIFS(報告入力!$BI$7:$BI$696,報告入力!$A$7:$A$696,$S$457,報告入力!$B$7:$B$696,$A501)</f>
        <v>1</v>
      </c>
      <c r="P501" s="160" t="n">
        <f aca="false">SUM(N501:O501)</f>
        <v>2</v>
      </c>
      <c r="Q501" s="135" t="str">
        <f aca="false">IF(P436=P501,"〇","×")</f>
        <v>×</v>
      </c>
      <c r="R501" s="135" t="str">
        <f aca="false">IFERROR(INDEX(報告入力!$C$7:$C$696,MATCH($S$457&amp;"|"&amp;$A501,報告入力!$CM$7:$CM$696,0)),"")</f>
        <v>未受領</v>
      </c>
    </row>
    <row r="502" s="162" customFormat="true" ht="21.75" hidden="false" customHeight="true" outlineLevel="0" collapsed="false">
      <c r="A502" s="399" t="s">
        <v>205</v>
      </c>
      <c r="B502" s="152"/>
      <c r="C502" s="156"/>
      <c r="D502" s="152"/>
      <c r="E502" s="234"/>
      <c r="F502" s="156"/>
      <c r="G502" s="235" t="n">
        <f aca="false">SUM(B502:F502)</f>
        <v>0</v>
      </c>
      <c r="H502" s="238" t="n">
        <f aca="false">SUMIFS(報告入力!$BD$7:$BD$696,報告入力!$A$7:$A$696,$S$457,報告入力!$B$7:$B$696,$A502)</f>
        <v>88012</v>
      </c>
      <c r="I502" s="395" t="n">
        <f aca="false">SUMIFS(報告入力!$BE$7:$BE$696,報告入力!$A$7:$A$696,$S$457,報告入力!$B$7:$B$696,$A502)</f>
        <v>108566</v>
      </c>
      <c r="J502" s="160" t="n">
        <f aca="false">SUM(H502:I502)</f>
        <v>196578</v>
      </c>
      <c r="K502" s="240" t="n">
        <f aca="false">SUMIFS(報告入力!$BF$7:$BF$696,報告入力!$A$7:$A$696,$S$457,報告入力!$B$7:$B$696,$A502)</f>
        <v>9322</v>
      </c>
      <c r="L502" s="395" t="n">
        <f aca="false">SUMIFS(報告入力!$BG$7:$BG$696,報告入力!$A$7:$A$696,$S$457,報告入力!$B$7:$B$696,$A502)</f>
        <v>12245</v>
      </c>
      <c r="M502" s="160" t="n">
        <f aca="false">SUM(K502:L502)</f>
        <v>21567</v>
      </c>
      <c r="N502" s="240" t="n">
        <f aca="false">SUMIFS(報告入力!$BH$7:$BH$696,報告入力!$A$7:$A$696,$S$457,報告入力!$B$7:$B$696,$A502)</f>
        <v>1</v>
      </c>
      <c r="O502" s="395" t="n">
        <f aca="false">SUMIFS(報告入力!$BI$7:$BI$696,報告入力!$A$7:$A$696,$S$457,報告入力!$B$7:$B$696,$A502)</f>
        <v>1</v>
      </c>
      <c r="P502" s="160" t="n">
        <f aca="false">SUM(N502:O502)</f>
        <v>2</v>
      </c>
      <c r="Q502" s="162" t="str">
        <f aca="false">IF(P437=P502,"〇","×")</f>
        <v>×</v>
      </c>
      <c r="R502" s="162" t="str">
        <f aca="false">IFERROR(INDEX(報告入力!$C$7:$C$696,MATCH($S$457&amp;"|"&amp;$A502,報告入力!$CM$7:$CM$696,0)),"")</f>
        <v>未受領</v>
      </c>
    </row>
    <row r="503" s="162" customFormat="true" ht="21.75" hidden="false" customHeight="true" outlineLevel="0" collapsed="false">
      <c r="A503" s="236" t="s">
        <v>206</v>
      </c>
      <c r="B503" s="336"/>
      <c r="C503" s="355"/>
      <c r="D503" s="336"/>
      <c r="E503" s="334"/>
      <c r="F503" s="356"/>
      <c r="G503" s="327" t="n">
        <f aca="false">SUM(B503:F503)</f>
        <v>0</v>
      </c>
      <c r="H503" s="334"/>
      <c r="I503" s="335"/>
      <c r="J503" s="330" t="n">
        <f aca="false">SUM(H503:I503)</f>
        <v>0</v>
      </c>
      <c r="K503" s="334"/>
      <c r="L503" s="335"/>
      <c r="M503" s="330" t="n">
        <f aca="false">SUM(K503:L503)</f>
        <v>0</v>
      </c>
      <c r="N503" s="334"/>
      <c r="O503" s="335"/>
      <c r="P503" s="330" t="n">
        <f aca="false">SUM(N503:O503)</f>
        <v>0</v>
      </c>
      <c r="Q503" s="162" t="str">
        <f aca="false">IF(P438=P503,"〇","×")</f>
        <v>〇</v>
      </c>
      <c r="R503" s="162" t="str">
        <f aca="false">IFERROR(INDEX(報告入力!$C$7:$C$696,MATCH($S$457&amp;"|"&amp;$A503,報告入力!$CM$7:$CM$696,0)),"")</f>
        <v>報告なし</v>
      </c>
    </row>
    <row r="504" s="162" customFormat="true" ht="21.75" hidden="false" customHeight="true" outlineLevel="0" collapsed="false">
      <c r="A504" s="236" t="s">
        <v>207</v>
      </c>
      <c r="B504" s="353" t="n">
        <f aca="false">SUMIFS(報告入力!$AY$7:$AY$696,報告入力!$A$7:$A$696,$S$457,報告入力!$B$7:$B$696,$A504)</f>
        <v>118950</v>
      </c>
      <c r="C504" s="400" t="n">
        <f aca="false">SUMIFS(報告入力!$AZ$7:$AZ$696,報告入力!$A$7:$A$696,$S$457,報告入力!$B$7:$B$696,$A504)</f>
        <v>9750</v>
      </c>
      <c r="D504" s="353" t="n">
        <f aca="false">SUMIFS(報告入力!$BA$7:$BA$696,報告入力!$A$7:$A$696,$S$457,報告入力!$B$7:$B$696,$A504)</f>
        <v>118950</v>
      </c>
      <c r="E504" s="401" t="n">
        <f aca="false">SUMIFS(報告入力!$BB$7:$BB$696,報告入力!$A$7:$A$696,$S$457,報告入力!$B$7:$B$696,$A504)</f>
        <v>9750</v>
      </c>
      <c r="F504" s="243" t="n">
        <f aca="false">SUMIFS(報告入力!$BC$7:$BC$696,報告入力!$A$7:$A$696,$S$457,報告入力!$B$7:$B$696,$A504)</f>
        <v>112</v>
      </c>
      <c r="G504" s="206" t="n">
        <f aca="false">SUM(B504:F504)</f>
        <v>257512</v>
      </c>
      <c r="H504" s="401" t="n">
        <f aca="false">SUMIFS(報告入力!$BD$7:$BD$696,報告入力!$A$7:$A$696,$S$457,報告入力!$B$7:$B$696,$A504)</f>
        <v>86605</v>
      </c>
      <c r="I504" s="397" t="n">
        <f aca="false">SUMIFS(報告入力!$BE$7:$BE$696,報告入力!$A$7:$A$696,$S$457,報告入力!$B$7:$B$696,$A504)</f>
        <v>86689</v>
      </c>
      <c r="J504" s="160" t="n">
        <f aca="false">SUM(H504:I504)</f>
        <v>173294</v>
      </c>
      <c r="K504" s="401" t="n">
        <f aca="false">SUMIFS(報告入力!$BF$7:$BF$696,報告入力!$A$7:$A$696,$S$457,報告入力!$B$7:$B$696,$A504)</f>
        <v>13193</v>
      </c>
      <c r="L504" s="397" t="n">
        <f aca="false">SUMIFS(報告入力!$BG$7:$BG$696,報告入力!$A$7:$A$696,$S$457,報告入力!$B$7:$B$696,$A504)</f>
        <v>13193</v>
      </c>
      <c r="M504" s="160" t="n">
        <f aca="false">SUM(K504:L504)</f>
        <v>26386</v>
      </c>
      <c r="N504" s="401" t="n">
        <f aca="false">SUMIFS(報告入力!$BH$7:$BH$696,報告入力!$A$7:$A$696,$S$457,報告入力!$B$7:$B$696,$A504)</f>
        <v>1920</v>
      </c>
      <c r="O504" s="397" t="n">
        <f aca="false">SUMIFS(報告入力!$BI$7:$BI$696,報告入力!$A$7:$A$696,$S$457,報告入力!$B$7:$B$696,$A504)</f>
        <v>1920</v>
      </c>
      <c r="P504" s="160" t="n">
        <f aca="false">SUM(N504:O504)</f>
        <v>3840</v>
      </c>
      <c r="Q504" s="162" t="str">
        <f aca="false">IF(P439=P504,"〇","×")</f>
        <v>〇</v>
      </c>
      <c r="R504" s="162" t="str">
        <f aca="false">IFERROR(INDEX(報告入力!$C$7:$C$696,MATCH($S$457&amp;"|"&amp;$A504,報告入力!$CM$7:$CM$696,0)),"")</f>
        <v>受領済</v>
      </c>
    </row>
    <row r="505" s="162" customFormat="true" ht="21.75" hidden="false" customHeight="true" outlineLevel="0" collapsed="false">
      <c r="A505" s="174"/>
      <c r="B505" s="185"/>
      <c r="C505" s="168"/>
      <c r="D505" s="247"/>
      <c r="E505" s="247"/>
      <c r="F505" s="171"/>
      <c r="G505" s="402"/>
      <c r="H505" s="247"/>
      <c r="I505" s="186"/>
      <c r="J505" s="248"/>
      <c r="K505" s="247"/>
      <c r="L505" s="186"/>
      <c r="M505" s="248"/>
      <c r="N505" s="247"/>
      <c r="O505" s="186"/>
      <c r="P505" s="248"/>
      <c r="Q505" s="162" t="str">
        <f aca="false">IF(P440=P505,"〇","×")</f>
        <v>〇</v>
      </c>
    </row>
    <row r="506" s="162" customFormat="true" ht="11.25" hidden="false" customHeight="true" outlineLevel="0" collapsed="false">
      <c r="A506" s="174"/>
      <c r="B506" s="185"/>
      <c r="C506" s="168"/>
      <c r="D506" s="247"/>
      <c r="E506" s="247"/>
      <c r="F506" s="171"/>
      <c r="G506" s="402"/>
      <c r="H506" s="247"/>
      <c r="I506" s="186"/>
      <c r="J506" s="248"/>
      <c r="K506" s="247"/>
      <c r="L506" s="166"/>
      <c r="M506" s="248"/>
      <c r="N506" s="247"/>
      <c r="O506" s="166"/>
      <c r="P506" s="248"/>
      <c r="Q506" s="162" t="str">
        <f aca="false">IF(P441=P506,"〇","×")</f>
        <v>〇</v>
      </c>
    </row>
    <row r="507" s="162" customFormat="true" ht="9.75" hidden="false" customHeight="true" outlineLevel="0" collapsed="false">
      <c r="A507" s="174"/>
      <c r="B507" s="182"/>
      <c r="C507" s="181"/>
      <c r="D507" s="245"/>
      <c r="E507" s="183"/>
      <c r="F507" s="181"/>
      <c r="G507" s="246" t="n">
        <f aca="false">SUM(B507:F507)</f>
        <v>0</v>
      </c>
      <c r="H507" s="247"/>
      <c r="I507" s="183"/>
      <c r="J507" s="248" t="n">
        <f aca="false">SUM(H507:I507)</f>
        <v>0</v>
      </c>
      <c r="K507" s="245"/>
      <c r="L507" s="183"/>
      <c r="M507" s="248" t="n">
        <f aca="false">SUM(K507:L507)</f>
        <v>0</v>
      </c>
      <c r="N507" s="245"/>
      <c r="O507" s="183"/>
      <c r="P507" s="248" t="n">
        <f aca="false">SUM(N507:O507)</f>
        <v>0</v>
      </c>
      <c r="Q507" s="162" t="str">
        <f aca="false">IF(P442=P507,"〇","×")</f>
        <v>〇</v>
      </c>
    </row>
    <row r="508" s="135" customFormat="true" ht="19.5" hidden="false" customHeight="true" outlineLevel="0" collapsed="false">
      <c r="A508" s="196" t="s">
        <v>497</v>
      </c>
      <c r="B508" s="197" t="n">
        <f aca="false">SUM(B478:B507)</f>
        <v>126988001</v>
      </c>
      <c r="C508" s="200" t="n">
        <f aca="false">SUM(C478:C507)</f>
        <v>10408853</v>
      </c>
      <c r="D508" s="198" t="n">
        <f aca="false">SUM(D478:D507)</f>
        <v>192708332</v>
      </c>
      <c r="E508" s="199" t="n">
        <f aca="false">SUM(E478:E507)</f>
        <v>10918928</v>
      </c>
      <c r="F508" s="200" t="n">
        <f aca="false">SUM(F478:F507)</f>
        <v>143914</v>
      </c>
      <c r="G508" s="201" t="n">
        <f aca="false">SUM(B508:F508)</f>
        <v>341168028</v>
      </c>
      <c r="H508" s="198" t="n">
        <f aca="false">SUM(H478:H507)</f>
        <v>98196195</v>
      </c>
      <c r="I508" s="198" t="n">
        <f aca="false">SUM(I478:I507)</f>
        <v>102305115</v>
      </c>
      <c r="J508" s="200" t="n">
        <f aca="false">SUM(H508:I508)</f>
        <v>200501310</v>
      </c>
      <c r="K508" s="197" t="n">
        <f aca="false">SUM(K478:K507)</f>
        <v>7928807</v>
      </c>
      <c r="L508" s="198" t="n">
        <f aca="false">SUM(L478:L507)</f>
        <v>8377685</v>
      </c>
      <c r="M508" s="200" t="n">
        <f aca="false">SUM(K508:L508)</f>
        <v>16306492</v>
      </c>
      <c r="N508" s="197" t="n">
        <f aca="false">SUM(N478:N507)</f>
        <v>7639</v>
      </c>
      <c r="O508" s="198" t="n">
        <f aca="false">SUM(O478:O507)</f>
        <v>7652</v>
      </c>
      <c r="P508" s="200" t="n">
        <f aca="false">SUM(N508:O508)</f>
        <v>15291</v>
      </c>
      <c r="Q508" s="135" t="str">
        <f aca="false">IF(P443=P508,"〇","×")</f>
        <v>×</v>
      </c>
    </row>
    <row r="509" s="135" customFormat="true" ht="11.25" hidden="false" customHeight="true" outlineLevel="0" collapsed="false">
      <c r="A509" s="403"/>
      <c r="B509" s="404"/>
      <c r="C509" s="405"/>
      <c r="D509" s="406"/>
      <c r="E509" s="407"/>
      <c r="F509" s="405"/>
      <c r="G509" s="408"/>
      <c r="H509" s="406"/>
      <c r="I509" s="406"/>
      <c r="J509" s="405"/>
      <c r="K509" s="406"/>
      <c r="L509" s="406"/>
      <c r="M509" s="405"/>
      <c r="N509" s="406"/>
      <c r="O509" s="406"/>
      <c r="P509" s="405"/>
      <c r="Q509" s="135" t="str">
        <f aca="false">IF(P444=P509,"〇","×")</f>
        <v>〇</v>
      </c>
    </row>
    <row r="510" s="135" customFormat="true" ht="9.75" hidden="false" customHeight="true" outlineLevel="0" collapsed="false">
      <c r="A510" s="403"/>
      <c r="B510" s="404"/>
      <c r="C510" s="405"/>
      <c r="D510" s="406"/>
      <c r="E510" s="407"/>
      <c r="F510" s="405"/>
      <c r="G510" s="408"/>
      <c r="H510" s="406"/>
      <c r="I510" s="406"/>
      <c r="J510" s="405"/>
      <c r="K510" s="406"/>
      <c r="L510" s="406"/>
      <c r="M510" s="405"/>
      <c r="N510" s="406"/>
      <c r="O510" s="406"/>
      <c r="P510" s="405"/>
      <c r="Q510" s="135" t="str">
        <f aca="false">IF(P445=P510,"〇","×")</f>
        <v>〇</v>
      </c>
    </row>
    <row r="511" s="135" customFormat="true" ht="20.1" hidden="false" customHeight="true" outlineLevel="0" collapsed="false">
      <c r="A511" s="214" t="s">
        <v>208</v>
      </c>
      <c r="B511" s="409" t="n">
        <f aca="false">SUMIFS(報告入力!$AY$7:$AY$696,報告入力!$A$7:$A$696,$S$457,報告入力!$B$7:$B$696,$A511)</f>
        <v>145485</v>
      </c>
      <c r="C511" s="410" t="n">
        <f aca="false">SUMIFS(報告入力!$AZ$7:$AZ$696,報告入力!$A$7:$A$696,$S$457,報告入力!$B$7:$B$696,$A511)</f>
        <v>11925</v>
      </c>
      <c r="D511" s="238" t="n">
        <f aca="false">SUMIFS(報告入力!$BA$7:$BA$696,報告入力!$A$7:$A$696,$S$457,報告入力!$B$7:$B$696,$A511)</f>
        <v>145485</v>
      </c>
      <c r="E511" s="239" t="n">
        <f aca="false">SUMIFS(報告入力!$BB$7:$BB$696,報告入力!$A$7:$A$696,$S$457,報告入力!$B$7:$B$696,$A511)</f>
        <v>11925</v>
      </c>
      <c r="F511" s="393" t="n">
        <f aca="false">SUMIFS(報告入力!$BC$7:$BC$696,報告入力!$A$7:$A$696,$S$457,報告入力!$B$7:$B$696,$A511)</f>
        <v>149</v>
      </c>
      <c r="G511" s="391" t="n">
        <f aca="false">SUM(B511:F511)</f>
        <v>314969</v>
      </c>
      <c r="H511" s="155"/>
      <c r="I511" s="155"/>
      <c r="J511" s="221" t="n">
        <f aca="false">SUM(H511:I511)</f>
        <v>0</v>
      </c>
      <c r="K511" s="155"/>
      <c r="L511" s="155"/>
      <c r="M511" s="221" t="n">
        <f aca="false">SUM(K511:L511)</f>
        <v>0</v>
      </c>
      <c r="N511" s="155"/>
      <c r="O511" s="155"/>
      <c r="P511" s="221" t="n">
        <f aca="false">SUM(N511:O511)</f>
        <v>0</v>
      </c>
      <c r="Q511" s="135" t="str">
        <f aca="false">IF(P446=P511,"〇","×")</f>
        <v>〇</v>
      </c>
      <c r="R511" s="135" t="str">
        <f aca="false">IFERROR(INDEX(報告入力!$C$7:$C$696,MATCH($S$457&amp;"|"&amp;$A511,報告入力!$CM$7:$CM$696,0)),"")</f>
        <v>未受領</v>
      </c>
    </row>
    <row r="512" s="135" customFormat="true" ht="21.75" hidden="false" customHeight="true" outlineLevel="0" collapsed="false">
      <c r="A512" s="214" t="s">
        <v>209</v>
      </c>
      <c r="B512" s="411" t="n">
        <f aca="false">SUMIFS(報告入力!$AY$7:$AY$696,報告入力!$A$7:$A$696,$S$457,報告入力!$B$7:$B$696,$A512)</f>
        <v>53985</v>
      </c>
      <c r="C512" s="412" t="n">
        <f aca="false">SUMIFS(報告入力!$AZ$7:$AZ$696,報告入力!$A$7:$A$696,$S$457,報告入力!$B$7:$B$696,$A512)</f>
        <v>4425</v>
      </c>
      <c r="D512" s="413" t="n">
        <f aca="false">SUMIFS(報告入力!$BA$7:$BA$696,報告入力!$A$7:$A$696,$S$457,報告入力!$B$7:$B$696,$A512)</f>
        <v>53985</v>
      </c>
      <c r="E512" s="414" t="n">
        <f aca="false">SUMIFS(報告入力!$BB$7:$BB$696,報告入力!$A$7:$A$696,$S$457,報告入力!$B$7:$B$696,$A512)</f>
        <v>4425</v>
      </c>
      <c r="F512" s="415" t="n">
        <f aca="false">SUMIFS(報告入力!$BC$7:$BC$696,報告入力!$A$7:$A$696,$S$457,報告入力!$B$7:$B$696,$A512)</f>
        <v>51</v>
      </c>
      <c r="G512" s="391" t="n">
        <f aca="false">SUM(B512:F512)</f>
        <v>116871</v>
      </c>
      <c r="H512" s="277"/>
      <c r="I512" s="277"/>
      <c r="J512" s="278" t="n">
        <f aca="false">SUM(H512:I512)</f>
        <v>0</v>
      </c>
      <c r="K512" s="277"/>
      <c r="L512" s="277"/>
      <c r="M512" s="278" t="n">
        <f aca="false">SUM(K512:L512)</f>
        <v>0</v>
      </c>
      <c r="N512" s="277"/>
      <c r="O512" s="277"/>
      <c r="P512" s="278" t="n">
        <f aca="false">SUM(N512:O512)</f>
        <v>0</v>
      </c>
      <c r="Q512" s="135" t="str">
        <f aca="false">IF(P447=P512,"〇","×")</f>
        <v>〇</v>
      </c>
      <c r="R512" s="135" t="str">
        <f aca="false">IFERROR(INDEX(報告入力!$C$7:$C$696,MATCH($S$457&amp;"|"&amp;$A512,報告入力!$CM$7:$CM$696,0)),"")</f>
        <v>受領済</v>
      </c>
    </row>
    <row r="513" s="135" customFormat="true" ht="19.5" hidden="false" customHeight="true" outlineLevel="0" collapsed="false">
      <c r="A513" s="196" t="s">
        <v>497</v>
      </c>
      <c r="B513" s="197" t="n">
        <f aca="false">SUM(B511:B512)</f>
        <v>199470</v>
      </c>
      <c r="C513" s="200" t="n">
        <f aca="false">SUM(C511:C512)</f>
        <v>16350</v>
      </c>
      <c r="D513" s="198" t="n">
        <f aca="false">SUM(D511:D512)</f>
        <v>199470</v>
      </c>
      <c r="E513" s="199" t="n">
        <f aca="false">SUM(E511:E512)</f>
        <v>16350</v>
      </c>
      <c r="F513" s="200" t="n">
        <f aca="false">SUM(F511:F512)</f>
        <v>200</v>
      </c>
      <c r="G513" s="201" t="n">
        <f aca="false">SUM(B513:F513)</f>
        <v>431840</v>
      </c>
      <c r="H513" s="281" t="n">
        <f aca="false">SUM(H511:H512)</f>
        <v>0</v>
      </c>
      <c r="I513" s="282" t="n">
        <f aca="false">SUM(I511:I512)</f>
        <v>0</v>
      </c>
      <c r="J513" s="283" t="n">
        <f aca="false">SUM(H513:I513)</f>
        <v>0</v>
      </c>
      <c r="K513" s="281" t="n">
        <f aca="false">SUM(K511:K512)</f>
        <v>0</v>
      </c>
      <c r="L513" s="282" t="n">
        <f aca="false">SUM(L511:L512)</f>
        <v>0</v>
      </c>
      <c r="M513" s="283" t="n">
        <f aca="false">SUM(K513:L513)</f>
        <v>0</v>
      </c>
      <c r="N513" s="281" t="n">
        <f aca="false">SUM(N511:N512)</f>
        <v>0</v>
      </c>
      <c r="O513" s="282" t="n">
        <f aca="false">SUM(O511:O512)</f>
        <v>0</v>
      </c>
      <c r="P513" s="283" t="n">
        <f aca="false">SUM(N513:O513)</f>
        <v>0</v>
      </c>
      <c r="Q513" s="135" t="str">
        <f aca="false">IF(P448=P513,"〇","×")</f>
        <v>〇</v>
      </c>
    </row>
    <row r="514" s="135" customFormat="true" ht="20.1" hidden="false" customHeight="true" outlineLevel="0" collapsed="false">
      <c r="A514" s="125" t="s">
        <v>210</v>
      </c>
      <c r="B514" s="240" t="n">
        <f aca="false">SUMIFS(報告入力!$AY$7:$AY$696,報告入力!$A$7:$A$696,$S$457,報告入力!$B$7:$B$696,$A514)</f>
        <v>29280</v>
      </c>
      <c r="C514" s="237" t="n">
        <f aca="false">SUMIFS(報告入力!$AZ$7:$AZ$696,報告入力!$A$7:$A$696,$S$457,報告入力!$B$7:$B$696,$A514)</f>
        <v>2400</v>
      </c>
      <c r="D514" s="203" t="n">
        <f aca="false">SUMIFS(報告入力!$BA$7:$BA$696,報告入力!$A$7:$A$696,$S$457,報告入力!$B$7:$B$696,$A514)</f>
        <v>29280</v>
      </c>
      <c r="E514" s="207" t="n">
        <f aca="false">SUMIFS(報告入力!$BB$7:$BB$696,報告入力!$A$7:$A$696,$S$457,報告入力!$B$7:$B$696,$A514)</f>
        <v>2400</v>
      </c>
      <c r="F514" s="337"/>
      <c r="G514" s="206" t="n">
        <f aca="false">SUM(B514:F514)</f>
        <v>63360</v>
      </c>
      <c r="H514" s="207" t="n">
        <f aca="false">SUMIFS(報告入力!$BD$7:$BD$696,報告入力!$A$7:$A$696,$S$457,報告入力!$B$7:$B$696,$A514)</f>
        <v>17603</v>
      </c>
      <c r="I514" s="208" t="n">
        <f aca="false">SUMIFS(報告入力!$BE$7:$BE$696,報告入力!$A$7:$A$696,$S$457,報告入力!$B$7:$B$696,$A514)</f>
        <v>17635</v>
      </c>
      <c r="J514" s="160" t="n">
        <f aca="false">SUM(H514:I514)</f>
        <v>35238</v>
      </c>
      <c r="K514" s="207" t="n">
        <f aca="false">SUMIFS(報告入力!$BF$7:$BF$696,報告入力!$A$7:$A$696,$S$457,報告入力!$B$7:$B$696,$A514)</f>
        <v>2528</v>
      </c>
      <c r="L514" s="208" t="n">
        <f aca="false">SUMIFS(報告入力!$BG$7:$BG$696,報告入力!$A$7:$A$696,$S$457,報告入力!$B$7:$B$696,$A514)</f>
        <v>2528</v>
      </c>
      <c r="M514" s="160" t="n">
        <f aca="false">SUM(K514:L514)</f>
        <v>5056</v>
      </c>
      <c r="N514" s="207" t="n">
        <f aca="false">SUMIFS(報告入力!$BH$7:$BH$696,報告入力!$A$7:$A$696,$S$457,報告入力!$B$7:$B$696,$A514)</f>
        <v>1</v>
      </c>
      <c r="O514" s="208" t="n">
        <f aca="false">SUMIFS(報告入力!$BI$7:$BI$696,報告入力!$A$7:$A$696,$S$457,報告入力!$B$7:$B$696,$A514)</f>
        <v>1</v>
      </c>
      <c r="P514" s="160" t="n">
        <f aca="false">SUM(N514:O514)</f>
        <v>2</v>
      </c>
      <c r="Q514" s="135" t="str">
        <f aca="false">IF(P449=P514,"〇","×")</f>
        <v>×</v>
      </c>
      <c r="R514" s="135" t="str">
        <f aca="false">IFERROR(INDEX(報告入力!$C$7:$C$696,MATCH($S$457&amp;"|"&amp;$A514,報告入力!$CM$7:$CM$696,0)),"")</f>
        <v>未受領</v>
      </c>
    </row>
    <row r="515" s="135" customFormat="true" ht="20.1" hidden="false" customHeight="true" outlineLevel="0" collapsed="false">
      <c r="A515" s="125" t="s">
        <v>211</v>
      </c>
      <c r="B515" s="240" t="n">
        <f aca="false">SUMIFS(報告入力!$AY$7:$AY$696,報告入力!$A$7:$A$696,$S$457,報告入力!$B$7:$B$696,$A515)</f>
        <v>0</v>
      </c>
      <c r="C515" s="237" t="n">
        <f aca="false">SUMIFS(報告入力!$AZ$7:$AZ$696,報告入力!$A$7:$A$696,$S$457,報告入力!$B$7:$B$696,$A515)</f>
        <v>0</v>
      </c>
      <c r="D515" s="203" t="n">
        <f aca="false">SUMIFS(報告入力!$BA$7:$BA$696,報告入力!$A$7:$A$696,$S$457,報告入力!$B$7:$B$696,$A515)</f>
        <v>0</v>
      </c>
      <c r="E515" s="207" t="n">
        <f aca="false">SUMIFS(報告入力!$BB$7:$BB$696,報告入力!$A$7:$A$696,$S$457,報告入力!$B$7:$B$696,$A515)</f>
        <v>0</v>
      </c>
      <c r="F515" s="337"/>
      <c r="G515" s="206" t="n">
        <f aca="false">SUM(B515:F515)</f>
        <v>0</v>
      </c>
      <c r="H515" s="207" t="n">
        <f aca="false">SUMIFS(報告入力!$BD$7:$BD$696,報告入力!$A$7:$A$696,$S$457,報告入力!$B$7:$B$696,$A515)</f>
        <v>0</v>
      </c>
      <c r="I515" s="208" t="n">
        <f aca="false">SUMIFS(報告入力!$BE$7:$BE$696,報告入力!$A$7:$A$696,$S$457,報告入力!$B$7:$B$696,$A515)</f>
        <v>0</v>
      </c>
      <c r="J515" s="160" t="n">
        <f aca="false">SUM(H515:I515)</f>
        <v>0</v>
      </c>
      <c r="K515" s="287" t="n">
        <f aca="false">SUMIFS(報告入力!$BF$7:$BF$696,報告入力!$A$7:$A$696,$S$457,報告入力!$B$7:$B$696,$A515)</f>
        <v>0</v>
      </c>
      <c r="L515" s="208" t="n">
        <f aca="false">SUMIFS(報告入力!$BG$7:$BG$696,報告入力!$A$7:$A$696,$S$457,報告入力!$B$7:$B$696,$A515)</f>
        <v>0</v>
      </c>
      <c r="M515" s="160" t="n">
        <f aca="false">SUM(K515:L515)</f>
        <v>0</v>
      </c>
      <c r="N515" s="287" t="n">
        <f aca="false">SUMIFS(報告入力!$BH$7:$BH$696,報告入力!$A$7:$A$696,$S$457,報告入力!$B$7:$B$696,$A515)</f>
        <v>0</v>
      </c>
      <c r="O515" s="208" t="n">
        <f aca="false">SUMIFS(報告入力!$BI$7:$BI$696,報告入力!$A$7:$A$696,$S$457,報告入力!$B$7:$B$696,$A515)</f>
        <v>0</v>
      </c>
      <c r="P515" s="160" t="n">
        <f aca="false">SUM(N515:O515)</f>
        <v>0</v>
      </c>
      <c r="Q515" s="135" t="str">
        <f aca="false">IF(P450=P515,"〇","×")</f>
        <v>〇</v>
      </c>
      <c r="R515" s="135" t="str">
        <f aca="false">IFERROR(INDEX(報告入力!$C$7:$C$696,MATCH($S$457&amp;"|"&amp;$A515,報告入力!$CM$7:$CM$696,0)),"")</f>
        <v>未受領</v>
      </c>
    </row>
    <row r="516" s="135" customFormat="true" ht="20.1" hidden="false" customHeight="true" outlineLevel="0" collapsed="false">
      <c r="A516" s="217" t="s">
        <v>212</v>
      </c>
      <c r="B516" s="353" t="n">
        <f aca="false">SUMIFS(報告入力!$AY$7:$AY$696,報告入力!$A$7:$A$696,$S$457,報告入力!$B$7:$B$696,$A516)</f>
        <v>29280</v>
      </c>
      <c r="C516" s="396" t="n">
        <f aca="false">SUMIFS(報告入力!$AZ$7:$AZ$696,報告入力!$A$7:$A$696,$S$457,報告入力!$B$7:$B$696,$A516)</f>
        <v>2400</v>
      </c>
      <c r="D516" s="242" t="n">
        <f aca="false">SUMIFS(報告入力!$BA$7:$BA$696,報告入力!$A$7:$A$696,$S$457,報告入力!$B$7:$B$696,$A516)</f>
        <v>29280</v>
      </c>
      <c r="E516" s="158" t="n">
        <f aca="false">SUMIFS(報告入力!$BB$7:$BB$696,報告入力!$A$7:$A$696,$S$457,報告入力!$B$7:$B$696,$A516)</f>
        <v>2400</v>
      </c>
      <c r="F516" s="337"/>
      <c r="G516" s="206" t="n">
        <f aca="false">SUM(B516:F516)</f>
        <v>63360</v>
      </c>
      <c r="H516" s="158" t="n">
        <f aca="false">SUMIFS(報告入力!$BD$7:$BD$696,報告入力!$A$7:$A$696,$S$457,報告入力!$B$7:$B$696,$A516)</f>
        <v>32153</v>
      </c>
      <c r="I516" s="159" t="n">
        <f aca="false">SUMIFS(報告入力!$BE$7:$BE$696,報告入力!$A$7:$A$696,$S$457,報告入力!$B$7:$B$696,$A516)</f>
        <v>32184</v>
      </c>
      <c r="J516" s="160" t="n">
        <f aca="false">SUM(H516:I516)</f>
        <v>64337</v>
      </c>
      <c r="K516" s="161" t="n">
        <f aca="false">SUMIFS(報告入力!$BF$7:$BF$696,報告入力!$A$7:$A$696,$S$457,報告入力!$B$7:$B$696,$A516)</f>
        <v>2370</v>
      </c>
      <c r="L516" s="159" t="n">
        <f aca="false">SUMIFS(報告入力!$BG$7:$BG$696,報告入力!$A$7:$A$696,$S$457,報告入力!$B$7:$B$696,$A516)</f>
        <v>2370</v>
      </c>
      <c r="M516" s="160" t="n">
        <f aca="false">SUM(K516:L516)</f>
        <v>4740</v>
      </c>
      <c r="N516" s="161" t="n">
        <f aca="false">SUMIFS(報告入力!$BH$7:$BH$696,報告入力!$A$7:$A$696,$S$457,報告入力!$B$7:$B$696,$A516)</f>
        <v>713</v>
      </c>
      <c r="O516" s="159" t="n">
        <f aca="false">SUMIFS(報告入力!$BI$7:$BI$696,報告入力!$A$7:$A$696,$S$457,報告入力!$B$7:$B$696,$A516)</f>
        <v>713</v>
      </c>
      <c r="P516" s="160" t="n">
        <f aca="false">SUM(N516:O516)</f>
        <v>1426</v>
      </c>
      <c r="Q516" s="135" t="str">
        <f aca="false">IF(P451=P516,"〇","×")</f>
        <v>〇</v>
      </c>
      <c r="R516" s="135" t="str">
        <f aca="false">IFERROR(INDEX(報告入力!$C$7:$C$696,MATCH($S$457&amp;"|"&amp;$A516,報告入力!$CM$7:$CM$696,0)),"")</f>
        <v>受領済</v>
      </c>
    </row>
    <row r="517" s="135" customFormat="true" ht="20.1" hidden="false" customHeight="true" outlineLevel="0" collapsed="false">
      <c r="A517" s="217" t="s">
        <v>213</v>
      </c>
      <c r="B517" s="240"/>
      <c r="C517" s="237"/>
      <c r="D517" s="203"/>
      <c r="E517" s="207"/>
      <c r="F517" s="337"/>
      <c r="G517" s="206" t="n">
        <f aca="false">SUM(B517:F517)</f>
        <v>0</v>
      </c>
      <c r="H517" s="357"/>
      <c r="I517" s="358"/>
      <c r="J517" s="309" t="n">
        <f aca="false">SUM(H517:I517)</f>
        <v>0</v>
      </c>
      <c r="K517" s="359"/>
      <c r="L517" s="358"/>
      <c r="M517" s="309" t="n">
        <f aca="false">SUM(K517:L517)</f>
        <v>0</v>
      </c>
      <c r="N517" s="359"/>
      <c r="O517" s="358"/>
      <c r="P517" s="309" t="n">
        <f aca="false">SUM(N517:O517)</f>
        <v>0</v>
      </c>
      <c r="Q517" s="135" t="str">
        <f aca="false">IF(P452=P517,"〇","×")</f>
        <v>〇</v>
      </c>
      <c r="R517" s="135" t="str">
        <f aca="false">IFERROR(INDEX(報告入力!$C$7:$C$696,MATCH($S$457&amp;"|"&amp;$A517,報告入力!$CM$7:$CM$696,0)),"")</f>
        <v>報告なし</v>
      </c>
    </row>
    <row r="518" s="135" customFormat="true" ht="20.1" hidden="false" customHeight="true" outlineLevel="0" collapsed="false">
      <c r="A518" s="196" t="s">
        <v>497</v>
      </c>
      <c r="B518" s="197" t="n">
        <f aca="false">SUM(B514:B517)</f>
        <v>58560</v>
      </c>
      <c r="C518" s="201" t="n">
        <f aca="false">SUM(C514:C517)</f>
        <v>4800</v>
      </c>
      <c r="D518" s="197" t="n">
        <f aca="false">SUM(D514:D517)</f>
        <v>58560</v>
      </c>
      <c r="E518" s="199" t="n">
        <f aca="false">SUM(E514:E517)</f>
        <v>4800</v>
      </c>
      <c r="F518" s="200" t="n">
        <f aca="false">SUM(F514:F517)</f>
        <v>0</v>
      </c>
      <c r="G518" s="201" t="n">
        <f aca="false">SUM(B518:F518)</f>
        <v>126720</v>
      </c>
      <c r="H518" s="301" t="n">
        <f aca="false">SUM(H514:H517)</f>
        <v>49756</v>
      </c>
      <c r="I518" s="199" t="n">
        <f aca="false">SUM(I514:I517)</f>
        <v>49819</v>
      </c>
      <c r="J518" s="200" t="n">
        <f aca="false">SUM(H518:I518)</f>
        <v>99575</v>
      </c>
      <c r="K518" s="197" t="n">
        <f aca="false">SUM(K514:K517)</f>
        <v>4898</v>
      </c>
      <c r="L518" s="301" t="n">
        <f aca="false">SUM(L514:L517)</f>
        <v>4898</v>
      </c>
      <c r="M518" s="200" t="n">
        <f aca="false">SUM(K518:L518)</f>
        <v>9796</v>
      </c>
      <c r="N518" s="197" t="n">
        <f aca="false">SUM(N514:N517)</f>
        <v>714</v>
      </c>
      <c r="O518" s="301" t="n">
        <f aca="false">SUM(O514:O517)</f>
        <v>714</v>
      </c>
      <c r="P518" s="200" t="n">
        <f aca="false">SUM(N518:O518)</f>
        <v>1428</v>
      </c>
      <c r="Q518" s="135" t="str">
        <f aca="false">IF(P453=P518,"〇","×")</f>
        <v>×</v>
      </c>
    </row>
    <row r="519" s="135" customFormat="true" ht="20.1" hidden="false" customHeight="true" outlineLevel="0" collapsed="false">
      <c r="A519" s="302" t="s">
        <v>214</v>
      </c>
      <c r="B519" s="303"/>
      <c r="C519" s="304"/>
      <c r="D519" s="305"/>
      <c r="E519" s="306"/>
      <c r="F519" s="292"/>
      <c r="G519" s="293"/>
      <c r="H519" s="357" t="n">
        <f aca="false">SUMIFS(報告入力!$BD$7:$BD$696,報告入力!$A$7:$A$696,$S$457,報告入力!$B$7:$B$696,$A519)</f>
        <v>2637097</v>
      </c>
      <c r="I519" s="339"/>
      <c r="J519" s="309" t="n">
        <f aca="false">SUM(H519:I519)</f>
        <v>2637097</v>
      </c>
      <c r="K519" s="357" t="n">
        <f aca="false">SUMIFS(報告入力!$BF$7:$BF$696,報告入力!$A$7:$A$696,$S$457,報告入力!$B$7:$B$696,$A519)</f>
        <v>123617</v>
      </c>
      <c r="L519" s="339"/>
      <c r="M519" s="309" t="n">
        <f aca="false">SUM(K519:L519)</f>
        <v>123617</v>
      </c>
      <c r="N519" s="357" t="n">
        <f aca="false">SUMIFS(報告入力!$BH$7:$BH$696,報告入力!$A$7:$A$696,$S$457,報告入力!$B$7:$B$696,$A519)</f>
        <v>1</v>
      </c>
      <c r="O519" s="339"/>
      <c r="P519" s="309" t="n">
        <f aca="false">SUM(N519:O519)</f>
        <v>1</v>
      </c>
      <c r="Q519" s="135" t="str">
        <f aca="false">IF(P454=P519,"〇","×")</f>
        <v>×</v>
      </c>
      <c r="R519" s="135" t="str">
        <f aca="false">IFERROR(INDEX(報告入力!$C$7:$C$696,MATCH($S$457&amp;"|"&amp;$A519,報告入力!$CM$7:$CM$696,0)),"")</f>
        <v>未受領</v>
      </c>
    </row>
    <row r="520" s="135" customFormat="true" ht="30" hidden="false" customHeight="true" outlineLevel="0" collapsed="false">
      <c r="A520" s="310" t="s">
        <v>499</v>
      </c>
      <c r="B520" s="311" t="n">
        <f aca="false">SUM(+B477+B508+B513+B518+B519)</f>
        <v>482544009</v>
      </c>
      <c r="C520" s="312" t="n">
        <f aca="false">SUM(+C477+C508+C513+C518+C519)</f>
        <v>39551964</v>
      </c>
      <c r="D520" s="311" t="n">
        <f aca="false">SUM(+D477+D508+D513+D518+D519)</f>
        <v>709850896</v>
      </c>
      <c r="E520" s="313" t="n">
        <f aca="false">SUM(+E477+E508+E513+E518+E519)</f>
        <v>39528595</v>
      </c>
      <c r="F520" s="312" t="n">
        <f aca="false">SUM(+F477+F508+F513+F518+F519)</f>
        <v>514821</v>
      </c>
      <c r="G520" s="314" t="n">
        <f aca="false">SUM(B520:F520)</f>
        <v>1271990285</v>
      </c>
      <c r="H520" s="315" t="n">
        <f aca="false">SUM(+H477+H508+H513+H518+H519)</f>
        <v>367864881</v>
      </c>
      <c r="I520" s="315" t="n">
        <f aca="false">SUM(+I477+I508+I513+I518+I519)</f>
        <v>370249515</v>
      </c>
      <c r="J520" s="316" t="n">
        <f aca="false">SUM(H520:I520)</f>
        <v>738114396</v>
      </c>
      <c r="K520" s="317" t="n">
        <f aca="false">SUM(+K477+K508+K513+K518+K519)</f>
        <v>31229592</v>
      </c>
      <c r="L520" s="315" t="n">
        <f aca="false">SUM(+L477+L508+L513+L518+L519)</f>
        <v>31107974</v>
      </c>
      <c r="M520" s="316" t="n">
        <f aca="false">SUM(K520:L520)</f>
        <v>62337566</v>
      </c>
      <c r="N520" s="317" t="n">
        <f aca="false">SUM(+N477+N508+N513+N518+N519)</f>
        <v>8366</v>
      </c>
      <c r="O520" s="315" t="n">
        <f aca="false">SUM(+O477+O508+O513+O518+O519)</f>
        <v>8378</v>
      </c>
      <c r="P520" s="316" t="n">
        <f aca="false">SUM(N520:O520)</f>
        <v>16744</v>
      </c>
      <c r="Q520" s="135" t="str">
        <f aca="false">IF(P455=P520,"〇","×")</f>
        <v>×</v>
      </c>
    </row>
    <row r="521" s="341" customFormat="true" ht="39" hidden="false" customHeight="true" outlineLevel="0" collapsed="false">
      <c r="A521" s="340"/>
      <c r="G521" s="109"/>
      <c r="Q521" s="341" t="str">
        <f aca="false">IF(P456=P521,"〇","×")</f>
        <v>〇</v>
      </c>
    </row>
    <row r="522" s="322" customFormat="true" ht="30" hidden="false" customHeight="true" outlineLevel="0" collapsed="false">
      <c r="A522" s="320"/>
      <c r="B522" s="416" t="n">
        <f aca="false">EOMONTH(B457,1)</f>
        <v>46356</v>
      </c>
      <c r="C522" s="416"/>
      <c r="D522" s="416"/>
      <c r="E522" s="416"/>
      <c r="F522" s="416"/>
      <c r="G522" s="416"/>
      <c r="H522" s="112" t="n">
        <f aca="false">B522</f>
        <v>46356</v>
      </c>
      <c r="I522" s="112"/>
      <c r="J522" s="112"/>
      <c r="K522" s="112" t="n">
        <f aca="false">H522</f>
        <v>46356</v>
      </c>
      <c r="L522" s="112"/>
      <c r="M522" s="112"/>
      <c r="N522" s="112" t="n">
        <f aca="false">K522</f>
        <v>46356</v>
      </c>
      <c r="O522" s="112"/>
      <c r="P522" s="112"/>
      <c r="Q522" s="322" t="str">
        <f aca="false">IF(P457=P522,"〇","×")</f>
        <v>〇</v>
      </c>
      <c r="S522" s="322" t="s">
        <v>508</v>
      </c>
    </row>
    <row r="523" customFormat="false" ht="22.5" hidden="false" customHeight="true" outlineLevel="0" collapsed="false">
      <c r="A523" s="114" t="s">
        <v>483</v>
      </c>
      <c r="B523" s="114" t="s">
        <v>484</v>
      </c>
      <c r="C523" s="114"/>
      <c r="D523" s="114"/>
      <c r="E523" s="114"/>
      <c r="F523" s="114"/>
      <c r="G523" s="114"/>
      <c r="H523" s="116" t="s">
        <v>485</v>
      </c>
      <c r="I523" s="116"/>
      <c r="J523" s="116"/>
      <c r="K523" s="116" t="s">
        <v>486</v>
      </c>
      <c r="L523" s="116"/>
      <c r="M523" s="116"/>
      <c r="N523" s="116" t="str">
        <f aca="false">$N$3</f>
        <v>子ども・子育て支援納付金</v>
      </c>
      <c r="O523" s="116"/>
      <c r="P523" s="116"/>
      <c r="Q523" s="105" t="str">
        <f aca="false">IF(P458=P523,"〇","×")</f>
        <v>〇</v>
      </c>
    </row>
    <row r="524" customFormat="false" ht="22.5" hidden="false" customHeight="true" outlineLevel="0" collapsed="false">
      <c r="A524" s="114"/>
      <c r="B524" s="117" t="s">
        <v>487</v>
      </c>
      <c r="C524" s="117"/>
      <c r="D524" s="117" t="s">
        <v>488</v>
      </c>
      <c r="E524" s="117"/>
      <c r="F524" s="117"/>
      <c r="G524" s="117" t="s">
        <v>489</v>
      </c>
      <c r="H524" s="121" t="s">
        <v>490</v>
      </c>
      <c r="I524" s="119" t="s">
        <v>491</v>
      </c>
      <c r="J524" s="120" t="s">
        <v>489</v>
      </c>
      <c r="K524" s="121" t="s">
        <v>490</v>
      </c>
      <c r="L524" s="119" t="s">
        <v>491</v>
      </c>
      <c r="M524" s="120" t="s">
        <v>489</v>
      </c>
      <c r="N524" s="121" t="s">
        <v>490</v>
      </c>
      <c r="O524" s="119" t="s">
        <v>491</v>
      </c>
      <c r="P524" s="120" t="s">
        <v>489</v>
      </c>
      <c r="Q524" s="105" t="str">
        <f aca="false">IF(P459=P524,"〇","×")</f>
        <v>〇</v>
      </c>
    </row>
    <row r="525" customFormat="false" ht="22.5" hidden="false" customHeight="true" outlineLevel="0" collapsed="false">
      <c r="A525" s="114"/>
      <c r="B525" s="122" t="s">
        <v>492</v>
      </c>
      <c r="C525" s="123" t="s">
        <v>493</v>
      </c>
      <c r="D525" s="124" t="s">
        <v>492</v>
      </c>
      <c r="E525" s="124" t="s">
        <v>494</v>
      </c>
      <c r="F525" s="123" t="s">
        <v>93</v>
      </c>
      <c r="G525" s="117"/>
      <c r="H525" s="121"/>
      <c r="I525" s="119"/>
      <c r="J525" s="120"/>
      <c r="K525" s="121"/>
      <c r="L525" s="119"/>
      <c r="M525" s="120"/>
      <c r="N525" s="121"/>
      <c r="O525" s="119"/>
      <c r="P525" s="120"/>
      <c r="Q525" s="105" t="str">
        <f aca="false">IF(P460=P525,"〇","×")</f>
        <v>〇</v>
      </c>
    </row>
    <row r="526" s="135" customFormat="true" ht="20.1" hidden="false" customHeight="true" outlineLevel="0" collapsed="false">
      <c r="A526" s="125" t="s">
        <v>166</v>
      </c>
      <c r="B526" s="240" t="n">
        <f aca="false">SUMIFS(報告入力!$AY$7:$AY$696,報告入力!$A$7:$A$696,$S$522,報告入力!$B$7:$B$696,$A526)</f>
        <v>233143283</v>
      </c>
      <c r="C526" s="237" t="n">
        <f aca="false">SUMIFS(報告入力!$AZ$7:$AZ$696,報告入力!$A$7:$A$696,$S$522,報告入力!$B$7:$B$696,$A526)</f>
        <v>19118957</v>
      </c>
      <c r="D526" s="203" t="n">
        <f aca="false">SUMIFS(報告入力!$BA$7:$BA$696,報告入力!$A$7:$A$696,$S$522,報告入力!$B$7:$B$696,$A526)</f>
        <v>338993504</v>
      </c>
      <c r="E526" s="207" t="n">
        <f aca="false">SUMIFS(報告入力!$BB$7:$BB$696,報告入力!$A$7:$A$696,$S$522,報告入力!$B$7:$B$696,$A526)</f>
        <v>18571005</v>
      </c>
      <c r="F526" s="237" t="n">
        <f aca="false">SUMIFS(報告入力!$BC$7:$BC$696,報告入力!$A$7:$A$696,$S$522,報告入力!$B$7:$B$696,$A526)</f>
        <v>245094</v>
      </c>
      <c r="G526" s="417" t="n">
        <f aca="false">SUM(B526:F526)</f>
        <v>610071843</v>
      </c>
      <c r="H526" s="240" t="n">
        <f aca="false">SUMIFS(報告入力!$BD$7:$BD$696,報告入力!$A$7:$A$696,$S$522,報告入力!$B$7:$B$696,$A526)</f>
        <v>180313202</v>
      </c>
      <c r="I526" s="208" t="n">
        <f aca="false">SUMIFS(報告入力!$BE$7:$BE$696,報告入力!$A$7:$A$696,$S$522,報告入力!$B$7:$B$696,$A526)</f>
        <v>179630662</v>
      </c>
      <c r="J526" s="418" t="n">
        <f aca="false">SUM(H526:I526)</f>
        <v>359943864</v>
      </c>
      <c r="K526" s="385" t="n">
        <f aca="false">SUMIFS(報告入力!$BF$7:$BF$696,報告入力!$A$7:$A$696,$S$522,報告入力!$B$7:$B$696,$A526)</f>
        <v>15791898</v>
      </c>
      <c r="L526" s="387" t="n">
        <f aca="false">SUMIFS(報告入力!$BG$7:$BG$696,報告入力!$A$7:$A$696,$S$522,報告入力!$B$7:$B$696,$A526)</f>
        <v>15319802</v>
      </c>
      <c r="M526" s="206" t="n">
        <f aca="false">SUM(K526:L526)</f>
        <v>31111700</v>
      </c>
      <c r="N526" s="385" t="n">
        <f aca="false">SUMIFS(報告入力!$BH$7:$BH$696,報告入力!$A$7:$A$696,$S$522,報告入力!$B$7:$B$696,$A526)</f>
        <v>1</v>
      </c>
      <c r="O526" s="387" t="n">
        <f aca="false">SUMIFS(報告入力!$BI$7:$BI$696,報告入力!$A$7:$A$696,$S$522,報告入力!$B$7:$B$696,$A526)</f>
        <v>1</v>
      </c>
      <c r="P526" s="206" t="n">
        <f aca="false">SUM(N526:O526)</f>
        <v>2</v>
      </c>
      <c r="Q526" s="135" t="str">
        <f aca="false">IF(P461=P526,"〇","×")</f>
        <v>〇</v>
      </c>
      <c r="R526" s="135" t="str">
        <f aca="false">IFERROR(INDEX(報告入力!$C$7:$C$696,MATCH($S$522&amp;"|"&amp;$A526,報告入力!$CM$7:$CM$696,0)),"")</f>
        <v>未受領</v>
      </c>
    </row>
    <row r="527" s="135" customFormat="true" ht="20.1" hidden="false" customHeight="true" outlineLevel="0" collapsed="false">
      <c r="A527" s="125" t="s">
        <v>169</v>
      </c>
      <c r="B527" s="240" t="n">
        <f aca="false">SUMIFS(報告入力!$AY$7:$AY$696,報告入力!$A$7:$A$696,$S$522,報告入力!$B$7:$B$696,$A527)</f>
        <v>16631955</v>
      </c>
      <c r="C527" s="237" t="n">
        <f aca="false">SUMIFS(報告入力!$AZ$7:$AZ$696,報告入力!$A$7:$A$696,$S$522,報告入力!$B$7:$B$696,$A527)</f>
        <v>1363275</v>
      </c>
      <c r="D527" s="203" t="n">
        <f aca="false">SUMIFS(報告入力!$BA$7:$BA$696,報告入力!$A$7:$A$696,$S$522,報告入力!$B$7:$B$696,$A527)</f>
        <v>24204292</v>
      </c>
      <c r="E527" s="207" t="n">
        <f aca="false">SUMIFS(報告入力!$BB$7:$BB$696,報告入力!$A$7:$A$696,$S$522,報告入力!$B$7:$B$696,$A527)</f>
        <v>1363274</v>
      </c>
      <c r="F527" s="237" t="n">
        <f aca="false">SUMIFS(報告入力!$BC$7:$BC$696,報告入力!$A$7:$A$696,$S$522,報告入力!$B$7:$B$696,$A527)</f>
        <v>17126</v>
      </c>
      <c r="G527" s="417" t="n">
        <f aca="false">SUM(B527:F527)</f>
        <v>43579922</v>
      </c>
      <c r="H527" s="240" t="n">
        <f aca="false">SUMIFS(報告入力!$BD$7:$BD$696,報告入力!$A$7:$A$696,$S$522,報告入力!$B$7:$B$696,$A527)</f>
        <v>10416171</v>
      </c>
      <c r="I527" s="208" t="n">
        <f aca="false">SUMIFS(報告入力!$BE$7:$BE$696,報告入力!$A$7:$A$696,$S$522,報告入力!$B$7:$B$696,$A527)</f>
        <v>10600700</v>
      </c>
      <c r="J527" s="418" t="n">
        <f aca="false">SUM(H527:I527)</f>
        <v>21016871</v>
      </c>
      <c r="K527" s="203" t="n">
        <f aca="false">SUMIFS(報告入力!$BF$7:$BF$696,報告入力!$A$7:$A$696,$S$522,報告入力!$B$7:$B$696,$A527)</f>
        <v>1033903</v>
      </c>
      <c r="L527" s="387" t="n">
        <f aca="false">SUMIFS(報告入力!$BG$7:$BG$696,報告入力!$A$7:$A$696,$S$522,報告入力!$B$7:$B$696,$A527)</f>
        <v>1033903</v>
      </c>
      <c r="M527" s="206" t="n">
        <f aca="false">SUM(K527:L527)</f>
        <v>2067806</v>
      </c>
      <c r="N527" s="203" t="n">
        <f aca="false">SUMIFS(報告入力!$BH$7:$BH$696,報告入力!$A$7:$A$696,$S$522,報告入力!$B$7:$B$696,$A527)</f>
        <v>1</v>
      </c>
      <c r="O527" s="387" t="n">
        <f aca="false">SUMIFS(報告入力!$BI$7:$BI$696,報告入力!$A$7:$A$696,$S$522,報告入力!$B$7:$B$696,$A527)</f>
        <v>1</v>
      </c>
      <c r="P527" s="206" t="n">
        <f aca="false">SUM(N527:O527)</f>
        <v>2</v>
      </c>
      <c r="Q527" s="135" t="str">
        <f aca="false">IF(P462=P527,"〇","×")</f>
        <v>〇</v>
      </c>
      <c r="R527" s="135" t="str">
        <f aca="false">IFERROR(INDEX(報告入力!$C$7:$C$696,MATCH($S$522&amp;"|"&amp;$A527,報告入力!$CM$7:$CM$696,0)),"")</f>
        <v>未受領</v>
      </c>
    </row>
    <row r="528" s="135" customFormat="true" ht="20.25" hidden="false" customHeight="true" outlineLevel="0" collapsed="false">
      <c r="A528" s="125" t="s">
        <v>170</v>
      </c>
      <c r="B528" s="240" t="n">
        <f aca="false">SUMIFS(報告入力!$AY$7:$AY$696,報告入力!$A$7:$A$696,$S$522,報告入力!$B$7:$B$696,$A528)</f>
        <v>53556323</v>
      </c>
      <c r="C528" s="237" t="n">
        <f aca="false">SUMIFS(報告入力!$AZ$7:$AZ$696,報告入力!$A$7:$A$696,$S$522,報告入力!$B$7:$B$696,$A528)</f>
        <v>4392713</v>
      </c>
      <c r="D528" s="203" t="n">
        <f aca="false">SUMIFS(報告入力!$BA$7:$BA$696,報告入力!$A$7:$A$696,$S$522,報告入力!$B$7:$B$696,$A528)</f>
        <v>78209424</v>
      </c>
      <c r="E528" s="207" t="n">
        <f aca="false">SUMIFS(報告入力!$BB$7:$BB$696,報告入力!$A$7:$A$696,$S$522,報告入力!$B$7:$B$696,$A528)</f>
        <v>4391513</v>
      </c>
      <c r="F528" s="237" t="n">
        <f aca="false">SUMIFS(報告入力!$BC$7:$BC$696,報告入力!$A$7:$A$696,$S$522,報告入力!$B$7:$B$696,$A528)</f>
        <v>55502</v>
      </c>
      <c r="G528" s="417" t="n">
        <f aca="false">SUM(B528:F528)</f>
        <v>140605475</v>
      </c>
      <c r="H528" s="240" t="n">
        <f aca="false">SUMIFS(報告入力!$BD$7:$BD$696,報告入力!$A$7:$A$696,$S$522,報告入力!$B$7:$B$696,$A528)</f>
        <v>32917457</v>
      </c>
      <c r="I528" s="208" t="n">
        <f aca="false">SUMIFS(報告入力!$BE$7:$BE$696,報告入力!$A$7:$A$696,$S$522,報告入力!$B$7:$B$696,$A528)</f>
        <v>33497077</v>
      </c>
      <c r="J528" s="418" t="n">
        <f aca="false">SUM(H528:I528)</f>
        <v>66414534</v>
      </c>
      <c r="K528" s="203" t="n">
        <f aca="false">SUMIFS(報告入力!$BF$7:$BF$696,報告入力!$A$7:$A$696,$S$522,報告入力!$B$7:$B$696,$A528)</f>
        <v>1981286</v>
      </c>
      <c r="L528" s="387" t="n">
        <f aca="false">SUMIFS(報告入力!$BG$7:$BG$696,報告入力!$A$7:$A$696,$S$522,報告入力!$B$7:$B$696,$A528)</f>
        <v>1974257</v>
      </c>
      <c r="M528" s="206" t="n">
        <f aca="false">SUM(K528:L528)</f>
        <v>3955543</v>
      </c>
      <c r="N528" s="203" t="n">
        <f aca="false">SUMIFS(報告入力!$BH$7:$BH$696,報告入力!$A$7:$A$696,$S$522,報告入力!$B$7:$B$696,$A528)</f>
        <v>1</v>
      </c>
      <c r="O528" s="387" t="n">
        <f aca="false">SUMIFS(報告入力!$BI$7:$BI$696,報告入力!$A$7:$A$696,$S$522,報告入力!$B$7:$B$696,$A528)</f>
        <v>1</v>
      </c>
      <c r="P528" s="206" t="n">
        <f aca="false">SUM(N528:O528)</f>
        <v>2</v>
      </c>
      <c r="Q528" s="135" t="str">
        <f aca="false">IF(P463=P528,"〇","×")</f>
        <v>〇</v>
      </c>
      <c r="R528" s="135" t="str">
        <f aca="false">IFERROR(INDEX(報告入力!$C$7:$C$696,MATCH($S$522&amp;"|"&amp;$A528,報告入力!$CM$7:$CM$696,0)),"")</f>
        <v>未受領</v>
      </c>
    </row>
    <row r="529" s="135" customFormat="true" ht="20.1" hidden="false" customHeight="true" outlineLevel="0" collapsed="false">
      <c r="A529" s="125" t="s">
        <v>171</v>
      </c>
      <c r="B529" s="240" t="n">
        <f aca="false">SUMIFS(報告入力!$AY$7:$AY$696,報告入力!$A$7:$A$696,$S$522,報告入力!$B$7:$B$696,$A529)</f>
        <v>1740330</v>
      </c>
      <c r="C529" s="237" t="n">
        <f aca="false">SUMIFS(報告入力!$AZ$7:$AZ$696,報告入力!$A$7:$A$696,$S$522,報告入力!$B$7:$B$696,$A529)</f>
        <v>142650</v>
      </c>
      <c r="D529" s="203" t="n">
        <f aca="false">SUMIFS(報告入力!$BA$7:$BA$696,報告入力!$A$7:$A$696,$S$522,報告入力!$B$7:$B$696,$A529)</f>
        <v>2539620</v>
      </c>
      <c r="E529" s="207" t="n">
        <f aca="false">SUMIFS(報告入力!$BB$7:$BB$696,報告入力!$A$7:$A$696,$S$522,報告入力!$B$7:$B$696,$A529)</f>
        <v>142650</v>
      </c>
      <c r="F529" s="237" t="n">
        <f aca="false">SUMIFS(報告入力!$BC$7:$BC$696,報告入力!$A$7:$A$696,$S$522,報告入力!$B$7:$B$696,$A529)</f>
        <v>1808</v>
      </c>
      <c r="G529" s="417" t="n">
        <f aca="false">SUM(B529:F529)</f>
        <v>4567058</v>
      </c>
      <c r="H529" s="387" t="n">
        <f aca="false">SUMIFS(報告入力!$BD$7:$BD$696,報告入力!$A$7:$A$696,$S$522,報告入力!$B$7:$B$696,$A529)</f>
        <v>1055074</v>
      </c>
      <c r="I529" s="207" t="n">
        <f aca="false">SUMIFS(報告入力!$BE$7:$BE$696,報告入力!$A$7:$A$696,$S$522,報告入力!$B$7:$B$696,$A529)</f>
        <v>1073929</v>
      </c>
      <c r="J529" s="418" t="n">
        <f aca="false">SUM(H529:I529)</f>
        <v>2129003</v>
      </c>
      <c r="K529" s="203" t="n">
        <f aca="false">SUMIFS(報告入力!$BF$7:$BF$696,報告入力!$A$7:$A$696,$S$522,報告入力!$B$7:$B$696,$A529)</f>
        <v>96696</v>
      </c>
      <c r="L529" s="387" t="n">
        <f aca="false">SUMIFS(報告入力!$BG$7:$BG$696,報告入力!$A$7:$A$696,$S$522,報告入力!$B$7:$B$696,$A529)</f>
        <v>96696</v>
      </c>
      <c r="M529" s="206" t="n">
        <f aca="false">SUM(K529:L529)</f>
        <v>193392</v>
      </c>
      <c r="N529" s="203" t="n">
        <f aca="false">SUMIFS(報告入力!$BH$7:$BH$696,報告入力!$A$7:$A$696,$S$522,報告入力!$B$7:$B$696,$A529)</f>
        <v>1</v>
      </c>
      <c r="O529" s="387" t="n">
        <f aca="false">SUMIFS(報告入力!$BI$7:$BI$696,報告入力!$A$7:$A$696,$S$522,報告入力!$B$7:$B$696,$A529)</f>
        <v>1</v>
      </c>
      <c r="P529" s="206" t="n">
        <f aca="false">SUM(N529:O529)</f>
        <v>2</v>
      </c>
      <c r="Q529" s="135" t="str">
        <f aca="false">IF(P464=P529,"〇","×")</f>
        <v>〇</v>
      </c>
      <c r="R529" s="135" t="str">
        <f aca="false">IFERROR(INDEX(報告入力!$C$7:$C$696,MATCH($S$522&amp;"|"&amp;$A529,報告入力!$CM$7:$CM$696,0)),"")</f>
        <v>未受領</v>
      </c>
    </row>
    <row r="530" s="135" customFormat="true" ht="20.1" hidden="false" customHeight="true" outlineLevel="0" collapsed="false">
      <c r="A530" s="125" t="s">
        <v>172</v>
      </c>
      <c r="B530" s="240" t="n">
        <f aca="false">SUMIFS(報告入力!$AY$7:$AY$696,報告入力!$A$7:$A$696,$S$522,報告入力!$B$7:$B$696,$A530)</f>
        <v>24086461</v>
      </c>
      <c r="C530" s="237" t="n">
        <f aca="false">SUMIFS(報告入力!$AZ$7:$AZ$696,報告入力!$A$7:$A$696,$S$522,報告入力!$B$7:$B$696,$A530)</f>
        <v>1974301</v>
      </c>
      <c r="D530" s="203" t="n">
        <f aca="false">SUMIFS(報告入力!$BA$7:$BA$696,報告入力!$A$7:$A$696,$S$522,報告入力!$B$7:$B$696,$A530)</f>
        <v>35170175</v>
      </c>
      <c r="E530" s="207" t="n">
        <f aca="false">SUMIFS(報告入力!$BB$7:$BB$696,報告入力!$A$7:$A$696,$S$522,報告入力!$B$7:$B$696,$A530)</f>
        <v>1976400</v>
      </c>
      <c r="F530" s="237" t="n">
        <f aca="false">SUMIFS(報告入力!$BC$7:$BC$696,報告入力!$A$7:$A$696,$S$522,報告入力!$B$7:$B$696,$A530)</f>
        <v>25013</v>
      </c>
      <c r="G530" s="417" t="n">
        <f aca="false">SUM(B530:F530)</f>
        <v>63232350</v>
      </c>
      <c r="H530" s="387" t="n">
        <f aca="false">SUMIFS(報告入力!$BD$7:$BD$696,報告入力!$A$7:$A$696,$S$522,報告入力!$B$7:$B$696,$A530)</f>
        <v>25720517</v>
      </c>
      <c r="I530" s="207" t="n">
        <f aca="false">SUMIFS(報告入力!$BE$7:$BE$696,報告入力!$A$7:$A$696,$S$522,報告入力!$B$7:$B$696,$A530)</f>
        <v>26209654</v>
      </c>
      <c r="J530" s="418" t="n">
        <f aca="false">SUM(H530:I530)</f>
        <v>51930171</v>
      </c>
      <c r="K530" s="203" t="n">
        <f aca="false">SUMIFS(報告入力!$BF$7:$BF$696,報告入力!$A$7:$A$696,$S$522,報告入力!$B$7:$B$696,$A530)</f>
        <v>2801747</v>
      </c>
      <c r="L530" s="238" t="n">
        <f aca="false">SUMIFS(報告入力!$BG$7:$BG$696,報告入力!$A$7:$A$696,$S$522,報告入力!$B$7:$B$696,$A530)</f>
        <v>2802592</v>
      </c>
      <c r="M530" s="206" t="n">
        <f aca="false">SUM(K530:L530)</f>
        <v>5604339</v>
      </c>
      <c r="N530" s="203" t="n">
        <f aca="false">SUMIFS(報告入力!$BH$7:$BH$696,報告入力!$A$7:$A$696,$S$522,報告入力!$B$7:$B$696,$A530)</f>
        <v>1</v>
      </c>
      <c r="O530" s="238" t="n">
        <f aca="false">SUMIFS(報告入力!$BI$7:$BI$696,報告入力!$A$7:$A$696,$S$522,報告入力!$B$7:$B$696,$A530)</f>
        <v>1</v>
      </c>
      <c r="P530" s="206" t="n">
        <f aca="false">SUM(N530:O530)</f>
        <v>2</v>
      </c>
      <c r="Q530" s="135" t="str">
        <f aca="false">IF(P465=P530,"〇","×")</f>
        <v>〇</v>
      </c>
      <c r="R530" s="135" t="str">
        <f aca="false">IFERROR(INDEX(報告入力!$C$7:$C$696,MATCH($S$522&amp;"|"&amp;$A530,報告入力!$CM$7:$CM$696,0)),"")</f>
        <v>未受領</v>
      </c>
    </row>
    <row r="531" s="135" customFormat="true" ht="20.1" hidden="false" customHeight="true" outlineLevel="0" collapsed="false">
      <c r="A531" s="125" t="s">
        <v>173</v>
      </c>
      <c r="B531" s="240" t="n">
        <f aca="false">SUMIFS(報告入力!$AY$7:$AY$696,報告入力!$A$7:$A$696,$S$522,報告入力!$B$7:$B$696,$A531)</f>
        <v>280905</v>
      </c>
      <c r="C531" s="237" t="n">
        <f aca="false">SUMIFS(報告入力!$AZ$7:$AZ$696,報告入力!$A$7:$A$696,$S$522,報告入力!$B$7:$B$696,$A531)</f>
        <v>23025</v>
      </c>
      <c r="D531" s="203" t="n">
        <f aca="false">SUMIFS(報告入力!$BA$7:$BA$696,報告入力!$A$7:$A$696,$S$522,報告入力!$B$7:$B$696,$A531)</f>
        <v>408310</v>
      </c>
      <c r="E531" s="207" t="n">
        <f aca="false">SUMIFS(報告入力!$BB$7:$BB$696,報告入力!$A$7:$A$696,$S$522,報告入力!$B$7:$B$696,$A531)</f>
        <v>23025</v>
      </c>
      <c r="F531" s="237" t="n">
        <f aca="false">SUMIFS(報告入力!$BC$7:$BC$696,報告入力!$A$7:$A$696,$S$522,報告入力!$B$7:$B$696,$A531)</f>
        <v>288</v>
      </c>
      <c r="G531" s="417" t="n">
        <f aca="false">SUM(B531:F531)</f>
        <v>735553</v>
      </c>
      <c r="H531" s="240" t="n">
        <f aca="false">SUMIFS(報告入力!$BD$7:$BD$696,報告入力!$A$7:$A$696,$S$522,報告入力!$B$7:$B$696,$A531)</f>
        <v>264041</v>
      </c>
      <c r="I531" s="208" t="n">
        <f aca="false">SUMIFS(報告入力!$BE$7:$BE$696,報告入力!$A$7:$A$696,$S$522,報告入力!$B$7:$B$696,$A531)</f>
        <v>193690</v>
      </c>
      <c r="J531" s="418" t="n">
        <f aca="false">SUM(H531:I531)</f>
        <v>457731</v>
      </c>
      <c r="K531" s="203" t="n">
        <f aca="false">SUMIFS(報告入力!$BF$7:$BF$696,報告入力!$A$7:$A$696,$S$522,報告入力!$B$7:$B$696,$A531)</f>
        <v>21674</v>
      </c>
      <c r="L531" s="387" t="n">
        <f aca="false">SUMIFS(報告入力!$BG$7:$BG$696,報告入力!$A$7:$A$696,$S$522,報告入力!$B$7:$B$696,$A531)</f>
        <v>15326</v>
      </c>
      <c r="M531" s="206" t="n">
        <f aca="false">SUM(K531:L531)</f>
        <v>37000</v>
      </c>
      <c r="N531" s="203" t="n">
        <f aca="false">SUMIFS(報告入力!$BH$7:$BH$696,報告入力!$A$7:$A$696,$S$522,報告入力!$B$7:$B$696,$A531)</f>
        <v>1</v>
      </c>
      <c r="O531" s="387" t="n">
        <f aca="false">SUMIFS(報告入力!$BI$7:$BI$696,報告入力!$A$7:$A$696,$S$522,報告入力!$B$7:$B$696,$A531)</f>
        <v>1</v>
      </c>
      <c r="P531" s="206" t="n">
        <f aca="false">SUM(N531:O531)</f>
        <v>2</v>
      </c>
      <c r="Q531" s="135" t="str">
        <f aca="false">IF(P466=P531,"〇","×")</f>
        <v>〇</v>
      </c>
      <c r="R531" s="135" t="str">
        <f aca="false">IFERROR(INDEX(報告入力!$C$7:$C$696,MATCH($S$522&amp;"|"&amp;$A531,報告入力!$CM$7:$CM$696,0)),"")</f>
        <v>未受領</v>
      </c>
    </row>
    <row r="532" s="135" customFormat="true" ht="20.1" hidden="false" customHeight="true" outlineLevel="0" collapsed="false">
      <c r="A532" s="125" t="s">
        <v>174</v>
      </c>
      <c r="B532" s="240" t="n">
        <f aca="false">SUMIFS(報告入力!$AY$7:$AY$696,報告入力!$A$7:$A$696,$S$522,報告入力!$B$7:$B$696,$A532)</f>
        <v>561810</v>
      </c>
      <c r="C532" s="237" t="n">
        <f aca="false">SUMIFS(報告入力!$AZ$7:$AZ$696,報告入力!$A$7:$A$696,$S$522,報告入力!$B$7:$B$696,$A532)</f>
        <v>46050</v>
      </c>
      <c r="D532" s="203" t="n">
        <f aca="false">SUMIFS(報告入力!$BA$7:$BA$696,報告入力!$A$7:$A$696,$S$522,報告入力!$B$7:$B$696,$A532)</f>
        <v>816620</v>
      </c>
      <c r="E532" s="207" t="n">
        <f aca="false">SUMIFS(報告入力!$BB$7:$BB$696,報告入力!$A$7:$A$696,$S$522,報告入力!$B$7:$B$696,$A532)</f>
        <v>46050</v>
      </c>
      <c r="F532" s="237" t="n">
        <f aca="false">SUMIFS(報告入力!$BC$7:$BC$696,報告入力!$A$7:$A$696,$S$522,報告入力!$B$7:$B$696,$A532)</f>
        <v>576</v>
      </c>
      <c r="G532" s="417" t="n">
        <f aca="false">SUM(B532:F532)</f>
        <v>1471106</v>
      </c>
      <c r="H532" s="240" t="n">
        <f aca="false">SUMIFS(報告入力!$BD$7:$BD$696,報告入力!$A$7:$A$696,$S$522,報告入力!$B$7:$B$696,$A532)</f>
        <v>351070</v>
      </c>
      <c r="I532" s="208" t="n">
        <f aca="false">SUMIFS(報告入力!$BE$7:$BE$696,報告入力!$A$7:$A$696,$S$522,報告入力!$B$7:$B$696,$A532)</f>
        <v>357264</v>
      </c>
      <c r="J532" s="418" t="n">
        <f aca="false">SUM(H532:I532)</f>
        <v>708334</v>
      </c>
      <c r="K532" s="203" t="n">
        <f aca="false">SUMIFS(報告入力!$BF$7:$BF$696,報告入力!$A$7:$A$696,$S$522,報告入力!$B$7:$B$696,$A532)</f>
        <v>33353</v>
      </c>
      <c r="L532" s="387" t="n">
        <f aca="false">SUMIFS(報告入力!$BG$7:$BG$696,報告入力!$A$7:$A$696,$S$522,報告入力!$B$7:$B$696,$A532)</f>
        <v>33353</v>
      </c>
      <c r="M532" s="206" t="n">
        <f aca="false">SUM(K532:L532)</f>
        <v>66706</v>
      </c>
      <c r="N532" s="203" t="n">
        <f aca="false">SUMIFS(報告入力!$BH$7:$BH$696,報告入力!$A$7:$A$696,$S$522,報告入力!$B$7:$B$696,$A532)</f>
        <v>1</v>
      </c>
      <c r="O532" s="387" t="n">
        <f aca="false">SUMIFS(報告入力!$BI$7:$BI$696,報告入力!$A$7:$A$696,$S$522,報告入力!$B$7:$B$696,$A532)</f>
        <v>1</v>
      </c>
      <c r="P532" s="206" t="n">
        <f aca="false">SUM(N532:O532)</f>
        <v>2</v>
      </c>
      <c r="Q532" s="135" t="str">
        <f aca="false">IF(P467=P532,"〇","×")</f>
        <v>〇</v>
      </c>
      <c r="R532" s="135" t="str">
        <f aca="false">IFERROR(INDEX(報告入力!$C$7:$C$696,MATCH($S$522&amp;"|"&amp;$A532,報告入力!$CM$7:$CM$696,0)),"")</f>
        <v>未受領</v>
      </c>
    </row>
    <row r="533" s="135" customFormat="true" ht="20.1" hidden="false" customHeight="true" outlineLevel="0" collapsed="false">
      <c r="A533" s="125" t="s">
        <v>175</v>
      </c>
      <c r="B533" s="240" t="n">
        <f aca="false">SUMIFS(報告入力!$AY$7:$AY$696,報告入力!$A$7:$A$696,$S$522,報告入力!$B$7:$B$696,$A533)</f>
        <v>1344135</v>
      </c>
      <c r="C533" s="237" t="n">
        <f aca="false">SUMIFS(報告入力!$AZ$7:$AZ$696,報告入力!$A$7:$A$696,$S$522,報告入力!$B$7:$B$696,$A533)</f>
        <v>110175</v>
      </c>
      <c r="D533" s="203" t="n">
        <f aca="false">SUMIFS(報告入力!$BA$7:$BA$696,報告入力!$A$7:$A$696,$S$522,報告入力!$B$7:$B$696,$A533)</f>
        <v>1965390</v>
      </c>
      <c r="E533" s="207" t="n">
        <f aca="false">SUMIFS(報告入力!$BB$7:$BB$696,報告入力!$A$7:$A$696,$S$522,報告入力!$B$7:$B$696,$A533)</f>
        <v>110175</v>
      </c>
      <c r="F533" s="237" t="n">
        <f aca="false">SUMIFS(報告入力!$BC$7:$BC$696,報告入力!$A$7:$A$696,$S$522,報告入力!$B$7:$B$696,$A533)</f>
        <v>1405</v>
      </c>
      <c r="G533" s="417" t="n">
        <f aca="false">SUM(B533:F533)</f>
        <v>3531280</v>
      </c>
      <c r="H533" s="240" t="n">
        <f aca="false">SUMIFS(報告入力!$BD$7:$BD$696,報告入力!$A$7:$A$696,$S$522,報告入力!$B$7:$B$696,$A533)</f>
        <v>836690</v>
      </c>
      <c r="I533" s="208" t="n">
        <f aca="false">SUMIFS(報告入力!$BE$7:$BE$696,報告入力!$A$7:$A$696,$S$522,報告入力!$B$7:$B$696,$A533)</f>
        <v>851727</v>
      </c>
      <c r="J533" s="418" t="n">
        <f aca="false">SUM(H533:I533)</f>
        <v>1688417</v>
      </c>
      <c r="K533" s="203" t="n">
        <f aca="false">SUMIFS(報告入力!$BF$7:$BF$696,報告入力!$A$7:$A$696,$S$522,報告入力!$B$7:$B$696,$A533)</f>
        <v>108309</v>
      </c>
      <c r="L533" s="387" t="n">
        <f aca="false">SUMIFS(報告入力!$BG$7:$BG$696,報告入力!$A$7:$A$696,$S$522,報告入力!$B$7:$B$696,$A533)</f>
        <v>108309</v>
      </c>
      <c r="M533" s="206" t="n">
        <f aca="false">SUM(K533:L533)</f>
        <v>216618</v>
      </c>
      <c r="N533" s="203" t="n">
        <f aca="false">SUMIFS(報告入力!$BH$7:$BH$696,報告入力!$A$7:$A$696,$S$522,報告入力!$B$7:$B$696,$A533)</f>
        <v>1</v>
      </c>
      <c r="O533" s="387" t="n">
        <f aca="false">SUMIFS(報告入力!$BI$7:$BI$696,報告入力!$A$7:$A$696,$S$522,報告入力!$B$7:$B$696,$A533)</f>
        <v>1</v>
      </c>
      <c r="P533" s="206" t="n">
        <f aca="false">SUM(N533:O533)</f>
        <v>2</v>
      </c>
      <c r="Q533" s="135" t="str">
        <f aca="false">IF(P468=P533,"〇","×")</f>
        <v>〇</v>
      </c>
      <c r="R533" s="135" t="str">
        <f aca="false">IFERROR(INDEX(報告入力!$C$7:$C$696,MATCH($S$522&amp;"|"&amp;$A533,報告入力!$CM$7:$CM$696,0)),"")</f>
        <v>未受領</v>
      </c>
    </row>
    <row r="534" s="135" customFormat="true" ht="20.1" hidden="false" customHeight="true" outlineLevel="0" collapsed="false">
      <c r="A534" s="125" t="s">
        <v>176</v>
      </c>
      <c r="B534" s="240" t="n">
        <f aca="false">SUMIFS(報告入力!$AY$7:$AY$696,報告入力!$A$7:$A$696,$S$522,報告入力!$B$7:$B$696,$A534)</f>
        <v>382470</v>
      </c>
      <c r="C534" s="237" t="n">
        <f aca="false">SUMIFS(報告入力!$AZ$7:$AZ$696,報告入力!$A$7:$A$696,$S$522,報告入力!$B$7:$B$696,$A534)</f>
        <v>31350</v>
      </c>
      <c r="D534" s="203" t="n">
        <f aca="false">SUMIFS(報告入力!$BA$7:$BA$696,報告入力!$A$7:$A$696,$S$522,報告入力!$B$7:$B$696,$A534)</f>
        <v>555940</v>
      </c>
      <c r="E534" s="207" t="n">
        <f aca="false">SUMIFS(報告入力!$BB$7:$BB$696,報告入力!$A$7:$A$696,$S$522,報告入力!$B$7:$B$696,$A534)</f>
        <v>31350</v>
      </c>
      <c r="F534" s="237" t="n">
        <f aca="false">SUMIFS(報告入力!$BC$7:$BC$696,報告入力!$A$7:$A$696,$S$522,報告入力!$B$7:$B$696,$A534)</f>
        <v>392</v>
      </c>
      <c r="G534" s="417" t="n">
        <f aca="false">SUM(B534:F534)</f>
        <v>1001502</v>
      </c>
      <c r="H534" s="240" t="n">
        <f aca="false">SUMIFS(報告入力!$BD$7:$BD$696,報告入力!$A$7:$A$696,$S$522,報告入力!$B$7:$B$696,$A534)</f>
        <v>308930</v>
      </c>
      <c r="I534" s="208" t="n">
        <f aca="false">SUMIFS(報告入力!$BE$7:$BE$696,報告入力!$A$7:$A$696,$S$522,報告入力!$B$7:$B$696,$A534)</f>
        <v>314382</v>
      </c>
      <c r="J534" s="418" t="n">
        <f aca="false">SUM(H534:I534)</f>
        <v>623312</v>
      </c>
      <c r="K534" s="203" t="n">
        <f aca="false">SUMIFS(報告入力!$BF$7:$BF$696,報告入力!$A$7:$A$696,$S$522,報告入力!$B$7:$B$696,$A534)</f>
        <v>32672</v>
      </c>
      <c r="L534" s="387" t="n">
        <f aca="false">SUMIFS(報告入力!$BG$7:$BG$696,報告入力!$A$7:$A$696,$S$522,報告入力!$B$7:$B$696,$A534)</f>
        <v>32674</v>
      </c>
      <c r="M534" s="206" t="n">
        <f aca="false">SUM(K534:L534)</f>
        <v>65346</v>
      </c>
      <c r="N534" s="203" t="n">
        <f aca="false">SUMIFS(報告入力!$BH$7:$BH$696,報告入力!$A$7:$A$696,$S$522,報告入力!$B$7:$B$696,$A534)</f>
        <v>1</v>
      </c>
      <c r="O534" s="387" t="n">
        <f aca="false">SUMIFS(報告入力!$BI$7:$BI$696,報告入力!$A$7:$A$696,$S$522,報告入力!$B$7:$B$696,$A534)</f>
        <v>1</v>
      </c>
      <c r="P534" s="206" t="n">
        <f aca="false">SUM(N534:O534)</f>
        <v>2</v>
      </c>
      <c r="Q534" s="135" t="str">
        <f aca="false">IF(P469=P534,"〇","×")</f>
        <v>〇</v>
      </c>
      <c r="R534" s="135" t="str">
        <f aca="false">IFERROR(INDEX(報告入力!$C$7:$C$696,MATCH($S$522&amp;"|"&amp;$A534,報告入力!$CM$7:$CM$696,0)),"")</f>
        <v>未受領</v>
      </c>
    </row>
    <row r="535" s="135" customFormat="true" ht="20.1" hidden="false" customHeight="true" outlineLevel="0" collapsed="false">
      <c r="A535" s="125" t="s">
        <v>177</v>
      </c>
      <c r="B535" s="240" t="n">
        <f aca="false">SUMIFS(報告入力!$AY$7:$AY$696,報告入力!$A$7:$A$696,$S$522,報告入力!$B$7:$B$696,$A535)</f>
        <v>22400939</v>
      </c>
      <c r="C535" s="237" t="n">
        <f aca="false">SUMIFS(報告入力!$AZ$7:$AZ$696,報告入力!$A$7:$A$696,$S$522,報告入力!$B$7:$B$696,$A535)</f>
        <v>1836143</v>
      </c>
      <c r="D535" s="203" t="n">
        <f aca="false">SUMIFS(報告入力!$BA$7:$BA$696,報告入力!$A$7:$A$696,$S$522,報告入力!$B$7:$B$696,$A535)</f>
        <v>32700782</v>
      </c>
      <c r="E535" s="207" t="n">
        <f aca="false">SUMIFS(報告入力!$BB$7:$BB$696,報告入力!$A$7:$A$696,$S$522,報告入力!$B$7:$B$696,$A535)</f>
        <v>1836143</v>
      </c>
      <c r="F535" s="237" t="n">
        <f aca="false">SUMIFS(報告入力!$BC$7:$BC$696,報告入力!$A$7:$A$696,$S$522,報告入力!$B$7:$B$696,$A535)</f>
        <v>23299</v>
      </c>
      <c r="G535" s="417" t="n">
        <f aca="false">SUM(B535:F535)</f>
        <v>58797306</v>
      </c>
      <c r="H535" s="240" t="n">
        <f aca="false">SUMIFS(報告入力!$BD$7:$BD$696,報告入力!$A$7:$A$696,$S$522,報告入力!$B$7:$B$696,$A535)</f>
        <v>14200515</v>
      </c>
      <c r="I535" s="208" t="n">
        <f aca="false">SUMIFS(報告入力!$BE$7:$BE$696,報告入力!$A$7:$A$696,$S$522,報告入力!$B$7:$B$696,$A535)</f>
        <v>14454449</v>
      </c>
      <c r="J535" s="418" t="n">
        <f aca="false">SUM(H535:I535)</f>
        <v>28654964</v>
      </c>
      <c r="K535" s="203" t="n">
        <f aca="false">SUMIFS(報告入力!$BF$7:$BF$696,報告入力!$A$7:$A$696,$S$522,報告入力!$B$7:$B$696,$A535)</f>
        <v>1347187</v>
      </c>
      <c r="L535" s="387" t="n">
        <f aca="false">SUMIFS(報告入力!$BG$7:$BG$696,報告入力!$A$7:$A$696,$S$522,報告入力!$B$7:$B$696,$A535)</f>
        <v>1347187</v>
      </c>
      <c r="M535" s="206" t="n">
        <f aca="false">SUM(K535:L535)</f>
        <v>2694374</v>
      </c>
      <c r="N535" s="203" t="n">
        <f aca="false">SUMIFS(報告入力!$BH$7:$BH$696,報告入力!$A$7:$A$696,$S$522,報告入力!$B$7:$B$696,$A535)</f>
        <v>1</v>
      </c>
      <c r="O535" s="387" t="n">
        <f aca="false">SUMIFS(報告入力!$BI$7:$BI$696,報告入力!$A$7:$A$696,$S$522,報告入力!$B$7:$B$696,$A535)</f>
        <v>1</v>
      </c>
      <c r="P535" s="206" t="n">
        <f aca="false">SUM(N535:O535)</f>
        <v>2</v>
      </c>
      <c r="Q535" s="135" t="str">
        <f aca="false">IF(P470=P535,"〇","×")</f>
        <v>〇</v>
      </c>
      <c r="R535" s="135" t="str">
        <f aca="false">IFERROR(INDEX(報告入力!$C$7:$C$696,MATCH($S$522&amp;"|"&amp;$A535,報告入力!$CM$7:$CM$696,0)),"")</f>
        <v>未受領</v>
      </c>
    </row>
    <row r="536" s="135" customFormat="true" ht="19.5" hidden="false" customHeight="true" outlineLevel="0" collapsed="false">
      <c r="A536" s="146" t="s">
        <v>495</v>
      </c>
      <c r="B536" s="240" t="n">
        <f aca="false">SUMIFS(報告入力!$AY$7:$AY$696,報告入力!$A$7:$A$696,$S$522,報告入力!$B$7:$B$696,$A536)</f>
        <v>48495</v>
      </c>
      <c r="C536" s="237" t="n">
        <f aca="false">SUMIFS(報告入力!$AZ$7:$AZ$696,報告入力!$A$7:$A$696,$S$522,報告入力!$B$7:$B$696,$A536)</f>
        <v>3975</v>
      </c>
      <c r="D536" s="203" t="n">
        <f aca="false">SUMIFS(報告入力!$BA$7:$BA$696,報告入力!$A$7:$A$696,$S$522,報告入力!$B$7:$B$696,$A536)</f>
        <v>70490</v>
      </c>
      <c r="E536" s="207" t="n">
        <f aca="false">SUMIFS(報告入力!$BB$7:$BB$696,報告入力!$A$7:$A$696,$S$522,報告入力!$B$7:$B$696,$A536)</f>
        <v>3975</v>
      </c>
      <c r="F536" s="237" t="n">
        <f aca="false">SUMIFS(報告入力!$BC$7:$BC$696,報告入力!$A$7:$A$696,$S$522,報告入力!$B$7:$B$696,$A536)</f>
        <v>49</v>
      </c>
      <c r="G536" s="417" t="n">
        <f aca="false">SUM(B536:F536)</f>
        <v>126984</v>
      </c>
      <c r="H536" s="240" t="n">
        <f aca="false">SUMIFS(報告入力!$BD$7:$BD$696,報告入力!$A$7:$A$696,$S$522,報告入力!$B$7:$B$696,$A536)</f>
        <v>29155</v>
      </c>
      <c r="I536" s="208" t="n">
        <f aca="false">SUMIFS(報告入力!$BE$7:$BE$696,報告入力!$A$7:$A$696,$S$522,報告入力!$B$7:$B$696,$A536)</f>
        <v>29669</v>
      </c>
      <c r="J536" s="418" t="n">
        <f aca="false">SUM(H536:I536)</f>
        <v>58824</v>
      </c>
      <c r="K536" s="203" t="n">
        <f aca="false">SUMIFS(報告入力!$BF$7:$BF$696,報告入力!$A$7:$A$696,$S$522,報告入力!$B$7:$B$696,$A536)</f>
        <v>4187</v>
      </c>
      <c r="L536" s="387" t="n">
        <f aca="false">SUMIFS(報告入力!$BG$7:$BG$696,報告入力!$A$7:$A$696,$S$522,報告入力!$B$7:$B$696,$A536)</f>
        <v>4187</v>
      </c>
      <c r="M536" s="206" t="n">
        <f aca="false">SUM(K536:L536)</f>
        <v>8374</v>
      </c>
      <c r="N536" s="203" t="n">
        <f aca="false">SUMIFS(報告入力!$BH$7:$BH$696,報告入力!$A$7:$A$696,$S$522,報告入力!$B$7:$B$696,$A536)</f>
        <v>1</v>
      </c>
      <c r="O536" s="387" t="n">
        <f aca="false">SUMIFS(報告入力!$BI$7:$BI$696,報告入力!$A$7:$A$696,$S$522,報告入力!$B$7:$B$696,$A536)</f>
        <v>1</v>
      </c>
      <c r="P536" s="206" t="n">
        <f aca="false">SUM(N536:O536)</f>
        <v>2</v>
      </c>
      <c r="Q536" s="135" t="str">
        <f aca="false">IF(P471=P536,"〇","×")</f>
        <v>〇</v>
      </c>
      <c r="R536" s="135" t="str">
        <f aca="false">IFERROR(INDEX(報告入力!$C$7:$C$696,MATCH($S$522&amp;"|"&amp;$A536,報告入力!$CM$7:$CM$696,0)),"")</f>
        <v>未受領</v>
      </c>
    </row>
    <row r="537" s="162" customFormat="true" ht="19.5" hidden="false" customHeight="true" outlineLevel="0" collapsed="false">
      <c r="A537" s="151" t="s">
        <v>179</v>
      </c>
      <c r="B537" s="152" t="n">
        <f aca="false">SUMIFS(報告入力!$AY$7:$AY$696,報告入力!$A$7:$A$696,$S$522,報告入力!$B$7:$B$696,$A537)</f>
        <v>0</v>
      </c>
      <c r="C537" s="153" t="n">
        <f aca="false">SUMIFS(報告入力!$AZ$7:$AZ$696,報告入力!$A$7:$A$696,$S$522,報告入力!$B$7:$B$696,$A537)</f>
        <v>0</v>
      </c>
      <c r="D537" s="154"/>
      <c r="E537" s="155"/>
      <c r="F537" s="156" t="n">
        <f aca="false">SUMIFS(報告入力!$BC$7:$BC$696,報告入力!$A$7:$A$696,$S$522,報告入力!$B$7:$B$696,$A537)</f>
        <v>0</v>
      </c>
      <c r="G537" s="157" t="n">
        <f aca="false">SUM(B537:F537)</f>
        <v>0</v>
      </c>
      <c r="H537" s="287" t="n">
        <f aca="false">SUMIFS(報告入力!$BD$7:$BD$696,報告入力!$A$7:$A$696,$S$522,報告入力!$B$7:$B$696,$A537)</f>
        <v>303418</v>
      </c>
      <c r="I537" s="208" t="n">
        <f aca="false">SUMIFS(報告入力!$BE$7:$BE$696,報告入力!$A$7:$A$696,$S$522,報告入力!$B$7:$B$696,$A537)</f>
        <v>308994</v>
      </c>
      <c r="J537" s="160" t="n">
        <f aca="false">SUM(H537:I537)</f>
        <v>612412</v>
      </c>
      <c r="K537" s="203" t="n">
        <f aca="false">SUMIFS(報告入力!$BF$7:$BF$696,報告入力!$A$7:$A$696,$S$522,報告入力!$B$7:$B$696,$A537)</f>
        <v>6098</v>
      </c>
      <c r="L537" s="207" t="n">
        <f aca="false">SUMIFS(報告入力!$BG$7:$BG$696,報告入力!$A$7:$A$696,$S$522,報告入力!$B$7:$B$696,$A537)</f>
        <v>6098</v>
      </c>
      <c r="M537" s="160" t="n">
        <f aca="false">SUM(K537:L537)</f>
        <v>12196</v>
      </c>
      <c r="N537" s="203" t="n">
        <f aca="false">SUMIFS(報告入力!$BH$7:$BH$696,報告入力!$A$7:$A$696,$S$522,報告入力!$B$7:$B$696,$A537)</f>
        <v>1</v>
      </c>
      <c r="O537" s="207" t="n">
        <f aca="false">SUMIFS(報告入力!$BI$7:$BI$696,報告入力!$A$7:$A$696,$S$522,報告入力!$B$7:$B$696,$A537)</f>
        <v>1</v>
      </c>
      <c r="P537" s="160" t="n">
        <f aca="false">SUM(N537:O537)</f>
        <v>2</v>
      </c>
      <c r="Q537" s="162" t="str">
        <f aca="false">IF(P472=P537,"〇","×")</f>
        <v>〇</v>
      </c>
      <c r="R537" s="162" t="str">
        <f aca="false">IFERROR(INDEX(報告入力!$C$7:$C$696,MATCH($S$522&amp;"|"&amp;$A537,報告入力!$CM$7:$CM$696,0)),"")</f>
        <v>未受領</v>
      </c>
    </row>
    <row r="538" s="162" customFormat="true" ht="19.5" hidden="false" customHeight="true" outlineLevel="0" collapsed="false">
      <c r="A538" s="163" t="s">
        <v>496</v>
      </c>
      <c r="B538" s="164"/>
      <c r="C538" s="165"/>
      <c r="D538" s="164"/>
      <c r="E538" s="166"/>
      <c r="F538" s="167"/>
      <c r="G538" s="168"/>
      <c r="H538" s="419"/>
      <c r="I538" s="170"/>
      <c r="J538" s="171"/>
      <c r="K538" s="172"/>
      <c r="L538" s="173"/>
      <c r="M538" s="171"/>
      <c r="N538" s="172"/>
      <c r="O538" s="173"/>
      <c r="P538" s="171"/>
      <c r="Q538" s="162" t="str">
        <f aca="false">IF(P473=P538,"〇","×")</f>
        <v>〇</v>
      </c>
    </row>
    <row r="539" s="162" customFormat="true" ht="19.5" hidden="false" customHeight="true" outlineLevel="0" collapsed="false">
      <c r="A539" s="174" t="s">
        <v>496</v>
      </c>
      <c r="B539" s="175"/>
      <c r="C539" s="176"/>
      <c r="D539" s="175"/>
      <c r="E539" s="177"/>
      <c r="F539" s="178"/>
      <c r="G539" s="179"/>
      <c r="H539" s="175"/>
      <c r="I539" s="177"/>
      <c r="J539" s="181"/>
      <c r="K539" s="182"/>
      <c r="L539" s="183"/>
      <c r="M539" s="181"/>
      <c r="N539" s="182"/>
      <c r="O539" s="183"/>
      <c r="P539" s="181"/>
      <c r="Q539" s="162" t="str">
        <f aca="false">IF(P474=P539,"〇","×")</f>
        <v>〇</v>
      </c>
    </row>
    <row r="540" s="162" customFormat="true" ht="19.5" hidden="false" customHeight="true" outlineLevel="0" collapsed="false">
      <c r="A540" s="174" t="s">
        <v>496</v>
      </c>
      <c r="B540" s="164"/>
      <c r="C540" s="165"/>
      <c r="D540" s="164"/>
      <c r="E540" s="166"/>
      <c r="F540" s="167"/>
      <c r="G540" s="168"/>
      <c r="H540" s="164"/>
      <c r="I540" s="166"/>
      <c r="J540" s="171"/>
      <c r="K540" s="185"/>
      <c r="L540" s="186"/>
      <c r="M540" s="171"/>
      <c r="N540" s="185"/>
      <c r="O540" s="186"/>
      <c r="P540" s="171"/>
      <c r="Q540" s="162" t="str">
        <f aca="false">IF(P475=P540,"〇","×")</f>
        <v>〇</v>
      </c>
    </row>
    <row r="541" s="162" customFormat="true" ht="19.5" hidden="false" customHeight="true" outlineLevel="0" collapsed="false">
      <c r="A541" s="187" t="s">
        <v>496</v>
      </c>
      <c r="B541" s="188"/>
      <c r="C541" s="189"/>
      <c r="D541" s="188"/>
      <c r="E541" s="190"/>
      <c r="F541" s="191"/>
      <c r="G541" s="192"/>
      <c r="H541" s="175"/>
      <c r="I541" s="193"/>
      <c r="J541" s="194"/>
      <c r="K541" s="182"/>
      <c r="L541" s="183"/>
      <c r="M541" s="194"/>
      <c r="N541" s="182"/>
      <c r="O541" s="183"/>
      <c r="P541" s="194"/>
      <c r="Q541" s="162" t="str">
        <f aca="false">IF(P476=P541,"〇","×")</f>
        <v>〇</v>
      </c>
    </row>
    <row r="542" s="162" customFormat="true" ht="19.5" hidden="false" customHeight="true" outlineLevel="0" collapsed="false">
      <c r="A542" s="196" t="s">
        <v>497</v>
      </c>
      <c r="B542" s="197" t="n">
        <f aca="false">SUM(B526:B541)</f>
        <v>354177106</v>
      </c>
      <c r="C542" s="198" t="n">
        <f aca="false">SUM(C526:C541)</f>
        <v>29042614</v>
      </c>
      <c r="D542" s="197" t="n">
        <f aca="false">SUM(D526:D541)</f>
        <v>515634547</v>
      </c>
      <c r="E542" s="199" t="n">
        <f aca="false">SUM(E526:E541)</f>
        <v>28495560</v>
      </c>
      <c r="F542" s="200" t="n">
        <f aca="false">SUM(F526:F541)</f>
        <v>370552</v>
      </c>
      <c r="G542" s="201" t="n">
        <f aca="false">SUM(B542:F542)</f>
        <v>927720379</v>
      </c>
      <c r="H542" s="197" t="n">
        <f aca="false">SUM(H526:H541)</f>
        <v>266716240</v>
      </c>
      <c r="I542" s="198" t="n">
        <f aca="false">SUM(I526:I541)</f>
        <v>267522197</v>
      </c>
      <c r="J542" s="200" t="n">
        <f aca="false">SUM(H542:I542)</f>
        <v>534238437</v>
      </c>
      <c r="K542" s="197" t="n">
        <f aca="false">SUM(K526:K541)</f>
        <v>23259010</v>
      </c>
      <c r="L542" s="198" t="n">
        <f aca="false">SUM(L526:L541)</f>
        <v>22774384</v>
      </c>
      <c r="M542" s="200" t="n">
        <f aca="false">SUM(K542:L542)</f>
        <v>46033394</v>
      </c>
      <c r="N542" s="197" t="n">
        <f aca="false">SUM(N526:N541)</f>
        <v>12</v>
      </c>
      <c r="O542" s="198" t="n">
        <f aca="false">SUM(O526:O541)</f>
        <v>12</v>
      </c>
      <c r="P542" s="200" t="n">
        <f aca="false">SUM(N542:O542)</f>
        <v>24</v>
      </c>
      <c r="Q542" s="162" t="str">
        <f aca="false">IF(P477=P542,"〇","×")</f>
        <v>〇</v>
      </c>
    </row>
    <row r="543" s="135" customFormat="true" ht="20.1" hidden="false" customHeight="true" outlineLevel="0" collapsed="false">
      <c r="A543" s="202" t="s">
        <v>180</v>
      </c>
      <c r="B543" s="324"/>
      <c r="C543" s="333"/>
      <c r="D543" s="324"/>
      <c r="E543" s="328"/>
      <c r="F543" s="333"/>
      <c r="G543" s="420" t="n">
        <f aca="false">SUM(B543:F543)</f>
        <v>0</v>
      </c>
      <c r="H543" s="336"/>
      <c r="I543" s="329"/>
      <c r="J543" s="421" t="n">
        <f aca="false">SUM(H543:I543)</f>
        <v>0</v>
      </c>
      <c r="K543" s="363"/>
      <c r="L543" s="365"/>
      <c r="M543" s="327" t="n">
        <f aca="false">SUM(K543:L543)</f>
        <v>0</v>
      </c>
      <c r="N543" s="363"/>
      <c r="O543" s="365"/>
      <c r="P543" s="327" t="n">
        <f aca="false">SUM(N543:O543)</f>
        <v>0</v>
      </c>
      <c r="Q543" s="135" t="str">
        <f aca="false">IF(P478=P543,"〇","×")</f>
        <v>〇</v>
      </c>
      <c r="R543" s="135" t="str">
        <f aca="false">IFERROR(INDEX(報告入力!$C$7:$C$696,MATCH($S$522&amp;"|"&amp;$A543,報告入力!$CM$7:$CM$696,0)),"")</f>
        <v>報告なし</v>
      </c>
    </row>
    <row r="544" s="135" customFormat="true" ht="20.1" hidden="false" customHeight="true" outlineLevel="0" collapsed="false">
      <c r="A544" s="125" t="s">
        <v>182</v>
      </c>
      <c r="B544" s="240" t="n">
        <f aca="false">SUMIFS(報告入力!$AY$7:$AY$696,報告入力!$A$7:$A$696,$S$522,報告入力!$B$7:$B$696,$A544)</f>
        <v>0</v>
      </c>
      <c r="C544" s="237" t="n">
        <f aca="false">SUMIFS(報告入力!$AZ$7:$AZ$696,報告入力!$A$7:$A$696,$S$522,報告入力!$B$7:$B$696,$A544)</f>
        <v>0</v>
      </c>
      <c r="D544" s="203" t="n">
        <f aca="false">SUMIFS(報告入力!$BA$7:$BA$696,報告入力!$A$7:$A$696,$S$522,報告入力!$B$7:$B$696,$A544)</f>
        <v>563640</v>
      </c>
      <c r="E544" s="207" t="n">
        <f aca="false">SUMIFS(報告入力!$BB$7:$BB$696,報告入力!$A$7:$A$696,$S$522,報告入力!$B$7:$B$696,$A544)</f>
        <v>46200</v>
      </c>
      <c r="F544" s="237" t="n">
        <f aca="false">SUMIFS(報告入力!$BC$7:$BC$696,報告入力!$A$7:$A$696,$S$522,報告入力!$B$7:$B$696,$A544)</f>
        <v>713</v>
      </c>
      <c r="G544" s="417" t="n">
        <f aca="false">SUM(B544:F544)</f>
        <v>610553</v>
      </c>
      <c r="H544" s="240" t="n">
        <f aca="false">SUMIFS(報告入力!$BD$7:$BD$696,報告入力!$A$7:$A$696,$S$522,報告入力!$B$7:$B$696,$A544)</f>
        <v>0</v>
      </c>
      <c r="I544" s="208" t="n">
        <f aca="false">SUMIFS(報告入力!$BE$7:$BE$696,報告入力!$A$7:$A$696,$S$522,報告入力!$B$7:$B$696,$A544)</f>
        <v>341129</v>
      </c>
      <c r="J544" s="418" t="n">
        <f aca="false">SUM(H544:I544)</f>
        <v>341129</v>
      </c>
      <c r="K544" s="203" t="n">
        <f aca="false">SUMIFS(報告入力!$BF$7:$BF$696,報告入力!$A$7:$A$696,$S$522,報告入力!$B$7:$B$696,$A544)</f>
        <v>0</v>
      </c>
      <c r="L544" s="387" t="n">
        <f aca="false">SUMIFS(報告入力!$BG$7:$BG$696,報告入力!$A$7:$A$696,$S$522,報告入力!$B$7:$B$696,$A544)</f>
        <v>51903</v>
      </c>
      <c r="M544" s="206" t="n">
        <f aca="false">SUM(K544:L544)</f>
        <v>51903</v>
      </c>
      <c r="N544" s="203" t="n">
        <f aca="false">SUMIFS(報告入力!$BH$7:$BH$696,報告入力!$A$7:$A$696,$S$522,報告入力!$B$7:$B$696,$A544)</f>
        <v>0</v>
      </c>
      <c r="O544" s="387" t="n">
        <f aca="false">SUMIFS(報告入力!$BI$7:$BI$696,報告入力!$A$7:$A$696,$S$522,報告入力!$B$7:$B$696,$A544)</f>
        <v>1</v>
      </c>
      <c r="P544" s="206" t="n">
        <f aca="false">SUM(N544:O544)</f>
        <v>1</v>
      </c>
      <c r="Q544" s="135" t="str">
        <f aca="false">IF(P479=P544,"〇","×")</f>
        <v>〇</v>
      </c>
      <c r="R544" s="135" t="str">
        <f aca="false">IFERROR(INDEX(報告入力!$C$7:$C$696,MATCH($S$522&amp;"|"&amp;$A544,報告入力!$CM$7:$CM$696,0)),"")</f>
        <v>未受領</v>
      </c>
    </row>
    <row r="545" s="135" customFormat="true" ht="20.1" hidden="false" customHeight="true" outlineLevel="0" collapsed="false">
      <c r="A545" s="125" t="s">
        <v>183</v>
      </c>
      <c r="B545" s="211"/>
      <c r="C545" s="212"/>
      <c r="D545" s="203" t="n">
        <f aca="false">SUMIFS(報告入力!$BA$7:$BA$696,報告入力!$A$7:$A$696,$S$522,報告入力!$B$7:$B$696,$A545)</f>
        <v>1881240</v>
      </c>
      <c r="E545" s="207" t="n">
        <f aca="false">SUMIFS(報告入力!$BB$7:$BB$696,報告入力!$A$7:$A$696,$S$522,報告入力!$B$7:$B$696,$A545)</f>
        <v>154200</v>
      </c>
      <c r="F545" s="237" t="n">
        <f aca="false">SUMIFS(報告入力!$BC$7:$BC$696,報告入力!$A$7:$A$696,$S$522,報告入力!$B$7:$B$696,$A545)</f>
        <v>1960</v>
      </c>
      <c r="G545" s="206" t="n">
        <f aca="false">SUM(B545:F545)</f>
        <v>2037400</v>
      </c>
      <c r="H545" s="288"/>
      <c r="I545" s="208" t="n">
        <f aca="false">SUMIFS(報告入力!$BE$7:$BE$696,報告入力!$A$7:$A$696,$S$522,報告入力!$B$7:$B$696,$A545)</f>
        <v>1271974</v>
      </c>
      <c r="J545" s="418" t="n">
        <f aca="false">SUM(H545:I545)</f>
        <v>1271974</v>
      </c>
      <c r="K545" s="211"/>
      <c r="L545" s="207" t="n">
        <f aca="false">SUMIFS(報告入力!$BG$7:$BG$696,報告入力!$A$7:$A$696,$S$522,報告入力!$B$7:$B$696,$A545)</f>
        <v>141252</v>
      </c>
      <c r="M545" s="418" t="n">
        <f aca="false">SUM(K545:L545)</f>
        <v>141252</v>
      </c>
      <c r="N545" s="211"/>
      <c r="O545" s="207" t="n">
        <f aca="false">SUMIFS(報告入力!$BI$7:$BI$696,報告入力!$A$7:$A$696,$S$522,報告入力!$B$7:$B$696,$A545)</f>
        <v>1</v>
      </c>
      <c r="P545" s="418" t="n">
        <f aca="false">SUM(N545:O545)</f>
        <v>1</v>
      </c>
      <c r="Q545" s="135" t="str">
        <f aca="false">IF(P480=P545,"〇","×")</f>
        <v>〇</v>
      </c>
      <c r="R545" s="135" t="str">
        <f aca="false">IFERROR(INDEX(報告入力!$C$7:$C$696,MATCH($S$522&amp;"|"&amp;$A545,報告入力!$CM$7:$CM$696,0)),"")</f>
        <v>未受領</v>
      </c>
    </row>
    <row r="546" s="135" customFormat="true" ht="20.1" hidden="false" customHeight="true" outlineLevel="0" collapsed="false">
      <c r="A546" s="125" t="s">
        <v>184</v>
      </c>
      <c r="B546" s="211"/>
      <c r="C546" s="212"/>
      <c r="D546" s="203" t="n">
        <f aca="false">SUMIFS(報告入力!$BA$7:$BA$696,報告入力!$A$7:$A$696,$S$522,報告入力!$B$7:$B$696,$A546)</f>
        <v>48495</v>
      </c>
      <c r="E546" s="207" t="n">
        <f aca="false">SUMIFS(報告入力!$BB$7:$BB$696,報告入力!$A$7:$A$696,$S$522,報告入力!$B$7:$B$696,$A546)</f>
        <v>3975</v>
      </c>
      <c r="F546" s="237" t="n">
        <f aca="false">SUMIFS(報告入力!$BC$7:$BC$696,報告入力!$A$7:$A$696,$S$522,報告入力!$B$7:$B$696,$A546)</f>
        <v>49</v>
      </c>
      <c r="G546" s="206" t="n">
        <f aca="false">SUM(B546:F546)</f>
        <v>52519</v>
      </c>
      <c r="H546" s="288"/>
      <c r="I546" s="208" t="n">
        <f aca="false">SUMIFS(報告入力!$BE$7:$BE$696,報告入力!$A$7:$A$696,$S$522,報告入力!$B$7:$B$696,$A546)</f>
        <v>29208</v>
      </c>
      <c r="J546" s="418" t="n">
        <f aca="false">SUM(H546:I546)</f>
        <v>29208</v>
      </c>
      <c r="K546" s="211"/>
      <c r="L546" s="207" t="n">
        <f aca="false">SUMIFS(報告入力!$BG$7:$BG$696,報告入力!$A$7:$A$696,$S$522,報告入力!$B$7:$B$696,$A546)</f>
        <v>4187</v>
      </c>
      <c r="M546" s="418" t="n">
        <f aca="false">SUM(K546:L546)</f>
        <v>4187</v>
      </c>
      <c r="N546" s="211"/>
      <c r="O546" s="207" t="n">
        <f aca="false">SUMIFS(報告入力!$BI$7:$BI$696,報告入力!$A$7:$A$696,$S$522,報告入力!$B$7:$B$696,$A546)</f>
        <v>1</v>
      </c>
      <c r="P546" s="418" t="n">
        <f aca="false">SUM(N546:O546)</f>
        <v>1</v>
      </c>
      <c r="Q546" s="135" t="str">
        <f aca="false">IF(P481=P546,"〇","×")</f>
        <v>〇</v>
      </c>
      <c r="R546" s="135" t="str">
        <f aca="false">IFERROR(INDEX(報告入力!$C$7:$C$696,MATCH($S$522&amp;"|"&amp;$A546,報告入力!$CM$7:$CM$696,0)),"")</f>
        <v>未受領</v>
      </c>
    </row>
    <row r="547" s="135" customFormat="true" ht="20.1" hidden="false" customHeight="true" outlineLevel="0" collapsed="false">
      <c r="A547" s="214" t="s">
        <v>185</v>
      </c>
      <c r="B547" s="211"/>
      <c r="C547" s="212"/>
      <c r="D547" s="203" t="n">
        <f aca="false">SUMIFS(報告入力!$BA$7:$BA$696,報告入力!$A$7:$A$696,$S$522,報告入力!$B$7:$B$696,$A547)</f>
        <v>425475</v>
      </c>
      <c r="E547" s="207" t="n">
        <f aca="false">SUMIFS(報告入力!$BB$7:$BB$696,報告入力!$A$7:$A$696,$S$522,報告入力!$B$7:$B$696,$A547)</f>
        <v>34875</v>
      </c>
      <c r="F547" s="237" t="n">
        <f aca="false">SUMIFS(報告入力!$BC$7:$BC$696,報告入力!$A$7:$A$696,$S$522,報告入力!$B$7:$B$696,$A547)</f>
        <v>435</v>
      </c>
      <c r="G547" s="206" t="n">
        <f aca="false">SUM(B547:F547)</f>
        <v>460785</v>
      </c>
      <c r="H547" s="288"/>
      <c r="I547" s="208" t="n">
        <f aca="false">SUMIFS(報告入力!$BE$7:$BE$696,報告入力!$A$7:$A$696,$S$522,報告入力!$B$7:$B$696,$A547)</f>
        <v>256260</v>
      </c>
      <c r="J547" s="418" t="n">
        <f aca="false">SUM(H547:I547)</f>
        <v>256260</v>
      </c>
      <c r="K547" s="211"/>
      <c r="L547" s="207" t="n">
        <f aca="false">SUMIFS(報告入力!$BG$7:$BG$696,報告入力!$A$7:$A$696,$S$522,報告入力!$B$7:$B$696,$A547)</f>
        <v>34207</v>
      </c>
      <c r="M547" s="418" t="n">
        <f aca="false">SUM(K547:L547)</f>
        <v>34207</v>
      </c>
      <c r="N547" s="211"/>
      <c r="O547" s="207" t="n">
        <f aca="false">SUMIFS(報告入力!$BI$7:$BI$696,報告入力!$A$7:$A$696,$S$522,報告入力!$B$7:$B$696,$A547)</f>
        <v>1</v>
      </c>
      <c r="P547" s="418" t="n">
        <f aca="false">SUM(N547:O547)</f>
        <v>1</v>
      </c>
      <c r="Q547" s="135" t="str">
        <f aca="false">IF(P482=P547,"〇","×")</f>
        <v>〇</v>
      </c>
      <c r="R547" s="135" t="str">
        <f aca="false">IFERROR(INDEX(報告入力!$C$7:$C$696,MATCH($S$522&amp;"|"&amp;$A547,報告入力!$CM$7:$CM$696,0)),"")</f>
        <v>未受領</v>
      </c>
    </row>
    <row r="548" s="135" customFormat="true" ht="19.5" hidden="false" customHeight="true" outlineLevel="0" collapsed="false">
      <c r="A548" s="146" t="s">
        <v>186</v>
      </c>
      <c r="B548" s="211"/>
      <c r="C548" s="216"/>
      <c r="D548" s="203" t="n">
        <f aca="false">SUMIFS(報告入力!$BA$7:$BA$696,報告入力!$A$7:$A$696,$S$522,報告入力!$B$7:$B$696,$A548)</f>
        <v>86010</v>
      </c>
      <c r="E548" s="207" t="n">
        <f aca="false">SUMIFS(報告入力!$BB$7:$BB$696,報告入力!$A$7:$A$696,$S$522,報告入力!$B$7:$B$696,$A548)</f>
        <v>7050</v>
      </c>
      <c r="F548" s="237" t="n">
        <f aca="false">SUMIFS(報告入力!$BC$7:$BC$696,報告入力!$A$7:$A$696,$S$522,報告入力!$B$7:$B$696,$A548)</f>
        <v>88</v>
      </c>
      <c r="G548" s="206" t="n">
        <f aca="false">SUM(B548:F548)</f>
        <v>93148</v>
      </c>
      <c r="H548" s="288"/>
      <c r="I548" s="208" t="n">
        <f aca="false">SUMIFS(報告入力!$BE$7:$BE$696,報告入力!$A$7:$A$696,$S$522,報告入力!$B$7:$B$696,$A548)</f>
        <v>51803</v>
      </c>
      <c r="J548" s="418" t="n">
        <f aca="false">SUM(H548:I548)</f>
        <v>51803</v>
      </c>
      <c r="K548" s="211"/>
      <c r="L548" s="207" t="n">
        <f aca="false">SUMIFS(報告入力!$BG$7:$BG$696,報告入力!$A$7:$A$696,$S$522,報告入力!$B$7:$B$696,$A548)</f>
        <v>7426</v>
      </c>
      <c r="M548" s="418" t="n">
        <f aca="false">SUM(K548:L548)</f>
        <v>7426</v>
      </c>
      <c r="N548" s="211"/>
      <c r="O548" s="207" t="n">
        <f aca="false">SUMIFS(報告入力!$BI$7:$BI$696,報告入力!$A$7:$A$696,$S$522,報告入力!$B$7:$B$696,$A548)</f>
        <v>1</v>
      </c>
      <c r="P548" s="418" t="n">
        <f aca="false">SUM(N548:O548)</f>
        <v>1</v>
      </c>
      <c r="Q548" s="135" t="str">
        <f aca="false">IF(P483=P548,"〇","×")</f>
        <v>〇</v>
      </c>
      <c r="R548" s="135" t="str">
        <f aca="false">IFERROR(INDEX(報告入力!$C$7:$C$696,MATCH($S$522&amp;"|"&amp;$A548,報告入力!$CM$7:$CM$696,0)),"")</f>
        <v>未受領</v>
      </c>
    </row>
    <row r="549" s="135" customFormat="true" ht="20.1" hidden="false" customHeight="true" outlineLevel="0" collapsed="false">
      <c r="A549" s="146" t="s">
        <v>187</v>
      </c>
      <c r="B549" s="211"/>
      <c r="C549" s="216"/>
      <c r="D549" s="203" t="n">
        <f aca="false">SUMIFS(報告入力!$BA$7:$BA$696,報告入力!$A$7:$A$696,$S$522,報告入力!$B$7:$B$696,$A549)</f>
        <v>48495</v>
      </c>
      <c r="E549" s="207" t="n">
        <f aca="false">SUMIFS(報告入力!$BB$7:$BB$696,報告入力!$A$7:$A$696,$S$522,報告入力!$B$7:$B$696,$A549)</f>
        <v>3975</v>
      </c>
      <c r="F549" s="237" t="n">
        <f aca="false">SUMIFS(報告入力!$BC$7:$BC$696,報告入力!$A$7:$A$696,$S$522,報告入力!$B$7:$B$696,$A549)</f>
        <v>49</v>
      </c>
      <c r="G549" s="206" t="n">
        <f aca="false">SUM(B549:F549)</f>
        <v>52519</v>
      </c>
      <c r="H549" s="288"/>
      <c r="I549" s="208" t="n">
        <f aca="false">SUMIFS(報告入力!$BE$7:$BE$696,報告入力!$A$7:$A$696,$S$522,報告入力!$B$7:$B$696,$A549)</f>
        <v>29208</v>
      </c>
      <c r="J549" s="418" t="n">
        <f aca="false">SUM(H549:I549)</f>
        <v>29208</v>
      </c>
      <c r="K549" s="211"/>
      <c r="L549" s="207" t="n">
        <f aca="false">SUMIFS(報告入力!$BG$7:$BG$696,報告入力!$A$7:$A$696,$S$522,報告入力!$B$7:$B$696,$A549)</f>
        <v>4187</v>
      </c>
      <c r="M549" s="418" t="n">
        <f aca="false">SUM(K549:L549)</f>
        <v>4187</v>
      </c>
      <c r="N549" s="211"/>
      <c r="O549" s="207" t="n">
        <f aca="false">SUMIFS(報告入力!$BI$7:$BI$696,報告入力!$A$7:$A$696,$S$522,報告入力!$B$7:$B$696,$A549)</f>
        <v>1</v>
      </c>
      <c r="P549" s="418" t="n">
        <f aca="false">SUM(N549:O549)</f>
        <v>1</v>
      </c>
      <c r="Q549" s="135" t="str">
        <f aca="false">IF(P484=P549,"〇","×")</f>
        <v>〇</v>
      </c>
      <c r="R549" s="135" t="str">
        <f aca="false">IFERROR(INDEX(報告入力!$C$7:$C$696,MATCH($S$522&amp;"|"&amp;$A549,報告入力!$CM$7:$CM$696,0)),"")</f>
        <v>未受領</v>
      </c>
    </row>
    <row r="550" s="135" customFormat="true" ht="20.1" hidden="false" customHeight="true" outlineLevel="0" collapsed="false">
      <c r="A550" s="217" t="s">
        <v>188</v>
      </c>
      <c r="B550" s="211"/>
      <c r="C550" s="218"/>
      <c r="D550" s="203" t="n">
        <f aca="false">SUMIFS(報告入力!$BA$7:$BA$696,報告入力!$A$7:$A$696,$S$522,報告入力!$B$7:$B$696,$A550)</f>
        <v>124440</v>
      </c>
      <c r="E550" s="207" t="n">
        <f aca="false">SUMIFS(報告入力!$BB$7:$BB$696,報告入力!$A$7:$A$696,$S$522,報告入力!$B$7:$B$696,$A550)</f>
        <v>10200</v>
      </c>
      <c r="F550" s="237" t="n">
        <f aca="false">SUMIFS(報告入力!$BC$7:$BC$696,報告入力!$A$7:$A$696,$S$522,報告入力!$B$7:$B$696,$A550)</f>
        <v>127</v>
      </c>
      <c r="G550" s="206" t="n">
        <f aca="false">SUM(B550:F550)</f>
        <v>134767</v>
      </c>
      <c r="H550" s="288"/>
      <c r="I550" s="208" t="n">
        <f aca="false">SUMIFS(報告入力!$BE$7:$BE$696,報告入力!$A$7:$A$696,$S$522,報告入力!$B$7:$B$696,$A550)</f>
        <v>74949</v>
      </c>
      <c r="J550" s="418" t="n">
        <f aca="false">SUM(H550:I550)</f>
        <v>74949</v>
      </c>
      <c r="K550" s="211"/>
      <c r="L550" s="207" t="n">
        <f aca="false">SUMIFS(報告入力!$BG$7:$BG$696,報告入力!$A$7:$A$696,$S$522,報告入力!$B$7:$B$696,$A550)</f>
        <v>7031</v>
      </c>
      <c r="M550" s="418" t="n">
        <f aca="false">SUM(K550:L550)</f>
        <v>7031</v>
      </c>
      <c r="N550" s="211"/>
      <c r="O550" s="207" t="n">
        <f aca="false">SUMIFS(報告入力!$BI$7:$BI$696,報告入力!$A$7:$A$696,$S$522,報告入力!$B$7:$B$696,$A550)</f>
        <v>1</v>
      </c>
      <c r="P550" s="418" t="n">
        <f aca="false">SUM(N550:O550)</f>
        <v>1</v>
      </c>
      <c r="Q550" s="135" t="str">
        <f aca="false">IF(P485=P550,"〇","×")</f>
        <v>〇</v>
      </c>
      <c r="R550" s="135" t="str">
        <f aca="false">IFERROR(INDEX(報告入力!$C$7:$C$696,MATCH($S$522&amp;"|"&amp;$A550,報告入力!$CM$7:$CM$696,0)),"")</f>
        <v>未受領</v>
      </c>
    </row>
    <row r="551" s="135" customFormat="true" ht="20.1" hidden="false" customHeight="true" outlineLevel="0" collapsed="false">
      <c r="A551" s="125" t="s">
        <v>189</v>
      </c>
      <c r="B551" s="240" t="n">
        <f aca="false">SUMIFS(報告入力!$AY$7:$AY$696,報告入力!$A$7:$A$696,$S$522,報告入力!$B$7:$B$696,$A551)</f>
        <v>245220</v>
      </c>
      <c r="C551" s="237" t="n">
        <f aca="false">SUMIFS(報告入力!$AZ$7:$AZ$696,報告入力!$A$7:$A$696,$S$522,報告入力!$B$7:$B$696,$A551)</f>
        <v>20100</v>
      </c>
      <c r="D551" s="240" t="n">
        <f aca="false">SUMIFS(報告入力!$BA$7:$BA$696,報告入力!$A$7:$A$696,$S$522,報告入力!$B$7:$B$696,$A551)</f>
        <v>245220</v>
      </c>
      <c r="E551" s="239" t="n">
        <f aca="false">SUMIFS(報告入力!$BB$7:$BB$696,報告入力!$A$7:$A$696,$S$522,報告入力!$B$7:$B$696,$A551)</f>
        <v>20100</v>
      </c>
      <c r="F551" s="204" t="n">
        <f aca="false">SUMIFS(報告入力!$BC$7:$BC$696,報告入力!$A$7:$A$696,$S$522,報告入力!$B$7:$B$696,$A551)</f>
        <v>251</v>
      </c>
      <c r="G551" s="206" t="n">
        <f aca="false">SUM(B551:F551)</f>
        <v>530891</v>
      </c>
      <c r="H551" s="207" t="n">
        <f aca="false">SUMIFS(報告入力!$BD$7:$BD$696,報告入力!$A$7:$A$696,$S$522,報告入力!$B$7:$B$696,$A551)</f>
        <v>147425</v>
      </c>
      <c r="I551" s="239" t="n">
        <f aca="false">SUMIFS(報告入力!$BE$7:$BE$696,報告入力!$A$7:$A$696,$S$522,報告入力!$B$7:$B$696,$A551)</f>
        <v>147694</v>
      </c>
      <c r="J551" s="418" t="n">
        <f aca="false">SUM(H551:I551)</f>
        <v>295119</v>
      </c>
      <c r="K551" s="207" t="n">
        <f aca="false">SUMIFS(報告入力!$BF$7:$BF$696,報告入力!$A$7:$A$696,$S$522,報告入力!$B$7:$B$696,$A551)</f>
        <v>9559</v>
      </c>
      <c r="L551" s="239" t="n">
        <f aca="false">SUMIFS(報告入力!$BG$7:$BG$696,報告入力!$A$7:$A$696,$S$522,報告入力!$B$7:$B$696,$A551)</f>
        <v>9559</v>
      </c>
      <c r="M551" s="206" t="n">
        <f aca="false">SUM(K551:L551)</f>
        <v>19118</v>
      </c>
      <c r="N551" s="207" t="n">
        <f aca="false">SUMIFS(報告入力!$BH$7:$BH$696,報告入力!$A$7:$A$696,$S$522,報告入力!$B$7:$B$696,$A551)</f>
        <v>1</v>
      </c>
      <c r="O551" s="239" t="n">
        <f aca="false">SUMIFS(報告入力!$BI$7:$BI$696,報告入力!$A$7:$A$696,$S$522,報告入力!$B$7:$B$696,$A551)</f>
        <v>1</v>
      </c>
      <c r="P551" s="206" t="n">
        <f aca="false">SUM(N551:O551)</f>
        <v>2</v>
      </c>
      <c r="Q551" s="135" t="str">
        <f aca="false">IF(P486=P551,"〇","×")</f>
        <v>×</v>
      </c>
      <c r="R551" s="135" t="str">
        <f aca="false">IFERROR(INDEX(報告入力!$C$7:$C$696,MATCH($S$522&amp;"|"&amp;$A551,報告入力!$CM$7:$CM$696,0)),"")</f>
        <v>未受領</v>
      </c>
    </row>
    <row r="552" s="135" customFormat="true" ht="20.1" hidden="false" customHeight="true" outlineLevel="0" collapsed="false">
      <c r="A552" s="219" t="s">
        <v>190</v>
      </c>
      <c r="B552" s="203" t="n">
        <f aca="false">SUMIFS(報告入力!$AY$7:$AY$696,報告入力!$A$7:$A$696,$S$522,報告入力!$B$7:$B$696,$A552)</f>
        <v>40260</v>
      </c>
      <c r="C552" s="237" t="n">
        <f aca="false">SUMIFS(報告入力!$AZ$7:$AZ$696,報告入力!$A$7:$A$696,$S$522,報告入力!$B$7:$B$696,$A552)</f>
        <v>3300</v>
      </c>
      <c r="D552" s="203" t="n">
        <f aca="false">SUMIFS(報告入力!$BA$7:$BA$696,報告入力!$A$7:$A$696,$S$522,報告入力!$B$7:$B$696,$A552)</f>
        <v>40260</v>
      </c>
      <c r="E552" s="207" t="n">
        <f aca="false">SUMIFS(報告入力!$BB$7:$BB$696,報告入力!$A$7:$A$696,$S$522,報告入力!$B$7:$B$696,$A552)</f>
        <v>3300</v>
      </c>
      <c r="F552" s="237" t="n">
        <f aca="false">SUMIFS(報告入力!$BC$7:$BC$696,報告入力!$A$7:$A$696,$S$522,報告入力!$B$7:$B$696,$A552)</f>
        <v>41</v>
      </c>
      <c r="G552" s="206" t="n">
        <f aca="false">SUM(B552:F552)</f>
        <v>87161</v>
      </c>
      <c r="H552" s="287" t="n">
        <f aca="false">SUMIFS(報告入力!$BD$7:$BD$696,報告入力!$A$7:$A$696,$S$522,報告入力!$B$7:$B$696,$A552)</f>
        <v>24204</v>
      </c>
      <c r="I552" s="208" t="n">
        <f aca="false">SUMIFS(報告入力!$BE$7:$BE$696,報告入力!$A$7:$A$696,$S$522,報告入力!$B$7:$B$696,$A552)</f>
        <v>24248</v>
      </c>
      <c r="J552" s="418" t="n">
        <f aca="false">SUM(H552:I552)</f>
        <v>48452</v>
      </c>
      <c r="K552" s="203" t="n">
        <f aca="false">SUMIFS(報告入力!$BF$7:$BF$696,報告入力!$A$7:$A$696,$S$522,報告入力!$B$7:$B$696,$A552)</f>
        <v>0</v>
      </c>
      <c r="L552" s="207" t="n">
        <f aca="false">SUMIFS(報告入力!$BG$7:$BG$696,報告入力!$A$7:$A$696,$S$522,報告入力!$B$7:$B$696,$A552)</f>
        <v>0</v>
      </c>
      <c r="M552" s="418" t="n">
        <f aca="false">SUM(K552:L552)</f>
        <v>0</v>
      </c>
      <c r="N552" s="203" t="n">
        <f aca="false">SUMIFS(報告入力!$BH$7:$BH$696,報告入力!$A$7:$A$696,$S$522,報告入力!$B$7:$B$696,$A552)</f>
        <v>1</v>
      </c>
      <c r="O552" s="207" t="n">
        <f aca="false">SUMIFS(報告入力!$BI$7:$BI$696,報告入力!$A$7:$A$696,$S$522,報告入力!$B$7:$B$696,$A552)</f>
        <v>1</v>
      </c>
      <c r="P552" s="418" t="n">
        <f aca="false">SUM(N552:O552)</f>
        <v>2</v>
      </c>
      <c r="Q552" s="135" t="str">
        <f aca="false">IF(P487=P552,"〇","×")</f>
        <v>×</v>
      </c>
      <c r="R552" s="135" t="str">
        <f aca="false">IFERROR(INDEX(報告入力!$C$7:$C$696,MATCH($S$522&amp;"|"&amp;$A552,報告入力!$CM$7:$CM$696,0)),"")</f>
        <v>未受領</v>
      </c>
    </row>
    <row r="553" s="135" customFormat="true" ht="20.1" hidden="false" customHeight="true" outlineLevel="0" collapsed="false">
      <c r="A553" s="222" t="s">
        <v>191</v>
      </c>
      <c r="B553" s="240" t="n">
        <f aca="false">SUMIFS(報告入力!$AY$7:$AY$696,報告入力!$A$7:$A$696,$S$522,報告入力!$B$7:$B$696,$A553)</f>
        <v>102480</v>
      </c>
      <c r="C553" s="237" t="n">
        <f aca="false">SUMIFS(報告入力!$AZ$7:$AZ$696,報告入力!$A$7:$A$696,$S$522,報告入力!$B$7:$B$696,$A553)</f>
        <v>8400</v>
      </c>
      <c r="D553" s="203" t="n">
        <f aca="false">SUMIFS(報告入力!$BA$7:$BA$696,報告入力!$A$7:$A$696,$S$522,報告入力!$B$7:$B$696,$A553)</f>
        <v>102480</v>
      </c>
      <c r="E553" s="207" t="n">
        <f aca="false">SUMIFS(報告入力!$BB$7:$BB$696,報告入力!$A$7:$A$696,$S$522,報告入力!$B$7:$B$696,$A553)</f>
        <v>8400</v>
      </c>
      <c r="F553" s="237" t="n">
        <f aca="false">SUMIFS(報告入力!$BC$7:$BC$696,報告入力!$A$7:$A$696,$S$522,報告入力!$B$7:$B$696,$A553)</f>
        <v>105</v>
      </c>
      <c r="G553" s="206" t="n">
        <f aca="false">SUM(B553:F553)</f>
        <v>221865</v>
      </c>
      <c r="H553" s="240" t="n">
        <f aca="false">SUMIFS(報告入力!$BD$7:$BD$696,報告入力!$A$7:$A$696,$S$522,報告入力!$B$7:$B$696,$A553)</f>
        <v>61610</v>
      </c>
      <c r="I553" s="208" t="n">
        <f aca="false">SUMIFS(報告入力!$BE$7:$BE$696,報告入力!$A$7:$A$696,$S$522,報告入力!$B$7:$B$696,$A553)</f>
        <v>61723</v>
      </c>
      <c r="J553" s="418" t="n">
        <f aca="false">SUM(H553:I553)</f>
        <v>123333</v>
      </c>
      <c r="K553" s="203" t="n">
        <f aca="false">SUMIFS(報告入力!$BF$7:$BF$696,報告入力!$A$7:$A$696,$S$522,報告入力!$B$7:$B$696,$A553)</f>
        <v>4661</v>
      </c>
      <c r="L553" s="387" t="n">
        <f aca="false">SUMIFS(報告入力!$BG$7:$BG$696,報告入力!$A$7:$A$696,$S$522,報告入力!$B$7:$B$696,$A553)</f>
        <v>4661</v>
      </c>
      <c r="M553" s="206" t="n">
        <f aca="false">SUM(K553:L553)</f>
        <v>9322</v>
      </c>
      <c r="N553" s="203" t="n">
        <f aca="false">SUMIFS(報告入力!$BH$7:$BH$696,報告入力!$A$7:$A$696,$S$522,報告入力!$B$7:$B$696,$A553)</f>
        <v>1</v>
      </c>
      <c r="O553" s="387" t="n">
        <f aca="false">SUMIFS(報告入力!$BI$7:$BI$696,報告入力!$A$7:$A$696,$S$522,報告入力!$B$7:$B$696,$A553)</f>
        <v>1</v>
      </c>
      <c r="P553" s="206" t="n">
        <f aca="false">SUM(N553:O553)</f>
        <v>2</v>
      </c>
      <c r="Q553" s="135" t="str">
        <f aca="false">IF(P488=P553,"〇","×")</f>
        <v>〇</v>
      </c>
      <c r="R553" s="135" t="str">
        <f aca="false">IFERROR(INDEX(報告入力!$C$7:$C$696,MATCH($S$522&amp;"|"&amp;$A553,報告入力!$CM$7:$CM$696,0)),"")</f>
        <v>未受領</v>
      </c>
    </row>
    <row r="554" s="135" customFormat="true" ht="20.1" hidden="false" customHeight="true" outlineLevel="0" collapsed="false">
      <c r="A554" s="125" t="s">
        <v>192</v>
      </c>
      <c r="B554" s="240" t="n">
        <f aca="false">SUMIFS(報告入力!$AY$7:$AY$696,報告入力!$A$7:$A$696,$S$522,報告入力!$B$7:$B$696,$A554)</f>
        <v>912255</v>
      </c>
      <c r="C554" s="237" t="n">
        <f aca="false">SUMIFS(報告入力!$AZ$7:$AZ$696,報告入力!$A$7:$A$696,$S$522,報告入力!$B$7:$B$696,$A554)</f>
        <v>74775</v>
      </c>
      <c r="D554" s="203" t="n">
        <f aca="false">SUMIFS(報告入力!$BA$7:$BA$696,報告入力!$A$7:$A$696,$S$522,報告入力!$B$7:$B$696,$A554)</f>
        <v>912255</v>
      </c>
      <c r="E554" s="207" t="n">
        <f aca="false">SUMIFS(報告入力!$BB$7:$BB$696,報告入力!$A$7:$A$696,$S$522,報告入力!$B$7:$B$696,$A554)</f>
        <v>74775</v>
      </c>
      <c r="F554" s="237" t="n">
        <f aca="false">SUMIFS(報告入力!$BC$7:$BC$696,報告入力!$A$7:$A$696,$S$522,報告入力!$B$7:$B$696,$A554)</f>
        <v>936</v>
      </c>
      <c r="G554" s="206" t="n">
        <f aca="false">SUM(B554:F554)</f>
        <v>1974996</v>
      </c>
      <c r="H554" s="207" t="n">
        <f aca="false">SUMIFS(報告入力!$BD$7:$BD$696,報告入力!$A$7:$A$696,$S$522,報告入力!$B$7:$B$696,$A554)</f>
        <v>548442</v>
      </c>
      <c r="I554" s="239" t="n">
        <f aca="false">SUMIFS(報告入力!$BE$7:$BE$696,報告入力!$A$7:$A$696,$S$522,報告入力!$B$7:$B$696,$A554)</f>
        <v>549446</v>
      </c>
      <c r="J554" s="418" t="n">
        <f aca="false">SUM(H554:I554)</f>
        <v>1097888</v>
      </c>
      <c r="K554" s="203" t="n">
        <f aca="false">SUMIFS(報告入力!$BF$7:$BF$696,報告入力!$A$7:$A$696,$S$522,報告入力!$B$7:$B$696,$A554)</f>
        <v>50086</v>
      </c>
      <c r="L554" s="238" t="n">
        <f aca="false">SUMIFS(報告入力!$BG$7:$BG$696,報告入力!$A$7:$A$696,$S$522,報告入力!$B$7:$B$696,$A554)</f>
        <v>50086</v>
      </c>
      <c r="M554" s="206" t="n">
        <f aca="false">SUM(K554:L554)</f>
        <v>100172</v>
      </c>
      <c r="N554" s="203" t="n">
        <f aca="false">SUMIFS(報告入力!$BH$7:$BH$696,報告入力!$A$7:$A$696,$S$522,報告入力!$B$7:$B$696,$A554)</f>
        <v>1</v>
      </c>
      <c r="O554" s="238" t="n">
        <f aca="false">SUMIFS(報告入力!$BI$7:$BI$696,報告入力!$A$7:$A$696,$S$522,報告入力!$B$7:$B$696,$A554)</f>
        <v>1</v>
      </c>
      <c r="P554" s="206" t="n">
        <f aca="false">SUM(N554:O554)</f>
        <v>2</v>
      </c>
      <c r="Q554" s="135" t="str">
        <f aca="false">IF(P489=P554,"〇","×")</f>
        <v>〇</v>
      </c>
      <c r="R554" s="135" t="str">
        <f aca="false">IFERROR(INDEX(報告入力!$C$7:$C$696,MATCH($S$522&amp;"|"&amp;$A554,報告入力!$CM$7:$CM$696,0)),"")</f>
        <v>未受領</v>
      </c>
    </row>
    <row r="555" s="135" customFormat="true" ht="20.1" hidden="false" customHeight="true" outlineLevel="0" collapsed="false">
      <c r="A555" s="125" t="s">
        <v>193</v>
      </c>
      <c r="B555" s="226"/>
      <c r="C555" s="216"/>
      <c r="D555" s="203" t="n">
        <f aca="false">SUMIFS(報告入力!$BA$7:$BA$696,報告入力!$A$7:$A$696,$S$522,報告入力!$B$7:$B$696,$A555)</f>
        <v>571875</v>
      </c>
      <c r="E555" s="207" t="n">
        <f aca="false">SUMIFS(報告入力!$BB$7:$BB$696,報告入力!$A$7:$A$696,$S$522,報告入力!$B$7:$B$696,$A555)</f>
        <v>46875</v>
      </c>
      <c r="F555" s="237" t="n">
        <f aca="false">SUMIFS(報告入力!$BC$7:$BC$696,報告入力!$A$7:$A$696,$S$522,報告入力!$B$7:$B$696,$A555)</f>
        <v>613</v>
      </c>
      <c r="G555" s="206" t="n">
        <f aca="false">SUM(B555:F555)</f>
        <v>619363</v>
      </c>
      <c r="H555" s="422"/>
      <c r="I555" s="208" t="n">
        <f aca="false">SUMIFS(報告入力!$BE$7:$BE$696,報告入力!$A$7:$A$696,$S$522,報告入力!$B$7:$B$696,$A555)</f>
        <v>344467</v>
      </c>
      <c r="J555" s="418" t="n">
        <f aca="false">SUM(H555:I555)</f>
        <v>344467</v>
      </c>
      <c r="K555" s="211"/>
      <c r="L555" s="207" t="n">
        <f aca="false">SUMIFS(報告入力!$BG$7:$BG$696,報告入力!$A$7:$A$696,$S$522,報告入力!$B$7:$B$696,$A555)</f>
        <v>27255</v>
      </c>
      <c r="M555" s="418" t="n">
        <f aca="false">SUM(K555:L555)</f>
        <v>27255</v>
      </c>
      <c r="N555" s="211"/>
      <c r="O555" s="207" t="n">
        <f aca="false">SUMIFS(報告入力!$BI$7:$BI$696,報告入力!$A$7:$A$696,$S$522,報告入力!$B$7:$B$696,$A555)</f>
        <v>1</v>
      </c>
      <c r="P555" s="418" t="n">
        <f aca="false">SUM(N555:O555)</f>
        <v>1</v>
      </c>
      <c r="Q555" s="135" t="str">
        <f aca="false">IF(P490=P555,"〇","×")</f>
        <v>〇</v>
      </c>
      <c r="R555" s="135" t="str">
        <f aca="false">IFERROR(INDEX(報告入力!$C$7:$C$696,MATCH($S$522&amp;"|"&amp;$A555,報告入力!$CM$7:$CM$696,0)),"")</f>
        <v>未受領</v>
      </c>
    </row>
    <row r="556" s="135" customFormat="true" ht="20.1" hidden="false" customHeight="true" outlineLevel="0" collapsed="false">
      <c r="A556" s="228" t="s">
        <v>194</v>
      </c>
      <c r="B556" s="211"/>
      <c r="C556" s="218"/>
      <c r="D556" s="203" t="n">
        <f aca="false">SUMIFS(報告入力!$BA$7:$BA$696,報告入力!$A$7:$A$696,$S$522,報告入力!$B$7:$B$696,$A556)</f>
        <v>1160220</v>
      </c>
      <c r="E556" s="207" t="n">
        <f aca="false">SUMIFS(報告入力!$BB$7:$BB$696,報告入力!$A$7:$A$696,$S$522,報告入力!$B$7:$B$696,$A556)</f>
        <v>95100</v>
      </c>
      <c r="F556" s="237" t="n">
        <f aca="false">SUMIFS(報告入力!$BC$7:$BC$696,報告入力!$A$7:$A$696,$S$522,報告入力!$B$7:$B$696,$A556)</f>
        <v>1185</v>
      </c>
      <c r="G556" s="206" t="n">
        <f aca="false">SUM(B556:F556)</f>
        <v>1256505</v>
      </c>
      <c r="H556" s="288"/>
      <c r="I556" s="208" t="n">
        <f aca="false">SUMIFS(報告入力!$BE$7:$BE$696,報告入力!$A$7:$A$696,$S$522,報告入力!$B$7:$B$696,$A556)</f>
        <v>698790</v>
      </c>
      <c r="J556" s="418" t="n">
        <f aca="false">SUM(H556:I556)</f>
        <v>698790</v>
      </c>
      <c r="K556" s="211"/>
      <c r="L556" s="207" t="n">
        <f aca="false">SUMIFS(報告入力!$BG$7:$BG$696,報告入力!$A$7:$A$696,$S$522,報告入力!$B$7:$B$696,$A556)</f>
        <v>94721</v>
      </c>
      <c r="M556" s="418" t="n">
        <f aca="false">SUM(K556:L556)</f>
        <v>94721</v>
      </c>
      <c r="N556" s="211"/>
      <c r="O556" s="207" t="n">
        <f aca="false">SUMIFS(報告入力!$BI$7:$BI$696,報告入力!$A$7:$A$696,$S$522,報告入力!$B$7:$B$696,$A556)</f>
        <v>1</v>
      </c>
      <c r="P556" s="418" t="n">
        <f aca="false">SUM(N556:O556)</f>
        <v>1</v>
      </c>
      <c r="Q556" s="135" t="str">
        <f aca="false">IF(P491=P556,"〇","×")</f>
        <v>〇</v>
      </c>
      <c r="R556" s="135" t="str">
        <f aca="false">IFERROR(INDEX(報告入力!$C$7:$C$696,MATCH($S$522&amp;"|"&amp;$A556,報告入力!$CM$7:$CM$696,0)),"")</f>
        <v>未受領</v>
      </c>
    </row>
    <row r="557" s="135" customFormat="true" ht="20.1" hidden="false" customHeight="true" outlineLevel="0" collapsed="false">
      <c r="A557" s="229" t="s">
        <v>195</v>
      </c>
      <c r="B557" s="211"/>
      <c r="C557" s="218"/>
      <c r="D557" s="203" t="n">
        <f aca="false">SUMIFS(報告入力!$BA$7:$BA$696,報告入力!$A$7:$A$696,$S$522,報告入力!$B$7:$B$696,$A557)</f>
        <v>0</v>
      </c>
      <c r="E557" s="207" t="n">
        <f aca="false">SUMIFS(報告入力!$BB$7:$BB$696,報告入力!$A$7:$A$696,$S$522,報告入力!$B$7:$B$696,$A557)</f>
        <v>0</v>
      </c>
      <c r="F557" s="237" t="n">
        <f aca="false">SUMIFS(報告入力!$BC$7:$BC$696,報告入力!$A$7:$A$696,$S$522,報告入力!$B$7:$B$696,$A557)</f>
        <v>0</v>
      </c>
      <c r="G557" s="206" t="n">
        <f aca="false">SUM(B557:F557)</f>
        <v>0</v>
      </c>
      <c r="H557" s="288"/>
      <c r="I557" s="208" t="n">
        <f aca="false">SUMIFS(報告入力!$BE$7:$BE$696,報告入力!$A$7:$A$696,$S$522,報告入力!$B$7:$B$696,$A557)</f>
        <v>0</v>
      </c>
      <c r="J557" s="418" t="n">
        <f aca="false">SUM(H557:I557)</f>
        <v>0</v>
      </c>
      <c r="K557" s="211"/>
      <c r="L557" s="207" t="n">
        <f aca="false">SUMIFS(報告入力!$BG$7:$BG$696,報告入力!$A$7:$A$696,$S$522,報告入力!$B$7:$B$696,$A557)</f>
        <v>0</v>
      </c>
      <c r="M557" s="418" t="n">
        <f aca="false">SUM(K557:L557)</f>
        <v>0</v>
      </c>
      <c r="N557" s="211"/>
      <c r="O557" s="207" t="n">
        <f aca="false">SUMIFS(報告入力!$BI$7:$BI$696,報告入力!$A$7:$A$696,$S$522,報告入力!$B$7:$B$696,$A557)</f>
        <v>0</v>
      </c>
      <c r="P557" s="418" t="n">
        <f aca="false">SUM(N557:O557)</f>
        <v>0</v>
      </c>
      <c r="Q557" s="135" t="str">
        <f aca="false">IF(P492=P557,"〇","×")</f>
        <v>〇</v>
      </c>
      <c r="R557" s="135" t="str">
        <f aca="false">IFERROR(INDEX(報告入力!$C$7:$C$696,MATCH($S$522&amp;"|"&amp;$A557,報告入力!$CM$7:$CM$696,0)),"")</f>
        <v>未受領</v>
      </c>
    </row>
    <row r="558" s="135" customFormat="true" ht="20.1" hidden="false" customHeight="true" outlineLevel="0" collapsed="false">
      <c r="A558" s="125" t="s">
        <v>196</v>
      </c>
      <c r="B558" s="211"/>
      <c r="C558" s="218"/>
      <c r="D558" s="203" t="n">
        <f aca="false">SUMIFS(報告入力!$BA$7:$BA$696,報告入力!$A$7:$A$696,$S$522,報告入力!$B$7:$B$696,$A558)</f>
        <v>394365</v>
      </c>
      <c r="E558" s="207" t="n">
        <f aca="false">SUMIFS(報告入力!$BB$7:$BB$696,報告入力!$A$7:$A$696,$S$522,報告入力!$B$7:$B$696,$A558)</f>
        <v>32325</v>
      </c>
      <c r="F558" s="237" t="n">
        <f aca="false">SUMIFS(報告入力!$BC$7:$BC$696,報告入力!$A$7:$A$696,$S$522,報告入力!$B$7:$B$696,$A558)</f>
        <v>403</v>
      </c>
      <c r="G558" s="206" t="n">
        <f aca="false">SUM(B558:F558)</f>
        <v>427093</v>
      </c>
      <c r="H558" s="288"/>
      <c r="I558" s="208" t="n">
        <f aca="false">SUMIFS(報告入力!$BE$7:$BE$696,報告入力!$A$7:$A$696,$S$522,報告入力!$B$7:$B$696,$A558)</f>
        <v>237523</v>
      </c>
      <c r="J558" s="418" t="n">
        <f aca="false">SUM(H558:I558)</f>
        <v>237523</v>
      </c>
      <c r="K558" s="211"/>
      <c r="L558" s="207" t="n">
        <f aca="false">SUMIFS(報告入力!$BG$7:$BG$696,報告入力!$A$7:$A$696,$S$522,報告入力!$B$7:$B$696,$A558)</f>
        <v>34049</v>
      </c>
      <c r="M558" s="418" t="n">
        <f aca="false">SUM(K558:L558)</f>
        <v>34049</v>
      </c>
      <c r="N558" s="211"/>
      <c r="O558" s="207" t="n">
        <f aca="false">SUMIFS(報告入力!$BI$7:$BI$696,報告入力!$A$7:$A$696,$S$522,報告入力!$B$7:$B$696,$A558)</f>
        <v>1</v>
      </c>
      <c r="P558" s="418" t="n">
        <f aca="false">SUM(N558:O558)</f>
        <v>1</v>
      </c>
      <c r="Q558" s="135" t="str">
        <f aca="false">IF(P493=P558,"〇","×")</f>
        <v>〇</v>
      </c>
      <c r="R558" s="135" t="str">
        <f aca="false">IFERROR(INDEX(報告入力!$C$7:$C$696,MATCH($S$522&amp;"|"&amp;$A558,報告入力!$CM$7:$CM$696,0)),"")</f>
        <v>未受領</v>
      </c>
    </row>
    <row r="559" s="135" customFormat="true" ht="20.1" hidden="false" customHeight="true" outlineLevel="0" collapsed="false">
      <c r="A559" s="146" t="s">
        <v>197</v>
      </c>
      <c r="B559" s="240" t="n">
        <f aca="false">SUMIFS(報告入力!$AY$7:$AY$696,報告入力!$A$7:$A$696,$S$522,報告入力!$B$7:$B$696,$A559)</f>
        <v>137250</v>
      </c>
      <c r="C559" s="237" t="n">
        <f aca="false">SUMIFS(報告入力!$AZ$7:$AZ$696,報告入力!$A$7:$A$696,$S$522,報告入力!$B$7:$B$696,$A559)</f>
        <v>11250</v>
      </c>
      <c r="D559" s="203" t="n">
        <f aca="false">SUMIFS(報告入力!$BA$7:$BA$696,報告入力!$A$7:$A$696,$S$522,報告入力!$B$7:$B$696,$A559)</f>
        <v>137250</v>
      </c>
      <c r="E559" s="207" t="n">
        <f aca="false">SUMIFS(報告入力!$BB$7:$BB$696,報告入力!$A$7:$A$696,$S$522,報告入力!$B$7:$B$696,$A559)</f>
        <v>11250</v>
      </c>
      <c r="F559" s="237" t="n">
        <f aca="false">SUMIFS(報告入力!$BC$7:$BC$696,報告入力!$A$7:$A$696,$S$522,報告入力!$B$7:$B$696,$A559)</f>
        <v>140</v>
      </c>
      <c r="G559" s="206" t="n">
        <f aca="false">SUM(B559:F559)</f>
        <v>297140</v>
      </c>
      <c r="H559" s="240" t="n">
        <f aca="false">SUMIFS(報告入力!$BD$7:$BD$696,報告入力!$A$7:$A$696,$S$522,報告入力!$B$7:$B$696,$A559)</f>
        <v>82514</v>
      </c>
      <c r="I559" s="208" t="n">
        <f aca="false">SUMIFS(報告入力!$BE$7:$BE$696,報告入力!$A$7:$A$696,$S$522,報告入力!$B$7:$B$696,$A559)</f>
        <v>82665</v>
      </c>
      <c r="J559" s="418" t="n">
        <f aca="false">SUM(H559:I559)</f>
        <v>165179</v>
      </c>
      <c r="K559" s="203" t="n">
        <f aca="false">SUMIFS(報告入力!$BF$7:$BF$696,報告入力!$A$7:$A$696,$S$522,報告入力!$B$7:$B$696,$A559)</f>
        <v>8611</v>
      </c>
      <c r="L559" s="387" t="n">
        <f aca="false">SUMIFS(報告入力!$BG$7:$BG$696,報告入力!$A$7:$A$696,$S$522,報告入力!$B$7:$B$696,$A559)</f>
        <v>8611</v>
      </c>
      <c r="M559" s="206" t="n">
        <f aca="false">SUM(K559:L559)</f>
        <v>17222</v>
      </c>
      <c r="N559" s="203" t="n">
        <f aca="false">SUMIFS(報告入力!$BH$7:$BH$696,報告入力!$A$7:$A$696,$S$522,報告入力!$B$7:$B$696,$A559)</f>
        <v>1</v>
      </c>
      <c r="O559" s="387" t="n">
        <f aca="false">SUMIFS(報告入力!$BI$7:$BI$696,報告入力!$A$7:$A$696,$S$522,報告入力!$B$7:$B$696,$A559)</f>
        <v>1</v>
      </c>
      <c r="P559" s="206" t="n">
        <f aca="false">SUM(N559:O559)</f>
        <v>2</v>
      </c>
      <c r="Q559" s="135" t="str">
        <f aca="false">IF(P494=P559,"〇","×")</f>
        <v>〇</v>
      </c>
      <c r="R559" s="135" t="str">
        <f aca="false">IFERROR(INDEX(報告入力!$C$7:$C$696,MATCH($S$522&amp;"|"&amp;$A559,報告入力!$CM$7:$CM$696,0)),"")</f>
        <v>未受領</v>
      </c>
    </row>
    <row r="560" s="135" customFormat="true" ht="20.1" hidden="false" customHeight="true" outlineLevel="0" collapsed="false">
      <c r="A560" s="231" t="s">
        <v>219</v>
      </c>
      <c r="B560" s="226"/>
      <c r="C560" s="216"/>
      <c r="D560" s="203" t="n">
        <f aca="false">SUMIFS(報告入力!$BA$7:$BA$696,報告入力!$A$7:$A$696,$S$522,報告入力!$B$7:$B$696,$A560)</f>
        <v>472140</v>
      </c>
      <c r="E560" s="207" t="n">
        <f aca="false">SUMIFS(報告入力!$BB$7:$BB$696,報告入力!$A$7:$A$696,$S$522,報告入力!$B$7:$B$696,$A560)</f>
        <v>38700</v>
      </c>
      <c r="F560" s="237" t="n">
        <f aca="false">SUMIFS(報告入力!$BC$7:$BC$696,報告入力!$A$7:$A$696,$S$522,報告入力!$B$7:$B$696,$A560)</f>
        <v>484</v>
      </c>
      <c r="G560" s="206" t="n">
        <f aca="false">SUM(B560:F560)</f>
        <v>511324</v>
      </c>
      <c r="H560" s="422"/>
      <c r="I560" s="208" t="n">
        <f aca="false">SUMIFS(報告入力!$BE$7:$BE$696,報告入力!$A$7:$A$696,$S$522,報告入力!$B$7:$B$696,$A560)</f>
        <v>289878</v>
      </c>
      <c r="J560" s="418" t="n">
        <f aca="false">SUM(H560:I560)</f>
        <v>289878</v>
      </c>
      <c r="K560" s="211"/>
      <c r="L560" s="207" t="n">
        <f aca="false">SUMIFS(報告入力!$BG$7:$BG$696,報告入力!$A$7:$A$696,$S$522,報告入力!$B$7:$B$696,$A560)</f>
        <v>25517</v>
      </c>
      <c r="M560" s="418" t="n">
        <f aca="false">SUM(K560:L560)</f>
        <v>25517</v>
      </c>
      <c r="N560" s="211"/>
      <c r="O560" s="207" t="n">
        <f aca="false">SUMIFS(報告入力!$BI$7:$BI$696,報告入力!$A$7:$A$696,$S$522,報告入力!$B$7:$B$696,$A560)</f>
        <v>1</v>
      </c>
      <c r="P560" s="418" t="n">
        <f aca="false">SUM(N560:O560)</f>
        <v>1</v>
      </c>
      <c r="Q560" s="135" t="str">
        <f aca="false">IF(P495=P560,"〇","×")</f>
        <v>〇</v>
      </c>
      <c r="R560" s="135" t="str">
        <f aca="false">IFERROR(INDEX(報告入力!$C$7:$C$696,MATCH($S$522&amp;"|"&amp;$A560,報告入力!$CM$7:$CM$696,0)),"")</f>
        <v>未受領</v>
      </c>
    </row>
    <row r="561" s="135" customFormat="true" ht="20.1" hidden="false" customHeight="true" outlineLevel="0" collapsed="false">
      <c r="A561" s="214" t="s">
        <v>199</v>
      </c>
      <c r="B561" s="240" t="n">
        <f aca="false">SUMIFS(報告入力!$AY$7:$AY$696,報告入力!$A$7:$A$696,$S$522,報告入力!$B$7:$B$696,$A561)</f>
        <v>56730</v>
      </c>
      <c r="C561" s="237" t="n">
        <f aca="false">SUMIFS(報告入力!$AZ$7:$AZ$696,報告入力!$A$7:$A$696,$S$522,報告入力!$B$7:$B$696,$A561)</f>
        <v>4650</v>
      </c>
      <c r="D561" s="203" t="n">
        <f aca="false">SUMIFS(報告入力!$BA$7:$BA$696,報告入力!$A$7:$A$696,$S$522,報告入力!$B$7:$B$696,$A561)</f>
        <v>56730</v>
      </c>
      <c r="E561" s="207" t="n">
        <f aca="false">SUMIFS(報告入力!$BB$7:$BB$696,報告入力!$A$7:$A$696,$S$522,報告入力!$B$7:$B$696,$A561)</f>
        <v>4650</v>
      </c>
      <c r="F561" s="237" t="n">
        <f aca="false">SUMIFS(報告入力!$BC$7:$BC$696,報告入力!$A$7:$A$696,$S$522,報告入力!$B$7:$B$696,$A561)</f>
        <v>58</v>
      </c>
      <c r="G561" s="206" t="n">
        <f aca="false">SUM(B561:F561)</f>
        <v>122818</v>
      </c>
      <c r="H561" s="240" t="n">
        <f aca="false">SUMIFS(報告入力!$BD$7:$BD$696,報告入力!$A$7:$A$696,$S$522,報告入力!$B$7:$B$696,$A561)</f>
        <v>34106</v>
      </c>
      <c r="I561" s="208" t="n">
        <f aca="false">SUMIFS(報告入力!$BE$7:$BE$696,報告入力!$A$7:$A$696,$S$522,報告入力!$B$7:$B$696,$A561)</f>
        <v>34168</v>
      </c>
      <c r="J561" s="418" t="n">
        <f aca="false">SUM(H561:I561)</f>
        <v>68274</v>
      </c>
      <c r="K561" s="203" t="n">
        <f aca="false">SUMIFS(報告入力!$BF$7:$BF$696,報告入力!$A$7:$A$696,$S$522,報告入力!$B$7:$B$696,$A561)</f>
        <v>4898</v>
      </c>
      <c r="L561" s="387" t="n">
        <f aca="false">SUMIFS(報告入力!$BG$7:$BG$696,報告入力!$A$7:$A$696,$S$522,報告入力!$B$7:$B$696,$A561)</f>
        <v>4898</v>
      </c>
      <c r="M561" s="206" t="n">
        <f aca="false">SUM(K561:L561)</f>
        <v>9796</v>
      </c>
      <c r="N561" s="203" t="n">
        <f aca="false">SUMIFS(報告入力!$BH$7:$BH$696,報告入力!$A$7:$A$696,$S$522,報告入力!$B$7:$B$696,$A561)</f>
        <v>1</v>
      </c>
      <c r="O561" s="387" t="n">
        <f aca="false">SUMIFS(報告入力!$BI$7:$BI$696,報告入力!$A$7:$A$696,$S$522,報告入力!$B$7:$B$696,$A561)</f>
        <v>1</v>
      </c>
      <c r="P561" s="206" t="n">
        <f aca="false">SUM(N561:O561)</f>
        <v>2</v>
      </c>
      <c r="Q561" s="135" t="str">
        <f aca="false">IF(P496=P561,"〇","×")</f>
        <v>×</v>
      </c>
      <c r="R561" s="135" t="str">
        <f aca="false">IFERROR(INDEX(報告入力!$C$7:$C$696,MATCH($S$522&amp;"|"&amp;$A561,報告入力!$CM$7:$CM$696,0)),"")</f>
        <v>未受領</v>
      </c>
    </row>
    <row r="562" s="135" customFormat="true" ht="20.1" hidden="false" customHeight="true" outlineLevel="0" collapsed="false">
      <c r="A562" s="214" t="s">
        <v>200</v>
      </c>
      <c r="B562" s="240" t="n">
        <f aca="false">SUMIFS(報告入力!$AY$7:$AY$696,報告入力!$A$7:$A$696,$S$522,報告入力!$B$7:$B$696,$A562)</f>
        <v>59475</v>
      </c>
      <c r="C562" s="237" t="n">
        <f aca="false">SUMIFS(報告入力!$AZ$7:$AZ$696,報告入力!$A$7:$A$696,$S$522,報告入力!$B$7:$B$696,$A562)</f>
        <v>4875</v>
      </c>
      <c r="D562" s="203" t="n">
        <f aca="false">SUMIFS(報告入力!$BA$7:$BA$696,報告入力!$A$7:$A$696,$S$522,報告入力!$B$7:$B$696,$A562)</f>
        <v>59475</v>
      </c>
      <c r="E562" s="207" t="n">
        <f aca="false">SUMIFS(報告入力!$BB$7:$BB$696,報告入力!$A$7:$A$696,$S$522,報告入力!$B$7:$B$696,$A562)</f>
        <v>4875</v>
      </c>
      <c r="F562" s="237" t="n">
        <f aca="false">SUMIFS(報告入力!$BC$7:$BC$696,報告入力!$A$7:$A$696,$S$522,報告入力!$B$7:$B$696,$A562)</f>
        <v>61</v>
      </c>
      <c r="G562" s="206" t="n">
        <f aca="false">SUM(B562:F562)</f>
        <v>128761</v>
      </c>
      <c r="H562" s="240" t="n">
        <f aca="false">SUMIFS(報告入力!$BD$7:$BD$696,報告入力!$A$7:$A$696,$S$522,報告入力!$B$7:$B$696,$A562)</f>
        <v>41257</v>
      </c>
      <c r="I562" s="208" t="n">
        <f aca="false">SUMIFS(報告入力!$BE$7:$BE$696,報告入力!$A$7:$A$696,$S$522,報告入力!$B$7:$B$696,$A562)</f>
        <v>41332</v>
      </c>
      <c r="J562" s="418" t="n">
        <f aca="false">SUM(H562:I562)</f>
        <v>82589</v>
      </c>
      <c r="K562" s="203" t="n">
        <f aca="false">SUMIFS(報告入力!$BF$7:$BF$696,報告入力!$A$7:$A$696,$S$522,報告入力!$B$7:$B$696,$A562)</f>
        <v>5925</v>
      </c>
      <c r="L562" s="387" t="n">
        <f aca="false">SUMIFS(報告入力!$BG$7:$BG$696,報告入力!$A$7:$A$696,$S$522,報告入力!$B$7:$B$696,$A562)</f>
        <v>5925</v>
      </c>
      <c r="M562" s="206" t="n">
        <f aca="false">SUM(K562:L562)</f>
        <v>11850</v>
      </c>
      <c r="N562" s="203" t="n">
        <f aca="false">SUMIFS(報告入力!$BH$7:$BH$696,報告入力!$A$7:$A$696,$S$522,報告入力!$B$7:$B$696,$A562)</f>
        <v>1</v>
      </c>
      <c r="O562" s="387" t="n">
        <f aca="false">SUMIFS(報告入力!$BI$7:$BI$696,報告入力!$A$7:$A$696,$S$522,報告入力!$B$7:$B$696,$A562)</f>
        <v>1</v>
      </c>
      <c r="P562" s="206" t="n">
        <f aca="false">SUM(N562:O562)</f>
        <v>2</v>
      </c>
      <c r="Q562" s="135" t="str">
        <f aca="false">IF(P497=P562,"〇","×")</f>
        <v>×</v>
      </c>
      <c r="R562" s="135" t="str">
        <f aca="false">IFERROR(INDEX(報告入力!$C$7:$C$696,MATCH($S$522&amp;"|"&amp;$A562,報告入力!$CM$7:$CM$696,0)),"")</f>
        <v>未受領</v>
      </c>
    </row>
    <row r="563" s="135" customFormat="true" ht="20.1" hidden="false" customHeight="true" outlineLevel="0" collapsed="false">
      <c r="A563" s="214" t="s">
        <v>201</v>
      </c>
      <c r="B563" s="240" t="n">
        <f aca="false">SUMIFS(報告入力!$AY$7:$AY$696,報告入力!$A$7:$A$696,$S$522,報告入力!$B$7:$B$696,$A563)</f>
        <v>48495</v>
      </c>
      <c r="C563" s="237" t="n">
        <f aca="false">SUMIFS(報告入力!$AZ$7:$AZ$696,報告入力!$A$7:$A$696,$S$522,報告入力!$B$7:$B$696,$A563)</f>
        <v>3975</v>
      </c>
      <c r="D563" s="240" t="n">
        <f aca="false">SUMIFS(報告入力!$BA$7:$BA$696,報告入力!$A$7:$A$696,$S$522,報告入力!$B$7:$B$696,$A563)</f>
        <v>48495</v>
      </c>
      <c r="E563" s="239" t="n">
        <f aca="false">SUMIFS(報告入力!$BB$7:$BB$696,報告入力!$A$7:$A$696,$S$522,報告入力!$B$7:$B$696,$A563)</f>
        <v>3975</v>
      </c>
      <c r="F563" s="204" t="n">
        <f aca="false">SUMIFS(報告入力!$BC$7:$BC$696,報告入力!$A$7:$A$696,$S$522,報告入力!$B$7:$B$696,$A563)</f>
        <v>49</v>
      </c>
      <c r="G563" s="206" t="n">
        <f aca="false">SUM(B563:F563)</f>
        <v>104989</v>
      </c>
      <c r="H563" s="207" t="n">
        <f aca="false">SUMIFS(報告入力!$BD$7:$BD$696,報告入力!$A$7:$A$696,$S$522,報告入力!$B$7:$B$696,$A563)</f>
        <v>29155</v>
      </c>
      <c r="I563" s="239" t="n">
        <f aca="false">SUMIFS(報告入力!$BE$7:$BE$696,報告入力!$A$7:$A$696,$S$522,報告入力!$B$7:$B$696,$A563)</f>
        <v>29208</v>
      </c>
      <c r="J563" s="418" t="n">
        <f aca="false">SUM(H563:I563)</f>
        <v>58363</v>
      </c>
      <c r="K563" s="203" t="n">
        <f aca="false">SUMIFS(報告入力!$BF$7:$BF$696,報告入力!$A$7:$A$696,$S$522,報告入力!$B$7:$B$696,$A563)</f>
        <v>0</v>
      </c>
      <c r="L563" s="387" t="n">
        <f aca="false">SUMIFS(報告入力!$BG$7:$BG$696,報告入力!$A$7:$A$696,$S$522,報告入力!$B$7:$B$696,$A563)</f>
        <v>0</v>
      </c>
      <c r="M563" s="206" t="n">
        <f aca="false">SUM(K563:L563)</f>
        <v>0</v>
      </c>
      <c r="N563" s="203" t="n">
        <f aca="false">SUMIFS(報告入力!$BH$7:$BH$696,報告入力!$A$7:$A$696,$S$522,報告入力!$B$7:$B$696,$A563)</f>
        <v>1</v>
      </c>
      <c r="O563" s="387" t="n">
        <f aca="false">SUMIFS(報告入力!$BI$7:$BI$696,報告入力!$A$7:$A$696,$S$522,報告入力!$B$7:$B$696,$A563)</f>
        <v>1</v>
      </c>
      <c r="P563" s="206" t="n">
        <f aca="false">SUM(N563:O563)</f>
        <v>2</v>
      </c>
      <c r="Q563" s="135" t="str">
        <f aca="false">IF(P498=P563,"〇","×")</f>
        <v>×</v>
      </c>
      <c r="R563" s="135" t="str">
        <f aca="false">IFERROR(INDEX(報告入力!$C$7:$C$696,MATCH($S$522&amp;"|"&amp;$A563,報告入力!$CM$7:$CM$696,0)),"")</f>
        <v>未受領</v>
      </c>
    </row>
    <row r="564" s="135" customFormat="true" ht="20.1" hidden="false" customHeight="true" outlineLevel="0" collapsed="false">
      <c r="A564" s="146" t="s">
        <v>202</v>
      </c>
      <c r="B564" s="240" t="n">
        <f aca="false">SUMIFS(報告入力!$AY$7:$AY$696,報告入力!$A$7:$A$696,$S$522,報告入力!$B$7:$B$696,$A564)</f>
        <v>1122705</v>
      </c>
      <c r="C564" s="237" t="n">
        <f aca="false">SUMIFS(報告入力!$AZ$7:$AZ$696,報告入力!$A$7:$A$696,$S$522,報告入力!$B$7:$B$696,$A564)</f>
        <v>92025</v>
      </c>
      <c r="D564" s="203" t="n">
        <f aca="false">SUMIFS(報告入力!$BA$7:$BA$696,報告入力!$A$7:$A$696,$S$522,報告入力!$B$7:$B$696,$A564)</f>
        <v>1122705</v>
      </c>
      <c r="E564" s="207" t="n">
        <f aca="false">SUMIFS(報告入力!$BB$7:$BB$696,報告入力!$A$7:$A$696,$S$522,報告入力!$B$7:$B$696,$A564)</f>
        <v>92025</v>
      </c>
      <c r="F564" s="237" t="n">
        <f aca="false">SUMIFS(報告入力!$BC$7:$BC$696,報告入力!$A$7:$A$696,$S$522,報告入力!$B$7:$B$696,$A564)</f>
        <v>1337</v>
      </c>
      <c r="G564" s="206" t="n">
        <f aca="false">SUM(B564:F564)</f>
        <v>2430797</v>
      </c>
      <c r="H564" s="240" t="n">
        <f aca="false">SUMIFS(報告入力!$BD$7:$BD$696,報告入力!$A$7:$A$696,$S$522,報告入力!$B$7:$B$696,$A564)</f>
        <v>674963</v>
      </c>
      <c r="I564" s="208" t="n">
        <f aca="false">SUMIFS(報告入力!$BE$7:$BE$696,報告入力!$A$7:$A$696,$S$522,報告入力!$B$7:$B$696,$A564)</f>
        <v>676398</v>
      </c>
      <c r="J564" s="418" t="n">
        <f aca="false">SUM(H564:I564)</f>
        <v>1351361</v>
      </c>
      <c r="K564" s="203" t="n">
        <f aca="false">SUMIFS(報告入力!$BF$7:$BF$696,報告入力!$A$7:$A$696,$S$522,報告入力!$B$7:$B$696,$A564)</f>
        <v>64227</v>
      </c>
      <c r="L564" s="387" t="n">
        <f aca="false">SUMIFS(報告入力!$BG$7:$BG$696,報告入力!$A$7:$A$696,$S$522,報告入力!$B$7:$B$696,$A564)</f>
        <v>64227</v>
      </c>
      <c r="M564" s="206" t="n">
        <f aca="false">SUM(K564:L564)</f>
        <v>128454</v>
      </c>
      <c r="N564" s="203" t="n">
        <f aca="false">SUMIFS(報告入力!$BH$7:$BH$696,報告入力!$A$7:$A$696,$S$522,報告入力!$B$7:$B$696,$A564)</f>
        <v>1</v>
      </c>
      <c r="O564" s="387" t="n">
        <f aca="false">SUMIFS(報告入力!$BI$7:$BI$696,報告入力!$A$7:$A$696,$S$522,報告入力!$B$7:$B$696,$A564)</f>
        <v>1</v>
      </c>
      <c r="P564" s="206" t="n">
        <f aca="false">SUM(N564:O564)</f>
        <v>2</v>
      </c>
      <c r="Q564" s="135" t="str">
        <f aca="false">IF(P499=P564,"〇","×")</f>
        <v>〇</v>
      </c>
      <c r="R564" s="135" t="str">
        <f aca="false">IFERROR(INDEX(報告入力!$C$7:$C$696,MATCH($S$522&amp;"|"&amp;$A564,報告入力!$CM$7:$CM$696,0)),"")</f>
        <v>未受領</v>
      </c>
    </row>
    <row r="565" s="135" customFormat="true" ht="20.1" hidden="false" customHeight="true" outlineLevel="0" collapsed="false">
      <c r="A565" s="146" t="s">
        <v>203</v>
      </c>
      <c r="B565" s="226"/>
      <c r="C565" s="216"/>
      <c r="D565" s="203" t="n">
        <f aca="false">SUMIFS(報告入力!$BA$7:$BA$696,報告入力!$A$7:$A$696,$S$522,報告入力!$B$7:$B$696,$A565)</f>
        <v>245220</v>
      </c>
      <c r="E565" s="207" t="n">
        <f aca="false">SUMIFS(報告入力!$BB$7:$BB$696,報告入力!$A$7:$A$696,$S$522,報告入力!$B$7:$B$696,$A565)</f>
        <v>20100</v>
      </c>
      <c r="F565" s="237" t="n">
        <f aca="false">SUMIFS(報告入力!$BC$7:$BC$696,報告入力!$A$7:$A$696,$S$522,報告入力!$B$7:$B$696,$A565)</f>
        <v>251</v>
      </c>
      <c r="G565" s="206" t="n">
        <f aca="false">SUM(B565:F565)</f>
        <v>265571</v>
      </c>
      <c r="H565" s="422"/>
      <c r="I565" s="208" t="n">
        <f aca="false">SUMIFS(報告入力!$BE$7:$BE$696,報告入力!$A$7:$A$696,$S$522,報告入力!$B$7:$B$696,$A565)</f>
        <v>151001</v>
      </c>
      <c r="J565" s="418" t="n">
        <f aca="false">SUM(H565:I565)</f>
        <v>151001</v>
      </c>
      <c r="K565" s="226"/>
      <c r="L565" s="238" t="n">
        <f aca="false">SUMIFS(報告入力!$BG$7:$BG$696,報告入力!$A$7:$A$696,$S$522,報告入力!$B$7:$B$696,$A565)</f>
        <v>10744</v>
      </c>
      <c r="M565" s="206" t="n">
        <f aca="false">SUM(K565:L565)</f>
        <v>10744</v>
      </c>
      <c r="N565" s="226"/>
      <c r="O565" s="238" t="n">
        <f aca="false">SUMIFS(報告入力!$BI$7:$BI$696,報告入力!$A$7:$A$696,$S$522,報告入力!$B$7:$B$696,$A565)</f>
        <v>1</v>
      </c>
      <c r="P565" s="206" t="n">
        <f aca="false">SUM(N565:O565)</f>
        <v>1</v>
      </c>
      <c r="Q565" s="135" t="str">
        <f aca="false">IF(P500=P565,"〇","×")</f>
        <v>〇</v>
      </c>
      <c r="R565" s="135" t="str">
        <f aca="false">IFERROR(INDEX(報告入力!$C$7:$C$696,MATCH($S$522&amp;"|"&amp;$A565,報告入力!$CM$7:$CM$696,0)),"")</f>
        <v>未受領</v>
      </c>
    </row>
    <row r="566" s="135" customFormat="true" ht="19.5" hidden="false" customHeight="true" outlineLevel="0" collapsed="false">
      <c r="A566" s="232" t="s">
        <v>204</v>
      </c>
      <c r="B566" s="240" t="n">
        <f aca="false">SUMIFS(報告入力!$AY$7:$AY$696,報告入力!$A$7:$A$696,$S$522,報告入力!$B$7:$B$696,$A566)</f>
        <v>123858792</v>
      </c>
      <c r="C566" s="237" t="n">
        <f aca="false">SUMIFS(報告入力!$AZ$7:$AZ$696,報告入力!$A$7:$A$696,$S$522,報告入力!$B$7:$B$696,$A566)</f>
        <v>10152360</v>
      </c>
      <c r="D566" s="203" t="n">
        <f aca="false">SUMIFS(報告入力!$BA$7:$BA$696,報告入力!$A$7:$A$696,$S$522,報告入力!$B$7:$B$696,$A566)</f>
        <v>183351440</v>
      </c>
      <c r="E566" s="207" t="n">
        <f aca="false">SUMIFS(報告入力!$BB$7:$BB$696,報告入力!$A$7:$A$696,$S$522,報告入力!$B$7:$B$696,$A566)</f>
        <v>10152360</v>
      </c>
      <c r="F566" s="237" t="n">
        <f aca="false">SUMIFS(報告入力!$BC$7:$BC$696,報告入力!$A$7:$A$696,$S$522,報告入力!$B$7:$B$696,$A566)</f>
        <v>134503</v>
      </c>
      <c r="G566" s="206" t="n">
        <f aca="false">SUM(B566:F566)</f>
        <v>327649455</v>
      </c>
      <c r="H566" s="240" t="n">
        <f aca="false">SUMIFS(報告入力!$BD$7:$BD$696,報告入力!$A$7:$A$696,$S$522,報告入力!$B$7:$B$696,$A566)</f>
        <v>96232987</v>
      </c>
      <c r="I566" s="208" t="n">
        <f aca="false">SUMIFS(報告入力!$BE$7:$BE$696,報告入力!$A$7:$A$696,$S$522,報告入力!$B$7:$B$696,$A566)</f>
        <v>96420754</v>
      </c>
      <c r="J566" s="418" t="n">
        <f aca="false">SUM(H566:I566)</f>
        <v>192653741</v>
      </c>
      <c r="K566" s="203" t="n">
        <f aca="false">SUMIFS(報告入力!$BF$7:$BF$696,報告入力!$A$7:$A$696,$S$522,報告入力!$B$7:$B$696,$A566)</f>
        <v>7770719</v>
      </c>
      <c r="L566" s="387" t="n">
        <f aca="false">SUMIFS(報告入力!$BG$7:$BG$696,報告入力!$A$7:$A$696,$S$522,報告入力!$B$7:$B$696,$A566)</f>
        <v>7770719</v>
      </c>
      <c r="M566" s="206" t="n">
        <f aca="false">SUM(K566:L566)</f>
        <v>15541438</v>
      </c>
      <c r="N566" s="203" t="n">
        <f aca="false">SUMIFS(報告入力!$BH$7:$BH$696,報告入力!$A$7:$A$696,$S$522,報告入力!$B$7:$B$696,$A566)</f>
        <v>1</v>
      </c>
      <c r="O566" s="387" t="n">
        <f aca="false">SUMIFS(報告入力!$BI$7:$BI$696,報告入力!$A$7:$A$696,$S$522,報告入力!$B$7:$B$696,$A566)</f>
        <v>1</v>
      </c>
      <c r="P566" s="206" t="n">
        <f aca="false">SUM(N566:O566)</f>
        <v>2</v>
      </c>
      <c r="Q566" s="135" t="str">
        <f aca="false">IF(P501=P566,"〇","×")</f>
        <v>〇</v>
      </c>
      <c r="R566" s="135" t="str">
        <f aca="false">IFERROR(INDEX(報告入力!$C$7:$C$696,MATCH($S$522&amp;"|"&amp;$A566,報告入力!$CM$7:$CM$696,0)),"")</f>
        <v>未受領</v>
      </c>
    </row>
    <row r="567" s="162" customFormat="true" ht="21.75" hidden="false" customHeight="true" outlineLevel="0" collapsed="false">
      <c r="A567" s="399" t="s">
        <v>205</v>
      </c>
      <c r="B567" s="152"/>
      <c r="C567" s="156"/>
      <c r="D567" s="152"/>
      <c r="E567" s="234"/>
      <c r="F567" s="156"/>
      <c r="G567" s="235" t="n">
        <f aca="false">SUM(B567:F567)</f>
        <v>0</v>
      </c>
      <c r="H567" s="238" t="n">
        <f aca="false">SUMIFS(報告入力!$BD$7:$BD$696,報告入力!$A$7:$A$696,$S$522,報告入力!$B$7:$B$696,$A567)</f>
        <v>128716</v>
      </c>
      <c r="I567" s="395" t="n">
        <f aca="false">SUMIFS(報告入力!$BE$7:$BE$696,報告入力!$A$7:$A$696,$S$522,報告入力!$B$7:$B$696,$A567)</f>
        <v>108566</v>
      </c>
      <c r="J567" s="160" t="n">
        <f aca="false">SUM(H567:I567)</f>
        <v>237282</v>
      </c>
      <c r="K567" s="240" t="n">
        <f aca="false">SUMIFS(報告入力!$BF$7:$BF$696,報告入力!$A$7:$A$696,$S$522,報告入力!$B$7:$B$696,$A567)</f>
        <v>15168</v>
      </c>
      <c r="L567" s="394" t="n">
        <f aca="false">SUMIFS(報告入力!$BG$7:$BG$696,報告入力!$A$7:$A$696,$S$522,報告入力!$B$7:$B$696,$A567)</f>
        <v>12245</v>
      </c>
      <c r="M567" s="160" t="n">
        <f aca="false">SUM(K567:L567)</f>
        <v>27413</v>
      </c>
      <c r="N567" s="240" t="n">
        <f aca="false">SUMIFS(報告入力!$BH$7:$BH$696,報告入力!$A$7:$A$696,$S$522,報告入力!$B$7:$B$696,$A567)</f>
        <v>1</v>
      </c>
      <c r="O567" s="394" t="n">
        <f aca="false">SUMIFS(報告入力!$BI$7:$BI$696,報告入力!$A$7:$A$696,$S$522,報告入力!$B$7:$B$696,$A567)</f>
        <v>1</v>
      </c>
      <c r="P567" s="160" t="n">
        <f aca="false">SUM(N567:O567)</f>
        <v>2</v>
      </c>
      <c r="Q567" s="162" t="str">
        <f aca="false">IF(P502=P567,"〇","×")</f>
        <v>〇</v>
      </c>
      <c r="R567" s="162" t="str">
        <f aca="false">IFERROR(INDEX(報告入力!$C$7:$C$696,MATCH($S$522&amp;"|"&amp;$A567,報告入力!$CM$7:$CM$696,0)),"")</f>
        <v>未受領</v>
      </c>
    </row>
    <row r="568" s="162" customFormat="true" ht="21.75" hidden="false" customHeight="true" outlineLevel="0" collapsed="false">
      <c r="A568" s="236" t="s">
        <v>206</v>
      </c>
      <c r="B568" s="336"/>
      <c r="C568" s="355"/>
      <c r="D568" s="336"/>
      <c r="E568" s="334"/>
      <c r="F568" s="356"/>
      <c r="G568" s="327" t="n">
        <f aca="false">SUM(B568:F568)</f>
        <v>0</v>
      </c>
      <c r="H568" s="336"/>
      <c r="I568" s="335"/>
      <c r="J568" s="330" t="n">
        <f aca="false">SUM(H568:I568)</f>
        <v>0</v>
      </c>
      <c r="K568" s="336"/>
      <c r="L568" s="334"/>
      <c r="M568" s="330" t="n">
        <f aca="false">SUM(K568:L568)</f>
        <v>0</v>
      </c>
      <c r="N568" s="336"/>
      <c r="O568" s="334"/>
      <c r="P568" s="330" t="n">
        <f aca="false">SUM(N568:O568)</f>
        <v>0</v>
      </c>
      <c r="Q568" s="162" t="str">
        <f aca="false">IF(P503=P568,"〇","×")</f>
        <v>〇</v>
      </c>
      <c r="R568" s="162" t="str">
        <f aca="false">IFERROR(INDEX(報告入力!$C$7:$C$696,MATCH($S$522&amp;"|"&amp;$A568,報告入力!$CM$7:$CM$696,0)),"")</f>
        <v>報告なし</v>
      </c>
    </row>
    <row r="569" s="162" customFormat="true" ht="21.75" hidden="false" customHeight="true" outlineLevel="0" collapsed="false">
      <c r="A569" s="236" t="s">
        <v>207</v>
      </c>
      <c r="B569" s="240" t="n">
        <f aca="false">SUMIFS(報告入力!$AY$7:$AY$696,報告入力!$A$7:$A$696,$S$522,報告入力!$B$7:$B$696,$A569)</f>
        <v>59475</v>
      </c>
      <c r="C569" s="392" t="n">
        <f aca="false">SUMIFS(報告入力!$AZ$7:$AZ$696,報告入力!$A$7:$A$696,$S$522,報告入力!$B$7:$B$696,$A569)</f>
        <v>4875</v>
      </c>
      <c r="D569" s="240" t="n">
        <f aca="false">SUMIFS(報告入力!$BA$7:$BA$696,報告入力!$A$7:$A$696,$S$522,報告入力!$B$7:$B$696,$A569)</f>
        <v>59475</v>
      </c>
      <c r="E569" s="238" t="n">
        <f aca="false">SUMIFS(報告入力!$BB$7:$BB$696,報告入力!$A$7:$A$696,$S$522,報告入力!$B$7:$B$696,$A569)</f>
        <v>4875</v>
      </c>
      <c r="F569" s="393" t="n">
        <f aca="false">SUMIFS(報告入力!$BC$7:$BC$696,報告入力!$A$7:$A$696,$S$522,報告入力!$B$7:$B$696,$A569)</f>
        <v>61</v>
      </c>
      <c r="G569" s="206" t="n">
        <f aca="false">SUM(B569:F569)</f>
        <v>128761</v>
      </c>
      <c r="H569" s="240" t="n">
        <f aca="false">SUMIFS(報告入力!$BD$7:$BD$696,報告入力!$A$7:$A$696,$S$522,報告入力!$B$7:$B$696,$A569)</f>
        <v>41257</v>
      </c>
      <c r="I569" s="239" t="n">
        <f aca="false">SUMIFS(報告入力!$BE$7:$BE$696,報告入力!$A$7:$A$696,$S$522,報告入力!$B$7:$B$696,$A569)</f>
        <v>41332</v>
      </c>
      <c r="J569" s="160" t="n">
        <f aca="false">SUM(H569:I569)</f>
        <v>82589</v>
      </c>
      <c r="K569" s="240" t="n">
        <f aca="false">SUMIFS(報告入力!$BF$7:$BF$696,報告入力!$A$7:$A$696,$S$522,報告入力!$B$7:$B$696,$A569)</f>
        <v>5925</v>
      </c>
      <c r="L569" s="238" t="n">
        <f aca="false">SUMIFS(報告入力!$BG$7:$BG$696,報告入力!$A$7:$A$696,$S$522,報告入力!$B$7:$B$696,$A569)</f>
        <v>5925</v>
      </c>
      <c r="M569" s="160" t="n">
        <f aca="false">SUM(K569:L569)</f>
        <v>11850</v>
      </c>
      <c r="N569" s="240" t="n">
        <f aca="false">SUMIFS(報告入力!$BH$7:$BH$696,報告入力!$A$7:$A$696,$S$522,報告入力!$B$7:$B$696,$A569)</f>
        <v>1</v>
      </c>
      <c r="O569" s="238" t="n">
        <f aca="false">SUMIFS(報告入力!$BI$7:$BI$696,報告入力!$A$7:$A$696,$S$522,報告入力!$B$7:$B$696,$A569)</f>
        <v>1</v>
      </c>
      <c r="P569" s="160" t="n">
        <f aca="false">SUM(N569:O569)</f>
        <v>2</v>
      </c>
      <c r="Q569" s="162" t="str">
        <f aca="false">IF(P504=P569,"〇","×")</f>
        <v>×</v>
      </c>
      <c r="R569" s="162" t="str">
        <f aca="false">IFERROR(INDEX(報告入力!$C$7:$C$696,MATCH($S$522&amp;"|"&amp;$A569,報告入力!$CM$7:$CM$696,0)),"")</f>
        <v>未受領</v>
      </c>
    </row>
    <row r="570" s="162" customFormat="true" ht="21.75" hidden="false" customHeight="true" outlineLevel="0" collapsed="false">
      <c r="A570" s="174"/>
      <c r="B570" s="182"/>
      <c r="C570" s="181"/>
      <c r="D570" s="245"/>
      <c r="E570" s="183"/>
      <c r="F570" s="181"/>
      <c r="G570" s="246" t="n">
        <f aca="false">SUM(B570:F570)</f>
        <v>0</v>
      </c>
      <c r="H570" s="185"/>
      <c r="I570" s="183"/>
      <c r="J570" s="248" t="n">
        <f aca="false">SUM(H570:I570)</f>
        <v>0</v>
      </c>
      <c r="K570" s="182"/>
      <c r="L570" s="245" t="s">
        <v>509</v>
      </c>
      <c r="M570" s="248" t="n">
        <f aca="false">SUM(K570:L570)</f>
        <v>0</v>
      </c>
      <c r="N570" s="182"/>
      <c r="O570" s="245" t="s">
        <v>509</v>
      </c>
      <c r="P570" s="248" t="n">
        <f aca="false">SUM(N570:O570)</f>
        <v>0</v>
      </c>
      <c r="Q570" s="162" t="str">
        <f aca="false">IF(P505=P570,"〇","×")</f>
        <v>〇</v>
      </c>
    </row>
    <row r="571" s="162" customFormat="true" ht="0.2" hidden="false" customHeight="true" outlineLevel="0" collapsed="false">
      <c r="A571" s="174"/>
      <c r="B571" s="182"/>
      <c r="C571" s="181"/>
      <c r="D571" s="245"/>
      <c r="E571" s="183"/>
      <c r="F571" s="181"/>
      <c r="G571" s="246" t="n">
        <f aca="false">SUM(B571:F571)</f>
        <v>0</v>
      </c>
      <c r="H571" s="185"/>
      <c r="I571" s="183"/>
      <c r="J571" s="248" t="n">
        <f aca="false">SUM(H571:I571)</f>
        <v>0</v>
      </c>
      <c r="K571" s="182"/>
      <c r="L571" s="183"/>
      <c r="M571" s="248" t="n">
        <f aca="false">SUM(K571:L571)</f>
        <v>0</v>
      </c>
      <c r="N571" s="182"/>
      <c r="O571" s="183"/>
      <c r="P571" s="248" t="n">
        <f aca="false">SUM(N571:O571)</f>
        <v>0</v>
      </c>
      <c r="Q571" s="162" t="str">
        <f aca="false">IF(P506=P571,"〇","×")</f>
        <v>〇</v>
      </c>
    </row>
    <row r="572" s="162" customFormat="true" ht="0.2" hidden="false" customHeight="true" outlineLevel="0" collapsed="false">
      <c r="A572" s="187"/>
      <c r="B572" s="249"/>
      <c r="C572" s="250"/>
      <c r="D572" s="251"/>
      <c r="E572" s="252"/>
      <c r="F572" s="250"/>
      <c r="G572" s="253"/>
      <c r="H572" s="256"/>
      <c r="I572" s="254"/>
      <c r="J572" s="255"/>
      <c r="K572" s="256"/>
      <c r="L572" s="254"/>
      <c r="M572" s="255"/>
      <c r="N572" s="256"/>
      <c r="O572" s="254"/>
      <c r="P572" s="255"/>
      <c r="Q572" s="162" t="str">
        <f aca="false">IF(P507=P572,"〇","×")</f>
        <v>〇</v>
      </c>
    </row>
    <row r="573" s="135" customFormat="true" ht="20.1" hidden="false" customHeight="true" outlineLevel="0" collapsed="false">
      <c r="A573" s="196" t="s">
        <v>497</v>
      </c>
      <c r="B573" s="197" t="n">
        <f aca="false">SUM(B543:B572)</f>
        <v>126643137</v>
      </c>
      <c r="C573" s="200" t="n">
        <f aca="false">SUM(C543:C572)</f>
        <v>10380585</v>
      </c>
      <c r="D573" s="198" t="n">
        <f aca="false">SUM(D543:D572)</f>
        <v>192157400</v>
      </c>
      <c r="E573" s="199" t="n">
        <f aca="false">SUM(E543:E572)</f>
        <v>10874160</v>
      </c>
      <c r="F573" s="200" t="n">
        <f aca="false">SUM(F543:F572)</f>
        <v>143899</v>
      </c>
      <c r="G573" s="201" t="n">
        <f aca="false">SUM(B573:F573)</f>
        <v>340199181</v>
      </c>
      <c r="H573" s="197" t="n">
        <f aca="false">SUM(H543:H571)</f>
        <v>98046636</v>
      </c>
      <c r="I573" s="198" t="n">
        <f aca="false">SUM(I543:I571)</f>
        <v>101993724</v>
      </c>
      <c r="J573" s="200" t="n">
        <f aca="false">SUM(H573:I573)</f>
        <v>200040360</v>
      </c>
      <c r="K573" s="197" t="n">
        <f aca="false">SUM(K543:K571)</f>
        <v>7939779</v>
      </c>
      <c r="L573" s="198" t="n">
        <f aca="false">SUM(L543:L571)</f>
        <v>8379335</v>
      </c>
      <c r="M573" s="200" t="n">
        <f aca="false">SUM(K573:L573)</f>
        <v>16319114</v>
      </c>
      <c r="N573" s="197" t="n">
        <f aca="false">SUM(N543:N571)</f>
        <v>12</v>
      </c>
      <c r="O573" s="198" t="n">
        <f aca="false">SUM(O543:O571)</f>
        <v>24</v>
      </c>
      <c r="P573" s="200" t="n">
        <f aca="false">SUM(N573:O573)</f>
        <v>36</v>
      </c>
      <c r="Q573" s="135" t="str">
        <f aca="false">IF(P508=P573,"〇","×")</f>
        <v>×</v>
      </c>
    </row>
    <row r="574" s="162" customFormat="true" ht="0.2" hidden="false" customHeight="true" outlineLevel="0" collapsed="false">
      <c r="A574" s="174" t="s">
        <v>496</v>
      </c>
      <c r="B574" s="256"/>
      <c r="C574" s="257"/>
      <c r="D574" s="254"/>
      <c r="E574" s="258"/>
      <c r="F574" s="259"/>
      <c r="G574" s="260"/>
      <c r="H574" s="423"/>
      <c r="I574" s="261"/>
      <c r="J574" s="262"/>
      <c r="K574" s="263"/>
      <c r="L574" s="264"/>
      <c r="M574" s="265"/>
      <c r="N574" s="263"/>
      <c r="O574" s="264"/>
      <c r="P574" s="265"/>
      <c r="Q574" s="162" t="str">
        <f aca="false">IF(P509=P574,"〇","×")</f>
        <v>〇</v>
      </c>
    </row>
    <row r="575" s="162" customFormat="true" ht="0.2" hidden="false" customHeight="true" outlineLevel="0" collapsed="false">
      <c r="A575" s="266" t="s">
        <v>496</v>
      </c>
      <c r="B575" s="267"/>
      <c r="C575" s="268"/>
      <c r="D575" s="254"/>
      <c r="E575" s="258"/>
      <c r="F575" s="257"/>
      <c r="G575" s="253"/>
      <c r="H575" s="424"/>
      <c r="I575" s="269"/>
      <c r="J575" s="270"/>
      <c r="K575" s="271"/>
      <c r="L575" s="272"/>
      <c r="M575" s="273"/>
      <c r="N575" s="271"/>
      <c r="O575" s="272"/>
      <c r="P575" s="273"/>
      <c r="Q575" s="162" t="str">
        <f aca="false">IF(P510=P575,"〇","×")</f>
        <v>〇</v>
      </c>
    </row>
    <row r="576" s="135" customFormat="true" ht="20.1" hidden="false" customHeight="true" outlineLevel="0" collapsed="false">
      <c r="A576" s="214" t="s">
        <v>208</v>
      </c>
      <c r="B576" s="240" t="n">
        <f aca="false">SUMIFS(報告入力!$AY$7:$AY$696,報告入力!$A$7:$A$696,$S$522,報告入力!$B$7:$B$696,$A576)</f>
        <v>145485</v>
      </c>
      <c r="C576" s="237" t="n">
        <f aca="false">SUMIFS(報告入力!$AZ$7:$AZ$696,報告入力!$A$7:$A$696,$S$522,報告入力!$B$7:$B$696,$A576)</f>
        <v>11925</v>
      </c>
      <c r="D576" s="203" t="n">
        <f aca="false">SUMIFS(報告入力!$BA$7:$BA$696,報告入力!$A$7:$A$696,$S$522,報告入力!$B$7:$B$696,$A576)</f>
        <v>145485</v>
      </c>
      <c r="E576" s="207" t="n">
        <f aca="false">SUMIFS(報告入力!$BB$7:$BB$696,報告入力!$A$7:$A$696,$S$522,報告入力!$B$7:$B$696,$A576)</f>
        <v>11925</v>
      </c>
      <c r="F576" s="237" t="n">
        <f aca="false">SUMIFS(報告入力!$BC$7:$BC$696,報告入力!$A$7:$A$696,$S$522,報告入力!$B$7:$B$696,$A576)</f>
        <v>149</v>
      </c>
      <c r="G576" s="206" t="n">
        <f aca="false">SUM(B576:F576)</f>
        <v>314969</v>
      </c>
      <c r="H576" s="152"/>
      <c r="I576" s="155"/>
      <c r="J576" s="221" t="n">
        <f aca="false">SUM(H576:I576)</f>
        <v>0</v>
      </c>
      <c r="K576" s="152"/>
      <c r="L576" s="155"/>
      <c r="M576" s="221" t="n">
        <f aca="false">SUM(K576:L576)</f>
        <v>0</v>
      </c>
      <c r="N576" s="152"/>
      <c r="O576" s="155"/>
      <c r="P576" s="221" t="n">
        <f aca="false">SUM(N576:O576)</f>
        <v>0</v>
      </c>
      <c r="Q576" s="135" t="str">
        <f aca="false">IF(P511=P576,"〇","×")</f>
        <v>〇</v>
      </c>
      <c r="R576" s="135" t="str">
        <f aca="false">IFERROR(INDEX(報告入力!$C$7:$C$696,MATCH($S$522&amp;"|"&amp;$A576,報告入力!$CM$7:$CM$696,0)),"")</f>
        <v>未受領</v>
      </c>
    </row>
    <row r="577" s="135" customFormat="true" ht="21.75" hidden="false" customHeight="true" outlineLevel="0" collapsed="false">
      <c r="A577" s="214" t="s">
        <v>209</v>
      </c>
      <c r="B577" s="409" t="n">
        <f aca="false">SUMIFS(報告入力!$AY$7:$AY$696,報告入力!$A$7:$A$696,$S$522,報告入力!$B$7:$B$696,$A577)</f>
        <v>53985</v>
      </c>
      <c r="C577" s="410" t="n">
        <f aca="false">SUMIFS(報告入力!$AZ$7:$AZ$696,報告入力!$A$7:$A$696,$S$522,報告入力!$B$7:$B$696,$A577)</f>
        <v>4425</v>
      </c>
      <c r="D577" s="425" t="n">
        <f aca="false">SUMIFS(報告入力!$BA$7:$BA$696,報告入力!$A$7:$A$696,$S$522,報告入力!$B$7:$B$696,$A577)</f>
        <v>53985</v>
      </c>
      <c r="E577" s="426" t="n">
        <f aca="false">SUMIFS(報告入力!$BB$7:$BB$696,報告入力!$A$7:$A$696,$S$522,報告入力!$B$7:$B$696,$A577)</f>
        <v>4425</v>
      </c>
      <c r="F577" s="427" t="n">
        <f aca="false">SUMIFS(報告入力!$BC$7:$BC$696,報告入力!$A$7:$A$696,$S$522,報告入力!$B$7:$B$696,$A577)</f>
        <v>55</v>
      </c>
      <c r="G577" s="391" t="n">
        <f aca="false">SUM(B577:F577)</f>
        <v>116875</v>
      </c>
      <c r="H577" s="428"/>
      <c r="I577" s="277"/>
      <c r="J577" s="278" t="n">
        <f aca="false">SUM(H577:I577)</f>
        <v>0</v>
      </c>
      <c r="K577" s="428"/>
      <c r="L577" s="277"/>
      <c r="M577" s="278" t="n">
        <f aca="false">SUM(K577:L577)</f>
        <v>0</v>
      </c>
      <c r="N577" s="428"/>
      <c r="O577" s="277"/>
      <c r="P577" s="278" t="n">
        <f aca="false">SUM(N577:O577)</f>
        <v>0</v>
      </c>
      <c r="Q577" s="135" t="str">
        <f aca="false">IF(P512=P577,"〇","×")</f>
        <v>〇</v>
      </c>
      <c r="R577" s="135" t="str">
        <f aca="false">IFERROR(INDEX(報告入力!$C$7:$C$696,MATCH($S$522&amp;"|"&amp;$A577,報告入力!$CM$7:$CM$696,0)),"")</f>
        <v>未受領</v>
      </c>
    </row>
    <row r="578" s="135" customFormat="true" ht="19.5" hidden="false" customHeight="true" outlineLevel="0" collapsed="false">
      <c r="A578" s="196" t="s">
        <v>497</v>
      </c>
      <c r="B578" s="197" t="n">
        <f aca="false">SUM(B574:B577)</f>
        <v>199470</v>
      </c>
      <c r="C578" s="200" t="n">
        <f aca="false">SUM(C574:C577)</f>
        <v>16350</v>
      </c>
      <c r="D578" s="198" t="n">
        <f aca="false">SUM(D574:D577)</f>
        <v>199470</v>
      </c>
      <c r="E578" s="199" t="n">
        <f aca="false">SUM(E574:E577)</f>
        <v>16350</v>
      </c>
      <c r="F578" s="200" t="n">
        <f aca="false">SUM(F574:F577)</f>
        <v>204</v>
      </c>
      <c r="G578" s="201" t="n">
        <f aca="false">SUM(B578:F578)</f>
        <v>431844</v>
      </c>
      <c r="H578" s="281" t="n">
        <f aca="false">SUM(H574:H577)</f>
        <v>0</v>
      </c>
      <c r="I578" s="282" t="n">
        <f aca="false">SUM(I574:I577)</f>
        <v>0</v>
      </c>
      <c r="J578" s="283" t="n">
        <f aca="false">SUM(H578:I578)</f>
        <v>0</v>
      </c>
      <c r="K578" s="281" t="n">
        <f aca="false">SUM(K574:K577)</f>
        <v>0</v>
      </c>
      <c r="L578" s="282" t="n">
        <f aca="false">SUM(L574:L577)</f>
        <v>0</v>
      </c>
      <c r="M578" s="283" t="n">
        <f aca="false">SUM(K578:L578)</f>
        <v>0</v>
      </c>
      <c r="N578" s="281" t="n">
        <f aca="false">SUM(N574:N577)</f>
        <v>0</v>
      </c>
      <c r="O578" s="282" t="n">
        <f aca="false">SUM(O574:O577)</f>
        <v>0</v>
      </c>
      <c r="P578" s="283" t="n">
        <f aca="false">SUM(N578:O578)</f>
        <v>0</v>
      </c>
      <c r="Q578" s="135" t="str">
        <f aca="false">IF(P513=P578,"〇","×")</f>
        <v>〇</v>
      </c>
    </row>
    <row r="579" s="135" customFormat="true" ht="20.1" hidden="false" customHeight="true" outlineLevel="0" collapsed="false">
      <c r="A579" s="125" t="s">
        <v>210</v>
      </c>
      <c r="B579" s="240" t="n">
        <f aca="false">SUMIFS(報告入力!$AY$7:$AY$696,報告入力!$A$7:$A$696,$S$522,報告入力!$B$7:$B$696,$A579)</f>
        <v>29280</v>
      </c>
      <c r="C579" s="237" t="n">
        <f aca="false">SUMIFS(報告入力!$AZ$7:$AZ$696,報告入力!$A$7:$A$696,$S$522,報告入力!$B$7:$B$696,$A579)</f>
        <v>2400</v>
      </c>
      <c r="D579" s="203" t="n">
        <f aca="false">SUMIFS(報告入力!$BA$7:$BA$696,報告入力!$A$7:$A$696,$S$522,報告入力!$B$7:$B$696,$A579)</f>
        <v>29280</v>
      </c>
      <c r="E579" s="207" t="n">
        <f aca="false">SUMIFS(報告入力!$BB$7:$BB$696,報告入力!$A$7:$A$696,$S$522,報告入力!$B$7:$B$696,$A579)</f>
        <v>2400</v>
      </c>
      <c r="F579" s="337"/>
      <c r="G579" s="206" t="n">
        <f aca="false">SUM(B579:F579)</f>
        <v>63360</v>
      </c>
      <c r="H579" s="287" t="n">
        <f aca="false">SUMIFS(報告入力!$BD$7:$BD$696,報告入力!$A$7:$A$696,$S$522,報告入力!$B$7:$B$696,$A579)</f>
        <v>17603</v>
      </c>
      <c r="I579" s="208" t="n">
        <f aca="false">SUMIFS(報告入力!$BE$7:$BE$696,報告入力!$A$7:$A$696,$S$522,報告入力!$B$7:$B$696,$A579)</f>
        <v>17635</v>
      </c>
      <c r="J579" s="160" t="n">
        <f aca="false">SUM(H579:I579)</f>
        <v>35238</v>
      </c>
      <c r="K579" s="287" t="n">
        <f aca="false">SUMIFS(報告入力!$BF$7:$BF$696,報告入力!$A$7:$A$696,$S$522,報告入力!$B$7:$B$696,$A579)</f>
        <v>2528</v>
      </c>
      <c r="L579" s="208" t="n">
        <f aca="false">SUMIFS(報告入力!$BG$7:$BG$696,報告入力!$A$7:$A$696,$S$522,報告入力!$B$7:$B$696,$A579)</f>
        <v>2528</v>
      </c>
      <c r="M579" s="160" t="n">
        <f aca="false">SUM(K579:L579)</f>
        <v>5056</v>
      </c>
      <c r="N579" s="287" t="n">
        <f aca="false">SUMIFS(報告入力!$BH$7:$BH$696,報告入力!$A$7:$A$696,$S$522,報告入力!$B$7:$B$696,$A579)</f>
        <v>1</v>
      </c>
      <c r="O579" s="208" t="n">
        <f aca="false">SUMIFS(報告入力!$BI$7:$BI$696,報告入力!$A$7:$A$696,$S$522,報告入力!$B$7:$B$696,$A579)</f>
        <v>1</v>
      </c>
      <c r="P579" s="160" t="n">
        <f aca="false">SUM(N579:O579)</f>
        <v>2</v>
      </c>
      <c r="Q579" s="135" t="str">
        <f aca="false">IF(P514=P579,"〇","×")</f>
        <v>〇</v>
      </c>
      <c r="R579" s="135" t="str">
        <f aca="false">IFERROR(INDEX(報告入力!$C$7:$C$696,MATCH($S$522&amp;"|"&amp;$A579,報告入力!$CM$7:$CM$696,0)),"")</f>
        <v>未受領</v>
      </c>
    </row>
    <row r="580" s="135" customFormat="true" ht="20.1" hidden="false" customHeight="true" outlineLevel="0" collapsed="false">
      <c r="A580" s="125" t="s">
        <v>211</v>
      </c>
      <c r="B580" s="240"/>
      <c r="C580" s="237"/>
      <c r="D580" s="203"/>
      <c r="E580" s="207"/>
      <c r="F580" s="337"/>
      <c r="G580" s="206" t="n">
        <f aca="false">SUM(B580:F580)</f>
        <v>0</v>
      </c>
      <c r="H580" s="287"/>
      <c r="I580" s="208"/>
      <c r="J580" s="160" t="n">
        <f aca="false">SUM(H580:I580)</f>
        <v>0</v>
      </c>
      <c r="K580" s="287"/>
      <c r="L580" s="208"/>
      <c r="M580" s="160" t="n">
        <f aca="false">SUM(K580:L580)</f>
        <v>0</v>
      </c>
      <c r="N580" s="287"/>
      <c r="O580" s="208"/>
      <c r="P580" s="160" t="n">
        <f aca="false">SUM(N580:O580)</f>
        <v>0</v>
      </c>
      <c r="Q580" s="135" t="str">
        <f aca="false">IF(P515=P580,"〇","×")</f>
        <v>〇</v>
      </c>
      <c r="R580" s="135" t="str">
        <f aca="false">IFERROR(INDEX(報告入力!$C$7:$C$696,MATCH($S$522&amp;"|"&amp;$A580,報告入力!$CM$7:$CM$696,0)),"")</f>
        <v>報告なし</v>
      </c>
    </row>
    <row r="581" s="135" customFormat="true" ht="20.1" hidden="false" customHeight="true" outlineLevel="0" collapsed="false">
      <c r="A581" s="217" t="s">
        <v>212</v>
      </c>
      <c r="B581" s="240" t="n">
        <f aca="false">SUMIFS(報告入力!$AY$7:$AY$696,報告入力!$A$7:$A$696,$S$522,報告入力!$B$7:$B$696,$A581)</f>
        <v>23790</v>
      </c>
      <c r="C581" s="237" t="n">
        <f aca="false">SUMIFS(報告入力!$AZ$7:$AZ$696,報告入力!$A$7:$A$696,$S$522,報告入力!$B$7:$B$696,$A581)</f>
        <v>1950</v>
      </c>
      <c r="D581" s="203" t="n">
        <f aca="false">SUMIFS(報告入力!$BA$7:$BA$696,報告入力!$A$7:$A$696,$S$522,報告入力!$B$7:$B$696,$A581)</f>
        <v>23790</v>
      </c>
      <c r="E581" s="207" t="n">
        <f aca="false">SUMIFS(報告入力!$BB$7:$BB$696,報告入力!$A$7:$A$696,$S$522,報告入力!$B$7:$B$696,$A581)</f>
        <v>1950</v>
      </c>
      <c r="F581" s="337"/>
      <c r="G581" s="206" t="n">
        <f aca="false">SUM(B581:F581)</f>
        <v>51480</v>
      </c>
      <c r="H581" s="207" t="n">
        <f aca="false">SUMIFS(報告入力!$BD$7:$BD$696,報告入力!$A$7:$A$696,$S$522,報告入力!$B$7:$B$696,$A581)</f>
        <v>30805</v>
      </c>
      <c r="I581" s="208" t="n">
        <f aca="false">SUMIFS(報告入力!$BE$7:$BE$696,報告入力!$A$7:$A$696,$S$522,報告入力!$B$7:$B$696,$A581)</f>
        <v>30861</v>
      </c>
      <c r="J581" s="160" t="n">
        <f aca="false">SUM(H581:I581)</f>
        <v>61666</v>
      </c>
      <c r="K581" s="287" t="n">
        <f aca="false">SUMIFS(報告入力!$BF$7:$BF$696,報告入力!$A$7:$A$696,$S$522,報告入力!$B$7:$B$696,$A581)</f>
        <v>2370</v>
      </c>
      <c r="L581" s="208" t="n">
        <f aca="false">SUMIFS(報告入力!$BG$7:$BG$696,報告入力!$A$7:$A$696,$S$522,報告入力!$B$7:$B$696,$A581)</f>
        <v>2370</v>
      </c>
      <c r="M581" s="160" t="n">
        <f aca="false">SUM(K581:L581)</f>
        <v>4740</v>
      </c>
      <c r="N581" s="287" t="n">
        <f aca="false">SUMIFS(報告入力!$BH$7:$BH$696,報告入力!$A$7:$A$696,$S$522,報告入力!$B$7:$B$696,$A581)</f>
        <v>1</v>
      </c>
      <c r="O581" s="208" t="n">
        <f aca="false">SUMIFS(報告入力!$BI$7:$BI$696,報告入力!$A$7:$A$696,$S$522,報告入力!$B$7:$B$696,$A581)</f>
        <v>1</v>
      </c>
      <c r="P581" s="160" t="n">
        <f aca="false">SUM(N581:O581)</f>
        <v>2</v>
      </c>
      <c r="Q581" s="135" t="str">
        <f aca="false">IF(P516=P581,"〇","×")</f>
        <v>×</v>
      </c>
      <c r="R581" s="135" t="str">
        <f aca="false">IFERROR(INDEX(報告入力!$C$7:$C$696,MATCH($S$522&amp;"|"&amp;$A581,報告入力!$CM$7:$CM$696,0)),"")</f>
        <v>未受領</v>
      </c>
    </row>
    <row r="582" s="135" customFormat="true" ht="20.1" hidden="false" customHeight="true" outlineLevel="0" collapsed="false">
      <c r="A582" s="217" t="s">
        <v>213</v>
      </c>
      <c r="B582" s="240"/>
      <c r="C582" s="237"/>
      <c r="D582" s="203"/>
      <c r="E582" s="207"/>
      <c r="F582" s="337"/>
      <c r="G582" s="206" t="n">
        <f aca="false">SUM(B582:F582)</f>
        <v>0</v>
      </c>
      <c r="H582" s="359"/>
      <c r="I582" s="358"/>
      <c r="J582" s="309" t="n">
        <f aca="false">SUM(H582:I582)</f>
        <v>0</v>
      </c>
      <c r="K582" s="359"/>
      <c r="L582" s="358"/>
      <c r="M582" s="309" t="n">
        <f aca="false">SUM(K582:L582)</f>
        <v>0</v>
      </c>
      <c r="N582" s="359"/>
      <c r="O582" s="358"/>
      <c r="P582" s="309" t="n">
        <f aca="false">SUM(N582:O582)</f>
        <v>0</v>
      </c>
      <c r="Q582" s="135" t="str">
        <f aca="false">IF(P517=P582,"〇","×")</f>
        <v>〇</v>
      </c>
      <c r="R582" s="135" t="str">
        <f aca="false">IFERROR(INDEX(報告入力!$C$7:$C$696,MATCH($S$522&amp;"|"&amp;$A582,報告入力!$CM$7:$CM$696,0)),"")</f>
        <v>報告なし</v>
      </c>
    </row>
    <row r="583" s="135" customFormat="true" ht="20.1" hidden="false" customHeight="true" outlineLevel="0" collapsed="false">
      <c r="A583" s="196" t="s">
        <v>497</v>
      </c>
      <c r="B583" s="197" t="n">
        <f aca="false">SUM(B579:B582)</f>
        <v>53070</v>
      </c>
      <c r="C583" s="201" t="n">
        <f aca="false">SUM(C579:C582)</f>
        <v>4350</v>
      </c>
      <c r="D583" s="197" t="n">
        <f aca="false">SUM(D579:D582)</f>
        <v>53070</v>
      </c>
      <c r="E583" s="199" t="n">
        <f aca="false">SUM(E579:E582)</f>
        <v>4350</v>
      </c>
      <c r="F583" s="200" t="n">
        <f aca="false">SUM(F579:F582)</f>
        <v>0</v>
      </c>
      <c r="G583" s="201" t="n">
        <f aca="false">SUM(B583:F583)</f>
        <v>114840</v>
      </c>
      <c r="H583" s="429" t="n">
        <f aca="false">SUM(H579:H582)</f>
        <v>48408</v>
      </c>
      <c r="I583" s="199" t="n">
        <f aca="false">SUM(I579:I582)</f>
        <v>48496</v>
      </c>
      <c r="J583" s="200" t="n">
        <f aca="false">SUM(H583:I583)</f>
        <v>96904</v>
      </c>
      <c r="K583" s="197" t="n">
        <f aca="false">SUM(K579:K582)</f>
        <v>4898</v>
      </c>
      <c r="L583" s="301" t="n">
        <f aca="false">SUM(L579:L582)</f>
        <v>4898</v>
      </c>
      <c r="M583" s="200" t="n">
        <f aca="false">SUM(K583:L583)</f>
        <v>9796</v>
      </c>
      <c r="N583" s="197" t="n">
        <f aca="false">SUM(N579:N582)</f>
        <v>2</v>
      </c>
      <c r="O583" s="301" t="n">
        <f aca="false">SUM(O579:O582)</f>
        <v>2</v>
      </c>
      <c r="P583" s="200" t="n">
        <f aca="false">SUM(N583:O583)</f>
        <v>4</v>
      </c>
      <c r="Q583" s="135" t="str">
        <f aca="false">IF(P518=P583,"〇","×")</f>
        <v>×</v>
      </c>
    </row>
    <row r="584" s="135" customFormat="true" ht="20.1" hidden="false" customHeight="true" outlineLevel="0" collapsed="false">
      <c r="A584" s="302" t="s">
        <v>214</v>
      </c>
      <c r="B584" s="303"/>
      <c r="C584" s="304"/>
      <c r="D584" s="305"/>
      <c r="E584" s="306"/>
      <c r="F584" s="292"/>
      <c r="G584" s="293"/>
      <c r="H584" s="359" t="n">
        <f aca="false">SUMIFS(報告入力!$BD$7:$BD$696,報告入力!$A$7:$A$696,$S$522,報告入力!$B$7:$B$696,$A584)</f>
        <v>1365918</v>
      </c>
      <c r="I584" s="339"/>
      <c r="J584" s="309" t="n">
        <f aca="false">SUM(H584:I584)</f>
        <v>1365918</v>
      </c>
      <c r="K584" s="359" t="n">
        <f aca="false">SUMIFS(報告入力!$BF$7:$BF$696,報告入力!$A$7:$A$696,$S$522,報告入力!$B$7:$B$696,$A584)</f>
        <v>91032</v>
      </c>
      <c r="L584" s="339"/>
      <c r="M584" s="309" t="n">
        <f aca="false">SUM(K584:L584)</f>
        <v>91032</v>
      </c>
      <c r="N584" s="359" t="n">
        <f aca="false">SUMIFS(報告入力!$BH$7:$BH$696,報告入力!$A$7:$A$696,$S$522,報告入力!$B$7:$B$696,$A584)</f>
        <v>1</v>
      </c>
      <c r="O584" s="339"/>
      <c r="P584" s="309" t="n">
        <f aca="false">SUM(N584:O584)</f>
        <v>1</v>
      </c>
      <c r="Q584" s="135" t="str">
        <f aca="false">IF(P519=P584,"〇","×")</f>
        <v>〇</v>
      </c>
      <c r="R584" s="135" t="str">
        <f aca="false">IFERROR(INDEX(報告入力!$C$7:$C$696,MATCH($S$522&amp;"|"&amp;$A584,報告入力!$CM$7:$CM$696,0)),"")</f>
        <v>未受領</v>
      </c>
    </row>
    <row r="585" s="135" customFormat="true" ht="30" hidden="false" customHeight="true" outlineLevel="0" collapsed="false">
      <c r="A585" s="310" t="s">
        <v>499</v>
      </c>
      <c r="B585" s="311" t="n">
        <f aca="false">SUM(+B542+B573+B578+B583+B584)</f>
        <v>481072783</v>
      </c>
      <c r="C585" s="312" t="n">
        <f aca="false">SUM(+C542+C573+C578+C583+C584)</f>
        <v>39443899</v>
      </c>
      <c r="D585" s="311" t="n">
        <f aca="false">SUM(+D542+D573+D578+D583+D584)</f>
        <v>708044487</v>
      </c>
      <c r="E585" s="313" t="n">
        <f aca="false">SUM(+E542+E573+E578+E583+E584)</f>
        <v>39390420</v>
      </c>
      <c r="F585" s="312" t="n">
        <f aca="false">SUM(+F542+F573+F578+F583+F584)</f>
        <v>514655</v>
      </c>
      <c r="G585" s="314" t="n">
        <f aca="false">SUM(B585:F585)</f>
        <v>1268466244</v>
      </c>
      <c r="H585" s="317" t="n">
        <f aca="false">SUM(+H542+H573+H578+H583+H584)</f>
        <v>366177202</v>
      </c>
      <c r="I585" s="315" t="n">
        <f aca="false">SUM(+I542+I573+I578+I583+I584)</f>
        <v>369564417</v>
      </c>
      <c r="J585" s="316" t="n">
        <f aca="false">SUM(H585:I585)</f>
        <v>735741619</v>
      </c>
      <c r="K585" s="317" t="n">
        <f aca="false">SUM(+K542+K573+K578+K583+K584)</f>
        <v>31294719</v>
      </c>
      <c r="L585" s="315" t="n">
        <f aca="false">SUM(+L542+L573+L578+L583+L584)</f>
        <v>31158617</v>
      </c>
      <c r="M585" s="316" t="n">
        <f aca="false">SUM(K585:L585)</f>
        <v>62453336</v>
      </c>
      <c r="N585" s="317" t="n">
        <f aca="false">SUM(+N542+N573+N578+N583+N584)</f>
        <v>27</v>
      </c>
      <c r="O585" s="315" t="n">
        <f aca="false">SUM(+O542+O573+O578+O583+O584)</f>
        <v>38</v>
      </c>
      <c r="P585" s="316" t="n">
        <f aca="false">SUM(N585:O585)</f>
        <v>65</v>
      </c>
      <c r="Q585" s="135" t="str">
        <f aca="false">IF(P520=P585,"〇","×")</f>
        <v>×</v>
      </c>
    </row>
    <row r="586" s="341" customFormat="true" ht="39" hidden="false" customHeight="true" outlineLevel="0" collapsed="false">
      <c r="A586" s="340"/>
      <c r="G586" s="109"/>
      <c r="Q586" s="341" t="str">
        <f aca="false">IF(P521=P586,"〇","×")</f>
        <v>〇</v>
      </c>
    </row>
    <row r="587" s="322" customFormat="true" ht="30" hidden="false" customHeight="true" outlineLevel="0" collapsed="false">
      <c r="A587" s="360"/>
      <c r="B587" s="430" t="n">
        <f aca="false">B652</f>
        <v>46387</v>
      </c>
      <c r="C587" s="430"/>
      <c r="D587" s="430"/>
      <c r="E587" s="430"/>
      <c r="F587" s="430"/>
      <c r="G587" s="430"/>
      <c r="H587" s="361" t="n">
        <f aca="false">B587</f>
        <v>46387</v>
      </c>
      <c r="I587" s="361"/>
      <c r="J587" s="361"/>
      <c r="K587" s="361" t="n">
        <f aca="false">H587</f>
        <v>46387</v>
      </c>
      <c r="L587" s="361"/>
      <c r="M587" s="361"/>
      <c r="N587" s="361" t="n">
        <f aca="false">K587</f>
        <v>46387</v>
      </c>
      <c r="O587" s="361"/>
      <c r="P587" s="361"/>
      <c r="Q587" s="322" t="str">
        <f aca="false">IF(P522=P587,"〇","×")</f>
        <v>〇</v>
      </c>
      <c r="S587" s="322" t="s">
        <v>510</v>
      </c>
    </row>
    <row r="588" customFormat="false" ht="22.5" hidden="false" customHeight="true" outlineLevel="0" collapsed="false">
      <c r="A588" s="114" t="s">
        <v>483</v>
      </c>
      <c r="B588" s="114" t="s">
        <v>484</v>
      </c>
      <c r="C588" s="114"/>
      <c r="D588" s="114"/>
      <c r="E588" s="114"/>
      <c r="F588" s="114"/>
      <c r="G588" s="114"/>
      <c r="H588" s="116" t="s">
        <v>485</v>
      </c>
      <c r="I588" s="116"/>
      <c r="J588" s="116"/>
      <c r="K588" s="116" t="s">
        <v>486</v>
      </c>
      <c r="L588" s="116"/>
      <c r="M588" s="116"/>
      <c r="N588" s="116" t="str">
        <f aca="false">$N$3</f>
        <v>子ども・子育て支援納付金</v>
      </c>
      <c r="O588" s="116"/>
      <c r="P588" s="116"/>
      <c r="Q588" s="105" t="str">
        <f aca="false">IF(P523=P588,"〇","×")</f>
        <v>〇</v>
      </c>
    </row>
    <row r="589" customFormat="false" ht="22.5" hidden="false" customHeight="true" outlineLevel="0" collapsed="false">
      <c r="A589" s="114"/>
      <c r="B589" s="117" t="s">
        <v>487</v>
      </c>
      <c r="C589" s="117"/>
      <c r="D589" s="117" t="s">
        <v>488</v>
      </c>
      <c r="E589" s="117"/>
      <c r="F589" s="117"/>
      <c r="G589" s="117" t="s">
        <v>489</v>
      </c>
      <c r="H589" s="121" t="s">
        <v>490</v>
      </c>
      <c r="I589" s="119" t="s">
        <v>491</v>
      </c>
      <c r="J589" s="120" t="s">
        <v>489</v>
      </c>
      <c r="K589" s="121" t="s">
        <v>490</v>
      </c>
      <c r="L589" s="119" t="s">
        <v>491</v>
      </c>
      <c r="M589" s="120" t="s">
        <v>489</v>
      </c>
      <c r="N589" s="121" t="s">
        <v>490</v>
      </c>
      <c r="O589" s="119" t="s">
        <v>491</v>
      </c>
      <c r="P589" s="120" t="s">
        <v>489</v>
      </c>
      <c r="Q589" s="105" t="str">
        <f aca="false">IF(P524=P589,"〇","×")</f>
        <v>〇</v>
      </c>
    </row>
    <row r="590" customFormat="false" ht="22.5" hidden="false" customHeight="true" outlineLevel="0" collapsed="false">
      <c r="A590" s="114"/>
      <c r="B590" s="122" t="s">
        <v>492</v>
      </c>
      <c r="C590" s="123" t="s">
        <v>493</v>
      </c>
      <c r="D590" s="124" t="s">
        <v>492</v>
      </c>
      <c r="E590" s="124" t="s">
        <v>494</v>
      </c>
      <c r="F590" s="123" t="s">
        <v>93</v>
      </c>
      <c r="G590" s="117"/>
      <c r="H590" s="121"/>
      <c r="I590" s="119"/>
      <c r="J590" s="120"/>
      <c r="K590" s="121"/>
      <c r="L590" s="119"/>
      <c r="M590" s="120"/>
      <c r="N590" s="121"/>
      <c r="O590" s="119"/>
      <c r="P590" s="120"/>
      <c r="Q590" s="105" t="str">
        <f aca="false">IF(P525=P590,"〇","×")</f>
        <v>〇</v>
      </c>
    </row>
    <row r="591" s="135" customFormat="true" ht="20.1" hidden="false" customHeight="true" outlineLevel="0" collapsed="false">
      <c r="A591" s="125" t="s">
        <v>166</v>
      </c>
      <c r="B591" s="240" t="n">
        <f aca="false">SUMIFS(報告入力!$AY$7:$AY$696,報告入力!$A$7:$A$696,$S$587,報告入力!$B$7:$B$696,$A591)</f>
        <v>435917995</v>
      </c>
      <c r="C591" s="237" t="n">
        <f aca="false">SUMIFS(報告入力!$AZ$7:$AZ$696,報告入力!$A$7:$A$696,$S$587,報告入力!$B$7:$B$696,$A591)</f>
        <v>35740897</v>
      </c>
      <c r="D591" s="203" t="n">
        <f aca="false">SUMIFS(報告入力!$BA$7:$BA$696,報告入力!$A$7:$A$696,$S$587,報告入力!$B$7:$B$696,$A591)</f>
        <v>627554698</v>
      </c>
      <c r="E591" s="207" t="n">
        <f aca="false">SUMIFS(報告入力!$BB$7:$BB$696,報告入力!$A$7:$A$696,$S$587,報告入力!$B$7:$B$696,$A591)</f>
        <v>34768215</v>
      </c>
      <c r="F591" s="237" t="n">
        <f aca="false">SUMIFS(報告入力!$BC$7:$BC$696,報告入力!$A$7:$A$696,$S$587,報告入力!$B$7:$B$696,$A591)</f>
        <v>442176</v>
      </c>
      <c r="G591" s="431" t="n">
        <f aca="false">SUM(B591:F591)</f>
        <v>1134423981</v>
      </c>
      <c r="H591" s="240" t="n">
        <f aca="false">SUMIFS(報告入力!$BD$7:$BD$696,報告入力!$A$7:$A$696,$S$587,報告入力!$B$7:$B$696,$A591)</f>
        <v>336211683</v>
      </c>
      <c r="I591" s="208" t="n">
        <f aca="false">SUMIFS(報告入力!$BE$7:$BE$696,報告入力!$A$7:$A$696,$S$587,報告入力!$B$7:$B$696,$A591)</f>
        <v>335081107</v>
      </c>
      <c r="J591" s="418" t="n">
        <f aca="false">SUM(H591:I591)</f>
        <v>671292790</v>
      </c>
      <c r="K591" s="240" t="n">
        <f aca="false">SUMIFS(報告入力!$BF$7:$BF$696,報告入力!$A$7:$A$696,$S$587,報告入力!$B$7:$B$696,$A591)</f>
        <v>30330019</v>
      </c>
      <c r="L591" s="387" t="n">
        <f aca="false">SUMIFS(報告入力!$BG$7:$BG$696,報告入力!$A$7:$A$696,$S$587,報告入力!$B$7:$B$696,$A591)</f>
        <v>29480520</v>
      </c>
      <c r="M591" s="206" t="n">
        <f aca="false">SUM(K591:L591)</f>
        <v>59810539</v>
      </c>
      <c r="N591" s="240" t="n">
        <f aca="false">SUMIFS(報告入力!$BH$7:$BH$696,報告入力!$A$7:$A$696,$S$587,報告入力!$B$7:$B$696,$A591)</f>
        <v>1</v>
      </c>
      <c r="O591" s="387" t="n">
        <f aca="false">SUMIFS(報告入力!$BI$7:$BI$696,報告入力!$A$7:$A$696,$S$587,報告入力!$B$7:$B$696,$A591)</f>
        <v>1</v>
      </c>
      <c r="P591" s="206" t="n">
        <f aca="false">SUM(N591:O591)</f>
        <v>2</v>
      </c>
      <c r="Q591" s="135" t="str">
        <f aca="false">IF(P526=P591,"〇","×")</f>
        <v>〇</v>
      </c>
      <c r="R591" s="135" t="str">
        <f aca="false">IFERROR(INDEX(報告入力!$C$7:$C$696,MATCH($S$587&amp;"|"&amp;$A591,報告入力!$CM$7:$CM$696,0)),"")</f>
        <v>未受領</v>
      </c>
    </row>
    <row r="592" s="135" customFormat="true" ht="20.1" hidden="false" customHeight="true" outlineLevel="0" collapsed="false">
      <c r="A592" s="125" t="s">
        <v>169</v>
      </c>
      <c r="B592" s="240" t="n">
        <f aca="false">SUMIFS(報告入力!$AY$7:$AY$696,報告入力!$A$7:$A$696,$S$587,報告入力!$B$7:$B$696,$A592)</f>
        <v>29227117</v>
      </c>
      <c r="C592" s="238" t="n">
        <f aca="false">SUMIFS(報告入力!$AZ$7:$AZ$696,報告入力!$A$7:$A$696,$S$587,報告入力!$B$7:$B$696,$A592)</f>
        <v>2395585</v>
      </c>
      <c r="D592" s="203" t="n">
        <f aca="false">SUMIFS(報告入力!$BA$7:$BA$696,報告入力!$A$7:$A$696,$S$587,報告入力!$B$7:$B$696,$A592)</f>
        <v>42483252</v>
      </c>
      <c r="E592" s="207" t="n">
        <f aca="false">SUMIFS(報告入力!$BB$7:$BB$696,報告入力!$A$7:$A$696,$S$587,報告入力!$B$7:$B$696,$A592)</f>
        <v>2395669</v>
      </c>
      <c r="F592" s="237" t="n">
        <f aca="false">SUMIFS(報告入力!$BC$7:$BC$696,報告入力!$A$7:$A$696,$S$587,報告入力!$B$7:$B$696,$A592)</f>
        <v>29988</v>
      </c>
      <c r="G592" s="431" t="n">
        <f aca="false">SUM(B592:F592)</f>
        <v>76531611</v>
      </c>
      <c r="H592" s="240" t="n">
        <f aca="false">SUMIFS(報告入力!$BD$7:$BD$696,報告入力!$A$7:$A$696,$S$587,報告入力!$B$7:$B$696,$A592)</f>
        <v>18194146</v>
      </c>
      <c r="I592" s="208" t="n">
        <f aca="false">SUMIFS(報告入力!$BE$7:$BE$696,報告入力!$A$7:$A$696,$S$587,報告入力!$B$7:$B$696,$A592)</f>
        <v>18515147</v>
      </c>
      <c r="J592" s="418" t="n">
        <f aca="false">SUM(H592:I592)</f>
        <v>36709293</v>
      </c>
      <c r="K592" s="240" t="n">
        <f aca="false">SUMIFS(報告入力!$BF$7:$BF$696,報告入力!$A$7:$A$696,$S$587,報告入力!$B$7:$B$696,$A592)</f>
        <v>1869293</v>
      </c>
      <c r="L592" s="387" t="n">
        <f aca="false">SUMIFS(報告入力!$BG$7:$BG$696,報告入力!$A$7:$A$696,$S$587,報告入力!$B$7:$B$696,$A592)</f>
        <v>1869401</v>
      </c>
      <c r="M592" s="206" t="n">
        <f aca="false">SUM(K592:L592)</f>
        <v>3738694</v>
      </c>
      <c r="N592" s="240" t="n">
        <f aca="false">SUMIFS(報告入力!$BH$7:$BH$696,報告入力!$A$7:$A$696,$S$587,報告入力!$B$7:$B$696,$A592)</f>
        <v>1</v>
      </c>
      <c r="O592" s="387" t="n">
        <f aca="false">SUMIFS(報告入力!$BI$7:$BI$696,報告入力!$A$7:$A$696,$S$587,報告入力!$B$7:$B$696,$A592)</f>
        <v>1</v>
      </c>
      <c r="P592" s="206" t="n">
        <f aca="false">SUM(N592:O592)</f>
        <v>2</v>
      </c>
      <c r="Q592" s="135" t="str">
        <f aca="false">IF(P527=P592,"〇","×")</f>
        <v>〇</v>
      </c>
      <c r="R592" s="135" t="str">
        <f aca="false">IFERROR(INDEX(報告入力!$C$7:$C$696,MATCH($S$587&amp;"|"&amp;$A592,報告入力!$CM$7:$CM$696,0)),"")</f>
        <v>未受領</v>
      </c>
    </row>
    <row r="593" s="135" customFormat="true" ht="20.1" hidden="false" customHeight="true" outlineLevel="0" collapsed="false">
      <c r="A593" s="125" t="s">
        <v>170</v>
      </c>
      <c r="B593" s="240" t="n">
        <f aca="false">SUMIFS(報告入力!$AY$7:$AY$696,報告入力!$A$7:$A$696,$S$587,報告入力!$B$7:$B$696,$A593)</f>
        <v>93890932</v>
      </c>
      <c r="C593" s="238" t="n">
        <f aca="false">SUMIFS(報告入力!$AZ$7:$AZ$696,報告入力!$A$7:$A$696,$S$587,報告入力!$B$7:$B$696,$A593)</f>
        <v>7695676</v>
      </c>
      <c r="D593" s="203" t="n">
        <f aca="false">SUMIFS(報告入力!$BA$7:$BA$696,報告入力!$A$7:$A$696,$S$587,報告入力!$B$7:$B$696,$A593)</f>
        <v>136397911</v>
      </c>
      <c r="E593" s="207" t="n">
        <f aca="false">SUMIFS(報告入力!$BB$7:$BB$696,報告入力!$A$7:$A$696,$S$587,報告入力!$B$7:$B$696,$A593)</f>
        <v>7675343</v>
      </c>
      <c r="F593" s="237" t="n">
        <f aca="false">SUMIFS(報告入力!$BC$7:$BC$696,報告入力!$A$7:$A$696,$S$587,報告入力!$B$7:$B$696,$A593)</f>
        <v>96295</v>
      </c>
      <c r="G593" s="431" t="n">
        <f aca="false">SUM(B593:F593)</f>
        <v>245756157</v>
      </c>
      <c r="H593" s="240" t="n">
        <f aca="false">SUMIFS(報告入力!$BD$7:$BD$696,報告入力!$A$7:$A$696,$S$587,報告入力!$B$7:$B$696,$A593)</f>
        <v>57727100</v>
      </c>
      <c r="I593" s="208" t="n">
        <f aca="false">SUMIFS(報告入力!$BE$7:$BE$696,報告入力!$A$7:$A$696,$S$587,報告入力!$B$7:$B$696,$A593)</f>
        <v>58597723</v>
      </c>
      <c r="J593" s="418" t="n">
        <f aca="false">SUM(H593:I593)</f>
        <v>116324823</v>
      </c>
      <c r="K593" s="240" t="n">
        <f aca="false">SUMIFS(報告入力!$BF$7:$BF$696,報告入力!$A$7:$A$696,$S$587,報告入力!$B$7:$B$696,$A593)</f>
        <v>3696794</v>
      </c>
      <c r="L593" s="387" t="n">
        <f aca="false">SUMIFS(報告入力!$BG$7:$BG$696,報告入力!$A$7:$A$696,$S$587,報告入力!$B$7:$B$696,$A593)</f>
        <v>3682228</v>
      </c>
      <c r="M593" s="206" t="n">
        <f aca="false">SUM(K593:L593)</f>
        <v>7379022</v>
      </c>
      <c r="N593" s="240" t="n">
        <f aca="false">SUMIFS(報告入力!$BH$7:$BH$696,報告入力!$A$7:$A$696,$S$587,報告入力!$B$7:$B$696,$A593)</f>
        <v>1</v>
      </c>
      <c r="O593" s="387" t="n">
        <f aca="false">SUMIFS(報告入力!$BI$7:$BI$696,報告入力!$A$7:$A$696,$S$587,報告入力!$B$7:$B$696,$A593)</f>
        <v>1</v>
      </c>
      <c r="P593" s="206" t="n">
        <f aca="false">SUM(N593:O593)</f>
        <v>2</v>
      </c>
      <c r="Q593" s="135" t="str">
        <f aca="false">IF(P528=P593,"〇","×")</f>
        <v>〇</v>
      </c>
      <c r="R593" s="135" t="str">
        <f aca="false">IFERROR(INDEX(報告入力!$C$7:$C$696,MATCH($S$587&amp;"|"&amp;$A593,報告入力!$CM$7:$CM$696,0)),"")</f>
        <v>未受領</v>
      </c>
    </row>
    <row r="594" s="135" customFormat="true" ht="20.1" hidden="false" customHeight="true" outlineLevel="0" collapsed="false">
      <c r="A594" s="125" t="s">
        <v>171</v>
      </c>
      <c r="B594" s="240" t="n">
        <f aca="false">SUMIFS(報告入力!$AY$7:$AY$696,報告入力!$A$7:$A$696,$S$587,報告入力!$B$7:$B$696,$A594)</f>
        <v>3447894</v>
      </c>
      <c r="C594" s="238" t="n">
        <f aca="false">SUMIFS(報告入力!$AZ$7:$AZ$696,報告入力!$A$7:$A$696,$S$587,報告入力!$B$7:$B$696,$A594)</f>
        <v>282606</v>
      </c>
      <c r="D594" s="203" t="n">
        <f aca="false">SUMIFS(報告入力!$BA$7:$BA$696,報告入力!$A$7:$A$696,$S$587,報告入力!$B$7:$B$696,$A594)</f>
        <v>5011706</v>
      </c>
      <c r="E594" s="207" t="n">
        <f aca="false">SUMIFS(報告入力!$BB$7:$BB$696,報告入力!$A$7:$A$696,$S$587,報告入力!$B$7:$B$696,$A594)</f>
        <v>282615</v>
      </c>
      <c r="F594" s="237" t="n">
        <f aca="false">SUMIFS(報告入力!$BC$7:$BC$696,報告入力!$A$7:$A$696,$S$587,報告入力!$B$7:$B$696,$A594)</f>
        <v>3538</v>
      </c>
      <c r="G594" s="431" t="n">
        <f aca="false">SUM(B594:F594)</f>
        <v>9028359</v>
      </c>
      <c r="H594" s="240" t="n">
        <f aca="false">SUMIFS(報告入力!$BD$7:$BD$696,報告入力!$A$7:$A$696,$S$587,報告入力!$B$7:$B$696,$A594)</f>
        <v>2082544</v>
      </c>
      <c r="I594" s="208" t="n">
        <f aca="false">SUMIFS(報告入力!$BE$7:$BE$696,報告入力!$A$7:$A$696,$S$587,報告入力!$B$7:$B$696,$A594)</f>
        <v>2119290</v>
      </c>
      <c r="J594" s="418" t="n">
        <f aca="false">SUM(H594:I594)</f>
        <v>4201834</v>
      </c>
      <c r="K594" s="240" t="n">
        <f aca="false">SUMIFS(報告入力!$BF$7:$BF$696,報告入力!$A$7:$A$696,$S$587,報告入力!$B$7:$B$696,$A594)</f>
        <v>204837</v>
      </c>
      <c r="L594" s="387" t="n">
        <f aca="false">SUMIFS(報告入力!$BG$7:$BG$696,報告入力!$A$7:$A$696,$S$587,報告入力!$B$7:$B$696,$A594)</f>
        <v>204847</v>
      </c>
      <c r="M594" s="206" t="n">
        <f aca="false">SUM(K594:L594)</f>
        <v>409684</v>
      </c>
      <c r="N594" s="240" t="n">
        <f aca="false">SUMIFS(報告入力!$BH$7:$BH$696,報告入力!$A$7:$A$696,$S$587,報告入力!$B$7:$B$696,$A594)</f>
        <v>1</v>
      </c>
      <c r="O594" s="387" t="n">
        <f aca="false">SUMIFS(報告入力!$BI$7:$BI$696,報告入力!$A$7:$A$696,$S$587,報告入力!$B$7:$B$696,$A594)</f>
        <v>1</v>
      </c>
      <c r="P594" s="206" t="n">
        <f aca="false">SUM(N594:O594)</f>
        <v>2</v>
      </c>
      <c r="Q594" s="135" t="str">
        <f aca="false">IF(P529=P594,"〇","×")</f>
        <v>〇</v>
      </c>
      <c r="R594" s="135" t="str">
        <f aca="false">IFERROR(INDEX(報告入力!$C$7:$C$696,MATCH($S$587&amp;"|"&amp;$A594,報告入力!$CM$7:$CM$696,0)),"")</f>
        <v>未受領</v>
      </c>
    </row>
    <row r="595" s="135" customFormat="true" ht="20.1" hidden="false" customHeight="true" outlineLevel="0" collapsed="false">
      <c r="A595" s="125" t="s">
        <v>172</v>
      </c>
      <c r="B595" s="240" t="n">
        <f aca="false">SUMIFS(報告入力!$AY$7:$AY$696,報告入力!$A$7:$A$696,$S$587,報告入力!$B$7:$B$696,$A595)</f>
        <v>45885450</v>
      </c>
      <c r="C595" s="237" t="n">
        <f aca="false">SUMIFS(報告入力!$AZ$7:$AZ$696,報告入力!$A$7:$A$696,$S$587,報告入力!$B$7:$B$696,$A595)</f>
        <v>3760962</v>
      </c>
      <c r="D595" s="203" t="n">
        <f aca="false">SUMIFS(報告入力!$BA$7:$BA$696,報告入力!$A$7:$A$696,$S$587,報告入力!$B$7:$B$696,$A595)</f>
        <v>66761387</v>
      </c>
      <c r="E595" s="207" t="n">
        <f aca="false">SUMIFS(報告入力!$BB$7:$BB$696,報告入力!$A$7:$A$696,$S$587,報告入力!$B$7:$B$696,$A595)</f>
        <v>3761114</v>
      </c>
      <c r="F595" s="237" t="n">
        <f aca="false">SUMIFS(報告入力!$BC$7:$BC$696,報告入力!$A$7:$A$696,$S$587,報告入力!$B$7:$B$696,$A595)</f>
        <v>47227</v>
      </c>
      <c r="G595" s="431" t="n">
        <f aca="false">SUM(B595:F595)</f>
        <v>120216140</v>
      </c>
      <c r="H595" s="387" t="n">
        <f aca="false">SUMIFS(報告入力!$BD$7:$BD$696,報告入力!$A$7:$A$696,$S$587,報告入力!$B$7:$B$696,$A595)</f>
        <v>46934335</v>
      </c>
      <c r="I595" s="207" t="n">
        <f aca="false">SUMIFS(報告入力!$BE$7:$BE$696,報告入力!$A$7:$A$696,$S$587,報告入力!$B$7:$B$696,$A595)</f>
        <v>47766260</v>
      </c>
      <c r="J595" s="432" t="n">
        <f aca="false">SUM(H595:I595)</f>
        <v>94700595</v>
      </c>
      <c r="K595" s="239" t="n">
        <f aca="false">SUMIFS(報告入力!$BF$7:$BF$696,報告入力!$A$7:$A$696,$S$587,報告入力!$B$7:$B$696,$A595)</f>
        <v>5175632</v>
      </c>
      <c r="L595" s="239" t="n">
        <f aca="false">SUMIFS(報告入力!$BG$7:$BG$696,報告入力!$A$7:$A$696,$S$587,報告入力!$B$7:$B$696,$A595)</f>
        <v>5176190</v>
      </c>
      <c r="M595" s="206" t="n">
        <f aca="false">SUM(K595:L595)</f>
        <v>10351822</v>
      </c>
      <c r="N595" s="239" t="n">
        <f aca="false">SUMIFS(報告入力!$BH$7:$BH$696,報告入力!$A$7:$A$696,$S$587,報告入力!$B$7:$B$696,$A595)</f>
        <v>1</v>
      </c>
      <c r="O595" s="239" t="n">
        <f aca="false">SUMIFS(報告入力!$BI$7:$BI$696,報告入力!$A$7:$A$696,$S$587,報告入力!$B$7:$B$696,$A595)</f>
        <v>1</v>
      </c>
      <c r="P595" s="206" t="n">
        <f aca="false">SUM(N595:O595)</f>
        <v>2</v>
      </c>
      <c r="Q595" s="135" t="str">
        <f aca="false">IF(P530=P595,"〇","×")</f>
        <v>〇</v>
      </c>
      <c r="R595" s="135" t="str">
        <f aca="false">IFERROR(INDEX(報告入力!$C$7:$C$696,MATCH($S$587&amp;"|"&amp;$A595,報告入力!$CM$7:$CM$696,0)),"")</f>
        <v>未受領</v>
      </c>
    </row>
    <row r="596" s="135" customFormat="true" ht="20.1" hidden="false" customHeight="true" outlineLevel="0" collapsed="false">
      <c r="A596" s="125" t="s">
        <v>173</v>
      </c>
      <c r="B596" s="240" t="n">
        <f aca="false">SUMIFS(報告入力!$AY$7:$AY$696,報告入力!$A$7:$A$696,$S$587,報告入力!$B$7:$B$696,$A596)</f>
        <v>541129</v>
      </c>
      <c r="C596" s="237" t="n">
        <f aca="false">SUMIFS(報告入力!$AZ$7:$AZ$696,報告入力!$A$7:$A$696,$S$587,報告入力!$B$7:$B$696,$A596)</f>
        <v>44353</v>
      </c>
      <c r="D596" s="203" t="n">
        <f aca="false">SUMIFS(報告入力!$BA$7:$BA$696,報告入力!$A$7:$A$696,$S$587,報告入力!$B$7:$B$696,$A596)</f>
        <v>786562</v>
      </c>
      <c r="E596" s="207" t="n">
        <f aca="false">SUMIFS(報告入力!$BB$7:$BB$696,報告入力!$A$7:$A$696,$S$587,報告入力!$B$7:$B$696,$A596)</f>
        <v>44355</v>
      </c>
      <c r="F596" s="237" t="n">
        <f aca="false">SUMIFS(報告入力!$BC$7:$BC$696,報告入力!$A$7:$A$696,$S$587,報告入力!$B$7:$B$696,$A596)</f>
        <v>555</v>
      </c>
      <c r="G596" s="431" t="n">
        <f aca="false">SUM(B596:F596)</f>
        <v>1416954</v>
      </c>
      <c r="H596" s="240" t="n">
        <f aca="false">SUMIFS(報告入力!$BD$7:$BD$696,報告入力!$A$7:$A$696,$S$587,報告入力!$B$7:$B$696,$A596)</f>
        <v>363611</v>
      </c>
      <c r="I596" s="208" t="n">
        <f aca="false">SUMIFS(報告入力!$BE$7:$BE$696,報告入力!$A$7:$A$696,$S$587,報告入力!$B$7:$B$696,$A596)</f>
        <v>370027</v>
      </c>
      <c r="J596" s="418" t="n">
        <f aca="false">SUM(H596:I596)</f>
        <v>733638</v>
      </c>
      <c r="K596" s="240" t="n">
        <f aca="false">SUMIFS(報告入力!$BF$7:$BF$696,報告入力!$A$7:$A$696,$S$587,報告入力!$B$7:$B$696,$A596)</f>
        <v>32214</v>
      </c>
      <c r="L596" s="387" t="n">
        <f aca="false">SUMIFS(報告入力!$BG$7:$BG$696,報告入力!$A$7:$A$696,$S$587,報告入力!$B$7:$B$696,$A596)</f>
        <v>32215</v>
      </c>
      <c r="M596" s="206" t="n">
        <f aca="false">SUM(K596:L596)</f>
        <v>64429</v>
      </c>
      <c r="N596" s="240" t="n">
        <f aca="false">SUMIFS(報告入力!$BH$7:$BH$696,報告入力!$A$7:$A$696,$S$587,報告入力!$B$7:$B$696,$A596)</f>
        <v>1</v>
      </c>
      <c r="O596" s="387" t="n">
        <f aca="false">SUMIFS(報告入力!$BI$7:$BI$696,報告入力!$A$7:$A$696,$S$587,報告入力!$B$7:$B$696,$A596)</f>
        <v>1</v>
      </c>
      <c r="P596" s="206" t="n">
        <f aca="false">SUM(N596:O596)</f>
        <v>2</v>
      </c>
      <c r="Q596" s="135" t="str">
        <f aca="false">IF(P531=P596,"〇","×")</f>
        <v>〇</v>
      </c>
      <c r="R596" s="135" t="str">
        <f aca="false">IFERROR(INDEX(報告入力!$C$7:$C$696,MATCH($S$587&amp;"|"&amp;$A596,報告入力!$CM$7:$CM$696,0)),"")</f>
        <v>未受領</v>
      </c>
    </row>
    <row r="597" s="135" customFormat="true" ht="20.1" hidden="false" customHeight="true" outlineLevel="0" collapsed="false">
      <c r="A597" s="125" t="s">
        <v>174</v>
      </c>
      <c r="B597" s="240" t="n">
        <f aca="false">SUMIFS(報告入力!$AY$7:$AY$696,報告入力!$A$7:$A$696,$S$587,報告入力!$B$7:$B$696,$A597)</f>
        <v>1109161</v>
      </c>
      <c r="C597" s="237" t="n">
        <f aca="false">SUMIFS(報告入力!$AZ$7:$AZ$696,報告入力!$A$7:$A$696,$S$587,報告入力!$B$7:$B$696,$A597)</f>
        <v>90913</v>
      </c>
      <c r="D597" s="203" t="n">
        <f aca="false">SUMIFS(報告入力!$BA$7:$BA$696,報告入力!$A$7:$A$696,$S$587,報告入力!$B$7:$B$696,$A597)</f>
        <v>1612226</v>
      </c>
      <c r="E597" s="207" t="n">
        <f aca="false">SUMIFS(報告入力!$BB$7:$BB$696,報告入力!$A$7:$A$696,$S$587,報告入力!$B$7:$B$696,$A597)</f>
        <v>90915</v>
      </c>
      <c r="F597" s="237" t="n">
        <f aca="false">SUMIFS(報告入力!$BC$7:$BC$696,報告入力!$A$7:$A$696,$S$587,報告入力!$B$7:$B$696,$A597)</f>
        <v>1138</v>
      </c>
      <c r="G597" s="431" t="n">
        <f aca="false">SUM(B597:F597)</f>
        <v>2904353</v>
      </c>
      <c r="H597" s="240" t="n">
        <f aca="false">SUMIFS(報告入力!$BD$7:$BD$696,報告入力!$A$7:$A$696,$S$587,報告入力!$B$7:$B$696,$A597)</f>
        <v>679368</v>
      </c>
      <c r="I597" s="208" t="n">
        <f aca="false">SUMIFS(報告入力!$BE$7:$BE$696,報告入力!$A$7:$A$696,$S$587,報告入力!$B$7:$B$696,$A597)</f>
        <v>691353</v>
      </c>
      <c r="J597" s="418" t="n">
        <f aca="false">SUM(H597:I597)</f>
        <v>1370721</v>
      </c>
      <c r="K597" s="240" t="n">
        <f aca="false">SUMIFS(報告入力!$BF$7:$BF$696,報告入力!$A$7:$A$696,$S$587,報告入力!$B$7:$B$696,$A597)</f>
        <v>66024</v>
      </c>
      <c r="L597" s="387" t="n">
        <f aca="false">SUMIFS(報告入力!$BG$7:$BG$696,報告入力!$A$7:$A$696,$S$587,報告入力!$B$7:$B$696,$A597)</f>
        <v>66028</v>
      </c>
      <c r="M597" s="206" t="n">
        <f aca="false">SUM(K597:L597)</f>
        <v>132052</v>
      </c>
      <c r="N597" s="240" t="n">
        <f aca="false">SUMIFS(報告入力!$BH$7:$BH$696,報告入力!$A$7:$A$696,$S$587,報告入力!$B$7:$B$696,$A597)</f>
        <v>1</v>
      </c>
      <c r="O597" s="387" t="n">
        <f aca="false">SUMIFS(報告入力!$BI$7:$BI$696,報告入力!$A$7:$A$696,$S$587,報告入力!$B$7:$B$696,$A597)</f>
        <v>1</v>
      </c>
      <c r="P597" s="206" t="n">
        <f aca="false">SUM(N597:O597)</f>
        <v>2</v>
      </c>
      <c r="Q597" s="135" t="str">
        <f aca="false">IF(P532=P597,"〇","×")</f>
        <v>〇</v>
      </c>
      <c r="R597" s="135" t="str">
        <f aca="false">IFERROR(INDEX(報告入力!$C$7:$C$696,MATCH($S$587&amp;"|"&amp;$A597,報告入力!$CM$7:$CM$696,0)),"")</f>
        <v>未受領</v>
      </c>
    </row>
    <row r="598" s="135" customFormat="true" ht="20.1" hidden="false" customHeight="true" outlineLevel="0" collapsed="false">
      <c r="A598" s="125" t="s">
        <v>175</v>
      </c>
      <c r="B598" s="240" t="n">
        <f aca="false">SUMIFS(報告入力!$AY$7:$AY$696,報告入力!$A$7:$A$696,$S$587,報告入力!$B$7:$B$696,$A598)</f>
        <v>2686433</v>
      </c>
      <c r="C598" s="237" t="n">
        <f aca="false">SUMIFS(報告入力!$AZ$7:$AZ$696,報告入力!$A$7:$A$696,$S$587,報告入力!$B$7:$B$696,$A598)</f>
        <v>220193</v>
      </c>
      <c r="D598" s="203" t="n">
        <f aca="false">SUMIFS(報告入力!$BA$7:$BA$696,報告入力!$A$7:$A$696,$S$587,報告入力!$B$7:$B$696,$A598)</f>
        <v>3904880</v>
      </c>
      <c r="E598" s="207" t="n">
        <f aca="false">SUMIFS(報告入力!$BB$7:$BB$696,報告入力!$A$7:$A$696,$S$587,報告入力!$B$7:$B$696,$A598)</f>
        <v>220200</v>
      </c>
      <c r="F598" s="237" t="n">
        <f aca="false">SUMIFS(報告入力!$BC$7:$BC$696,報告入力!$A$7:$A$696,$S$587,報告入力!$B$7:$B$696,$A598)</f>
        <v>2756</v>
      </c>
      <c r="G598" s="431" t="n">
        <f aca="false">SUM(B598:F598)</f>
        <v>7034462</v>
      </c>
      <c r="H598" s="240" t="n">
        <f aca="false">SUMIFS(報告入力!$BD$7:$BD$696,報告入力!$A$7:$A$696,$S$587,報告入力!$B$7:$B$696,$A598)</f>
        <v>1670805</v>
      </c>
      <c r="I598" s="208" t="n">
        <f aca="false">SUMIFS(報告入力!$BE$7:$BE$696,報告入力!$A$7:$A$696,$S$587,報告入力!$B$7:$B$696,$A598)</f>
        <v>1700280</v>
      </c>
      <c r="J598" s="418" t="n">
        <f aca="false">SUM(H598:I598)</f>
        <v>3371085</v>
      </c>
      <c r="K598" s="240" t="n">
        <f aca="false">SUMIFS(報告入力!$BF$7:$BF$696,報告入力!$A$7:$A$696,$S$587,報告入力!$B$7:$B$696,$A598)</f>
        <v>217229</v>
      </c>
      <c r="L598" s="387" t="n">
        <f aca="false">SUMIFS(報告入力!$BG$7:$BG$696,報告入力!$A$7:$A$696,$S$587,報告入力!$B$7:$B$696,$A598)</f>
        <v>217241</v>
      </c>
      <c r="M598" s="206" t="n">
        <f aca="false">SUM(K598:L598)</f>
        <v>434470</v>
      </c>
      <c r="N598" s="240" t="n">
        <f aca="false">SUMIFS(報告入力!$BH$7:$BH$696,報告入力!$A$7:$A$696,$S$587,報告入力!$B$7:$B$696,$A598)</f>
        <v>1</v>
      </c>
      <c r="O598" s="387" t="n">
        <f aca="false">SUMIFS(報告入力!$BI$7:$BI$696,報告入力!$A$7:$A$696,$S$587,報告入力!$B$7:$B$696,$A598)</f>
        <v>1</v>
      </c>
      <c r="P598" s="206" t="n">
        <f aca="false">SUM(N598:O598)</f>
        <v>2</v>
      </c>
      <c r="Q598" s="135" t="str">
        <f aca="false">IF(P533=P598,"〇","×")</f>
        <v>〇</v>
      </c>
      <c r="R598" s="135" t="str">
        <f aca="false">IFERROR(INDEX(報告入力!$C$7:$C$696,MATCH($S$587&amp;"|"&amp;$A598,報告入力!$CM$7:$CM$696,0)),"")</f>
        <v>未受領</v>
      </c>
    </row>
    <row r="599" s="135" customFormat="true" ht="20.1" hidden="false" customHeight="true" outlineLevel="0" collapsed="false">
      <c r="A599" s="125" t="s">
        <v>176</v>
      </c>
      <c r="B599" s="240" t="n">
        <f aca="false">SUMIFS(報告入力!$AY$7:$AY$696,報告入力!$A$7:$A$696,$S$587,報告入力!$B$7:$B$696,$A599)</f>
        <v>763383</v>
      </c>
      <c r="C599" s="237" t="n">
        <f aca="false">SUMIFS(報告入力!$AZ$7:$AZ$696,報告入力!$A$7:$A$696,$S$587,報告入力!$B$7:$B$696,$A599)</f>
        <v>62571</v>
      </c>
      <c r="D599" s="203" t="n">
        <f aca="false">SUMIFS(報告入力!$BA$7:$BA$696,報告入力!$A$7:$A$696,$S$587,報告入力!$B$7:$B$696,$A599)</f>
        <v>1109618</v>
      </c>
      <c r="E599" s="207" t="n">
        <f aca="false">SUMIFS(報告入力!$BB$7:$BB$696,報告入力!$A$7:$A$696,$S$587,報告入力!$B$7:$B$696,$A599)</f>
        <v>62572</v>
      </c>
      <c r="F599" s="237" t="n">
        <f aca="false">SUMIFS(報告入力!$BC$7:$BC$696,報告入力!$A$7:$A$696,$S$587,報告入力!$B$7:$B$696,$A599)</f>
        <v>783</v>
      </c>
      <c r="G599" s="206" t="n">
        <f aca="false">SUM(B599:F599)</f>
        <v>1998927</v>
      </c>
      <c r="H599" s="240" t="n">
        <f aca="false">SUMIFS(報告入力!$BD$7:$BD$696,報告入力!$A$7:$A$696,$S$587,報告入力!$B$7:$B$696,$A599)</f>
        <v>609062</v>
      </c>
      <c r="I599" s="208" t="n">
        <f aca="false">SUMIFS(報告入力!$BE$7:$BE$696,報告入力!$A$7:$A$696,$S$587,報告入力!$B$7:$B$696,$A599)</f>
        <v>619810</v>
      </c>
      <c r="J599" s="418" t="n">
        <f aca="false">SUM(H599:I599)</f>
        <v>1228872</v>
      </c>
      <c r="K599" s="240" t="n">
        <f aca="false">SUMIFS(報告入力!$BF$7:$BF$696,報告入力!$A$7:$A$696,$S$587,報告入力!$B$7:$B$696,$A599)</f>
        <v>66757</v>
      </c>
      <c r="L599" s="387" t="n">
        <f aca="false">SUMIFS(報告入力!$BG$7:$BG$696,報告入力!$A$7:$A$696,$S$587,報告入力!$B$7:$B$696,$A599)</f>
        <v>66762</v>
      </c>
      <c r="M599" s="206" t="n">
        <f aca="false">SUM(K599:L599)</f>
        <v>133519</v>
      </c>
      <c r="N599" s="240" t="n">
        <f aca="false">SUMIFS(報告入力!$BH$7:$BH$696,報告入力!$A$7:$A$696,$S$587,報告入力!$B$7:$B$696,$A599)</f>
        <v>1</v>
      </c>
      <c r="O599" s="387" t="n">
        <f aca="false">SUMIFS(報告入力!$BI$7:$BI$696,報告入力!$A$7:$A$696,$S$587,報告入力!$B$7:$B$696,$A599)</f>
        <v>1</v>
      </c>
      <c r="P599" s="206" t="n">
        <f aca="false">SUM(N599:O599)</f>
        <v>2</v>
      </c>
      <c r="Q599" s="135" t="str">
        <f aca="false">IF(P534=P599,"〇","×")</f>
        <v>〇</v>
      </c>
      <c r="R599" s="135" t="str">
        <f aca="false">IFERROR(INDEX(報告入力!$C$7:$C$696,MATCH($S$587&amp;"|"&amp;$A599,報告入力!$CM$7:$CM$696,0)),"")</f>
        <v>未受領</v>
      </c>
    </row>
    <row r="600" s="135" customFormat="true" ht="20.1" hidden="false" customHeight="true" outlineLevel="0" collapsed="false">
      <c r="A600" s="125" t="s">
        <v>177</v>
      </c>
      <c r="B600" s="240" t="n">
        <f aca="false">SUMIFS(報告入力!$AY$7:$AY$696,報告入力!$A$7:$A$696,$S$587,報告入力!$B$7:$B$696,$A600)</f>
        <v>45078163</v>
      </c>
      <c r="C600" s="237" t="n">
        <f aca="false">SUMIFS(報告入力!$AZ$7:$AZ$696,報告入力!$A$7:$A$696,$S$587,報告入力!$B$7:$B$696,$A600)</f>
        <v>3694807</v>
      </c>
      <c r="D600" s="203" t="n">
        <f aca="false">SUMIFS(報告入力!$BA$7:$BA$696,報告入力!$A$7:$A$696,$S$587,報告入力!$B$7:$B$696,$A600)</f>
        <v>65628029</v>
      </c>
      <c r="E600" s="207" t="n">
        <f aca="false">SUMIFS(報告入力!$BB$7:$BB$696,報告入力!$A$7:$A$696,$S$587,報告入力!$B$7:$B$696,$A600)</f>
        <v>3694940</v>
      </c>
      <c r="F600" s="237" t="n">
        <f aca="false">SUMIFS(報告入力!$BC$7:$BC$696,報告入力!$A$7:$A$696,$S$587,報告入力!$B$7:$B$696,$A600)</f>
        <v>46490</v>
      </c>
      <c r="G600" s="206" t="n">
        <f aca="false">SUM(B600:F600)</f>
        <v>118142429</v>
      </c>
      <c r="H600" s="240" t="n">
        <f aca="false">SUMIFS(報告入力!$BD$7:$BD$696,報告入力!$A$7:$A$696,$S$587,報告入力!$B$7:$B$696,$A600)</f>
        <v>28168338</v>
      </c>
      <c r="I600" s="208" t="n">
        <f aca="false">SUMIFS(報告入力!$BE$7:$BE$696,報告入力!$A$7:$A$696,$S$587,報告入力!$B$7:$B$696,$A600)</f>
        <v>28667777</v>
      </c>
      <c r="J600" s="418" t="n">
        <f aca="false">SUM(H600:I600)</f>
        <v>56836115</v>
      </c>
      <c r="K600" s="240" t="n">
        <f aca="false">SUMIFS(報告入力!$BF$7:$BF$696,報告入力!$A$7:$A$696,$S$587,報告入力!$B$7:$B$696,$A600)</f>
        <v>2740609</v>
      </c>
      <c r="L600" s="387" t="n">
        <f aca="false">SUMIFS(報告入力!$BG$7:$BG$696,報告入力!$A$7:$A$696,$S$587,報告入力!$B$7:$B$696,$A600)</f>
        <v>2740766</v>
      </c>
      <c r="M600" s="206" t="n">
        <f aca="false">SUM(K600:L600)</f>
        <v>5481375</v>
      </c>
      <c r="N600" s="240" t="n">
        <f aca="false">SUMIFS(報告入力!$BH$7:$BH$696,報告入力!$A$7:$A$696,$S$587,報告入力!$B$7:$B$696,$A600)</f>
        <v>1</v>
      </c>
      <c r="O600" s="387" t="n">
        <f aca="false">SUMIFS(報告入力!$BI$7:$BI$696,報告入力!$A$7:$A$696,$S$587,報告入力!$B$7:$B$696,$A600)</f>
        <v>1</v>
      </c>
      <c r="P600" s="206" t="n">
        <f aca="false">SUM(N600:O600)</f>
        <v>2</v>
      </c>
      <c r="Q600" s="135" t="str">
        <f aca="false">IF(P535=P600,"〇","×")</f>
        <v>〇</v>
      </c>
      <c r="R600" s="135" t="str">
        <f aca="false">IFERROR(INDEX(報告入力!$C$7:$C$696,MATCH($S$587&amp;"|"&amp;$A600,報告入力!$CM$7:$CM$696,0)),"")</f>
        <v>未受領</v>
      </c>
    </row>
    <row r="601" s="135" customFormat="true" ht="19.5" hidden="false" customHeight="true" outlineLevel="0" collapsed="false">
      <c r="A601" s="146" t="s">
        <v>495</v>
      </c>
      <c r="B601" s="240" t="n">
        <f aca="false">SUMIFS(報告入力!$AY$7:$AY$696,報告入力!$A$7:$A$696,$S$587,報告入力!$B$7:$B$696,$A601)</f>
        <v>71461</v>
      </c>
      <c r="C601" s="237" t="n">
        <f aca="false">SUMIFS(報告入力!$AZ$7:$AZ$696,報告入力!$A$7:$A$696,$S$587,報告入力!$B$7:$B$696,$A601)</f>
        <v>5857</v>
      </c>
      <c r="D601" s="203" t="n">
        <f aca="false">SUMIFS(報告入力!$BA$7:$BA$696,報告入力!$A$7:$A$696,$S$587,報告入力!$B$7:$B$696,$A601)</f>
        <v>103873</v>
      </c>
      <c r="E601" s="207" t="n">
        <f aca="false">SUMIFS(報告入力!$BB$7:$BB$696,報告入力!$A$7:$A$696,$S$587,報告入力!$B$7:$B$696,$A601)</f>
        <v>5857</v>
      </c>
      <c r="F601" s="237" t="n">
        <f aca="false">SUMIFS(報告入力!$BC$7:$BC$696,報告入力!$A$7:$A$696,$S$587,報告入力!$B$7:$B$696,$A601)</f>
        <v>73</v>
      </c>
      <c r="G601" s="206" t="n">
        <f aca="false">SUM(B601:F601)</f>
        <v>187121</v>
      </c>
      <c r="H601" s="240" t="n">
        <f aca="false">SUMIFS(報告入力!$BD$7:$BD$696,報告入力!$A$7:$A$696,$S$587,報告入力!$B$7:$B$696,$A601)</f>
        <v>42962</v>
      </c>
      <c r="I601" s="208" t="n">
        <f aca="false">SUMIFS(報告入力!$BE$7:$BE$696,報告入力!$A$7:$A$696,$S$587,報告入力!$B$7:$B$696,$A601)</f>
        <v>43720</v>
      </c>
      <c r="J601" s="418" t="n">
        <f aca="false">SUM(H601:I601)</f>
        <v>86682</v>
      </c>
      <c r="K601" s="240" t="n">
        <f aca="false">SUMIFS(報告入力!$BF$7:$BF$696,報告入力!$A$7:$A$696,$S$587,報告入力!$B$7:$B$696,$A601)</f>
        <v>6169</v>
      </c>
      <c r="L601" s="387" t="n">
        <f aca="false">SUMIFS(報告入力!$BG$7:$BG$696,報告入力!$A$7:$A$696,$S$587,報告入力!$B$7:$B$696,$A601)</f>
        <v>6169</v>
      </c>
      <c r="M601" s="206" t="n">
        <f aca="false">SUM(K601:L601)</f>
        <v>12338</v>
      </c>
      <c r="N601" s="240" t="n">
        <f aca="false">SUMIFS(報告入力!$BH$7:$BH$696,報告入力!$A$7:$A$696,$S$587,報告入力!$B$7:$B$696,$A601)</f>
        <v>1</v>
      </c>
      <c r="O601" s="387" t="n">
        <f aca="false">SUMIFS(報告入力!$BI$7:$BI$696,報告入力!$A$7:$A$696,$S$587,報告入力!$B$7:$B$696,$A601)</f>
        <v>1</v>
      </c>
      <c r="P601" s="206" t="n">
        <f aca="false">SUM(N601:O601)</f>
        <v>2</v>
      </c>
      <c r="Q601" s="135" t="str">
        <f aca="false">IF(P536=P601,"〇","×")</f>
        <v>〇</v>
      </c>
      <c r="R601" s="135" t="str">
        <f aca="false">IFERROR(INDEX(報告入力!$C$7:$C$696,MATCH($S$587&amp;"|"&amp;$A601,報告入力!$CM$7:$CM$696,0)),"")</f>
        <v>未受領</v>
      </c>
    </row>
    <row r="602" s="162" customFormat="true" ht="19.5" hidden="false" customHeight="true" outlineLevel="0" collapsed="false">
      <c r="A602" s="151" t="s">
        <v>179</v>
      </c>
      <c r="B602" s="152" t="n">
        <f aca="false">SUMIFS(報告入力!$AY$7:$AY$696,報告入力!$A$7:$A$696,$S$587,報告入力!$B$7:$B$696,$A602)</f>
        <v>0</v>
      </c>
      <c r="C602" s="153" t="n">
        <f aca="false">SUMIFS(報告入力!$AZ$7:$AZ$696,報告入力!$A$7:$A$696,$S$587,報告入力!$B$7:$B$696,$A602)</f>
        <v>0</v>
      </c>
      <c r="D602" s="154"/>
      <c r="E602" s="155"/>
      <c r="F602" s="156" t="n">
        <f aca="false">SUMIFS(報告入力!$BC$7:$BC$696,報告入力!$A$7:$A$696,$S$587,報告入力!$B$7:$B$696,$A602)</f>
        <v>0</v>
      </c>
      <c r="G602" s="157" t="n">
        <f aca="false">SUM(B602:F602)</f>
        <v>0</v>
      </c>
      <c r="H602" s="287" t="n">
        <f aca="false">SUMIFS(報告入力!$BD$7:$BD$696,報告入力!$A$7:$A$696,$S$587,報告入力!$B$7:$B$696,$A602)</f>
        <v>397155</v>
      </c>
      <c r="I602" s="208" t="n">
        <f aca="false">SUMIFS(報告入力!$BE$7:$BE$696,報告入力!$A$7:$A$696,$S$587,報告入力!$B$7:$B$696,$A602)</f>
        <v>404459</v>
      </c>
      <c r="J602" s="160" t="n">
        <f aca="false">SUM(H602:I602)</f>
        <v>801614</v>
      </c>
      <c r="K602" s="287" t="n">
        <f aca="false">SUMIFS(報告入力!$BF$7:$BF$696,報告入力!$A$7:$A$696,$S$587,報告入力!$B$7:$B$696,$A602)</f>
        <v>10385</v>
      </c>
      <c r="L602" s="208" t="n">
        <f aca="false">SUMIFS(報告入力!$BG$7:$BG$696,報告入力!$A$7:$A$696,$S$587,報告入力!$B$7:$B$696,$A602)</f>
        <v>10388</v>
      </c>
      <c r="M602" s="160" t="n">
        <f aca="false">SUM(K602:L602)</f>
        <v>20773</v>
      </c>
      <c r="N602" s="287" t="n">
        <f aca="false">SUMIFS(報告入力!$BH$7:$BH$696,報告入力!$A$7:$A$696,$S$587,報告入力!$B$7:$B$696,$A602)</f>
        <v>1</v>
      </c>
      <c r="O602" s="208" t="n">
        <f aca="false">SUMIFS(報告入力!$BI$7:$BI$696,報告入力!$A$7:$A$696,$S$587,報告入力!$B$7:$B$696,$A602)</f>
        <v>1</v>
      </c>
      <c r="P602" s="160" t="n">
        <f aca="false">SUM(N602:O602)</f>
        <v>2</v>
      </c>
      <c r="Q602" s="162" t="str">
        <f aca="false">IF(P537=P602,"〇","×")</f>
        <v>〇</v>
      </c>
      <c r="R602" s="162" t="str">
        <f aca="false">IFERROR(INDEX(報告入力!$C$7:$C$696,MATCH($S$587&amp;"|"&amp;$A602,報告入力!$CM$7:$CM$696,0)),"")</f>
        <v>未受領</v>
      </c>
    </row>
    <row r="603" s="162" customFormat="true" ht="19.5" hidden="false" customHeight="true" outlineLevel="0" collapsed="false">
      <c r="A603" s="163" t="s">
        <v>496</v>
      </c>
      <c r="B603" s="164"/>
      <c r="C603" s="165"/>
      <c r="D603" s="164"/>
      <c r="E603" s="166"/>
      <c r="F603" s="167"/>
      <c r="G603" s="168"/>
      <c r="H603" s="419"/>
      <c r="I603" s="170"/>
      <c r="J603" s="171"/>
      <c r="K603" s="172"/>
      <c r="L603" s="173"/>
      <c r="M603" s="171"/>
      <c r="N603" s="172"/>
      <c r="O603" s="173"/>
      <c r="P603" s="171"/>
      <c r="Q603" s="162" t="str">
        <f aca="false">IF(P538=P603,"〇","×")</f>
        <v>〇</v>
      </c>
    </row>
    <row r="604" s="162" customFormat="true" ht="19.5" hidden="false" customHeight="true" outlineLevel="0" collapsed="false">
      <c r="A604" s="174" t="s">
        <v>496</v>
      </c>
      <c r="B604" s="175"/>
      <c r="C604" s="176"/>
      <c r="D604" s="175"/>
      <c r="E604" s="177"/>
      <c r="F604" s="178"/>
      <c r="G604" s="179"/>
      <c r="H604" s="175"/>
      <c r="I604" s="177"/>
      <c r="J604" s="181"/>
      <c r="K604" s="182"/>
      <c r="L604" s="183"/>
      <c r="M604" s="181"/>
      <c r="N604" s="182"/>
      <c r="O604" s="183"/>
      <c r="P604" s="181"/>
      <c r="Q604" s="162" t="str">
        <f aca="false">IF(P539=P604,"〇","×")</f>
        <v>〇</v>
      </c>
    </row>
    <row r="605" s="162" customFormat="true" ht="19.5" hidden="false" customHeight="true" outlineLevel="0" collapsed="false">
      <c r="A605" s="174" t="s">
        <v>496</v>
      </c>
      <c r="B605" s="164"/>
      <c r="C605" s="165"/>
      <c r="D605" s="164"/>
      <c r="E605" s="166"/>
      <c r="F605" s="167"/>
      <c r="G605" s="168"/>
      <c r="H605" s="164"/>
      <c r="I605" s="166"/>
      <c r="J605" s="171"/>
      <c r="K605" s="185"/>
      <c r="L605" s="186"/>
      <c r="M605" s="171"/>
      <c r="N605" s="185"/>
      <c r="O605" s="186"/>
      <c r="P605" s="171"/>
      <c r="Q605" s="162" t="str">
        <f aca="false">IF(P540=P605,"〇","×")</f>
        <v>〇</v>
      </c>
    </row>
    <row r="606" s="162" customFormat="true" ht="19.5" hidden="false" customHeight="true" outlineLevel="0" collapsed="false">
      <c r="A606" s="187" t="s">
        <v>496</v>
      </c>
      <c r="B606" s="188"/>
      <c r="C606" s="189"/>
      <c r="D606" s="188"/>
      <c r="E606" s="190"/>
      <c r="F606" s="191"/>
      <c r="G606" s="192"/>
      <c r="H606" s="175"/>
      <c r="I606" s="193"/>
      <c r="J606" s="194"/>
      <c r="K606" s="182"/>
      <c r="L606" s="183"/>
      <c r="M606" s="194"/>
      <c r="N606" s="182"/>
      <c r="O606" s="183"/>
      <c r="P606" s="194"/>
      <c r="Q606" s="162" t="str">
        <f aca="false">IF(P541=P606,"〇","×")</f>
        <v>〇</v>
      </c>
    </row>
    <row r="607" s="162" customFormat="true" ht="19.5" hidden="false" customHeight="true" outlineLevel="0" collapsed="false">
      <c r="A607" s="196" t="s">
        <v>497</v>
      </c>
      <c r="B607" s="197" t="n">
        <f aca="false">SUM(B591:B606)</f>
        <v>658619118</v>
      </c>
      <c r="C607" s="198" t="n">
        <f aca="false">SUM(C591:C606)</f>
        <v>53994420</v>
      </c>
      <c r="D607" s="197" t="n">
        <f aca="false">SUM(D591:D606)</f>
        <v>951354142</v>
      </c>
      <c r="E607" s="199" t="n">
        <f aca="false">SUM(E591:E606)</f>
        <v>53001795</v>
      </c>
      <c r="F607" s="200" t="n">
        <f aca="false">SUM(F591:F606)</f>
        <v>671019</v>
      </c>
      <c r="G607" s="201" t="n">
        <f aca="false">SUM(B607:F607)</f>
        <v>1717640494</v>
      </c>
      <c r="H607" s="197" t="n">
        <f aca="false">SUM(H591:H606)</f>
        <v>493081109</v>
      </c>
      <c r="I607" s="198" t="n">
        <f aca="false">SUM(I591:I606)</f>
        <v>494576953</v>
      </c>
      <c r="J607" s="200" t="n">
        <f aca="false">SUM(H607:I607)</f>
        <v>987658062</v>
      </c>
      <c r="K607" s="197" t="n">
        <f aca="false">SUM(K591:K606)</f>
        <v>44415962</v>
      </c>
      <c r="L607" s="198" t="n">
        <f aca="false">SUM(L591:L606)</f>
        <v>43552755</v>
      </c>
      <c r="M607" s="200" t="n">
        <f aca="false">SUM(K607:L607)</f>
        <v>87968717</v>
      </c>
      <c r="N607" s="197" t="n">
        <f aca="false">SUM(N591:N606)</f>
        <v>12</v>
      </c>
      <c r="O607" s="198" t="n">
        <f aca="false">SUM(O591:O606)</f>
        <v>12</v>
      </c>
      <c r="P607" s="200" t="n">
        <f aca="false">SUM(N607:O607)</f>
        <v>24</v>
      </c>
      <c r="Q607" s="162" t="str">
        <f aca="false">IF(P542=P607,"〇","×")</f>
        <v>〇</v>
      </c>
    </row>
    <row r="608" s="135" customFormat="true" ht="20.1" hidden="false" customHeight="true" outlineLevel="0" collapsed="false">
      <c r="A608" s="202" t="s">
        <v>180</v>
      </c>
      <c r="B608" s="336"/>
      <c r="C608" s="333"/>
      <c r="D608" s="324"/>
      <c r="E608" s="328"/>
      <c r="F608" s="333"/>
      <c r="G608" s="327" t="n">
        <f aca="false">SUM(B608:F608)</f>
        <v>0</v>
      </c>
      <c r="H608" s="336"/>
      <c r="I608" s="329"/>
      <c r="J608" s="421" t="n">
        <f aca="false">SUM(H608:I608)</f>
        <v>0</v>
      </c>
      <c r="K608" s="336"/>
      <c r="L608" s="365"/>
      <c r="M608" s="327" t="n">
        <f aca="false">SUM(K608:L608)</f>
        <v>0</v>
      </c>
      <c r="N608" s="336"/>
      <c r="O608" s="365"/>
      <c r="P608" s="327" t="n">
        <f aca="false">SUM(N608:O608)</f>
        <v>0</v>
      </c>
      <c r="Q608" s="135" t="str">
        <f aca="false">IF(P543=P608,"〇","×")</f>
        <v>〇</v>
      </c>
      <c r="R608" s="135" t="str">
        <f aca="false">IFERROR(INDEX(報告入力!$C$7:$C$696,MATCH($S$587&amp;"|"&amp;$A608,報告入力!$CM$7:$CM$696,0)),"")</f>
        <v>報告なし</v>
      </c>
    </row>
    <row r="609" s="135" customFormat="true" ht="20.1" hidden="false" customHeight="true" outlineLevel="0" collapsed="false">
      <c r="A609" s="125" t="s">
        <v>182</v>
      </c>
      <c r="B609" s="240" t="n">
        <f aca="false">SUMIFS(報告入力!$AY$7:$AY$696,報告入力!$A$7:$A$696,$S$587,報告入力!$B$7:$B$696,$A609)</f>
        <v>0</v>
      </c>
      <c r="C609" s="237" t="n">
        <f aca="false">SUMIFS(報告入力!$AZ$7:$AZ$696,報告入力!$A$7:$A$696,$S$587,報告入力!$B$7:$B$696,$A609)</f>
        <v>0</v>
      </c>
      <c r="D609" s="203" t="n">
        <f aca="false">SUMIFS(報告入力!$BA$7:$BA$696,報告入力!$A$7:$A$696,$S$587,報告入力!$B$7:$B$696,$A609)</f>
        <v>1159671</v>
      </c>
      <c r="E609" s="207" t="n">
        <f aca="false">SUMIFS(報告入力!$BB$7:$BB$696,報告入力!$A$7:$A$696,$S$587,報告入力!$B$7:$B$696,$A609)</f>
        <v>95056</v>
      </c>
      <c r="F609" s="237" t="n">
        <f aca="false">SUMIFS(報告入力!$BC$7:$BC$696,報告入力!$A$7:$A$696,$S$587,報告入力!$B$7:$B$696,$A609)</f>
        <v>1306</v>
      </c>
      <c r="G609" s="206" t="n">
        <f aca="false">SUM(B609:F609)</f>
        <v>1256033</v>
      </c>
      <c r="H609" s="240" t="n">
        <f aca="false">SUMIFS(報告入力!$BD$7:$BD$696,報告入力!$A$7:$A$696,$S$587,報告入力!$B$7:$B$696,$A609)</f>
        <v>0</v>
      </c>
      <c r="I609" s="208" t="n">
        <f aca="false">SUMIFS(報告入力!$BE$7:$BE$696,報告入力!$A$7:$A$696,$S$587,報告入力!$B$7:$B$696,$A609)</f>
        <v>698465</v>
      </c>
      <c r="J609" s="418" t="n">
        <f aca="false">SUM(H609:I609)</f>
        <v>698465</v>
      </c>
      <c r="K609" s="240" t="n">
        <f aca="false">SUMIFS(報告入力!$BF$7:$BF$696,報告入力!$A$7:$A$696,$S$587,報告入力!$B$7:$B$696,$A609)</f>
        <v>0</v>
      </c>
      <c r="L609" s="387" t="n">
        <f aca="false">SUMIFS(報告入力!$BG$7:$BG$696,報告入力!$A$7:$A$696,$S$587,報告入力!$B$7:$B$696,$A609)</f>
        <v>95329</v>
      </c>
      <c r="M609" s="206" t="n">
        <f aca="false">SUM(K609:L609)</f>
        <v>95329</v>
      </c>
      <c r="N609" s="240" t="n">
        <f aca="false">SUMIFS(報告入力!$BH$7:$BH$696,報告入力!$A$7:$A$696,$S$587,報告入力!$B$7:$B$696,$A609)</f>
        <v>0</v>
      </c>
      <c r="O609" s="387" t="n">
        <f aca="false">SUMIFS(報告入力!$BI$7:$BI$696,報告入力!$A$7:$A$696,$S$587,報告入力!$B$7:$B$696,$A609)</f>
        <v>1</v>
      </c>
      <c r="P609" s="206" t="n">
        <f aca="false">SUM(N609:O609)</f>
        <v>1</v>
      </c>
      <c r="Q609" s="135" t="str">
        <f aca="false">IF(P544=P609,"〇","×")</f>
        <v>〇</v>
      </c>
      <c r="R609" s="135" t="str">
        <f aca="false">IFERROR(INDEX(報告入力!$C$7:$C$696,MATCH($S$587&amp;"|"&amp;$A609,報告入力!$CM$7:$CM$696,0)),"")</f>
        <v>未受領</v>
      </c>
    </row>
    <row r="610" s="135" customFormat="true" ht="20.1" hidden="false" customHeight="true" outlineLevel="0" collapsed="false">
      <c r="A610" s="125" t="s">
        <v>183</v>
      </c>
      <c r="B610" s="211"/>
      <c r="C610" s="212"/>
      <c r="D610" s="203" t="n">
        <f aca="false">SUMIFS(報告入力!$BA$7:$BA$696,報告入力!$A$7:$A$696,$S$587,報告入力!$B$7:$B$696,$A610)</f>
        <v>3806683</v>
      </c>
      <c r="E610" s="207" t="n">
        <f aca="false">SUMIFS(報告入力!$BB$7:$BB$696,報告入力!$A$7:$A$696,$S$587,報告入力!$B$7:$B$696,$A610)</f>
        <v>312018</v>
      </c>
      <c r="F610" s="237" t="n">
        <f aca="false">SUMIFS(報告入力!$BC$7:$BC$696,報告入力!$A$7:$A$696,$S$587,報告入力!$B$7:$B$696,$A610)</f>
        <v>3974</v>
      </c>
      <c r="G610" s="206" t="n">
        <f aca="false">SUM(B610:F610)</f>
        <v>4122675</v>
      </c>
      <c r="H610" s="288"/>
      <c r="I610" s="208" t="n">
        <f aca="false">SUMIFS(報告入力!$BE$7:$BE$696,報告入力!$A$7:$A$696,$S$587,報告入力!$B$7:$B$696,$A610)</f>
        <v>2319101</v>
      </c>
      <c r="J610" s="418" t="n">
        <f aca="false">SUM(H610:I610)</f>
        <v>2319101</v>
      </c>
      <c r="K610" s="211"/>
      <c r="L610" s="387" t="n">
        <f aca="false">SUMIFS(報告入力!$BG$7:$BG$696,報告入力!$A$7:$A$696,$S$587,報告入力!$B$7:$B$696,$A610)</f>
        <v>255827</v>
      </c>
      <c r="M610" s="206" t="n">
        <f aca="false">SUM(K610:L610)</f>
        <v>255827</v>
      </c>
      <c r="N610" s="211"/>
      <c r="O610" s="387" t="n">
        <f aca="false">SUMIFS(報告入力!$BI$7:$BI$696,報告入力!$A$7:$A$696,$S$587,報告入力!$B$7:$B$696,$A610)</f>
        <v>1</v>
      </c>
      <c r="P610" s="206" t="n">
        <f aca="false">SUM(N610:O610)</f>
        <v>1</v>
      </c>
      <c r="Q610" s="135" t="str">
        <f aca="false">IF(P545=P610,"〇","×")</f>
        <v>〇</v>
      </c>
      <c r="R610" s="135" t="str">
        <f aca="false">IFERROR(INDEX(報告入力!$C$7:$C$696,MATCH($S$587&amp;"|"&amp;$A610,報告入力!$CM$7:$CM$696,0)),"")</f>
        <v>未受領</v>
      </c>
    </row>
    <row r="611" s="135" customFormat="true" ht="20.1" hidden="false" customHeight="true" outlineLevel="0" collapsed="false">
      <c r="A611" s="125" t="s">
        <v>184</v>
      </c>
      <c r="B611" s="211"/>
      <c r="C611" s="212"/>
      <c r="D611" s="203" t="n">
        <f aca="false">SUMIFS(報告入力!$BA$7:$BA$696,報告入力!$A$7:$A$696,$S$587,報告入力!$B$7:$B$696,$A611)</f>
        <v>102755</v>
      </c>
      <c r="E611" s="207" t="n">
        <f aca="false">SUMIFS(報告入力!$BB$7:$BB$696,報告入力!$A$7:$A$696,$S$587,報告入力!$B$7:$B$696,$A611)</f>
        <v>8422</v>
      </c>
      <c r="F611" s="237" t="n">
        <f aca="false">SUMIFS(報告入力!$BC$7:$BC$696,報告入力!$A$7:$A$696,$S$587,報告入力!$B$7:$B$696,$A611)</f>
        <v>105</v>
      </c>
      <c r="G611" s="206" t="n">
        <f aca="false">SUM(B611:F611)</f>
        <v>111282</v>
      </c>
      <c r="H611" s="288"/>
      <c r="I611" s="208" t="n">
        <f aca="false">SUMIFS(報告入力!$BE$7:$BE$696,報告入力!$A$7:$A$696,$S$587,報告入力!$B$7:$B$696,$A611)</f>
        <v>61888</v>
      </c>
      <c r="J611" s="418" t="n">
        <f aca="false">SUM(H611:I611)</f>
        <v>61888</v>
      </c>
      <c r="K611" s="211"/>
      <c r="L611" s="207" t="n">
        <f aca="false">SUMIFS(報告入力!$BG$7:$BG$696,報告入力!$A$7:$A$696,$S$587,報告入力!$B$7:$B$696,$A611)</f>
        <v>8871</v>
      </c>
      <c r="M611" s="418" t="n">
        <f aca="false">SUM(K611:L611)</f>
        <v>8871</v>
      </c>
      <c r="N611" s="211"/>
      <c r="O611" s="207" t="n">
        <f aca="false">SUMIFS(報告入力!$BI$7:$BI$696,報告入力!$A$7:$A$696,$S$587,報告入力!$B$7:$B$696,$A611)</f>
        <v>1</v>
      </c>
      <c r="P611" s="418" t="n">
        <f aca="false">SUM(N611:O611)</f>
        <v>1</v>
      </c>
      <c r="Q611" s="135" t="str">
        <f aca="false">IF(P546=P611,"〇","×")</f>
        <v>〇</v>
      </c>
      <c r="R611" s="135" t="str">
        <f aca="false">IFERROR(INDEX(報告入力!$C$7:$C$696,MATCH($S$587&amp;"|"&amp;$A611,報告入力!$CM$7:$CM$696,0)),"")</f>
        <v>未受領</v>
      </c>
    </row>
    <row r="612" s="135" customFormat="true" ht="20.1" hidden="false" customHeight="true" outlineLevel="0" collapsed="false">
      <c r="A612" s="214" t="s">
        <v>185</v>
      </c>
      <c r="B612" s="211"/>
      <c r="C612" s="212"/>
      <c r="D612" s="203" t="n">
        <f aca="false">SUMIFS(報告入力!$BA$7:$BA$696,報告入力!$A$7:$A$696,$S$587,報告入力!$B$7:$B$696,$A612)</f>
        <v>847109</v>
      </c>
      <c r="E612" s="207" t="n">
        <f aca="false">SUMIFS(報告入力!$BB$7:$BB$696,報告入力!$A$7:$A$696,$S$587,報告入力!$B$7:$B$696,$A612)</f>
        <v>69435</v>
      </c>
      <c r="F612" s="237" t="n">
        <f aca="false">SUMIFS(報告入力!$BC$7:$BC$696,報告入力!$A$7:$A$696,$S$587,報告入力!$B$7:$B$696,$A612)</f>
        <v>868</v>
      </c>
      <c r="G612" s="206" t="n">
        <f aca="false">SUM(B612:F612)</f>
        <v>917412</v>
      </c>
      <c r="H612" s="288"/>
      <c r="I612" s="208" t="n">
        <f aca="false">SUMIFS(報告入力!$BE$7:$BE$696,報告入力!$A$7:$A$696,$S$587,報告入力!$B$7:$B$696,$A612)</f>
        <v>510207</v>
      </c>
      <c r="J612" s="418" t="n">
        <f aca="false">SUM(H612:I612)</f>
        <v>510207</v>
      </c>
      <c r="K612" s="288"/>
      <c r="L612" s="208" t="n">
        <f aca="false">SUMIFS(報告入力!$BG$7:$BG$696,報告入力!$A$7:$A$696,$S$587,報告入力!$B$7:$B$696,$A612)</f>
        <v>68753</v>
      </c>
      <c r="M612" s="418" t="n">
        <f aca="false">SUM(K612:L612)</f>
        <v>68753</v>
      </c>
      <c r="N612" s="288"/>
      <c r="O612" s="208" t="n">
        <f aca="false">SUMIFS(報告入力!$BI$7:$BI$696,報告入力!$A$7:$A$696,$S$587,報告入力!$B$7:$B$696,$A612)</f>
        <v>1</v>
      </c>
      <c r="P612" s="418" t="n">
        <f aca="false">SUM(N612:O612)</f>
        <v>1</v>
      </c>
      <c r="Q612" s="135" t="str">
        <f aca="false">IF(P547=P612,"〇","×")</f>
        <v>〇</v>
      </c>
      <c r="R612" s="135" t="str">
        <f aca="false">IFERROR(INDEX(報告入力!$C$7:$C$696,MATCH($S$587&amp;"|"&amp;$A612,報告入力!$CM$7:$CM$696,0)),"")</f>
        <v>未受領</v>
      </c>
    </row>
    <row r="613" s="135" customFormat="true" ht="20.1" hidden="false" customHeight="true" outlineLevel="0" collapsed="false">
      <c r="A613" s="146" t="s">
        <v>186</v>
      </c>
      <c r="B613" s="211"/>
      <c r="C613" s="216"/>
      <c r="D613" s="203" t="n">
        <f aca="false">SUMIFS(報告入力!$BA$7:$BA$696,報告入力!$A$7:$A$696,$S$587,報告入力!$B$7:$B$696,$A613)</f>
        <v>183641</v>
      </c>
      <c r="E613" s="207" t="n">
        <f aca="false">SUMIFS(報告入力!$BB$7:$BB$696,報告入力!$A$7:$A$696,$S$587,報告入力!$B$7:$B$696,$A613)</f>
        <v>15052</v>
      </c>
      <c r="F613" s="237" t="n">
        <f aca="false">SUMIFS(報告入力!$BC$7:$BC$696,報告入力!$A$7:$A$696,$S$587,報告入力!$B$7:$B$696,$A613)</f>
        <v>188</v>
      </c>
      <c r="G613" s="206" t="n">
        <f aca="false">SUM(B613:F613)</f>
        <v>198881</v>
      </c>
      <c r="H613" s="288"/>
      <c r="I613" s="208" t="n">
        <f aca="false">SUMIFS(報告入力!$BE$7:$BE$696,報告入力!$A$7:$A$696,$S$587,報告入力!$B$7:$B$696,$A613)</f>
        <v>110605</v>
      </c>
      <c r="J613" s="418" t="n">
        <f aca="false">SUM(H613:I613)</f>
        <v>110605</v>
      </c>
      <c r="K613" s="288"/>
      <c r="L613" s="208" t="n">
        <f aca="false">SUMIFS(報告入力!$BG$7:$BG$696,報告入力!$A$7:$A$696,$S$587,報告入力!$B$7:$B$696,$A613)</f>
        <v>15855</v>
      </c>
      <c r="M613" s="418" t="n">
        <f aca="false">SUM(K613:L613)</f>
        <v>15855</v>
      </c>
      <c r="N613" s="288"/>
      <c r="O613" s="208" t="n">
        <f aca="false">SUMIFS(報告入力!$BI$7:$BI$696,報告入力!$A$7:$A$696,$S$587,報告入力!$B$7:$B$696,$A613)</f>
        <v>1</v>
      </c>
      <c r="P613" s="418" t="n">
        <f aca="false">SUM(N613:O613)</f>
        <v>1</v>
      </c>
      <c r="Q613" s="135" t="str">
        <f aca="false">IF(P548=P613,"〇","×")</f>
        <v>〇</v>
      </c>
      <c r="R613" s="135" t="str">
        <f aca="false">IFERROR(INDEX(報告入力!$C$7:$C$696,MATCH($S$587&amp;"|"&amp;$A613,報告入力!$CM$7:$CM$696,0)),"")</f>
        <v>未受領</v>
      </c>
    </row>
    <row r="614" s="135" customFormat="true" ht="20.1" hidden="false" customHeight="true" outlineLevel="0" collapsed="false">
      <c r="A614" s="146" t="s">
        <v>187</v>
      </c>
      <c r="B614" s="211"/>
      <c r="C614" s="216"/>
      <c r="D614" s="203" t="n">
        <f aca="false">SUMIFS(報告入力!$BA$7:$BA$696,報告入力!$A$7:$A$696,$S$587,報告入力!$B$7:$B$696,$A614)</f>
        <v>103944</v>
      </c>
      <c r="E614" s="207" t="n">
        <f aca="false">SUMIFS(報告入力!$BB$7:$BB$696,報告入力!$A$7:$A$696,$S$587,報告入力!$B$7:$B$696,$A614)</f>
        <v>8520</v>
      </c>
      <c r="F614" s="237" t="n">
        <f aca="false">SUMIFS(報告入力!$BC$7:$BC$696,報告入力!$A$7:$A$696,$S$587,報告入力!$B$7:$B$696,$A614)</f>
        <v>106</v>
      </c>
      <c r="G614" s="206" t="n">
        <f aca="false">SUM(B614:F614)</f>
        <v>112570</v>
      </c>
      <c r="H614" s="288"/>
      <c r="I614" s="208" t="n">
        <f aca="false">SUMIFS(報告入力!$BE$7:$BE$696,報告入力!$A$7:$A$696,$S$587,報告入力!$B$7:$B$696,$A614)</f>
        <v>62604</v>
      </c>
      <c r="J614" s="418" t="n">
        <f aca="false">SUM(H614:I614)</f>
        <v>62604</v>
      </c>
      <c r="K614" s="288"/>
      <c r="L614" s="208" t="n">
        <f aca="false">SUMIFS(報告入力!$BG$7:$BG$696,報告入力!$A$7:$A$696,$S$587,報告入力!$B$7:$B$696,$A614)</f>
        <v>8974</v>
      </c>
      <c r="M614" s="418" t="n">
        <f aca="false">SUM(K614:L614)</f>
        <v>8974</v>
      </c>
      <c r="N614" s="288"/>
      <c r="O614" s="208" t="n">
        <f aca="false">SUMIFS(報告入力!$BI$7:$BI$696,報告入力!$A$7:$A$696,$S$587,報告入力!$B$7:$B$696,$A614)</f>
        <v>1</v>
      </c>
      <c r="P614" s="418" t="n">
        <f aca="false">SUM(N614:O614)</f>
        <v>1</v>
      </c>
      <c r="Q614" s="135" t="str">
        <f aca="false">IF(P549=P614,"〇","×")</f>
        <v>〇</v>
      </c>
      <c r="R614" s="135" t="str">
        <f aca="false">IFERROR(INDEX(報告入力!$C$7:$C$696,MATCH($S$587&amp;"|"&amp;$A614,報告入力!$CM$7:$CM$696,0)),"")</f>
        <v>未受領</v>
      </c>
    </row>
    <row r="615" s="135" customFormat="true" ht="20.1" hidden="false" customHeight="true" outlineLevel="0" collapsed="false">
      <c r="A615" s="217" t="s">
        <v>188</v>
      </c>
      <c r="B615" s="211"/>
      <c r="C615" s="218"/>
      <c r="D615" s="203" t="n">
        <f aca="false">SUMIFS(報告入力!$BA$7:$BA$696,報告入力!$A$7:$A$696,$S$587,報告入力!$B$7:$B$696,$A615)</f>
        <v>252084</v>
      </c>
      <c r="E615" s="207" t="n">
        <f aca="false">SUMIFS(報告入力!$BB$7:$BB$696,報告入力!$A$7:$A$696,$S$587,報告入力!$B$7:$B$696,$A615)</f>
        <v>20662</v>
      </c>
      <c r="F615" s="237" t="n">
        <f aca="false">SUMIFS(報告入力!$BC$7:$BC$696,報告入力!$A$7:$A$696,$S$587,報告入力!$B$7:$B$696,$A615)</f>
        <v>258</v>
      </c>
      <c r="G615" s="206" t="n">
        <f aca="false">SUM(B615:F615)</f>
        <v>273004</v>
      </c>
      <c r="H615" s="288"/>
      <c r="I615" s="208" t="n">
        <f aca="false">SUMIFS(報告入力!$BE$7:$BE$696,報告入力!$A$7:$A$696,$S$587,報告入力!$B$7:$B$696,$A615)</f>
        <v>151828</v>
      </c>
      <c r="J615" s="418" t="n">
        <f aca="false">SUM(H615:I615)</f>
        <v>151828</v>
      </c>
      <c r="K615" s="226"/>
      <c r="L615" s="207" t="n">
        <f aca="false">SUMIFS(報告入力!$BG$7:$BG$696,報告入力!$A$7:$A$696,$S$587,報告入力!$B$7:$B$696,$A615)</f>
        <v>14788</v>
      </c>
      <c r="M615" s="418" t="n">
        <f aca="false">SUM(K615:L615)</f>
        <v>14788</v>
      </c>
      <c r="N615" s="226"/>
      <c r="O615" s="207" t="n">
        <f aca="false">SUMIFS(報告入力!$BI$7:$BI$696,報告入力!$A$7:$A$696,$S$587,報告入力!$B$7:$B$696,$A615)</f>
        <v>1</v>
      </c>
      <c r="P615" s="418" t="n">
        <f aca="false">SUM(N615:O615)</f>
        <v>1</v>
      </c>
      <c r="Q615" s="135" t="str">
        <f aca="false">IF(P550=P615,"〇","×")</f>
        <v>〇</v>
      </c>
      <c r="R615" s="135" t="str">
        <f aca="false">IFERROR(INDEX(報告入力!$C$7:$C$696,MATCH($S$587&amp;"|"&amp;$A615,報告入力!$CM$7:$CM$696,0)),"")</f>
        <v>未受領</v>
      </c>
    </row>
    <row r="616" s="135" customFormat="true" ht="20.1" hidden="false" customHeight="true" outlineLevel="0" collapsed="false">
      <c r="A616" s="125" t="s">
        <v>189</v>
      </c>
      <c r="B616" s="240" t="n">
        <f aca="false">SUMIFS(報告入力!$AY$7:$AY$696,報告入力!$A$7:$A$696,$S$587,報告入力!$B$7:$B$696,$A616)</f>
        <v>475616</v>
      </c>
      <c r="C616" s="237" t="n">
        <f aca="false">SUMIFS(報告入力!$AZ$7:$AZ$696,報告入力!$A$7:$A$696,$S$587,報告入力!$B$7:$B$696,$A616)</f>
        <v>38984</v>
      </c>
      <c r="D616" s="203" t="n">
        <f aca="false">SUMIFS(報告入力!$BA$7:$BA$696,報告入力!$A$7:$A$696,$S$587,報告入力!$B$7:$B$696,$A616)</f>
        <v>475618</v>
      </c>
      <c r="E616" s="207" t="n">
        <f aca="false">SUMIFS(報告入力!$BB$7:$BB$696,報告入力!$A$7:$A$696,$S$587,報告入力!$B$7:$B$696,$A616)</f>
        <v>38985</v>
      </c>
      <c r="F616" s="237" t="n">
        <f aca="false">SUMIFS(報告入力!$BC$7:$BC$696,報告入力!$A$7:$A$696,$S$587,報告入力!$B$7:$B$696,$A616)</f>
        <v>488</v>
      </c>
      <c r="G616" s="206" t="n">
        <f aca="false">SUM(B616:F616)</f>
        <v>1029691</v>
      </c>
      <c r="H616" s="240" t="n">
        <f aca="false">SUMIFS(報告入力!$BD$7:$BD$696,報告入力!$A$7:$A$696,$S$587,報告入力!$B$7:$B$696,$A616)</f>
        <v>285940</v>
      </c>
      <c r="I616" s="208" t="n">
        <f aca="false">SUMIFS(報告入力!$BE$7:$BE$696,報告入力!$A$7:$A$696,$S$587,報告入力!$B$7:$B$696,$A616)</f>
        <v>286461</v>
      </c>
      <c r="J616" s="418" t="n">
        <f aca="false">SUM(H616:I616)</f>
        <v>572401</v>
      </c>
      <c r="K616" s="203" t="n">
        <f aca="false">SUMIFS(報告入力!$BF$7:$BF$696,報告入力!$A$7:$A$696,$S$587,報告入力!$B$7:$B$696,$A616)</f>
        <v>19433</v>
      </c>
      <c r="L616" s="387" t="n">
        <f aca="false">SUMIFS(報告入力!$BG$7:$BG$696,報告入力!$A$7:$A$696,$S$587,報告入力!$B$7:$B$696,$A616)</f>
        <v>19434</v>
      </c>
      <c r="M616" s="206" t="n">
        <f aca="false">SUM(K616:L616)</f>
        <v>38867</v>
      </c>
      <c r="N616" s="203" t="n">
        <f aca="false">SUMIFS(報告入力!$BH$7:$BH$696,報告入力!$A$7:$A$696,$S$587,報告入力!$B$7:$B$696,$A616)</f>
        <v>1</v>
      </c>
      <c r="O616" s="387" t="n">
        <f aca="false">SUMIFS(報告入力!$BI$7:$BI$696,報告入力!$A$7:$A$696,$S$587,報告入力!$B$7:$B$696,$A616)</f>
        <v>1</v>
      </c>
      <c r="P616" s="206" t="n">
        <f aca="false">SUM(N616:O616)</f>
        <v>2</v>
      </c>
      <c r="Q616" s="135" t="str">
        <f aca="false">IF(P551=P616,"〇","×")</f>
        <v>〇</v>
      </c>
      <c r="R616" s="135" t="str">
        <f aca="false">IFERROR(INDEX(報告入力!$C$7:$C$696,MATCH($S$587&amp;"|"&amp;$A616,報告入力!$CM$7:$CM$696,0)),"")</f>
        <v>未受領</v>
      </c>
    </row>
    <row r="617" s="135" customFormat="true" ht="20.1" hidden="false" customHeight="true" outlineLevel="0" collapsed="false">
      <c r="A617" s="219" t="s">
        <v>190</v>
      </c>
      <c r="B617" s="203" t="n">
        <f aca="false">SUMIFS(報告入力!$AY$7:$AY$696,報告入力!$A$7:$A$696,$S$587,報告入力!$B$7:$B$696,$A617)</f>
        <v>66246</v>
      </c>
      <c r="C617" s="237" t="n">
        <f aca="false">SUMIFS(報告入力!$AZ$7:$AZ$696,報告入力!$A$7:$A$696,$S$587,報告入力!$B$7:$B$696,$A617)</f>
        <v>5430</v>
      </c>
      <c r="D617" s="203" t="n">
        <f aca="false">SUMIFS(報告入力!$BA$7:$BA$696,報告入力!$A$7:$A$696,$S$587,報告入力!$B$7:$B$696,$A617)</f>
        <v>66246</v>
      </c>
      <c r="E617" s="207" t="n">
        <f aca="false">SUMIFS(報告入力!$BB$7:$BB$696,報告入力!$A$7:$A$696,$S$587,報告入力!$B$7:$B$696,$A617)</f>
        <v>5430</v>
      </c>
      <c r="F617" s="237" t="n">
        <f aca="false">SUMIFS(報告入力!$BC$7:$BC$696,報告入力!$A$7:$A$696,$S$587,報告入力!$B$7:$B$696,$A617)</f>
        <v>67</v>
      </c>
      <c r="G617" s="206" t="n">
        <f aca="false">SUM(B617:F617)</f>
        <v>143419</v>
      </c>
      <c r="H617" s="287" t="n">
        <f aca="false">SUMIFS(報告入力!$BD$7:$BD$696,報告入力!$A$7:$A$696,$S$587,報告入力!$B$7:$B$696,$A617)</f>
        <v>39827</v>
      </c>
      <c r="I617" s="208" t="n">
        <f aca="false">SUMIFS(報告入力!$BE$7:$BE$696,報告入力!$A$7:$A$696,$S$587,報告入力!$B$7:$B$696,$A617)</f>
        <v>39899</v>
      </c>
      <c r="J617" s="418" t="n">
        <f aca="false">SUM(H617:I617)</f>
        <v>79726</v>
      </c>
      <c r="K617" s="203" t="n">
        <f aca="false">SUMIFS(報告入力!$BF$7:$BF$696,報告入力!$A$7:$A$696,$S$587,報告入力!$B$7:$B$696,$A617)</f>
        <v>0</v>
      </c>
      <c r="L617" s="207" t="n">
        <f aca="false">SUMIFS(報告入力!$BG$7:$BG$696,報告入力!$A$7:$A$696,$S$587,報告入力!$B$7:$B$696,$A617)</f>
        <v>0</v>
      </c>
      <c r="M617" s="418" t="n">
        <f aca="false">SUM(K617:L617)</f>
        <v>0</v>
      </c>
      <c r="N617" s="203" t="n">
        <f aca="false">SUMIFS(報告入力!$BH$7:$BH$696,報告入力!$A$7:$A$696,$S$587,報告入力!$B$7:$B$696,$A617)</f>
        <v>1</v>
      </c>
      <c r="O617" s="207" t="n">
        <f aca="false">SUMIFS(報告入力!$BI$7:$BI$696,報告入力!$A$7:$A$696,$S$587,報告入力!$B$7:$B$696,$A617)</f>
        <v>1</v>
      </c>
      <c r="P617" s="418" t="n">
        <f aca="false">SUM(N617:O617)</f>
        <v>2</v>
      </c>
      <c r="Q617" s="135" t="str">
        <f aca="false">IF(P552=P617,"〇","×")</f>
        <v>〇</v>
      </c>
      <c r="R617" s="135" t="str">
        <f aca="false">IFERROR(INDEX(報告入力!$C$7:$C$696,MATCH($S$587&amp;"|"&amp;$A617,報告入力!$CM$7:$CM$696,0)),"")</f>
        <v>未受領</v>
      </c>
    </row>
    <row r="618" s="135" customFormat="true" ht="20.1" hidden="false" customHeight="true" outlineLevel="0" collapsed="false">
      <c r="A618" s="222" t="s">
        <v>191</v>
      </c>
      <c r="B618" s="240" t="n">
        <f aca="false">SUMIFS(報告入力!$AY$7:$AY$696,報告入力!$A$7:$A$696,$S$587,報告入力!$B$7:$B$696,$A618)</f>
        <v>171562</v>
      </c>
      <c r="C618" s="237" t="n">
        <f aca="false">SUMIFS(報告入力!$AZ$7:$AZ$696,報告入力!$A$7:$A$696,$S$587,報告入力!$B$7:$B$696,$A618)</f>
        <v>14062</v>
      </c>
      <c r="D618" s="203" t="n">
        <f aca="false">SUMIFS(報告入力!$BA$7:$BA$696,報告入力!$A$7:$A$696,$S$587,報告入力!$B$7:$B$696,$A618)</f>
        <v>171563</v>
      </c>
      <c r="E618" s="207" t="n">
        <f aca="false">SUMIFS(報告入力!$BB$7:$BB$696,報告入力!$A$7:$A$696,$S$587,報告入力!$B$7:$B$696,$A618)</f>
        <v>14062</v>
      </c>
      <c r="F618" s="237" t="n">
        <f aca="false">SUMIFS(報告入力!$BC$7:$BC$696,報告入力!$A$7:$A$696,$S$587,報告入力!$B$7:$B$696,$A618)</f>
        <v>176</v>
      </c>
      <c r="G618" s="206" t="n">
        <f aca="false">SUM(B618:F618)</f>
        <v>371425</v>
      </c>
      <c r="H618" s="240" t="n">
        <f aca="false">SUMIFS(報告入力!$BD$7:$BD$696,報告入力!$A$7:$A$696,$S$587,報告入力!$B$7:$B$696,$A618)</f>
        <v>103142</v>
      </c>
      <c r="I618" s="208" t="n">
        <f aca="false">SUMIFS(報告入力!$BE$7:$BE$696,報告入力!$A$7:$A$696,$S$587,報告入力!$B$7:$B$696,$A618)</f>
        <v>103331</v>
      </c>
      <c r="J618" s="418" t="n">
        <f aca="false">SUM(H618:I618)</f>
        <v>206473</v>
      </c>
      <c r="K618" s="203" t="n">
        <f aca="false">SUMIFS(報告入力!$BF$7:$BF$696,報告入力!$A$7:$A$696,$S$587,報告入力!$B$7:$B$696,$A618)</f>
        <v>7828</v>
      </c>
      <c r="L618" s="387" t="n">
        <f aca="false">SUMIFS(報告入力!$BG$7:$BG$696,報告入力!$A$7:$A$696,$S$587,報告入力!$B$7:$B$696,$A618)</f>
        <v>7828</v>
      </c>
      <c r="M618" s="206" t="n">
        <f aca="false">SUM(K618:L618)</f>
        <v>15656</v>
      </c>
      <c r="N618" s="203" t="n">
        <f aca="false">SUMIFS(報告入力!$BH$7:$BH$696,報告入力!$A$7:$A$696,$S$587,報告入力!$B$7:$B$696,$A618)</f>
        <v>1</v>
      </c>
      <c r="O618" s="387" t="n">
        <f aca="false">SUMIFS(報告入力!$BI$7:$BI$696,報告入力!$A$7:$A$696,$S$587,報告入力!$B$7:$B$696,$A618)</f>
        <v>1</v>
      </c>
      <c r="P618" s="206" t="n">
        <f aca="false">SUM(N618:O618)</f>
        <v>2</v>
      </c>
      <c r="Q618" s="135" t="str">
        <f aca="false">IF(P553=P618,"〇","×")</f>
        <v>〇</v>
      </c>
      <c r="R618" s="135" t="str">
        <f aca="false">IFERROR(INDEX(報告入力!$C$7:$C$696,MATCH($S$587&amp;"|"&amp;$A618,報告入力!$CM$7:$CM$696,0)),"")</f>
        <v>未受領</v>
      </c>
    </row>
    <row r="619" s="135" customFormat="true" ht="20.1" hidden="false" customHeight="true" outlineLevel="0" collapsed="false">
      <c r="A619" s="125" t="s">
        <v>192</v>
      </c>
      <c r="B619" s="240" t="n">
        <f aca="false">SUMIFS(報告入力!$AY$7:$AY$696,報告入力!$A$7:$A$696,$S$587,報告入力!$B$7:$B$696,$A619)</f>
        <v>1785344</v>
      </c>
      <c r="C619" s="237" t="n">
        <f aca="false">SUMIFS(報告入力!$AZ$7:$AZ$696,報告入力!$A$7:$A$696,$S$587,報告入力!$B$7:$B$696,$A619)</f>
        <v>146336</v>
      </c>
      <c r="D619" s="203" t="n">
        <f aca="false">SUMIFS(報告入力!$BA$7:$BA$696,報告入力!$A$7:$A$696,$S$587,報告入力!$B$7:$B$696,$A619)</f>
        <v>1785348</v>
      </c>
      <c r="E619" s="207" t="n">
        <f aca="false">SUMIFS(報告入力!$BB$7:$BB$696,報告入力!$A$7:$A$696,$S$587,報告入力!$B$7:$B$696,$A619)</f>
        <v>146340</v>
      </c>
      <c r="F619" s="237" t="n">
        <f aca="false">SUMIFS(報告入力!$BC$7:$BC$696,報告入力!$A$7:$A$696,$S$587,報告入力!$B$7:$B$696,$A619)</f>
        <v>1832</v>
      </c>
      <c r="G619" s="206" t="n">
        <f aca="false">SUM(B619:F619)</f>
        <v>3865200</v>
      </c>
      <c r="H619" s="240" t="n">
        <f aca="false">SUMIFS(報告入力!$BD$7:$BD$696,報告入力!$A$7:$A$696,$S$587,報告入力!$B$7:$B$696,$A619)</f>
        <v>1073346</v>
      </c>
      <c r="I619" s="208" t="n">
        <f aca="false">SUMIFS(報告入力!$BE$7:$BE$696,報告入力!$A$7:$A$696,$S$587,報告入力!$B$7:$B$696,$A619)</f>
        <v>1075306</v>
      </c>
      <c r="J619" s="418" t="n">
        <f aca="false">SUM(H619:I619)</f>
        <v>2148652</v>
      </c>
      <c r="K619" s="203" t="n">
        <f aca="false">SUMIFS(報告入力!$BF$7:$BF$696,報告入力!$A$7:$A$696,$S$587,報告入力!$B$7:$B$696,$A619)</f>
        <v>104204</v>
      </c>
      <c r="L619" s="387" t="n">
        <f aca="false">SUMIFS(報告入力!$BG$7:$BG$696,報告入力!$A$7:$A$696,$S$587,報告入力!$B$7:$B$696,$A619)</f>
        <v>104208</v>
      </c>
      <c r="M619" s="206" t="n">
        <f aca="false">SUM(K619:L619)</f>
        <v>208412</v>
      </c>
      <c r="N619" s="203" t="n">
        <f aca="false">SUMIFS(報告入力!$BH$7:$BH$696,報告入力!$A$7:$A$696,$S$587,報告入力!$B$7:$B$696,$A619)</f>
        <v>1</v>
      </c>
      <c r="O619" s="387" t="n">
        <f aca="false">SUMIFS(報告入力!$BI$7:$BI$696,報告入力!$A$7:$A$696,$S$587,報告入力!$B$7:$B$696,$A619)</f>
        <v>1</v>
      </c>
      <c r="P619" s="206" t="n">
        <f aca="false">SUM(N619:O619)</f>
        <v>2</v>
      </c>
      <c r="Q619" s="135" t="str">
        <f aca="false">IF(P554=P619,"〇","×")</f>
        <v>〇</v>
      </c>
      <c r="R619" s="135" t="str">
        <f aca="false">IFERROR(INDEX(報告入力!$C$7:$C$696,MATCH($S$587&amp;"|"&amp;$A619,報告入力!$CM$7:$CM$696,0)),"")</f>
        <v>未受領</v>
      </c>
    </row>
    <row r="620" s="135" customFormat="true" ht="20.1" hidden="false" customHeight="true" outlineLevel="0" collapsed="false">
      <c r="A620" s="125" t="s">
        <v>193</v>
      </c>
      <c r="B620" s="226"/>
      <c r="C620" s="216"/>
      <c r="D620" s="203" t="n">
        <f aca="false">SUMIFS(報告入力!$BA$7:$BA$696,報告入力!$A$7:$A$696,$S$587,報告入力!$B$7:$B$696,$A620)</f>
        <v>1116024</v>
      </c>
      <c r="E620" s="207" t="n">
        <f aca="false">SUMIFS(報告入力!$BB$7:$BB$696,報告入力!$A$7:$A$696,$S$587,報告入力!$B$7:$B$696,$A620)</f>
        <v>91476</v>
      </c>
      <c r="F620" s="237" t="n">
        <f aca="false">SUMIFS(報告入力!$BC$7:$BC$696,報告入力!$A$7:$A$696,$S$587,報告入力!$B$7:$B$696,$A620)</f>
        <v>1202</v>
      </c>
      <c r="G620" s="206" t="n">
        <f aca="false">SUM(B620:F620)</f>
        <v>1208702</v>
      </c>
      <c r="H620" s="422"/>
      <c r="I620" s="395" t="n">
        <f aca="false">SUMIFS(報告入力!$BE$7:$BE$696,報告入力!$A$7:$A$696,$S$587,報告入力!$B$7:$B$696,$A620)</f>
        <v>672237</v>
      </c>
      <c r="J620" s="160" t="n">
        <f aca="false">SUM(H620:I620)</f>
        <v>672237</v>
      </c>
      <c r="K620" s="288"/>
      <c r="L620" s="395" t="n">
        <f aca="false">SUMIFS(報告入力!$BG$7:$BG$696,報告入力!$A$7:$A$696,$S$587,報告入力!$B$7:$B$696,$A620)</f>
        <v>56215</v>
      </c>
      <c r="M620" s="160" t="n">
        <f aca="false">SUM(K620:L620)</f>
        <v>56215</v>
      </c>
      <c r="N620" s="288"/>
      <c r="O620" s="395" t="n">
        <f aca="false">SUMIFS(報告入力!$BI$7:$BI$696,報告入力!$A$7:$A$696,$S$587,報告入力!$B$7:$B$696,$A620)</f>
        <v>1</v>
      </c>
      <c r="P620" s="160" t="n">
        <f aca="false">SUM(N620:O620)</f>
        <v>1</v>
      </c>
      <c r="Q620" s="135" t="str">
        <f aca="false">IF(P555=P620,"〇","×")</f>
        <v>〇</v>
      </c>
      <c r="R620" s="135" t="str">
        <f aca="false">IFERROR(INDEX(報告入力!$C$7:$C$696,MATCH($S$587&amp;"|"&amp;$A620,報告入力!$CM$7:$CM$696,0)),"")</f>
        <v>未受領</v>
      </c>
    </row>
    <row r="621" s="135" customFormat="true" ht="20.1" hidden="false" customHeight="true" outlineLevel="0" collapsed="false">
      <c r="A621" s="228" t="s">
        <v>194</v>
      </c>
      <c r="B621" s="211"/>
      <c r="C621" s="218"/>
      <c r="D621" s="203" t="n">
        <f aca="false">SUMIFS(報告入力!$BA$7:$BA$696,報告入力!$A$7:$A$696,$S$587,報告入力!$B$7:$B$696,$A621)</f>
        <v>2437384</v>
      </c>
      <c r="E621" s="207" t="n">
        <f aca="false">SUMIFS(報告入力!$BB$7:$BB$696,報告入力!$A$7:$A$696,$S$587,報告入力!$B$7:$B$696,$A621)</f>
        <v>199783</v>
      </c>
      <c r="F621" s="237" t="n">
        <f aca="false">SUMIFS(報告入力!$BC$7:$BC$696,報告入力!$A$7:$A$696,$S$587,報告入力!$B$7:$B$696,$A621)</f>
        <v>2496</v>
      </c>
      <c r="G621" s="206" t="n">
        <f aca="false">SUM(B621:F621)</f>
        <v>2639663</v>
      </c>
      <c r="H621" s="288"/>
      <c r="I621" s="208" t="n">
        <f aca="false">SUMIFS(報告入力!$BE$7:$BE$696,報告入力!$A$7:$A$696,$S$587,報告入力!$B$7:$B$696,$A621)</f>
        <v>1468017</v>
      </c>
      <c r="J621" s="418" t="n">
        <f aca="false">SUM(H621:I621)</f>
        <v>1468017</v>
      </c>
      <c r="K621" s="211"/>
      <c r="L621" s="207" t="n">
        <f aca="false">SUMIFS(報告入力!$BG$7:$BG$696,報告入力!$A$7:$A$696,$S$587,報告入力!$B$7:$B$696,$A621)</f>
        <v>199629</v>
      </c>
      <c r="M621" s="418" t="n">
        <f aca="false">SUM(K621:L621)</f>
        <v>199629</v>
      </c>
      <c r="N621" s="211"/>
      <c r="O621" s="207" t="n">
        <f aca="false">SUMIFS(報告入力!$BI$7:$BI$696,報告入力!$A$7:$A$696,$S$587,報告入力!$B$7:$B$696,$A621)</f>
        <v>1</v>
      </c>
      <c r="P621" s="418" t="n">
        <f aca="false">SUM(N621:O621)</f>
        <v>1</v>
      </c>
      <c r="Q621" s="135" t="str">
        <f aca="false">IF(P556=P621,"〇","×")</f>
        <v>〇</v>
      </c>
      <c r="R621" s="135" t="str">
        <f aca="false">IFERROR(INDEX(報告入力!$C$7:$C$696,MATCH($S$587&amp;"|"&amp;$A621,報告入力!$CM$7:$CM$696,0)),"")</f>
        <v>未受領</v>
      </c>
    </row>
    <row r="622" s="135" customFormat="true" ht="20.1" hidden="false" customHeight="true" outlineLevel="0" collapsed="false">
      <c r="A622" s="229" t="s">
        <v>195</v>
      </c>
      <c r="B622" s="211"/>
      <c r="C622" s="218"/>
      <c r="D622" s="203" t="n">
        <f aca="false">SUMIFS(報告入力!$BA$7:$BA$696,報告入力!$A$7:$A$696,$S$587,報告入力!$B$7:$B$696,$A622)</f>
        <v>0</v>
      </c>
      <c r="E622" s="207" t="n">
        <f aca="false">SUMIFS(報告入力!$BB$7:$BB$696,報告入力!$A$7:$A$696,$S$587,報告入力!$B$7:$B$696,$A622)</f>
        <v>0</v>
      </c>
      <c r="F622" s="237" t="n">
        <f aca="false">SUMIFS(報告入力!$BC$7:$BC$696,報告入力!$A$7:$A$696,$S$587,報告入力!$B$7:$B$696,$A622)</f>
        <v>0</v>
      </c>
      <c r="G622" s="206" t="n">
        <f aca="false">SUM(B622:F622)</f>
        <v>0</v>
      </c>
      <c r="H622" s="288"/>
      <c r="I622" s="208" t="n">
        <f aca="false">SUMIFS(報告入力!$BE$7:$BE$696,報告入力!$A$7:$A$696,$S$587,報告入力!$B$7:$B$696,$A622)</f>
        <v>0</v>
      </c>
      <c r="J622" s="418" t="n">
        <f aca="false">SUM(H622:I622)</f>
        <v>0</v>
      </c>
      <c r="K622" s="288"/>
      <c r="L622" s="208" t="n">
        <f aca="false">SUMIFS(報告入力!$BG$7:$BG$696,報告入力!$A$7:$A$696,$S$587,報告入力!$B$7:$B$696,$A622)</f>
        <v>0</v>
      </c>
      <c r="M622" s="418" t="n">
        <f aca="false">SUM(K622:L622)</f>
        <v>0</v>
      </c>
      <c r="N622" s="288"/>
      <c r="O622" s="208" t="n">
        <f aca="false">SUMIFS(報告入力!$BI$7:$BI$696,報告入力!$A$7:$A$696,$S$587,報告入力!$B$7:$B$696,$A622)</f>
        <v>0</v>
      </c>
      <c r="P622" s="418" t="n">
        <f aca="false">SUM(N622:O622)</f>
        <v>0</v>
      </c>
      <c r="Q622" s="135" t="str">
        <f aca="false">IF(P557=P622,"〇","×")</f>
        <v>〇</v>
      </c>
      <c r="R622" s="135" t="str">
        <f aca="false">IFERROR(INDEX(報告入力!$C$7:$C$696,MATCH($S$587&amp;"|"&amp;$A622,報告入力!$CM$7:$CM$696,0)),"")</f>
        <v>未受領</v>
      </c>
    </row>
    <row r="623" s="135" customFormat="true" ht="20.1" hidden="false" customHeight="true" outlineLevel="0" collapsed="false">
      <c r="A623" s="125" t="s">
        <v>196</v>
      </c>
      <c r="B623" s="211"/>
      <c r="C623" s="218"/>
      <c r="D623" s="387" t="n">
        <f aca="false">SUMIFS(報告入力!$BA$7:$BA$696,報告入力!$A$7:$A$696,$S$587,報告入力!$B$7:$B$696,$A623)</f>
        <v>847292</v>
      </c>
      <c r="E623" s="207" t="n">
        <f aca="false">SUMIFS(報告入力!$BB$7:$BB$696,報告入力!$A$7:$A$696,$S$587,報告入力!$B$7:$B$696,$A623)</f>
        <v>69448</v>
      </c>
      <c r="F623" s="393" t="n">
        <f aca="false">SUMIFS(報告入力!$BC$7:$BC$696,報告入力!$A$7:$A$696,$S$587,報告入力!$B$7:$B$696,$A623)</f>
        <v>867</v>
      </c>
      <c r="G623" s="206" t="n">
        <f aca="false">SUM(B623:F623)</f>
        <v>917607</v>
      </c>
      <c r="H623" s="288"/>
      <c r="I623" s="208" t="n">
        <f aca="false">SUMIFS(報告入力!$BE$7:$BE$696,報告入力!$A$7:$A$696,$S$587,報告入力!$B$7:$B$696,$A623)</f>
        <v>510316</v>
      </c>
      <c r="J623" s="418" t="n">
        <f aca="false">SUM(H623:I623)</f>
        <v>510316</v>
      </c>
      <c r="K623" s="226"/>
      <c r="L623" s="207" t="n">
        <f aca="false">SUMIFS(報告入力!$BG$7:$BG$696,報告入力!$A$7:$A$696,$S$587,報告入力!$B$7:$B$696,$A623)</f>
        <v>73152</v>
      </c>
      <c r="M623" s="243" t="n">
        <f aca="false">SUM(K623:L623)</f>
        <v>73152</v>
      </c>
      <c r="N623" s="226"/>
      <c r="O623" s="207" t="n">
        <f aca="false">SUMIFS(報告入力!$BI$7:$BI$696,報告入力!$A$7:$A$696,$S$587,報告入力!$B$7:$B$696,$A623)</f>
        <v>1</v>
      </c>
      <c r="P623" s="243" t="n">
        <f aca="false">SUM(N623:O623)</f>
        <v>1</v>
      </c>
      <c r="Q623" s="135" t="str">
        <f aca="false">IF(P558=P623,"〇","×")</f>
        <v>〇</v>
      </c>
      <c r="R623" s="135" t="str">
        <f aca="false">IFERROR(INDEX(報告入力!$C$7:$C$696,MATCH($S$587&amp;"|"&amp;$A623,報告入力!$CM$7:$CM$696,0)),"")</f>
        <v>未受領</v>
      </c>
    </row>
    <row r="624" s="135" customFormat="true" ht="20.1" hidden="false" customHeight="true" outlineLevel="0" collapsed="false">
      <c r="A624" s="146" t="s">
        <v>197</v>
      </c>
      <c r="B624" s="240" t="n">
        <f aca="false">SUMIFS(報告入力!$AY$7:$AY$696,報告入力!$A$7:$A$696,$S$587,報告入力!$B$7:$B$696,$A624)</f>
        <v>281910</v>
      </c>
      <c r="C624" s="237" t="n">
        <f aca="false">SUMIFS(報告入力!$AZ$7:$AZ$696,報告入力!$A$7:$A$696,$S$587,報告入力!$B$7:$B$696,$A624)</f>
        <v>23106</v>
      </c>
      <c r="D624" s="203" t="n">
        <f aca="false">SUMIFS(報告入力!$BA$7:$BA$696,報告入力!$A$7:$A$696,$S$587,報告入力!$B$7:$B$696,$A624)</f>
        <v>281913</v>
      </c>
      <c r="E624" s="207" t="n">
        <f aca="false">SUMIFS(報告入力!$BB$7:$BB$696,報告入力!$A$7:$A$696,$S$587,報告入力!$B$7:$B$696,$A624)</f>
        <v>23107</v>
      </c>
      <c r="F624" s="237" t="n">
        <f aca="false">SUMIFS(報告入力!$BC$7:$BC$696,報告入力!$A$7:$A$696,$S$587,報告入力!$B$7:$B$696,$A624)</f>
        <v>289</v>
      </c>
      <c r="G624" s="206" t="n">
        <f aca="false">SUM(B624:F624)</f>
        <v>610325</v>
      </c>
      <c r="H624" s="240" t="n">
        <f aca="false">SUMIFS(報告入力!$BD$7:$BD$696,報告入力!$A$7:$A$696,$S$587,報告入力!$B$7:$B$696,$A624)</f>
        <v>169484</v>
      </c>
      <c r="I624" s="208" t="n">
        <f aca="false">SUMIFS(報告入力!$BE$7:$BE$696,報告入力!$A$7:$A$696,$S$587,報告入力!$B$7:$B$696,$A624)</f>
        <v>169793</v>
      </c>
      <c r="J624" s="418" t="n">
        <f aca="false">SUM(H624:I624)</f>
        <v>339277</v>
      </c>
      <c r="K624" s="203" t="n">
        <f aca="false">SUMIFS(報告入力!$BF$7:$BF$696,報告入力!$A$7:$A$696,$S$587,報告入力!$B$7:$B$696,$A624)</f>
        <v>18233</v>
      </c>
      <c r="L624" s="387" t="n">
        <f aca="false">SUMIFS(報告入力!$BG$7:$BG$696,報告入力!$A$7:$A$696,$S$587,報告入力!$B$7:$B$696,$A624)</f>
        <v>18233</v>
      </c>
      <c r="M624" s="206" t="n">
        <f aca="false">SUM(K624:L624)</f>
        <v>36466</v>
      </c>
      <c r="N624" s="203" t="n">
        <f aca="false">SUMIFS(報告入力!$BH$7:$BH$696,報告入力!$A$7:$A$696,$S$587,報告入力!$B$7:$B$696,$A624)</f>
        <v>1</v>
      </c>
      <c r="O624" s="387" t="n">
        <f aca="false">SUMIFS(報告入力!$BI$7:$BI$696,報告入力!$A$7:$A$696,$S$587,報告入力!$B$7:$B$696,$A624)</f>
        <v>1</v>
      </c>
      <c r="P624" s="206" t="n">
        <f aca="false">SUM(N624:O624)</f>
        <v>2</v>
      </c>
      <c r="Q624" s="135" t="str">
        <f aca="false">IF(P559=P624,"〇","×")</f>
        <v>〇</v>
      </c>
      <c r="R624" s="135" t="str">
        <f aca="false">IFERROR(INDEX(報告入力!$C$7:$C$696,MATCH($S$587&amp;"|"&amp;$A624,報告入力!$CM$7:$CM$696,0)),"")</f>
        <v>未受領</v>
      </c>
    </row>
    <row r="625" s="135" customFormat="true" ht="20.1" hidden="false" customHeight="true" outlineLevel="0" collapsed="false">
      <c r="A625" s="231" t="s">
        <v>219</v>
      </c>
      <c r="B625" s="226"/>
      <c r="C625" s="216"/>
      <c r="D625" s="203" t="n">
        <f aca="false">SUMIFS(報告入力!$BA$7:$BA$696,報告入力!$A$7:$A$696,$S$587,報告入力!$B$7:$B$696,$A625)</f>
        <v>856624</v>
      </c>
      <c r="E625" s="207" t="n">
        <f aca="false">SUMIFS(報告入力!$BB$7:$BB$696,報告入力!$A$7:$A$696,$S$587,報告入力!$B$7:$B$696,$A625)</f>
        <v>70215</v>
      </c>
      <c r="F625" s="237" t="n">
        <f aca="false">SUMIFS(報告入力!$BC$7:$BC$696,報告入力!$A$7:$A$696,$S$587,報告入力!$B$7:$B$696,$A625)</f>
        <v>879</v>
      </c>
      <c r="G625" s="206" t="n">
        <f aca="false">SUM(B625:F625)</f>
        <v>927718</v>
      </c>
      <c r="H625" s="422"/>
      <c r="I625" s="208" t="n">
        <f aca="false">SUMIFS(報告入力!$BE$7:$BE$696,報告入力!$A$7:$A$696,$S$587,報告入力!$B$7:$B$696,$A625)</f>
        <v>515939</v>
      </c>
      <c r="J625" s="418" t="n">
        <f aca="false">SUM(H625:I625)</f>
        <v>515939</v>
      </c>
      <c r="K625" s="211"/>
      <c r="L625" s="207" t="n">
        <f aca="false">SUMIFS(報告入力!$BG$7:$BG$696,報告入力!$A$7:$A$696,$S$587,報告入力!$B$7:$B$696,$A625)</f>
        <v>49343</v>
      </c>
      <c r="M625" s="418" t="n">
        <f aca="false">SUM(K625:L625)</f>
        <v>49343</v>
      </c>
      <c r="N625" s="211"/>
      <c r="O625" s="207" t="n">
        <f aca="false">SUMIFS(報告入力!$BI$7:$BI$696,報告入力!$A$7:$A$696,$S$587,報告入力!$B$7:$B$696,$A625)</f>
        <v>1</v>
      </c>
      <c r="P625" s="418" t="n">
        <f aca="false">SUM(N625:O625)</f>
        <v>1</v>
      </c>
      <c r="Q625" s="135" t="str">
        <f aca="false">IF(P560=P625,"〇","×")</f>
        <v>〇</v>
      </c>
      <c r="R625" s="135" t="str">
        <f aca="false">IFERROR(INDEX(報告入力!$C$7:$C$696,MATCH($S$587&amp;"|"&amp;$A625,報告入力!$CM$7:$CM$696,0)),"")</f>
        <v>未受領</v>
      </c>
    </row>
    <row r="626" s="135" customFormat="true" ht="20.1" hidden="false" customHeight="true" outlineLevel="0" collapsed="false">
      <c r="A626" s="214" t="s">
        <v>199</v>
      </c>
      <c r="B626" s="240" t="n">
        <f aca="false">SUMIFS(報告入力!$AY$7:$AY$696,報告入力!$A$7:$A$696,$S$587,報告入力!$B$7:$B$696,$A626)</f>
        <v>117028</v>
      </c>
      <c r="C626" s="237" t="n">
        <f aca="false">SUMIFS(報告入力!$AZ$7:$AZ$696,報告入力!$A$7:$A$696,$S$587,報告入力!$B$7:$B$696,$A626)</f>
        <v>9592</v>
      </c>
      <c r="D626" s="203" t="n">
        <f aca="false">SUMIFS(報告入力!$BA$7:$BA$696,報告入力!$A$7:$A$696,$S$587,報告入力!$B$7:$B$696,$A626)</f>
        <v>117029</v>
      </c>
      <c r="E626" s="207" t="n">
        <f aca="false">SUMIFS(報告入力!$BB$7:$BB$696,報告入力!$A$7:$A$696,$S$587,報告入力!$B$7:$B$696,$A626)</f>
        <v>9592</v>
      </c>
      <c r="F626" s="237" t="n">
        <f aca="false">SUMIFS(報告入力!$BC$7:$BC$696,報告入力!$A$7:$A$696,$S$587,報告入力!$B$7:$B$696,$A626)</f>
        <v>120</v>
      </c>
      <c r="G626" s="206" t="n">
        <f aca="false">SUM(B626:F626)</f>
        <v>253361</v>
      </c>
      <c r="H626" s="240" t="n">
        <f aca="false">SUMIFS(報告入力!$BD$7:$BD$696,報告入力!$A$7:$A$696,$S$587,報告入力!$B$7:$B$696,$A626)</f>
        <v>70357</v>
      </c>
      <c r="I626" s="208" t="n">
        <f aca="false">SUMIFS(報告入力!$BE$7:$BE$696,報告入力!$A$7:$A$696,$S$587,報告入力!$B$7:$B$696,$A626)</f>
        <v>70485</v>
      </c>
      <c r="J626" s="418" t="n">
        <f aca="false">SUM(H626:I626)</f>
        <v>140842</v>
      </c>
      <c r="K626" s="203" t="n">
        <f aca="false">SUMIFS(報告入力!$BF$7:$BF$696,報告入力!$A$7:$A$696,$S$587,報告入力!$B$7:$B$696,$A626)</f>
        <v>10104</v>
      </c>
      <c r="L626" s="387" t="n">
        <f aca="false">SUMIFS(報告入力!$BG$7:$BG$696,報告入力!$A$7:$A$696,$S$587,報告入力!$B$7:$B$696,$A626)</f>
        <v>10104</v>
      </c>
      <c r="M626" s="206" t="n">
        <f aca="false">SUM(K626:L626)</f>
        <v>20208</v>
      </c>
      <c r="N626" s="203" t="n">
        <f aca="false">SUMIFS(報告入力!$BH$7:$BH$696,報告入力!$A$7:$A$696,$S$587,報告入力!$B$7:$B$696,$A626)</f>
        <v>1</v>
      </c>
      <c r="O626" s="387" t="n">
        <f aca="false">SUMIFS(報告入力!$BI$7:$BI$696,報告入力!$A$7:$A$696,$S$587,報告入力!$B$7:$B$696,$A626)</f>
        <v>1</v>
      </c>
      <c r="P626" s="206" t="n">
        <f aca="false">SUM(N626:O626)</f>
        <v>2</v>
      </c>
      <c r="Q626" s="135" t="str">
        <f aca="false">IF(P561=P626,"〇","×")</f>
        <v>〇</v>
      </c>
      <c r="R626" s="135" t="str">
        <f aca="false">IFERROR(INDEX(報告入力!$C$7:$C$696,MATCH($S$587&amp;"|"&amp;$A626,報告入力!$CM$7:$CM$696,0)),"")</f>
        <v>未受領</v>
      </c>
    </row>
    <row r="627" s="135" customFormat="true" ht="20.1" hidden="false" customHeight="true" outlineLevel="0" collapsed="false">
      <c r="A627" s="214" t="s">
        <v>200</v>
      </c>
      <c r="B627" s="240" t="n">
        <f aca="false">SUMIFS(報告入力!$AY$7:$AY$696,報告入力!$A$7:$A$696,$S$587,報告入力!$B$7:$B$696,$A627)</f>
        <v>137250</v>
      </c>
      <c r="C627" s="237" t="n">
        <f aca="false">SUMIFS(報告入力!$AZ$7:$AZ$696,報告入力!$A$7:$A$696,$S$587,報告入力!$B$7:$B$696,$A627)</f>
        <v>11250</v>
      </c>
      <c r="D627" s="203" t="n">
        <f aca="false">SUMIFS(報告入力!$BA$7:$BA$696,報告入力!$A$7:$A$696,$S$587,報告入力!$B$7:$B$696,$A627)</f>
        <v>137250</v>
      </c>
      <c r="E627" s="207" t="n">
        <f aca="false">SUMIFS(報告入力!$BB$7:$BB$696,報告入力!$A$7:$A$696,$S$587,報告入力!$B$7:$B$696,$A627)</f>
        <v>11250</v>
      </c>
      <c r="F627" s="237" t="n">
        <f aca="false">SUMIFS(報告入力!$BC$7:$BC$696,報告入力!$A$7:$A$696,$S$587,報告入力!$B$7:$B$696,$A627)</f>
        <v>140</v>
      </c>
      <c r="G627" s="206" t="n">
        <f aca="false">SUM(B627:F627)</f>
        <v>297140</v>
      </c>
      <c r="H627" s="240" t="n">
        <f aca="false">SUMIFS(報告入力!$BD$7:$BD$696,報告入力!$A$7:$A$696,$S$587,報告入力!$B$7:$B$696,$A627)</f>
        <v>85375</v>
      </c>
      <c r="I627" s="208" t="n">
        <f aca="false">SUMIFS(報告入力!$BE$7:$BE$696,報告入力!$A$7:$A$696,$S$587,報告入力!$B$7:$B$696,$A627)</f>
        <v>85530</v>
      </c>
      <c r="J627" s="418" t="n">
        <f aca="false">SUM(H627:I627)</f>
        <v>170905</v>
      </c>
      <c r="K627" s="203" t="n">
        <f aca="false">SUMIFS(報告入力!$BF$7:$BF$696,報告入力!$A$7:$A$696,$S$587,報告入力!$B$7:$B$696,$A627)</f>
        <v>12260</v>
      </c>
      <c r="L627" s="387" t="n">
        <f aca="false">SUMIFS(報告入力!$BG$7:$BG$696,報告入力!$A$7:$A$696,$S$587,報告入力!$B$7:$B$696,$A627)</f>
        <v>12260</v>
      </c>
      <c r="M627" s="206" t="n">
        <f aca="false">SUM(K627:L627)</f>
        <v>24520</v>
      </c>
      <c r="N627" s="203" t="n">
        <f aca="false">SUMIFS(報告入力!$BH$7:$BH$696,報告入力!$A$7:$A$696,$S$587,報告入力!$B$7:$B$696,$A627)</f>
        <v>1</v>
      </c>
      <c r="O627" s="387" t="n">
        <f aca="false">SUMIFS(報告入力!$BI$7:$BI$696,報告入力!$A$7:$A$696,$S$587,報告入力!$B$7:$B$696,$A627)</f>
        <v>1</v>
      </c>
      <c r="P627" s="206" t="n">
        <f aca="false">SUM(N627:O627)</f>
        <v>2</v>
      </c>
      <c r="Q627" s="135" t="str">
        <f aca="false">IF(P562=P627,"〇","×")</f>
        <v>〇</v>
      </c>
      <c r="R627" s="135" t="str">
        <f aca="false">IFERROR(INDEX(報告入力!$C$7:$C$696,MATCH($S$587&amp;"|"&amp;$A627,報告入力!$CM$7:$CM$696,0)),"")</f>
        <v>未受領</v>
      </c>
    </row>
    <row r="628" s="135" customFormat="true" ht="20.1" hidden="false" customHeight="true" outlineLevel="0" collapsed="false">
      <c r="A628" s="214" t="s">
        <v>201</v>
      </c>
      <c r="B628" s="240" t="n">
        <f aca="false">SUMIFS(報告入力!$AY$7:$AY$696,報告入力!$A$7:$A$696,$S$587,報告入力!$B$7:$B$696,$A628)</f>
        <v>110989</v>
      </c>
      <c r="C628" s="237" t="n">
        <f aca="false">SUMIFS(報告入力!$AZ$7:$AZ$696,報告入力!$A$7:$A$696,$S$587,報告入力!$B$7:$B$696,$A628)</f>
        <v>9097</v>
      </c>
      <c r="D628" s="203" t="n">
        <f aca="false">SUMIFS(報告入力!$BA$7:$BA$696,報告入力!$A$7:$A$696,$S$587,報告入力!$B$7:$B$696,$A628)</f>
        <v>110990</v>
      </c>
      <c r="E628" s="207" t="n">
        <f aca="false">SUMIFS(報告入力!$BB$7:$BB$696,報告入力!$A$7:$A$696,$S$587,報告入力!$B$7:$B$696,$A628)</f>
        <v>9097</v>
      </c>
      <c r="F628" s="237" t="n">
        <f aca="false">SUMIFS(報告入力!$BC$7:$BC$696,報告入力!$A$7:$A$696,$S$587,報告入力!$B$7:$B$696,$A628)</f>
        <v>113</v>
      </c>
      <c r="G628" s="206" t="n">
        <f aca="false">SUM(B628:F628)</f>
        <v>240286</v>
      </c>
      <c r="H628" s="240" t="n">
        <f aca="false">SUMIFS(報告入力!$BD$7:$BD$696,報告入力!$A$7:$A$696,$S$587,報告入力!$B$7:$B$696,$A628)</f>
        <v>66727</v>
      </c>
      <c r="I628" s="208" t="n">
        <f aca="false">SUMIFS(報告入力!$BE$7:$BE$696,報告入力!$A$7:$A$696,$S$587,報告入力!$B$7:$B$696,$A628)</f>
        <v>66848</v>
      </c>
      <c r="J628" s="418" t="n">
        <f aca="false">SUM(H628:I628)</f>
        <v>133575</v>
      </c>
      <c r="K628" s="203" t="n">
        <f aca="false">SUMIFS(報告入力!$BF$7:$BF$696,報告入力!$A$7:$A$696,$S$587,報告入力!$B$7:$B$696,$A628)</f>
        <v>0</v>
      </c>
      <c r="L628" s="387" t="n">
        <f aca="false">SUMIFS(報告入力!$BG$7:$BG$696,報告入力!$A$7:$A$696,$S$587,報告入力!$B$7:$B$696,$A628)</f>
        <v>0</v>
      </c>
      <c r="M628" s="206" t="n">
        <f aca="false">SUM(K628:L628)</f>
        <v>0</v>
      </c>
      <c r="N628" s="203" t="n">
        <f aca="false">SUMIFS(報告入力!$BH$7:$BH$696,報告入力!$A$7:$A$696,$S$587,報告入力!$B$7:$B$696,$A628)</f>
        <v>1</v>
      </c>
      <c r="O628" s="387" t="n">
        <f aca="false">SUMIFS(報告入力!$BI$7:$BI$696,報告入力!$A$7:$A$696,$S$587,報告入力!$B$7:$B$696,$A628)</f>
        <v>1</v>
      </c>
      <c r="P628" s="206" t="n">
        <f aca="false">SUM(N628:O628)</f>
        <v>2</v>
      </c>
      <c r="Q628" s="135" t="str">
        <f aca="false">IF(P563=P628,"〇","×")</f>
        <v>〇</v>
      </c>
      <c r="R628" s="135" t="str">
        <f aca="false">IFERROR(INDEX(報告入力!$C$7:$C$696,MATCH($S$587&amp;"|"&amp;$A628,報告入力!$CM$7:$CM$696,0)),"")</f>
        <v>未受領</v>
      </c>
    </row>
    <row r="629" s="135" customFormat="true" ht="20.1" hidden="false" customHeight="true" outlineLevel="0" collapsed="false">
      <c r="A629" s="146" t="s">
        <v>202</v>
      </c>
      <c r="B629" s="240" t="n">
        <f aca="false">SUMIFS(報告入力!$AY$7:$AY$696,報告入力!$A$7:$A$696,$S$587,報告入力!$B$7:$B$696,$A629)</f>
        <v>2224906</v>
      </c>
      <c r="C629" s="237" t="n">
        <f aca="false">SUMIFS(報告入力!$AZ$7:$AZ$696,報告入力!$A$7:$A$696,$S$587,報告入力!$B$7:$B$696,$A629)</f>
        <v>182362</v>
      </c>
      <c r="D629" s="203" t="n">
        <f aca="false">SUMIFS(報告入力!$BA$7:$BA$696,報告入力!$A$7:$A$696,$S$587,報告入力!$B$7:$B$696,$A629)</f>
        <v>2224922</v>
      </c>
      <c r="E629" s="207" t="n">
        <f aca="false">SUMIFS(報告入力!$BB$7:$BB$696,報告入力!$A$7:$A$696,$S$587,報告入力!$B$7:$B$696,$A629)</f>
        <v>182370</v>
      </c>
      <c r="F629" s="237" t="n">
        <f aca="false">SUMIFS(報告入力!$BC$7:$BC$696,報告入力!$A$7:$A$696,$S$587,報告入力!$B$7:$B$696,$A629)</f>
        <v>2370</v>
      </c>
      <c r="G629" s="206" t="n">
        <f aca="false">SUM(B629:F629)</f>
        <v>4816930</v>
      </c>
      <c r="H629" s="240" t="n">
        <f aca="false">SUMIFS(報告入力!$BD$7:$BD$696,報告入力!$A$7:$A$696,$S$587,報告入力!$B$7:$B$696,$A629)</f>
        <v>1337610</v>
      </c>
      <c r="I629" s="208" t="n">
        <f aca="false">SUMIFS(報告入力!$BE$7:$BE$696,報告入力!$A$7:$A$696,$S$587,報告入力!$B$7:$B$696,$A629)</f>
        <v>1340149</v>
      </c>
      <c r="J629" s="418" t="n">
        <f aca="false">SUM(H629:I629)</f>
        <v>2677759</v>
      </c>
      <c r="K629" s="203" t="n">
        <f aca="false">SUMIFS(報告入力!$BF$7:$BF$696,報告入力!$A$7:$A$696,$S$587,報告入力!$B$7:$B$696,$A629)</f>
        <v>125563</v>
      </c>
      <c r="L629" s="387" t="n">
        <f aca="false">SUMIFS(報告入力!$BG$7:$BG$696,報告入力!$A$7:$A$696,$S$587,報告入力!$B$7:$B$696,$A629)</f>
        <v>125570</v>
      </c>
      <c r="M629" s="206" t="n">
        <f aca="false">SUM(K629:L629)</f>
        <v>251133</v>
      </c>
      <c r="N629" s="203" t="n">
        <f aca="false">SUMIFS(報告入力!$BH$7:$BH$696,報告入力!$A$7:$A$696,$S$587,報告入力!$B$7:$B$696,$A629)</f>
        <v>1</v>
      </c>
      <c r="O629" s="387" t="n">
        <f aca="false">SUMIFS(報告入力!$BI$7:$BI$696,報告入力!$A$7:$A$696,$S$587,報告入力!$B$7:$B$696,$A629)</f>
        <v>1</v>
      </c>
      <c r="P629" s="206" t="n">
        <f aca="false">SUM(N629:O629)</f>
        <v>2</v>
      </c>
      <c r="Q629" s="135" t="str">
        <f aca="false">IF(P564=P629,"〇","×")</f>
        <v>〇</v>
      </c>
      <c r="R629" s="135" t="str">
        <f aca="false">IFERROR(INDEX(報告入力!$C$7:$C$696,MATCH($S$587&amp;"|"&amp;$A629,報告入力!$CM$7:$CM$696,0)),"")</f>
        <v>未受領</v>
      </c>
    </row>
    <row r="630" s="135" customFormat="true" ht="20.1" hidden="false" customHeight="true" outlineLevel="0" collapsed="false">
      <c r="A630" s="146" t="s">
        <v>203</v>
      </c>
      <c r="B630" s="226"/>
      <c r="C630" s="216"/>
      <c r="D630" s="240" t="n">
        <f aca="false">SUMIFS(報告入力!$BA$7:$BA$696,報告入力!$A$7:$A$696,$S$587,報告入力!$B$7:$B$696,$A630)</f>
        <v>438378</v>
      </c>
      <c r="E630" s="238" t="n">
        <f aca="false">SUMIFS(報告入力!$BB$7:$BB$696,報告入力!$A$7:$A$696,$S$587,報告入力!$B$7:$B$696,$A630)</f>
        <v>35932</v>
      </c>
      <c r="F630" s="393" t="n">
        <f aca="false">SUMIFS(報告入力!$BC$7:$BC$696,報告入力!$A$7:$A$696,$S$587,報告入力!$B$7:$B$696,$A630)</f>
        <v>449</v>
      </c>
      <c r="G630" s="206" t="n">
        <f aca="false">SUM(B630:F630)</f>
        <v>474759</v>
      </c>
      <c r="H630" s="422"/>
      <c r="I630" s="239" t="n">
        <f aca="false">SUMIFS(報告入力!$BE$7:$BE$696,報告入力!$A$7:$A$696,$S$587,報告入力!$B$7:$B$696,$A630)</f>
        <v>276211</v>
      </c>
      <c r="J630" s="160" t="n">
        <f aca="false">SUM(H630:I630)</f>
        <v>276211</v>
      </c>
      <c r="K630" s="422"/>
      <c r="L630" s="239" t="n">
        <f aca="false">SUMIFS(報告入力!$BG$7:$BG$696,報告入力!$A$7:$A$696,$S$587,報告入力!$B$7:$B$696,$A630)</f>
        <v>21622</v>
      </c>
      <c r="M630" s="160" t="n">
        <f aca="false">SUM(K630:L630)</f>
        <v>21622</v>
      </c>
      <c r="N630" s="422"/>
      <c r="O630" s="239" t="n">
        <f aca="false">SUMIFS(報告入力!$BI$7:$BI$696,報告入力!$A$7:$A$696,$S$587,報告入力!$B$7:$B$696,$A630)</f>
        <v>1</v>
      </c>
      <c r="P630" s="160" t="n">
        <f aca="false">SUM(N630:O630)</f>
        <v>1</v>
      </c>
      <c r="Q630" s="135" t="str">
        <f aca="false">IF(P565=P630,"〇","×")</f>
        <v>〇</v>
      </c>
      <c r="R630" s="135" t="str">
        <f aca="false">IFERROR(INDEX(報告入力!$C$7:$C$696,MATCH($S$587&amp;"|"&amp;$A630,報告入力!$CM$7:$CM$696,0)),"")</f>
        <v>未受領</v>
      </c>
    </row>
    <row r="631" s="135" customFormat="true" ht="19.5" hidden="false" customHeight="true" outlineLevel="0" collapsed="false">
      <c r="A631" s="232" t="s">
        <v>204</v>
      </c>
      <c r="B631" s="240" t="n">
        <f aca="false">SUMIFS(報告入力!$AY$7:$AY$696,報告入力!$A$7:$A$696,$S$587,報告入力!$B$7:$B$696,$A631)</f>
        <v>206247320</v>
      </c>
      <c r="C631" s="237" t="n">
        <f aca="false">SUMIFS(報告入力!$AZ$7:$AZ$696,報告入力!$A$7:$A$696,$S$587,報告入力!$B$7:$B$696,$A631)</f>
        <v>16904936</v>
      </c>
      <c r="D631" s="203" t="n">
        <f aca="false">SUMIFS(報告入力!$BA$7:$BA$696,報告入力!$A$7:$A$696,$S$587,報告入力!$B$7:$B$696,$A631)</f>
        <v>301635254</v>
      </c>
      <c r="E631" s="207" t="n">
        <f aca="false">SUMIFS(報告入力!$BB$7:$BB$696,報告入力!$A$7:$A$696,$S$587,報告入力!$B$7:$B$696,$A631)</f>
        <v>16904936</v>
      </c>
      <c r="F631" s="237" t="n">
        <f aca="false">SUMIFS(報告入力!$BC$7:$BC$696,報告入力!$A$7:$A$696,$S$587,報告入力!$B$7:$B$696,$A631)</f>
        <v>215827</v>
      </c>
      <c r="G631" s="206" t="n">
        <f aca="false">SUM(B631:F631)</f>
        <v>541908273</v>
      </c>
      <c r="H631" s="240" t="n">
        <f aca="false">SUMIFS(報告入力!$BD$7:$BD$696,報告入力!$A$7:$A$696,$S$587,報告入力!$B$7:$B$696,$A631)</f>
        <v>131697105</v>
      </c>
      <c r="I631" s="239" t="n">
        <f aca="false">SUMIFS(報告入力!$BE$7:$BE$696,報告入力!$A$7:$A$696,$S$587,報告入力!$B$7:$B$696,$A631)</f>
        <v>131936571</v>
      </c>
      <c r="J631" s="160" t="n">
        <f aca="false">SUM(H631:I631)</f>
        <v>263633676</v>
      </c>
      <c r="K631" s="240" t="n">
        <f aca="false">SUMIFS(報告入力!$BF$7:$BF$696,報告入力!$A$7:$A$696,$S$587,報告入力!$B$7:$B$696,$A631)</f>
        <v>11352393</v>
      </c>
      <c r="L631" s="239" t="n">
        <f aca="false">SUMIFS(報告入力!$BG$7:$BG$696,報告入力!$A$7:$A$696,$S$587,報告入力!$B$7:$B$696,$A631)</f>
        <v>11352393</v>
      </c>
      <c r="M631" s="160" t="n">
        <f aca="false">SUM(K631:L631)</f>
        <v>22704786</v>
      </c>
      <c r="N631" s="240" t="n">
        <f aca="false">SUMIFS(報告入力!$BH$7:$BH$696,報告入力!$A$7:$A$696,$S$587,報告入力!$B$7:$B$696,$A631)</f>
        <v>1</v>
      </c>
      <c r="O631" s="239" t="n">
        <f aca="false">SUMIFS(報告入力!$BI$7:$BI$696,報告入力!$A$7:$A$696,$S$587,報告入力!$B$7:$B$696,$A631)</f>
        <v>1</v>
      </c>
      <c r="P631" s="160" t="n">
        <f aca="false">SUM(N631:O631)</f>
        <v>2</v>
      </c>
      <c r="Q631" s="135" t="str">
        <f aca="false">IF(P566=P631,"〇","×")</f>
        <v>〇</v>
      </c>
      <c r="R631" s="135" t="str">
        <f aca="false">IFERROR(INDEX(報告入力!$C$7:$C$696,MATCH($S$587&amp;"|"&amp;$A631,報告入力!$CM$7:$CM$696,0)),"")</f>
        <v>未受領</v>
      </c>
    </row>
    <row r="632" s="162" customFormat="true" ht="21.75" hidden="false" customHeight="true" outlineLevel="0" collapsed="false">
      <c r="A632" s="399" t="s">
        <v>205</v>
      </c>
      <c r="B632" s="152"/>
      <c r="C632" s="156"/>
      <c r="D632" s="152"/>
      <c r="E632" s="234"/>
      <c r="F632" s="156"/>
      <c r="G632" s="235" t="n">
        <f aca="false">SUM(B632:F632)</f>
        <v>0</v>
      </c>
      <c r="H632" s="238" t="n">
        <f aca="false">SUMIFS(報告入力!$BD$7:$BD$696,報告入力!$A$7:$A$696,$S$587,報告入力!$B$7:$B$696,$A632)</f>
        <v>129546</v>
      </c>
      <c r="I632" s="395" t="n">
        <f aca="false">SUMIFS(報告入力!$BE$7:$BE$696,報告入力!$A$7:$A$696,$S$587,報告入力!$B$7:$B$696,$A632)</f>
        <v>129782</v>
      </c>
      <c r="J632" s="160" t="n">
        <f aca="false">SUM(H632:I632)</f>
        <v>259328</v>
      </c>
      <c r="K632" s="240" t="n">
        <f aca="false">SUMIFS(報告入力!$BF$7:$BF$696,報告入力!$A$7:$A$696,$S$587,報告入力!$B$7:$B$696,$A632)</f>
        <v>13041</v>
      </c>
      <c r="L632" s="395" t="n">
        <f aca="false">SUMIFS(報告入力!$BG$7:$BG$696,報告入力!$A$7:$A$696,$S$587,報告入力!$B$7:$B$696,$A632)</f>
        <v>13042</v>
      </c>
      <c r="M632" s="160" t="n">
        <f aca="false">SUM(K632:L632)</f>
        <v>26083</v>
      </c>
      <c r="N632" s="240" t="n">
        <f aca="false">SUMIFS(報告入力!$BH$7:$BH$696,報告入力!$A$7:$A$696,$S$587,報告入力!$B$7:$B$696,$A632)</f>
        <v>1</v>
      </c>
      <c r="O632" s="395" t="n">
        <f aca="false">SUMIFS(報告入力!$BI$7:$BI$696,報告入力!$A$7:$A$696,$S$587,報告入力!$B$7:$B$696,$A632)</f>
        <v>1</v>
      </c>
      <c r="P632" s="160" t="n">
        <f aca="false">SUM(N632:O632)</f>
        <v>2</v>
      </c>
      <c r="Q632" s="162" t="str">
        <f aca="false">IF(P567=P632,"〇","×")</f>
        <v>〇</v>
      </c>
      <c r="R632" s="162" t="str">
        <f aca="false">IFERROR(INDEX(報告入力!$C$7:$C$696,MATCH($S$587&amp;"|"&amp;$A632,報告入力!$CM$7:$CM$696,0)),"")</f>
        <v>未受領</v>
      </c>
    </row>
    <row r="633" s="162" customFormat="true" ht="21.75" hidden="false" customHeight="true" outlineLevel="0" collapsed="false">
      <c r="A633" s="236" t="s">
        <v>206</v>
      </c>
      <c r="B633" s="336"/>
      <c r="C633" s="355"/>
      <c r="D633" s="336"/>
      <c r="E633" s="334"/>
      <c r="F633" s="356"/>
      <c r="G633" s="327" t="n">
        <f aca="false">SUM(B633:F633)</f>
        <v>0</v>
      </c>
      <c r="H633" s="336"/>
      <c r="I633" s="335"/>
      <c r="J633" s="330" t="n">
        <f aca="false">SUM(H633:I633)</f>
        <v>0</v>
      </c>
      <c r="K633" s="336"/>
      <c r="L633" s="335"/>
      <c r="M633" s="330" t="n">
        <f aca="false">SUM(K633:L633)</f>
        <v>0</v>
      </c>
      <c r="N633" s="336"/>
      <c r="O633" s="335"/>
      <c r="P633" s="330" t="n">
        <f aca="false">SUM(N633:O633)</f>
        <v>0</v>
      </c>
      <c r="Q633" s="162" t="str">
        <f aca="false">IF(P568=P633,"〇","×")</f>
        <v>〇</v>
      </c>
      <c r="R633" s="162" t="str">
        <f aca="false">IFERROR(INDEX(報告入力!$C$7:$C$696,MATCH($S$587&amp;"|"&amp;$A633,報告入力!$CM$7:$CM$696,0)),"")</f>
        <v>報告なし</v>
      </c>
    </row>
    <row r="634" s="162" customFormat="true" ht="21.75" hidden="false" customHeight="true" outlineLevel="0" collapsed="false">
      <c r="A634" s="236" t="s">
        <v>207</v>
      </c>
      <c r="B634" s="240" t="n">
        <f aca="false">SUMIFS(報告入力!$AY$7:$AY$696,報告入力!$A$7:$A$696,$S$587,報告入力!$B$7:$B$696,$A634)</f>
        <v>137250</v>
      </c>
      <c r="C634" s="392" t="n">
        <f aca="false">SUMIFS(報告入力!$AZ$7:$AZ$696,報告入力!$A$7:$A$696,$S$587,報告入力!$B$7:$B$696,$A634)</f>
        <v>11250</v>
      </c>
      <c r="D634" s="240" t="n">
        <f aca="false">SUMIFS(報告入力!$BA$7:$BA$696,報告入力!$A$7:$A$696,$S$587,報告入力!$B$7:$B$696,$A634)</f>
        <v>137250</v>
      </c>
      <c r="E634" s="238" t="n">
        <f aca="false">SUMIFS(報告入力!$BB$7:$BB$696,報告入力!$A$7:$A$696,$S$587,報告入力!$B$7:$B$696,$A634)</f>
        <v>11250</v>
      </c>
      <c r="F634" s="393" t="n">
        <f aca="false">SUMIFS(報告入力!$BC$7:$BC$696,報告入力!$A$7:$A$696,$S$587,報告入力!$B$7:$B$696,$A634)</f>
        <v>140</v>
      </c>
      <c r="G634" s="206" t="n">
        <f aca="false">SUM(B634:F634)</f>
        <v>297140</v>
      </c>
      <c r="H634" s="240" t="n">
        <f aca="false">SUMIFS(報告入力!$BD$7:$BD$696,報告入力!$A$7:$A$696,$S$587,報告入力!$B$7:$B$696,$A634)</f>
        <v>103253</v>
      </c>
      <c r="I634" s="239" t="n">
        <f aca="false">SUMIFS(報告入力!$BE$7:$BE$696,報告入力!$A$7:$A$696,$S$587,報告入力!$B$7:$B$696,$A634)</f>
        <v>103441</v>
      </c>
      <c r="J634" s="160" t="n">
        <f aca="false">SUM(H634:I634)</f>
        <v>206694</v>
      </c>
      <c r="K634" s="240" t="n">
        <f aca="false">SUMIFS(報告入力!$BF$7:$BF$696,報告入力!$A$7:$A$696,$S$587,報告入力!$B$7:$B$696,$A634)</f>
        <v>14828</v>
      </c>
      <c r="L634" s="239" t="n">
        <f aca="false">SUMIFS(報告入力!$BG$7:$BG$696,報告入力!$A$7:$A$696,$S$587,報告入力!$B$7:$B$696,$A634)</f>
        <v>14828</v>
      </c>
      <c r="M634" s="160" t="n">
        <f aca="false">SUM(K634:L634)</f>
        <v>29656</v>
      </c>
      <c r="N634" s="240" t="n">
        <f aca="false">SUMIFS(報告入力!$BH$7:$BH$696,報告入力!$A$7:$A$696,$S$587,報告入力!$B$7:$B$696,$A634)</f>
        <v>1</v>
      </c>
      <c r="O634" s="239" t="n">
        <f aca="false">SUMIFS(報告入力!$BI$7:$BI$696,報告入力!$A$7:$A$696,$S$587,報告入力!$B$7:$B$696,$A634)</f>
        <v>1</v>
      </c>
      <c r="P634" s="160" t="n">
        <f aca="false">SUM(N634:O634)</f>
        <v>2</v>
      </c>
      <c r="Q634" s="162" t="str">
        <f aca="false">IF(P569=P634,"〇","×")</f>
        <v>〇</v>
      </c>
      <c r="R634" s="162" t="str">
        <f aca="false">IFERROR(INDEX(報告入力!$C$7:$C$696,MATCH($S$587&amp;"|"&amp;$A634,報告入力!$CM$7:$CM$696,0)),"")</f>
        <v>未受領</v>
      </c>
    </row>
    <row r="635" s="162" customFormat="true" ht="21.75" hidden="false" customHeight="true" outlineLevel="0" collapsed="false">
      <c r="A635" s="174"/>
      <c r="B635" s="182"/>
      <c r="C635" s="181"/>
      <c r="D635" s="245"/>
      <c r="E635" s="183"/>
      <c r="F635" s="181"/>
      <c r="G635" s="246" t="n">
        <f aca="false">SUM(B635:F635)</f>
        <v>0</v>
      </c>
      <c r="H635" s="185"/>
      <c r="I635" s="183"/>
      <c r="J635" s="248" t="n">
        <f aca="false">SUM(H635:I635)</f>
        <v>0</v>
      </c>
      <c r="K635" s="182"/>
      <c r="L635" s="183"/>
      <c r="M635" s="248" t="n">
        <f aca="false">SUM(K635:L635)</f>
        <v>0</v>
      </c>
      <c r="N635" s="182"/>
      <c r="O635" s="183"/>
      <c r="P635" s="248" t="n">
        <f aca="false">SUM(N635:O635)</f>
        <v>0</v>
      </c>
      <c r="Q635" s="162" t="str">
        <f aca="false">IF(P570=P635,"〇","×")</f>
        <v>〇</v>
      </c>
    </row>
    <row r="636" s="162" customFormat="true" ht="0.2" hidden="false" customHeight="true" outlineLevel="0" collapsed="false">
      <c r="A636" s="174"/>
      <c r="B636" s="182"/>
      <c r="C636" s="181"/>
      <c r="D636" s="245"/>
      <c r="E636" s="183"/>
      <c r="F636" s="181"/>
      <c r="G636" s="246" t="n">
        <f aca="false">SUM(B636:F636)</f>
        <v>0</v>
      </c>
      <c r="H636" s="185"/>
      <c r="I636" s="183"/>
      <c r="J636" s="248" t="n">
        <f aca="false">SUM(H636:I636)</f>
        <v>0</v>
      </c>
      <c r="K636" s="182"/>
      <c r="L636" s="183"/>
      <c r="M636" s="248" t="n">
        <f aca="false">SUM(K636:L636)</f>
        <v>0</v>
      </c>
      <c r="N636" s="182"/>
      <c r="O636" s="183"/>
      <c r="P636" s="248" t="n">
        <f aca="false">SUM(N636:O636)</f>
        <v>0</v>
      </c>
      <c r="Q636" s="162" t="str">
        <f aca="false">IF(P571=P636,"〇","×")</f>
        <v>〇</v>
      </c>
    </row>
    <row r="637" s="162" customFormat="true" ht="0.2" hidden="false" customHeight="true" outlineLevel="0" collapsed="false">
      <c r="A637" s="187"/>
      <c r="B637" s="249"/>
      <c r="C637" s="250"/>
      <c r="D637" s="251"/>
      <c r="E637" s="252"/>
      <c r="F637" s="250"/>
      <c r="G637" s="253"/>
      <c r="H637" s="256"/>
      <c r="I637" s="254"/>
      <c r="J637" s="255"/>
      <c r="K637" s="256"/>
      <c r="L637" s="254"/>
      <c r="M637" s="255"/>
      <c r="N637" s="256"/>
      <c r="O637" s="254"/>
      <c r="P637" s="255"/>
      <c r="Q637" s="162" t="str">
        <f aca="false">IF(P572=P637,"〇","×")</f>
        <v>〇</v>
      </c>
    </row>
    <row r="638" s="135" customFormat="true" ht="20.1" hidden="false" customHeight="true" outlineLevel="0" collapsed="false">
      <c r="A638" s="196" t="s">
        <v>497</v>
      </c>
      <c r="B638" s="433" t="n">
        <f aca="false">SUM(B608:B637)</f>
        <v>211755421</v>
      </c>
      <c r="C638" s="434" t="n">
        <f aca="false">SUM(C608:C637)</f>
        <v>17356405</v>
      </c>
      <c r="D638" s="435" t="n">
        <f aca="false">SUM(D608:D637)</f>
        <v>319294972</v>
      </c>
      <c r="E638" s="436" t="n">
        <f aca="false">SUM(E608:E637)</f>
        <v>18352438</v>
      </c>
      <c r="F638" s="434" t="n">
        <f aca="false">SUM(F608:F637)</f>
        <v>234260</v>
      </c>
      <c r="G638" s="437" t="n">
        <f aca="false">SUM(B638:F638)</f>
        <v>566993496</v>
      </c>
      <c r="H638" s="197" t="n">
        <f aca="false">SUM(H608:H636)</f>
        <v>135161712</v>
      </c>
      <c r="I638" s="198" t="n">
        <f aca="false">SUM(I608:I636)</f>
        <v>142765014</v>
      </c>
      <c r="J638" s="200" t="n">
        <f aca="false">SUM(H638:I638)</f>
        <v>277926726</v>
      </c>
      <c r="K638" s="197" t="n">
        <f aca="false">SUM(K608:K636)</f>
        <v>11677887</v>
      </c>
      <c r="L638" s="198" t="n">
        <f aca="false">SUM(L608:L636)</f>
        <v>12546258</v>
      </c>
      <c r="M638" s="200" t="n">
        <f aca="false">SUM(K638:L638)</f>
        <v>24224145</v>
      </c>
      <c r="N638" s="197" t="n">
        <f aca="false">SUM(N608:N636)</f>
        <v>12</v>
      </c>
      <c r="O638" s="198" t="n">
        <f aca="false">SUM(O608:O636)</f>
        <v>24</v>
      </c>
      <c r="P638" s="200" t="n">
        <f aca="false">SUM(N638:O638)</f>
        <v>36</v>
      </c>
      <c r="Q638" s="135" t="str">
        <f aca="false">IF(P573=P638,"〇","×")</f>
        <v>〇</v>
      </c>
    </row>
    <row r="639" s="162" customFormat="true" ht="0.2" hidden="false" customHeight="true" outlineLevel="0" collapsed="false">
      <c r="A639" s="174" t="s">
        <v>496</v>
      </c>
      <c r="B639" s="438"/>
      <c r="C639" s="415"/>
      <c r="D639" s="413"/>
      <c r="E639" s="414"/>
      <c r="F639" s="439"/>
      <c r="G639" s="389"/>
      <c r="H639" s="423"/>
      <c r="I639" s="261"/>
      <c r="J639" s="262"/>
      <c r="K639" s="263"/>
      <c r="L639" s="264"/>
      <c r="M639" s="265"/>
      <c r="N639" s="263"/>
      <c r="O639" s="264"/>
      <c r="P639" s="265"/>
      <c r="Q639" s="162" t="str">
        <f aca="false">IF(P574=P639,"〇","×")</f>
        <v>〇</v>
      </c>
    </row>
    <row r="640" s="162" customFormat="true" ht="0.2" hidden="false" customHeight="true" outlineLevel="0" collapsed="false">
      <c r="A640" s="266" t="s">
        <v>496</v>
      </c>
      <c r="B640" s="411"/>
      <c r="C640" s="412"/>
      <c r="D640" s="413"/>
      <c r="E640" s="414"/>
      <c r="F640" s="415"/>
      <c r="G640" s="408"/>
      <c r="H640" s="424"/>
      <c r="I640" s="269"/>
      <c r="J640" s="270"/>
      <c r="K640" s="271"/>
      <c r="L640" s="272"/>
      <c r="M640" s="273"/>
      <c r="N640" s="271"/>
      <c r="O640" s="272"/>
      <c r="P640" s="273"/>
      <c r="Q640" s="162" t="str">
        <f aca="false">IF(P575=P640,"〇","×")</f>
        <v>〇</v>
      </c>
    </row>
    <row r="641" s="135" customFormat="true" ht="20.1" hidden="false" customHeight="true" outlineLevel="0" collapsed="false">
      <c r="A641" s="214" t="s">
        <v>208</v>
      </c>
      <c r="B641" s="240" t="n">
        <f aca="false">SUMIFS(報告入力!$AY$7:$AY$696,報告入力!$A$7:$A$696,$S$587,報告入力!$B$7:$B$696,$A641)</f>
        <v>293806</v>
      </c>
      <c r="C641" s="237" t="n">
        <f aca="false">SUMIFS(報告入力!$AZ$7:$AZ$696,報告入力!$A$7:$A$696,$S$587,報告入力!$B$7:$B$696,$A641)</f>
        <v>24082</v>
      </c>
      <c r="D641" s="203" t="n">
        <f aca="false">SUMIFS(報告入力!$BA$7:$BA$696,報告入力!$A$7:$A$696,$S$587,報告入力!$B$7:$B$696,$A641)</f>
        <v>293807</v>
      </c>
      <c r="E641" s="207" t="n">
        <f aca="false">SUMIFS(報告入力!$BB$7:$BB$696,報告入力!$A$7:$A$696,$S$587,報告入力!$B$7:$B$696,$A641)</f>
        <v>24082</v>
      </c>
      <c r="F641" s="237" t="n">
        <f aca="false">SUMIFS(報告入力!$BC$7:$BC$696,報告入力!$A$7:$A$696,$S$587,報告入力!$B$7:$B$696,$A641)</f>
        <v>301</v>
      </c>
      <c r="G641" s="206" t="n">
        <f aca="false">SUM(B641:F641)</f>
        <v>636078</v>
      </c>
      <c r="H641" s="152"/>
      <c r="I641" s="155"/>
      <c r="J641" s="221" t="n">
        <f aca="false">SUM(H641:I641)</f>
        <v>0</v>
      </c>
      <c r="K641" s="152"/>
      <c r="L641" s="155"/>
      <c r="M641" s="221" t="n">
        <f aca="false">SUM(K641:L641)</f>
        <v>0</v>
      </c>
      <c r="N641" s="152"/>
      <c r="O641" s="155"/>
      <c r="P641" s="221" t="n">
        <f aca="false">SUM(N641:O641)</f>
        <v>0</v>
      </c>
      <c r="Q641" s="135" t="str">
        <f aca="false">IF(P576=P641,"〇","×")</f>
        <v>〇</v>
      </c>
      <c r="R641" s="135" t="str">
        <f aca="false">IFERROR(INDEX(報告入力!$C$7:$C$696,MATCH($S$587&amp;"|"&amp;$A641,報告入力!$CM$7:$CM$696,0)),"")</f>
        <v>未受領</v>
      </c>
    </row>
    <row r="642" s="135" customFormat="true" ht="21.75" hidden="false" customHeight="true" outlineLevel="0" collapsed="false">
      <c r="A642" s="214" t="s">
        <v>209</v>
      </c>
      <c r="B642" s="409" t="n">
        <f aca="false">SUMIFS(報告入力!$AY$7:$AY$696,報告入力!$A$7:$A$696,$S$587,報告入力!$B$7:$B$696,$A642)</f>
        <v>119773</v>
      </c>
      <c r="C642" s="410" t="n">
        <f aca="false">SUMIFS(報告入力!$AZ$7:$AZ$696,報告入力!$A$7:$A$696,$S$587,報告入力!$B$7:$B$696,$A642)</f>
        <v>9817</v>
      </c>
      <c r="D642" s="425" t="n">
        <f aca="false">SUMIFS(報告入力!$BA$7:$BA$696,報告入力!$A$7:$A$696,$S$587,報告入力!$B$7:$B$696,$A642)</f>
        <v>119774</v>
      </c>
      <c r="E642" s="426" t="n">
        <f aca="false">SUMIFS(報告入力!$BB$7:$BB$696,報告入力!$A$7:$A$696,$S$587,報告入力!$B$7:$B$696,$A642)</f>
        <v>9817</v>
      </c>
      <c r="F642" s="427" t="n">
        <f aca="false">SUMIFS(報告入力!$BC$7:$BC$696,報告入力!$A$7:$A$696,$S$587,報告入力!$B$7:$B$696,$A642)</f>
        <v>122</v>
      </c>
      <c r="G642" s="391" t="n">
        <f aca="false">SUM(B642:F642)</f>
        <v>259303</v>
      </c>
      <c r="H642" s="428"/>
      <c r="I642" s="277"/>
      <c r="J642" s="278" t="n">
        <f aca="false">SUM(H642:I642)</f>
        <v>0</v>
      </c>
      <c r="K642" s="428"/>
      <c r="L642" s="277"/>
      <c r="M642" s="278" t="n">
        <f aca="false">SUM(K642:L642)</f>
        <v>0</v>
      </c>
      <c r="N642" s="428"/>
      <c r="O642" s="277"/>
      <c r="P642" s="278" t="n">
        <f aca="false">SUM(N642:O642)</f>
        <v>0</v>
      </c>
      <c r="Q642" s="135" t="str">
        <f aca="false">IF(P577=P642,"〇","×")</f>
        <v>〇</v>
      </c>
      <c r="R642" s="135" t="str">
        <f aca="false">IFERROR(INDEX(報告入力!$C$7:$C$696,MATCH($S$587&amp;"|"&amp;$A642,報告入力!$CM$7:$CM$696,0)),"")</f>
        <v>未受領</v>
      </c>
    </row>
    <row r="643" s="135" customFormat="true" ht="19.5" hidden="false" customHeight="true" outlineLevel="0" collapsed="false">
      <c r="A643" s="196" t="s">
        <v>497</v>
      </c>
      <c r="B643" s="197" t="n">
        <f aca="false">SUM(B639:B642)</f>
        <v>413579</v>
      </c>
      <c r="C643" s="200" t="n">
        <f aca="false">SUM(C639:C642)</f>
        <v>33899</v>
      </c>
      <c r="D643" s="198" t="n">
        <f aca="false">SUM(D639:D642)</f>
        <v>413581</v>
      </c>
      <c r="E643" s="199" t="n">
        <f aca="false">SUM(E639:E642)</f>
        <v>33899</v>
      </c>
      <c r="F643" s="200" t="n">
        <f aca="false">SUM(F639:F642)</f>
        <v>423</v>
      </c>
      <c r="G643" s="201" t="n">
        <f aca="false">SUM(B643:F643)</f>
        <v>895381</v>
      </c>
      <c r="H643" s="281" t="n">
        <f aca="false">SUM(H639:H642)</f>
        <v>0</v>
      </c>
      <c r="I643" s="282" t="n">
        <f aca="false">SUM(I639:I642)</f>
        <v>0</v>
      </c>
      <c r="J643" s="283" t="n">
        <f aca="false">SUM(H643:I643)</f>
        <v>0</v>
      </c>
      <c r="K643" s="281" t="n">
        <f aca="false">SUM(K639:K642)</f>
        <v>0</v>
      </c>
      <c r="L643" s="282" t="n">
        <f aca="false">SUM(L639:L642)</f>
        <v>0</v>
      </c>
      <c r="M643" s="283" t="n">
        <f aca="false">SUM(K643:L643)</f>
        <v>0</v>
      </c>
      <c r="N643" s="281" t="n">
        <f aca="false">SUM(N639:N642)</f>
        <v>0</v>
      </c>
      <c r="O643" s="282" t="n">
        <f aca="false">SUM(O639:O642)</f>
        <v>0</v>
      </c>
      <c r="P643" s="283" t="n">
        <f aca="false">SUM(N643:O643)</f>
        <v>0</v>
      </c>
      <c r="Q643" s="135" t="str">
        <f aca="false">IF(P578=P643,"〇","×")</f>
        <v>〇</v>
      </c>
    </row>
    <row r="644" s="135" customFormat="true" ht="20.1" hidden="false" customHeight="true" outlineLevel="0" collapsed="false">
      <c r="A644" s="125" t="s">
        <v>210</v>
      </c>
      <c r="B644" s="240" t="n">
        <f aca="false">SUMIFS(報告入力!$AY$7:$AY$696,報告入力!$A$7:$A$696,$S$587,報告入力!$B$7:$B$696,$A644)</f>
        <v>27907</v>
      </c>
      <c r="C644" s="237" t="n">
        <f aca="false">SUMIFS(報告入力!$AZ$7:$AZ$696,報告入力!$A$7:$A$696,$S$587,報告入力!$B$7:$B$696,$A644)</f>
        <v>2287</v>
      </c>
      <c r="D644" s="203" t="n">
        <f aca="false">SUMIFS(報告入力!$BA$7:$BA$696,報告入力!$A$7:$A$696,$S$587,報告入力!$B$7:$B$696,$A644)</f>
        <v>27908</v>
      </c>
      <c r="E644" s="207" t="n">
        <f aca="false">SUMIFS(報告入力!$BB$7:$BB$696,報告入力!$A$7:$A$696,$S$587,報告入力!$B$7:$B$696,$A644)</f>
        <v>2287</v>
      </c>
      <c r="F644" s="337"/>
      <c r="G644" s="206" t="n">
        <f aca="false">SUM(B644:F644)</f>
        <v>60389</v>
      </c>
      <c r="H644" s="287" t="n">
        <f aca="false">SUMIFS(報告入力!$BD$7:$BD$696,報告入力!$A$7:$A$696,$S$587,報告入力!$B$7:$B$696,$A644)</f>
        <v>16778</v>
      </c>
      <c r="I644" s="208" t="n">
        <f aca="false">SUMIFS(報告入力!$BE$7:$BE$696,報告入力!$A$7:$A$696,$S$587,報告入力!$B$7:$B$696,$A644)</f>
        <v>16808</v>
      </c>
      <c r="J644" s="160" t="n">
        <f aca="false">SUM(H644:I644)</f>
        <v>33586</v>
      </c>
      <c r="K644" s="287" t="n">
        <f aca="false">SUMIFS(報告入力!$BF$7:$BF$696,報告入力!$A$7:$A$696,$S$587,報告入力!$B$7:$B$696,$A644)</f>
        <v>2409</v>
      </c>
      <c r="L644" s="208" t="n">
        <f aca="false">SUMIFS(報告入力!$BG$7:$BG$696,報告入力!$A$7:$A$696,$S$587,報告入力!$B$7:$B$696,$A644)</f>
        <v>2409</v>
      </c>
      <c r="M644" s="160" t="n">
        <f aca="false">SUM(K644:L644)</f>
        <v>4818</v>
      </c>
      <c r="N644" s="287" t="n">
        <f aca="false">SUMIFS(報告入力!$BH$7:$BH$696,報告入力!$A$7:$A$696,$S$587,報告入力!$B$7:$B$696,$A644)</f>
        <v>1</v>
      </c>
      <c r="O644" s="208" t="n">
        <f aca="false">SUMIFS(報告入力!$BI$7:$BI$696,報告入力!$A$7:$A$696,$S$587,報告入力!$B$7:$B$696,$A644)</f>
        <v>1</v>
      </c>
      <c r="P644" s="160" t="n">
        <f aca="false">SUM(N644:O644)</f>
        <v>2</v>
      </c>
      <c r="Q644" s="135" t="str">
        <f aca="false">IF(P579=P644,"〇","×")</f>
        <v>〇</v>
      </c>
      <c r="R644" s="135" t="str">
        <f aca="false">IFERROR(INDEX(報告入力!$C$7:$C$696,MATCH($S$587&amp;"|"&amp;$A644,報告入力!$CM$7:$CM$696,0)),"")</f>
        <v>未受領</v>
      </c>
    </row>
    <row r="645" s="135" customFormat="true" ht="20.1" hidden="false" customHeight="true" outlineLevel="0" collapsed="false">
      <c r="A645" s="125" t="s">
        <v>211</v>
      </c>
      <c r="B645" s="240"/>
      <c r="C645" s="237"/>
      <c r="D645" s="203"/>
      <c r="E645" s="207"/>
      <c r="F645" s="337"/>
      <c r="G645" s="206" t="n">
        <f aca="false">SUM(B645:F645)</f>
        <v>0</v>
      </c>
      <c r="H645" s="287"/>
      <c r="I645" s="208"/>
      <c r="J645" s="160" t="n">
        <f aca="false">SUM(H645:I645)</f>
        <v>0</v>
      </c>
      <c r="K645" s="287"/>
      <c r="L645" s="208"/>
      <c r="M645" s="160" t="n">
        <f aca="false">SUM(K645:L645)</f>
        <v>0</v>
      </c>
      <c r="N645" s="287"/>
      <c r="O645" s="208"/>
      <c r="P645" s="160" t="n">
        <f aca="false">SUM(N645:O645)</f>
        <v>0</v>
      </c>
      <c r="Q645" s="135" t="str">
        <f aca="false">IF(P580=P645,"〇","×")</f>
        <v>〇</v>
      </c>
      <c r="R645" s="135" t="str">
        <f aca="false">IFERROR(INDEX(報告入力!$C$7:$C$696,MATCH($S$587&amp;"|"&amp;$A645,報告入力!$CM$7:$CM$696,0)),"")</f>
        <v>報告なし</v>
      </c>
    </row>
    <row r="646" s="135" customFormat="true" ht="20.1" hidden="false" customHeight="true" outlineLevel="0" collapsed="false">
      <c r="A646" s="217" t="s">
        <v>212</v>
      </c>
      <c r="B646" s="203" t="n">
        <f aca="false">SUMIFS(報告入力!$AY$7:$AY$696,報告入力!$A$7:$A$696,$S$587,報告入力!$B$7:$B$696,$A646)</f>
        <v>43005</v>
      </c>
      <c r="C646" s="204" t="n">
        <f aca="false">SUMIFS(報告入力!$AZ$7:$AZ$696,報告入力!$A$7:$A$696,$S$587,報告入力!$B$7:$B$696,$A646)</f>
        <v>3525</v>
      </c>
      <c r="D646" s="203" t="n">
        <f aca="false">SUMIFS(報告入力!$BA$7:$BA$696,報告入力!$A$7:$A$696,$S$587,報告入力!$B$7:$B$696,$A646)</f>
        <v>43005</v>
      </c>
      <c r="E646" s="440" t="n">
        <f aca="false">SUMIFS(報告入力!$BB$7:$BB$696,報告入力!$A$7:$A$696,$S$587,報告入力!$B$7:$B$696,$A646)</f>
        <v>3525</v>
      </c>
      <c r="F646" s="337"/>
      <c r="G646" s="206" t="n">
        <f aca="false">SUM(B646:F646)</f>
        <v>93060</v>
      </c>
      <c r="H646" s="287" t="n">
        <f aca="false">SUMIFS(報告入力!$BD$7:$BD$696,報告入力!$A$7:$A$696,$S$587,報告入力!$B$7:$B$696,$A646)</f>
        <v>39936</v>
      </c>
      <c r="I646" s="208" t="n">
        <f aca="false">SUMIFS(報告入力!$BE$7:$BE$696,報告入力!$A$7:$A$696,$S$587,報告入力!$B$7:$B$696,$A646)</f>
        <v>40009</v>
      </c>
      <c r="J646" s="160" t="n">
        <f aca="false">SUM(H646:I646)</f>
        <v>79945</v>
      </c>
      <c r="K646" s="287" t="n">
        <f aca="false">SUMIFS(報告入力!$BF$7:$BF$696,報告入力!$A$7:$A$696,$S$587,報告入力!$B$7:$B$696,$A646)</f>
        <v>2022</v>
      </c>
      <c r="L646" s="208" t="n">
        <f aca="false">SUMIFS(報告入力!$BG$7:$BG$696,報告入力!$A$7:$A$696,$S$587,報告入力!$B$7:$B$696,$A646)</f>
        <v>2022</v>
      </c>
      <c r="M646" s="160" t="n">
        <f aca="false">SUM(K646:L646)</f>
        <v>4044</v>
      </c>
      <c r="N646" s="287" t="n">
        <f aca="false">SUMIFS(報告入力!$BH$7:$BH$696,報告入力!$A$7:$A$696,$S$587,報告入力!$B$7:$B$696,$A646)</f>
        <v>1</v>
      </c>
      <c r="O646" s="208" t="n">
        <f aca="false">SUMIFS(報告入力!$BI$7:$BI$696,報告入力!$A$7:$A$696,$S$587,報告入力!$B$7:$B$696,$A646)</f>
        <v>1</v>
      </c>
      <c r="P646" s="160" t="n">
        <f aca="false">SUM(N646:O646)</f>
        <v>2</v>
      </c>
      <c r="Q646" s="135" t="str">
        <f aca="false">IF(P581=P646,"〇","×")</f>
        <v>〇</v>
      </c>
      <c r="R646" s="135" t="str">
        <f aca="false">IFERROR(INDEX(報告入力!$C$7:$C$696,MATCH($S$587&amp;"|"&amp;$A646,報告入力!$CM$7:$CM$696,0)),"")</f>
        <v>未受領</v>
      </c>
    </row>
    <row r="647" s="135" customFormat="true" ht="20.1" hidden="false" customHeight="true" outlineLevel="0" collapsed="false">
      <c r="A647" s="217" t="s">
        <v>213</v>
      </c>
      <c r="B647" s="441"/>
      <c r="C647" s="442"/>
      <c r="D647" s="441"/>
      <c r="E647" s="443"/>
      <c r="F647" s="292"/>
      <c r="G647" s="444" t="n">
        <f aca="false">SUM(B647:F647)</f>
        <v>0</v>
      </c>
      <c r="H647" s="359"/>
      <c r="I647" s="358"/>
      <c r="J647" s="309" t="n">
        <f aca="false">SUM(H647:I647)</f>
        <v>0</v>
      </c>
      <c r="K647" s="359"/>
      <c r="L647" s="358"/>
      <c r="M647" s="309" t="n">
        <f aca="false">SUM(K647:L647)</f>
        <v>0</v>
      </c>
      <c r="N647" s="359"/>
      <c r="O647" s="358"/>
      <c r="P647" s="309" t="n">
        <f aca="false">SUM(N647:O647)</f>
        <v>0</v>
      </c>
      <c r="Q647" s="135" t="str">
        <f aca="false">IF(P582=P647,"〇","×")</f>
        <v>〇</v>
      </c>
      <c r="R647" s="135" t="str">
        <f aca="false">IFERROR(INDEX(報告入力!$C$7:$C$696,MATCH($S$587&amp;"|"&amp;$A647,報告入力!$CM$7:$CM$696,0)),"")</f>
        <v>報告なし</v>
      </c>
    </row>
    <row r="648" s="135" customFormat="true" ht="20.1" hidden="false" customHeight="true" outlineLevel="0" collapsed="false">
      <c r="A648" s="196" t="s">
        <v>497</v>
      </c>
      <c r="B648" s="197" t="n">
        <f aca="false">SUM(B644:B647)</f>
        <v>70912</v>
      </c>
      <c r="C648" s="201" t="n">
        <f aca="false">SUM(C644:C647)</f>
        <v>5812</v>
      </c>
      <c r="D648" s="197" t="n">
        <f aca="false">SUM(D644:D647)</f>
        <v>70913</v>
      </c>
      <c r="E648" s="199" t="n">
        <f aca="false">SUM(E644:E647)</f>
        <v>5812</v>
      </c>
      <c r="F648" s="200" t="n">
        <f aca="false">SUM(F644:F647)</f>
        <v>0</v>
      </c>
      <c r="G648" s="201" t="n">
        <f aca="false">SUM(B648:F648)</f>
        <v>153449</v>
      </c>
      <c r="H648" s="429" t="n">
        <f aca="false">SUM(H644:H647)</f>
        <v>56714</v>
      </c>
      <c r="I648" s="199" t="n">
        <f aca="false">SUM(I644:I647)</f>
        <v>56817</v>
      </c>
      <c r="J648" s="200" t="n">
        <f aca="false">SUM(H648:I648)</f>
        <v>113531</v>
      </c>
      <c r="K648" s="197" t="n">
        <f aca="false">SUM(K644:K647)</f>
        <v>4431</v>
      </c>
      <c r="L648" s="301" t="n">
        <f aca="false">SUM(L644:L647)</f>
        <v>4431</v>
      </c>
      <c r="M648" s="200" t="n">
        <f aca="false">SUM(K648:L648)</f>
        <v>8862</v>
      </c>
      <c r="N648" s="197" t="n">
        <f aca="false">SUM(N644:N647)</f>
        <v>2</v>
      </c>
      <c r="O648" s="301" t="n">
        <f aca="false">SUM(O644:O647)</f>
        <v>2</v>
      </c>
      <c r="P648" s="200" t="n">
        <f aca="false">SUM(N648:O648)</f>
        <v>4</v>
      </c>
      <c r="Q648" s="135" t="str">
        <f aca="false">IF(P583=P648,"〇","×")</f>
        <v>〇</v>
      </c>
    </row>
    <row r="649" s="135" customFormat="true" ht="20.1" hidden="false" customHeight="true" outlineLevel="0" collapsed="false">
      <c r="A649" s="302" t="s">
        <v>214</v>
      </c>
      <c r="B649" s="303"/>
      <c r="C649" s="304"/>
      <c r="D649" s="305"/>
      <c r="E649" s="306"/>
      <c r="F649" s="292"/>
      <c r="G649" s="293"/>
      <c r="H649" s="299"/>
      <c r="I649" s="339"/>
      <c r="J649" s="296" t="n">
        <f aca="false">SUM(H649:I649)</f>
        <v>0</v>
      </c>
      <c r="K649" s="299"/>
      <c r="L649" s="339"/>
      <c r="M649" s="296" t="n">
        <f aca="false">SUM(K649:L649)</f>
        <v>0</v>
      </c>
      <c r="N649" s="299"/>
      <c r="O649" s="339"/>
      <c r="P649" s="296" t="n">
        <f aca="false">SUM(N649:O649)</f>
        <v>0</v>
      </c>
      <c r="Q649" s="135" t="str">
        <f aca="false">IF(P584=P649,"〇","×")</f>
        <v>×</v>
      </c>
      <c r="R649" s="135" t="str">
        <f aca="false">IFERROR(INDEX(報告入力!$C$7:$C$696,MATCH($S$587&amp;"|"&amp;$A649,報告入力!$CM$7:$CM$696,0)),"")</f>
        <v>報告なし</v>
      </c>
    </row>
    <row r="650" s="135" customFormat="true" ht="30" hidden="false" customHeight="true" outlineLevel="0" collapsed="false">
      <c r="A650" s="310" t="s">
        <v>499</v>
      </c>
      <c r="B650" s="311" t="n">
        <f aca="false">SUM(+B607+B638+B643+B648+B649)</f>
        <v>870859030</v>
      </c>
      <c r="C650" s="312" t="n">
        <f aca="false">SUM(+C607+C638+C643+C648+C649)</f>
        <v>71390536</v>
      </c>
      <c r="D650" s="311" t="n">
        <f aca="false">SUM(+D607+D638+D643+D648+D649)</f>
        <v>1271133608</v>
      </c>
      <c r="E650" s="313" t="n">
        <f aca="false">SUM(+E607+E638+E643+E648+E649)</f>
        <v>71393944</v>
      </c>
      <c r="F650" s="312" t="n">
        <f aca="false">SUM(+F607+F638+F643+F648+F649)</f>
        <v>905702</v>
      </c>
      <c r="G650" s="314" t="n">
        <f aca="false">SUM(B650:F650)</f>
        <v>2285682820</v>
      </c>
      <c r="H650" s="317" t="n">
        <f aca="false">SUM(+H607+H638+H643+H648+H649)</f>
        <v>628299535</v>
      </c>
      <c r="I650" s="315" t="n">
        <f aca="false">SUM(+I607+I638+I643+I648+I649)</f>
        <v>637398784</v>
      </c>
      <c r="J650" s="316" t="n">
        <f aca="false">SUM(H650:I650)</f>
        <v>1265698319</v>
      </c>
      <c r="K650" s="317" t="n">
        <f aca="false">SUM(+K607+K638+K643+K648+K649)</f>
        <v>56098280</v>
      </c>
      <c r="L650" s="315" t="n">
        <f aca="false">SUM(+L607+L638+L643+L648+L649)</f>
        <v>56103444</v>
      </c>
      <c r="M650" s="316" t="n">
        <f aca="false">SUM(K650:L650)</f>
        <v>112201724</v>
      </c>
      <c r="N650" s="317" t="n">
        <f aca="false">SUM(+N607+N638+N643+N648+N649)</f>
        <v>26</v>
      </c>
      <c r="O650" s="315" t="n">
        <f aca="false">SUM(+O607+O638+O643+O648+O649)</f>
        <v>38</v>
      </c>
      <c r="P650" s="316" t="n">
        <f aca="false">SUM(N650:O650)</f>
        <v>64</v>
      </c>
      <c r="Q650" s="135" t="str">
        <f aca="false">IF(P585=P650,"〇","×")</f>
        <v>×</v>
      </c>
    </row>
    <row r="651" s="341" customFormat="true" ht="39" hidden="false" customHeight="true" outlineLevel="0" collapsed="false">
      <c r="A651" s="340"/>
      <c r="G651" s="109"/>
      <c r="Q651" s="341" t="str">
        <f aca="false">IF(P586=P651,"〇","×")</f>
        <v>〇</v>
      </c>
    </row>
    <row r="652" s="322" customFormat="true" ht="30" hidden="false" customHeight="true" outlineLevel="0" collapsed="false">
      <c r="A652" s="320"/>
      <c r="B652" s="416" t="n">
        <f aca="false">EOMONTH(B522,1)</f>
        <v>46387</v>
      </c>
      <c r="C652" s="416"/>
      <c r="D652" s="416"/>
      <c r="E652" s="416"/>
      <c r="F652" s="416"/>
      <c r="G652" s="416"/>
      <c r="H652" s="112" t="n">
        <f aca="false">B652</f>
        <v>46387</v>
      </c>
      <c r="I652" s="112"/>
      <c r="J652" s="112"/>
      <c r="K652" s="112" t="n">
        <f aca="false">H652</f>
        <v>46387</v>
      </c>
      <c r="L652" s="112"/>
      <c r="M652" s="112"/>
      <c r="N652" s="112" t="n">
        <f aca="false">K652</f>
        <v>46387</v>
      </c>
      <c r="O652" s="112"/>
      <c r="P652" s="112"/>
      <c r="Q652" s="322" t="str">
        <f aca="false">IF(P587=P652,"〇","×")</f>
        <v>〇</v>
      </c>
      <c r="S652" s="322" t="s">
        <v>511</v>
      </c>
    </row>
    <row r="653" customFormat="false" ht="22.5" hidden="false" customHeight="true" outlineLevel="0" collapsed="false">
      <c r="A653" s="114" t="s">
        <v>483</v>
      </c>
      <c r="B653" s="114" t="s">
        <v>484</v>
      </c>
      <c r="C653" s="114"/>
      <c r="D653" s="114"/>
      <c r="E653" s="114"/>
      <c r="F653" s="114"/>
      <c r="G653" s="114"/>
      <c r="H653" s="116" t="s">
        <v>485</v>
      </c>
      <c r="I653" s="116"/>
      <c r="J653" s="116"/>
      <c r="K653" s="116" t="s">
        <v>486</v>
      </c>
      <c r="L653" s="116"/>
      <c r="M653" s="116"/>
      <c r="N653" s="116" t="str">
        <f aca="false">$N$3</f>
        <v>子ども・子育て支援納付金</v>
      </c>
      <c r="O653" s="116"/>
      <c r="P653" s="116"/>
      <c r="Q653" s="105" t="str">
        <f aca="false">IF(P588=P653,"〇","×")</f>
        <v>〇</v>
      </c>
    </row>
    <row r="654" customFormat="false" ht="22.5" hidden="false" customHeight="true" outlineLevel="0" collapsed="false">
      <c r="A654" s="114"/>
      <c r="B654" s="117" t="s">
        <v>487</v>
      </c>
      <c r="C654" s="117"/>
      <c r="D654" s="117" t="s">
        <v>488</v>
      </c>
      <c r="E654" s="117"/>
      <c r="F654" s="117"/>
      <c r="G654" s="117" t="s">
        <v>489</v>
      </c>
      <c r="H654" s="121" t="s">
        <v>490</v>
      </c>
      <c r="I654" s="119" t="s">
        <v>491</v>
      </c>
      <c r="J654" s="120" t="s">
        <v>489</v>
      </c>
      <c r="K654" s="121" t="s">
        <v>490</v>
      </c>
      <c r="L654" s="119" t="s">
        <v>491</v>
      </c>
      <c r="M654" s="120" t="s">
        <v>489</v>
      </c>
      <c r="N654" s="121" t="s">
        <v>490</v>
      </c>
      <c r="O654" s="119" t="s">
        <v>491</v>
      </c>
      <c r="P654" s="120" t="s">
        <v>489</v>
      </c>
      <c r="Q654" s="105" t="str">
        <f aca="false">IF(P589=P654,"〇","×")</f>
        <v>〇</v>
      </c>
    </row>
    <row r="655" customFormat="false" ht="22.5" hidden="false" customHeight="true" outlineLevel="0" collapsed="false">
      <c r="A655" s="114"/>
      <c r="B655" s="122" t="s">
        <v>492</v>
      </c>
      <c r="C655" s="123" t="s">
        <v>493</v>
      </c>
      <c r="D655" s="124" t="s">
        <v>492</v>
      </c>
      <c r="E655" s="124" t="s">
        <v>494</v>
      </c>
      <c r="F655" s="123" t="s">
        <v>93</v>
      </c>
      <c r="G655" s="117"/>
      <c r="H655" s="121"/>
      <c r="I655" s="119"/>
      <c r="J655" s="120"/>
      <c r="K655" s="121"/>
      <c r="L655" s="119"/>
      <c r="M655" s="120"/>
      <c r="N655" s="121"/>
      <c r="O655" s="119"/>
      <c r="P655" s="120"/>
      <c r="Q655" s="105" t="str">
        <f aca="false">IF(P590=P655,"〇","×")</f>
        <v>〇</v>
      </c>
    </row>
    <row r="656" s="135" customFormat="true" ht="20.1" hidden="false" customHeight="true" outlineLevel="0" collapsed="false">
      <c r="A656" s="125" t="s">
        <v>166</v>
      </c>
      <c r="B656" s="240" t="n">
        <f aca="false">SUMIFS(報告入力!$AY$7:$AY$696,報告入力!$A$7:$A$696,$S$652,報告入力!$B$7:$B$696,$A656)</f>
        <v>233126170</v>
      </c>
      <c r="C656" s="237" t="n">
        <f aca="false">SUMIFS(報告入力!$AZ$7:$AZ$696,報告入力!$A$7:$A$696,$S$652,報告入力!$B$7:$B$696,$A656)</f>
        <v>19113577</v>
      </c>
      <c r="D656" s="203" t="n">
        <f aca="false">SUMIFS(報告入力!$BA$7:$BA$696,報告入力!$A$7:$A$696,$S$652,報告入力!$B$7:$B$696,$A656)</f>
        <v>339305043</v>
      </c>
      <c r="E656" s="207" t="n">
        <f aca="false">SUMIFS(報告入力!$BB$7:$BB$696,報告入力!$A$7:$A$696,$S$652,報告入力!$B$7:$B$696,$A656)</f>
        <v>18598079</v>
      </c>
      <c r="F656" s="237" t="n">
        <f aca="false">SUMIFS(報告入力!$BC$7:$BC$696,報告入力!$A$7:$A$696,$S$652,報告入力!$B$7:$B$696,$A656)</f>
        <v>244998</v>
      </c>
      <c r="G656" s="206" t="n">
        <f aca="false">SUM(B656:F656)</f>
        <v>610387867</v>
      </c>
      <c r="H656" s="240" t="n">
        <f aca="false">SUMIFS(報告入力!$BD$7:$BD$696,報告入力!$A$7:$A$696,$S$652,報告入力!$B$7:$B$696,$A656)</f>
        <v>180684280</v>
      </c>
      <c r="I656" s="208" t="n">
        <f aca="false">SUMIFS(報告入力!$BE$7:$BE$696,報告入力!$A$7:$A$696,$S$652,報告入力!$B$7:$B$696,$A656)</f>
        <v>179903134</v>
      </c>
      <c r="J656" s="418" t="n">
        <f aca="false">SUM(H656:I656)</f>
        <v>360587414</v>
      </c>
      <c r="K656" s="385" t="n">
        <f aca="false">SUMIFS(報告入力!$BF$7:$BF$696,報告入力!$A$7:$A$696,$S$652,報告入力!$B$7:$B$696,$A656)</f>
        <v>15817033</v>
      </c>
      <c r="L656" s="387" t="n">
        <f aca="false">SUMIFS(報告入力!$BG$7:$BG$696,報告入力!$A$7:$A$696,$S$652,報告入力!$B$7:$B$696,$A656)</f>
        <v>15370794</v>
      </c>
      <c r="M656" s="206" t="n">
        <f aca="false">SUM(K656:L656)</f>
        <v>31187827</v>
      </c>
      <c r="N656" s="385" t="n">
        <f aca="false">SUMIFS(報告入力!$BH$7:$BH$696,報告入力!$A$7:$A$696,$S$652,報告入力!$B$7:$B$696,$A656)</f>
        <v>1</v>
      </c>
      <c r="O656" s="387" t="n">
        <f aca="false">SUMIFS(報告入力!$BI$7:$BI$696,報告入力!$A$7:$A$696,$S$652,報告入力!$B$7:$B$696,$A656)</f>
        <v>1</v>
      </c>
      <c r="P656" s="206" t="n">
        <f aca="false">SUM(N656:O656)</f>
        <v>2</v>
      </c>
      <c r="Q656" s="135" t="str">
        <f aca="false">IF(P591=P656,"〇","×")</f>
        <v>〇</v>
      </c>
      <c r="R656" s="135" t="str">
        <f aca="false">IFERROR(INDEX(報告入力!$C$7:$C$696,MATCH($S$652&amp;"|"&amp;$A656,報告入力!$CM$7:$CM$696,0)),"")</f>
        <v>未受領</v>
      </c>
    </row>
    <row r="657" s="135" customFormat="true" ht="20.1" hidden="false" customHeight="true" outlineLevel="0" collapsed="false">
      <c r="A657" s="125" t="s">
        <v>169</v>
      </c>
      <c r="B657" s="240" t="n">
        <f aca="false">SUMIFS(報告入力!$AY$7:$AY$696,報告入力!$A$7:$A$696,$S$652,報告入力!$B$7:$B$696,$A657)</f>
        <v>16545945</v>
      </c>
      <c r="C657" s="237" t="n">
        <f aca="false">SUMIFS(報告入力!$AZ$7:$AZ$696,報告入力!$A$7:$A$696,$S$652,報告入力!$B$7:$B$696,$A657)</f>
        <v>1356225</v>
      </c>
      <c r="D657" s="203" t="n">
        <f aca="false">SUMIFS(報告入力!$BA$7:$BA$696,報告入力!$A$7:$A$696,$S$652,報告入力!$B$7:$B$696,$A657)</f>
        <v>24116790</v>
      </c>
      <c r="E657" s="207" t="n">
        <f aca="false">SUMIFS(報告入力!$BB$7:$BB$696,報告入力!$A$7:$A$696,$S$652,報告入力!$B$7:$B$696,$A657)</f>
        <v>1356225</v>
      </c>
      <c r="F657" s="237" t="n">
        <f aca="false">SUMIFS(報告入力!$BC$7:$BC$696,報告入力!$A$7:$A$696,$S$652,報告入力!$B$7:$B$696,$A657)</f>
        <v>17124</v>
      </c>
      <c r="G657" s="206" t="n">
        <f aca="false">SUM(B657:F657)</f>
        <v>43392309</v>
      </c>
      <c r="H657" s="240" t="n">
        <f aca="false">SUMIFS(報告入力!$BD$7:$BD$696,報告入力!$A$7:$A$696,$S$652,報告入力!$B$7:$B$696,$A657)</f>
        <v>10364462</v>
      </c>
      <c r="I657" s="208" t="n">
        <f aca="false">SUMIFS(報告入力!$BE$7:$BE$696,報告入力!$A$7:$A$696,$S$652,報告入力!$B$7:$B$696,$A657)</f>
        <v>10548958</v>
      </c>
      <c r="J657" s="418" t="n">
        <f aca="false">SUM(H657:I657)</f>
        <v>20913420</v>
      </c>
      <c r="K657" s="240" t="n">
        <f aca="false">SUMIFS(報告入力!$BF$7:$BF$696,報告入力!$A$7:$A$696,$S$652,報告入力!$B$7:$B$696,$A657)</f>
        <v>1033666</v>
      </c>
      <c r="L657" s="387" t="n">
        <f aca="false">SUMIFS(報告入力!$BG$7:$BG$696,報告入力!$A$7:$A$696,$S$652,報告入力!$B$7:$B$696,$A657)</f>
        <v>1033666</v>
      </c>
      <c r="M657" s="206" t="n">
        <f aca="false">SUM(K657:L657)</f>
        <v>2067332</v>
      </c>
      <c r="N657" s="240" t="n">
        <f aca="false">SUMIFS(報告入力!$BH$7:$BH$696,報告入力!$A$7:$A$696,$S$652,報告入力!$B$7:$B$696,$A657)</f>
        <v>1</v>
      </c>
      <c r="O657" s="387" t="n">
        <f aca="false">SUMIFS(報告入力!$BI$7:$BI$696,報告入力!$A$7:$A$696,$S$652,報告入力!$B$7:$B$696,$A657)</f>
        <v>1</v>
      </c>
      <c r="P657" s="206" t="n">
        <f aca="false">SUM(N657:O657)</f>
        <v>2</v>
      </c>
      <c r="Q657" s="135" t="str">
        <f aca="false">IF(P592=P657,"〇","×")</f>
        <v>〇</v>
      </c>
      <c r="R657" s="135" t="str">
        <f aca="false">IFERROR(INDEX(報告入力!$C$7:$C$696,MATCH($S$652&amp;"|"&amp;$A657,報告入力!$CM$7:$CM$696,0)),"")</f>
        <v>未受領</v>
      </c>
    </row>
    <row r="658" s="135" customFormat="true" ht="20.1" hidden="false" customHeight="true" outlineLevel="0" collapsed="false">
      <c r="A658" s="125" t="s">
        <v>170</v>
      </c>
      <c r="B658" s="240" t="n">
        <f aca="false">SUMIFS(報告入力!$AY$7:$AY$696,報告入力!$A$7:$A$696,$S$652,報告入力!$B$7:$B$696,$A658)</f>
        <v>53599145</v>
      </c>
      <c r="C658" s="237" t="n">
        <f aca="false">SUMIFS(報告入力!$AZ$7:$AZ$696,報告入力!$A$7:$A$696,$S$652,報告入力!$B$7:$B$696,$A658)</f>
        <v>4393373</v>
      </c>
      <c r="D658" s="203" t="n">
        <f aca="false">SUMIFS(報告入力!$BA$7:$BA$696,報告入力!$A$7:$A$696,$S$652,報告入力!$B$7:$B$696,$A658)</f>
        <v>78064589</v>
      </c>
      <c r="E658" s="207" t="n">
        <f aca="false">SUMIFS(報告入力!$BB$7:$BB$696,報告入力!$A$7:$A$696,$S$652,報告入力!$B$7:$B$696,$A658)</f>
        <v>4380998</v>
      </c>
      <c r="F658" s="237" t="n">
        <f aca="false">SUMIFS(報告入力!$BC$7:$BC$696,報告入力!$A$7:$A$696,$S$652,報告入力!$B$7:$B$696,$A658)</f>
        <v>55464</v>
      </c>
      <c r="G658" s="206" t="n">
        <f aca="false">SUM(B658:F658)</f>
        <v>140493569</v>
      </c>
      <c r="H658" s="240" t="n">
        <f aca="false">SUMIFS(報告入力!$BD$7:$BD$696,報告入力!$A$7:$A$696,$S$652,報告入力!$B$7:$B$696,$A658)</f>
        <v>32951456</v>
      </c>
      <c r="I658" s="208" t="n">
        <f aca="false">SUMIFS(報告入力!$BE$7:$BE$696,報告入力!$A$7:$A$696,$S$652,報告入力!$B$7:$B$696,$A658)</f>
        <v>33419569</v>
      </c>
      <c r="J658" s="418" t="n">
        <f aca="false">SUM(H658:I658)</f>
        <v>66371025</v>
      </c>
      <c r="K658" s="240" t="n">
        <f aca="false">SUMIFS(報告入力!$BF$7:$BF$696,報告入力!$A$7:$A$696,$S$652,報告入力!$B$7:$B$696,$A658)</f>
        <v>1989423</v>
      </c>
      <c r="L658" s="387" t="n">
        <f aca="false">SUMIFS(報告入力!$BG$7:$BG$696,報告入力!$A$7:$A$696,$S$652,報告入力!$B$7:$B$696,$A658)</f>
        <v>1982394</v>
      </c>
      <c r="M658" s="206" t="n">
        <f aca="false">SUM(K658:L658)</f>
        <v>3971817</v>
      </c>
      <c r="N658" s="240" t="n">
        <f aca="false">SUMIFS(報告入力!$BH$7:$BH$696,報告入力!$A$7:$A$696,$S$652,報告入力!$B$7:$B$696,$A658)</f>
        <v>1</v>
      </c>
      <c r="O658" s="387" t="n">
        <f aca="false">SUMIFS(報告入力!$BI$7:$BI$696,報告入力!$A$7:$A$696,$S$652,報告入力!$B$7:$B$696,$A658)</f>
        <v>1</v>
      </c>
      <c r="P658" s="206" t="n">
        <f aca="false">SUM(N658:O658)</f>
        <v>2</v>
      </c>
      <c r="Q658" s="135" t="str">
        <f aca="false">IF(P593=P658,"〇","×")</f>
        <v>〇</v>
      </c>
      <c r="R658" s="135" t="str">
        <f aca="false">IFERROR(INDEX(報告入力!$C$7:$C$696,MATCH($S$652&amp;"|"&amp;$A658,報告入力!$CM$7:$CM$696,0)),"")</f>
        <v>未受領</v>
      </c>
    </row>
    <row r="659" s="135" customFormat="true" ht="20.1" hidden="false" customHeight="true" outlineLevel="0" collapsed="false">
      <c r="A659" s="125" t="s">
        <v>171</v>
      </c>
      <c r="B659" s="240" t="n">
        <f aca="false">SUMIFS(報告入力!$AY$7:$AY$696,報告入力!$A$7:$A$696,$S$652,報告入力!$B$7:$B$696,$A659)</f>
        <v>1740330</v>
      </c>
      <c r="C659" s="237" t="n">
        <f aca="false">SUMIFS(報告入力!$AZ$7:$AZ$696,報告入力!$A$7:$A$696,$S$652,報告入力!$B$7:$B$696,$A659)</f>
        <v>142650</v>
      </c>
      <c r="D659" s="203" t="n">
        <f aca="false">SUMIFS(報告入力!$BA$7:$BA$696,報告入力!$A$7:$A$696,$S$652,報告入力!$B$7:$B$696,$A659)</f>
        <v>2539620</v>
      </c>
      <c r="E659" s="207" t="n">
        <f aca="false">SUMIFS(報告入力!$BB$7:$BB$696,報告入力!$A$7:$A$696,$S$652,報告入力!$B$7:$B$696,$A659)</f>
        <v>142650</v>
      </c>
      <c r="F659" s="237" t="n">
        <f aca="false">SUMIFS(報告入力!$BC$7:$BC$696,報告入力!$A$7:$A$696,$S$652,報告入力!$B$7:$B$696,$A659)</f>
        <v>1808</v>
      </c>
      <c r="G659" s="206" t="n">
        <f aca="false">SUM(B659:F659)</f>
        <v>4567058</v>
      </c>
      <c r="H659" s="240" t="n">
        <f aca="false">SUMIFS(報告入力!$BD$7:$BD$696,報告入力!$A$7:$A$696,$S$652,報告入力!$B$7:$B$696,$A659)</f>
        <v>1055074</v>
      </c>
      <c r="I659" s="208" t="n">
        <f aca="false">SUMIFS(報告入力!$BE$7:$BE$696,報告入力!$A$7:$A$696,$S$652,報告入力!$B$7:$B$696,$A659)</f>
        <v>1073929</v>
      </c>
      <c r="J659" s="418" t="n">
        <f aca="false">SUM(H659:I659)</f>
        <v>2129003</v>
      </c>
      <c r="K659" s="240" t="n">
        <f aca="false">SUMIFS(報告入力!$BF$7:$BF$696,報告入力!$A$7:$A$696,$S$652,報告入力!$B$7:$B$696,$A659)</f>
        <v>99935</v>
      </c>
      <c r="L659" s="387" t="n">
        <f aca="false">SUMIFS(報告入力!$BG$7:$BG$696,報告入力!$A$7:$A$696,$S$652,報告入力!$B$7:$B$696,$A659)</f>
        <v>99935</v>
      </c>
      <c r="M659" s="206" t="n">
        <f aca="false">SUM(K659:L659)</f>
        <v>199870</v>
      </c>
      <c r="N659" s="240" t="n">
        <f aca="false">SUMIFS(報告入力!$BH$7:$BH$696,報告入力!$A$7:$A$696,$S$652,報告入力!$B$7:$B$696,$A659)</f>
        <v>1</v>
      </c>
      <c r="O659" s="387" t="n">
        <f aca="false">SUMIFS(報告入力!$BI$7:$BI$696,報告入力!$A$7:$A$696,$S$652,報告入力!$B$7:$B$696,$A659)</f>
        <v>1</v>
      </c>
      <c r="P659" s="206" t="n">
        <f aca="false">SUM(N659:O659)</f>
        <v>2</v>
      </c>
      <c r="Q659" s="135" t="str">
        <f aca="false">IF(P594=P659,"〇","×")</f>
        <v>〇</v>
      </c>
      <c r="R659" s="135" t="str">
        <f aca="false">IFERROR(INDEX(報告入力!$C$7:$C$696,MATCH($S$652&amp;"|"&amp;$A659,報告入力!$CM$7:$CM$696,0)),"")</f>
        <v>未受領</v>
      </c>
    </row>
    <row r="660" s="135" customFormat="true" ht="20.1" hidden="false" customHeight="true" outlineLevel="0" collapsed="false">
      <c r="A660" s="125" t="s">
        <v>172</v>
      </c>
      <c r="B660" s="240" t="n">
        <f aca="false">SUMIFS(報告入力!$AY$7:$AY$696,報告入力!$A$7:$A$696,$S$652,報告入力!$B$7:$B$696,$A660)</f>
        <v>24097440</v>
      </c>
      <c r="C660" s="237" t="n">
        <f aca="false">SUMIFS(報告入力!$AZ$7:$AZ$696,報告入力!$A$7:$A$696,$S$652,報告入力!$B$7:$B$696,$A660)</f>
        <v>1975200</v>
      </c>
      <c r="D660" s="203" t="n">
        <f aca="false">SUMIFS(報告入力!$BA$7:$BA$696,報告入力!$A$7:$A$696,$S$652,報告入力!$B$7:$B$696,$A660)</f>
        <v>35096235</v>
      </c>
      <c r="E660" s="207" t="n">
        <f aca="false">SUMIFS(報告入力!$BB$7:$BB$696,報告入力!$A$7:$A$696,$S$652,報告入力!$B$7:$B$696,$A660)</f>
        <v>1970850</v>
      </c>
      <c r="F660" s="237" t="n">
        <f aca="false">SUMIFS(報告入力!$BC$7:$BC$696,報告入力!$A$7:$A$696,$S$652,報告入力!$B$7:$B$696,$A660)</f>
        <v>25002</v>
      </c>
      <c r="G660" s="206" t="n">
        <f aca="false">SUM(B660:F660)</f>
        <v>63164727</v>
      </c>
      <c r="H660" s="387" t="n">
        <f aca="false">SUMIFS(報告入力!$BD$7:$BD$696,報告入力!$A$7:$A$696,$S$652,報告入力!$B$7:$B$696,$A660)</f>
        <v>25721646</v>
      </c>
      <c r="I660" s="207" t="n">
        <f aca="false">SUMIFS(報告入力!$BE$7:$BE$696,報告入力!$A$7:$A$696,$S$652,報告入力!$B$7:$B$696,$A660)</f>
        <v>26142323</v>
      </c>
      <c r="J660" s="432" t="n">
        <f aca="false">SUM(H660:I660)</f>
        <v>51863969</v>
      </c>
      <c r="K660" s="239" t="n">
        <f aca="false">SUMIFS(報告入力!$BF$7:$BF$696,報告入力!$A$7:$A$696,$S$652,報告入力!$B$7:$B$696,$A660)</f>
        <v>2801399</v>
      </c>
      <c r="L660" s="238" t="n">
        <f aca="false">SUMIFS(報告入力!$BG$7:$BG$696,報告入力!$A$7:$A$696,$S$652,報告入力!$B$7:$B$696,$A660)</f>
        <v>2801572</v>
      </c>
      <c r="M660" s="206" t="n">
        <f aca="false">SUM(K660:L660)</f>
        <v>5602971</v>
      </c>
      <c r="N660" s="239" t="n">
        <f aca="false">SUMIFS(報告入力!$BH$7:$BH$696,報告入力!$A$7:$A$696,$S$652,報告入力!$B$7:$B$696,$A660)</f>
        <v>1</v>
      </c>
      <c r="O660" s="238" t="n">
        <f aca="false">SUMIFS(報告入力!$BI$7:$BI$696,報告入力!$A$7:$A$696,$S$652,報告入力!$B$7:$B$696,$A660)</f>
        <v>1</v>
      </c>
      <c r="P660" s="206" t="n">
        <f aca="false">SUM(N660:O660)</f>
        <v>2</v>
      </c>
      <c r="Q660" s="135" t="str">
        <f aca="false">IF(P595=P660,"〇","×")</f>
        <v>〇</v>
      </c>
      <c r="R660" s="135" t="str">
        <f aca="false">IFERROR(INDEX(報告入力!$C$7:$C$696,MATCH($S$652&amp;"|"&amp;$A660,報告入力!$CM$7:$CM$696,0)),"")</f>
        <v>未受領</v>
      </c>
    </row>
    <row r="661" s="135" customFormat="true" ht="20.1" hidden="false" customHeight="true" outlineLevel="0" collapsed="false">
      <c r="A661" s="125" t="s">
        <v>173</v>
      </c>
      <c r="B661" s="240" t="n">
        <f aca="false">SUMIFS(報告入力!$AY$7:$AY$696,報告入力!$A$7:$A$696,$S$652,報告入力!$B$7:$B$696,$A661)</f>
        <v>280905</v>
      </c>
      <c r="C661" s="237" t="n">
        <f aca="false">SUMIFS(報告入力!$AZ$7:$AZ$696,報告入力!$A$7:$A$696,$S$652,報告入力!$B$7:$B$696,$A661)</f>
        <v>23025</v>
      </c>
      <c r="D661" s="203" t="n">
        <f aca="false">SUMIFS(報告入力!$BA$7:$BA$696,報告入力!$A$7:$A$696,$S$652,報告入力!$B$7:$B$696,$A661)</f>
        <v>408310</v>
      </c>
      <c r="E661" s="207" t="n">
        <f aca="false">SUMIFS(報告入力!$BB$7:$BB$696,報告入力!$A$7:$A$696,$S$652,報告入力!$B$7:$B$696,$A661)</f>
        <v>23025</v>
      </c>
      <c r="F661" s="237" t="n">
        <f aca="false">SUMIFS(報告入力!$BC$7:$BC$696,報告入力!$A$7:$A$696,$S$652,報告入力!$B$7:$B$696,$A661)</f>
        <v>288</v>
      </c>
      <c r="G661" s="206" t="n">
        <f aca="false">SUM(B661:F661)</f>
        <v>735553</v>
      </c>
      <c r="H661" s="240" t="n">
        <f aca="false">SUMIFS(報告入力!$BD$7:$BD$696,報告入力!$A$7:$A$696,$S$652,報告入力!$B$7:$B$696,$A661)</f>
        <v>190331</v>
      </c>
      <c r="I661" s="208" t="n">
        <f aca="false">SUMIFS(報告入力!$BE$7:$BE$696,報告入力!$A$7:$A$696,$S$652,報告入力!$B$7:$B$696,$A661)</f>
        <v>193690</v>
      </c>
      <c r="J661" s="418" t="n">
        <f aca="false">SUM(H661:I661)</f>
        <v>384021</v>
      </c>
      <c r="K661" s="240" t="n">
        <f aca="false">SUMIFS(報告入力!$BF$7:$BF$696,報告入力!$A$7:$A$696,$S$652,報告入力!$B$7:$B$696,$A661)</f>
        <v>15326</v>
      </c>
      <c r="L661" s="387" t="n">
        <f aca="false">SUMIFS(報告入力!$BG$7:$BG$696,報告入力!$A$7:$A$696,$S$652,報告入力!$B$7:$B$696,$A661)</f>
        <v>15326</v>
      </c>
      <c r="M661" s="206" t="n">
        <f aca="false">SUM(K661:L661)</f>
        <v>30652</v>
      </c>
      <c r="N661" s="240" t="n">
        <f aca="false">SUMIFS(報告入力!$BH$7:$BH$696,報告入力!$A$7:$A$696,$S$652,報告入力!$B$7:$B$696,$A661)</f>
        <v>1</v>
      </c>
      <c r="O661" s="387" t="n">
        <f aca="false">SUMIFS(報告入力!$BI$7:$BI$696,報告入力!$A$7:$A$696,$S$652,報告入力!$B$7:$B$696,$A661)</f>
        <v>1</v>
      </c>
      <c r="P661" s="206" t="n">
        <f aca="false">SUM(N661:O661)</f>
        <v>2</v>
      </c>
      <c r="Q661" s="135" t="str">
        <f aca="false">IF(P596=P661,"〇","×")</f>
        <v>〇</v>
      </c>
      <c r="R661" s="135" t="str">
        <f aca="false">IFERROR(INDEX(報告入力!$C$7:$C$696,MATCH($S$652&amp;"|"&amp;$A661,報告入力!$CM$7:$CM$696,0)),"")</f>
        <v>未受領</v>
      </c>
    </row>
    <row r="662" s="135" customFormat="true" ht="20.1" hidden="false" customHeight="true" outlineLevel="0" collapsed="false">
      <c r="A662" s="125" t="s">
        <v>174</v>
      </c>
      <c r="B662" s="240" t="n">
        <f aca="false">SUMIFS(報告入力!$AY$7:$AY$696,報告入力!$A$7:$A$696,$S$652,報告入力!$B$7:$B$696,$A662)</f>
        <v>561810</v>
      </c>
      <c r="C662" s="237" t="n">
        <f aca="false">SUMIFS(報告入力!$AZ$7:$AZ$696,報告入力!$A$7:$A$696,$S$652,報告入力!$B$7:$B$696,$A662)</f>
        <v>46050</v>
      </c>
      <c r="D662" s="203" t="n">
        <f aca="false">SUMIFS(報告入力!$BA$7:$BA$696,報告入力!$A$7:$A$696,$S$652,報告入力!$B$7:$B$696,$A662)</f>
        <v>816620</v>
      </c>
      <c r="E662" s="207" t="n">
        <f aca="false">SUMIFS(報告入力!$BB$7:$BB$696,報告入力!$A$7:$A$696,$S$652,報告入力!$B$7:$B$696,$A662)</f>
        <v>46050</v>
      </c>
      <c r="F662" s="237" t="n">
        <f aca="false">SUMIFS(報告入力!$BC$7:$BC$696,報告入力!$A$7:$A$696,$S$652,報告入力!$B$7:$B$696,$A662)</f>
        <v>576</v>
      </c>
      <c r="G662" s="206" t="n">
        <f aca="false">SUM(B662:F662)</f>
        <v>1471106</v>
      </c>
      <c r="H662" s="240" t="n">
        <f aca="false">SUMIFS(報告入力!$BD$7:$BD$696,報告入力!$A$7:$A$696,$S$652,報告入力!$B$7:$B$696,$A662)</f>
        <v>343259</v>
      </c>
      <c r="I662" s="208" t="n">
        <f aca="false">SUMIFS(報告入力!$BE$7:$BE$696,報告入力!$A$7:$A$696,$S$652,報告入力!$B$7:$B$696,$A662)</f>
        <v>349315</v>
      </c>
      <c r="J662" s="418" t="n">
        <f aca="false">SUM(H662:I662)</f>
        <v>692574</v>
      </c>
      <c r="K662" s="240" t="n">
        <f aca="false">SUMIFS(報告入力!$BF$7:$BF$696,報告入力!$A$7:$A$696,$S$652,報告入力!$B$7:$B$696,$A662)</f>
        <v>32232</v>
      </c>
      <c r="L662" s="387" t="n">
        <f aca="false">SUMIFS(報告入力!$BG$7:$BG$696,報告入力!$A$7:$A$696,$S$652,報告入力!$B$7:$B$696,$A662)</f>
        <v>32232</v>
      </c>
      <c r="M662" s="206" t="n">
        <f aca="false">SUM(K662:L662)</f>
        <v>64464</v>
      </c>
      <c r="N662" s="240" t="n">
        <f aca="false">SUMIFS(報告入力!$BH$7:$BH$696,報告入力!$A$7:$A$696,$S$652,報告入力!$B$7:$B$696,$A662)</f>
        <v>1</v>
      </c>
      <c r="O662" s="387" t="n">
        <f aca="false">SUMIFS(報告入力!$BI$7:$BI$696,報告入力!$A$7:$A$696,$S$652,報告入力!$B$7:$B$696,$A662)</f>
        <v>1</v>
      </c>
      <c r="P662" s="206" t="n">
        <f aca="false">SUM(N662:O662)</f>
        <v>2</v>
      </c>
      <c r="Q662" s="135" t="str">
        <f aca="false">IF(P597=P662,"〇","×")</f>
        <v>〇</v>
      </c>
      <c r="R662" s="135" t="str">
        <f aca="false">IFERROR(INDEX(報告入力!$C$7:$C$696,MATCH($S$652&amp;"|"&amp;$A662,報告入力!$CM$7:$CM$696,0)),"")</f>
        <v>未受領</v>
      </c>
    </row>
    <row r="663" s="135" customFormat="true" ht="20.1" hidden="false" customHeight="true" outlineLevel="0" collapsed="false">
      <c r="A663" s="125" t="s">
        <v>175</v>
      </c>
      <c r="B663" s="240" t="n">
        <f aca="false">SUMIFS(報告入力!$AY$7:$AY$696,報告入力!$A$7:$A$696,$S$652,報告入力!$B$7:$B$696,$A663)</f>
        <v>1344135</v>
      </c>
      <c r="C663" s="237" t="n">
        <f aca="false">SUMIFS(報告入力!$AZ$7:$AZ$696,報告入力!$A$7:$A$696,$S$652,報告入力!$B$7:$B$696,$A663)</f>
        <v>110175</v>
      </c>
      <c r="D663" s="203" t="n">
        <f aca="false">SUMIFS(報告入力!$BA$7:$BA$696,報告入力!$A$7:$A$696,$S$652,報告入力!$B$7:$B$696,$A663)</f>
        <v>1965390</v>
      </c>
      <c r="E663" s="207" t="n">
        <f aca="false">SUMIFS(報告入力!$BB$7:$BB$696,報告入力!$A$7:$A$696,$S$652,報告入力!$B$7:$B$696,$A663)</f>
        <v>110175</v>
      </c>
      <c r="F663" s="237" t="n">
        <f aca="false">SUMIFS(報告入力!$BC$7:$BC$696,報告入力!$A$7:$A$696,$S$652,報告入力!$B$7:$B$696,$A663)</f>
        <v>1405</v>
      </c>
      <c r="G663" s="206" t="n">
        <f aca="false">SUM(B663:F663)</f>
        <v>3531280</v>
      </c>
      <c r="H663" s="240" t="n">
        <f aca="false">SUMIFS(報告入力!$BD$7:$BD$696,報告入力!$A$7:$A$696,$S$652,報告入力!$B$7:$B$696,$A663)</f>
        <v>836690</v>
      </c>
      <c r="I663" s="208" t="n">
        <f aca="false">SUMIFS(報告入力!$BE$7:$BE$696,報告入力!$A$7:$A$696,$S$652,報告入力!$B$7:$B$696,$A663)</f>
        <v>851727</v>
      </c>
      <c r="J663" s="418" t="n">
        <f aca="false">SUM(H663:I663)</f>
        <v>1688417</v>
      </c>
      <c r="K663" s="240" t="n">
        <f aca="false">SUMIFS(報告入力!$BF$7:$BF$696,報告入力!$A$7:$A$696,$S$652,報告入力!$B$7:$B$696,$A663)</f>
        <v>108309</v>
      </c>
      <c r="L663" s="387" t="n">
        <f aca="false">SUMIFS(報告入力!$BG$7:$BG$696,報告入力!$A$7:$A$696,$S$652,報告入力!$B$7:$B$696,$A663)</f>
        <v>108309</v>
      </c>
      <c r="M663" s="206" t="n">
        <f aca="false">SUM(K663:L663)</f>
        <v>216618</v>
      </c>
      <c r="N663" s="240" t="n">
        <f aca="false">SUMIFS(報告入力!$BH$7:$BH$696,報告入力!$A$7:$A$696,$S$652,報告入力!$B$7:$B$696,$A663)</f>
        <v>1</v>
      </c>
      <c r="O663" s="387" t="n">
        <f aca="false">SUMIFS(報告入力!$BI$7:$BI$696,報告入力!$A$7:$A$696,$S$652,報告入力!$B$7:$B$696,$A663)</f>
        <v>1</v>
      </c>
      <c r="P663" s="206" t="n">
        <f aca="false">SUM(N663:O663)</f>
        <v>2</v>
      </c>
      <c r="Q663" s="135" t="str">
        <f aca="false">IF(P598=P663,"〇","×")</f>
        <v>〇</v>
      </c>
      <c r="R663" s="135" t="str">
        <f aca="false">IFERROR(INDEX(報告入力!$C$7:$C$696,MATCH($S$652&amp;"|"&amp;$A663,報告入力!$CM$7:$CM$696,0)),"")</f>
        <v>未受領</v>
      </c>
    </row>
    <row r="664" s="135" customFormat="true" ht="20.1" hidden="false" customHeight="true" outlineLevel="0" collapsed="false">
      <c r="A664" s="125" t="s">
        <v>176</v>
      </c>
      <c r="B664" s="240" t="n">
        <f aca="false">SUMIFS(報告入力!$AY$7:$AY$696,報告入力!$A$7:$A$696,$S$652,報告入力!$B$7:$B$696,$A664)</f>
        <v>382470</v>
      </c>
      <c r="C664" s="237" t="n">
        <f aca="false">SUMIFS(報告入力!$AZ$7:$AZ$696,報告入力!$A$7:$A$696,$S$652,報告入力!$B$7:$B$696,$A664)</f>
        <v>31350</v>
      </c>
      <c r="D664" s="203" t="n">
        <f aca="false">SUMIFS(報告入力!$BA$7:$BA$696,報告入力!$A$7:$A$696,$S$652,報告入力!$B$7:$B$696,$A664)</f>
        <v>555940</v>
      </c>
      <c r="E664" s="207" t="n">
        <f aca="false">SUMIFS(報告入力!$BB$7:$BB$696,報告入力!$A$7:$A$696,$S$652,報告入力!$B$7:$B$696,$A664)</f>
        <v>31350</v>
      </c>
      <c r="F664" s="237" t="n">
        <f aca="false">SUMIFS(報告入力!$BC$7:$BC$696,報告入力!$A$7:$A$696,$S$652,報告入力!$B$7:$B$696,$A664)</f>
        <v>392</v>
      </c>
      <c r="G664" s="206" t="n">
        <f aca="false">SUM(B664:F664)</f>
        <v>1001502</v>
      </c>
      <c r="H664" s="240" t="n">
        <f aca="false">SUMIFS(報告入力!$BD$7:$BD$696,報告入力!$A$7:$A$696,$S$652,報告入力!$B$7:$B$696,$A664)</f>
        <v>308930</v>
      </c>
      <c r="I664" s="208" t="n">
        <f aca="false">SUMIFS(報告入力!$BE$7:$BE$696,報告入力!$A$7:$A$696,$S$652,報告入力!$B$7:$B$696,$A664)</f>
        <v>314382</v>
      </c>
      <c r="J664" s="418" t="n">
        <f aca="false">SUM(H664:I664)</f>
        <v>623312</v>
      </c>
      <c r="K664" s="240" t="n">
        <f aca="false">SUMIFS(報告入力!$BF$7:$BF$696,報告入力!$A$7:$A$696,$S$652,報告入力!$B$7:$B$696,$A664)</f>
        <v>32672</v>
      </c>
      <c r="L664" s="387" t="n">
        <f aca="false">SUMIFS(報告入力!$BG$7:$BG$696,報告入力!$A$7:$A$696,$S$652,報告入力!$B$7:$B$696,$A664)</f>
        <v>32674</v>
      </c>
      <c r="M664" s="206" t="n">
        <f aca="false">SUM(K664:L664)</f>
        <v>65346</v>
      </c>
      <c r="N664" s="240" t="n">
        <f aca="false">SUMIFS(報告入力!$BH$7:$BH$696,報告入力!$A$7:$A$696,$S$652,報告入力!$B$7:$B$696,$A664)</f>
        <v>1</v>
      </c>
      <c r="O664" s="387" t="n">
        <f aca="false">SUMIFS(報告入力!$BI$7:$BI$696,報告入力!$A$7:$A$696,$S$652,報告入力!$B$7:$B$696,$A664)</f>
        <v>1</v>
      </c>
      <c r="P664" s="206" t="n">
        <f aca="false">SUM(N664:O664)</f>
        <v>2</v>
      </c>
      <c r="Q664" s="135" t="str">
        <f aca="false">IF(P599=P664,"〇","×")</f>
        <v>〇</v>
      </c>
      <c r="R664" s="135" t="str">
        <f aca="false">IFERROR(INDEX(報告入力!$C$7:$C$696,MATCH($S$652&amp;"|"&amp;$A664,報告入力!$CM$7:$CM$696,0)),"")</f>
        <v>未受領</v>
      </c>
    </row>
    <row r="665" s="135" customFormat="true" ht="20.1" hidden="false" customHeight="true" outlineLevel="0" collapsed="false">
      <c r="A665" s="125" t="s">
        <v>177</v>
      </c>
      <c r="B665" s="240" t="n">
        <f aca="false">SUMIFS(報告入力!$AY$7:$AY$696,報告入力!$A$7:$A$696,$S$652,報告入力!$B$7:$B$696,$A665)</f>
        <v>22420245</v>
      </c>
      <c r="C665" s="237" t="n">
        <f aca="false">SUMIFS(報告入力!$AZ$7:$AZ$696,報告入力!$A$7:$A$696,$S$652,報告入力!$B$7:$B$696,$A665)</f>
        <v>1837725</v>
      </c>
      <c r="D665" s="203" t="n">
        <f aca="false">SUMIFS(報告入力!$BA$7:$BA$696,報告入力!$A$7:$A$696,$S$652,報告入力!$B$7:$B$696,$A665)</f>
        <v>32718055</v>
      </c>
      <c r="E665" s="207" t="n">
        <f aca="false">SUMIFS(報告入力!$BB$7:$BB$696,報告入力!$A$7:$A$696,$S$652,報告入力!$B$7:$B$696,$A665)</f>
        <v>1837725</v>
      </c>
      <c r="F665" s="237" t="n">
        <f aca="false">SUMIFS(報告入力!$BC$7:$BC$696,報告入力!$A$7:$A$696,$S$652,報告入力!$B$7:$B$696,$A665)</f>
        <v>23294</v>
      </c>
      <c r="G665" s="206" t="n">
        <f aca="false">SUM(B665:F665)</f>
        <v>58837044</v>
      </c>
      <c r="H665" s="240" t="n">
        <f aca="false">SUMIFS(報告入力!$BD$7:$BD$696,報告入力!$A$7:$A$696,$S$652,報告入力!$B$7:$B$696,$A665)</f>
        <v>14220373</v>
      </c>
      <c r="I665" s="208" t="n">
        <f aca="false">SUMIFS(報告入力!$BE$7:$BE$696,報告入力!$A$7:$A$696,$S$652,報告入力!$B$7:$B$696,$A665)</f>
        <v>14474405</v>
      </c>
      <c r="J665" s="418" t="n">
        <f aca="false">SUM(H665:I665)</f>
        <v>28694778</v>
      </c>
      <c r="K665" s="240" t="n">
        <f aca="false">SUMIFS(報告入力!$BF$7:$BF$696,報告入力!$A$7:$A$696,$S$652,報告入力!$B$7:$B$696,$A665)</f>
        <v>1341183</v>
      </c>
      <c r="L665" s="238" t="n">
        <f aca="false">SUMIFS(報告入力!$BG$7:$BG$696,報告入力!$A$7:$A$696,$S$652,報告入力!$B$7:$B$696,$A665)</f>
        <v>1341183</v>
      </c>
      <c r="M665" s="206" t="n">
        <f aca="false">SUM(K665:L665)</f>
        <v>2682366</v>
      </c>
      <c r="N665" s="240" t="n">
        <f aca="false">SUMIFS(報告入力!$BH$7:$BH$696,報告入力!$A$7:$A$696,$S$652,報告入力!$B$7:$B$696,$A665)</f>
        <v>1</v>
      </c>
      <c r="O665" s="238" t="n">
        <f aca="false">SUMIFS(報告入力!$BI$7:$BI$696,報告入力!$A$7:$A$696,$S$652,報告入力!$B$7:$B$696,$A665)</f>
        <v>1</v>
      </c>
      <c r="P665" s="206" t="n">
        <f aca="false">SUM(N665:O665)</f>
        <v>2</v>
      </c>
      <c r="Q665" s="135" t="str">
        <f aca="false">IF(P600=P665,"〇","×")</f>
        <v>〇</v>
      </c>
      <c r="R665" s="135" t="str">
        <f aca="false">IFERROR(INDEX(報告入力!$C$7:$C$696,MATCH($S$652&amp;"|"&amp;$A665,報告入力!$CM$7:$CM$696,0)),"")</f>
        <v>未受領</v>
      </c>
    </row>
    <row r="666" s="135" customFormat="true" ht="19.5" hidden="false" customHeight="true" outlineLevel="0" collapsed="false">
      <c r="A666" s="146" t="s">
        <v>495</v>
      </c>
      <c r="B666" s="240" t="n">
        <f aca="false">SUMIFS(報告入力!$AY$7:$AY$696,報告入力!$A$7:$A$696,$S$652,報告入力!$B$7:$B$696,$A666)</f>
        <v>48495</v>
      </c>
      <c r="C666" s="237" t="n">
        <f aca="false">SUMIFS(報告入力!$AZ$7:$AZ$696,報告入力!$A$7:$A$696,$S$652,報告入力!$B$7:$B$696,$A666)</f>
        <v>3975</v>
      </c>
      <c r="D666" s="203" t="n">
        <f aca="false">SUMIFS(報告入力!$BA$7:$BA$696,報告入力!$A$7:$A$696,$S$652,報告入力!$B$7:$B$696,$A666)</f>
        <v>70490</v>
      </c>
      <c r="E666" s="207" t="n">
        <f aca="false">SUMIFS(報告入力!$BB$7:$BB$696,報告入力!$A$7:$A$696,$S$652,報告入力!$B$7:$B$696,$A666)</f>
        <v>3975</v>
      </c>
      <c r="F666" s="237" t="n">
        <f aca="false">SUMIFS(報告入力!$BC$7:$BC$696,報告入力!$A$7:$A$696,$S$652,報告入力!$B$7:$B$696,$A666)</f>
        <v>49</v>
      </c>
      <c r="G666" s="206" t="n">
        <f aca="false">SUM(B666:F666)</f>
        <v>126984</v>
      </c>
      <c r="H666" s="240" t="n">
        <f aca="false">SUMIFS(報告入力!$BD$7:$BD$696,報告入力!$A$7:$A$696,$S$652,報告入力!$B$7:$B$696,$A666)</f>
        <v>29155</v>
      </c>
      <c r="I666" s="208" t="n">
        <f aca="false">SUMIFS(報告入力!$BE$7:$BE$696,報告入力!$A$7:$A$696,$S$652,報告入力!$B$7:$B$696,$A666)</f>
        <v>29669</v>
      </c>
      <c r="J666" s="418" t="n">
        <f aca="false">SUM(H666:I666)</f>
        <v>58824</v>
      </c>
      <c r="K666" s="240" t="n">
        <f aca="false">SUMIFS(報告入力!$BF$7:$BF$696,報告入力!$A$7:$A$696,$S$652,報告入力!$B$7:$B$696,$A666)</f>
        <v>4187</v>
      </c>
      <c r="L666" s="387" t="n">
        <f aca="false">SUMIFS(報告入力!$BG$7:$BG$696,報告入力!$A$7:$A$696,$S$652,報告入力!$B$7:$B$696,$A666)</f>
        <v>4187</v>
      </c>
      <c r="M666" s="206" t="n">
        <f aca="false">SUM(K666:L666)</f>
        <v>8374</v>
      </c>
      <c r="N666" s="240" t="n">
        <f aca="false">SUMIFS(報告入力!$BH$7:$BH$696,報告入力!$A$7:$A$696,$S$652,報告入力!$B$7:$B$696,$A666)</f>
        <v>1</v>
      </c>
      <c r="O666" s="387" t="n">
        <f aca="false">SUMIFS(報告入力!$BI$7:$BI$696,報告入力!$A$7:$A$696,$S$652,報告入力!$B$7:$B$696,$A666)</f>
        <v>1</v>
      </c>
      <c r="P666" s="206" t="n">
        <f aca="false">SUM(N666:O666)</f>
        <v>2</v>
      </c>
      <c r="Q666" s="135" t="str">
        <f aca="false">IF(P601=P666,"〇","×")</f>
        <v>〇</v>
      </c>
      <c r="R666" s="135" t="str">
        <f aca="false">IFERROR(INDEX(報告入力!$C$7:$C$696,MATCH($S$652&amp;"|"&amp;$A666,報告入力!$CM$7:$CM$696,0)),"")</f>
        <v>未受領</v>
      </c>
    </row>
    <row r="667" s="162" customFormat="true" ht="19.5" hidden="false" customHeight="true" outlineLevel="0" collapsed="false">
      <c r="A667" s="151" t="s">
        <v>179</v>
      </c>
      <c r="B667" s="152" t="n">
        <f aca="false">SUMIFS(報告入力!$AY$7:$AY$696,報告入力!$A$7:$A$696,$S$652,報告入力!$B$7:$B$696,$A667)</f>
        <v>0</v>
      </c>
      <c r="C667" s="153" t="n">
        <f aca="false">SUMIFS(報告入力!$AZ$7:$AZ$696,報告入力!$A$7:$A$696,$S$652,報告入力!$B$7:$B$696,$A667)</f>
        <v>0</v>
      </c>
      <c r="D667" s="154"/>
      <c r="E667" s="155"/>
      <c r="F667" s="156" t="n">
        <f aca="false">SUMIFS(報告入力!$BC$7:$BC$696,報告入力!$A$7:$A$696,$S$652,報告入力!$B$7:$B$696,$A667)</f>
        <v>0</v>
      </c>
      <c r="G667" s="157" t="n">
        <f aca="false">SUM(B667:F667)</f>
        <v>0</v>
      </c>
      <c r="H667" s="287" t="n">
        <f aca="false">SUMIFS(報告入力!$BD$7:$BD$696,報告入力!$A$7:$A$696,$S$652,報告入力!$B$7:$B$696,$A667)</f>
        <v>266011</v>
      </c>
      <c r="I667" s="208" t="n">
        <f aca="false">SUMIFS(報告入力!$BE$7:$BE$696,報告入力!$A$7:$A$696,$S$652,報告入力!$B$7:$B$696,$A667)</f>
        <v>270928</v>
      </c>
      <c r="J667" s="160" t="n">
        <f aca="false">SUM(H667:I667)</f>
        <v>536939</v>
      </c>
      <c r="K667" s="203" t="n">
        <f aca="false">SUMIFS(報告入力!$BF$7:$BF$696,報告入力!$A$7:$A$696,$S$652,報告入力!$B$7:$B$696,$A667)</f>
        <v>7678</v>
      </c>
      <c r="L667" s="207" t="n">
        <f aca="false">SUMIFS(報告入力!$BG$7:$BG$696,報告入力!$A$7:$A$696,$S$652,報告入力!$B$7:$B$696,$A667)</f>
        <v>7678</v>
      </c>
      <c r="M667" s="160" t="n">
        <f aca="false">SUM(K667:L667)</f>
        <v>15356</v>
      </c>
      <c r="N667" s="203" t="n">
        <f aca="false">SUMIFS(報告入力!$BH$7:$BH$696,報告入力!$A$7:$A$696,$S$652,報告入力!$B$7:$B$696,$A667)</f>
        <v>1</v>
      </c>
      <c r="O667" s="207" t="n">
        <f aca="false">SUMIFS(報告入力!$BI$7:$BI$696,報告入力!$A$7:$A$696,$S$652,報告入力!$B$7:$B$696,$A667)</f>
        <v>1</v>
      </c>
      <c r="P667" s="160" t="n">
        <f aca="false">SUM(N667:O667)</f>
        <v>2</v>
      </c>
      <c r="Q667" s="162" t="str">
        <f aca="false">IF(P602=P667,"〇","×")</f>
        <v>〇</v>
      </c>
      <c r="R667" s="162" t="str">
        <f aca="false">IFERROR(INDEX(報告入力!$C$7:$C$696,MATCH($S$652&amp;"|"&amp;$A667,報告入力!$CM$7:$CM$696,0)),"")</f>
        <v>未受領</v>
      </c>
    </row>
    <row r="668" s="162" customFormat="true" ht="19.5" hidden="false" customHeight="true" outlineLevel="0" collapsed="false">
      <c r="A668" s="163" t="s">
        <v>496</v>
      </c>
      <c r="B668" s="164"/>
      <c r="C668" s="165"/>
      <c r="D668" s="164"/>
      <c r="E668" s="166"/>
      <c r="F668" s="167"/>
      <c r="G668" s="168"/>
      <c r="H668" s="419"/>
      <c r="I668" s="170"/>
      <c r="J668" s="171"/>
      <c r="K668" s="172"/>
      <c r="L668" s="173"/>
      <c r="M668" s="171"/>
      <c r="N668" s="172"/>
      <c r="O668" s="173"/>
      <c r="P668" s="171"/>
      <c r="Q668" s="162" t="str">
        <f aca="false">IF(P603=P668,"〇","×")</f>
        <v>〇</v>
      </c>
    </row>
    <row r="669" s="162" customFormat="true" ht="19.5" hidden="false" customHeight="true" outlineLevel="0" collapsed="false">
      <c r="A669" s="174" t="s">
        <v>496</v>
      </c>
      <c r="B669" s="175"/>
      <c r="C669" s="176"/>
      <c r="D669" s="175"/>
      <c r="E669" s="177"/>
      <c r="F669" s="178"/>
      <c r="G669" s="179"/>
      <c r="H669" s="175"/>
      <c r="I669" s="177"/>
      <c r="J669" s="181"/>
      <c r="K669" s="182"/>
      <c r="L669" s="183"/>
      <c r="M669" s="181"/>
      <c r="N669" s="182"/>
      <c r="O669" s="183"/>
      <c r="P669" s="181"/>
      <c r="Q669" s="162" t="str">
        <f aca="false">IF(P604=P669,"〇","×")</f>
        <v>〇</v>
      </c>
    </row>
    <row r="670" s="162" customFormat="true" ht="19.5" hidden="false" customHeight="true" outlineLevel="0" collapsed="false">
      <c r="A670" s="174" t="s">
        <v>496</v>
      </c>
      <c r="B670" s="164"/>
      <c r="C670" s="165"/>
      <c r="D670" s="164"/>
      <c r="E670" s="166"/>
      <c r="F670" s="167"/>
      <c r="G670" s="168"/>
      <c r="H670" s="164"/>
      <c r="I670" s="166"/>
      <c r="J670" s="171"/>
      <c r="K670" s="185"/>
      <c r="L670" s="186"/>
      <c r="M670" s="171"/>
      <c r="N670" s="185"/>
      <c r="O670" s="186"/>
      <c r="P670" s="171"/>
      <c r="Q670" s="162" t="str">
        <f aca="false">IF(P605=P670,"〇","×")</f>
        <v>〇</v>
      </c>
    </row>
    <row r="671" s="162" customFormat="true" ht="19.5" hidden="false" customHeight="true" outlineLevel="0" collapsed="false">
      <c r="A671" s="187" t="s">
        <v>496</v>
      </c>
      <c r="B671" s="188"/>
      <c r="C671" s="189"/>
      <c r="D671" s="188"/>
      <c r="E671" s="190"/>
      <c r="F671" s="191"/>
      <c r="G671" s="192"/>
      <c r="H671" s="175"/>
      <c r="I671" s="193"/>
      <c r="J671" s="194"/>
      <c r="K671" s="182"/>
      <c r="L671" s="183"/>
      <c r="M671" s="194"/>
      <c r="N671" s="182"/>
      <c r="O671" s="183"/>
      <c r="P671" s="194"/>
      <c r="Q671" s="162" t="str">
        <f aca="false">IF(P606=P671,"〇","×")</f>
        <v>〇</v>
      </c>
    </row>
    <row r="672" s="162" customFormat="true" ht="19.5" hidden="false" customHeight="true" outlineLevel="0" collapsed="false">
      <c r="A672" s="196" t="s">
        <v>497</v>
      </c>
      <c r="B672" s="197" t="n">
        <f aca="false">SUM(B656:B671)</f>
        <v>354147090</v>
      </c>
      <c r="C672" s="198" t="n">
        <f aca="false">SUM(C656:C671)</f>
        <v>29033325</v>
      </c>
      <c r="D672" s="197" t="n">
        <f aca="false">SUM(D656:D671)</f>
        <v>515657082</v>
      </c>
      <c r="E672" s="197" t="n">
        <f aca="false">SUM(E656:E671)</f>
        <v>28501102</v>
      </c>
      <c r="F672" s="200" t="n">
        <f aca="false">SUM(F656:F671)</f>
        <v>370400</v>
      </c>
      <c r="G672" s="201" t="n">
        <f aca="false">SUM(B672:F672)</f>
        <v>927708999</v>
      </c>
      <c r="H672" s="197" t="n">
        <f aca="false">SUM(H656:H671)</f>
        <v>266971667</v>
      </c>
      <c r="I672" s="198" t="n">
        <f aca="false">SUM(I656:I671)</f>
        <v>267572029</v>
      </c>
      <c r="J672" s="200" t="n">
        <f aca="false">SUM(H672:I672)</f>
        <v>534543696</v>
      </c>
      <c r="K672" s="197" t="n">
        <f aca="false">SUM(K656:K671)</f>
        <v>23283043</v>
      </c>
      <c r="L672" s="198" t="n">
        <f aca="false">SUM(L656:L671)</f>
        <v>22829950</v>
      </c>
      <c r="M672" s="200" t="n">
        <f aca="false">SUM(K672:L672)</f>
        <v>46112993</v>
      </c>
      <c r="N672" s="197" t="n">
        <f aca="false">SUM(N656:N671)</f>
        <v>12</v>
      </c>
      <c r="O672" s="198" t="n">
        <f aca="false">SUM(O656:O671)</f>
        <v>12</v>
      </c>
      <c r="P672" s="200" t="n">
        <f aca="false">SUM(N672:O672)</f>
        <v>24</v>
      </c>
      <c r="Q672" s="162" t="str">
        <f aca="false">IF(P607=P672,"〇","×")</f>
        <v>〇</v>
      </c>
    </row>
    <row r="673" s="135" customFormat="true" ht="20.1" hidden="false" customHeight="true" outlineLevel="0" collapsed="false">
      <c r="A673" s="202" t="s">
        <v>180</v>
      </c>
      <c r="B673" s="336"/>
      <c r="C673" s="333"/>
      <c r="D673" s="324"/>
      <c r="E673" s="328"/>
      <c r="F673" s="333"/>
      <c r="G673" s="327" t="n">
        <f aca="false">SUM(B673:F673)</f>
        <v>0</v>
      </c>
      <c r="H673" s="336"/>
      <c r="I673" s="329"/>
      <c r="J673" s="421" t="n">
        <f aca="false">SUM(H673:I673)</f>
        <v>0</v>
      </c>
      <c r="K673" s="336"/>
      <c r="L673" s="365"/>
      <c r="M673" s="327" t="n">
        <f aca="false">SUM(K673:L673)</f>
        <v>0</v>
      </c>
      <c r="N673" s="336"/>
      <c r="O673" s="365"/>
      <c r="P673" s="327" t="n">
        <f aca="false">SUM(N673:O673)</f>
        <v>0</v>
      </c>
      <c r="Q673" s="135" t="str">
        <f aca="false">IF(P608=P673,"〇","×")</f>
        <v>〇</v>
      </c>
      <c r="R673" s="135" t="str">
        <f aca="false">IFERROR(INDEX(報告入力!$C$7:$C$696,MATCH($S$652&amp;"|"&amp;$A673,報告入力!$CM$7:$CM$696,0)),"")</f>
        <v>報告なし</v>
      </c>
    </row>
    <row r="674" s="135" customFormat="true" ht="20.1" hidden="false" customHeight="true" outlineLevel="0" collapsed="false">
      <c r="A674" s="125" t="s">
        <v>182</v>
      </c>
      <c r="B674" s="240" t="n">
        <f aca="false">SUMIFS(報告入力!$AY$7:$AY$696,報告入力!$A$7:$A$696,$S$652,報告入力!$B$7:$B$696,$A674)</f>
        <v>0</v>
      </c>
      <c r="C674" s="237" t="n">
        <f aca="false">SUMIFS(報告入力!$AZ$7:$AZ$696,報告入力!$A$7:$A$696,$S$652,報告入力!$B$7:$B$696,$A674)</f>
        <v>0</v>
      </c>
      <c r="D674" s="203" t="n">
        <f aca="false">SUMIFS(報告入力!$BA$7:$BA$696,報告入力!$A$7:$A$696,$S$652,報告入力!$B$7:$B$696,$A674)</f>
        <v>629520</v>
      </c>
      <c r="E674" s="207" t="n">
        <f aca="false">SUMIFS(報告入力!$BB$7:$BB$696,報告入力!$A$7:$A$696,$S$652,報告入力!$B$7:$B$696,$A674)</f>
        <v>51600</v>
      </c>
      <c r="F674" s="237" t="n">
        <f aca="false">SUMIFS(報告入力!$BC$7:$BC$696,報告入力!$A$7:$A$696,$S$652,報告入力!$B$7:$B$696,$A674)</f>
        <v>713</v>
      </c>
      <c r="G674" s="417" t="n">
        <f aca="false">SUM(B674:F674)</f>
        <v>681833</v>
      </c>
      <c r="H674" s="240" t="n">
        <f aca="false">SUMIFS(報告入力!$BD$7:$BD$696,報告入力!$A$7:$A$696,$S$652,報告入力!$B$7:$B$696,$A674)</f>
        <v>0</v>
      </c>
      <c r="I674" s="208" t="n">
        <f aca="false">SUMIFS(報告入力!$BE$7:$BE$696,報告入力!$A$7:$A$696,$S$652,報告入力!$B$7:$B$696,$A674)</f>
        <v>380809</v>
      </c>
      <c r="J674" s="418" t="n">
        <f aca="false">SUM(H674:I674)</f>
        <v>380809</v>
      </c>
      <c r="K674" s="203" t="n">
        <f aca="false">SUMIFS(報告入力!$BF$7:$BF$696,報告入力!$A$7:$A$696,$S$652,報告入力!$B$7:$B$696,$A674)</f>
        <v>0</v>
      </c>
      <c r="L674" s="387" t="n">
        <f aca="false">SUMIFS(報告入力!$BG$7:$BG$696,報告入力!$A$7:$A$696,$S$652,報告入力!$B$7:$B$696,$A674)</f>
        <v>51903</v>
      </c>
      <c r="M674" s="206" t="n">
        <f aca="false">SUM(K674:L674)</f>
        <v>51903</v>
      </c>
      <c r="N674" s="203" t="n">
        <f aca="false">SUMIFS(報告入力!$BH$7:$BH$696,報告入力!$A$7:$A$696,$S$652,報告入力!$B$7:$B$696,$A674)</f>
        <v>0</v>
      </c>
      <c r="O674" s="387" t="n">
        <f aca="false">SUMIFS(報告入力!$BI$7:$BI$696,報告入力!$A$7:$A$696,$S$652,報告入力!$B$7:$B$696,$A674)</f>
        <v>1</v>
      </c>
      <c r="P674" s="206" t="n">
        <f aca="false">SUM(N674:O674)</f>
        <v>1</v>
      </c>
      <c r="Q674" s="135" t="str">
        <f aca="false">IF(P609=P674,"〇","×")</f>
        <v>〇</v>
      </c>
      <c r="R674" s="135" t="str">
        <f aca="false">IFERROR(INDEX(報告入力!$C$7:$C$696,MATCH($S$652&amp;"|"&amp;$A674,報告入力!$CM$7:$CM$696,0)),"")</f>
        <v>未受領</v>
      </c>
    </row>
    <row r="675" s="135" customFormat="true" ht="20.1" hidden="false" customHeight="true" outlineLevel="0" collapsed="false">
      <c r="A675" s="125" t="s">
        <v>183</v>
      </c>
      <c r="B675" s="211"/>
      <c r="C675" s="212"/>
      <c r="D675" s="203" t="n">
        <f aca="false">SUMIFS(報告入力!$BA$7:$BA$696,報告入力!$A$7:$A$696,$S$652,報告入力!$B$7:$B$696,$A675)</f>
        <v>1881240</v>
      </c>
      <c r="E675" s="207" t="n">
        <f aca="false">SUMIFS(報告入力!$BB$7:$BB$696,報告入力!$A$7:$A$696,$S$652,報告入力!$B$7:$B$696,$A675)</f>
        <v>154200</v>
      </c>
      <c r="F675" s="237" t="n">
        <f aca="false">SUMIFS(報告入力!$BC$7:$BC$696,報告入力!$A$7:$A$696,$S$652,報告入力!$B$7:$B$696,$A675)</f>
        <v>1955</v>
      </c>
      <c r="G675" s="206" t="n">
        <f aca="false">SUM(B675:F675)</f>
        <v>2037395</v>
      </c>
      <c r="H675" s="288"/>
      <c r="I675" s="395" t="n">
        <f aca="false">SUMIFS(報告入力!$BE$7:$BE$696,報告入力!$A$7:$A$696,$S$652,報告入力!$B$7:$B$696,$A675)</f>
        <v>1271969</v>
      </c>
      <c r="J675" s="160" t="n">
        <f aca="false">SUM(H675:I675)</f>
        <v>1271969</v>
      </c>
      <c r="K675" s="288"/>
      <c r="L675" s="395" t="n">
        <f aca="false">SUMIFS(報告入力!$BG$7:$BG$696,報告入力!$A$7:$A$696,$S$652,報告入力!$B$7:$B$696,$A675)</f>
        <v>141252</v>
      </c>
      <c r="M675" s="160" t="n">
        <f aca="false">SUM(K675:L675)</f>
        <v>141252</v>
      </c>
      <c r="N675" s="288"/>
      <c r="O675" s="395" t="n">
        <f aca="false">SUMIFS(報告入力!$BI$7:$BI$696,報告入力!$A$7:$A$696,$S$652,報告入力!$B$7:$B$696,$A675)</f>
        <v>1</v>
      </c>
      <c r="P675" s="160" t="n">
        <f aca="false">SUM(N675:O675)</f>
        <v>1</v>
      </c>
      <c r="Q675" s="135" t="str">
        <f aca="false">IF(P610=P675,"〇","×")</f>
        <v>〇</v>
      </c>
      <c r="R675" s="135" t="str">
        <f aca="false">IFERROR(INDEX(報告入力!$C$7:$C$696,MATCH($S$652&amp;"|"&amp;$A675,報告入力!$CM$7:$CM$696,0)),"")</f>
        <v>未受領</v>
      </c>
    </row>
    <row r="676" s="135" customFormat="true" ht="20.1" hidden="false" customHeight="true" outlineLevel="0" collapsed="false">
      <c r="A676" s="125" t="s">
        <v>184</v>
      </c>
      <c r="B676" s="211"/>
      <c r="C676" s="212"/>
      <c r="D676" s="203" t="n">
        <f aca="false">SUMIFS(報告入力!$BA$7:$BA$696,報告入力!$A$7:$A$696,$S$652,報告入力!$B$7:$B$696,$A676)</f>
        <v>48495</v>
      </c>
      <c r="E676" s="207" t="n">
        <f aca="false">SUMIFS(報告入力!$BB$7:$BB$696,報告入力!$A$7:$A$696,$S$652,報告入力!$B$7:$B$696,$A676)</f>
        <v>3975</v>
      </c>
      <c r="F676" s="237" t="n">
        <f aca="false">SUMIFS(報告入力!$BC$7:$BC$696,報告入力!$A$7:$A$696,$S$652,報告入力!$B$7:$B$696,$A676)</f>
        <v>49</v>
      </c>
      <c r="G676" s="206" t="n">
        <f aca="false">SUM(B676:F676)</f>
        <v>52519</v>
      </c>
      <c r="H676" s="288"/>
      <c r="I676" s="395" t="n">
        <f aca="false">SUMIFS(報告入力!$BE$7:$BE$696,報告入力!$A$7:$A$696,$S$652,報告入力!$B$7:$B$696,$A676)</f>
        <v>29208</v>
      </c>
      <c r="J676" s="160" t="n">
        <f aca="false">SUM(H676:I676)</f>
        <v>29208</v>
      </c>
      <c r="K676" s="288"/>
      <c r="L676" s="395" t="n">
        <f aca="false">SUMIFS(報告入力!$BG$7:$BG$696,報告入力!$A$7:$A$696,$S$652,報告入力!$B$7:$B$696,$A676)</f>
        <v>4187</v>
      </c>
      <c r="M676" s="160" t="n">
        <f aca="false">SUM(K676:L676)</f>
        <v>4187</v>
      </c>
      <c r="N676" s="288"/>
      <c r="O676" s="395" t="n">
        <f aca="false">SUMIFS(報告入力!$BI$7:$BI$696,報告入力!$A$7:$A$696,$S$652,報告入力!$B$7:$B$696,$A676)</f>
        <v>1</v>
      </c>
      <c r="P676" s="160" t="n">
        <f aca="false">SUM(N676:O676)</f>
        <v>1</v>
      </c>
      <c r="Q676" s="135" t="str">
        <f aca="false">IF(P611=P676,"〇","×")</f>
        <v>〇</v>
      </c>
      <c r="R676" s="135" t="str">
        <f aca="false">IFERROR(INDEX(報告入力!$C$7:$C$696,MATCH($S$652&amp;"|"&amp;$A676,報告入力!$CM$7:$CM$696,0)),"")</f>
        <v>未受領</v>
      </c>
    </row>
    <row r="677" s="135" customFormat="true" ht="20.1" hidden="false" customHeight="true" outlineLevel="0" collapsed="false">
      <c r="A677" s="214" t="s">
        <v>185</v>
      </c>
      <c r="B677" s="211"/>
      <c r="C677" s="212"/>
      <c r="D677" s="203" t="n">
        <f aca="false">SUMIFS(報告入力!$BA$7:$BA$696,報告入力!$A$7:$A$696,$S$652,報告入力!$B$7:$B$696,$A677)</f>
        <v>425475</v>
      </c>
      <c r="E677" s="207" t="n">
        <f aca="false">SUMIFS(報告入力!$BB$7:$BB$696,報告入力!$A$7:$A$696,$S$652,報告入力!$B$7:$B$696,$A677)</f>
        <v>34875</v>
      </c>
      <c r="F677" s="237" t="n">
        <f aca="false">SUMIFS(報告入力!$BC$7:$BC$696,報告入力!$A$7:$A$696,$S$652,報告入力!$B$7:$B$696,$A677)</f>
        <v>435</v>
      </c>
      <c r="G677" s="206" t="n">
        <f aca="false">SUM(B677:F677)</f>
        <v>460785</v>
      </c>
      <c r="H677" s="288"/>
      <c r="I677" s="395" t="n">
        <f aca="false">SUMIFS(報告入力!$BE$7:$BE$696,報告入力!$A$7:$A$696,$S$652,報告入力!$B$7:$B$696,$A677)</f>
        <v>256260</v>
      </c>
      <c r="J677" s="160" t="n">
        <f aca="false">SUM(H677:I677)</f>
        <v>256260</v>
      </c>
      <c r="K677" s="288"/>
      <c r="L677" s="395" t="n">
        <f aca="false">SUMIFS(報告入力!$BG$7:$BG$696,報告入力!$A$7:$A$696,$S$652,報告入力!$B$7:$B$696,$A677)</f>
        <v>34207</v>
      </c>
      <c r="M677" s="160" t="n">
        <f aca="false">SUM(K677:L677)</f>
        <v>34207</v>
      </c>
      <c r="N677" s="288"/>
      <c r="O677" s="395" t="n">
        <f aca="false">SUMIFS(報告入力!$BI$7:$BI$696,報告入力!$A$7:$A$696,$S$652,報告入力!$B$7:$B$696,$A677)</f>
        <v>1</v>
      </c>
      <c r="P677" s="160" t="n">
        <f aca="false">SUM(N677:O677)</f>
        <v>1</v>
      </c>
      <c r="Q677" s="135" t="str">
        <f aca="false">IF(P612=P677,"〇","×")</f>
        <v>〇</v>
      </c>
      <c r="R677" s="135" t="str">
        <f aca="false">IFERROR(INDEX(報告入力!$C$7:$C$696,MATCH($S$652&amp;"|"&amp;$A677,報告入力!$CM$7:$CM$696,0)),"")</f>
        <v>未受領</v>
      </c>
    </row>
    <row r="678" s="135" customFormat="true" ht="20.1" hidden="false" customHeight="true" outlineLevel="0" collapsed="false">
      <c r="A678" s="146" t="s">
        <v>186</v>
      </c>
      <c r="B678" s="211"/>
      <c r="C678" s="216"/>
      <c r="D678" s="387" t="n">
        <f aca="false">SUMIFS(報告入力!$BA$7:$BA$696,報告入力!$A$7:$A$696,$S$652,報告入力!$B$7:$B$696,$A678)</f>
        <v>86010</v>
      </c>
      <c r="E678" s="207" t="n">
        <f aca="false">SUMIFS(報告入力!$BB$7:$BB$696,報告入力!$A$7:$A$696,$S$652,報告入力!$B$7:$B$696,$A678)</f>
        <v>7050</v>
      </c>
      <c r="F678" s="393" t="n">
        <f aca="false">SUMIFS(報告入力!$BC$7:$BC$696,報告入力!$A$7:$A$696,$S$652,報告入力!$B$7:$B$696,$A678)</f>
        <v>88</v>
      </c>
      <c r="G678" s="206" t="n">
        <f aca="false">SUM(B678:F678)</f>
        <v>93148</v>
      </c>
      <c r="H678" s="288"/>
      <c r="I678" s="395" t="n">
        <f aca="false">SUMIFS(報告入力!$BE$7:$BE$696,報告入力!$A$7:$A$696,$S$652,報告入力!$B$7:$B$696,$A678)</f>
        <v>51803</v>
      </c>
      <c r="J678" s="160" t="n">
        <f aca="false">SUM(H678:I678)</f>
        <v>51803</v>
      </c>
      <c r="K678" s="288"/>
      <c r="L678" s="395" t="n">
        <f aca="false">SUMIFS(報告入力!$BG$7:$BG$696,報告入力!$A$7:$A$696,$S$652,報告入力!$B$7:$B$696,$A678)</f>
        <v>7426</v>
      </c>
      <c r="M678" s="160" t="n">
        <f aca="false">SUM(K678:L678)</f>
        <v>7426</v>
      </c>
      <c r="N678" s="288"/>
      <c r="O678" s="395" t="n">
        <f aca="false">SUMIFS(報告入力!$BI$7:$BI$696,報告入力!$A$7:$A$696,$S$652,報告入力!$B$7:$B$696,$A678)</f>
        <v>1</v>
      </c>
      <c r="P678" s="160" t="n">
        <f aca="false">SUM(N678:O678)</f>
        <v>1</v>
      </c>
      <c r="Q678" s="135" t="str">
        <f aca="false">IF(P613=P678,"〇","×")</f>
        <v>〇</v>
      </c>
      <c r="R678" s="135" t="str">
        <f aca="false">IFERROR(INDEX(報告入力!$C$7:$C$696,MATCH($S$652&amp;"|"&amp;$A678,報告入力!$CM$7:$CM$696,0)),"")</f>
        <v>未受領</v>
      </c>
    </row>
    <row r="679" s="135" customFormat="true" ht="20.1" hidden="false" customHeight="true" outlineLevel="0" collapsed="false">
      <c r="A679" s="146" t="s">
        <v>187</v>
      </c>
      <c r="B679" s="211"/>
      <c r="C679" s="216"/>
      <c r="D679" s="203" t="n">
        <f aca="false">SUMIFS(報告入力!$BA$7:$BA$696,報告入力!$A$7:$A$696,$S$652,報告入力!$B$7:$B$696,$A679)</f>
        <v>48495</v>
      </c>
      <c r="E679" s="207" t="n">
        <f aca="false">SUMIFS(報告入力!$BB$7:$BB$696,報告入力!$A$7:$A$696,$S$652,報告入力!$B$7:$B$696,$A679)</f>
        <v>3975</v>
      </c>
      <c r="F679" s="237" t="n">
        <f aca="false">SUMIFS(報告入力!$BC$7:$BC$696,報告入力!$A$7:$A$696,$S$652,報告入力!$B$7:$B$696,$A679)</f>
        <v>49</v>
      </c>
      <c r="G679" s="206" t="n">
        <f aca="false">SUM(B679:F679)</f>
        <v>52519</v>
      </c>
      <c r="H679" s="288"/>
      <c r="I679" s="208" t="n">
        <f aca="false">SUMIFS(報告入力!$BE$7:$BE$696,報告入力!$A$7:$A$696,$S$652,報告入力!$B$7:$B$696,$A679)</f>
        <v>29208</v>
      </c>
      <c r="J679" s="418" t="n">
        <f aca="false">SUM(H679:I679)</f>
        <v>29208</v>
      </c>
      <c r="K679" s="288"/>
      <c r="L679" s="208" t="n">
        <f aca="false">SUMIFS(報告入力!$BG$7:$BG$696,報告入力!$A$7:$A$696,$S$652,報告入力!$B$7:$B$696,$A679)</f>
        <v>4187</v>
      </c>
      <c r="M679" s="418" t="n">
        <f aca="false">SUM(K679:L679)</f>
        <v>4187</v>
      </c>
      <c r="N679" s="288"/>
      <c r="O679" s="208" t="n">
        <f aca="false">SUMIFS(報告入力!$BI$7:$BI$696,報告入力!$A$7:$A$696,$S$652,報告入力!$B$7:$B$696,$A679)</f>
        <v>1</v>
      </c>
      <c r="P679" s="418" t="n">
        <f aca="false">SUM(N679:O679)</f>
        <v>1</v>
      </c>
      <c r="Q679" s="135" t="str">
        <f aca="false">IF(P614=P679,"〇","×")</f>
        <v>〇</v>
      </c>
      <c r="R679" s="135" t="str">
        <f aca="false">IFERROR(INDEX(報告入力!$C$7:$C$696,MATCH($S$652&amp;"|"&amp;$A679,報告入力!$CM$7:$CM$696,0)),"")</f>
        <v>未受領</v>
      </c>
    </row>
    <row r="680" s="135" customFormat="true" ht="20.1" hidden="false" customHeight="true" outlineLevel="0" collapsed="false">
      <c r="A680" s="217" t="s">
        <v>188</v>
      </c>
      <c r="B680" s="211"/>
      <c r="C680" s="218"/>
      <c r="D680" s="203" t="n">
        <f aca="false">SUMIFS(報告入力!$BA$7:$BA$696,報告入力!$A$7:$A$696,$S$652,報告入力!$B$7:$B$696,$A680)</f>
        <v>124440</v>
      </c>
      <c r="E680" s="207" t="n">
        <f aca="false">SUMIFS(報告入力!$BB$7:$BB$696,報告入力!$A$7:$A$696,$S$652,報告入力!$B$7:$B$696,$A680)</f>
        <v>10200</v>
      </c>
      <c r="F680" s="237" t="n">
        <f aca="false">SUMIFS(報告入力!$BC$7:$BC$696,報告入力!$A$7:$A$696,$S$652,報告入力!$B$7:$B$696,$A680)</f>
        <v>127</v>
      </c>
      <c r="G680" s="206" t="n">
        <f aca="false">SUM(B680:F680)</f>
        <v>134767</v>
      </c>
      <c r="H680" s="288"/>
      <c r="I680" s="208" t="n">
        <f aca="false">SUMIFS(報告入力!$BE$7:$BE$696,報告入力!$A$7:$A$696,$S$652,報告入力!$B$7:$B$696,$A680)</f>
        <v>74949</v>
      </c>
      <c r="J680" s="418" t="n">
        <f aca="false">SUM(H680:I680)</f>
        <v>74949</v>
      </c>
      <c r="K680" s="288"/>
      <c r="L680" s="208" t="n">
        <f aca="false">SUMIFS(報告入力!$BG$7:$BG$696,報告入力!$A$7:$A$696,$S$652,報告入力!$B$7:$B$696,$A680)</f>
        <v>7031</v>
      </c>
      <c r="M680" s="418" t="n">
        <f aca="false">SUM(K680:L680)</f>
        <v>7031</v>
      </c>
      <c r="N680" s="288"/>
      <c r="O680" s="208" t="n">
        <f aca="false">SUMIFS(報告入力!$BI$7:$BI$696,報告入力!$A$7:$A$696,$S$652,報告入力!$B$7:$B$696,$A680)</f>
        <v>1</v>
      </c>
      <c r="P680" s="418" t="n">
        <f aca="false">SUM(N680:O680)</f>
        <v>1</v>
      </c>
      <c r="Q680" s="135" t="str">
        <f aca="false">IF(P615=P680,"〇","×")</f>
        <v>〇</v>
      </c>
      <c r="R680" s="135" t="str">
        <f aca="false">IFERROR(INDEX(報告入力!$C$7:$C$696,MATCH($S$652&amp;"|"&amp;$A680,報告入力!$CM$7:$CM$696,0)),"")</f>
        <v>未受領</v>
      </c>
    </row>
    <row r="681" s="135" customFormat="true" ht="20.1" hidden="false" customHeight="true" outlineLevel="0" collapsed="false">
      <c r="A681" s="125" t="s">
        <v>189</v>
      </c>
      <c r="B681" s="240" t="n">
        <f aca="false">SUMIFS(報告入力!$AY$7:$AY$696,報告入力!$A$7:$A$696,$S$652,報告入力!$B$7:$B$696,$A681)</f>
        <v>245220</v>
      </c>
      <c r="C681" s="237" t="n">
        <f aca="false">SUMIFS(報告入力!$AZ$7:$AZ$696,報告入力!$A$7:$A$696,$S$652,報告入力!$B$7:$B$696,$A681)</f>
        <v>20100</v>
      </c>
      <c r="D681" s="240" t="n">
        <f aca="false">SUMIFS(報告入力!$BA$7:$BA$696,報告入力!$A$7:$A$696,$S$652,報告入力!$B$7:$B$696,$A681)</f>
        <v>245220</v>
      </c>
      <c r="E681" s="239" t="n">
        <f aca="false">SUMIFS(報告入力!$BB$7:$BB$696,報告入力!$A$7:$A$696,$S$652,報告入力!$B$7:$B$696,$A681)</f>
        <v>20100</v>
      </c>
      <c r="F681" s="204" t="n">
        <f aca="false">SUMIFS(報告入力!$BC$7:$BC$696,報告入力!$A$7:$A$696,$S$652,報告入力!$B$7:$B$696,$A681)</f>
        <v>251</v>
      </c>
      <c r="G681" s="206" t="n">
        <f aca="false">SUM(B681:F681)</f>
        <v>530891</v>
      </c>
      <c r="H681" s="207" t="n">
        <f aca="false">SUMIFS(報告入力!$BD$7:$BD$696,報告入力!$A$7:$A$696,$S$652,報告入力!$B$7:$B$696,$A681)</f>
        <v>147425</v>
      </c>
      <c r="I681" s="239" t="n">
        <f aca="false">SUMIFS(報告入力!$BE$7:$BE$696,報告入力!$A$7:$A$696,$S$652,報告入力!$B$7:$B$696,$A681)</f>
        <v>147694</v>
      </c>
      <c r="J681" s="418" t="n">
        <f aca="false">SUM(H681:I681)</f>
        <v>295119</v>
      </c>
      <c r="K681" s="207" t="n">
        <f aca="false">SUMIFS(報告入力!$BF$7:$BF$696,報告入力!$A$7:$A$696,$S$652,報告入力!$B$7:$B$696,$A681)</f>
        <v>9559</v>
      </c>
      <c r="L681" s="239" t="n">
        <f aca="false">SUMIFS(報告入力!$BG$7:$BG$696,報告入力!$A$7:$A$696,$S$652,報告入力!$B$7:$B$696,$A681)</f>
        <v>9559</v>
      </c>
      <c r="M681" s="206" t="n">
        <f aca="false">SUM(K681:L681)</f>
        <v>19118</v>
      </c>
      <c r="N681" s="207" t="n">
        <f aca="false">SUMIFS(報告入力!$BH$7:$BH$696,報告入力!$A$7:$A$696,$S$652,報告入力!$B$7:$B$696,$A681)</f>
        <v>1</v>
      </c>
      <c r="O681" s="239" t="n">
        <f aca="false">SUMIFS(報告入力!$BI$7:$BI$696,報告入力!$A$7:$A$696,$S$652,報告入力!$B$7:$B$696,$A681)</f>
        <v>1</v>
      </c>
      <c r="P681" s="206" t="n">
        <f aca="false">SUM(N681:O681)</f>
        <v>2</v>
      </c>
      <c r="Q681" s="135" t="str">
        <f aca="false">IF(P616=P681,"〇","×")</f>
        <v>〇</v>
      </c>
      <c r="R681" s="135" t="str">
        <f aca="false">IFERROR(INDEX(報告入力!$C$7:$C$696,MATCH($S$652&amp;"|"&amp;$A681,報告入力!$CM$7:$CM$696,0)),"")</f>
        <v>未受領</v>
      </c>
    </row>
    <row r="682" s="135" customFormat="true" ht="20.1" hidden="false" customHeight="true" outlineLevel="0" collapsed="false">
      <c r="A682" s="219" t="s">
        <v>190</v>
      </c>
      <c r="B682" s="203" t="n">
        <f aca="false">SUMIFS(報告入力!$AY$7:$AY$696,報告入力!$A$7:$A$696,$S$652,報告入力!$B$7:$B$696,$A682)</f>
        <v>40260</v>
      </c>
      <c r="C682" s="237" t="n">
        <f aca="false">SUMIFS(報告入力!$AZ$7:$AZ$696,報告入力!$A$7:$A$696,$S$652,報告入力!$B$7:$B$696,$A682)</f>
        <v>3300</v>
      </c>
      <c r="D682" s="203" t="n">
        <f aca="false">SUMIFS(報告入力!$BA$7:$BA$696,報告入力!$A$7:$A$696,$S$652,報告入力!$B$7:$B$696,$A682)</f>
        <v>40260</v>
      </c>
      <c r="E682" s="207" t="n">
        <f aca="false">SUMIFS(報告入力!$BB$7:$BB$696,報告入力!$A$7:$A$696,$S$652,報告入力!$B$7:$B$696,$A682)</f>
        <v>3300</v>
      </c>
      <c r="F682" s="237" t="n">
        <f aca="false">SUMIFS(報告入力!$BC$7:$BC$696,報告入力!$A$7:$A$696,$S$652,報告入力!$B$7:$B$696,$A682)</f>
        <v>41</v>
      </c>
      <c r="G682" s="206" t="n">
        <f aca="false">SUM(B682:F682)</f>
        <v>87161</v>
      </c>
      <c r="H682" s="287" t="n">
        <f aca="false">SUMIFS(報告入力!$BD$7:$BD$696,報告入力!$A$7:$A$696,$S$652,報告入力!$B$7:$B$696,$A682)</f>
        <v>24204</v>
      </c>
      <c r="I682" s="395" t="n">
        <f aca="false">SUMIFS(報告入力!$BE$7:$BE$696,報告入力!$A$7:$A$696,$S$652,報告入力!$B$7:$B$696,$A682)</f>
        <v>24248</v>
      </c>
      <c r="J682" s="160" t="n">
        <f aca="false">SUM(H682:I682)</f>
        <v>48452</v>
      </c>
      <c r="K682" s="287" t="n">
        <f aca="false">SUMIFS(報告入力!$BF$7:$BF$696,報告入力!$A$7:$A$696,$S$652,報告入力!$B$7:$B$696,$A682)</f>
        <v>0</v>
      </c>
      <c r="L682" s="395" t="n">
        <f aca="false">SUMIFS(報告入力!$BG$7:$BG$696,報告入力!$A$7:$A$696,$S$652,報告入力!$B$7:$B$696,$A682)</f>
        <v>0</v>
      </c>
      <c r="M682" s="160" t="n">
        <f aca="false">SUM(K682:L682)</f>
        <v>0</v>
      </c>
      <c r="N682" s="287" t="n">
        <f aca="false">SUMIFS(報告入力!$BH$7:$BH$696,報告入力!$A$7:$A$696,$S$652,報告入力!$B$7:$B$696,$A682)</f>
        <v>1</v>
      </c>
      <c r="O682" s="395" t="n">
        <f aca="false">SUMIFS(報告入力!$BI$7:$BI$696,報告入力!$A$7:$A$696,$S$652,報告入力!$B$7:$B$696,$A682)</f>
        <v>1</v>
      </c>
      <c r="P682" s="160" t="n">
        <f aca="false">SUM(N682:O682)</f>
        <v>2</v>
      </c>
      <c r="Q682" s="135" t="str">
        <f aca="false">IF(P617=P682,"〇","×")</f>
        <v>〇</v>
      </c>
      <c r="R682" s="135" t="str">
        <f aca="false">IFERROR(INDEX(報告入力!$C$7:$C$696,MATCH($S$652&amp;"|"&amp;$A682,報告入力!$CM$7:$CM$696,0)),"")</f>
        <v>未受領</v>
      </c>
    </row>
    <row r="683" s="135" customFormat="true" ht="20.1" hidden="false" customHeight="true" outlineLevel="0" collapsed="false">
      <c r="A683" s="222" t="s">
        <v>191</v>
      </c>
      <c r="B683" s="203" t="n">
        <f aca="false">SUMIFS(報告入力!$AY$7:$AY$696,報告入力!$A$7:$A$696,$S$652,報告入力!$B$7:$B$696,$A683)</f>
        <v>102480</v>
      </c>
      <c r="C683" s="237" t="n">
        <f aca="false">SUMIFS(報告入力!$AZ$7:$AZ$696,報告入力!$A$7:$A$696,$S$652,報告入力!$B$7:$B$696,$A683)</f>
        <v>8400</v>
      </c>
      <c r="D683" s="203" t="n">
        <f aca="false">SUMIFS(報告入力!$BA$7:$BA$696,報告入力!$A$7:$A$696,$S$652,報告入力!$B$7:$B$696,$A683)</f>
        <v>102480</v>
      </c>
      <c r="E683" s="207" t="n">
        <f aca="false">SUMIFS(報告入力!$BB$7:$BB$696,報告入力!$A$7:$A$696,$S$652,報告入力!$B$7:$B$696,$A683)</f>
        <v>8400</v>
      </c>
      <c r="F683" s="237" t="n">
        <f aca="false">SUMIFS(報告入力!$BC$7:$BC$696,報告入力!$A$7:$A$696,$S$652,報告入力!$B$7:$B$696,$A683)</f>
        <v>105</v>
      </c>
      <c r="G683" s="206" t="n">
        <f aca="false">SUM(B683:F683)</f>
        <v>221865</v>
      </c>
      <c r="H683" s="287" t="n">
        <f aca="false">SUMIFS(報告入力!$BD$7:$BD$696,報告入力!$A$7:$A$696,$S$652,報告入力!$B$7:$B$696,$A683)</f>
        <v>61610</v>
      </c>
      <c r="I683" s="208" t="n">
        <f aca="false">SUMIFS(報告入力!$BE$7:$BE$696,報告入力!$A$7:$A$696,$S$652,報告入力!$B$7:$B$696,$A683)</f>
        <v>61723</v>
      </c>
      <c r="J683" s="160" t="n">
        <f aca="false">SUM(H683:I683)</f>
        <v>123333</v>
      </c>
      <c r="K683" s="287" t="n">
        <f aca="false">SUMIFS(報告入力!$BF$7:$BF$696,報告入力!$A$7:$A$696,$S$652,報告入力!$B$7:$B$696,$A683)</f>
        <v>4661</v>
      </c>
      <c r="L683" s="208" t="n">
        <f aca="false">SUMIFS(報告入力!$BG$7:$BG$696,報告入力!$A$7:$A$696,$S$652,報告入力!$B$7:$B$696,$A683)</f>
        <v>4661</v>
      </c>
      <c r="M683" s="160" t="n">
        <f aca="false">SUM(K683:L683)</f>
        <v>9322</v>
      </c>
      <c r="N683" s="287" t="n">
        <f aca="false">SUMIFS(報告入力!$BH$7:$BH$696,報告入力!$A$7:$A$696,$S$652,報告入力!$B$7:$B$696,$A683)</f>
        <v>1</v>
      </c>
      <c r="O683" s="208" t="n">
        <f aca="false">SUMIFS(報告入力!$BI$7:$BI$696,報告入力!$A$7:$A$696,$S$652,報告入力!$B$7:$B$696,$A683)</f>
        <v>1</v>
      </c>
      <c r="P683" s="160" t="n">
        <f aca="false">SUM(N683:O683)</f>
        <v>2</v>
      </c>
      <c r="Q683" s="135" t="str">
        <f aca="false">IF(P618=P683,"〇","×")</f>
        <v>〇</v>
      </c>
      <c r="R683" s="135" t="str">
        <f aca="false">IFERROR(INDEX(報告入力!$C$7:$C$696,MATCH($S$652&amp;"|"&amp;$A683,報告入力!$CM$7:$CM$696,0)),"")</f>
        <v>未受領</v>
      </c>
    </row>
    <row r="684" s="135" customFormat="true" ht="20.1" hidden="false" customHeight="true" outlineLevel="0" collapsed="false">
      <c r="A684" s="125" t="s">
        <v>192</v>
      </c>
      <c r="B684" s="409" t="n">
        <f aca="false">SUMIFS(報告入力!$AY$7:$AY$696,報告入力!$A$7:$A$696,$S$652,報告入力!$B$7:$B$696,$A684)</f>
        <v>912255</v>
      </c>
      <c r="C684" s="393" t="n">
        <f aca="false">SUMIFS(報告入力!$AZ$7:$AZ$696,報告入力!$A$7:$A$696,$S$652,報告入力!$B$7:$B$696,$A684)</f>
        <v>74775</v>
      </c>
      <c r="D684" s="240" t="n">
        <f aca="false">SUMIFS(報告入力!$BA$7:$BA$696,報告入力!$A$7:$A$696,$S$652,報告入力!$B$7:$B$696,$A684)</f>
        <v>912255</v>
      </c>
      <c r="E684" s="394" t="n">
        <f aca="false">SUMIFS(報告入力!$BB$7:$BB$696,報告入力!$A$7:$A$696,$S$652,報告入力!$B$7:$B$696,$A684)</f>
        <v>74775</v>
      </c>
      <c r="F684" s="393" t="n">
        <f aca="false">SUMIFS(報告入力!$BC$7:$BC$696,報告入力!$A$7:$A$696,$S$652,報告入力!$B$7:$B$696,$A684)</f>
        <v>936</v>
      </c>
      <c r="G684" s="206" t="n">
        <f aca="false">SUM(B684:F684)</f>
        <v>1974996</v>
      </c>
      <c r="H684" s="445" t="n">
        <f aca="false">SUMIFS(報告入力!$BD$7:$BD$696,報告入力!$A$7:$A$696,$S$652,報告入力!$B$7:$B$696,$A684)</f>
        <v>548442</v>
      </c>
      <c r="I684" s="446" t="n">
        <f aca="false">SUMIFS(報告入力!$BE$7:$BE$696,報告入力!$A$7:$A$696,$S$652,報告入力!$B$7:$B$696,$A684)</f>
        <v>549446</v>
      </c>
      <c r="J684" s="160" t="n">
        <f aca="false">SUM(H684:I684)</f>
        <v>1097888</v>
      </c>
      <c r="K684" s="240" t="n">
        <f aca="false">SUMIFS(報告入力!$BF$7:$BF$696,報告入力!$A$7:$A$696,$S$652,報告入力!$B$7:$B$696,$A684)</f>
        <v>50086</v>
      </c>
      <c r="L684" s="446" t="n">
        <f aca="false">SUMIFS(報告入力!$BG$7:$BG$696,報告入力!$A$7:$A$696,$S$652,報告入力!$B$7:$B$696,$A684)</f>
        <v>50086</v>
      </c>
      <c r="M684" s="160" t="n">
        <f aca="false">SUM(K684:L684)</f>
        <v>100172</v>
      </c>
      <c r="N684" s="240" t="n">
        <f aca="false">SUMIFS(報告入力!$BH$7:$BH$696,報告入力!$A$7:$A$696,$S$652,報告入力!$B$7:$B$696,$A684)</f>
        <v>1</v>
      </c>
      <c r="O684" s="446" t="n">
        <f aca="false">SUMIFS(報告入力!$BI$7:$BI$696,報告入力!$A$7:$A$696,$S$652,報告入力!$B$7:$B$696,$A684)</f>
        <v>1</v>
      </c>
      <c r="P684" s="160" t="n">
        <f aca="false">SUM(N684:O684)</f>
        <v>2</v>
      </c>
      <c r="Q684" s="135" t="str">
        <f aca="false">IF(P619=P684,"〇","×")</f>
        <v>〇</v>
      </c>
      <c r="R684" s="135" t="str">
        <f aca="false">IFERROR(INDEX(報告入力!$C$7:$C$696,MATCH($S$652&amp;"|"&amp;$A684,報告入力!$CM$7:$CM$696,0)),"")</f>
        <v>未受領</v>
      </c>
    </row>
    <row r="685" s="135" customFormat="true" ht="20.1" hidden="false" customHeight="true" outlineLevel="0" collapsed="false">
      <c r="A685" s="125" t="s">
        <v>193</v>
      </c>
      <c r="B685" s="226"/>
      <c r="C685" s="216"/>
      <c r="D685" s="203" t="n">
        <f aca="false">SUMIFS(報告入力!$BA$7:$BA$696,報告入力!$A$7:$A$696,$S$652,報告入力!$B$7:$B$696,$A685)</f>
        <v>571875</v>
      </c>
      <c r="E685" s="207" t="n">
        <f aca="false">SUMIFS(報告入力!$BB$7:$BB$696,報告入力!$A$7:$A$696,$S$652,報告入力!$B$7:$B$696,$A685)</f>
        <v>46875</v>
      </c>
      <c r="F685" s="237" t="n">
        <f aca="false">SUMIFS(報告入力!$BC$7:$BC$696,報告入力!$A$7:$A$696,$S$652,報告入力!$B$7:$B$696,$A685)</f>
        <v>613</v>
      </c>
      <c r="G685" s="206" t="n">
        <f aca="false">SUM(B685:F685)</f>
        <v>619363</v>
      </c>
      <c r="H685" s="422"/>
      <c r="I685" s="395" t="n">
        <f aca="false">SUMIFS(報告入力!$BE$7:$BE$696,報告入力!$A$7:$A$696,$S$652,報告入力!$B$7:$B$696,$A685)</f>
        <v>344467</v>
      </c>
      <c r="J685" s="160" t="n">
        <f aca="false">SUM(H685:I685)</f>
        <v>344467</v>
      </c>
      <c r="K685" s="288"/>
      <c r="L685" s="395" t="n">
        <f aca="false">SUMIFS(報告入力!$BG$7:$BG$696,報告入力!$A$7:$A$696,$S$652,報告入力!$B$7:$B$696,$A685)</f>
        <v>27255</v>
      </c>
      <c r="M685" s="160" t="n">
        <f aca="false">SUM(K685:L685)</f>
        <v>27255</v>
      </c>
      <c r="N685" s="288"/>
      <c r="O685" s="395" t="n">
        <f aca="false">SUMIFS(報告入力!$BI$7:$BI$696,報告入力!$A$7:$A$696,$S$652,報告入力!$B$7:$B$696,$A685)</f>
        <v>1</v>
      </c>
      <c r="P685" s="160" t="n">
        <f aca="false">SUM(N685:O685)</f>
        <v>1</v>
      </c>
      <c r="Q685" s="135" t="str">
        <f aca="false">IF(P620=P685,"〇","×")</f>
        <v>〇</v>
      </c>
      <c r="R685" s="135" t="str">
        <f aca="false">IFERROR(INDEX(報告入力!$C$7:$C$696,MATCH($S$652&amp;"|"&amp;$A685,報告入力!$CM$7:$CM$696,0)),"")</f>
        <v>未受領</v>
      </c>
    </row>
    <row r="686" s="135" customFormat="true" ht="20.1" hidden="false" customHeight="true" outlineLevel="0" collapsed="false">
      <c r="A686" s="228" t="s">
        <v>194</v>
      </c>
      <c r="B686" s="211"/>
      <c r="C686" s="218"/>
      <c r="D686" s="203" t="n">
        <f aca="false">SUMIFS(報告入力!$BA$7:$BA$696,報告入力!$A$7:$A$696,$S$652,報告入力!$B$7:$B$696,$A686)</f>
        <v>1160220</v>
      </c>
      <c r="E686" s="207" t="n">
        <f aca="false">SUMIFS(報告入力!$BB$7:$BB$696,報告入力!$A$7:$A$696,$S$652,報告入力!$B$7:$B$696,$A686)</f>
        <v>95100</v>
      </c>
      <c r="F686" s="237" t="n">
        <f aca="false">SUMIFS(報告入力!$BC$7:$BC$696,報告入力!$A$7:$A$696,$S$652,報告入力!$B$7:$B$696,$A686)</f>
        <v>1185</v>
      </c>
      <c r="G686" s="206" t="n">
        <f aca="false">SUM(B686:F686)</f>
        <v>1256505</v>
      </c>
      <c r="H686" s="288"/>
      <c r="I686" s="395" t="n">
        <f aca="false">SUMIFS(報告入力!$BE$7:$BE$696,報告入力!$A$7:$A$696,$S$652,報告入力!$B$7:$B$696,$A686)</f>
        <v>698790</v>
      </c>
      <c r="J686" s="160" t="n">
        <f aca="false">SUM(H686:I686)</f>
        <v>698790</v>
      </c>
      <c r="K686" s="288"/>
      <c r="L686" s="395" t="n">
        <f aca="false">SUMIFS(報告入力!$BG$7:$BG$696,報告入力!$A$7:$A$696,$S$652,報告入力!$B$7:$B$696,$A686)</f>
        <v>94721</v>
      </c>
      <c r="M686" s="160" t="n">
        <f aca="false">SUM(K686:L686)</f>
        <v>94721</v>
      </c>
      <c r="N686" s="288"/>
      <c r="O686" s="395" t="n">
        <f aca="false">SUMIFS(報告入力!$BI$7:$BI$696,報告入力!$A$7:$A$696,$S$652,報告入力!$B$7:$B$696,$A686)</f>
        <v>1</v>
      </c>
      <c r="P686" s="160" t="n">
        <f aca="false">SUM(N686:O686)</f>
        <v>1</v>
      </c>
      <c r="Q686" s="135" t="str">
        <f aca="false">IF(P621=P686,"〇","×")</f>
        <v>〇</v>
      </c>
      <c r="R686" s="135" t="str">
        <f aca="false">IFERROR(INDEX(報告入力!$C$7:$C$696,MATCH($S$652&amp;"|"&amp;$A686,報告入力!$CM$7:$CM$696,0)),"")</f>
        <v>未受領</v>
      </c>
    </row>
    <row r="687" s="135" customFormat="true" ht="20.1" hidden="false" customHeight="true" outlineLevel="0" collapsed="false">
      <c r="A687" s="229" t="s">
        <v>195</v>
      </c>
      <c r="B687" s="211"/>
      <c r="C687" s="218"/>
      <c r="D687" s="240" t="n">
        <f aca="false">SUMIFS(報告入力!$BA$7:$BA$696,報告入力!$A$7:$A$696,$S$652,報告入力!$B$7:$B$696,$A687)</f>
        <v>0</v>
      </c>
      <c r="E687" s="238" t="n">
        <f aca="false">SUMIFS(報告入力!$BB$7:$BB$696,報告入力!$A$7:$A$696,$S$652,報告入力!$B$7:$B$696,$A687)</f>
        <v>0</v>
      </c>
      <c r="F687" s="410" t="n">
        <f aca="false">SUMIFS(報告入力!$BC$7:$BC$696,報告入力!$A$7:$A$696,$S$652,報告入力!$B$7:$B$696,$A687)</f>
        <v>0</v>
      </c>
      <c r="G687" s="206" t="n">
        <f aca="false">SUM(B687:F687)</f>
        <v>0</v>
      </c>
      <c r="H687" s="288"/>
      <c r="I687" s="395" t="n">
        <f aca="false">SUMIFS(報告入力!$BE$7:$BE$696,報告入力!$A$7:$A$696,$S$652,報告入力!$B$7:$B$696,$A687)</f>
        <v>0</v>
      </c>
      <c r="J687" s="160" t="n">
        <f aca="false">SUM(H687:I687)</f>
        <v>0</v>
      </c>
      <c r="K687" s="288"/>
      <c r="L687" s="395" t="n">
        <f aca="false">SUMIFS(報告入力!$BG$7:$BG$696,報告入力!$A$7:$A$696,$S$652,報告入力!$B$7:$B$696,$A687)</f>
        <v>0</v>
      </c>
      <c r="M687" s="160" t="n">
        <f aca="false">SUM(K687:L687)</f>
        <v>0</v>
      </c>
      <c r="N687" s="288"/>
      <c r="O687" s="395" t="n">
        <f aca="false">SUMIFS(報告入力!$BI$7:$BI$696,報告入力!$A$7:$A$696,$S$652,報告入力!$B$7:$B$696,$A687)</f>
        <v>0</v>
      </c>
      <c r="P687" s="160" t="n">
        <f aca="false">SUM(N687:O687)</f>
        <v>0</v>
      </c>
      <c r="Q687" s="135" t="str">
        <f aca="false">IF(P622=P687,"〇","×")</f>
        <v>〇</v>
      </c>
      <c r="R687" s="135" t="str">
        <f aca="false">IFERROR(INDEX(報告入力!$C$7:$C$696,MATCH($S$652&amp;"|"&amp;$A687,報告入力!$CM$7:$CM$696,0)),"")</f>
        <v>未受領</v>
      </c>
    </row>
    <row r="688" s="135" customFormat="true" ht="20.1" hidden="false" customHeight="true" outlineLevel="0" collapsed="false">
      <c r="A688" s="125" t="s">
        <v>196</v>
      </c>
      <c r="B688" s="211"/>
      <c r="C688" s="218"/>
      <c r="D688" s="387" t="n">
        <f aca="false">SUMIFS(報告入力!$BA$7:$BA$696,報告入力!$A$7:$A$696,$S$652,報告入力!$B$7:$B$696,$A688)</f>
        <v>394365</v>
      </c>
      <c r="E688" s="207" t="n">
        <f aca="false">SUMIFS(報告入力!$BB$7:$BB$696,報告入力!$A$7:$A$696,$S$652,報告入力!$B$7:$B$696,$A688)</f>
        <v>32325</v>
      </c>
      <c r="F688" s="393" t="n">
        <f aca="false">SUMIFS(報告入力!$BC$7:$BC$696,報告入力!$A$7:$A$696,$S$652,報告入力!$B$7:$B$696,$A688)</f>
        <v>403</v>
      </c>
      <c r="G688" s="206" t="n">
        <f aca="false">SUM(B688:F688)</f>
        <v>427093</v>
      </c>
      <c r="H688" s="288"/>
      <c r="I688" s="208" t="n">
        <f aca="false">SUMIFS(報告入力!$BE$7:$BE$696,報告入力!$A$7:$A$696,$S$652,報告入力!$B$7:$B$696,$A688)</f>
        <v>237523</v>
      </c>
      <c r="J688" s="418" t="n">
        <f aca="false">SUM(H688:I688)</f>
        <v>237523</v>
      </c>
      <c r="K688" s="288"/>
      <c r="L688" s="208" t="n">
        <f aca="false">SUMIFS(報告入力!$BG$7:$BG$696,報告入力!$A$7:$A$696,$S$652,報告入力!$B$7:$B$696,$A688)</f>
        <v>34049</v>
      </c>
      <c r="M688" s="418" t="n">
        <f aca="false">SUM(K688:L688)</f>
        <v>34049</v>
      </c>
      <c r="N688" s="288"/>
      <c r="O688" s="208" t="n">
        <f aca="false">SUMIFS(報告入力!$BI$7:$BI$696,報告入力!$A$7:$A$696,$S$652,報告入力!$B$7:$B$696,$A688)</f>
        <v>1</v>
      </c>
      <c r="P688" s="418" t="n">
        <f aca="false">SUM(N688:O688)</f>
        <v>1</v>
      </c>
      <c r="Q688" s="135" t="str">
        <f aca="false">IF(P623=P688,"〇","×")</f>
        <v>〇</v>
      </c>
      <c r="R688" s="135" t="str">
        <f aca="false">IFERROR(INDEX(報告入力!$C$7:$C$696,MATCH($S$652&amp;"|"&amp;$A688,報告入力!$CM$7:$CM$696,0)),"")</f>
        <v>未受領</v>
      </c>
    </row>
    <row r="689" s="135" customFormat="true" ht="20.1" hidden="false" customHeight="true" outlineLevel="0" collapsed="false">
      <c r="A689" s="146" t="s">
        <v>197</v>
      </c>
      <c r="B689" s="203" t="n">
        <f aca="false">SUMIFS(報告入力!$AY$7:$AY$696,報告入力!$A$7:$A$696,$S$652,報告入力!$B$7:$B$696,$A689)</f>
        <v>137250</v>
      </c>
      <c r="C689" s="237" t="n">
        <f aca="false">SUMIFS(報告入力!$AZ$7:$AZ$696,報告入力!$A$7:$A$696,$S$652,報告入力!$B$7:$B$696,$A689)</f>
        <v>11250</v>
      </c>
      <c r="D689" s="203" t="n">
        <f aca="false">SUMIFS(報告入力!$BA$7:$BA$696,報告入力!$A$7:$A$696,$S$652,報告入力!$B$7:$B$696,$A689)</f>
        <v>137250</v>
      </c>
      <c r="E689" s="207" t="n">
        <f aca="false">SUMIFS(報告入力!$BB$7:$BB$696,報告入力!$A$7:$A$696,$S$652,報告入力!$B$7:$B$696,$A689)</f>
        <v>11250</v>
      </c>
      <c r="F689" s="393" t="n">
        <f aca="false">SUMIFS(報告入力!$BC$7:$BC$696,報告入力!$A$7:$A$696,$S$652,報告入力!$B$7:$B$696,$A689)</f>
        <v>140</v>
      </c>
      <c r="G689" s="206" t="n">
        <f aca="false">SUM(B689:F689)</f>
        <v>297140</v>
      </c>
      <c r="H689" s="287" t="n">
        <f aca="false">SUMIFS(報告入力!$BD$7:$BD$696,報告入力!$A$7:$A$696,$S$652,報告入力!$B$7:$B$696,$A689)</f>
        <v>82514</v>
      </c>
      <c r="I689" s="395" t="n">
        <f aca="false">SUMIFS(報告入力!$BE$7:$BE$696,報告入力!$A$7:$A$696,$S$652,報告入力!$B$7:$B$696,$A689)</f>
        <v>82665</v>
      </c>
      <c r="J689" s="160" t="n">
        <f aca="false">SUM(H689:I689)</f>
        <v>165179</v>
      </c>
      <c r="K689" s="287" t="n">
        <f aca="false">SUMIFS(報告入力!$BF$7:$BF$696,報告入力!$A$7:$A$696,$S$652,報告入力!$B$7:$B$696,$A689)</f>
        <v>8611</v>
      </c>
      <c r="L689" s="395" t="n">
        <f aca="false">SUMIFS(報告入力!$BG$7:$BG$696,報告入力!$A$7:$A$696,$S$652,報告入力!$B$7:$B$696,$A689)</f>
        <v>8611</v>
      </c>
      <c r="M689" s="160" t="n">
        <f aca="false">SUM(K689:L689)</f>
        <v>17222</v>
      </c>
      <c r="N689" s="287" t="n">
        <f aca="false">SUMIFS(報告入力!$BH$7:$BH$696,報告入力!$A$7:$A$696,$S$652,報告入力!$B$7:$B$696,$A689)</f>
        <v>1</v>
      </c>
      <c r="O689" s="395" t="n">
        <f aca="false">SUMIFS(報告入力!$BI$7:$BI$696,報告入力!$A$7:$A$696,$S$652,報告入力!$B$7:$B$696,$A689)</f>
        <v>1</v>
      </c>
      <c r="P689" s="160" t="n">
        <f aca="false">SUM(N689:O689)</f>
        <v>2</v>
      </c>
      <c r="Q689" s="135" t="str">
        <f aca="false">IF(P624=P689,"〇","×")</f>
        <v>〇</v>
      </c>
      <c r="R689" s="135" t="str">
        <f aca="false">IFERROR(INDEX(報告入力!$C$7:$C$696,MATCH($S$652&amp;"|"&amp;$A689,報告入力!$CM$7:$CM$696,0)),"")</f>
        <v>未受領</v>
      </c>
    </row>
    <row r="690" s="135" customFormat="true" ht="20.1" hidden="false" customHeight="true" outlineLevel="0" collapsed="false">
      <c r="A690" s="231" t="s">
        <v>219</v>
      </c>
      <c r="B690" s="226"/>
      <c r="C690" s="216"/>
      <c r="D690" s="203" t="n">
        <f aca="false">SUMIFS(報告入力!$BA$7:$BA$696,報告入力!$A$7:$A$696,$S$652,報告入力!$B$7:$B$696,$A690)</f>
        <v>472140</v>
      </c>
      <c r="E690" s="207" t="n">
        <f aca="false">SUMIFS(報告入力!$BB$7:$BB$696,報告入力!$A$7:$A$696,$S$652,報告入力!$B$7:$B$696,$A690)</f>
        <v>38700</v>
      </c>
      <c r="F690" s="393" t="n">
        <f aca="false">SUMIFS(報告入力!$BC$7:$BC$696,報告入力!$A$7:$A$696,$S$652,報告入力!$B$7:$B$696,$A690)</f>
        <v>484</v>
      </c>
      <c r="G690" s="206" t="n">
        <f aca="false">SUM(D690:F690)</f>
        <v>511324</v>
      </c>
      <c r="H690" s="422"/>
      <c r="I690" s="395" t="n">
        <f aca="false">SUMIFS(報告入力!$BE$7:$BE$696,報告入力!$A$7:$A$696,$S$652,報告入力!$B$7:$B$696,$A690)</f>
        <v>289878</v>
      </c>
      <c r="J690" s="160" t="n">
        <f aca="false">SUM(H690:I690)</f>
        <v>289878</v>
      </c>
      <c r="K690" s="288"/>
      <c r="L690" s="395" t="n">
        <f aca="false">SUMIFS(報告入力!$BG$7:$BG$696,報告入力!$A$7:$A$696,$S$652,報告入力!$B$7:$B$696,$A690)</f>
        <v>25517</v>
      </c>
      <c r="M690" s="447" t="n">
        <f aca="false">SUM(K690:L690)</f>
        <v>25517</v>
      </c>
      <c r="N690" s="288"/>
      <c r="O690" s="395" t="n">
        <f aca="false">SUMIFS(報告入力!$BI$7:$BI$696,報告入力!$A$7:$A$696,$S$652,報告入力!$B$7:$B$696,$A690)</f>
        <v>1</v>
      </c>
      <c r="P690" s="447" t="n">
        <f aca="false">SUM(N690:O690)</f>
        <v>1</v>
      </c>
      <c r="Q690" s="135" t="str">
        <f aca="false">IF(P625=P690,"〇","×")</f>
        <v>〇</v>
      </c>
      <c r="R690" s="135" t="str">
        <f aca="false">IFERROR(INDEX(報告入力!$C$7:$C$696,MATCH($S$652&amp;"|"&amp;$A690,報告入力!$CM$7:$CM$696,0)),"")</f>
        <v>未受領</v>
      </c>
    </row>
    <row r="691" s="135" customFormat="true" ht="20.1" hidden="false" customHeight="true" outlineLevel="0" collapsed="false">
      <c r="A691" s="214" t="s">
        <v>199</v>
      </c>
      <c r="B691" s="203" t="n">
        <f aca="false">SUMIFS(報告入力!$AY$7:$AY$696,報告入力!$A$7:$A$696,$S$652,報告入力!$B$7:$B$696,$A691)</f>
        <v>56730</v>
      </c>
      <c r="C691" s="237" t="n">
        <f aca="false">SUMIFS(報告入力!$AZ$7:$AZ$696,報告入力!$A$7:$A$696,$S$652,報告入力!$B$7:$B$696,$A691)</f>
        <v>4650</v>
      </c>
      <c r="D691" s="203" t="n">
        <f aca="false">SUMIFS(報告入力!$BA$7:$BA$696,報告入力!$A$7:$A$696,$S$652,報告入力!$B$7:$B$696,$A691)</f>
        <v>56730</v>
      </c>
      <c r="E691" s="207" t="n">
        <f aca="false">SUMIFS(報告入力!$BB$7:$BB$696,報告入力!$A$7:$A$696,$S$652,報告入力!$B$7:$B$696,$A691)</f>
        <v>4650</v>
      </c>
      <c r="F691" s="237" t="n">
        <f aca="false">SUMIFS(報告入力!$BC$7:$BC$696,報告入力!$A$7:$A$696,$S$652,報告入力!$B$7:$B$696,$A691)</f>
        <v>58</v>
      </c>
      <c r="G691" s="206" t="n">
        <f aca="false">SUM(B691:F691)</f>
        <v>122818</v>
      </c>
      <c r="H691" s="287" t="n">
        <f aca="false">SUMIFS(報告入力!$BD$7:$BD$696,報告入力!$A$7:$A$696,$S$652,報告入力!$B$7:$B$696,$A691)</f>
        <v>34106</v>
      </c>
      <c r="I691" s="208" t="n">
        <f aca="false">SUMIFS(報告入力!$BE$7:$BE$696,報告入力!$A$7:$A$696,$S$652,報告入力!$B$7:$B$696,$A691)</f>
        <v>34168</v>
      </c>
      <c r="J691" s="160" t="n">
        <f aca="false">SUM(H691:I691)</f>
        <v>68274</v>
      </c>
      <c r="K691" s="287" t="n">
        <f aca="false">SUMIFS(報告入力!$BF$7:$BF$696,報告入力!$A$7:$A$696,$S$652,報告入力!$B$7:$B$696,$A691)</f>
        <v>4898</v>
      </c>
      <c r="L691" s="208" t="n">
        <f aca="false">SUMIFS(報告入力!$BG$7:$BG$696,報告入力!$A$7:$A$696,$S$652,報告入力!$B$7:$B$696,$A691)</f>
        <v>4898</v>
      </c>
      <c r="M691" s="160" t="n">
        <f aca="false">SUM(K691:L691)</f>
        <v>9796</v>
      </c>
      <c r="N691" s="287" t="n">
        <f aca="false">SUMIFS(報告入力!$BH$7:$BH$696,報告入力!$A$7:$A$696,$S$652,報告入力!$B$7:$B$696,$A691)</f>
        <v>1</v>
      </c>
      <c r="O691" s="208" t="n">
        <f aca="false">SUMIFS(報告入力!$BI$7:$BI$696,報告入力!$A$7:$A$696,$S$652,報告入力!$B$7:$B$696,$A691)</f>
        <v>1</v>
      </c>
      <c r="P691" s="160" t="n">
        <f aca="false">SUM(N691:O691)</f>
        <v>2</v>
      </c>
      <c r="Q691" s="135" t="str">
        <f aca="false">IF(P626=P691,"〇","×")</f>
        <v>〇</v>
      </c>
      <c r="R691" s="135" t="str">
        <f aca="false">IFERROR(INDEX(報告入力!$C$7:$C$696,MATCH($S$652&amp;"|"&amp;$A691,報告入力!$CM$7:$CM$696,0)),"")</f>
        <v>未受領</v>
      </c>
    </row>
    <row r="692" s="135" customFormat="true" ht="20.1" hidden="false" customHeight="true" outlineLevel="0" collapsed="false">
      <c r="A692" s="214" t="s">
        <v>200</v>
      </c>
      <c r="B692" s="240" t="n">
        <f aca="false">SUMIFS(報告入力!$AY$7:$AY$696,報告入力!$A$7:$A$696,$S$652,報告入力!$B$7:$B$696,$A692)</f>
        <v>59475</v>
      </c>
      <c r="C692" s="237" t="n">
        <f aca="false">SUMIFS(報告入力!$AZ$7:$AZ$696,報告入力!$A$7:$A$696,$S$652,報告入力!$B$7:$B$696,$A692)</f>
        <v>4875</v>
      </c>
      <c r="D692" s="203" t="n">
        <f aca="false">SUMIFS(報告入力!$BA$7:$BA$696,報告入力!$A$7:$A$696,$S$652,報告入力!$B$7:$B$696,$A692)</f>
        <v>59475</v>
      </c>
      <c r="E692" s="207" t="n">
        <f aca="false">SUMIFS(報告入力!$BB$7:$BB$696,報告入力!$A$7:$A$696,$S$652,報告入力!$B$7:$B$696,$A692)</f>
        <v>4875</v>
      </c>
      <c r="F692" s="237" t="n">
        <f aca="false">SUMIFS(報告入力!$BC$7:$BC$696,報告入力!$A$7:$A$696,$S$652,報告入力!$B$7:$B$696,$A692)</f>
        <v>61</v>
      </c>
      <c r="G692" s="206" t="n">
        <f aca="false">SUM(B692:F692)</f>
        <v>128761</v>
      </c>
      <c r="H692" s="240" t="n">
        <f aca="false">SUMIFS(報告入力!$BD$7:$BD$696,報告入力!$A$7:$A$696,$S$652,報告入力!$B$7:$B$696,$A692)</f>
        <v>41257</v>
      </c>
      <c r="I692" s="208" t="n">
        <f aca="false">SUMIFS(報告入力!$BE$7:$BE$696,報告入力!$A$7:$A$696,$S$652,報告入力!$B$7:$B$696,$A692)</f>
        <v>41332</v>
      </c>
      <c r="J692" s="418" t="n">
        <f aca="false">SUM(H692:I692)</f>
        <v>82589</v>
      </c>
      <c r="K692" s="240" t="n">
        <f aca="false">SUMIFS(報告入力!$BF$7:$BF$696,報告入力!$A$7:$A$696,$S$652,報告入力!$B$7:$B$696,$A692)</f>
        <v>5925</v>
      </c>
      <c r="L692" s="387" t="n">
        <f aca="false">SUMIFS(報告入力!$BG$7:$BG$696,報告入力!$A$7:$A$696,$S$652,報告入力!$B$7:$B$696,$A692)</f>
        <v>5925</v>
      </c>
      <c r="M692" s="206" t="n">
        <f aca="false">SUM(K692:L692)</f>
        <v>11850</v>
      </c>
      <c r="N692" s="240" t="n">
        <f aca="false">SUMIFS(報告入力!$BH$7:$BH$696,報告入力!$A$7:$A$696,$S$652,報告入力!$B$7:$B$696,$A692)</f>
        <v>1</v>
      </c>
      <c r="O692" s="387" t="n">
        <f aca="false">SUMIFS(報告入力!$BI$7:$BI$696,報告入力!$A$7:$A$696,$S$652,報告入力!$B$7:$B$696,$A692)</f>
        <v>1</v>
      </c>
      <c r="P692" s="206" t="n">
        <f aca="false">SUM(N692:O692)</f>
        <v>2</v>
      </c>
      <c r="Q692" s="135" t="str">
        <f aca="false">IF(P627=P692,"〇","×")</f>
        <v>〇</v>
      </c>
      <c r="R692" s="135" t="str">
        <f aca="false">IFERROR(INDEX(報告入力!$C$7:$C$696,MATCH($S$652&amp;"|"&amp;$A692,報告入力!$CM$7:$CM$696,0)),"")</f>
        <v>未受領</v>
      </c>
    </row>
    <row r="693" s="135" customFormat="true" ht="20.1" hidden="false" customHeight="true" outlineLevel="0" collapsed="false">
      <c r="A693" s="214" t="s">
        <v>201</v>
      </c>
      <c r="B693" s="240" t="n">
        <f aca="false">SUMIFS(報告入力!$AY$7:$AY$696,報告入力!$A$7:$A$696,$S$652,報告入力!$B$7:$B$696,$A693)</f>
        <v>48495</v>
      </c>
      <c r="C693" s="237" t="n">
        <f aca="false">SUMIFS(報告入力!$AZ$7:$AZ$696,報告入力!$A$7:$A$696,$S$652,報告入力!$B$7:$B$696,$A693)</f>
        <v>3975</v>
      </c>
      <c r="D693" s="240" t="n">
        <f aca="false">SUMIFS(報告入力!$BA$7:$BA$696,報告入力!$A$7:$A$696,$S$652,報告入力!$B$7:$B$696,$A693)</f>
        <v>48495</v>
      </c>
      <c r="E693" s="239" t="n">
        <f aca="false">SUMIFS(報告入力!$BB$7:$BB$696,報告入力!$A$7:$A$696,$S$652,報告入力!$B$7:$B$696,$A693)</f>
        <v>3975</v>
      </c>
      <c r="F693" s="204" t="n">
        <f aca="false">SUMIFS(報告入力!$BC$7:$BC$696,報告入力!$A$7:$A$696,$S$652,報告入力!$B$7:$B$696,$A693)</f>
        <v>49</v>
      </c>
      <c r="G693" s="206" t="n">
        <f aca="false">SUM(B693:F693)</f>
        <v>104989</v>
      </c>
      <c r="H693" s="207" t="n">
        <f aca="false">SUMIFS(報告入力!$BD$7:$BD$696,報告入力!$A$7:$A$696,$S$652,報告入力!$B$7:$B$696,$A693)</f>
        <v>29155</v>
      </c>
      <c r="I693" s="239" t="n">
        <f aca="false">SUMIFS(報告入力!$BE$7:$BE$696,報告入力!$A$7:$A$696,$S$652,報告入力!$B$7:$B$696,$A693)</f>
        <v>29208</v>
      </c>
      <c r="J693" s="418" t="n">
        <f aca="false">SUM(H693:I693)</f>
        <v>58363</v>
      </c>
      <c r="K693" s="203" t="n">
        <f aca="false">SUMIFS(報告入力!$BF$7:$BF$696,報告入力!$A$7:$A$696,$S$652,報告入力!$B$7:$B$696,$A693)</f>
        <v>0</v>
      </c>
      <c r="L693" s="387" t="n">
        <f aca="false">SUMIFS(報告入力!$BG$7:$BG$696,報告入力!$A$7:$A$696,$S$652,報告入力!$B$7:$B$696,$A693)</f>
        <v>0</v>
      </c>
      <c r="M693" s="206" t="n">
        <f aca="false">SUM(K693:L693)</f>
        <v>0</v>
      </c>
      <c r="N693" s="203" t="n">
        <f aca="false">SUMIFS(報告入力!$BH$7:$BH$696,報告入力!$A$7:$A$696,$S$652,報告入力!$B$7:$B$696,$A693)</f>
        <v>1</v>
      </c>
      <c r="O693" s="387" t="n">
        <f aca="false">SUMIFS(報告入力!$BI$7:$BI$696,報告入力!$A$7:$A$696,$S$652,報告入力!$B$7:$B$696,$A693)</f>
        <v>1</v>
      </c>
      <c r="P693" s="206" t="n">
        <f aca="false">SUM(N693:O693)</f>
        <v>2</v>
      </c>
      <c r="Q693" s="135" t="str">
        <f aca="false">IF(P628=P693,"〇","×")</f>
        <v>〇</v>
      </c>
      <c r="R693" s="135" t="str">
        <f aca="false">IFERROR(INDEX(報告入力!$C$7:$C$696,MATCH($S$652&amp;"|"&amp;$A693,報告入力!$CM$7:$CM$696,0)),"")</f>
        <v>未受領</v>
      </c>
    </row>
    <row r="694" s="135" customFormat="true" ht="20.1" hidden="false" customHeight="true" outlineLevel="0" collapsed="false">
      <c r="A694" s="146" t="s">
        <v>202</v>
      </c>
      <c r="B694" s="240" t="n">
        <f aca="false">SUMIFS(報告入力!$AY$7:$AY$696,報告入力!$A$7:$A$696,$S$652,報告入力!$B$7:$B$696,$A694)</f>
        <v>1194075</v>
      </c>
      <c r="C694" s="237" t="n">
        <f aca="false">SUMIFS(報告入力!$AZ$7:$AZ$696,報告入力!$A$7:$A$696,$S$652,報告入力!$B$7:$B$696,$A694)</f>
        <v>97875</v>
      </c>
      <c r="D694" s="203" t="n">
        <f aca="false">SUMIFS(報告入力!$BA$7:$BA$696,報告入力!$A$7:$A$696,$S$652,報告入力!$B$7:$B$696,$A694)</f>
        <v>1194075</v>
      </c>
      <c r="E694" s="207" t="n">
        <f aca="false">SUMIFS(報告入力!$BB$7:$BB$696,報告入力!$A$7:$A$696,$S$652,報告入力!$B$7:$B$696,$A694)</f>
        <v>97875</v>
      </c>
      <c r="F694" s="237" t="n">
        <f aca="false">SUMIFS(報告入力!$BC$7:$BC$696,報告入力!$A$7:$A$696,$S$652,報告入力!$B$7:$B$696,$A694)</f>
        <v>1337</v>
      </c>
      <c r="G694" s="206" t="n">
        <f aca="false">SUM(B694:F694)</f>
        <v>2585237</v>
      </c>
      <c r="H694" s="240" t="n">
        <f aca="false">SUMIFS(報告入力!$BD$7:$BD$696,報告入力!$A$7:$A$696,$S$652,報告入力!$B$7:$B$696,$A694)</f>
        <v>717870</v>
      </c>
      <c r="I694" s="208" t="n">
        <f aca="false">SUMIFS(報告入力!$BE$7:$BE$696,報告入力!$A$7:$A$696,$S$652,報告入力!$B$7:$B$696,$A694)</f>
        <v>719305</v>
      </c>
      <c r="J694" s="418" t="n">
        <f aca="false">SUM(H694:I694)</f>
        <v>1437175</v>
      </c>
      <c r="K694" s="203" t="n">
        <f aca="false">SUMIFS(報告入力!$BF$7:$BF$696,報告入力!$A$7:$A$696,$S$652,報告入力!$B$7:$B$696,$A694)</f>
        <v>64227</v>
      </c>
      <c r="L694" s="387" t="n">
        <f aca="false">SUMIFS(報告入力!$BG$7:$BG$696,報告入力!$A$7:$A$696,$S$652,報告入力!$B$7:$B$696,$A694)</f>
        <v>64227</v>
      </c>
      <c r="M694" s="206" t="n">
        <f aca="false">SUM(K694:L694)</f>
        <v>128454</v>
      </c>
      <c r="N694" s="203" t="n">
        <f aca="false">SUMIFS(報告入力!$BH$7:$BH$696,報告入力!$A$7:$A$696,$S$652,報告入力!$B$7:$B$696,$A694)</f>
        <v>1</v>
      </c>
      <c r="O694" s="387" t="n">
        <f aca="false">SUMIFS(報告入力!$BI$7:$BI$696,報告入力!$A$7:$A$696,$S$652,報告入力!$B$7:$B$696,$A694)</f>
        <v>1</v>
      </c>
      <c r="P694" s="206" t="n">
        <f aca="false">SUM(N694:O694)</f>
        <v>2</v>
      </c>
      <c r="Q694" s="135" t="str">
        <f aca="false">IF(P629=P694,"〇","×")</f>
        <v>〇</v>
      </c>
      <c r="R694" s="135" t="str">
        <f aca="false">IFERROR(INDEX(報告入力!$C$7:$C$696,MATCH($S$652&amp;"|"&amp;$A694,報告入力!$CM$7:$CM$696,0)),"")</f>
        <v>未受領</v>
      </c>
    </row>
    <row r="695" s="135" customFormat="true" ht="20.1" hidden="false" customHeight="true" outlineLevel="0" collapsed="false">
      <c r="A695" s="146" t="s">
        <v>203</v>
      </c>
      <c r="B695" s="226"/>
      <c r="C695" s="216"/>
      <c r="D695" s="240" t="n">
        <f aca="false">SUMIFS(報告入力!$BA$7:$BA$696,報告入力!$A$7:$A$696,$S$652,報告入力!$B$7:$B$696,$A695)</f>
        <v>245220</v>
      </c>
      <c r="E695" s="238" t="n">
        <f aca="false">SUMIFS(報告入力!$BB$7:$BB$696,報告入力!$A$7:$A$696,$S$652,報告入力!$B$7:$B$696,$A695)</f>
        <v>20100</v>
      </c>
      <c r="F695" s="393" t="n">
        <f aca="false">SUMIFS(報告入力!$BC$7:$BC$696,報告入力!$A$7:$A$696,$S$652,報告入力!$B$7:$B$696,$A695)</f>
        <v>251</v>
      </c>
      <c r="G695" s="206" t="n">
        <f aca="false">SUM(B695:F695)</f>
        <v>265571</v>
      </c>
      <c r="H695" s="422"/>
      <c r="I695" s="239" t="n">
        <f aca="false">SUMIFS(報告入力!$BE$7:$BE$696,報告入力!$A$7:$A$696,$S$652,報告入力!$B$7:$B$696,$A695)</f>
        <v>151001</v>
      </c>
      <c r="J695" s="160" t="n">
        <f aca="false">SUM(H695:I695)</f>
        <v>151001</v>
      </c>
      <c r="K695" s="422"/>
      <c r="L695" s="239" t="n">
        <f aca="false">SUMIFS(報告入力!$BG$7:$BG$696,報告入力!$A$7:$A$696,$S$652,報告入力!$B$7:$B$696,$A695)</f>
        <v>10744</v>
      </c>
      <c r="M695" s="160" t="n">
        <f aca="false">SUM(K695:L695)</f>
        <v>10744</v>
      </c>
      <c r="N695" s="422"/>
      <c r="O695" s="239" t="n">
        <f aca="false">SUMIFS(報告入力!$BI$7:$BI$696,報告入力!$A$7:$A$696,$S$652,報告入力!$B$7:$B$696,$A695)</f>
        <v>1</v>
      </c>
      <c r="P695" s="160" t="n">
        <f aca="false">SUM(N695:O695)</f>
        <v>1</v>
      </c>
      <c r="Q695" s="135" t="str">
        <f aca="false">IF(P630=P695,"〇","×")</f>
        <v>〇</v>
      </c>
      <c r="R695" s="135" t="str">
        <f aca="false">IFERROR(INDEX(報告入力!$C$7:$C$696,MATCH($S$652&amp;"|"&amp;$A695,報告入力!$CM$7:$CM$696,0)),"")</f>
        <v>未受領</v>
      </c>
    </row>
    <row r="696" s="135" customFormat="true" ht="20.1" hidden="false" customHeight="true" outlineLevel="0" collapsed="false">
      <c r="A696" s="232" t="s">
        <v>204</v>
      </c>
      <c r="B696" s="240" t="n">
        <f aca="false">SUMIFS(報告入力!$AY$7:$AY$696,報告入力!$A$7:$A$696,$S$652,報告入力!$B$7:$B$696,$A696)</f>
        <v>123464885</v>
      </c>
      <c r="C696" s="237" t="n">
        <f aca="false">SUMIFS(報告入力!$AZ$7:$AZ$696,報告入力!$A$7:$A$696,$S$652,報告入力!$B$7:$B$696,$A696)</f>
        <v>10128923</v>
      </c>
      <c r="D696" s="203" t="n">
        <f aca="false">SUMIFS(報告入力!$BA$7:$BA$696,報告入力!$A$7:$A$696,$S$652,報告入力!$B$7:$B$696,$A696)</f>
        <v>182815225</v>
      </c>
      <c r="E696" s="207" t="n">
        <f aca="false">SUMIFS(報告入力!$BB$7:$BB$696,報告入力!$A$7:$A$696,$S$652,報告入力!$B$7:$B$696,$A696)</f>
        <v>10128923</v>
      </c>
      <c r="F696" s="237" t="n">
        <f aca="false">SUMIFS(報告入力!$BC$7:$BC$696,報告入力!$A$7:$A$696,$S$652,報告入力!$B$7:$B$696,$A696)</f>
        <v>134171</v>
      </c>
      <c r="G696" s="206" t="n">
        <f aca="false">SUM(B696:F696)</f>
        <v>326672127</v>
      </c>
      <c r="H696" s="240" t="n">
        <f aca="false">SUMIFS(報告入力!$BD$7:$BD$696,報告入力!$A$7:$A$696,$S$652,報告入力!$B$7:$B$696,$A696)</f>
        <v>96185407</v>
      </c>
      <c r="I696" s="208" t="n">
        <f aca="false">SUMIFS(報告入力!$BE$7:$BE$696,報告入力!$A$7:$A$696,$S$652,報告入力!$B$7:$B$696,$A696)</f>
        <v>96373091</v>
      </c>
      <c r="J696" s="418" t="n">
        <f aca="false">SUM(H696:I696)</f>
        <v>192558498</v>
      </c>
      <c r="K696" s="240" t="n">
        <f aca="false">SUMIFS(報告入力!$BF$7:$BF$696,報告入力!$A$7:$A$696,$S$652,報告入力!$B$7:$B$696,$A696)</f>
        <v>7782472</v>
      </c>
      <c r="L696" s="387" t="n">
        <f aca="false">SUMIFS(報告入力!$BG$7:$BG$696,報告入力!$A$7:$A$696,$S$652,報告入力!$B$7:$B$696,$A696)</f>
        <v>7782472</v>
      </c>
      <c r="M696" s="206" t="n">
        <f aca="false">SUM(K696:L696)</f>
        <v>15564944</v>
      </c>
      <c r="N696" s="240" t="n">
        <f aca="false">SUMIFS(報告入力!$BH$7:$BH$696,報告入力!$A$7:$A$696,$S$652,報告入力!$B$7:$B$696,$A696)</f>
        <v>1</v>
      </c>
      <c r="O696" s="387" t="n">
        <f aca="false">SUMIFS(報告入力!$BI$7:$BI$696,報告入力!$A$7:$A$696,$S$652,報告入力!$B$7:$B$696,$A696)</f>
        <v>1</v>
      </c>
      <c r="P696" s="206" t="n">
        <f aca="false">SUM(N696:O696)</f>
        <v>2</v>
      </c>
      <c r="Q696" s="135" t="str">
        <f aca="false">IF(P631=P696,"〇","×")</f>
        <v>〇</v>
      </c>
      <c r="R696" s="135" t="str">
        <f aca="false">IFERROR(INDEX(報告入力!$C$7:$C$696,MATCH($S$652&amp;"|"&amp;$A696,報告入力!$CM$7:$CM$696,0)),"")</f>
        <v>未受領</v>
      </c>
    </row>
    <row r="697" s="162" customFormat="true" ht="21.75" hidden="false" customHeight="true" outlineLevel="0" collapsed="false">
      <c r="A697" s="399" t="s">
        <v>205</v>
      </c>
      <c r="B697" s="152"/>
      <c r="C697" s="156"/>
      <c r="D697" s="152"/>
      <c r="E697" s="234"/>
      <c r="F697" s="156"/>
      <c r="G697" s="235" t="n">
        <f aca="false">SUM(B697:F697)</f>
        <v>0</v>
      </c>
      <c r="H697" s="238" t="n">
        <f aca="false">SUMIFS(報告入力!$BD$7:$BD$696,報告入力!$A$7:$A$696,$S$652,報告入力!$B$7:$B$696,$A697)</f>
        <v>108364</v>
      </c>
      <c r="I697" s="395" t="n">
        <f aca="false">SUMIFS(報告入力!$BE$7:$BE$696,報告入力!$A$7:$A$696,$S$652,報告入力!$B$7:$B$696,$A697)</f>
        <v>108566</v>
      </c>
      <c r="J697" s="160" t="n">
        <f aca="false">SUM(H697:I697)</f>
        <v>216930</v>
      </c>
      <c r="K697" s="240" t="n">
        <f aca="false">SUMIFS(報告入力!$BF$7:$BF$696,報告入力!$A$7:$A$696,$S$652,報告入力!$B$7:$B$696,$A697)</f>
        <v>12245</v>
      </c>
      <c r="L697" s="395" t="n">
        <f aca="false">SUMIFS(報告入力!$BG$7:$BG$696,報告入力!$A$7:$A$696,$S$652,報告入力!$B$7:$B$696,$A697)</f>
        <v>12245</v>
      </c>
      <c r="M697" s="160" t="n">
        <f aca="false">SUM(K697:L697)</f>
        <v>24490</v>
      </c>
      <c r="N697" s="240" t="n">
        <f aca="false">SUMIFS(報告入力!$BH$7:$BH$696,報告入力!$A$7:$A$696,$S$652,報告入力!$B$7:$B$696,$A697)</f>
        <v>1</v>
      </c>
      <c r="O697" s="395" t="n">
        <f aca="false">SUMIFS(報告入力!$BI$7:$BI$696,報告入力!$A$7:$A$696,$S$652,報告入力!$B$7:$B$696,$A697)</f>
        <v>1</v>
      </c>
      <c r="P697" s="160" t="n">
        <f aca="false">SUM(N697:O697)</f>
        <v>2</v>
      </c>
      <c r="Q697" s="162" t="str">
        <f aca="false">IF(P632=P697,"〇","×")</f>
        <v>〇</v>
      </c>
      <c r="R697" s="162" t="str">
        <f aca="false">IFERROR(INDEX(報告入力!$C$7:$C$696,MATCH($S$652&amp;"|"&amp;$A697,報告入力!$CM$7:$CM$696,0)),"")</f>
        <v>未受領</v>
      </c>
    </row>
    <row r="698" s="162" customFormat="true" ht="21.75" hidden="false" customHeight="true" outlineLevel="0" collapsed="false">
      <c r="A698" s="236" t="s">
        <v>206</v>
      </c>
      <c r="B698" s="336"/>
      <c r="C698" s="355"/>
      <c r="D698" s="336"/>
      <c r="E698" s="334"/>
      <c r="F698" s="356"/>
      <c r="G698" s="327" t="n">
        <f aca="false">SUM(B698:F698)</f>
        <v>0</v>
      </c>
      <c r="H698" s="336"/>
      <c r="I698" s="335"/>
      <c r="J698" s="330" t="n">
        <f aca="false">SUM(H698:I698)</f>
        <v>0</v>
      </c>
      <c r="K698" s="336"/>
      <c r="L698" s="335"/>
      <c r="M698" s="330" t="n">
        <f aca="false">SUM(K698:L698)</f>
        <v>0</v>
      </c>
      <c r="N698" s="336"/>
      <c r="O698" s="335"/>
      <c r="P698" s="330" t="n">
        <f aca="false">SUM(N698:O698)</f>
        <v>0</v>
      </c>
      <c r="Q698" s="162" t="str">
        <f aca="false">IF(P633=P698,"〇","×")</f>
        <v>〇</v>
      </c>
      <c r="R698" s="162" t="str">
        <f aca="false">IFERROR(INDEX(報告入力!$C$7:$C$696,MATCH($S$652&amp;"|"&amp;$A698,報告入力!$CM$7:$CM$696,0)),"")</f>
        <v>報告なし</v>
      </c>
    </row>
    <row r="699" s="162" customFormat="true" ht="21.75" hidden="false" customHeight="true" outlineLevel="0" collapsed="false">
      <c r="A699" s="236" t="s">
        <v>207</v>
      </c>
      <c r="B699" s="240" t="n">
        <f aca="false">SUMIFS(報告入力!$AY$7:$AY$696,報告入力!$A$7:$A$696,$S$652,報告入力!$B$7:$B$696,$A699)</f>
        <v>59475</v>
      </c>
      <c r="C699" s="392" t="n">
        <f aca="false">SUMIFS(報告入力!$AZ$7:$AZ$696,報告入力!$A$7:$A$696,$S$652,報告入力!$B$7:$B$696,$A699)</f>
        <v>4875</v>
      </c>
      <c r="D699" s="240" t="n">
        <f aca="false">SUMIFS(報告入力!$BA$7:$BA$696,報告入力!$A$7:$A$696,$S$652,報告入力!$B$7:$B$696,$A699)</f>
        <v>59475</v>
      </c>
      <c r="E699" s="238" t="n">
        <f aca="false">SUMIFS(報告入力!$BB$7:$BB$696,報告入力!$A$7:$A$696,$S$652,報告入力!$B$7:$B$696,$A699)</f>
        <v>4875</v>
      </c>
      <c r="F699" s="393" t="n">
        <f aca="false">SUMIFS(報告入力!$BC$7:$BC$696,報告入力!$A$7:$A$696,$S$652,報告入力!$B$7:$B$696,$A699)</f>
        <v>61</v>
      </c>
      <c r="G699" s="206" t="n">
        <f aca="false">SUM(B699:F699)</f>
        <v>128761</v>
      </c>
      <c r="H699" s="240" t="n">
        <f aca="false">SUMIFS(報告入力!$BD$7:$BD$696,報告入力!$A$7:$A$696,$S$652,報告入力!$B$7:$B$696,$A699)</f>
        <v>41257</v>
      </c>
      <c r="I699" s="239" t="n">
        <f aca="false">SUMIFS(報告入力!$BE$7:$BE$696,報告入力!$A$7:$A$696,$S$652,報告入力!$B$7:$B$696,$A699)</f>
        <v>41332</v>
      </c>
      <c r="J699" s="160" t="n">
        <f aca="false">SUM(H699:I699)</f>
        <v>82589</v>
      </c>
      <c r="K699" s="240" t="n">
        <f aca="false">SUMIFS(報告入力!$BF$7:$BF$696,報告入力!$A$7:$A$696,$S$652,報告入力!$B$7:$B$696,$A699)</f>
        <v>5925</v>
      </c>
      <c r="L699" s="238" t="n">
        <f aca="false">SUMIFS(報告入力!$BG$7:$BG$696,報告入力!$A$7:$A$696,$S$652,報告入力!$B$7:$B$696,$A699)</f>
        <v>5925</v>
      </c>
      <c r="M699" s="160" t="n">
        <f aca="false">SUM(K699:L699)</f>
        <v>11850</v>
      </c>
      <c r="N699" s="240" t="n">
        <f aca="false">SUMIFS(報告入力!$BH$7:$BH$696,報告入力!$A$7:$A$696,$S$652,報告入力!$B$7:$B$696,$A699)</f>
        <v>1</v>
      </c>
      <c r="O699" s="238" t="n">
        <f aca="false">SUMIFS(報告入力!$BI$7:$BI$696,報告入力!$A$7:$A$696,$S$652,報告入力!$B$7:$B$696,$A699)</f>
        <v>1</v>
      </c>
      <c r="P699" s="160" t="n">
        <f aca="false">SUM(N699:O699)</f>
        <v>2</v>
      </c>
      <c r="Q699" s="162" t="str">
        <f aca="false">IF(P634=P699,"〇","×")</f>
        <v>〇</v>
      </c>
      <c r="R699" s="162" t="str">
        <f aca="false">IFERROR(INDEX(報告入力!$C$7:$C$696,MATCH($S$652&amp;"|"&amp;$A699,報告入力!$CM$7:$CM$696,0)),"")</f>
        <v>未受領</v>
      </c>
    </row>
    <row r="700" s="162" customFormat="true" ht="21.75" hidden="false" customHeight="true" outlineLevel="0" collapsed="false">
      <c r="A700" s="174"/>
      <c r="B700" s="182"/>
      <c r="C700" s="181"/>
      <c r="D700" s="245"/>
      <c r="E700" s="183"/>
      <c r="F700" s="181"/>
      <c r="G700" s="246" t="n">
        <f aca="false">SUM(B700:F700)</f>
        <v>0</v>
      </c>
      <c r="H700" s="185"/>
      <c r="I700" s="448" t="s">
        <v>512</v>
      </c>
      <c r="J700" s="248" t="n">
        <f aca="false">SUM(H700:I700)</f>
        <v>0</v>
      </c>
      <c r="K700" s="182"/>
      <c r="L700" s="183"/>
      <c r="M700" s="248" t="n">
        <f aca="false">SUM(K700:L700)</f>
        <v>0</v>
      </c>
      <c r="N700" s="182"/>
      <c r="O700" s="183"/>
      <c r="P700" s="248" t="n">
        <f aca="false">SUM(N700:O700)</f>
        <v>0</v>
      </c>
      <c r="Q700" s="162" t="str">
        <f aca="false">IF(P635=P700,"〇","×")</f>
        <v>〇</v>
      </c>
    </row>
    <row r="701" s="162" customFormat="true" ht="0.2" hidden="false" customHeight="true" outlineLevel="0" collapsed="false">
      <c r="A701" s="174"/>
      <c r="B701" s="182"/>
      <c r="C701" s="181"/>
      <c r="D701" s="245"/>
      <c r="E701" s="183"/>
      <c r="F701" s="181"/>
      <c r="G701" s="246" t="n">
        <f aca="false">SUM(B701:F701)</f>
        <v>0</v>
      </c>
      <c r="H701" s="185"/>
      <c r="I701" s="183"/>
      <c r="J701" s="248" t="n">
        <f aca="false">SUM(H701:I701)</f>
        <v>0</v>
      </c>
      <c r="K701" s="182"/>
      <c r="L701" s="183"/>
      <c r="M701" s="248" t="n">
        <f aca="false">SUM(K701:L701)</f>
        <v>0</v>
      </c>
      <c r="N701" s="182"/>
      <c r="O701" s="183"/>
      <c r="P701" s="248" t="n">
        <f aca="false">SUM(N701:O701)</f>
        <v>0</v>
      </c>
      <c r="Q701" s="162" t="str">
        <f aca="false">IF(P636=P701,"〇","×")</f>
        <v>〇</v>
      </c>
    </row>
    <row r="702" s="162" customFormat="true" ht="0.2" hidden="false" customHeight="true" outlineLevel="0" collapsed="false">
      <c r="A702" s="187"/>
      <c r="B702" s="249"/>
      <c r="C702" s="250"/>
      <c r="D702" s="251"/>
      <c r="E702" s="252"/>
      <c r="F702" s="250"/>
      <c r="G702" s="253"/>
      <c r="H702" s="256"/>
      <c r="I702" s="254"/>
      <c r="J702" s="255"/>
      <c r="K702" s="256"/>
      <c r="L702" s="254"/>
      <c r="M702" s="255"/>
      <c r="N702" s="256"/>
      <c r="O702" s="254"/>
      <c r="P702" s="255"/>
      <c r="Q702" s="162" t="str">
        <f aca="false">IF(P637=P702,"〇","×")</f>
        <v>〇</v>
      </c>
    </row>
    <row r="703" s="135" customFormat="true" ht="20.1" hidden="false" customHeight="true" outlineLevel="0" collapsed="false">
      <c r="A703" s="196" t="s">
        <v>497</v>
      </c>
      <c r="B703" s="197" t="n">
        <f aca="false">SUM(B673:B702)</f>
        <v>126320600</v>
      </c>
      <c r="C703" s="200" t="n">
        <f aca="false">SUM(C673:C702)</f>
        <v>10362998</v>
      </c>
      <c r="D703" s="198" t="n">
        <f aca="false">SUM(D673:D702)</f>
        <v>191758435</v>
      </c>
      <c r="E703" s="199" t="n">
        <f aca="false">SUM(E673:E702)</f>
        <v>10861973</v>
      </c>
      <c r="F703" s="200" t="n">
        <f aca="false">SUM(F673:F702)</f>
        <v>143562</v>
      </c>
      <c r="G703" s="201" t="n">
        <f aca="false">SUM(B703:F703)</f>
        <v>339447568</v>
      </c>
      <c r="H703" s="197" t="n">
        <f aca="false">SUM(H673:H701)</f>
        <v>98021611</v>
      </c>
      <c r="I703" s="198" t="n">
        <f aca="false">SUM(I673:I701)</f>
        <v>102028643</v>
      </c>
      <c r="J703" s="200" t="n">
        <f aca="false">SUM(H703:I703)</f>
        <v>200050254</v>
      </c>
      <c r="K703" s="197" t="n">
        <f aca="false">SUM(K673:K701)</f>
        <v>7948609</v>
      </c>
      <c r="L703" s="198" t="n">
        <f aca="false">SUM(L673:L701)</f>
        <v>8391088</v>
      </c>
      <c r="M703" s="200" t="n">
        <f aca="false">SUM(K703:L703)</f>
        <v>16339697</v>
      </c>
      <c r="N703" s="197" t="n">
        <f aca="false">SUM(N673:N701)</f>
        <v>12</v>
      </c>
      <c r="O703" s="198" t="n">
        <f aca="false">SUM(O673:O701)</f>
        <v>24</v>
      </c>
      <c r="P703" s="200" t="n">
        <f aca="false">SUM(N703:O703)</f>
        <v>36</v>
      </c>
      <c r="Q703" s="135" t="str">
        <f aca="false">IF(P638=P703,"〇","×")</f>
        <v>〇</v>
      </c>
    </row>
    <row r="704" s="162" customFormat="true" ht="0.2" hidden="false" customHeight="true" outlineLevel="0" collapsed="false">
      <c r="A704" s="174" t="s">
        <v>496</v>
      </c>
      <c r="B704" s="256"/>
      <c r="C704" s="257"/>
      <c r="D704" s="254"/>
      <c r="E704" s="258"/>
      <c r="F704" s="259"/>
      <c r="G704" s="260"/>
      <c r="H704" s="423"/>
      <c r="I704" s="261"/>
      <c r="J704" s="262"/>
      <c r="K704" s="263"/>
      <c r="L704" s="264"/>
      <c r="M704" s="265"/>
      <c r="N704" s="263"/>
      <c r="O704" s="264"/>
      <c r="P704" s="265"/>
      <c r="Q704" s="162" t="str">
        <f aca="false">IF(P639=P704,"〇","×")</f>
        <v>〇</v>
      </c>
    </row>
    <row r="705" s="162" customFormat="true" ht="0.2" hidden="false" customHeight="true" outlineLevel="0" collapsed="false">
      <c r="A705" s="266" t="s">
        <v>496</v>
      </c>
      <c r="B705" s="267"/>
      <c r="C705" s="268"/>
      <c r="D705" s="254"/>
      <c r="E705" s="258"/>
      <c r="F705" s="257"/>
      <c r="G705" s="253"/>
      <c r="H705" s="424"/>
      <c r="I705" s="269"/>
      <c r="J705" s="270"/>
      <c r="K705" s="271"/>
      <c r="L705" s="272"/>
      <c r="M705" s="273"/>
      <c r="N705" s="271"/>
      <c r="O705" s="272"/>
      <c r="P705" s="273"/>
      <c r="Q705" s="162" t="str">
        <f aca="false">IF(P640=P705,"〇","×")</f>
        <v>〇</v>
      </c>
    </row>
    <row r="706" s="135" customFormat="true" ht="20.1" hidden="false" customHeight="true" outlineLevel="0" collapsed="false">
      <c r="A706" s="214" t="s">
        <v>208</v>
      </c>
      <c r="B706" s="240" t="n">
        <f aca="false">SUMIFS(報告入力!$AY$7:$AY$696,報告入力!$A$7:$A$696,$S$652,報告入力!$B$7:$B$696,$A706)</f>
        <v>145485</v>
      </c>
      <c r="C706" s="393" t="n">
        <f aca="false">SUMIFS(報告入力!$AZ$7:$AZ$696,報告入力!$A$7:$A$696,$S$652,報告入力!$B$7:$B$696,$A706)</f>
        <v>11925</v>
      </c>
      <c r="D706" s="240" t="n">
        <f aca="false">SUMIFS(報告入力!$BA$7:$BA$696,報告入力!$A$7:$A$696,$S$652,報告入力!$B$7:$B$696,$A706)</f>
        <v>145485</v>
      </c>
      <c r="E706" s="238" t="n">
        <f aca="false">SUMIFS(報告入力!$BB$7:$BB$696,報告入力!$A$7:$A$696,$S$652,報告入力!$B$7:$B$696,$A706)</f>
        <v>11925</v>
      </c>
      <c r="F706" s="393" t="n">
        <f aca="false">SUMIFS(報告入力!$BC$7:$BC$696,報告入力!$A$7:$A$696,$S$652,報告入力!$B$7:$B$696,$A706)</f>
        <v>149</v>
      </c>
      <c r="G706" s="206" t="n">
        <f aca="false">SUM(B706:F706)</f>
        <v>314969</v>
      </c>
      <c r="H706" s="152"/>
      <c r="I706" s="155"/>
      <c r="J706" s="221" t="n">
        <f aca="false">SUM(H706:I706)</f>
        <v>0</v>
      </c>
      <c r="K706" s="152"/>
      <c r="L706" s="155"/>
      <c r="M706" s="221" t="n">
        <f aca="false">SUM(K706:L706)</f>
        <v>0</v>
      </c>
      <c r="N706" s="152"/>
      <c r="O706" s="155"/>
      <c r="P706" s="221" t="n">
        <f aca="false">SUM(N706:O706)</f>
        <v>0</v>
      </c>
      <c r="Q706" s="135" t="str">
        <f aca="false">IF(P641=P706,"〇","×")</f>
        <v>〇</v>
      </c>
      <c r="R706" s="135" t="str">
        <f aca="false">IFERROR(INDEX(報告入力!$C$7:$C$696,MATCH($S$652&amp;"|"&amp;$A706,報告入力!$CM$7:$CM$696,0)),"")</f>
        <v>未受領</v>
      </c>
    </row>
    <row r="707" s="135" customFormat="true" ht="21.75" hidden="false" customHeight="true" outlineLevel="0" collapsed="false">
      <c r="A707" s="214" t="s">
        <v>209</v>
      </c>
      <c r="B707" s="409" t="n">
        <f aca="false">SUMIFS(報告入力!$AY$7:$AY$696,報告入力!$A$7:$A$696,$S$652,報告入力!$B$7:$B$696,$A707)</f>
        <v>53985</v>
      </c>
      <c r="C707" s="410" t="n">
        <f aca="false">SUMIFS(報告入力!$AZ$7:$AZ$696,報告入力!$A$7:$A$696,$S$652,報告入力!$B$7:$B$696,$A707)</f>
        <v>4425</v>
      </c>
      <c r="D707" s="425" t="n">
        <f aca="false">SUMIFS(報告入力!$BA$7:$BA$696,報告入力!$A$7:$A$696,$S$652,報告入力!$B$7:$B$696,$A707)</f>
        <v>53985</v>
      </c>
      <c r="E707" s="426" t="n">
        <f aca="false">SUMIFS(報告入力!$BB$7:$BB$696,報告入力!$A$7:$A$696,$S$652,報告入力!$B$7:$B$696,$A707)</f>
        <v>4425</v>
      </c>
      <c r="F707" s="427" t="n">
        <f aca="false">SUMIFS(報告入力!$BC$7:$BC$696,報告入力!$A$7:$A$696,$S$652,報告入力!$B$7:$B$696,$A707)</f>
        <v>55</v>
      </c>
      <c r="G707" s="391" t="n">
        <f aca="false">SUM(B707:F707)</f>
        <v>116875</v>
      </c>
      <c r="H707" s="428"/>
      <c r="I707" s="277"/>
      <c r="J707" s="278" t="n">
        <f aca="false">SUM(H707:I707)</f>
        <v>0</v>
      </c>
      <c r="K707" s="428"/>
      <c r="L707" s="277"/>
      <c r="M707" s="278" t="n">
        <f aca="false">SUM(K707:L707)</f>
        <v>0</v>
      </c>
      <c r="N707" s="428"/>
      <c r="O707" s="277"/>
      <c r="P707" s="278" t="n">
        <f aca="false">SUM(N707:O707)</f>
        <v>0</v>
      </c>
      <c r="Q707" s="135" t="str">
        <f aca="false">IF(P642=P707,"〇","×")</f>
        <v>〇</v>
      </c>
      <c r="R707" s="135" t="str">
        <f aca="false">IFERROR(INDEX(報告入力!$C$7:$C$696,MATCH($S$652&amp;"|"&amp;$A707,報告入力!$CM$7:$CM$696,0)),"")</f>
        <v>未受領</v>
      </c>
    </row>
    <row r="708" s="135" customFormat="true" ht="19.5" hidden="false" customHeight="true" outlineLevel="0" collapsed="false">
      <c r="A708" s="196" t="s">
        <v>497</v>
      </c>
      <c r="B708" s="197" t="n">
        <f aca="false">SUM(B704:B707)</f>
        <v>199470</v>
      </c>
      <c r="C708" s="200" t="n">
        <f aca="false">SUM(C704:C707)</f>
        <v>16350</v>
      </c>
      <c r="D708" s="198" t="n">
        <f aca="false">SUM(D704:D707)</f>
        <v>199470</v>
      </c>
      <c r="E708" s="199" t="n">
        <f aca="false">SUM(E704:E707)</f>
        <v>16350</v>
      </c>
      <c r="F708" s="200" t="n">
        <f aca="false">SUM(F704:F707)</f>
        <v>204</v>
      </c>
      <c r="G708" s="201" t="n">
        <f aca="false">SUM(B708:F708)</f>
        <v>431844</v>
      </c>
      <c r="H708" s="281" t="n">
        <f aca="false">SUM(H704:H707)</f>
        <v>0</v>
      </c>
      <c r="I708" s="282" t="n">
        <f aca="false">SUM(I704:I707)</f>
        <v>0</v>
      </c>
      <c r="J708" s="283" t="n">
        <f aca="false">SUM(H708:I708)</f>
        <v>0</v>
      </c>
      <c r="K708" s="281" t="n">
        <f aca="false">SUM(K704:K707)</f>
        <v>0</v>
      </c>
      <c r="L708" s="282" t="n">
        <f aca="false">SUM(L704:L707)</f>
        <v>0</v>
      </c>
      <c r="M708" s="283" t="n">
        <f aca="false">SUM(K708:L708)</f>
        <v>0</v>
      </c>
      <c r="N708" s="281" t="n">
        <f aca="false">SUM(N704:N707)</f>
        <v>0</v>
      </c>
      <c r="O708" s="282" t="n">
        <f aca="false">SUM(O704:O707)</f>
        <v>0</v>
      </c>
      <c r="P708" s="283" t="n">
        <f aca="false">SUM(N708:O708)</f>
        <v>0</v>
      </c>
      <c r="Q708" s="135" t="str">
        <f aca="false">IF(P643=P708,"〇","×")</f>
        <v>〇</v>
      </c>
    </row>
    <row r="709" s="135" customFormat="true" ht="20.1" hidden="false" customHeight="true" outlineLevel="0" collapsed="false">
      <c r="A709" s="125" t="s">
        <v>210</v>
      </c>
      <c r="B709" s="240" t="n">
        <f aca="false">SUMIFS(報告入力!$AY$7:$AY$696,報告入力!$A$7:$A$696,$S$652,報告入力!$B$7:$B$696,$A709)</f>
        <v>29280</v>
      </c>
      <c r="C709" s="237" t="n">
        <f aca="false">SUMIFS(報告入力!$AZ$7:$AZ$696,報告入力!$A$7:$A$696,$S$652,報告入力!$B$7:$B$696,$A709)</f>
        <v>2400</v>
      </c>
      <c r="D709" s="203" t="n">
        <f aca="false">SUMIFS(報告入力!$BA$7:$BA$696,報告入力!$A$7:$A$696,$S$652,報告入力!$B$7:$B$696,$A709)</f>
        <v>29280</v>
      </c>
      <c r="E709" s="207" t="n">
        <f aca="false">SUMIFS(報告入力!$BB$7:$BB$696,報告入力!$A$7:$A$696,$S$652,報告入力!$B$7:$B$696,$A709)</f>
        <v>2400</v>
      </c>
      <c r="F709" s="337"/>
      <c r="G709" s="206" t="n">
        <f aca="false">SUM(B709:F709)</f>
        <v>63360</v>
      </c>
      <c r="H709" s="287" t="n">
        <f aca="false">SUMIFS(報告入力!$BD$7:$BD$696,報告入力!$A$7:$A$696,$S$652,報告入力!$B$7:$B$696,$A709)</f>
        <v>17603</v>
      </c>
      <c r="I709" s="208" t="n">
        <f aca="false">SUMIFS(報告入力!$BE$7:$BE$696,報告入力!$A$7:$A$696,$S$652,報告入力!$B$7:$B$696,$A709)</f>
        <v>17635</v>
      </c>
      <c r="J709" s="160" t="n">
        <f aca="false">SUM(H709:I709)</f>
        <v>35238</v>
      </c>
      <c r="K709" s="287" t="n">
        <f aca="false">SUMIFS(報告入力!$BF$7:$BF$696,報告入力!$A$7:$A$696,$S$652,報告入力!$B$7:$B$696,$A709)</f>
        <v>2528</v>
      </c>
      <c r="L709" s="208" t="n">
        <f aca="false">SUMIFS(報告入力!$BG$7:$BG$696,報告入力!$A$7:$A$696,$S$652,報告入力!$B$7:$B$696,$A709)</f>
        <v>2528</v>
      </c>
      <c r="M709" s="160" t="n">
        <f aca="false">SUM(K709:L709)</f>
        <v>5056</v>
      </c>
      <c r="N709" s="287" t="n">
        <f aca="false">SUMIFS(報告入力!$BH$7:$BH$696,報告入力!$A$7:$A$696,$S$652,報告入力!$B$7:$B$696,$A709)</f>
        <v>1</v>
      </c>
      <c r="O709" s="208" t="n">
        <f aca="false">SUMIFS(報告入力!$BI$7:$BI$696,報告入力!$A$7:$A$696,$S$652,報告入力!$B$7:$B$696,$A709)</f>
        <v>1</v>
      </c>
      <c r="P709" s="160" t="n">
        <f aca="false">SUM(N709:O709)</f>
        <v>2</v>
      </c>
      <c r="Q709" s="135" t="str">
        <f aca="false">IF(P644=P709,"〇","×")</f>
        <v>〇</v>
      </c>
      <c r="R709" s="135" t="str">
        <f aca="false">IFERROR(INDEX(報告入力!$C$7:$C$696,MATCH($S$652&amp;"|"&amp;$A709,報告入力!$CM$7:$CM$696,0)),"")</f>
        <v>未受領</v>
      </c>
    </row>
    <row r="710" s="135" customFormat="true" ht="20.1" hidden="false" customHeight="true" outlineLevel="0" collapsed="false">
      <c r="A710" s="125" t="s">
        <v>211</v>
      </c>
      <c r="B710" s="240"/>
      <c r="C710" s="237"/>
      <c r="D710" s="203"/>
      <c r="E710" s="207"/>
      <c r="F710" s="337"/>
      <c r="G710" s="206" t="n">
        <f aca="false">SUM(B710:F710)</f>
        <v>0</v>
      </c>
      <c r="H710" s="287"/>
      <c r="I710" s="208"/>
      <c r="J710" s="160" t="n">
        <f aca="false">SUM(H710:I710)</f>
        <v>0</v>
      </c>
      <c r="K710" s="287"/>
      <c r="L710" s="208"/>
      <c r="M710" s="160" t="n">
        <f aca="false">SUM(K710:L710)</f>
        <v>0</v>
      </c>
      <c r="N710" s="287"/>
      <c r="O710" s="208"/>
      <c r="P710" s="160" t="n">
        <f aca="false">SUM(N710:O710)</f>
        <v>0</v>
      </c>
      <c r="Q710" s="135" t="str">
        <f aca="false">IF(P645=P710,"〇","×")</f>
        <v>〇</v>
      </c>
      <c r="R710" s="135" t="str">
        <f aca="false">IFERROR(INDEX(報告入力!$C$7:$C$696,MATCH($S$652&amp;"|"&amp;$A710,報告入力!$CM$7:$CM$696,0)),"")</f>
        <v>報告なし</v>
      </c>
    </row>
    <row r="711" s="135" customFormat="true" ht="20.1" hidden="false" customHeight="true" outlineLevel="0" collapsed="false">
      <c r="A711" s="217" t="s">
        <v>212</v>
      </c>
      <c r="B711" s="203" t="n">
        <f aca="false">SUMIFS(報告入力!$AY$7:$AY$696,報告入力!$A$7:$A$696,$S$652,報告入力!$B$7:$B$696,$A711)</f>
        <v>23790</v>
      </c>
      <c r="C711" s="204" t="n">
        <f aca="false">SUMIFS(報告入力!$AZ$7:$AZ$696,報告入力!$A$7:$A$696,$S$652,報告入力!$B$7:$B$696,$A711)</f>
        <v>1950</v>
      </c>
      <c r="D711" s="203" t="n">
        <f aca="false">SUMIFS(報告入力!$BA$7:$BA$696,報告入力!$A$7:$A$696,$S$652,報告入力!$B$7:$B$696,$A711)</f>
        <v>23790</v>
      </c>
      <c r="E711" s="440" t="n">
        <f aca="false">SUMIFS(報告入力!$BB$7:$BB$696,報告入力!$A$7:$A$696,$S$652,報告入力!$B$7:$B$696,$A711)</f>
        <v>1950</v>
      </c>
      <c r="F711" s="337"/>
      <c r="G711" s="206" t="n">
        <f aca="false">SUM(B711:F711)</f>
        <v>51480</v>
      </c>
      <c r="H711" s="287" t="n">
        <f aca="false">SUMIFS(報告入力!$BD$7:$BD$696,報告入力!$A$7:$A$696,$S$652,報告入力!$B$7:$B$696,$A711)</f>
        <v>30805</v>
      </c>
      <c r="I711" s="208" t="n">
        <f aca="false">SUMIFS(報告入力!$BE$7:$BE$696,報告入力!$A$7:$A$696,$S$652,報告入力!$B$7:$B$696,$A711)</f>
        <v>30861</v>
      </c>
      <c r="J711" s="160" t="n">
        <f aca="false">SUM(H711:I711)</f>
        <v>61666</v>
      </c>
      <c r="K711" s="287" t="n">
        <f aca="false">SUMIFS(報告入力!$BF$7:$BF$696,報告入力!$A$7:$A$696,$S$652,報告入力!$B$7:$B$696,$A711)</f>
        <v>2370</v>
      </c>
      <c r="L711" s="208" t="n">
        <f aca="false">SUMIFS(報告入力!$BG$7:$BG$696,報告入力!$A$7:$A$696,$S$652,報告入力!$B$7:$B$696,$A711)</f>
        <v>2370</v>
      </c>
      <c r="M711" s="160" t="n">
        <f aca="false">SUM(K711:L711)</f>
        <v>4740</v>
      </c>
      <c r="N711" s="287" t="n">
        <f aca="false">SUMIFS(報告入力!$BH$7:$BH$696,報告入力!$A$7:$A$696,$S$652,報告入力!$B$7:$B$696,$A711)</f>
        <v>1</v>
      </c>
      <c r="O711" s="208" t="n">
        <f aca="false">SUMIFS(報告入力!$BI$7:$BI$696,報告入力!$A$7:$A$696,$S$652,報告入力!$B$7:$B$696,$A711)</f>
        <v>1</v>
      </c>
      <c r="P711" s="160" t="n">
        <f aca="false">SUM(N711:O711)</f>
        <v>2</v>
      </c>
      <c r="Q711" s="135" t="str">
        <f aca="false">IF(P646=P711,"〇","×")</f>
        <v>〇</v>
      </c>
      <c r="R711" s="135" t="str">
        <f aca="false">IFERROR(INDEX(報告入力!$C$7:$C$696,MATCH($S$652&amp;"|"&amp;$A711,報告入力!$CM$7:$CM$696,0)),"")</f>
        <v>未受領</v>
      </c>
    </row>
    <row r="712" s="135" customFormat="true" ht="20.1" hidden="false" customHeight="true" outlineLevel="0" collapsed="false">
      <c r="A712" s="217" t="s">
        <v>213</v>
      </c>
      <c r="B712" s="240"/>
      <c r="C712" s="237"/>
      <c r="D712" s="203"/>
      <c r="E712" s="207"/>
      <c r="F712" s="337"/>
      <c r="G712" s="206" t="n">
        <f aca="false">SUM(B712:F712)</f>
        <v>0</v>
      </c>
      <c r="H712" s="359"/>
      <c r="I712" s="358"/>
      <c r="J712" s="309" t="n">
        <f aca="false">SUM(H712:I712)</f>
        <v>0</v>
      </c>
      <c r="K712" s="359"/>
      <c r="L712" s="358"/>
      <c r="M712" s="309" t="n">
        <f aca="false">SUM(K712:L712)</f>
        <v>0</v>
      </c>
      <c r="N712" s="359"/>
      <c r="O712" s="358"/>
      <c r="P712" s="309" t="n">
        <f aca="false">SUM(N712:O712)</f>
        <v>0</v>
      </c>
      <c r="Q712" s="135" t="str">
        <f aca="false">IF(P647=P712,"〇","×")</f>
        <v>〇</v>
      </c>
      <c r="R712" s="135" t="str">
        <f aca="false">IFERROR(INDEX(報告入力!$C$7:$C$696,MATCH($S$652&amp;"|"&amp;$A712,報告入力!$CM$7:$CM$696,0)),"")</f>
        <v>報告なし</v>
      </c>
    </row>
    <row r="713" s="135" customFormat="true" ht="20.1" hidden="false" customHeight="true" outlineLevel="0" collapsed="false">
      <c r="A713" s="196" t="s">
        <v>497</v>
      </c>
      <c r="B713" s="197" t="n">
        <f aca="false">SUM(B709:B712)</f>
        <v>53070</v>
      </c>
      <c r="C713" s="201" t="n">
        <f aca="false">SUM(C709:C712)</f>
        <v>4350</v>
      </c>
      <c r="D713" s="197" t="n">
        <f aca="false">SUM(D709:D712)</f>
        <v>53070</v>
      </c>
      <c r="E713" s="199" t="n">
        <f aca="false">SUM(E709:E712)</f>
        <v>4350</v>
      </c>
      <c r="F713" s="200" t="n">
        <f aca="false">SUM(F709:F712)</f>
        <v>0</v>
      </c>
      <c r="G713" s="201" t="n">
        <f aca="false">SUM(B713:F713)</f>
        <v>114840</v>
      </c>
      <c r="H713" s="429" t="n">
        <f aca="false">SUM(H709:H712)</f>
        <v>48408</v>
      </c>
      <c r="I713" s="199" t="n">
        <f aca="false">SUM(I709:I712)</f>
        <v>48496</v>
      </c>
      <c r="J713" s="200" t="n">
        <f aca="false">SUM(H713:I713)</f>
        <v>96904</v>
      </c>
      <c r="K713" s="197" t="n">
        <f aca="false">SUM(K709:K712)</f>
        <v>4898</v>
      </c>
      <c r="L713" s="301" t="n">
        <f aca="false">SUM(L709:L712)</f>
        <v>4898</v>
      </c>
      <c r="M713" s="200" t="n">
        <f aca="false">SUM(K713:L713)</f>
        <v>9796</v>
      </c>
      <c r="N713" s="197" t="n">
        <f aca="false">SUM(N709:N712)</f>
        <v>2</v>
      </c>
      <c r="O713" s="301" t="n">
        <f aca="false">SUM(O709:O712)</f>
        <v>2</v>
      </c>
      <c r="P713" s="200" t="n">
        <f aca="false">SUM(N713:O713)</f>
        <v>4</v>
      </c>
      <c r="Q713" s="135" t="str">
        <f aca="false">IF(P648=P713,"〇","×")</f>
        <v>〇</v>
      </c>
    </row>
    <row r="714" s="135" customFormat="true" ht="20.1" hidden="false" customHeight="true" outlineLevel="0" collapsed="false">
      <c r="A714" s="302" t="s">
        <v>214</v>
      </c>
      <c r="B714" s="303"/>
      <c r="C714" s="304"/>
      <c r="D714" s="305"/>
      <c r="E714" s="306"/>
      <c r="F714" s="292"/>
      <c r="G714" s="293"/>
      <c r="H714" s="359" t="n">
        <f aca="false">SUMIFS(報告入力!$BD$7:$BD$696,報告入力!$A$7:$A$696,$S$652,報告入力!$B$7:$B$696,$A714)</f>
        <v>1270075</v>
      </c>
      <c r="I714" s="339"/>
      <c r="J714" s="309" t="n">
        <f aca="false">SUM(H714:I714)</f>
        <v>1270075</v>
      </c>
      <c r="K714" s="359" t="n">
        <f aca="false">SUMIFS(報告入力!$BF$7:$BF$696,報告入力!$A$7:$A$696,$S$652,報告入力!$B$7:$B$696,$A714)</f>
        <v>77228</v>
      </c>
      <c r="L714" s="339"/>
      <c r="M714" s="309" t="n">
        <f aca="false">SUM(K714:L714)</f>
        <v>77228</v>
      </c>
      <c r="N714" s="359" t="n">
        <f aca="false">SUMIFS(報告入力!$BH$7:$BH$696,報告入力!$A$7:$A$696,$S$652,報告入力!$B$7:$B$696,$A714)</f>
        <v>1</v>
      </c>
      <c r="O714" s="339"/>
      <c r="P714" s="309" t="n">
        <f aca="false">SUM(N714:O714)</f>
        <v>1</v>
      </c>
      <c r="Q714" s="135" t="str">
        <f aca="false">IF(P649=P714,"〇","×")</f>
        <v>×</v>
      </c>
      <c r="R714" s="135" t="str">
        <f aca="false">IFERROR(INDEX(報告入力!$C$7:$C$696,MATCH($S$652&amp;"|"&amp;$A714,報告入力!$CM$7:$CM$696,0)),"")</f>
        <v>未受領</v>
      </c>
    </row>
    <row r="715" s="135" customFormat="true" ht="30" hidden="false" customHeight="true" outlineLevel="0" collapsed="false">
      <c r="A715" s="310" t="s">
        <v>499</v>
      </c>
      <c r="B715" s="311" t="n">
        <f aca="false">SUM(+B672+B703+B708+B713+B714)</f>
        <v>480720230</v>
      </c>
      <c r="C715" s="312" t="n">
        <f aca="false">SUM(+C672+C703+C708+C713+C714)</f>
        <v>39417023</v>
      </c>
      <c r="D715" s="311" t="n">
        <f aca="false">SUM(+D672+D703+D708+D713+D714)</f>
        <v>707668057</v>
      </c>
      <c r="E715" s="313" t="n">
        <f aca="false">SUM(+E672+E703+E708+E713+E714)</f>
        <v>39383775</v>
      </c>
      <c r="F715" s="312" t="n">
        <f aca="false">SUM(+F672+F703+F708+F713+F714)</f>
        <v>514166</v>
      </c>
      <c r="G715" s="314" t="n">
        <f aca="false">SUM(B715:F715)</f>
        <v>1267703251</v>
      </c>
      <c r="H715" s="317" t="n">
        <f aca="false">SUM(+H672+H703+H708+H713+H714)</f>
        <v>366311761</v>
      </c>
      <c r="I715" s="315" t="n">
        <f aca="false">SUM(+I672+I703+I708+I713+I714)</f>
        <v>369649168</v>
      </c>
      <c r="J715" s="316" t="n">
        <f aca="false">SUM(H715:I715)</f>
        <v>735960929</v>
      </c>
      <c r="K715" s="317" t="n">
        <f aca="false">SUM(+K672+K703+K708+K713+K714)</f>
        <v>31313778</v>
      </c>
      <c r="L715" s="315" t="n">
        <f aca="false">SUM(+L672+L703+L708+L713+L714)</f>
        <v>31225936</v>
      </c>
      <c r="M715" s="316" t="n">
        <f aca="false">SUM(K715:L715)</f>
        <v>62539714</v>
      </c>
      <c r="N715" s="317" t="n">
        <f aca="false">SUM(+N672+N703+N708+N713+N714)</f>
        <v>27</v>
      </c>
      <c r="O715" s="315" t="n">
        <f aca="false">SUM(+O672+O703+O708+O713+O714)</f>
        <v>38</v>
      </c>
      <c r="P715" s="316" t="n">
        <f aca="false">SUM(N715:O715)</f>
        <v>65</v>
      </c>
      <c r="Q715" s="135" t="str">
        <f aca="false">IF(P650=P715,"〇","×")</f>
        <v>×</v>
      </c>
    </row>
    <row r="716" s="341" customFormat="true" ht="39" hidden="false" customHeight="true" outlineLevel="0" collapsed="false">
      <c r="A716" s="340"/>
      <c r="G716" s="109"/>
      <c r="Q716" s="341" t="str">
        <f aca="false">IF(P651=P716,"〇","×")</f>
        <v>〇</v>
      </c>
    </row>
    <row r="717" s="322" customFormat="true" ht="30" hidden="false" customHeight="true" outlineLevel="0" collapsed="false">
      <c r="A717" s="320"/>
      <c r="B717" s="416" t="n">
        <f aca="false">EOMONTH(B587,1)</f>
        <v>46418</v>
      </c>
      <c r="C717" s="416"/>
      <c r="D717" s="416"/>
      <c r="E717" s="416"/>
      <c r="F717" s="416"/>
      <c r="G717" s="416"/>
      <c r="H717" s="112" t="n">
        <f aca="false">B717</f>
        <v>46418</v>
      </c>
      <c r="I717" s="112"/>
      <c r="J717" s="112"/>
      <c r="K717" s="112" t="n">
        <f aca="false">H717</f>
        <v>46418</v>
      </c>
      <c r="L717" s="112"/>
      <c r="M717" s="112"/>
      <c r="N717" s="112" t="n">
        <f aca="false">K717</f>
        <v>46418</v>
      </c>
      <c r="O717" s="112"/>
      <c r="P717" s="112"/>
      <c r="Q717" s="322" t="str">
        <f aca="false">IF(P652=P717,"〇","×")</f>
        <v>〇</v>
      </c>
      <c r="S717" s="322" t="s">
        <v>513</v>
      </c>
    </row>
    <row r="718" customFormat="false" ht="22.5" hidden="false" customHeight="true" outlineLevel="0" collapsed="false">
      <c r="A718" s="114" t="s">
        <v>483</v>
      </c>
      <c r="B718" s="114" t="s">
        <v>484</v>
      </c>
      <c r="C718" s="114"/>
      <c r="D718" s="114"/>
      <c r="E718" s="114"/>
      <c r="F718" s="114"/>
      <c r="G718" s="114"/>
      <c r="H718" s="116" t="s">
        <v>485</v>
      </c>
      <c r="I718" s="116"/>
      <c r="J718" s="116"/>
      <c r="K718" s="116" t="s">
        <v>486</v>
      </c>
      <c r="L718" s="116"/>
      <c r="M718" s="116"/>
      <c r="N718" s="116" t="str">
        <f aca="false">$N$3</f>
        <v>子ども・子育て支援納付金</v>
      </c>
      <c r="O718" s="116"/>
      <c r="P718" s="116"/>
      <c r="Q718" s="105" t="str">
        <f aca="false">IF(P653=P718,"〇","×")</f>
        <v>〇</v>
      </c>
    </row>
    <row r="719" customFormat="false" ht="22.5" hidden="false" customHeight="true" outlineLevel="0" collapsed="false">
      <c r="A719" s="114"/>
      <c r="B719" s="117" t="s">
        <v>487</v>
      </c>
      <c r="C719" s="117"/>
      <c r="D719" s="117" t="s">
        <v>488</v>
      </c>
      <c r="E719" s="117"/>
      <c r="F719" s="117"/>
      <c r="G719" s="117" t="s">
        <v>489</v>
      </c>
      <c r="H719" s="121" t="s">
        <v>490</v>
      </c>
      <c r="I719" s="119" t="s">
        <v>491</v>
      </c>
      <c r="J719" s="120" t="s">
        <v>489</v>
      </c>
      <c r="K719" s="121" t="s">
        <v>490</v>
      </c>
      <c r="L719" s="119" t="s">
        <v>491</v>
      </c>
      <c r="M719" s="120" t="s">
        <v>489</v>
      </c>
      <c r="N719" s="121" t="s">
        <v>490</v>
      </c>
      <c r="O719" s="119" t="s">
        <v>491</v>
      </c>
      <c r="P719" s="120" t="s">
        <v>489</v>
      </c>
      <c r="Q719" s="105" t="str">
        <f aca="false">IF(P654=P719,"〇","×")</f>
        <v>〇</v>
      </c>
    </row>
    <row r="720" customFormat="false" ht="22.5" hidden="false" customHeight="true" outlineLevel="0" collapsed="false">
      <c r="A720" s="114"/>
      <c r="B720" s="122" t="s">
        <v>492</v>
      </c>
      <c r="C720" s="123" t="s">
        <v>493</v>
      </c>
      <c r="D720" s="124" t="s">
        <v>492</v>
      </c>
      <c r="E720" s="124" t="s">
        <v>494</v>
      </c>
      <c r="F720" s="123" t="s">
        <v>93</v>
      </c>
      <c r="G720" s="117"/>
      <c r="H720" s="121"/>
      <c r="I720" s="119"/>
      <c r="J720" s="120"/>
      <c r="K720" s="121"/>
      <c r="L720" s="119"/>
      <c r="M720" s="120"/>
      <c r="N720" s="121"/>
      <c r="O720" s="119"/>
      <c r="P720" s="120"/>
      <c r="Q720" s="105" t="str">
        <f aca="false">IF(P655=P720,"〇","×")</f>
        <v>〇</v>
      </c>
    </row>
    <row r="721" s="135" customFormat="true" ht="20.1" hidden="false" customHeight="true" outlineLevel="0" collapsed="false">
      <c r="A721" s="125" t="s">
        <v>166</v>
      </c>
      <c r="B721" s="385" t="n">
        <f aca="false">SUMIFS(報告入力!$AY$7:$AY$696,報告入力!$A$7:$A$696,$S$717,報告入力!$B$7:$B$696,$A721)</f>
        <v>233353275</v>
      </c>
      <c r="C721" s="386" t="n">
        <f aca="false">SUMIFS(報告入力!$AZ$7:$AZ$696,報告入力!$A$7:$A$696,$S$717,報告入力!$B$7:$B$696,$A721)</f>
        <v>19132194</v>
      </c>
      <c r="D721" s="387" t="n">
        <f aca="false">SUMIFS(報告入力!$BA$7:$BA$696,報告入力!$A$7:$A$696,$S$717,報告入力!$B$7:$B$696,$A721)</f>
        <v>339862897</v>
      </c>
      <c r="E721" s="387" t="n">
        <f aca="false">SUMIFS(報告入力!$BB$7:$BB$696,報告入力!$A$7:$A$696,$S$717,報告入力!$B$7:$B$696,$A721)</f>
        <v>18614235</v>
      </c>
      <c r="F721" s="388" t="n">
        <f aca="false">SUMIFS(報告入力!$BC$7:$BC$696,報告入力!$A$7:$A$696,$S$717,報告入力!$B$7:$B$696,$A721)</f>
        <v>245746</v>
      </c>
      <c r="G721" s="389" t="n">
        <f aca="false">SUM(B721:F721)</f>
        <v>611208347</v>
      </c>
      <c r="H721" s="390" t="n">
        <f aca="false">SUMIFS(報告入力!$BD$7:$BD$696,報告入力!$A$7:$A$696,$S$717,報告入力!$B$7:$B$696,$A721)</f>
        <v>180638089</v>
      </c>
      <c r="I721" s="205" t="n">
        <f aca="false">SUMIFS(報告入力!$BE$7:$BE$696,報告入力!$A$7:$A$696,$S$717,報告入力!$B$7:$B$696,$A721)</f>
        <v>180025030</v>
      </c>
      <c r="J721" s="206" t="n">
        <f aca="false">SUM(H721:I721)</f>
        <v>360663119</v>
      </c>
      <c r="K721" s="287" t="n">
        <f aca="false">SUMIFS(報告入力!$BF$7:$BF$696,報告入力!$A$7:$A$696,$S$717,報告入力!$B$7:$B$696,$A721)</f>
        <v>15853222</v>
      </c>
      <c r="L721" s="205" t="n">
        <f aca="false">SUMIFS(報告入力!$BG$7:$BG$696,報告入力!$A$7:$A$696,$S$717,報告入力!$B$7:$B$696,$A721)</f>
        <v>15423172</v>
      </c>
      <c r="M721" s="206" t="n">
        <f aca="false">SUM(K721:L721)</f>
        <v>31276394</v>
      </c>
      <c r="N721" s="287" t="n">
        <f aca="false">SUMIFS(報告入力!$BH$7:$BH$696,報告入力!$A$7:$A$696,$S$717,報告入力!$B$7:$B$696,$A721)</f>
        <v>1</v>
      </c>
      <c r="O721" s="205" t="n">
        <f aca="false">SUMIFS(報告入力!$BI$7:$BI$696,報告入力!$A$7:$A$696,$S$717,報告入力!$B$7:$B$696,$A721)</f>
        <v>1</v>
      </c>
      <c r="P721" s="206" t="n">
        <f aca="false">SUM(N721:O721)</f>
        <v>2</v>
      </c>
      <c r="Q721" s="135" t="str">
        <f aca="false">IF(P656=P721,"〇","×")</f>
        <v>〇</v>
      </c>
      <c r="R721" s="135" t="str">
        <f aca="false">IFERROR(INDEX(報告入力!$C$7:$C$696,MATCH($S$717&amp;"|"&amp;$A721,報告入力!$CM$7:$CM$696,0)),"")</f>
        <v>未受領</v>
      </c>
    </row>
    <row r="722" s="135" customFormat="true" ht="20.1" hidden="false" customHeight="true" outlineLevel="0" collapsed="false">
      <c r="A722" s="125" t="s">
        <v>169</v>
      </c>
      <c r="B722" s="203" t="n">
        <f aca="false">SUMIFS(報告入力!$AY$7:$AY$696,報告入力!$A$7:$A$696,$S$717,報告入力!$B$7:$B$696,$A722)</f>
        <v>16576140</v>
      </c>
      <c r="C722" s="204" t="n">
        <f aca="false">SUMIFS(報告入力!$AZ$7:$AZ$696,報告入力!$A$7:$A$696,$S$717,報告入力!$B$7:$B$696,$A722)</f>
        <v>1358700</v>
      </c>
      <c r="D722" s="387" t="n">
        <f aca="false">SUMIFS(報告入力!$BA$7:$BA$696,報告入力!$A$7:$A$696,$S$717,報告入力!$B$7:$B$696,$A722)</f>
        <v>24202440</v>
      </c>
      <c r="E722" s="387" t="n">
        <f aca="false">SUMIFS(報告入力!$BB$7:$BB$696,報告入力!$A$7:$A$696,$S$717,報告入力!$B$7:$B$696,$A722)</f>
        <v>1362225</v>
      </c>
      <c r="F722" s="237" t="n">
        <f aca="false">SUMIFS(報告入力!$BC$7:$BC$696,報告入力!$A$7:$A$696,$S$717,報告入力!$B$7:$B$696,$A722)</f>
        <v>17152</v>
      </c>
      <c r="G722" s="206" t="n">
        <f aca="false">SUM(B722:F722)</f>
        <v>43516657</v>
      </c>
      <c r="H722" s="207" t="n">
        <f aca="false">SUMIFS(報告入力!$BD$7:$BD$696,報告入力!$A$7:$A$696,$S$717,報告入力!$B$7:$B$696,$A722)</f>
        <v>10382615</v>
      </c>
      <c r="I722" s="208" t="n">
        <f aca="false">SUMIFS(報告入力!$BE$7:$BE$696,報告入力!$A$7:$A$696,$S$717,報告入力!$B$7:$B$696,$A722)</f>
        <v>10593257</v>
      </c>
      <c r="J722" s="160" t="n">
        <f aca="false">SUM(H722:I722)</f>
        <v>20975872</v>
      </c>
      <c r="K722" s="240" t="n">
        <f aca="false">SUMIFS(報告入力!$BF$7:$BF$696,報告入力!$A$7:$A$696,$S$717,報告入力!$B$7:$B$696,$A722)</f>
        <v>1034614</v>
      </c>
      <c r="L722" s="238" t="n">
        <f aca="false">SUMIFS(報告入力!$BG$7:$BG$696,報告入力!$A$7:$A$696,$S$717,報告入力!$B$7:$B$696,$A722)</f>
        <v>1038327</v>
      </c>
      <c r="M722" s="160" t="n">
        <f aca="false">SUM(K722:L722)</f>
        <v>2072941</v>
      </c>
      <c r="N722" s="240" t="n">
        <f aca="false">SUMIFS(報告入力!$BH$7:$BH$696,報告入力!$A$7:$A$696,$S$717,報告入力!$B$7:$B$696,$A722)</f>
        <v>1</v>
      </c>
      <c r="O722" s="238" t="n">
        <f aca="false">SUMIFS(報告入力!$BI$7:$BI$696,報告入力!$A$7:$A$696,$S$717,報告入力!$B$7:$B$696,$A722)</f>
        <v>1</v>
      </c>
      <c r="P722" s="160" t="n">
        <f aca="false">SUM(N722:O722)</f>
        <v>2</v>
      </c>
      <c r="Q722" s="135" t="str">
        <f aca="false">IF(P657=P722,"〇","×")</f>
        <v>〇</v>
      </c>
      <c r="R722" s="135" t="str">
        <f aca="false">IFERROR(INDEX(報告入力!$C$7:$C$696,MATCH($S$717&amp;"|"&amp;$A722,報告入力!$CM$7:$CM$696,0)),"")</f>
        <v>未受領</v>
      </c>
    </row>
    <row r="723" s="135" customFormat="true" ht="20.1" hidden="false" customHeight="true" outlineLevel="0" collapsed="false">
      <c r="A723" s="125" t="s">
        <v>170</v>
      </c>
      <c r="B723" s="203" t="n">
        <f aca="false">SUMIFS(報告入力!$AY$7:$AY$696,報告入力!$A$7:$A$696,$S$717,報告入力!$B$7:$B$696,$A723)</f>
        <v>53671153</v>
      </c>
      <c r="C723" s="204" t="n">
        <f aca="false">SUMIFS(報告入力!$AZ$7:$AZ$696,報告入力!$A$7:$A$696,$S$717,報告入力!$B$7:$B$696,$A723)</f>
        <v>4399273</v>
      </c>
      <c r="D723" s="387" t="n">
        <f aca="false">SUMIFS(報告入力!$BA$7:$BA$696,報告入力!$A$7:$A$696,$S$717,報告入力!$B$7:$B$696,$A723)</f>
        <v>78181314</v>
      </c>
      <c r="E723" s="387" t="n">
        <f aca="false">SUMIFS(報告入力!$BB$7:$BB$696,報告入力!$A$7:$A$696,$S$717,報告入力!$B$7:$B$696,$A723)</f>
        <v>4391639</v>
      </c>
      <c r="F723" s="237" t="n">
        <f aca="false">SUMIFS(報告入力!$BC$7:$BC$696,報告入力!$A$7:$A$696,$S$717,報告入力!$B$7:$B$696,$A723)</f>
        <v>55437</v>
      </c>
      <c r="G723" s="206" t="n">
        <f aca="false">SUM(B723:F723)</f>
        <v>140698816</v>
      </c>
      <c r="H723" s="238" t="n">
        <f aca="false">SUMIFS(報告入力!$BD$7:$BD$696,報告入力!$A$7:$A$696,$S$717,報告入力!$B$7:$B$696,$A723)</f>
        <v>32967788</v>
      </c>
      <c r="I723" s="207" t="n">
        <f aca="false">SUMIFS(報告入力!$BE$7:$BE$696,報告入力!$A$7:$A$696,$S$717,報告入力!$B$7:$B$696,$A723)</f>
        <v>33499560</v>
      </c>
      <c r="J723" s="160" t="n">
        <f aca="false">SUM(H723:I723)</f>
        <v>66467348</v>
      </c>
      <c r="K723" s="240" t="n">
        <f aca="false">SUMIFS(報告入力!$BF$7:$BF$696,報告入力!$A$7:$A$696,$S$717,報告入力!$B$7:$B$696,$A723)</f>
        <v>1996991</v>
      </c>
      <c r="L723" s="207" t="n">
        <f aca="false">SUMIFS(報告入力!$BG$7:$BG$696,報告入力!$A$7:$A$696,$S$717,報告入力!$B$7:$B$696,$A723)</f>
        <v>1989962</v>
      </c>
      <c r="M723" s="160" t="n">
        <f aca="false">SUM(K723:L723)</f>
        <v>3986953</v>
      </c>
      <c r="N723" s="240" t="n">
        <f aca="false">SUMIFS(報告入力!$BH$7:$BH$696,報告入力!$A$7:$A$696,$S$717,報告入力!$B$7:$B$696,$A723)</f>
        <v>1</v>
      </c>
      <c r="O723" s="207" t="n">
        <f aca="false">SUMIFS(報告入力!$BI$7:$BI$696,報告入力!$A$7:$A$696,$S$717,報告入力!$B$7:$B$696,$A723)</f>
        <v>1</v>
      </c>
      <c r="P723" s="160" t="n">
        <f aca="false">SUM(N723:O723)</f>
        <v>2</v>
      </c>
      <c r="Q723" s="135" t="str">
        <f aca="false">IF(P658=P723,"〇","×")</f>
        <v>〇</v>
      </c>
      <c r="R723" s="135" t="str">
        <f aca="false">IFERROR(INDEX(報告入力!$C$7:$C$696,MATCH($S$717&amp;"|"&amp;$A723,報告入力!$CM$7:$CM$696,0)),"")</f>
        <v>未受領</v>
      </c>
    </row>
    <row r="724" s="135" customFormat="true" ht="20.1" hidden="false" customHeight="true" outlineLevel="0" collapsed="false">
      <c r="A724" s="125" t="s">
        <v>171</v>
      </c>
      <c r="B724" s="203" t="n">
        <f aca="false">SUMIFS(報告入力!$AY$7:$AY$696,報告入力!$A$7:$A$696,$S$717,報告入力!$B$7:$B$696,$A724)</f>
        <v>1740330</v>
      </c>
      <c r="C724" s="204" t="n">
        <f aca="false">SUMIFS(報告入力!$AZ$7:$AZ$696,報告入力!$A$7:$A$696,$S$717,報告入力!$B$7:$B$696,$A724)</f>
        <v>142650</v>
      </c>
      <c r="D724" s="387" t="n">
        <f aca="false">SUMIFS(報告入力!$BA$7:$BA$696,報告入力!$A$7:$A$696,$S$717,報告入力!$B$7:$B$696,$A724)</f>
        <v>2539620</v>
      </c>
      <c r="E724" s="387" t="n">
        <f aca="false">SUMIFS(報告入力!$BB$7:$BB$696,報告入力!$A$7:$A$696,$S$717,報告入力!$B$7:$B$696,$A724)</f>
        <v>142650</v>
      </c>
      <c r="F724" s="237" t="n">
        <f aca="false">SUMIFS(報告入力!$BC$7:$BC$696,報告入力!$A$7:$A$696,$S$717,報告入力!$B$7:$B$696,$A724)</f>
        <v>1808</v>
      </c>
      <c r="G724" s="206" t="n">
        <f aca="false">SUM(B724:F724)</f>
        <v>4567058</v>
      </c>
      <c r="H724" s="387" t="n">
        <f aca="false">SUMIFS(報告入力!$BD$7:$BD$696,報告入力!$A$7:$A$696,$S$717,報告入力!$B$7:$B$696,$A724)</f>
        <v>1055074</v>
      </c>
      <c r="I724" s="207" t="n">
        <f aca="false">SUMIFS(報告入力!$BE$7:$BE$696,報告入力!$A$7:$A$696,$S$717,報告入力!$B$7:$B$696,$A724)</f>
        <v>1073929</v>
      </c>
      <c r="J724" s="160" t="n">
        <f aca="false">SUM(H724:I724)</f>
        <v>2129003</v>
      </c>
      <c r="K724" s="203" t="n">
        <f aca="false">SUMIFS(報告入力!$BF$7:$BF$696,報告入力!$A$7:$A$696,$S$717,報告入力!$B$7:$B$696,$A724)</f>
        <v>99935</v>
      </c>
      <c r="L724" s="207" t="n">
        <f aca="false">SUMIFS(報告入力!$BG$7:$BG$696,報告入力!$A$7:$A$696,$S$717,報告入力!$B$7:$B$696,$A724)</f>
        <v>99935</v>
      </c>
      <c r="M724" s="160" t="n">
        <f aca="false">SUM(K724:L724)</f>
        <v>199870</v>
      </c>
      <c r="N724" s="203" t="n">
        <f aca="false">SUMIFS(報告入力!$BH$7:$BH$696,報告入力!$A$7:$A$696,$S$717,報告入力!$B$7:$B$696,$A724)</f>
        <v>1</v>
      </c>
      <c r="O724" s="207" t="n">
        <f aca="false">SUMIFS(報告入力!$BI$7:$BI$696,報告入力!$A$7:$A$696,$S$717,報告入力!$B$7:$B$696,$A724)</f>
        <v>1</v>
      </c>
      <c r="P724" s="160" t="n">
        <f aca="false">SUM(N724:O724)</f>
        <v>2</v>
      </c>
      <c r="Q724" s="135" t="str">
        <f aca="false">IF(P659=P724,"〇","×")</f>
        <v>〇</v>
      </c>
      <c r="R724" s="135" t="str">
        <f aca="false">IFERROR(INDEX(報告入力!$C$7:$C$696,MATCH($S$717&amp;"|"&amp;$A724,報告入力!$CM$7:$CM$696,0)),"")</f>
        <v>未受領</v>
      </c>
    </row>
    <row r="725" s="135" customFormat="true" ht="20.1" hidden="false" customHeight="true" outlineLevel="0" collapsed="false">
      <c r="A725" s="125" t="s">
        <v>172</v>
      </c>
      <c r="B725" s="203" t="n">
        <f aca="false">SUMIFS(報告入力!$AY$7:$AY$696,報告入力!$A$7:$A$696,$S$717,報告入力!$B$7:$B$696,$A725)</f>
        <v>24104029</v>
      </c>
      <c r="C725" s="204" t="n">
        <f aca="false">SUMIFS(報告入力!$AZ$7:$AZ$696,報告入力!$A$7:$A$696,$S$717,報告入力!$B$7:$B$696,$A725)</f>
        <v>1975741</v>
      </c>
      <c r="D725" s="240" t="n">
        <f aca="false">SUMIFS(報告入力!$BA$7:$BA$696,報告入力!$A$7:$A$696,$S$717,報告入力!$B$7:$B$696,$A725)</f>
        <v>35172411</v>
      </c>
      <c r="E725" s="387" t="n">
        <f aca="false">SUMIFS(報告入力!$BB$7:$BB$696,報告入力!$A$7:$A$696,$S$717,報告入力!$B$7:$B$696,$A725)</f>
        <v>1975741</v>
      </c>
      <c r="F725" s="237" t="n">
        <f aca="false">SUMIFS(報告入力!$BC$7:$BC$696,報告入力!$A$7:$A$696,$S$717,報告入力!$B$7:$B$696,$A725)</f>
        <v>25038</v>
      </c>
      <c r="G725" s="206" t="n">
        <f aca="false">SUM(B725:F725)</f>
        <v>63252960</v>
      </c>
      <c r="H725" s="387" t="n">
        <f aca="false">SUMIFS(報告入力!$BD$7:$BD$696,報告入力!$A$7:$A$696,$S$717,報告入力!$B$7:$B$696,$A725)</f>
        <v>24967150</v>
      </c>
      <c r="I725" s="207" t="n">
        <f aca="false">SUMIFS(報告入力!$BE$7:$BE$696,報告入力!$A$7:$A$696,$S$717,報告入力!$B$7:$B$696,$A725)</f>
        <v>25510639</v>
      </c>
      <c r="J725" s="449" t="n">
        <f aca="false">SUM(H725:I725)</f>
        <v>50477789</v>
      </c>
      <c r="K725" s="239" t="n">
        <f aca="false">SUMIFS(報告入力!$BF$7:$BF$696,報告入力!$A$7:$A$696,$S$717,報告入力!$B$7:$B$696,$A725)</f>
        <v>2779167</v>
      </c>
      <c r="L725" s="239" t="n">
        <f aca="false">SUMIFS(報告入力!$BG$7:$BG$696,報告入力!$A$7:$A$696,$S$717,報告入力!$B$7:$B$696,$A725)</f>
        <v>2736927</v>
      </c>
      <c r="M725" s="160" t="n">
        <f aca="false">SUM(K725:L725)</f>
        <v>5516094</v>
      </c>
      <c r="N725" s="239" t="n">
        <f aca="false">SUMIFS(報告入力!$BH$7:$BH$696,報告入力!$A$7:$A$696,$S$717,報告入力!$B$7:$B$696,$A725)</f>
        <v>1</v>
      </c>
      <c r="O725" s="239" t="n">
        <f aca="false">SUMIFS(報告入力!$BI$7:$BI$696,報告入力!$A$7:$A$696,$S$717,報告入力!$B$7:$B$696,$A725)</f>
        <v>1</v>
      </c>
      <c r="P725" s="160" t="n">
        <f aca="false">SUM(N725:O725)</f>
        <v>2</v>
      </c>
      <c r="Q725" s="135" t="str">
        <f aca="false">IF(P660=P725,"〇","×")</f>
        <v>〇</v>
      </c>
      <c r="R725" s="135" t="str">
        <f aca="false">IFERROR(INDEX(報告入力!$C$7:$C$696,MATCH($S$717&amp;"|"&amp;$A725,報告入力!$CM$7:$CM$696,0)),"")</f>
        <v>未受領</v>
      </c>
    </row>
    <row r="726" s="135" customFormat="true" ht="20.1" hidden="false" customHeight="true" outlineLevel="0" collapsed="false">
      <c r="A726" s="125" t="s">
        <v>173</v>
      </c>
      <c r="B726" s="203" t="n">
        <f aca="false">SUMIFS(報告入力!$AY$7:$AY$696,報告入力!$A$7:$A$696,$S$717,報告入力!$B$7:$B$696,$A726)</f>
        <v>286395</v>
      </c>
      <c r="C726" s="204" t="n">
        <f aca="false">SUMIFS(報告入力!$AZ$7:$AZ$696,報告入力!$A$7:$A$696,$S$717,報告入力!$B$7:$B$696,$A726)</f>
        <v>23475</v>
      </c>
      <c r="D726" s="387" t="n">
        <f aca="false">SUMIFS(報告入力!$BA$7:$BA$696,報告入力!$A$7:$A$696,$S$717,報告入力!$B$7:$B$696,$A726)</f>
        <v>416290</v>
      </c>
      <c r="E726" s="387" t="n">
        <f aca="false">SUMIFS(報告入力!$BB$7:$BB$696,報告入力!$A$7:$A$696,$S$717,報告入力!$B$7:$B$696,$A726)</f>
        <v>23475</v>
      </c>
      <c r="F726" s="237" t="n">
        <f aca="false">SUMIFS(報告入力!$BC$7:$BC$696,報告入力!$A$7:$A$696,$S$717,報告入力!$B$7:$B$696,$A726)</f>
        <v>293</v>
      </c>
      <c r="G726" s="206" t="n">
        <f aca="false">SUM(B726:F726)</f>
        <v>749928</v>
      </c>
      <c r="H726" s="207" t="n">
        <f aca="false">SUMIFS(報告入力!$BD$7:$BD$696,報告入力!$A$7:$A$696,$S$717,報告入力!$B$7:$B$696,$A726)</f>
        <v>193631</v>
      </c>
      <c r="I726" s="208" t="n">
        <f aca="false">SUMIFS(報告入力!$BE$7:$BE$696,報告入力!$A$7:$A$696,$S$717,報告入力!$B$7:$B$696,$A726)</f>
        <v>197049</v>
      </c>
      <c r="J726" s="160" t="n">
        <f aca="false">SUM(H726:I726)</f>
        <v>390680</v>
      </c>
      <c r="K726" s="203" t="n">
        <f aca="false">SUMIFS(報告入力!$BF$7:$BF$696,報告入力!$A$7:$A$696,$S$717,報告入力!$B$7:$B$696,$A726)</f>
        <v>15326</v>
      </c>
      <c r="L726" s="207" t="n">
        <f aca="false">SUMIFS(報告入力!$BG$7:$BG$696,報告入力!$A$7:$A$696,$S$717,報告入力!$B$7:$B$696,$A726)</f>
        <v>15326</v>
      </c>
      <c r="M726" s="160" t="n">
        <f aca="false">SUM(K726:L726)</f>
        <v>30652</v>
      </c>
      <c r="N726" s="203" t="n">
        <f aca="false">SUMIFS(報告入力!$BH$7:$BH$696,報告入力!$A$7:$A$696,$S$717,報告入力!$B$7:$B$696,$A726)</f>
        <v>1</v>
      </c>
      <c r="O726" s="207" t="n">
        <f aca="false">SUMIFS(報告入力!$BI$7:$BI$696,報告入力!$A$7:$A$696,$S$717,報告入力!$B$7:$B$696,$A726)</f>
        <v>1</v>
      </c>
      <c r="P726" s="160" t="n">
        <f aca="false">SUM(N726:O726)</f>
        <v>2</v>
      </c>
      <c r="Q726" s="135" t="str">
        <f aca="false">IF(P661=P726,"〇","×")</f>
        <v>〇</v>
      </c>
      <c r="R726" s="135" t="str">
        <f aca="false">IFERROR(INDEX(報告入力!$C$7:$C$696,MATCH($S$717&amp;"|"&amp;$A726,報告入力!$CM$7:$CM$696,0)),"")</f>
        <v>未受領</v>
      </c>
    </row>
    <row r="727" s="135" customFormat="true" ht="20.1" hidden="false" customHeight="true" outlineLevel="0" collapsed="false">
      <c r="A727" s="125" t="s">
        <v>174</v>
      </c>
      <c r="B727" s="203" t="n">
        <f aca="false">SUMIFS(報告入力!$AY$7:$AY$696,報告入力!$A$7:$A$696,$S$717,報告入力!$B$7:$B$696,$A727)</f>
        <v>561810</v>
      </c>
      <c r="C727" s="204" t="n">
        <f aca="false">SUMIFS(報告入力!$AZ$7:$AZ$696,報告入力!$A$7:$A$696,$S$717,報告入力!$B$7:$B$696,$A727)</f>
        <v>46050</v>
      </c>
      <c r="D727" s="387" t="n">
        <f aca="false">SUMIFS(報告入力!$BA$7:$BA$696,報告入力!$A$7:$A$696,$S$717,報告入力!$B$7:$B$696,$A727)</f>
        <v>816620</v>
      </c>
      <c r="E727" s="387" t="n">
        <f aca="false">SUMIFS(報告入力!$BB$7:$BB$696,報告入力!$A$7:$A$696,$S$717,報告入力!$B$7:$B$696,$A727)</f>
        <v>46050</v>
      </c>
      <c r="F727" s="237" t="n">
        <f aca="false">SUMIFS(報告入力!$BC$7:$BC$696,報告入力!$A$7:$A$696,$S$717,報告入力!$B$7:$B$696,$A727)</f>
        <v>576</v>
      </c>
      <c r="G727" s="391" t="n">
        <f aca="false">SUM(B727:F727)</f>
        <v>1471106</v>
      </c>
      <c r="H727" s="207" t="n">
        <f aca="false">SUMIFS(報告入力!$BD$7:$BD$696,報告入力!$A$7:$A$696,$S$717,報告入力!$B$7:$B$696,$A727)</f>
        <v>343259</v>
      </c>
      <c r="I727" s="208" t="n">
        <f aca="false">SUMIFS(報告入力!$BE$7:$BE$696,報告入力!$A$7:$A$696,$S$717,報告入力!$B$7:$B$696,$A727)</f>
        <v>349315</v>
      </c>
      <c r="J727" s="160" t="n">
        <f aca="false">SUM(H727:I727)</f>
        <v>692574</v>
      </c>
      <c r="K727" s="287" t="n">
        <f aca="false">SUMIFS(報告入力!$BF$7:$BF$696,報告入力!$A$7:$A$696,$S$717,報告入力!$B$7:$B$696,$A727)</f>
        <v>32232</v>
      </c>
      <c r="L727" s="208" t="n">
        <f aca="false">SUMIFS(報告入力!$BG$7:$BG$696,報告入力!$A$7:$A$696,$S$717,報告入力!$B$7:$B$696,$A727)</f>
        <v>32232</v>
      </c>
      <c r="M727" s="160" t="n">
        <f aca="false">SUM(K727:L727)</f>
        <v>64464</v>
      </c>
      <c r="N727" s="287" t="n">
        <f aca="false">SUMIFS(報告入力!$BH$7:$BH$696,報告入力!$A$7:$A$696,$S$717,報告入力!$B$7:$B$696,$A727)</f>
        <v>1</v>
      </c>
      <c r="O727" s="208" t="n">
        <f aca="false">SUMIFS(報告入力!$BI$7:$BI$696,報告入力!$A$7:$A$696,$S$717,報告入力!$B$7:$B$696,$A727)</f>
        <v>1</v>
      </c>
      <c r="P727" s="160" t="n">
        <f aca="false">SUM(N727:O727)</f>
        <v>2</v>
      </c>
      <c r="Q727" s="135" t="str">
        <f aca="false">IF(P662=P727,"〇","×")</f>
        <v>〇</v>
      </c>
      <c r="R727" s="135" t="str">
        <f aca="false">IFERROR(INDEX(報告入力!$C$7:$C$696,MATCH($S$717&amp;"|"&amp;$A727,報告入力!$CM$7:$CM$696,0)),"")</f>
        <v>未受領</v>
      </c>
    </row>
    <row r="728" s="135" customFormat="true" ht="20.1" hidden="false" customHeight="true" outlineLevel="0" collapsed="false">
      <c r="A728" s="125" t="s">
        <v>175</v>
      </c>
      <c r="B728" s="203" t="n">
        <f aca="false">SUMIFS(報告入力!$AY$7:$AY$696,報告入力!$A$7:$A$696,$S$717,報告入力!$B$7:$B$696,$A728)</f>
        <v>1344135</v>
      </c>
      <c r="C728" s="204" t="n">
        <f aca="false">SUMIFS(報告入力!$AZ$7:$AZ$696,報告入力!$A$7:$A$696,$S$717,報告入力!$B$7:$B$696,$A728)</f>
        <v>110175</v>
      </c>
      <c r="D728" s="387" t="n">
        <f aca="false">SUMIFS(報告入力!$BA$7:$BA$696,報告入力!$A$7:$A$696,$S$717,報告入力!$B$7:$B$696,$A728)</f>
        <v>1965390</v>
      </c>
      <c r="E728" s="387" t="n">
        <f aca="false">SUMIFS(報告入力!$BB$7:$BB$696,報告入力!$A$7:$A$696,$S$717,報告入力!$B$7:$B$696,$A728)</f>
        <v>110175</v>
      </c>
      <c r="F728" s="237" t="n">
        <f aca="false">SUMIFS(報告入力!$BC$7:$BC$696,報告入力!$A$7:$A$696,$S$717,報告入力!$B$7:$B$696,$A728)</f>
        <v>1405</v>
      </c>
      <c r="G728" s="206" t="n">
        <f aca="false">SUM(B728:F728)</f>
        <v>3531280</v>
      </c>
      <c r="H728" s="207" t="n">
        <f aca="false">SUMIFS(報告入力!$BD$7:$BD$696,報告入力!$A$7:$A$696,$S$717,報告入力!$B$7:$B$696,$A728)</f>
        <v>836690</v>
      </c>
      <c r="I728" s="208" t="n">
        <f aca="false">SUMIFS(報告入力!$BE$7:$BE$696,報告入力!$A$7:$A$696,$S$717,報告入力!$B$7:$B$696,$A728)</f>
        <v>851727</v>
      </c>
      <c r="J728" s="160" t="n">
        <f aca="false">SUM(H728:I728)</f>
        <v>1688417</v>
      </c>
      <c r="K728" s="287" t="n">
        <f aca="false">SUMIFS(報告入力!$BF$7:$BF$696,報告入力!$A$7:$A$696,$S$717,報告入力!$B$7:$B$696,$A728)</f>
        <v>108309</v>
      </c>
      <c r="L728" s="208" t="n">
        <f aca="false">SUMIFS(報告入力!$BG$7:$BG$696,報告入力!$A$7:$A$696,$S$717,報告入力!$B$7:$B$696,$A728)</f>
        <v>108309</v>
      </c>
      <c r="M728" s="160" t="n">
        <f aca="false">SUM(K728:L728)</f>
        <v>216618</v>
      </c>
      <c r="N728" s="287" t="n">
        <f aca="false">SUMIFS(報告入力!$BH$7:$BH$696,報告入力!$A$7:$A$696,$S$717,報告入力!$B$7:$B$696,$A728)</f>
        <v>1</v>
      </c>
      <c r="O728" s="208" t="n">
        <f aca="false">SUMIFS(報告入力!$BI$7:$BI$696,報告入力!$A$7:$A$696,$S$717,報告入力!$B$7:$B$696,$A728)</f>
        <v>1</v>
      </c>
      <c r="P728" s="160" t="n">
        <f aca="false">SUM(N728:O728)</f>
        <v>2</v>
      </c>
      <c r="Q728" s="135" t="str">
        <f aca="false">IF(P663=P728,"〇","×")</f>
        <v>〇</v>
      </c>
      <c r="R728" s="135" t="str">
        <f aca="false">IFERROR(INDEX(報告入力!$C$7:$C$696,MATCH($S$717&amp;"|"&amp;$A728,報告入力!$CM$7:$CM$696,0)),"")</f>
        <v>未受領</v>
      </c>
    </row>
    <row r="729" s="135" customFormat="true" ht="20.1" hidden="false" customHeight="true" outlineLevel="0" collapsed="false">
      <c r="A729" s="125" t="s">
        <v>176</v>
      </c>
      <c r="B729" s="203" t="n">
        <f aca="false">SUMIFS(報告入力!$AY$7:$AY$696,報告入力!$A$7:$A$696,$S$717,報告入力!$B$7:$B$696,$A729)</f>
        <v>382470</v>
      </c>
      <c r="C729" s="204" t="n">
        <f aca="false">SUMIFS(報告入力!$AZ$7:$AZ$696,報告入力!$A$7:$A$696,$S$717,報告入力!$B$7:$B$696,$A729)</f>
        <v>31350</v>
      </c>
      <c r="D729" s="387" t="n">
        <f aca="false">SUMIFS(報告入力!$BA$7:$BA$696,報告入力!$A$7:$A$696,$S$717,報告入力!$B$7:$B$696,$A729)</f>
        <v>555940</v>
      </c>
      <c r="E729" s="387" t="n">
        <f aca="false">SUMIFS(報告入力!$BB$7:$BB$696,報告入力!$A$7:$A$696,$S$717,報告入力!$B$7:$B$696,$A729)</f>
        <v>31350</v>
      </c>
      <c r="F729" s="237" t="n">
        <f aca="false">SUMIFS(報告入力!$BC$7:$BC$696,報告入力!$A$7:$A$696,$S$717,報告入力!$B$7:$B$696,$A729)</f>
        <v>392</v>
      </c>
      <c r="G729" s="206" t="n">
        <f aca="false">SUM(B729:F729)</f>
        <v>1001502</v>
      </c>
      <c r="H729" s="207" t="n">
        <f aca="false">SUMIFS(報告入力!$BD$7:$BD$696,報告入力!$A$7:$A$696,$S$717,報告入力!$B$7:$B$696,$A729)</f>
        <v>308930</v>
      </c>
      <c r="I729" s="208" t="n">
        <f aca="false">SUMIFS(報告入力!$BE$7:$BE$696,報告入力!$A$7:$A$696,$S$717,報告入力!$B$7:$B$696,$A729)</f>
        <v>314382</v>
      </c>
      <c r="J729" s="160" t="n">
        <f aca="false">SUM(H729:I729)</f>
        <v>623312</v>
      </c>
      <c r="K729" s="287" t="n">
        <f aca="false">SUMIFS(報告入力!$BF$7:$BF$696,報告入力!$A$7:$A$696,$S$717,報告入力!$B$7:$B$696,$A729)</f>
        <v>32672</v>
      </c>
      <c r="L729" s="208" t="n">
        <f aca="false">SUMIFS(報告入力!$BG$7:$BG$696,報告入力!$A$7:$A$696,$S$717,報告入力!$B$7:$B$696,$A729)</f>
        <v>32674</v>
      </c>
      <c r="M729" s="160" t="n">
        <f aca="false">SUM(K729:L729)</f>
        <v>65346</v>
      </c>
      <c r="N729" s="287" t="n">
        <f aca="false">SUMIFS(報告入力!$BH$7:$BH$696,報告入力!$A$7:$A$696,$S$717,報告入力!$B$7:$B$696,$A729)</f>
        <v>1</v>
      </c>
      <c r="O729" s="208" t="n">
        <f aca="false">SUMIFS(報告入力!$BI$7:$BI$696,報告入力!$A$7:$A$696,$S$717,報告入力!$B$7:$B$696,$A729)</f>
        <v>1</v>
      </c>
      <c r="P729" s="160" t="n">
        <f aca="false">SUM(N729:O729)</f>
        <v>2</v>
      </c>
      <c r="Q729" s="135" t="str">
        <f aca="false">IF(P664=P729,"〇","×")</f>
        <v>〇</v>
      </c>
      <c r="R729" s="135" t="str">
        <f aca="false">IFERROR(INDEX(報告入力!$C$7:$C$696,MATCH($S$717&amp;"|"&amp;$A729,報告入力!$CM$7:$CM$696,0)),"")</f>
        <v>未受領</v>
      </c>
    </row>
    <row r="730" s="135" customFormat="true" ht="20.1" hidden="false" customHeight="true" outlineLevel="0" collapsed="false">
      <c r="A730" s="125" t="s">
        <v>177</v>
      </c>
      <c r="B730" s="203" t="n">
        <f aca="false">SUMIFS(報告入力!$AY$7:$AY$696,報告入力!$A$7:$A$696,$S$717,報告入力!$B$7:$B$696,$A730)</f>
        <v>22420245</v>
      </c>
      <c r="C730" s="204" t="n">
        <f aca="false">SUMIFS(報告入力!$AZ$7:$AZ$696,報告入力!$A$7:$A$696,$S$717,報告入力!$B$7:$B$696,$A730)</f>
        <v>1837725</v>
      </c>
      <c r="D730" s="387" t="n">
        <f aca="false">SUMIFS(報告入力!$BA$7:$BA$696,報告入力!$A$7:$A$696,$S$717,報告入力!$B$7:$B$696,$A730)</f>
        <v>32739220</v>
      </c>
      <c r="E730" s="387" t="n">
        <f aca="false">SUMIFS(報告入力!$BB$7:$BB$696,報告入力!$A$7:$A$696,$S$717,報告入力!$B$7:$B$696,$A730)</f>
        <v>1837725</v>
      </c>
      <c r="F730" s="237" t="n">
        <f aca="false">SUMIFS(報告入力!$BC$7:$BC$696,報告入力!$A$7:$A$696,$S$717,報告入力!$B$7:$B$696,$A730)</f>
        <v>23343</v>
      </c>
      <c r="G730" s="206" t="n">
        <f aca="false">SUM(B730:F730)</f>
        <v>58858258</v>
      </c>
      <c r="H730" s="207" t="n">
        <f aca="false">SUMIFS(報告入力!$BD$7:$BD$696,報告入力!$A$7:$A$696,$S$717,報告入力!$B$7:$B$696,$A730)</f>
        <v>14212123</v>
      </c>
      <c r="I730" s="208" t="n">
        <f aca="false">SUMIFS(報告入力!$BE$7:$BE$696,報告入力!$A$7:$A$696,$S$717,報告入力!$B$7:$B$696,$A730)</f>
        <v>14466503</v>
      </c>
      <c r="J730" s="160" t="n">
        <f aca="false">SUM(H730:I730)</f>
        <v>28678626</v>
      </c>
      <c r="K730" s="287" t="n">
        <f aca="false">SUMIFS(報告入力!$BF$7:$BF$696,報告入力!$A$7:$A$696,$S$717,報告入力!$B$7:$B$696,$A730)</f>
        <v>1332967</v>
      </c>
      <c r="L730" s="208" t="n">
        <f aca="false">SUMIFS(報告入力!$BG$7:$BG$696,報告入力!$A$7:$A$696,$S$717,報告入力!$B$7:$B$696,$A730)</f>
        <v>1332967</v>
      </c>
      <c r="M730" s="160" t="n">
        <f aca="false">SUM(K730:L730)</f>
        <v>2665934</v>
      </c>
      <c r="N730" s="287" t="n">
        <f aca="false">SUMIFS(報告入力!$BH$7:$BH$696,報告入力!$A$7:$A$696,$S$717,報告入力!$B$7:$B$696,$A730)</f>
        <v>1</v>
      </c>
      <c r="O730" s="208" t="n">
        <f aca="false">SUMIFS(報告入力!$BI$7:$BI$696,報告入力!$A$7:$A$696,$S$717,報告入力!$B$7:$B$696,$A730)</f>
        <v>1</v>
      </c>
      <c r="P730" s="160" t="n">
        <f aca="false">SUM(N730:O730)</f>
        <v>2</v>
      </c>
      <c r="Q730" s="135" t="str">
        <f aca="false">IF(P665=P730,"〇","×")</f>
        <v>〇</v>
      </c>
      <c r="R730" s="135" t="str">
        <f aca="false">IFERROR(INDEX(報告入力!$C$7:$C$696,MATCH($S$717&amp;"|"&amp;$A730,報告入力!$CM$7:$CM$696,0)),"")</f>
        <v>未受領</v>
      </c>
    </row>
    <row r="731" s="135" customFormat="true" ht="19.5" hidden="false" customHeight="true" outlineLevel="0" collapsed="false">
      <c r="A731" s="146" t="s">
        <v>495</v>
      </c>
      <c r="B731" s="240" t="n">
        <f aca="false">SUMIFS(報告入力!$AY$7:$AY$696,報告入力!$A$7:$A$696,$S$717,報告入力!$B$7:$B$696,$A731)</f>
        <v>48495</v>
      </c>
      <c r="C731" s="392" t="n">
        <f aca="false">SUMIFS(報告入力!$AZ$7:$AZ$696,報告入力!$A$7:$A$696,$S$717,報告入力!$B$7:$B$696,$A731)</f>
        <v>3975</v>
      </c>
      <c r="D731" s="240" t="n">
        <f aca="false">SUMIFS(報告入力!$BA$7:$BA$696,報告入力!$A$7:$A$696,$S$717,報告入力!$B$7:$B$696,$A731)</f>
        <v>70490</v>
      </c>
      <c r="E731" s="238" t="n">
        <f aca="false">SUMIFS(報告入力!$BB$7:$BB$696,報告入力!$A$7:$A$696,$S$717,報告入力!$B$7:$B$696,$A731)</f>
        <v>3975</v>
      </c>
      <c r="F731" s="393" t="n">
        <f aca="false">SUMIFS(報告入力!$BC$7:$BC$696,報告入力!$A$7:$A$696,$S$717,報告入力!$B$7:$B$696,$A731)</f>
        <v>49</v>
      </c>
      <c r="G731" s="391" t="n">
        <f aca="false">SUM(B731:F731)</f>
        <v>126984</v>
      </c>
      <c r="H731" s="394" t="n">
        <f aca="false">SUMIFS(報告入力!$BD$7:$BD$696,報告入力!$A$7:$A$696,$S$717,報告入力!$B$7:$B$696,$A731)</f>
        <v>29155</v>
      </c>
      <c r="I731" s="395" t="n">
        <f aca="false">SUMIFS(報告入力!$BE$7:$BE$696,報告入力!$A$7:$A$696,$S$717,報告入力!$B$7:$B$696,$A731)</f>
        <v>29669</v>
      </c>
      <c r="J731" s="160" t="n">
        <f aca="false">SUM(H731:I731)</f>
        <v>58824</v>
      </c>
      <c r="K731" s="287" t="n">
        <f aca="false">SUMIFS(報告入力!$BF$7:$BF$696,報告入力!$A$7:$A$696,$S$717,報告入力!$B$7:$B$696,$A731)</f>
        <v>4187</v>
      </c>
      <c r="L731" s="208" t="n">
        <f aca="false">SUMIFS(報告入力!$BG$7:$BG$696,報告入力!$A$7:$A$696,$S$717,報告入力!$B$7:$B$696,$A731)</f>
        <v>4187</v>
      </c>
      <c r="M731" s="160" t="n">
        <f aca="false">SUM(K731:L731)</f>
        <v>8374</v>
      </c>
      <c r="N731" s="287" t="n">
        <f aca="false">SUMIFS(報告入力!$BH$7:$BH$696,報告入力!$A$7:$A$696,$S$717,報告入力!$B$7:$B$696,$A731)</f>
        <v>1</v>
      </c>
      <c r="O731" s="208" t="n">
        <f aca="false">SUMIFS(報告入力!$BI$7:$BI$696,報告入力!$A$7:$A$696,$S$717,報告入力!$B$7:$B$696,$A731)</f>
        <v>1</v>
      </c>
      <c r="P731" s="160" t="n">
        <f aca="false">SUM(N731:O731)</f>
        <v>2</v>
      </c>
      <c r="Q731" s="135" t="str">
        <f aca="false">IF(P666=P731,"〇","×")</f>
        <v>〇</v>
      </c>
      <c r="R731" s="135" t="str">
        <f aca="false">IFERROR(INDEX(報告入力!$C$7:$C$696,MATCH($S$717&amp;"|"&amp;$A731,報告入力!$CM$7:$CM$696,0)),"")</f>
        <v>未受領</v>
      </c>
    </row>
    <row r="732" s="162" customFormat="true" ht="19.5" hidden="false" customHeight="true" outlineLevel="0" collapsed="false">
      <c r="A732" s="151" t="s">
        <v>179</v>
      </c>
      <c r="B732" s="152" t="n">
        <f aca="false">SUMIFS(報告入力!$AY$7:$AY$696,報告入力!$A$7:$A$696,$S$717,報告入力!$B$7:$B$696,$A732)</f>
        <v>0</v>
      </c>
      <c r="C732" s="153" t="n">
        <f aca="false">SUMIFS(報告入力!$AZ$7:$AZ$696,報告入力!$A$7:$A$696,$S$717,報告入力!$B$7:$B$696,$A732)</f>
        <v>0</v>
      </c>
      <c r="D732" s="154"/>
      <c r="E732" s="155"/>
      <c r="F732" s="156" t="n">
        <f aca="false">SUMIFS(報告入力!$BC$7:$BC$696,報告入力!$A$7:$A$696,$S$717,報告入力!$B$7:$B$696,$A732)</f>
        <v>0</v>
      </c>
      <c r="G732" s="157" t="n">
        <f aca="false">SUM(B732:F732)</f>
        <v>0</v>
      </c>
      <c r="H732" s="207" t="n">
        <f aca="false">SUMIFS(報告入力!$BD$7:$BD$696,報告入力!$A$7:$A$696,$S$717,報告入力!$B$7:$B$696,$A732)</f>
        <v>255394</v>
      </c>
      <c r="I732" s="208" t="n">
        <f aca="false">SUMIFS(報告入力!$BE$7:$BE$696,報告入力!$A$7:$A$696,$S$717,報告入力!$B$7:$B$696,$A732)</f>
        <v>252175</v>
      </c>
      <c r="J732" s="160" t="n">
        <f aca="false">SUM(H732:I732)</f>
        <v>507569</v>
      </c>
      <c r="K732" s="287" t="n">
        <f aca="false">SUMIFS(報告入力!$BF$7:$BF$696,報告入力!$A$7:$A$696,$S$717,報告入力!$B$7:$B$696,$A732)</f>
        <v>8626</v>
      </c>
      <c r="L732" s="208" t="n">
        <f aca="false">SUMIFS(報告入力!$BG$7:$BG$696,報告入力!$A$7:$A$696,$S$717,報告入力!$B$7:$B$696,$A732)</f>
        <v>8626</v>
      </c>
      <c r="M732" s="160" t="n">
        <f aca="false">SUM(K732:L732)</f>
        <v>17252</v>
      </c>
      <c r="N732" s="287" t="n">
        <f aca="false">SUMIFS(報告入力!$BH$7:$BH$696,報告入力!$A$7:$A$696,$S$717,報告入力!$B$7:$B$696,$A732)</f>
        <v>1</v>
      </c>
      <c r="O732" s="208" t="n">
        <f aca="false">SUMIFS(報告入力!$BI$7:$BI$696,報告入力!$A$7:$A$696,$S$717,報告入力!$B$7:$B$696,$A732)</f>
        <v>1</v>
      </c>
      <c r="P732" s="160" t="n">
        <f aca="false">SUM(N732:O732)</f>
        <v>2</v>
      </c>
      <c r="Q732" s="162" t="str">
        <f aca="false">IF(P667=P732,"〇","×")</f>
        <v>〇</v>
      </c>
      <c r="R732" s="162" t="str">
        <f aca="false">IFERROR(INDEX(報告入力!$C$7:$C$696,MATCH($S$717&amp;"|"&amp;$A732,報告入力!$CM$7:$CM$696,0)),"")</f>
        <v>未受領</v>
      </c>
    </row>
    <row r="733" s="162" customFormat="true" ht="19.5" hidden="false" customHeight="true" outlineLevel="0" collapsed="false">
      <c r="A733" s="163" t="s">
        <v>496</v>
      </c>
      <c r="B733" s="164"/>
      <c r="C733" s="165"/>
      <c r="D733" s="164"/>
      <c r="E733" s="166"/>
      <c r="F733" s="167"/>
      <c r="G733" s="168"/>
      <c r="H733" s="169"/>
      <c r="I733" s="170"/>
      <c r="J733" s="171"/>
      <c r="K733" s="172"/>
      <c r="L733" s="173"/>
      <c r="M733" s="173"/>
      <c r="N733" s="172"/>
      <c r="O733" s="173"/>
      <c r="P733" s="173"/>
      <c r="Q733" s="162" t="str">
        <f aca="false">IF(P668=P733,"〇","×")</f>
        <v>〇</v>
      </c>
    </row>
    <row r="734" s="162" customFormat="true" ht="19.5" hidden="false" customHeight="true" outlineLevel="0" collapsed="false">
      <c r="A734" s="174" t="s">
        <v>496</v>
      </c>
      <c r="B734" s="175"/>
      <c r="C734" s="176"/>
      <c r="D734" s="175"/>
      <c r="E734" s="177"/>
      <c r="F734" s="178"/>
      <c r="G734" s="179"/>
      <c r="H734" s="180"/>
      <c r="I734" s="177"/>
      <c r="J734" s="181"/>
      <c r="K734" s="182"/>
      <c r="L734" s="183"/>
      <c r="M734" s="183"/>
      <c r="N734" s="182"/>
      <c r="O734" s="183"/>
      <c r="P734" s="183"/>
      <c r="Q734" s="162" t="str">
        <f aca="false">IF(P669=P734,"〇","×")</f>
        <v>〇</v>
      </c>
    </row>
    <row r="735" s="162" customFormat="true" ht="19.5" hidden="false" customHeight="true" outlineLevel="0" collapsed="false">
      <c r="A735" s="174" t="s">
        <v>496</v>
      </c>
      <c r="B735" s="164"/>
      <c r="C735" s="165"/>
      <c r="D735" s="164"/>
      <c r="E735" s="166"/>
      <c r="F735" s="167"/>
      <c r="G735" s="168"/>
      <c r="H735" s="184"/>
      <c r="I735" s="166"/>
      <c r="J735" s="171"/>
      <c r="K735" s="185"/>
      <c r="L735" s="186"/>
      <c r="M735" s="186"/>
      <c r="N735" s="185"/>
      <c r="O735" s="186"/>
      <c r="P735" s="186"/>
      <c r="Q735" s="162" t="str">
        <f aca="false">IF(P670=P735,"〇","×")</f>
        <v>〇</v>
      </c>
    </row>
    <row r="736" s="162" customFormat="true" ht="19.5" hidden="false" customHeight="true" outlineLevel="0" collapsed="false">
      <c r="A736" s="187" t="s">
        <v>496</v>
      </c>
      <c r="B736" s="188"/>
      <c r="C736" s="189"/>
      <c r="D736" s="188"/>
      <c r="E736" s="190"/>
      <c r="F736" s="191"/>
      <c r="G736" s="192"/>
      <c r="H736" s="180"/>
      <c r="I736" s="193"/>
      <c r="J736" s="194"/>
      <c r="K736" s="182"/>
      <c r="L736" s="183"/>
      <c r="M736" s="195"/>
      <c r="N736" s="182"/>
      <c r="O736" s="183"/>
      <c r="P736" s="195"/>
      <c r="Q736" s="162" t="str">
        <f aca="false">IF(P671=P736,"〇","×")</f>
        <v>〇</v>
      </c>
    </row>
    <row r="737" s="162" customFormat="true" ht="19.5" hidden="false" customHeight="true" outlineLevel="0" collapsed="false">
      <c r="A737" s="196" t="s">
        <v>497</v>
      </c>
      <c r="B737" s="197" t="n">
        <f aca="false">SUM(B721:B736)</f>
        <v>354488477</v>
      </c>
      <c r="C737" s="198" t="n">
        <f aca="false">SUM(C721:C736)</f>
        <v>29061308</v>
      </c>
      <c r="D737" s="197" t="n">
        <f aca="false">SUM(D721:D736)</f>
        <v>516522632</v>
      </c>
      <c r="E737" s="199" t="n">
        <f aca="false">SUM(E721:E736)</f>
        <v>28539240</v>
      </c>
      <c r="F737" s="200" t="n">
        <f aca="false">SUM(F721:F736)</f>
        <v>371239</v>
      </c>
      <c r="G737" s="201" t="n">
        <f aca="false">SUM(B737:F737)</f>
        <v>928982896</v>
      </c>
      <c r="H737" s="198" t="n">
        <f aca="false">SUM(H721:H736)</f>
        <v>266189898</v>
      </c>
      <c r="I737" s="198" t="n">
        <f aca="false">SUM(I721:I736)</f>
        <v>267163235</v>
      </c>
      <c r="J737" s="200" t="n">
        <f aca="false">SUM(H737:I737)</f>
        <v>533353133</v>
      </c>
      <c r="K737" s="197" t="n">
        <f aca="false">SUM(K721:K736)</f>
        <v>23298248</v>
      </c>
      <c r="L737" s="198" t="n">
        <f aca="false">SUM(L721:L736)</f>
        <v>22822644</v>
      </c>
      <c r="M737" s="200" t="n">
        <f aca="false">SUM(K737:L737)</f>
        <v>46120892</v>
      </c>
      <c r="N737" s="197" t="n">
        <f aca="false">SUM(N721:N736)</f>
        <v>12</v>
      </c>
      <c r="O737" s="198" t="n">
        <f aca="false">SUM(O721:O736)</f>
        <v>12</v>
      </c>
      <c r="P737" s="200" t="n">
        <f aca="false">SUM(N737:O737)</f>
        <v>24</v>
      </c>
      <c r="Q737" s="162" t="str">
        <f aca="false">IF(P672=P737,"〇","×")</f>
        <v>〇</v>
      </c>
    </row>
    <row r="738" s="135" customFormat="true" ht="20.1" hidden="false" customHeight="true" outlineLevel="0" collapsed="false">
      <c r="A738" s="202" t="s">
        <v>180</v>
      </c>
      <c r="B738" s="336"/>
      <c r="C738" s="333"/>
      <c r="D738" s="324"/>
      <c r="E738" s="328"/>
      <c r="F738" s="333"/>
      <c r="G738" s="327" t="n">
        <f aca="false">SUM(B738:F738)</f>
        <v>0</v>
      </c>
      <c r="H738" s="336"/>
      <c r="I738" s="329"/>
      <c r="J738" s="330" t="n">
        <f aca="false">SUM(H738:I738)</f>
        <v>0</v>
      </c>
      <c r="K738" s="336"/>
      <c r="L738" s="365"/>
      <c r="M738" s="330" t="n">
        <f aca="false">SUM(K738:L738)</f>
        <v>0</v>
      </c>
      <c r="N738" s="336"/>
      <c r="O738" s="365"/>
      <c r="P738" s="330" t="n">
        <f aca="false">SUM(N738:O738)</f>
        <v>0</v>
      </c>
      <c r="Q738" s="135" t="str">
        <f aca="false">IF(P673=P738,"〇","×")</f>
        <v>〇</v>
      </c>
      <c r="R738" s="135" t="str">
        <f aca="false">IFERROR(INDEX(報告入力!$C$7:$C$696,MATCH($S$717&amp;"|"&amp;$A738,報告入力!$CM$7:$CM$696,0)),"")</f>
        <v>報告なし</v>
      </c>
    </row>
    <row r="739" s="135" customFormat="true" ht="18.75" hidden="false" customHeight="true" outlineLevel="0" collapsed="false">
      <c r="A739" s="125" t="s">
        <v>182</v>
      </c>
      <c r="B739" s="203" t="n">
        <f aca="false">SUMIFS(報告入力!$AY$7:$AY$696,報告入力!$A$7:$A$696,$S$717,報告入力!$B$7:$B$696,$A739)</f>
        <v>0</v>
      </c>
      <c r="C739" s="204" t="n">
        <f aca="false">SUMIFS(報告入力!$AZ$7:$AZ$696,報告入力!$A$7:$A$696,$S$717,報告入力!$B$7:$B$696,$A739)</f>
        <v>0</v>
      </c>
      <c r="D739" s="409" t="n">
        <f aca="false">SUMIFS(報告入力!$BA$7:$BA$696,報告入力!$A$7:$A$696,$S$717,報告入力!$B$7:$B$696,$A739)</f>
        <v>638670</v>
      </c>
      <c r="E739" s="238" t="n">
        <f aca="false">SUMIFS(報告入力!$BB$7:$BB$696,報告入力!$A$7:$A$696,$S$717,報告入力!$B$7:$B$696,$A739)</f>
        <v>52350</v>
      </c>
      <c r="F739" s="237" t="n">
        <f aca="false">SUMIFS(報告入力!$BC$7:$BC$696,報告入力!$A$7:$A$696,$S$717,報告入力!$B$7:$B$696,$A739)</f>
        <v>723</v>
      </c>
      <c r="G739" s="206" t="n">
        <f aca="false">SUM(B739:F739)</f>
        <v>691743</v>
      </c>
      <c r="H739" s="207" t="n">
        <f aca="false">SUMIFS(報告入力!$BD$7:$BD$696,報告入力!$A$7:$A$696,$S$717,報告入力!$B$7:$B$696,$A739)</f>
        <v>0</v>
      </c>
      <c r="I739" s="208" t="n">
        <f aca="false">SUMIFS(報告入力!$BE$7:$BE$696,報告入力!$A$7:$A$696,$S$717,報告入力!$B$7:$B$696,$A739)</f>
        <v>386320</v>
      </c>
      <c r="J739" s="160" t="n">
        <f aca="false">SUM(H739:I739)</f>
        <v>386320</v>
      </c>
      <c r="K739" s="207" t="n">
        <f aca="false">SUMIFS(報告入力!$BF$7:$BF$696,報告入力!$A$7:$A$696,$S$717,報告入力!$B$7:$B$696,$A739)</f>
        <v>0</v>
      </c>
      <c r="L739" s="208" t="n">
        <f aca="false">SUMIFS(報告入力!$BG$7:$BG$696,報告入力!$A$7:$A$696,$S$717,報告入力!$B$7:$B$696,$A739)</f>
        <v>52377</v>
      </c>
      <c r="M739" s="160" t="n">
        <f aca="false">SUM(K739:L739)</f>
        <v>52377</v>
      </c>
      <c r="N739" s="207" t="n">
        <f aca="false">SUMIFS(報告入力!$BH$7:$BH$696,報告入力!$A$7:$A$696,$S$717,報告入力!$B$7:$B$696,$A739)</f>
        <v>0</v>
      </c>
      <c r="O739" s="208" t="n">
        <f aca="false">SUMIFS(報告入力!$BI$7:$BI$696,報告入力!$A$7:$A$696,$S$717,報告入力!$B$7:$B$696,$A739)</f>
        <v>1</v>
      </c>
      <c r="P739" s="160" t="n">
        <f aca="false">SUM(N739:O739)</f>
        <v>1</v>
      </c>
      <c r="Q739" s="135" t="str">
        <f aca="false">IF(P674=P739,"〇","×")</f>
        <v>〇</v>
      </c>
      <c r="R739" s="135" t="str">
        <f aca="false">IFERROR(INDEX(報告入力!$C$7:$C$696,MATCH($S$717&amp;"|"&amp;$A739,報告入力!$CM$7:$CM$696,0)),"")</f>
        <v>未受領</v>
      </c>
    </row>
    <row r="740" s="135" customFormat="true" ht="20.1" hidden="false" customHeight="true" outlineLevel="0" collapsed="false">
      <c r="A740" s="125" t="s">
        <v>183</v>
      </c>
      <c r="B740" s="211"/>
      <c r="C740" s="212"/>
      <c r="D740" s="240" t="n">
        <f aca="false">SUMIFS(報告入力!$BA$7:$BA$696,報告入力!$A$7:$A$696,$S$717,報告入力!$B$7:$B$696,$A740)</f>
        <v>1886730</v>
      </c>
      <c r="E740" s="207" t="n">
        <f aca="false">SUMIFS(報告入力!$BB$7:$BB$696,報告入力!$A$7:$A$696,$S$717,報告入力!$B$7:$B$696,$A740)</f>
        <v>154650</v>
      </c>
      <c r="F740" s="237" t="n">
        <f aca="false">SUMIFS(報告入力!$BC$7:$BC$696,報告入力!$A$7:$A$696,$S$717,報告入力!$B$7:$B$696,$A740)</f>
        <v>1988</v>
      </c>
      <c r="G740" s="206" t="n">
        <f aca="false">SUM(B740:F740)</f>
        <v>2043368</v>
      </c>
      <c r="H740" s="213"/>
      <c r="I740" s="208" t="n">
        <f aca="false">SUMIFS(報告入力!$BE$7:$BE$696,報告入力!$A$7:$A$696,$S$717,報告入力!$B$7:$B$696,$A740)</f>
        <v>1275306</v>
      </c>
      <c r="J740" s="160" t="n">
        <f aca="false">SUM(H740:I740)</f>
        <v>1275306</v>
      </c>
      <c r="K740" s="213"/>
      <c r="L740" s="208" t="n">
        <f aca="false">SUMIFS(報告入力!$BG$7:$BG$696,報告入力!$A$7:$A$696,$S$717,報告入力!$B$7:$B$696,$A740)</f>
        <v>141252</v>
      </c>
      <c r="M740" s="160" t="n">
        <f aca="false">SUM(K740:L740)</f>
        <v>141252</v>
      </c>
      <c r="N740" s="213"/>
      <c r="O740" s="208" t="n">
        <f aca="false">SUMIFS(報告入力!$BI$7:$BI$696,報告入力!$A$7:$A$696,$S$717,報告入力!$B$7:$B$696,$A740)</f>
        <v>1</v>
      </c>
      <c r="P740" s="160" t="n">
        <f aca="false">SUM(N740:O740)</f>
        <v>1</v>
      </c>
      <c r="Q740" s="135" t="str">
        <f aca="false">IF(P675=P740,"〇","×")</f>
        <v>〇</v>
      </c>
      <c r="R740" s="135" t="str">
        <f aca="false">IFERROR(INDEX(報告入力!$C$7:$C$696,MATCH($S$717&amp;"|"&amp;$A740,報告入力!$CM$7:$CM$696,0)),"")</f>
        <v>未受領</v>
      </c>
    </row>
    <row r="741" s="135" customFormat="true" ht="20.1" hidden="false" customHeight="true" outlineLevel="0" collapsed="false">
      <c r="A741" s="125" t="s">
        <v>184</v>
      </c>
      <c r="B741" s="211"/>
      <c r="C741" s="212"/>
      <c r="D741" s="203" t="n">
        <f aca="false">SUMIFS(報告入力!$BA$7:$BA$696,報告入力!$A$7:$A$696,$S$717,報告入力!$B$7:$B$696,$A741)</f>
        <v>48495</v>
      </c>
      <c r="E741" s="207" t="n">
        <f aca="false">SUMIFS(報告入力!$BB$7:$BB$696,報告入力!$A$7:$A$696,$S$717,報告入力!$B$7:$B$696,$A741)</f>
        <v>3975</v>
      </c>
      <c r="F741" s="237" t="n">
        <f aca="false">SUMIFS(報告入力!$BC$7:$BC$696,報告入力!$A$7:$A$696,$S$717,報告入力!$B$7:$B$696,$A741)</f>
        <v>49</v>
      </c>
      <c r="G741" s="206" t="n">
        <f aca="false">SUM(B741:F741)</f>
        <v>52519</v>
      </c>
      <c r="H741" s="213"/>
      <c r="I741" s="208" t="n">
        <f aca="false">SUMIFS(報告入力!$BE$7:$BE$696,報告入力!$A$7:$A$696,$S$717,報告入力!$B$7:$B$696,$A741)</f>
        <v>29208</v>
      </c>
      <c r="J741" s="160" t="n">
        <f aca="false">SUM(H741:I741)</f>
        <v>29208</v>
      </c>
      <c r="K741" s="213"/>
      <c r="L741" s="208" t="n">
        <f aca="false">SUMIFS(報告入力!$BG$7:$BG$696,報告入力!$A$7:$A$696,$S$717,報告入力!$B$7:$B$696,$A741)</f>
        <v>4187</v>
      </c>
      <c r="M741" s="160" t="n">
        <f aca="false">SUM(K741:L741)</f>
        <v>4187</v>
      </c>
      <c r="N741" s="213"/>
      <c r="O741" s="208" t="n">
        <f aca="false">SUMIFS(報告入力!$BI$7:$BI$696,報告入力!$A$7:$A$696,$S$717,報告入力!$B$7:$B$696,$A741)</f>
        <v>1</v>
      </c>
      <c r="P741" s="160" t="n">
        <f aca="false">SUM(N741:O741)</f>
        <v>1</v>
      </c>
      <c r="Q741" s="135" t="str">
        <f aca="false">IF(P676=P741,"〇","×")</f>
        <v>〇</v>
      </c>
      <c r="R741" s="135" t="str">
        <f aca="false">IFERROR(INDEX(報告入力!$C$7:$C$696,MATCH($S$717&amp;"|"&amp;$A741,報告入力!$CM$7:$CM$696,0)),"")</f>
        <v>未受領</v>
      </c>
    </row>
    <row r="742" s="135" customFormat="true" ht="20.1" hidden="false" customHeight="true" outlineLevel="0" collapsed="false">
      <c r="A742" s="214" t="s">
        <v>185</v>
      </c>
      <c r="B742" s="211"/>
      <c r="C742" s="212"/>
      <c r="D742" s="203" t="n">
        <f aca="false">SUMIFS(報告入力!$BA$7:$BA$696,報告入力!$A$7:$A$696,$S$717,報告入力!$B$7:$B$696,$A742)</f>
        <v>425475</v>
      </c>
      <c r="E742" s="207" t="n">
        <f aca="false">SUMIFS(報告入力!$BB$7:$BB$696,報告入力!$A$7:$A$696,$S$717,報告入力!$B$7:$B$696,$A742)</f>
        <v>34875</v>
      </c>
      <c r="F742" s="237" t="n">
        <f aca="false">SUMIFS(報告入力!$BC$7:$BC$696,報告入力!$A$7:$A$696,$S$717,報告入力!$B$7:$B$696,$A742)</f>
        <v>435</v>
      </c>
      <c r="G742" s="206" t="n">
        <f aca="false">SUM(B742:F742)</f>
        <v>460785</v>
      </c>
      <c r="H742" s="213"/>
      <c r="I742" s="395" t="n">
        <f aca="false">SUMIFS(報告入力!$BE$7:$BE$696,報告入力!$A$7:$A$696,$S$717,報告入力!$B$7:$B$696,$A742)</f>
        <v>256260</v>
      </c>
      <c r="J742" s="160" t="n">
        <f aca="false">SUM(H742:I742)</f>
        <v>256260</v>
      </c>
      <c r="K742" s="288"/>
      <c r="L742" s="395" t="n">
        <f aca="false">SUMIFS(報告入力!$BG$7:$BG$696,報告入力!$A$7:$A$696,$S$717,報告入力!$B$7:$B$696,$A742)</f>
        <v>34207</v>
      </c>
      <c r="M742" s="160" t="n">
        <f aca="false">SUM(K742:L742)</f>
        <v>34207</v>
      </c>
      <c r="N742" s="288"/>
      <c r="O742" s="395" t="n">
        <f aca="false">SUMIFS(報告入力!$BI$7:$BI$696,報告入力!$A$7:$A$696,$S$717,報告入力!$B$7:$B$696,$A742)</f>
        <v>1</v>
      </c>
      <c r="P742" s="160" t="n">
        <f aca="false">SUM(N742:O742)</f>
        <v>1</v>
      </c>
      <c r="Q742" s="135" t="str">
        <f aca="false">IF(P677=P742,"〇","×")</f>
        <v>〇</v>
      </c>
      <c r="R742" s="135" t="str">
        <f aca="false">IFERROR(INDEX(報告入力!$C$7:$C$696,MATCH($S$717&amp;"|"&amp;$A742,報告入力!$CM$7:$CM$696,0)),"")</f>
        <v>未受領</v>
      </c>
    </row>
    <row r="743" s="135" customFormat="true" ht="20.1" hidden="false" customHeight="true" outlineLevel="0" collapsed="false">
      <c r="A743" s="146" t="s">
        <v>186</v>
      </c>
      <c r="B743" s="211"/>
      <c r="C743" s="216"/>
      <c r="D743" s="203" t="n">
        <f aca="false">SUMIFS(報告入力!$BA$7:$BA$696,報告入力!$A$7:$A$696,$S$717,報告入力!$B$7:$B$696,$A743)</f>
        <v>86010</v>
      </c>
      <c r="E743" s="207" t="n">
        <f aca="false">SUMIFS(報告入力!$BB$7:$BB$696,報告入力!$A$7:$A$696,$S$717,報告入力!$B$7:$B$696,$A743)</f>
        <v>7050</v>
      </c>
      <c r="F743" s="237" t="n">
        <f aca="false">SUMIFS(報告入力!$BC$7:$BC$696,報告入力!$A$7:$A$696,$S$717,報告入力!$B$7:$B$696,$A743)</f>
        <v>88</v>
      </c>
      <c r="G743" s="206" t="n">
        <f aca="false">SUM(B743:F743)</f>
        <v>93148</v>
      </c>
      <c r="H743" s="213"/>
      <c r="I743" s="395" t="n">
        <f aca="false">SUMIFS(報告入力!$BE$7:$BE$696,報告入力!$A$7:$A$696,$S$717,報告入力!$B$7:$B$696,$A743)</f>
        <v>51803</v>
      </c>
      <c r="J743" s="160" t="n">
        <f aca="false">SUM(H743:I743)</f>
        <v>51803</v>
      </c>
      <c r="K743" s="213"/>
      <c r="L743" s="395" t="n">
        <f aca="false">SUMIFS(報告入力!$BG$7:$BG$696,報告入力!$A$7:$A$696,$S$717,報告入力!$B$7:$B$696,$A743)</f>
        <v>7426</v>
      </c>
      <c r="M743" s="160" t="n">
        <f aca="false">SUM(K743:L743)</f>
        <v>7426</v>
      </c>
      <c r="N743" s="213"/>
      <c r="O743" s="395" t="n">
        <f aca="false">SUMIFS(報告入力!$BI$7:$BI$696,報告入力!$A$7:$A$696,$S$717,報告入力!$B$7:$B$696,$A743)</f>
        <v>1</v>
      </c>
      <c r="P743" s="160" t="n">
        <f aca="false">SUM(N743:O743)</f>
        <v>1</v>
      </c>
      <c r="Q743" s="135" t="str">
        <f aca="false">IF(P678=P743,"〇","×")</f>
        <v>〇</v>
      </c>
      <c r="R743" s="135" t="str">
        <f aca="false">IFERROR(INDEX(報告入力!$C$7:$C$696,MATCH($S$717&amp;"|"&amp;$A743,報告入力!$CM$7:$CM$696,0)),"")</f>
        <v>未受領</v>
      </c>
    </row>
    <row r="744" s="135" customFormat="true" ht="20.1" hidden="false" customHeight="true" outlineLevel="0" collapsed="false">
      <c r="A744" s="146" t="s">
        <v>187</v>
      </c>
      <c r="B744" s="211"/>
      <c r="C744" s="216"/>
      <c r="D744" s="240" t="n">
        <f aca="false">SUMIFS(報告入力!$BA$7:$BA$696,報告入力!$A$7:$A$696,$S$717,報告入力!$B$7:$B$696,$A744)</f>
        <v>48495</v>
      </c>
      <c r="E744" s="207" t="n">
        <f aca="false">SUMIFS(報告入力!$BB$7:$BB$696,報告入力!$A$7:$A$696,$S$717,報告入力!$B$7:$B$696,$A744)</f>
        <v>3975</v>
      </c>
      <c r="F744" s="237" t="n">
        <f aca="false">SUMIFS(報告入力!$BC$7:$BC$696,報告入力!$A$7:$A$696,$S$717,報告入力!$B$7:$B$696,$A744)</f>
        <v>49</v>
      </c>
      <c r="G744" s="206" t="n">
        <f aca="false">SUM(B744:F744)</f>
        <v>52519</v>
      </c>
      <c r="H744" s="213"/>
      <c r="I744" s="208" t="n">
        <f aca="false">SUMIFS(報告入力!$BE$7:$BE$696,報告入力!$A$7:$A$696,$S$717,報告入力!$B$7:$B$696,$A744)</f>
        <v>29208</v>
      </c>
      <c r="J744" s="160" t="n">
        <f aca="false">SUM(H744:I744)</f>
        <v>29208</v>
      </c>
      <c r="K744" s="213"/>
      <c r="L744" s="208" t="n">
        <f aca="false">SUMIFS(報告入力!$BG$7:$BG$696,報告入力!$A$7:$A$696,$S$717,報告入力!$B$7:$B$696,$A744)</f>
        <v>4187</v>
      </c>
      <c r="M744" s="160" t="n">
        <f aca="false">SUM(K744:L744)</f>
        <v>4187</v>
      </c>
      <c r="N744" s="213"/>
      <c r="O744" s="208" t="n">
        <f aca="false">SUMIFS(報告入力!$BI$7:$BI$696,報告入力!$A$7:$A$696,$S$717,報告入力!$B$7:$B$696,$A744)</f>
        <v>1</v>
      </c>
      <c r="P744" s="160" t="n">
        <f aca="false">SUM(N744:O744)</f>
        <v>1</v>
      </c>
      <c r="Q744" s="135" t="str">
        <f aca="false">IF(P679=P744,"〇","×")</f>
        <v>〇</v>
      </c>
      <c r="R744" s="135" t="str">
        <f aca="false">IFERROR(INDEX(報告入力!$C$7:$C$696,MATCH($S$717&amp;"|"&amp;$A744,報告入力!$CM$7:$CM$696,0)),"")</f>
        <v>未受領</v>
      </c>
    </row>
    <row r="745" s="135" customFormat="true" ht="20.1" hidden="false" customHeight="true" outlineLevel="0" collapsed="false">
      <c r="A745" s="217" t="s">
        <v>188</v>
      </c>
      <c r="B745" s="211"/>
      <c r="C745" s="218"/>
      <c r="D745" s="203" t="n">
        <f aca="false">SUMIFS(報告入力!$BA$7:$BA$696,報告入力!$A$7:$A$696,$S$717,報告入力!$B$7:$B$696,$A745)</f>
        <v>124440</v>
      </c>
      <c r="E745" s="207" t="n">
        <f aca="false">SUMIFS(報告入力!$BB$7:$BB$696,報告入力!$A$7:$A$696,$S$717,報告入力!$B$7:$B$696,$A745)</f>
        <v>10200</v>
      </c>
      <c r="F745" s="237" t="n">
        <f aca="false">SUMIFS(報告入力!$BC$7:$BC$696,報告入力!$A$7:$A$696,$S$717,報告入力!$B$7:$B$696,$A745)</f>
        <v>127</v>
      </c>
      <c r="G745" s="206" t="n">
        <f aca="false">SUM(B745:F745)</f>
        <v>134767</v>
      </c>
      <c r="H745" s="213"/>
      <c r="I745" s="208" t="n">
        <f aca="false">SUMIFS(報告入力!$BE$7:$BE$696,報告入力!$A$7:$A$696,$S$717,報告入力!$B$7:$B$696,$A745)</f>
        <v>74949</v>
      </c>
      <c r="J745" s="160" t="n">
        <f aca="false">SUM(H745:I745)</f>
        <v>74949</v>
      </c>
      <c r="K745" s="213"/>
      <c r="L745" s="208" t="n">
        <f aca="false">SUMIFS(報告入力!$BG$7:$BG$696,報告入力!$A$7:$A$696,$S$717,報告入力!$B$7:$B$696,$A745)</f>
        <v>7031</v>
      </c>
      <c r="M745" s="160" t="n">
        <f aca="false">SUM(K745:L745)</f>
        <v>7031</v>
      </c>
      <c r="N745" s="213"/>
      <c r="O745" s="208" t="n">
        <f aca="false">SUMIFS(報告入力!$BI$7:$BI$696,報告入力!$A$7:$A$696,$S$717,報告入力!$B$7:$B$696,$A745)</f>
        <v>1</v>
      </c>
      <c r="P745" s="160" t="n">
        <f aca="false">SUM(N745:O745)</f>
        <v>1</v>
      </c>
      <c r="Q745" s="135" t="str">
        <f aca="false">IF(P680=P745,"〇","×")</f>
        <v>〇</v>
      </c>
      <c r="R745" s="135" t="str">
        <f aca="false">IFERROR(INDEX(報告入力!$C$7:$C$696,MATCH($S$717&amp;"|"&amp;$A745,報告入力!$CM$7:$CM$696,0)),"")</f>
        <v>未受領</v>
      </c>
    </row>
    <row r="746" s="135" customFormat="true" ht="20.1" hidden="false" customHeight="true" outlineLevel="0" collapsed="false">
      <c r="A746" s="125" t="s">
        <v>189</v>
      </c>
      <c r="B746" s="240" t="n">
        <f aca="false">SUMIFS(報告入力!$AY$7:$AY$696,報告入力!$A$7:$A$696,$S$717,報告入力!$B$7:$B$696,$A746)</f>
        <v>245220</v>
      </c>
      <c r="C746" s="237" t="n">
        <f aca="false">SUMIFS(報告入力!$AZ$7:$AZ$696,報告入力!$A$7:$A$696,$S$717,報告入力!$B$7:$B$696,$A746)</f>
        <v>20100</v>
      </c>
      <c r="D746" s="240" t="n">
        <f aca="false">SUMIFS(報告入力!$BA$7:$BA$696,報告入力!$A$7:$A$696,$S$717,報告入力!$B$7:$B$696,$A746)</f>
        <v>245220</v>
      </c>
      <c r="E746" s="239" t="n">
        <f aca="false">SUMIFS(報告入力!$BB$7:$BB$696,報告入力!$A$7:$A$696,$S$717,報告入力!$B$7:$B$696,$A746)</f>
        <v>20100</v>
      </c>
      <c r="F746" s="204" t="n">
        <f aca="false">SUMIFS(報告入力!$BC$7:$BC$696,報告入力!$A$7:$A$696,$S$717,報告入力!$B$7:$B$696,$A746)</f>
        <v>251</v>
      </c>
      <c r="G746" s="206" t="n">
        <f aca="false">SUM(B746:F746)</f>
        <v>530891</v>
      </c>
      <c r="H746" s="207" t="n">
        <f aca="false">SUMIFS(報告入力!$BD$7:$BD$696,報告入力!$A$7:$A$696,$S$717,報告入力!$B$7:$B$696,$A746)</f>
        <v>147425</v>
      </c>
      <c r="I746" s="239" t="n">
        <f aca="false">SUMIFS(報告入力!$BE$7:$BE$696,報告入力!$A$7:$A$696,$S$717,報告入力!$B$7:$B$696,$A746)</f>
        <v>147694</v>
      </c>
      <c r="J746" s="418" t="n">
        <f aca="false">SUM(H746:I746)</f>
        <v>295119</v>
      </c>
      <c r="K746" s="207" t="n">
        <f aca="false">SUMIFS(報告入力!$BF$7:$BF$696,報告入力!$A$7:$A$696,$S$717,報告入力!$B$7:$B$696,$A746)</f>
        <v>9559</v>
      </c>
      <c r="L746" s="239" t="n">
        <f aca="false">SUMIFS(報告入力!$BG$7:$BG$696,報告入力!$A$7:$A$696,$S$717,報告入力!$B$7:$B$696,$A746)</f>
        <v>9559</v>
      </c>
      <c r="M746" s="206" t="n">
        <f aca="false">SUM(K746:L746)</f>
        <v>19118</v>
      </c>
      <c r="N746" s="207" t="n">
        <f aca="false">SUMIFS(報告入力!$BH$7:$BH$696,報告入力!$A$7:$A$696,$S$717,報告入力!$B$7:$B$696,$A746)</f>
        <v>1</v>
      </c>
      <c r="O746" s="239" t="n">
        <f aca="false">SUMIFS(報告入力!$BI$7:$BI$696,報告入力!$A$7:$A$696,$S$717,報告入力!$B$7:$B$696,$A746)</f>
        <v>1</v>
      </c>
      <c r="P746" s="206" t="n">
        <f aca="false">SUM(N746:O746)</f>
        <v>2</v>
      </c>
      <c r="Q746" s="135" t="str">
        <f aca="false">IF(P681=P746,"〇","×")</f>
        <v>〇</v>
      </c>
      <c r="R746" s="135" t="str">
        <f aca="false">IFERROR(INDEX(報告入力!$C$7:$C$696,MATCH($S$717&amp;"|"&amp;$A746,報告入力!$CM$7:$CM$696,0)),"")</f>
        <v>未受領</v>
      </c>
    </row>
    <row r="747" s="135" customFormat="true" ht="20.1" hidden="false" customHeight="true" outlineLevel="0" collapsed="false">
      <c r="A747" s="219" t="s">
        <v>190</v>
      </c>
      <c r="B747" s="203" t="n">
        <f aca="false">SUMIFS(報告入力!$AY$7:$AY$696,報告入力!$A$7:$A$696,$S$717,報告入力!$B$7:$B$696,$A747)</f>
        <v>40260</v>
      </c>
      <c r="C747" s="237" t="n">
        <f aca="false">SUMIFS(報告入力!$AZ$7:$AZ$696,報告入力!$A$7:$A$696,$S$717,報告入力!$B$7:$B$696,$A747)</f>
        <v>3300</v>
      </c>
      <c r="D747" s="203" t="n">
        <f aca="false">SUMIFS(報告入力!$BA$7:$BA$696,報告入力!$A$7:$A$696,$S$717,報告入力!$B$7:$B$696,$A747)</f>
        <v>40260</v>
      </c>
      <c r="E747" s="207" t="n">
        <f aca="false">SUMIFS(報告入力!$BB$7:$BB$696,報告入力!$A$7:$A$696,$S$717,報告入力!$B$7:$B$696,$A747)</f>
        <v>3300</v>
      </c>
      <c r="F747" s="237" t="n">
        <f aca="false">SUMIFS(報告入力!$BC$7:$BC$696,報告入力!$A$7:$A$696,$S$717,報告入力!$B$7:$B$696,$A747)</f>
        <v>41</v>
      </c>
      <c r="G747" s="391" t="n">
        <f aca="false">SUM(B747:F747)</f>
        <v>87161</v>
      </c>
      <c r="H747" s="207" t="n">
        <f aca="false">SUMIFS(報告入力!$BD$7:$BD$696,報告入力!$A$7:$A$696,$S$717,報告入力!$B$7:$B$696,$A747)</f>
        <v>24204</v>
      </c>
      <c r="I747" s="208" t="n">
        <f aca="false">SUMIFS(報告入力!$BE$7:$BE$696,報告入力!$A$7:$A$696,$S$717,報告入力!$B$7:$B$696,$A747)</f>
        <v>24248</v>
      </c>
      <c r="J747" s="160" t="n">
        <f aca="false">SUM(H747:I747)</f>
        <v>48452</v>
      </c>
      <c r="K747" s="207" t="n">
        <f aca="false">SUMIFS(報告入力!$BF$7:$BF$696,報告入力!$A$7:$A$696,$S$717,報告入力!$B$7:$B$696,$A747)</f>
        <v>0</v>
      </c>
      <c r="L747" s="208" t="n">
        <f aca="false">SUMIFS(報告入力!$BG$7:$BG$696,報告入力!$A$7:$A$696,$S$717,報告入力!$B$7:$B$696,$A747)</f>
        <v>0</v>
      </c>
      <c r="M747" s="160" t="n">
        <f aca="false">SUM(K747:L747)</f>
        <v>0</v>
      </c>
      <c r="N747" s="207" t="n">
        <f aca="false">SUMIFS(報告入力!$BH$7:$BH$696,報告入力!$A$7:$A$696,$S$717,報告入力!$B$7:$B$696,$A747)</f>
        <v>1</v>
      </c>
      <c r="O747" s="208" t="n">
        <f aca="false">SUMIFS(報告入力!$BI$7:$BI$696,報告入力!$A$7:$A$696,$S$717,報告入力!$B$7:$B$696,$A747)</f>
        <v>1</v>
      </c>
      <c r="P747" s="160" t="n">
        <f aca="false">SUM(N747:O747)</f>
        <v>2</v>
      </c>
      <c r="Q747" s="135" t="str">
        <f aca="false">IF(P682=P747,"〇","×")</f>
        <v>〇</v>
      </c>
      <c r="R747" s="135" t="str">
        <f aca="false">IFERROR(INDEX(報告入力!$C$7:$C$696,MATCH($S$717&amp;"|"&amp;$A747,報告入力!$CM$7:$CM$696,0)),"")</f>
        <v>未受領</v>
      </c>
    </row>
    <row r="748" s="135" customFormat="true" ht="20.1" hidden="false" customHeight="true" outlineLevel="0" collapsed="false">
      <c r="A748" s="222" t="s">
        <v>191</v>
      </c>
      <c r="B748" s="203" t="n">
        <f aca="false">SUMIFS(報告入力!$AY$7:$AY$696,報告入力!$A$7:$A$696,$S$717,報告入力!$B$7:$B$696,$A748)</f>
        <v>102480</v>
      </c>
      <c r="C748" s="237" t="n">
        <f aca="false">SUMIFS(報告入力!$AZ$7:$AZ$696,報告入力!$A$7:$A$696,$S$717,報告入力!$B$7:$B$696,$A748)</f>
        <v>8400</v>
      </c>
      <c r="D748" s="203" t="n">
        <f aca="false">SUMIFS(報告入力!$BA$7:$BA$696,報告入力!$A$7:$A$696,$S$717,報告入力!$B$7:$B$696,$A748)</f>
        <v>102480</v>
      </c>
      <c r="E748" s="207" t="n">
        <f aca="false">SUMIFS(報告入力!$BB$7:$BB$696,報告入力!$A$7:$A$696,$S$717,報告入力!$B$7:$B$696,$A748)</f>
        <v>8400</v>
      </c>
      <c r="F748" s="237" t="n">
        <f aca="false">SUMIFS(報告入力!$BC$7:$BC$696,報告入力!$A$7:$A$696,$S$717,報告入力!$B$7:$B$696,$A748)</f>
        <v>105</v>
      </c>
      <c r="G748" s="206" t="n">
        <f aca="false">SUM(B748:F748)</f>
        <v>221865</v>
      </c>
      <c r="H748" s="207" t="n">
        <f aca="false">SUMIFS(報告入力!$BD$7:$BD$696,報告入力!$A$7:$A$696,$S$717,報告入力!$B$7:$B$696,$A748)</f>
        <v>61610</v>
      </c>
      <c r="I748" s="208" t="n">
        <f aca="false">SUMIFS(報告入力!$BE$7:$BE$696,報告入力!$A$7:$A$696,$S$717,報告入力!$B$7:$B$696,$A748)</f>
        <v>61723</v>
      </c>
      <c r="J748" s="160" t="n">
        <f aca="false">SUM(H748:I748)</f>
        <v>123333</v>
      </c>
      <c r="K748" s="207" t="n">
        <f aca="false">SUMIFS(報告入力!$BF$7:$BF$696,報告入力!$A$7:$A$696,$S$717,報告入力!$B$7:$B$696,$A748)</f>
        <v>4661</v>
      </c>
      <c r="L748" s="208" t="n">
        <f aca="false">SUMIFS(報告入力!$BG$7:$BG$696,報告入力!$A$7:$A$696,$S$717,報告入力!$B$7:$B$696,$A748)</f>
        <v>4661</v>
      </c>
      <c r="M748" s="160" t="n">
        <f aca="false">SUM(K748:L748)</f>
        <v>9322</v>
      </c>
      <c r="N748" s="207" t="n">
        <f aca="false">SUMIFS(報告入力!$BH$7:$BH$696,報告入力!$A$7:$A$696,$S$717,報告入力!$B$7:$B$696,$A748)</f>
        <v>1</v>
      </c>
      <c r="O748" s="208" t="n">
        <f aca="false">SUMIFS(報告入力!$BI$7:$BI$696,報告入力!$A$7:$A$696,$S$717,報告入力!$B$7:$B$696,$A748)</f>
        <v>1</v>
      </c>
      <c r="P748" s="160" t="n">
        <f aca="false">SUM(N748:O748)</f>
        <v>2</v>
      </c>
      <c r="Q748" s="135" t="str">
        <f aca="false">IF(P683=P748,"〇","×")</f>
        <v>〇</v>
      </c>
      <c r="R748" s="135" t="str">
        <f aca="false">IFERROR(INDEX(報告入力!$C$7:$C$696,MATCH($S$717&amp;"|"&amp;$A748,報告入力!$CM$7:$CM$696,0)),"")</f>
        <v>未受領</v>
      </c>
    </row>
    <row r="749" s="135" customFormat="true" ht="20.1" hidden="false" customHeight="true" outlineLevel="0" collapsed="false">
      <c r="A749" s="125" t="s">
        <v>192</v>
      </c>
      <c r="B749" s="240" t="n">
        <f aca="false">SUMIFS(報告入力!$AY$7:$AY$696,報告入力!$A$7:$A$696,$S$717,報告入力!$B$7:$B$696,$A749)</f>
        <v>923235</v>
      </c>
      <c r="C749" s="393" t="n">
        <f aca="false">SUMIFS(報告入力!$AZ$7:$AZ$696,報告入力!$A$7:$A$696,$S$717,報告入力!$B$7:$B$696,$A749)</f>
        <v>75675</v>
      </c>
      <c r="D749" s="240" t="n">
        <f aca="false">SUMIFS(報告入力!$BA$7:$BA$696,報告入力!$A$7:$A$696,$S$717,報告入力!$B$7:$B$696,$A749)</f>
        <v>923235</v>
      </c>
      <c r="E749" s="238" t="n">
        <f aca="false">SUMIFS(報告入力!$BB$7:$BB$696,報告入力!$A$7:$A$696,$S$717,報告入力!$B$7:$B$696,$A749)</f>
        <v>75675</v>
      </c>
      <c r="F749" s="393" t="n">
        <f aca="false">SUMIFS(報告入力!$BC$7:$BC$696,報告入力!$A$7:$A$696,$S$717,報告入力!$B$7:$B$696,$A749)</f>
        <v>947</v>
      </c>
      <c r="G749" s="206" t="n">
        <f aca="false">SUM(B749:F749)</f>
        <v>1998767</v>
      </c>
      <c r="H749" s="207" t="n">
        <f aca="false">SUMIFS(報告入力!$BD$7:$BD$696,報告入力!$A$7:$A$696,$S$717,報告入力!$B$7:$B$696,$A749)</f>
        <v>556693</v>
      </c>
      <c r="I749" s="208" t="n">
        <f aca="false">SUMIFS(報告入力!$BE$7:$BE$696,報告入力!$A$7:$A$696,$S$717,報告入力!$B$7:$B$696,$A749)</f>
        <v>557713</v>
      </c>
      <c r="J749" s="160" t="n">
        <f aca="false">SUM(H749:I749)</f>
        <v>1114406</v>
      </c>
      <c r="K749" s="207" t="n">
        <f aca="false">SUMIFS(報告入力!$BF$7:$BF$696,報告入力!$A$7:$A$696,$S$717,報告入力!$B$7:$B$696,$A749)</f>
        <v>50797</v>
      </c>
      <c r="L749" s="208" t="n">
        <f aca="false">SUMIFS(報告入力!$BG$7:$BG$696,報告入力!$A$7:$A$696,$S$717,報告入力!$B$7:$B$696,$A749)</f>
        <v>50797</v>
      </c>
      <c r="M749" s="160" t="n">
        <f aca="false">SUM(K749:L749)</f>
        <v>101594</v>
      </c>
      <c r="N749" s="207" t="n">
        <f aca="false">SUMIFS(報告入力!$BH$7:$BH$696,報告入力!$A$7:$A$696,$S$717,報告入力!$B$7:$B$696,$A749)</f>
        <v>1</v>
      </c>
      <c r="O749" s="208" t="n">
        <f aca="false">SUMIFS(報告入力!$BI$7:$BI$696,報告入力!$A$7:$A$696,$S$717,報告入力!$B$7:$B$696,$A749)</f>
        <v>1</v>
      </c>
      <c r="P749" s="160" t="n">
        <f aca="false">SUM(N749:O749)</f>
        <v>2</v>
      </c>
      <c r="Q749" s="135" t="str">
        <f aca="false">IF(P684=P749,"〇","×")</f>
        <v>〇</v>
      </c>
      <c r="R749" s="135" t="str">
        <f aca="false">IFERROR(INDEX(報告入力!$C$7:$C$696,MATCH($S$717&amp;"|"&amp;$A749,報告入力!$CM$7:$CM$696,0)),"")</f>
        <v>未受領</v>
      </c>
    </row>
    <row r="750" s="135" customFormat="true" ht="20.1" hidden="false" customHeight="true" outlineLevel="0" collapsed="false">
      <c r="A750" s="125" t="s">
        <v>193</v>
      </c>
      <c r="B750" s="226"/>
      <c r="C750" s="216"/>
      <c r="D750" s="240" t="n">
        <f aca="false">SUMIFS(報告入力!$BA$7:$BA$696,報告入力!$A$7:$A$696,$S$717,報告入力!$B$7:$B$696,$A750)</f>
        <v>571875</v>
      </c>
      <c r="E750" s="394" t="n">
        <f aca="false">SUMIFS(報告入力!$BB$7:$BB$696,報告入力!$A$7:$A$696,$S$717,報告入力!$B$7:$B$696,$A750)</f>
        <v>46875</v>
      </c>
      <c r="F750" s="393" t="n">
        <f aca="false">SUMIFS(報告入力!$BC$7:$BC$696,報告入力!$A$7:$A$696,$S$717,報告入力!$B$7:$B$696,$A750)</f>
        <v>613</v>
      </c>
      <c r="G750" s="206" t="n">
        <f aca="false">SUM(B750:F750)</f>
        <v>619363</v>
      </c>
      <c r="H750" s="227"/>
      <c r="I750" s="395" t="n">
        <f aca="false">SUMIFS(報告入力!$BE$7:$BE$696,報告入力!$A$7:$A$696,$S$717,報告入力!$B$7:$B$696,$A750)</f>
        <v>344467</v>
      </c>
      <c r="J750" s="160" t="n">
        <f aca="false">SUM(H750:I750)</f>
        <v>344467</v>
      </c>
      <c r="K750" s="227"/>
      <c r="L750" s="395" t="n">
        <f aca="false">SUMIFS(報告入力!$BG$7:$BG$696,報告入力!$A$7:$A$696,$S$717,報告入力!$B$7:$B$696,$A750)</f>
        <v>27255</v>
      </c>
      <c r="M750" s="160" t="n">
        <f aca="false">SUM(K750:L750)</f>
        <v>27255</v>
      </c>
      <c r="N750" s="227"/>
      <c r="O750" s="395" t="n">
        <f aca="false">SUMIFS(報告入力!$BI$7:$BI$696,報告入力!$A$7:$A$696,$S$717,報告入力!$B$7:$B$696,$A750)</f>
        <v>1</v>
      </c>
      <c r="P750" s="160" t="n">
        <f aca="false">SUM(N750:O750)</f>
        <v>1</v>
      </c>
      <c r="Q750" s="135" t="str">
        <f aca="false">IF(P685=P750,"〇","×")</f>
        <v>〇</v>
      </c>
      <c r="R750" s="135" t="str">
        <f aca="false">IFERROR(INDEX(報告入力!$C$7:$C$696,MATCH($S$717&amp;"|"&amp;$A750,報告入力!$CM$7:$CM$696,0)),"")</f>
        <v>未受領</v>
      </c>
    </row>
    <row r="751" s="135" customFormat="true" ht="20.1" hidden="false" customHeight="true" outlineLevel="0" collapsed="false">
      <c r="A751" s="228" t="s">
        <v>194</v>
      </c>
      <c r="B751" s="211"/>
      <c r="C751" s="218"/>
      <c r="D751" s="203" t="n">
        <f aca="false">SUMIFS(報告入力!$BA$7:$BA$696,報告入力!$A$7:$A$696,$S$717,報告入力!$B$7:$B$696,$A751)</f>
        <v>1160220</v>
      </c>
      <c r="E751" s="207" t="n">
        <f aca="false">SUMIFS(報告入力!$BB$7:$BB$696,報告入力!$A$7:$A$696,$S$717,報告入力!$B$7:$B$696,$A751)</f>
        <v>95100</v>
      </c>
      <c r="F751" s="393" t="n">
        <f aca="false">SUMIFS(報告入力!$BC$7:$BC$696,報告入力!$A$7:$A$696,$S$717,報告入力!$B$7:$B$696,$A751)</f>
        <v>1185</v>
      </c>
      <c r="G751" s="206" t="n">
        <f aca="false">SUM(B751:F751)</f>
        <v>1256505</v>
      </c>
      <c r="H751" s="213"/>
      <c r="I751" s="395" t="n">
        <f aca="false">SUMIFS(報告入力!$BE$7:$BE$696,報告入力!$A$7:$A$696,$S$717,報告入力!$B$7:$B$696,$A751)</f>
        <v>698790</v>
      </c>
      <c r="J751" s="160" t="n">
        <f aca="false">SUM(H751:I751)</f>
        <v>698790</v>
      </c>
      <c r="K751" s="213"/>
      <c r="L751" s="395" t="n">
        <f aca="false">SUMIFS(報告入力!$BG$7:$BG$696,報告入力!$A$7:$A$696,$S$717,報告入力!$B$7:$B$696,$A751)</f>
        <v>94721</v>
      </c>
      <c r="M751" s="160" t="n">
        <f aca="false">SUM(K751:L751)</f>
        <v>94721</v>
      </c>
      <c r="N751" s="213"/>
      <c r="O751" s="395" t="n">
        <f aca="false">SUMIFS(報告入力!$BI$7:$BI$696,報告入力!$A$7:$A$696,$S$717,報告入力!$B$7:$B$696,$A751)</f>
        <v>1</v>
      </c>
      <c r="P751" s="160" t="n">
        <f aca="false">SUM(N751:O751)</f>
        <v>1</v>
      </c>
      <c r="Q751" s="135" t="str">
        <f aca="false">IF(P686=P751,"〇","×")</f>
        <v>〇</v>
      </c>
      <c r="R751" s="135" t="str">
        <f aca="false">IFERROR(INDEX(報告入力!$C$7:$C$696,MATCH($S$717&amp;"|"&amp;$A751,報告入力!$CM$7:$CM$696,0)),"")</f>
        <v>未受領</v>
      </c>
    </row>
    <row r="752" s="135" customFormat="true" ht="20.1" hidden="false" customHeight="true" outlineLevel="0" collapsed="false">
      <c r="A752" s="229" t="s">
        <v>195</v>
      </c>
      <c r="B752" s="211"/>
      <c r="C752" s="218"/>
      <c r="D752" s="203" t="n">
        <f aca="false">SUMIFS(報告入力!$BA$7:$BA$696,報告入力!$A$7:$A$696,$S$717,報告入力!$B$7:$B$696,$A752)</f>
        <v>0</v>
      </c>
      <c r="E752" s="207" t="n">
        <f aca="false">SUMIFS(報告入力!$BB$7:$BB$696,報告入力!$A$7:$A$696,$S$717,報告入力!$B$7:$B$696,$A752)</f>
        <v>0</v>
      </c>
      <c r="F752" s="393" t="n">
        <f aca="false">SUMIFS(報告入力!$BC$7:$BC$696,報告入力!$A$7:$A$696,$S$717,報告入力!$B$7:$B$696,$A752)</f>
        <v>0</v>
      </c>
      <c r="G752" s="206" t="n">
        <f aca="false">SUM(B752:F752)</f>
        <v>0</v>
      </c>
      <c r="H752" s="213"/>
      <c r="I752" s="395" t="n">
        <f aca="false">SUMIFS(報告入力!$BE$7:$BE$696,報告入力!$A$7:$A$696,$S$717,報告入力!$B$7:$B$696,$A752)</f>
        <v>0</v>
      </c>
      <c r="J752" s="160" t="n">
        <f aca="false">SUM(H752:I752)</f>
        <v>0</v>
      </c>
      <c r="K752" s="213"/>
      <c r="L752" s="395" t="n">
        <f aca="false">SUMIFS(報告入力!$BG$7:$BG$696,報告入力!$A$7:$A$696,$S$717,報告入力!$B$7:$B$696,$A752)</f>
        <v>0</v>
      </c>
      <c r="M752" s="160" t="n">
        <f aca="false">SUM(K752:L752)</f>
        <v>0</v>
      </c>
      <c r="N752" s="213"/>
      <c r="O752" s="395" t="n">
        <f aca="false">SUMIFS(報告入力!$BI$7:$BI$696,報告入力!$A$7:$A$696,$S$717,報告入力!$B$7:$B$696,$A752)</f>
        <v>0</v>
      </c>
      <c r="P752" s="160" t="n">
        <f aca="false">SUM(N752:O752)</f>
        <v>0</v>
      </c>
      <c r="Q752" s="135" t="str">
        <f aca="false">IF(P687=P752,"〇","×")</f>
        <v>〇</v>
      </c>
      <c r="R752" s="135" t="str">
        <f aca="false">IFERROR(INDEX(報告入力!$C$7:$C$696,MATCH($S$717&amp;"|"&amp;$A752,報告入力!$CM$7:$CM$696,0)),"")</f>
        <v>未受領</v>
      </c>
    </row>
    <row r="753" s="135" customFormat="true" ht="20.1" hidden="false" customHeight="true" outlineLevel="0" collapsed="false">
      <c r="A753" s="125" t="s">
        <v>196</v>
      </c>
      <c r="B753" s="211"/>
      <c r="C753" s="218"/>
      <c r="D753" s="203" t="n">
        <f aca="false">SUMIFS(報告入力!$BA$7:$BA$696,報告入力!$A$7:$A$696,$S$717,報告入力!$B$7:$B$696,$A753)</f>
        <v>402600</v>
      </c>
      <c r="E753" s="207" t="n">
        <f aca="false">SUMIFS(報告入力!$BB$7:$BB$696,報告入力!$A$7:$A$696,$S$717,報告入力!$B$7:$B$696,$A753)</f>
        <v>33000</v>
      </c>
      <c r="F753" s="393" t="n">
        <f aca="false">SUMIFS(報告入力!$BC$7:$BC$696,報告入力!$A$7:$A$696,$S$717,報告入力!$B$7:$B$696,$A753)</f>
        <v>412</v>
      </c>
      <c r="G753" s="206" t="n">
        <f aca="false">SUM(B753:F753)</f>
        <v>436012</v>
      </c>
      <c r="H753" s="213"/>
      <c r="I753" s="395" t="n">
        <f aca="false">SUMIFS(報告入力!$BE$7:$BE$696,報告入力!$A$7:$A$696,$S$717,報告入力!$B$7:$B$696,$A753)</f>
        <v>242482</v>
      </c>
      <c r="J753" s="160" t="n">
        <f aca="false">SUM(H753:I753)</f>
        <v>242482</v>
      </c>
      <c r="K753" s="213"/>
      <c r="L753" s="395" t="n">
        <f aca="false">SUMIFS(報告入力!$BG$7:$BG$696,報告入力!$A$7:$A$696,$S$717,報告入力!$B$7:$B$696,$A753)</f>
        <v>34760</v>
      </c>
      <c r="M753" s="160" t="n">
        <f aca="false">SUM(K753:L753)</f>
        <v>34760</v>
      </c>
      <c r="N753" s="213"/>
      <c r="O753" s="395" t="n">
        <f aca="false">SUMIFS(報告入力!$BI$7:$BI$696,報告入力!$A$7:$A$696,$S$717,報告入力!$B$7:$B$696,$A753)</f>
        <v>1</v>
      </c>
      <c r="P753" s="160" t="n">
        <f aca="false">SUM(N753:O753)</f>
        <v>1</v>
      </c>
      <c r="Q753" s="135" t="str">
        <f aca="false">IF(P688=P753,"〇","×")</f>
        <v>〇</v>
      </c>
      <c r="R753" s="135" t="str">
        <f aca="false">IFERROR(INDEX(報告入力!$C$7:$C$696,MATCH($S$717&amp;"|"&amp;$A753,報告入力!$CM$7:$CM$696,0)),"")</f>
        <v>未受領</v>
      </c>
    </row>
    <row r="754" s="135" customFormat="true" ht="20.1" hidden="false" customHeight="true" outlineLevel="0" collapsed="false">
      <c r="A754" s="146" t="s">
        <v>197</v>
      </c>
      <c r="B754" s="203" t="n">
        <f aca="false">SUMIFS(報告入力!$AY$7:$AY$696,報告入力!$A$7:$A$696,$S$717,報告入力!$B$7:$B$696,$A754)</f>
        <v>137250</v>
      </c>
      <c r="C754" s="237" t="n">
        <f aca="false">SUMIFS(報告入力!$AZ$7:$AZ$696,報告入力!$A$7:$A$696,$S$717,報告入力!$B$7:$B$696,$A754)</f>
        <v>11250</v>
      </c>
      <c r="D754" s="203" t="n">
        <f aca="false">SUMIFS(報告入力!$BA$7:$BA$696,報告入力!$A$7:$A$696,$S$717,報告入力!$B$7:$B$696,$A754)</f>
        <v>137250</v>
      </c>
      <c r="E754" s="207" t="n">
        <f aca="false">SUMIFS(報告入力!$BB$7:$BB$696,報告入力!$A$7:$A$696,$S$717,報告入力!$B$7:$B$696,$A754)</f>
        <v>11250</v>
      </c>
      <c r="F754" s="393" t="n">
        <f aca="false">SUMIFS(報告入力!$BC$7:$BC$696,報告入力!$A$7:$A$696,$S$717,報告入力!$B$7:$B$696,$A754)</f>
        <v>140</v>
      </c>
      <c r="G754" s="206" t="n">
        <f aca="false">SUM(B754:F754)</f>
        <v>297140</v>
      </c>
      <c r="H754" s="207" t="n">
        <f aca="false">SUMIFS(報告入力!$BD$7:$BD$696,報告入力!$A$7:$A$696,$S$717,報告入力!$B$7:$B$696,$A754)</f>
        <v>82514</v>
      </c>
      <c r="I754" s="208" t="n">
        <f aca="false">SUMIFS(報告入力!$BE$7:$BE$696,報告入力!$A$7:$A$696,$S$717,報告入力!$B$7:$B$696,$A754)</f>
        <v>82665</v>
      </c>
      <c r="J754" s="160" t="n">
        <f aca="false">SUM(H754:I754)</f>
        <v>165179</v>
      </c>
      <c r="K754" s="207" t="n">
        <f aca="false">SUMIFS(報告入力!$BF$7:$BF$696,報告入力!$A$7:$A$696,$S$717,報告入力!$B$7:$B$696,$A754)</f>
        <v>8611</v>
      </c>
      <c r="L754" s="208" t="n">
        <f aca="false">SUMIFS(報告入力!$BG$7:$BG$696,報告入力!$A$7:$A$696,$S$717,報告入力!$B$7:$B$696,$A754)</f>
        <v>8611</v>
      </c>
      <c r="M754" s="160" t="n">
        <f aca="false">SUM(K754:L754)</f>
        <v>17222</v>
      </c>
      <c r="N754" s="207" t="n">
        <f aca="false">SUMIFS(報告入力!$BH$7:$BH$696,報告入力!$A$7:$A$696,$S$717,報告入力!$B$7:$B$696,$A754)</f>
        <v>1</v>
      </c>
      <c r="O754" s="208" t="n">
        <f aca="false">SUMIFS(報告入力!$BI$7:$BI$696,報告入力!$A$7:$A$696,$S$717,報告入力!$B$7:$B$696,$A754)</f>
        <v>1</v>
      </c>
      <c r="P754" s="160" t="n">
        <f aca="false">SUM(N754:O754)</f>
        <v>2</v>
      </c>
      <c r="Q754" s="135" t="str">
        <f aca="false">IF(P689=P754,"〇","×")</f>
        <v>〇</v>
      </c>
      <c r="R754" s="135" t="str">
        <f aca="false">IFERROR(INDEX(報告入力!$C$7:$C$696,MATCH($S$717&amp;"|"&amp;$A754,報告入力!$CM$7:$CM$696,0)),"")</f>
        <v>未受領</v>
      </c>
    </row>
    <row r="755" s="135" customFormat="true" ht="20.1" hidden="false" customHeight="true" outlineLevel="0" collapsed="false">
      <c r="A755" s="231" t="s">
        <v>219</v>
      </c>
      <c r="B755" s="226"/>
      <c r="C755" s="216"/>
      <c r="D755" s="240" t="n">
        <f aca="false">SUMIFS(報告入力!$BA$7:$BA$696,報告入力!$A$7:$A$696,$S$717,報告入力!$B$7:$B$696,$A755)</f>
        <v>477630</v>
      </c>
      <c r="E755" s="394" t="n">
        <f aca="false">SUMIFS(報告入力!$BB$7:$BB$696,報告入力!$A$7:$A$696,$S$717,報告入力!$B$7:$B$696,$A755)</f>
        <v>39150</v>
      </c>
      <c r="F755" s="393" t="n">
        <f aca="false">SUMIFS(報告入力!$BC$7:$BC$696,報告入力!$A$7:$A$696,$S$717,報告入力!$B$7:$B$696,$A755)</f>
        <v>490</v>
      </c>
      <c r="G755" s="206" t="n">
        <f aca="false">SUM(B755:F755)</f>
        <v>517270</v>
      </c>
      <c r="H755" s="227"/>
      <c r="I755" s="395" t="n">
        <f aca="false">SUMIFS(報告入力!$BE$7:$BE$696,報告入力!$A$7:$A$696,$S$717,報告入力!$B$7:$B$696,$A755)</f>
        <v>293185</v>
      </c>
      <c r="J755" s="160" t="n">
        <f aca="false">SUM(H755:I755)</f>
        <v>293185</v>
      </c>
      <c r="K755" s="227"/>
      <c r="L755" s="395" t="n">
        <f aca="false">SUMIFS(報告入力!$BG$7:$BG$696,報告入力!$A$7:$A$696,$S$717,報告入力!$B$7:$B$696,$A755)</f>
        <v>25517</v>
      </c>
      <c r="M755" s="160" t="n">
        <f aca="false">SUM(K755:L755)</f>
        <v>25517</v>
      </c>
      <c r="N755" s="227"/>
      <c r="O755" s="395" t="n">
        <f aca="false">SUMIFS(報告入力!$BI$7:$BI$696,報告入力!$A$7:$A$696,$S$717,報告入力!$B$7:$B$696,$A755)</f>
        <v>1</v>
      </c>
      <c r="P755" s="160" t="n">
        <f aca="false">SUM(N755:O755)</f>
        <v>1</v>
      </c>
      <c r="Q755" s="135" t="str">
        <f aca="false">IF(P690=P755,"〇","×")</f>
        <v>〇</v>
      </c>
      <c r="R755" s="135" t="str">
        <f aca="false">IFERROR(INDEX(報告入力!$C$7:$C$696,MATCH($S$717&amp;"|"&amp;$A755,報告入力!$CM$7:$CM$696,0)),"")</f>
        <v>未受領</v>
      </c>
    </row>
    <row r="756" s="135" customFormat="true" ht="20.1" hidden="false" customHeight="true" outlineLevel="0" collapsed="false">
      <c r="A756" s="214" t="s">
        <v>199</v>
      </c>
      <c r="B756" s="240" t="n">
        <f aca="false">SUMIFS(報告入力!$AY$7:$AY$696,報告入力!$A$7:$A$696,$S$717,報告入力!$B$7:$B$696,$A756)</f>
        <v>56730</v>
      </c>
      <c r="C756" s="393" t="n">
        <f aca="false">SUMIFS(報告入力!$AZ$7:$AZ$696,報告入力!$A$7:$A$696,$S$717,報告入力!$B$7:$B$696,$A756)</f>
        <v>4650</v>
      </c>
      <c r="D756" s="240" t="n">
        <f aca="false">SUMIFS(報告入力!$BA$7:$BA$696,報告入力!$A$7:$A$696,$S$717,報告入力!$B$7:$B$696,$A756)</f>
        <v>56730</v>
      </c>
      <c r="E756" s="238" t="n">
        <f aca="false">SUMIFS(報告入力!$BB$7:$BB$696,報告入力!$A$7:$A$696,$S$717,報告入力!$B$7:$B$696,$A756)</f>
        <v>4650</v>
      </c>
      <c r="F756" s="393" t="n">
        <f aca="false">SUMIFS(報告入力!$BC$7:$BC$696,報告入力!$A$7:$A$696,$S$717,報告入力!$B$7:$B$696,$A756)</f>
        <v>58</v>
      </c>
      <c r="G756" s="206" t="n">
        <f aca="false">SUM(B756:F756)</f>
        <v>122818</v>
      </c>
      <c r="H756" s="207" t="n">
        <f aca="false">SUMIFS(報告入力!$BD$7:$BD$696,報告入力!$A$7:$A$696,$S$717,報告入力!$B$7:$B$696,$A756)</f>
        <v>34106</v>
      </c>
      <c r="I756" s="208" t="n">
        <f aca="false">SUMIFS(報告入力!$BE$7:$BE$696,報告入力!$A$7:$A$696,$S$717,報告入力!$B$7:$B$696,$A756)</f>
        <v>34168</v>
      </c>
      <c r="J756" s="160" t="n">
        <f aca="false">SUM(H756:I756)</f>
        <v>68274</v>
      </c>
      <c r="K756" s="207" t="n">
        <f aca="false">SUMIFS(報告入力!$BF$7:$BF$696,報告入力!$A$7:$A$696,$S$717,報告入力!$B$7:$B$696,$A756)</f>
        <v>4898</v>
      </c>
      <c r="L756" s="208" t="n">
        <f aca="false">SUMIFS(報告入力!$BG$7:$BG$696,報告入力!$A$7:$A$696,$S$717,報告入力!$B$7:$B$696,$A756)</f>
        <v>4898</v>
      </c>
      <c r="M756" s="160" t="n">
        <f aca="false">SUM(K756:L756)</f>
        <v>9796</v>
      </c>
      <c r="N756" s="207" t="n">
        <f aca="false">SUMIFS(報告入力!$BH$7:$BH$696,報告入力!$A$7:$A$696,$S$717,報告入力!$B$7:$B$696,$A756)</f>
        <v>1</v>
      </c>
      <c r="O756" s="208" t="n">
        <f aca="false">SUMIFS(報告入力!$BI$7:$BI$696,報告入力!$A$7:$A$696,$S$717,報告入力!$B$7:$B$696,$A756)</f>
        <v>1</v>
      </c>
      <c r="P756" s="160" t="n">
        <f aca="false">SUM(N756:O756)</f>
        <v>2</v>
      </c>
      <c r="Q756" s="135" t="str">
        <f aca="false">IF(P691=P756,"〇","×")</f>
        <v>〇</v>
      </c>
      <c r="R756" s="135" t="str">
        <f aca="false">IFERROR(INDEX(報告入力!$C$7:$C$696,MATCH($S$717&amp;"|"&amp;$A756,報告入力!$CM$7:$CM$696,0)),"")</f>
        <v>未受領</v>
      </c>
    </row>
    <row r="757" s="135" customFormat="true" ht="20.1" hidden="false" customHeight="true" outlineLevel="0" collapsed="false">
      <c r="A757" s="214" t="s">
        <v>200</v>
      </c>
      <c r="B757" s="240" t="n">
        <f aca="false">SUMIFS(報告入力!$AY$7:$AY$696,報告入力!$A$7:$A$696,$S$717,報告入力!$B$7:$B$696,$A757)</f>
        <v>59475</v>
      </c>
      <c r="C757" s="393" t="n">
        <f aca="false">SUMIFS(報告入力!$AZ$7:$AZ$696,報告入力!$A$7:$A$696,$S$717,報告入力!$B$7:$B$696,$A757)</f>
        <v>4875</v>
      </c>
      <c r="D757" s="240" t="n">
        <f aca="false">SUMIFS(報告入力!$BA$7:$BA$696,報告入力!$A$7:$A$696,$S$717,報告入力!$B$7:$B$696,$A757)</f>
        <v>59475</v>
      </c>
      <c r="E757" s="238" t="n">
        <f aca="false">SUMIFS(報告入力!$BB$7:$BB$696,報告入力!$A$7:$A$696,$S$717,報告入力!$B$7:$B$696,$A757)</f>
        <v>4875</v>
      </c>
      <c r="F757" s="393" t="n">
        <f aca="false">SUMIFS(報告入力!$BC$7:$BC$696,報告入力!$A$7:$A$696,$S$717,報告入力!$B$7:$B$696,$A757)</f>
        <v>61</v>
      </c>
      <c r="G757" s="206" t="n">
        <f aca="false">SUM(B757:F757)</f>
        <v>128761</v>
      </c>
      <c r="H757" s="207" t="n">
        <f aca="false">SUMIFS(報告入力!$BD$7:$BD$696,報告入力!$A$7:$A$696,$S$717,報告入力!$B$7:$B$696,$A757)</f>
        <v>41257</v>
      </c>
      <c r="I757" s="208" t="n">
        <f aca="false">SUMIFS(報告入力!$BE$7:$BE$696,報告入力!$A$7:$A$696,$S$717,報告入力!$B$7:$B$696,$A757)</f>
        <v>41332</v>
      </c>
      <c r="J757" s="160" t="n">
        <f aca="false">SUM(H757:I757)</f>
        <v>82589</v>
      </c>
      <c r="K757" s="207" t="n">
        <f aca="false">SUMIFS(報告入力!$BF$7:$BF$696,報告入力!$A$7:$A$696,$S$717,報告入力!$B$7:$B$696,$A757)</f>
        <v>5925</v>
      </c>
      <c r="L757" s="208" t="n">
        <f aca="false">SUMIFS(報告入力!$BG$7:$BG$696,報告入力!$A$7:$A$696,$S$717,報告入力!$B$7:$B$696,$A757)</f>
        <v>5925</v>
      </c>
      <c r="M757" s="160" t="n">
        <f aca="false">SUM(K757:L757)</f>
        <v>11850</v>
      </c>
      <c r="N757" s="207" t="n">
        <f aca="false">SUMIFS(報告入力!$BH$7:$BH$696,報告入力!$A$7:$A$696,$S$717,報告入力!$B$7:$B$696,$A757)</f>
        <v>1</v>
      </c>
      <c r="O757" s="208" t="n">
        <f aca="false">SUMIFS(報告入力!$BI$7:$BI$696,報告入力!$A$7:$A$696,$S$717,報告入力!$B$7:$B$696,$A757)</f>
        <v>1</v>
      </c>
      <c r="P757" s="160" t="n">
        <f aca="false">SUM(N757:O757)</f>
        <v>2</v>
      </c>
      <c r="Q757" s="135" t="str">
        <f aca="false">IF(P692=P757,"〇","×")</f>
        <v>〇</v>
      </c>
      <c r="R757" s="135" t="str">
        <f aca="false">IFERROR(INDEX(報告入力!$C$7:$C$696,MATCH($S$717&amp;"|"&amp;$A757,報告入力!$CM$7:$CM$696,0)),"")</f>
        <v>未受領</v>
      </c>
    </row>
    <row r="758" s="135" customFormat="true" ht="20.1" hidden="false" customHeight="true" outlineLevel="0" collapsed="false">
      <c r="A758" s="214" t="s">
        <v>201</v>
      </c>
      <c r="B758" s="203" t="n">
        <f aca="false">SUMIFS(報告入力!$AY$7:$AY$696,報告入力!$A$7:$A$696,$S$717,報告入力!$B$7:$B$696,$A758)</f>
        <v>53985</v>
      </c>
      <c r="C758" s="237" t="n">
        <f aca="false">SUMIFS(報告入力!$AZ$7:$AZ$696,報告入力!$A$7:$A$696,$S$717,報告入力!$B$7:$B$696,$A758)</f>
        <v>4425</v>
      </c>
      <c r="D758" s="203" t="n">
        <f aca="false">SUMIFS(報告入力!$BA$7:$BA$696,報告入力!$A$7:$A$696,$S$717,報告入力!$B$7:$B$696,$A758)</f>
        <v>53985</v>
      </c>
      <c r="E758" s="207" t="n">
        <f aca="false">SUMIFS(報告入力!$BB$7:$BB$696,報告入力!$A$7:$A$696,$S$717,報告入力!$B$7:$B$696,$A758)</f>
        <v>4425</v>
      </c>
      <c r="F758" s="237" t="n">
        <f aca="false">SUMIFS(報告入力!$BC$7:$BC$696,報告入力!$A$7:$A$696,$S$717,報告入力!$B$7:$B$696,$A758)</f>
        <v>55</v>
      </c>
      <c r="G758" s="206" t="n">
        <f aca="false">SUM(B758:F758)</f>
        <v>116875</v>
      </c>
      <c r="H758" s="207" t="n">
        <f aca="false">SUMIFS(報告入力!$BD$7:$BD$696,報告入力!$A$7:$A$696,$S$717,報告入力!$B$7:$B$696,$A758)</f>
        <v>32455</v>
      </c>
      <c r="I758" s="208" t="n">
        <f aca="false">SUMIFS(報告入力!$BE$7:$BE$696,報告入力!$A$7:$A$696,$S$717,報告入力!$B$7:$B$696,$A758)</f>
        <v>32514</v>
      </c>
      <c r="J758" s="160" t="n">
        <f aca="false">SUM(H758:I758)</f>
        <v>64969</v>
      </c>
      <c r="K758" s="207" t="n">
        <f aca="false">SUMIFS(報告入力!$BF$7:$BF$696,報告入力!$A$7:$A$696,$S$717,報告入力!$B$7:$B$696,$A758)</f>
        <v>0</v>
      </c>
      <c r="L758" s="208" t="n">
        <f aca="false">SUMIFS(報告入力!$BG$7:$BG$696,報告入力!$A$7:$A$696,$S$717,報告入力!$B$7:$B$696,$A758)</f>
        <v>0</v>
      </c>
      <c r="M758" s="160" t="n">
        <f aca="false">SUM(K758:L758)</f>
        <v>0</v>
      </c>
      <c r="N758" s="207" t="n">
        <f aca="false">SUMIFS(報告入力!$BH$7:$BH$696,報告入力!$A$7:$A$696,$S$717,報告入力!$B$7:$B$696,$A758)</f>
        <v>1</v>
      </c>
      <c r="O758" s="208" t="n">
        <f aca="false">SUMIFS(報告入力!$BI$7:$BI$696,報告入力!$A$7:$A$696,$S$717,報告入力!$B$7:$B$696,$A758)</f>
        <v>1</v>
      </c>
      <c r="P758" s="160" t="n">
        <f aca="false">SUM(N758:O758)</f>
        <v>2</v>
      </c>
      <c r="Q758" s="135" t="str">
        <f aca="false">IF(P693=P758,"〇","×")</f>
        <v>〇</v>
      </c>
      <c r="R758" s="135" t="str">
        <f aca="false">IFERROR(INDEX(報告入力!$C$7:$C$696,MATCH($S$717&amp;"|"&amp;$A758,報告入力!$CM$7:$CM$696,0)),"")</f>
        <v>未受領</v>
      </c>
    </row>
    <row r="759" s="135" customFormat="true" ht="20.1" hidden="false" customHeight="true" outlineLevel="0" collapsed="false">
      <c r="A759" s="146" t="s">
        <v>202</v>
      </c>
      <c r="B759" s="203" t="n">
        <f aca="false">SUMIFS(報告入力!$AY$7:$AY$696,報告入力!$A$7:$A$696,$S$717,報告入力!$B$7:$B$696,$A759)</f>
        <v>1197735</v>
      </c>
      <c r="C759" s="237" t="n">
        <f aca="false">SUMIFS(報告入力!$AZ$7:$AZ$696,報告入力!$A$7:$A$696,$S$717,報告入力!$B$7:$B$696,$A759)</f>
        <v>98175</v>
      </c>
      <c r="D759" s="203" t="n">
        <f aca="false">SUMIFS(報告入力!$BA$7:$BA$696,報告入力!$A$7:$A$696,$S$717,報告入力!$B$7:$B$696,$A759)</f>
        <v>1197735</v>
      </c>
      <c r="E759" s="207" t="n">
        <f aca="false">SUMIFS(報告入力!$BB$7:$BB$696,報告入力!$A$7:$A$696,$S$717,報告入力!$B$7:$B$696,$A759)</f>
        <v>98175</v>
      </c>
      <c r="F759" s="237" t="n">
        <f aca="false">SUMIFS(報告入力!$BC$7:$BC$696,報告入力!$A$7:$A$696,$S$717,報告入力!$B$7:$B$696,$A759)</f>
        <v>1340</v>
      </c>
      <c r="G759" s="206" t="n">
        <f aca="false">SUM(B759:F759)</f>
        <v>2593160</v>
      </c>
      <c r="H759" s="207" t="n">
        <f aca="false">SUMIFS(報告入力!$BD$7:$BD$696,報告入力!$A$7:$A$696,$S$717,報告入力!$B$7:$B$696,$A759)</f>
        <v>720070</v>
      </c>
      <c r="I759" s="208" t="n">
        <f aca="false">SUMIFS(報告入力!$BE$7:$BE$696,報告入力!$A$7:$A$696,$S$717,報告入力!$B$7:$B$696,$A759)</f>
        <v>721509</v>
      </c>
      <c r="J759" s="160" t="n">
        <f aca="false">SUM(H759:I759)</f>
        <v>1441579</v>
      </c>
      <c r="K759" s="207" t="n">
        <f aca="false">SUMIFS(報告入力!$BF$7:$BF$696,報告入力!$A$7:$A$696,$S$717,報告入力!$B$7:$B$696,$A759)</f>
        <v>67940</v>
      </c>
      <c r="L759" s="208" t="n">
        <f aca="false">SUMIFS(報告入力!$BG$7:$BG$696,報告入力!$A$7:$A$696,$S$717,報告入力!$B$7:$B$696,$A759)</f>
        <v>67940</v>
      </c>
      <c r="M759" s="160" t="n">
        <f aca="false">SUM(K759:L759)</f>
        <v>135880</v>
      </c>
      <c r="N759" s="207" t="n">
        <f aca="false">SUMIFS(報告入力!$BH$7:$BH$696,報告入力!$A$7:$A$696,$S$717,報告入力!$B$7:$B$696,$A759)</f>
        <v>1</v>
      </c>
      <c r="O759" s="208" t="n">
        <f aca="false">SUMIFS(報告入力!$BI$7:$BI$696,報告入力!$A$7:$A$696,$S$717,報告入力!$B$7:$B$696,$A759)</f>
        <v>1</v>
      </c>
      <c r="P759" s="160" t="n">
        <f aca="false">SUM(N759:O759)</f>
        <v>2</v>
      </c>
      <c r="Q759" s="135" t="str">
        <f aca="false">IF(P694=P759,"〇","×")</f>
        <v>〇</v>
      </c>
      <c r="R759" s="135" t="str">
        <f aca="false">IFERROR(INDEX(報告入力!$C$7:$C$696,MATCH($S$717&amp;"|"&amp;$A759,報告入力!$CM$7:$CM$696,0)),"")</f>
        <v>未受領</v>
      </c>
    </row>
    <row r="760" s="135" customFormat="true" ht="20.1" hidden="false" customHeight="true" outlineLevel="0" collapsed="false">
      <c r="A760" s="146" t="s">
        <v>203</v>
      </c>
      <c r="B760" s="226"/>
      <c r="C760" s="216"/>
      <c r="D760" s="240" t="n">
        <f aca="false">SUMIFS(報告入力!$BA$7:$BA$696,報告入力!$A$7:$A$696,$S$717,報告入力!$B$7:$B$696,$A760)</f>
        <v>245220</v>
      </c>
      <c r="E760" s="238" t="n">
        <f aca="false">SUMIFS(報告入力!$BB$7:$BB$696,報告入力!$A$7:$A$696,$S$717,報告入力!$B$7:$B$696,$A760)</f>
        <v>20100</v>
      </c>
      <c r="F760" s="393" t="n">
        <f aca="false">SUMIFS(報告入力!$BC$7:$BC$696,報告入力!$A$7:$A$696,$S$717,報告入力!$B$7:$B$696,$A760)</f>
        <v>251</v>
      </c>
      <c r="G760" s="206" t="n">
        <f aca="false">SUM(B760:F760)</f>
        <v>265571</v>
      </c>
      <c r="H760" s="227"/>
      <c r="I760" s="239" t="n">
        <f aca="false">SUMIFS(報告入力!$BE$7:$BE$696,報告入力!$A$7:$A$696,$S$717,報告入力!$B$7:$B$696,$A760)</f>
        <v>151001</v>
      </c>
      <c r="J760" s="160" t="n">
        <f aca="false">SUM(H760:I760)</f>
        <v>151001</v>
      </c>
      <c r="K760" s="227"/>
      <c r="L760" s="239" t="n">
        <f aca="false">SUMIFS(報告入力!$BG$7:$BG$696,報告入力!$A$7:$A$696,$S$717,報告入力!$B$7:$B$696,$A760)</f>
        <v>10744</v>
      </c>
      <c r="M760" s="160" t="n">
        <f aca="false">SUM(K760:L760)</f>
        <v>10744</v>
      </c>
      <c r="N760" s="227"/>
      <c r="O760" s="239" t="n">
        <f aca="false">SUMIFS(報告入力!$BI$7:$BI$696,報告入力!$A$7:$A$696,$S$717,報告入力!$B$7:$B$696,$A760)</f>
        <v>1</v>
      </c>
      <c r="P760" s="160" t="n">
        <f aca="false">SUM(N760:O760)</f>
        <v>1</v>
      </c>
      <c r="Q760" s="135" t="str">
        <f aca="false">IF(P695=P760,"〇","×")</f>
        <v>〇</v>
      </c>
      <c r="R760" s="135" t="str">
        <f aca="false">IFERROR(INDEX(報告入力!$C$7:$C$696,MATCH($S$717&amp;"|"&amp;$A760,報告入力!$CM$7:$CM$696,0)),"")</f>
        <v>未受領</v>
      </c>
    </row>
    <row r="761" s="135" customFormat="true" ht="19.5" hidden="false" customHeight="true" outlineLevel="0" collapsed="false">
      <c r="A761" s="232" t="s">
        <v>204</v>
      </c>
      <c r="B761" s="240" t="n">
        <f aca="false">SUMIFS(報告入力!$AY$7:$AY$696,報告入力!$A$7:$A$696,$S$717,報告入力!$B$7:$B$696,$A761)</f>
        <v>124182702</v>
      </c>
      <c r="C761" s="393" t="n">
        <f aca="false">SUMIFS(報告入力!$AZ$7:$AZ$696,報告入力!$A$7:$A$696,$S$717,報告入力!$B$7:$B$696,$A761)</f>
        <v>10170060</v>
      </c>
      <c r="D761" s="240" t="n">
        <f aca="false">SUMIFS(報告入力!$BA$7:$BA$696,報告入力!$A$7:$A$696,$S$717,報告入力!$B$7:$B$696,$A761)</f>
        <v>183964729</v>
      </c>
      <c r="E761" s="394" t="n">
        <f aca="false">SUMIFS(報告入力!$BB$7:$BB$696,報告入力!$A$7:$A$696,$S$717,報告入力!$B$7:$B$696,$A761)</f>
        <v>10170060</v>
      </c>
      <c r="F761" s="393" t="n">
        <f aca="false">SUMIFS(報告入力!$BC$7:$BC$696,報告入力!$A$7:$A$696,$S$717,報告入力!$B$7:$B$696,$A761)</f>
        <v>135218</v>
      </c>
      <c r="G761" s="206" t="n">
        <f aca="false">SUM(B761:F761)</f>
        <v>328622769</v>
      </c>
      <c r="H761" s="238" t="n">
        <f aca="false">SUMIFS(報告入力!$BD$7:$BD$696,報告入力!$A$7:$A$696,$S$717,報告入力!$B$7:$B$696,$A761)</f>
        <v>96575695</v>
      </c>
      <c r="I761" s="395" t="n">
        <f aca="false">SUMIFS(報告入力!$BE$7:$BE$696,報告入力!$A$7:$A$696,$S$717,報告入力!$B$7:$B$696,$A761)</f>
        <v>96764159</v>
      </c>
      <c r="J761" s="160" t="n">
        <f aca="false">SUM(H761:I761)</f>
        <v>193339854</v>
      </c>
      <c r="K761" s="240" t="n">
        <f aca="false">SUMIFS(報告入力!$BF$7:$BF$696,報告入力!$A$7:$A$696,$S$717,報告入力!$B$7:$B$696,$A761)</f>
        <v>7824224</v>
      </c>
      <c r="L761" s="395" t="n">
        <f aca="false">SUMIFS(報告入力!$BG$7:$BG$696,報告入力!$A$7:$A$696,$S$717,報告入力!$B$7:$B$696,$A761)</f>
        <v>7824224</v>
      </c>
      <c r="M761" s="160" t="n">
        <f aca="false">SUM(K761:L761)</f>
        <v>15648448</v>
      </c>
      <c r="N761" s="240" t="n">
        <f aca="false">SUMIFS(報告入力!$BH$7:$BH$696,報告入力!$A$7:$A$696,$S$717,報告入力!$B$7:$B$696,$A761)</f>
        <v>1</v>
      </c>
      <c r="O761" s="395" t="n">
        <f aca="false">SUMIFS(報告入力!$BI$7:$BI$696,報告入力!$A$7:$A$696,$S$717,報告入力!$B$7:$B$696,$A761)</f>
        <v>1</v>
      </c>
      <c r="P761" s="160" t="n">
        <f aca="false">SUM(N761:O761)</f>
        <v>2</v>
      </c>
      <c r="Q761" s="135" t="str">
        <f aca="false">IF(P696=P761,"〇","×")</f>
        <v>〇</v>
      </c>
      <c r="R761" s="135" t="str">
        <f aca="false">IFERROR(INDEX(報告入力!$C$7:$C$696,MATCH($S$717&amp;"|"&amp;$A761,報告入力!$CM$7:$CM$696,0)),"")</f>
        <v>未受領</v>
      </c>
    </row>
    <row r="762" s="162" customFormat="true" ht="21.75" hidden="false" customHeight="true" outlineLevel="0" collapsed="false">
      <c r="A762" s="399" t="s">
        <v>205</v>
      </c>
      <c r="B762" s="152"/>
      <c r="C762" s="156"/>
      <c r="D762" s="152"/>
      <c r="E762" s="234"/>
      <c r="F762" s="156"/>
      <c r="G762" s="235" t="n">
        <f aca="false">SUM(B762:F762)</f>
        <v>0</v>
      </c>
      <c r="H762" s="238" t="n">
        <f aca="false">SUMIFS(報告入力!$BD$7:$BD$696,報告入力!$A$7:$A$696,$S$717,報告入力!$B$7:$B$696,$A762)</f>
        <v>108364</v>
      </c>
      <c r="I762" s="395" t="n">
        <f aca="false">SUMIFS(報告入力!$BE$7:$BE$696,報告入力!$A$7:$A$696,$S$717,報告入力!$B$7:$B$696,$A762)</f>
        <v>108566</v>
      </c>
      <c r="J762" s="160" t="n">
        <f aca="false">SUM(H762:I762)</f>
        <v>216930</v>
      </c>
      <c r="K762" s="240" t="n">
        <f aca="false">SUMIFS(報告入力!$BF$7:$BF$696,報告入力!$A$7:$A$696,$S$717,報告入力!$B$7:$B$696,$A762)</f>
        <v>12245</v>
      </c>
      <c r="L762" s="395" t="n">
        <f aca="false">SUMIFS(報告入力!$BG$7:$BG$696,報告入力!$A$7:$A$696,$S$717,報告入力!$B$7:$B$696,$A762)</f>
        <v>12245</v>
      </c>
      <c r="M762" s="160" t="n">
        <f aca="false">SUM(K762:L762)</f>
        <v>24490</v>
      </c>
      <c r="N762" s="240" t="n">
        <f aca="false">SUMIFS(報告入力!$BH$7:$BH$696,報告入力!$A$7:$A$696,$S$717,報告入力!$B$7:$B$696,$A762)</f>
        <v>1</v>
      </c>
      <c r="O762" s="395" t="n">
        <f aca="false">SUMIFS(報告入力!$BI$7:$BI$696,報告入力!$A$7:$A$696,$S$717,報告入力!$B$7:$B$696,$A762)</f>
        <v>1</v>
      </c>
      <c r="P762" s="160" t="n">
        <f aca="false">SUM(N762:O762)</f>
        <v>2</v>
      </c>
      <c r="Q762" s="162" t="str">
        <f aca="false">IF(P697=P762,"〇","×")</f>
        <v>〇</v>
      </c>
      <c r="R762" s="162" t="str">
        <f aca="false">IFERROR(INDEX(報告入力!$C$7:$C$696,MATCH($S$717&amp;"|"&amp;$A762,報告入力!$CM$7:$CM$696,0)),"")</f>
        <v>未受領</v>
      </c>
    </row>
    <row r="763" s="162" customFormat="true" ht="21.75" hidden="false" customHeight="true" outlineLevel="0" collapsed="false">
      <c r="A763" s="236" t="s">
        <v>206</v>
      </c>
      <c r="B763" s="336"/>
      <c r="C763" s="355"/>
      <c r="D763" s="336"/>
      <c r="E763" s="334"/>
      <c r="F763" s="356"/>
      <c r="G763" s="327" t="n">
        <f aca="false">SUM(B763:F763)</f>
        <v>0</v>
      </c>
      <c r="H763" s="336"/>
      <c r="I763" s="335"/>
      <c r="J763" s="330" t="n">
        <f aca="false">SUM(H763:I763)</f>
        <v>0</v>
      </c>
      <c r="K763" s="334"/>
      <c r="L763" s="335"/>
      <c r="M763" s="330" t="n">
        <f aca="false">SUM(K763:L763)</f>
        <v>0</v>
      </c>
      <c r="N763" s="334"/>
      <c r="O763" s="335"/>
      <c r="P763" s="330" t="n">
        <f aca="false">SUM(N763:O763)</f>
        <v>0</v>
      </c>
      <c r="Q763" s="162" t="str">
        <f aca="false">IF(P698=P763,"〇","×")</f>
        <v>〇</v>
      </c>
      <c r="R763" s="162" t="str">
        <f aca="false">IFERROR(INDEX(報告入力!$C$7:$C$696,MATCH($S$717&amp;"|"&amp;$A763,報告入力!$CM$7:$CM$696,0)),"")</f>
        <v>報告なし</v>
      </c>
    </row>
    <row r="764" s="162" customFormat="true" ht="21.75" hidden="false" customHeight="true" outlineLevel="0" collapsed="false">
      <c r="A764" s="236" t="s">
        <v>207</v>
      </c>
      <c r="B764" s="240" t="n">
        <f aca="false">SUMIFS(報告入力!$AY$7:$AY$696,報告入力!$A$7:$A$696,$S$717,報告入力!$B$7:$B$696,$A764)</f>
        <v>59475</v>
      </c>
      <c r="C764" s="392" t="n">
        <f aca="false">SUMIFS(報告入力!$AZ$7:$AZ$696,報告入力!$A$7:$A$696,$S$717,報告入力!$B$7:$B$696,$A764)</f>
        <v>4875</v>
      </c>
      <c r="D764" s="240" t="n">
        <f aca="false">SUMIFS(報告入力!$BA$7:$BA$696,報告入力!$A$7:$A$696,$S$717,報告入力!$B$7:$B$696,$A764)</f>
        <v>59475</v>
      </c>
      <c r="E764" s="238" t="n">
        <f aca="false">SUMIFS(報告入力!$BB$7:$BB$696,報告入力!$A$7:$A$696,$S$717,報告入力!$B$7:$B$696,$A764)</f>
        <v>4875</v>
      </c>
      <c r="F764" s="393" t="n">
        <f aca="false">SUMIFS(報告入力!$BC$7:$BC$696,報告入力!$A$7:$A$696,$S$717,報告入力!$B$7:$B$696,$A764)</f>
        <v>61</v>
      </c>
      <c r="G764" s="206" t="n">
        <f aca="false">SUM(B764:F764)</f>
        <v>128761</v>
      </c>
      <c r="H764" s="240" t="n">
        <f aca="false">SUMIFS(報告入力!$BD$7:$BD$696,報告入力!$A$7:$A$696,$S$717,報告入力!$B$7:$B$696,$A764)</f>
        <v>41257</v>
      </c>
      <c r="I764" s="239" t="n">
        <f aca="false">SUMIFS(報告入力!$BE$7:$BE$696,報告入力!$A$7:$A$696,$S$717,報告入力!$B$7:$B$696,$A764)</f>
        <v>41332</v>
      </c>
      <c r="J764" s="160" t="n">
        <f aca="false">SUM(H764:I764)</f>
        <v>82589</v>
      </c>
      <c r="K764" s="240" t="n">
        <f aca="false">SUMIFS(報告入力!$BF$7:$BF$696,報告入力!$A$7:$A$696,$S$717,報告入力!$B$7:$B$696,$A764)</f>
        <v>5925</v>
      </c>
      <c r="L764" s="238" t="n">
        <f aca="false">SUMIFS(報告入力!$BG$7:$BG$696,報告入力!$A$7:$A$696,$S$717,報告入力!$B$7:$B$696,$A764)</f>
        <v>5925</v>
      </c>
      <c r="M764" s="160" t="n">
        <f aca="false">SUM(K764:L764)</f>
        <v>11850</v>
      </c>
      <c r="N764" s="240" t="n">
        <f aca="false">SUMIFS(報告入力!$BH$7:$BH$696,報告入力!$A$7:$A$696,$S$717,報告入力!$B$7:$B$696,$A764)</f>
        <v>1</v>
      </c>
      <c r="O764" s="238" t="n">
        <f aca="false">SUMIFS(報告入力!$BI$7:$BI$696,報告入力!$A$7:$A$696,$S$717,報告入力!$B$7:$B$696,$A764)</f>
        <v>1</v>
      </c>
      <c r="P764" s="160" t="n">
        <f aca="false">SUM(N764:O764)</f>
        <v>2</v>
      </c>
      <c r="Q764" s="162" t="str">
        <f aca="false">IF(P699=P764,"〇","×")</f>
        <v>〇</v>
      </c>
      <c r="R764" s="162" t="str">
        <f aca="false">IFERROR(INDEX(報告入力!$C$7:$C$696,MATCH($S$717&amp;"|"&amp;$A764,報告入力!$CM$7:$CM$696,0)),"")</f>
        <v>未受領</v>
      </c>
    </row>
    <row r="765" s="162" customFormat="true" ht="21.75" hidden="false" customHeight="true" outlineLevel="0" collapsed="false">
      <c r="A765" s="174"/>
      <c r="B765" s="182"/>
      <c r="C765" s="181"/>
      <c r="D765" s="245"/>
      <c r="E765" s="183"/>
      <c r="F765" s="181"/>
      <c r="G765" s="246" t="n">
        <f aca="false">SUM(B765:F765)</f>
        <v>0</v>
      </c>
      <c r="H765" s="247"/>
      <c r="I765" s="183"/>
      <c r="J765" s="248" t="n">
        <f aca="false">SUM(H765:I765)</f>
        <v>0</v>
      </c>
      <c r="K765" s="245"/>
      <c r="L765" s="183"/>
      <c r="M765" s="248" t="n">
        <f aca="false">SUM(K765:L765)</f>
        <v>0</v>
      </c>
      <c r="N765" s="245"/>
      <c r="O765" s="183"/>
      <c r="P765" s="248" t="n">
        <f aca="false">SUM(N765:O765)</f>
        <v>0</v>
      </c>
      <c r="Q765" s="162" t="str">
        <f aca="false">IF(P700=P765,"〇","×")</f>
        <v>〇</v>
      </c>
    </row>
    <row r="766" s="162" customFormat="true" ht="0.2" hidden="false" customHeight="true" outlineLevel="0" collapsed="false">
      <c r="A766" s="174"/>
      <c r="B766" s="182"/>
      <c r="C766" s="181"/>
      <c r="D766" s="245"/>
      <c r="E766" s="183"/>
      <c r="F766" s="181"/>
      <c r="G766" s="246" t="n">
        <f aca="false">SUM(B766:F766)</f>
        <v>0</v>
      </c>
      <c r="H766" s="247"/>
      <c r="I766" s="183"/>
      <c r="J766" s="248" t="n">
        <f aca="false">SUM(H766:I766)</f>
        <v>0</v>
      </c>
      <c r="K766" s="245"/>
      <c r="L766" s="183"/>
      <c r="M766" s="248" t="n">
        <f aca="false">SUM(K766:L766)</f>
        <v>0</v>
      </c>
      <c r="N766" s="245"/>
      <c r="O766" s="183"/>
      <c r="P766" s="248" t="n">
        <f aca="false">SUM(N766:O766)</f>
        <v>0</v>
      </c>
      <c r="Q766" s="162" t="str">
        <f aca="false">IF(P701=P766,"〇","×")</f>
        <v>〇</v>
      </c>
    </row>
    <row r="767" s="162" customFormat="true" ht="0.2" hidden="false" customHeight="true" outlineLevel="0" collapsed="false">
      <c r="A767" s="187"/>
      <c r="B767" s="249"/>
      <c r="C767" s="250"/>
      <c r="D767" s="251"/>
      <c r="E767" s="252"/>
      <c r="F767" s="250"/>
      <c r="G767" s="253"/>
      <c r="H767" s="254"/>
      <c r="I767" s="254"/>
      <c r="J767" s="255"/>
      <c r="K767" s="256"/>
      <c r="L767" s="254"/>
      <c r="M767" s="255"/>
      <c r="N767" s="256"/>
      <c r="O767" s="254"/>
      <c r="P767" s="255"/>
      <c r="Q767" s="162" t="str">
        <f aca="false">IF(P702=P767,"〇","×")</f>
        <v>〇</v>
      </c>
    </row>
    <row r="768" s="135" customFormat="true" ht="20.1" hidden="false" customHeight="true" outlineLevel="0" collapsed="false">
      <c r="A768" s="196" t="s">
        <v>497</v>
      </c>
      <c r="B768" s="197" t="n">
        <f aca="false">SUM(B738:B767)</f>
        <v>127058547</v>
      </c>
      <c r="C768" s="200" t="n">
        <f aca="false">SUM(C738:C767)</f>
        <v>10405785</v>
      </c>
      <c r="D768" s="198" t="n">
        <f aca="false">SUM(D738:D767)</f>
        <v>192956434</v>
      </c>
      <c r="E768" s="199" t="n">
        <f aca="false">SUM(E738:E767)</f>
        <v>10907085</v>
      </c>
      <c r="F768" s="200" t="n">
        <f aca="false">SUM(F738:F767)</f>
        <v>144687</v>
      </c>
      <c r="G768" s="201" t="n">
        <f aca="false">SUM(B768:F768)</f>
        <v>341472538</v>
      </c>
      <c r="H768" s="198" t="n">
        <f aca="false">SUM(H738:H766)</f>
        <v>98425650</v>
      </c>
      <c r="I768" s="198" t="n">
        <f aca="false">SUM(I738:I766)</f>
        <v>102450602</v>
      </c>
      <c r="J768" s="200" t="n">
        <f aca="false">SUM(H768:I768)</f>
        <v>200876252</v>
      </c>
      <c r="K768" s="197" t="n">
        <f aca="false">SUM(K738:K766)</f>
        <v>7994785</v>
      </c>
      <c r="L768" s="198" t="n">
        <f aca="false">SUM(L738:L766)</f>
        <v>8438449</v>
      </c>
      <c r="M768" s="200" t="n">
        <f aca="false">SUM(K768:L768)</f>
        <v>16433234</v>
      </c>
      <c r="N768" s="197" t="n">
        <f aca="false">SUM(N738:N766)</f>
        <v>12</v>
      </c>
      <c r="O768" s="198" t="n">
        <f aca="false">SUM(O738:O766)</f>
        <v>24</v>
      </c>
      <c r="P768" s="200" t="n">
        <f aca="false">SUM(N768:O768)</f>
        <v>36</v>
      </c>
      <c r="Q768" s="135" t="str">
        <f aca="false">IF(P703=P768,"〇","×")</f>
        <v>〇</v>
      </c>
    </row>
    <row r="769" s="162" customFormat="true" ht="0.2" hidden="false" customHeight="true" outlineLevel="0" collapsed="false">
      <c r="A769" s="174" t="s">
        <v>496</v>
      </c>
      <c r="B769" s="256"/>
      <c r="C769" s="257"/>
      <c r="D769" s="254"/>
      <c r="E769" s="258"/>
      <c r="F769" s="259"/>
      <c r="G769" s="260"/>
      <c r="H769" s="261"/>
      <c r="I769" s="261"/>
      <c r="J769" s="262"/>
      <c r="K769" s="263"/>
      <c r="L769" s="264"/>
      <c r="M769" s="265"/>
      <c r="N769" s="263"/>
      <c r="O769" s="264"/>
      <c r="P769" s="265"/>
      <c r="Q769" s="162" t="str">
        <f aca="false">IF(P704=P769,"〇","×")</f>
        <v>〇</v>
      </c>
    </row>
    <row r="770" s="162" customFormat="true" ht="0.2" hidden="false" customHeight="true" outlineLevel="0" collapsed="false">
      <c r="A770" s="266" t="s">
        <v>496</v>
      </c>
      <c r="B770" s="267"/>
      <c r="C770" s="268"/>
      <c r="D770" s="254"/>
      <c r="E770" s="258"/>
      <c r="F770" s="257"/>
      <c r="G770" s="253"/>
      <c r="H770" s="269"/>
      <c r="I770" s="269"/>
      <c r="J770" s="270"/>
      <c r="K770" s="271"/>
      <c r="L770" s="272"/>
      <c r="M770" s="273"/>
      <c r="N770" s="271"/>
      <c r="O770" s="272"/>
      <c r="P770" s="273"/>
      <c r="Q770" s="162" t="str">
        <f aca="false">IF(P705=P770,"〇","×")</f>
        <v>〇</v>
      </c>
    </row>
    <row r="771" s="135" customFormat="true" ht="20.1" hidden="false" customHeight="true" outlineLevel="0" collapsed="false">
      <c r="A771" s="214" t="s">
        <v>208</v>
      </c>
      <c r="B771" s="240" t="n">
        <f aca="false">SUMIFS(報告入力!$AY$7:$AY$696,報告入力!$A$7:$A$696,$S$717,報告入力!$B$7:$B$696,$A771)</f>
        <v>145485</v>
      </c>
      <c r="C771" s="393" t="n">
        <f aca="false">SUMIFS(報告入力!$AZ$7:$AZ$696,報告入力!$A$7:$A$696,$S$717,報告入力!$B$7:$B$696,$A771)</f>
        <v>11925</v>
      </c>
      <c r="D771" s="240" t="n">
        <f aca="false">SUMIFS(報告入力!$BA$7:$BA$696,報告入力!$A$7:$A$696,$S$717,報告入力!$B$7:$B$696,$A771)</f>
        <v>145485</v>
      </c>
      <c r="E771" s="238" t="n">
        <f aca="false">SUMIFS(報告入力!$BB$7:$BB$696,報告入力!$A$7:$A$696,$S$717,報告入力!$B$7:$B$696,$A771)</f>
        <v>11925</v>
      </c>
      <c r="F771" s="393" t="n">
        <f aca="false">SUMIFS(報告入力!$BC$7:$BC$696,報告入力!$A$7:$A$696,$S$717,報告入力!$B$7:$B$696,$A771)</f>
        <v>149</v>
      </c>
      <c r="G771" s="206" t="n">
        <f aca="false">SUM(B771:F771)</f>
        <v>314969</v>
      </c>
      <c r="H771" s="155"/>
      <c r="I771" s="155"/>
      <c r="J771" s="221" t="n">
        <f aca="false">SUM(H771:I771)</f>
        <v>0</v>
      </c>
      <c r="K771" s="155"/>
      <c r="L771" s="155"/>
      <c r="M771" s="221" t="n">
        <f aca="false">SUM(K771:L771)</f>
        <v>0</v>
      </c>
      <c r="N771" s="155"/>
      <c r="O771" s="155"/>
      <c r="P771" s="221" t="n">
        <f aca="false">SUM(N771:O771)</f>
        <v>0</v>
      </c>
      <c r="Q771" s="135" t="str">
        <f aca="false">IF(P706=P771,"〇","×")</f>
        <v>〇</v>
      </c>
      <c r="R771" s="135" t="str">
        <f aca="false">IFERROR(INDEX(報告入力!$C$7:$C$696,MATCH($S$717&amp;"|"&amp;$A771,報告入力!$CM$7:$CM$696,0)),"")</f>
        <v>未受領</v>
      </c>
    </row>
    <row r="772" s="135" customFormat="true" ht="21.75" hidden="false" customHeight="true" outlineLevel="0" collapsed="false">
      <c r="A772" s="214" t="s">
        <v>209</v>
      </c>
      <c r="B772" s="409" t="n">
        <f aca="false">SUMIFS(報告入力!$AY$7:$AY$696,報告入力!$A$7:$A$696,$S$717,報告入力!$B$7:$B$696,$A772)</f>
        <v>53985</v>
      </c>
      <c r="C772" s="410" t="n">
        <f aca="false">SUMIFS(報告入力!$AZ$7:$AZ$696,報告入力!$A$7:$A$696,$S$717,報告入力!$B$7:$B$696,$A772)</f>
        <v>4425</v>
      </c>
      <c r="D772" s="425" t="n">
        <f aca="false">SUMIFS(報告入力!$BA$7:$BA$696,報告入力!$A$7:$A$696,$S$717,報告入力!$B$7:$B$696,$A772)</f>
        <v>53985</v>
      </c>
      <c r="E772" s="426" t="n">
        <f aca="false">SUMIFS(報告入力!$BB$7:$BB$696,報告入力!$A$7:$A$696,$S$717,報告入力!$B$7:$B$696,$A772)</f>
        <v>4425</v>
      </c>
      <c r="F772" s="427" t="n">
        <f aca="false">SUMIFS(報告入力!$BC$7:$BC$696,報告入力!$A$7:$A$696,$S$717,報告入力!$B$7:$B$696,$A772)</f>
        <v>55</v>
      </c>
      <c r="G772" s="206" t="n">
        <f aca="false">SUM(B772:F772)</f>
        <v>116875</v>
      </c>
      <c r="H772" s="277"/>
      <c r="I772" s="277"/>
      <c r="J772" s="278" t="n">
        <f aca="false">SUM(H772:I772)</f>
        <v>0</v>
      </c>
      <c r="K772" s="277"/>
      <c r="L772" s="277"/>
      <c r="M772" s="278" t="n">
        <f aca="false">SUM(K772:L772)</f>
        <v>0</v>
      </c>
      <c r="N772" s="277"/>
      <c r="O772" s="277"/>
      <c r="P772" s="278" t="n">
        <f aca="false">SUM(N772:O772)</f>
        <v>0</v>
      </c>
      <c r="Q772" s="135" t="str">
        <f aca="false">IF(P707=P772,"〇","×")</f>
        <v>〇</v>
      </c>
      <c r="R772" s="135" t="str">
        <f aca="false">IFERROR(INDEX(報告入力!$C$7:$C$696,MATCH($S$717&amp;"|"&amp;$A772,報告入力!$CM$7:$CM$696,0)),"")</f>
        <v>未受領</v>
      </c>
    </row>
    <row r="773" s="135" customFormat="true" ht="19.5" hidden="false" customHeight="true" outlineLevel="0" collapsed="false">
      <c r="A773" s="196" t="s">
        <v>497</v>
      </c>
      <c r="B773" s="197" t="n">
        <f aca="false">SUM(B769:B772)</f>
        <v>199470</v>
      </c>
      <c r="C773" s="200" t="n">
        <f aca="false">SUM(C769:C772)</f>
        <v>16350</v>
      </c>
      <c r="D773" s="198" t="n">
        <f aca="false">SUM(D769:D772)</f>
        <v>199470</v>
      </c>
      <c r="E773" s="199" t="n">
        <f aca="false">SUM(E769:E772)</f>
        <v>16350</v>
      </c>
      <c r="F773" s="200" t="n">
        <f aca="false">SUM(F769:F772)</f>
        <v>204</v>
      </c>
      <c r="G773" s="201" t="n">
        <f aca="false">SUM(B773:F773)</f>
        <v>431844</v>
      </c>
      <c r="H773" s="281" t="n">
        <f aca="false">SUM(H769:H772)</f>
        <v>0</v>
      </c>
      <c r="I773" s="282" t="n">
        <f aca="false">SUM(I769:I772)</f>
        <v>0</v>
      </c>
      <c r="J773" s="283" t="n">
        <f aca="false">SUM(H773:I773)</f>
        <v>0</v>
      </c>
      <c r="K773" s="281" t="n">
        <f aca="false">SUM(K769:K772)</f>
        <v>0</v>
      </c>
      <c r="L773" s="282" t="n">
        <f aca="false">SUM(L769:L772)</f>
        <v>0</v>
      </c>
      <c r="M773" s="283" t="n">
        <f aca="false">SUM(K773:L773)</f>
        <v>0</v>
      </c>
      <c r="N773" s="281" t="n">
        <f aca="false">SUM(N769:N772)</f>
        <v>0</v>
      </c>
      <c r="O773" s="282" t="n">
        <f aca="false">SUM(O769:O772)</f>
        <v>0</v>
      </c>
      <c r="P773" s="283" t="n">
        <f aca="false">SUM(N773:O773)</f>
        <v>0</v>
      </c>
      <c r="Q773" s="135" t="str">
        <f aca="false">IF(P708=P773,"〇","×")</f>
        <v>〇</v>
      </c>
    </row>
    <row r="774" s="135" customFormat="true" ht="20.1" hidden="false" customHeight="true" outlineLevel="0" collapsed="false">
      <c r="A774" s="125" t="s">
        <v>210</v>
      </c>
      <c r="B774" s="240" t="n">
        <f aca="false">SUMIFS(報告入力!$AY$7:$AY$696,報告入力!$A$7:$A$696,$S$717,報告入力!$B$7:$B$696,$A774)</f>
        <v>29280</v>
      </c>
      <c r="C774" s="237" t="n">
        <f aca="false">SUMIFS(報告入力!$AZ$7:$AZ$696,報告入力!$A$7:$A$696,$S$717,報告入力!$B$7:$B$696,$A774)</f>
        <v>2400</v>
      </c>
      <c r="D774" s="203" t="n">
        <f aca="false">SUMIFS(報告入力!$BA$7:$BA$696,報告入力!$A$7:$A$696,$S$717,報告入力!$B$7:$B$696,$A774)</f>
        <v>29280</v>
      </c>
      <c r="E774" s="207" t="n">
        <f aca="false">SUMIFS(報告入力!$BB$7:$BB$696,報告入力!$A$7:$A$696,$S$717,報告入力!$B$7:$B$696,$A774)</f>
        <v>2400</v>
      </c>
      <c r="F774" s="337"/>
      <c r="G774" s="206" t="n">
        <f aca="false">SUM(B774:F774)</f>
        <v>63360</v>
      </c>
      <c r="H774" s="287" t="n">
        <f aca="false">SUMIFS(報告入力!$BD$7:$BD$696,報告入力!$A$7:$A$696,$S$717,報告入力!$B$7:$B$696,$A774)</f>
        <v>17603</v>
      </c>
      <c r="I774" s="208" t="n">
        <f aca="false">SUMIFS(報告入力!$BE$7:$BE$696,報告入力!$A$7:$A$696,$S$717,報告入力!$B$7:$B$696,$A774)</f>
        <v>17635</v>
      </c>
      <c r="J774" s="160" t="n">
        <f aca="false">SUM(H774:I774)</f>
        <v>35238</v>
      </c>
      <c r="K774" s="287" t="n">
        <f aca="false">SUMIFS(報告入力!$BF$7:$BF$696,報告入力!$A$7:$A$696,$S$717,報告入力!$B$7:$B$696,$A774)</f>
        <v>2528</v>
      </c>
      <c r="L774" s="208" t="n">
        <f aca="false">SUMIFS(報告入力!$BG$7:$BG$696,報告入力!$A$7:$A$696,$S$717,報告入力!$B$7:$B$696,$A774)</f>
        <v>2528</v>
      </c>
      <c r="M774" s="160" t="n">
        <f aca="false">SUM(K774:L774)</f>
        <v>5056</v>
      </c>
      <c r="N774" s="287" t="n">
        <f aca="false">SUMIFS(報告入力!$BH$7:$BH$696,報告入力!$A$7:$A$696,$S$717,報告入力!$B$7:$B$696,$A774)</f>
        <v>1</v>
      </c>
      <c r="O774" s="208" t="n">
        <f aca="false">SUMIFS(報告入力!$BI$7:$BI$696,報告入力!$A$7:$A$696,$S$717,報告入力!$B$7:$B$696,$A774)</f>
        <v>1</v>
      </c>
      <c r="P774" s="160" t="n">
        <f aca="false">SUM(N774:O774)</f>
        <v>2</v>
      </c>
      <c r="Q774" s="135" t="str">
        <f aca="false">IF(P709=P774,"〇","×")</f>
        <v>〇</v>
      </c>
      <c r="R774" s="135" t="str">
        <f aca="false">IFERROR(INDEX(報告入力!$C$7:$C$696,MATCH($S$717&amp;"|"&amp;$A774,報告入力!$CM$7:$CM$696,0)),"")</f>
        <v>未受領</v>
      </c>
    </row>
    <row r="775" s="135" customFormat="true" ht="20.25" hidden="false" customHeight="true" outlineLevel="0" collapsed="false">
      <c r="A775" s="125" t="s">
        <v>211</v>
      </c>
      <c r="B775" s="203"/>
      <c r="C775" s="204"/>
      <c r="D775" s="203"/>
      <c r="E775" s="440"/>
      <c r="F775" s="337"/>
      <c r="G775" s="206" t="n">
        <f aca="false">SUM(B775:F775)</f>
        <v>0</v>
      </c>
      <c r="H775" s="207"/>
      <c r="I775" s="208"/>
      <c r="J775" s="160" t="n">
        <f aca="false">SUM(H775:I775)</f>
        <v>0</v>
      </c>
      <c r="K775" s="287"/>
      <c r="L775" s="208"/>
      <c r="M775" s="160" t="n">
        <f aca="false">SUM(K775:L775)</f>
        <v>0</v>
      </c>
      <c r="N775" s="287"/>
      <c r="O775" s="208"/>
      <c r="P775" s="160" t="n">
        <f aca="false">SUM(N775:O775)</f>
        <v>0</v>
      </c>
      <c r="Q775" s="135" t="str">
        <f aca="false">IF(P710=P775,"〇","×")</f>
        <v>〇</v>
      </c>
      <c r="R775" s="135" t="str">
        <f aca="false">IFERROR(INDEX(報告入力!$C$7:$C$696,MATCH($S$717&amp;"|"&amp;$A775,報告入力!$CM$7:$CM$696,0)),"")</f>
        <v>報告なし</v>
      </c>
    </row>
    <row r="776" s="135" customFormat="true" ht="20.1" hidden="false" customHeight="true" outlineLevel="0" collapsed="false">
      <c r="A776" s="217" t="s">
        <v>212</v>
      </c>
      <c r="B776" s="203" t="n">
        <f aca="false">SUMIFS(報告入力!$AY$7:$AY$696,報告入力!$A$7:$A$696,$S$717,報告入力!$B$7:$B$696,$A776)</f>
        <v>27450</v>
      </c>
      <c r="C776" s="204" t="n">
        <f aca="false">SUMIFS(報告入力!$AZ$7:$AZ$696,報告入力!$A$7:$A$696,$S$717,報告入力!$B$7:$B$696,$A776)</f>
        <v>2250</v>
      </c>
      <c r="D776" s="203" t="n">
        <f aca="false">SUMIFS(報告入力!$BA$7:$BA$696,報告入力!$A$7:$A$696,$S$717,報告入力!$B$7:$B$696,$A776)</f>
        <v>27450</v>
      </c>
      <c r="E776" s="440" t="n">
        <f aca="false">SUMIFS(報告入力!$BB$7:$BB$696,報告入力!$A$7:$A$696,$S$717,報告入力!$B$7:$B$696,$A776)</f>
        <v>2250</v>
      </c>
      <c r="F776" s="337"/>
      <c r="G776" s="206" t="n">
        <f aca="false">SUM(B776:F776)</f>
        <v>59400</v>
      </c>
      <c r="H776" s="207" t="n">
        <f aca="false">SUMIFS(報告入力!$BD$7:$BD$696,報告入力!$A$7:$A$696,$S$717,報告入力!$B$7:$B$696,$A776)</f>
        <v>33006</v>
      </c>
      <c r="I776" s="208" t="n">
        <f aca="false">SUMIFS(報告入力!$BE$7:$BE$696,報告入力!$A$7:$A$696,$S$717,報告入力!$B$7:$B$696,$A776)</f>
        <v>33066</v>
      </c>
      <c r="J776" s="160" t="n">
        <f aca="false">SUM(H776:I776)</f>
        <v>66072</v>
      </c>
      <c r="K776" s="287" t="n">
        <f aca="false">SUMIFS(報告入力!$BF$7:$BF$696,報告入力!$A$7:$A$696,$S$717,報告入力!$B$7:$B$696,$A776)</f>
        <v>2370</v>
      </c>
      <c r="L776" s="208" t="n">
        <f aca="false">SUMIFS(報告入力!$BG$7:$BG$696,報告入力!$A$7:$A$696,$S$717,報告入力!$B$7:$B$696,$A776)</f>
        <v>2370</v>
      </c>
      <c r="M776" s="160" t="n">
        <f aca="false">SUM(K776:L776)</f>
        <v>4740</v>
      </c>
      <c r="N776" s="287" t="n">
        <f aca="false">SUMIFS(報告入力!$BH$7:$BH$696,報告入力!$A$7:$A$696,$S$717,報告入力!$B$7:$B$696,$A776)</f>
        <v>1</v>
      </c>
      <c r="O776" s="208" t="n">
        <f aca="false">SUMIFS(報告入力!$BI$7:$BI$696,報告入力!$A$7:$A$696,$S$717,報告入力!$B$7:$B$696,$A776)</f>
        <v>1</v>
      </c>
      <c r="P776" s="160" t="n">
        <f aca="false">SUM(N776:O776)</f>
        <v>2</v>
      </c>
      <c r="Q776" s="135" t="str">
        <f aca="false">IF(P711=P776,"〇","×")</f>
        <v>〇</v>
      </c>
      <c r="R776" s="135" t="str">
        <f aca="false">IFERROR(INDEX(報告入力!$C$7:$C$696,MATCH($S$717&amp;"|"&amp;$A776,報告入力!$CM$7:$CM$696,0)),"")</f>
        <v>未受領</v>
      </c>
    </row>
    <row r="777" s="135" customFormat="true" ht="20.1" hidden="false" customHeight="true" outlineLevel="0" collapsed="false">
      <c r="A777" s="217" t="s">
        <v>213</v>
      </c>
      <c r="B777" s="441"/>
      <c r="C777" s="442"/>
      <c r="D777" s="441"/>
      <c r="E777" s="443"/>
      <c r="F777" s="292"/>
      <c r="G777" s="444" t="n">
        <f aca="false">SUM(B777:F777)</f>
        <v>0</v>
      </c>
      <c r="H777" s="357"/>
      <c r="I777" s="358"/>
      <c r="J777" s="309" t="n">
        <f aca="false">SUM(H777:I777)</f>
        <v>0</v>
      </c>
      <c r="K777" s="359"/>
      <c r="L777" s="358"/>
      <c r="M777" s="309" t="n">
        <f aca="false">SUM(K777:L777)</f>
        <v>0</v>
      </c>
      <c r="N777" s="359"/>
      <c r="O777" s="358"/>
      <c r="P777" s="309" t="n">
        <f aca="false">SUM(N777:O777)</f>
        <v>0</v>
      </c>
      <c r="Q777" s="135" t="str">
        <f aca="false">IF(P712=P777,"〇","×")</f>
        <v>〇</v>
      </c>
      <c r="R777" s="135" t="str">
        <f aca="false">IFERROR(INDEX(報告入力!$C$7:$C$696,MATCH($S$717&amp;"|"&amp;$A777,報告入力!$CM$7:$CM$696,0)),"")</f>
        <v>報告なし</v>
      </c>
    </row>
    <row r="778" s="135" customFormat="true" ht="20.1" hidden="false" customHeight="true" outlineLevel="0" collapsed="false">
      <c r="A778" s="196" t="s">
        <v>497</v>
      </c>
      <c r="B778" s="197" t="n">
        <f aca="false">SUM(B774:B777)</f>
        <v>56730</v>
      </c>
      <c r="C778" s="201" t="n">
        <f aca="false">SUM(C774:C777)</f>
        <v>4650</v>
      </c>
      <c r="D778" s="197" t="n">
        <f aca="false">SUM(D774:D777)</f>
        <v>56730</v>
      </c>
      <c r="E778" s="199" t="n">
        <f aca="false">SUM(E774:E777)</f>
        <v>4650</v>
      </c>
      <c r="F778" s="200" t="n">
        <f aca="false">SUM(F774:F777)</f>
        <v>0</v>
      </c>
      <c r="G778" s="201" t="n">
        <f aca="false">SUM(B778:F778)</f>
        <v>122760</v>
      </c>
      <c r="H778" s="301" t="n">
        <f aca="false">SUM(H774:H777)</f>
        <v>50609</v>
      </c>
      <c r="I778" s="199" t="n">
        <f aca="false">SUM(I774:I777)</f>
        <v>50701</v>
      </c>
      <c r="J778" s="200" t="n">
        <f aca="false">SUM(H778:I778)</f>
        <v>101310</v>
      </c>
      <c r="K778" s="197" t="n">
        <f aca="false">SUM(K774:K777)</f>
        <v>4898</v>
      </c>
      <c r="L778" s="301" t="n">
        <f aca="false">SUM(L774:L777)</f>
        <v>4898</v>
      </c>
      <c r="M778" s="200" t="n">
        <f aca="false">SUM(K778:L778)</f>
        <v>9796</v>
      </c>
      <c r="N778" s="197" t="n">
        <f aca="false">SUM(N774:N777)</f>
        <v>2</v>
      </c>
      <c r="O778" s="301" t="n">
        <f aca="false">SUM(O774:O777)</f>
        <v>2</v>
      </c>
      <c r="P778" s="200" t="n">
        <f aca="false">SUM(N778:O778)</f>
        <v>4</v>
      </c>
      <c r="Q778" s="135" t="str">
        <f aca="false">IF(P713=P778,"〇","×")</f>
        <v>〇</v>
      </c>
    </row>
    <row r="779" s="135" customFormat="true" ht="20.1" hidden="false" customHeight="true" outlineLevel="0" collapsed="false">
      <c r="A779" s="302" t="s">
        <v>214</v>
      </c>
      <c r="B779" s="303"/>
      <c r="C779" s="304"/>
      <c r="D779" s="305"/>
      <c r="E779" s="306"/>
      <c r="F779" s="292"/>
      <c r="G779" s="293"/>
      <c r="H779" s="357" t="n">
        <f aca="false">SUMIFS(報告入力!$BD$7:$BD$696,報告入力!$A$7:$A$696,$S$717,報告入力!$B$7:$B$696,$A779)</f>
        <v>1487293</v>
      </c>
      <c r="I779" s="339"/>
      <c r="J779" s="309" t="n">
        <f aca="false">SUM(H779:I779)</f>
        <v>1487293</v>
      </c>
      <c r="K779" s="357" t="n">
        <f aca="false">SUMIFS(報告入力!$BF$7:$BF$696,報告入力!$A$7:$A$696,$S$717,報告入力!$B$7:$B$696,$A779)</f>
        <v>75931</v>
      </c>
      <c r="L779" s="339"/>
      <c r="M779" s="309" t="n">
        <f aca="false">SUM(K779:L779)</f>
        <v>75931</v>
      </c>
      <c r="N779" s="357" t="n">
        <f aca="false">SUMIFS(報告入力!$BH$7:$BH$696,報告入力!$A$7:$A$696,$S$717,報告入力!$B$7:$B$696,$A779)</f>
        <v>1</v>
      </c>
      <c r="O779" s="339"/>
      <c r="P779" s="309" t="n">
        <f aca="false">SUM(N779:O779)</f>
        <v>1</v>
      </c>
      <c r="Q779" s="135" t="str">
        <f aca="false">IF(P714=P779,"〇","×")</f>
        <v>〇</v>
      </c>
      <c r="R779" s="135" t="str">
        <f aca="false">IFERROR(INDEX(報告入力!$C$7:$C$696,MATCH($S$717&amp;"|"&amp;$A779,報告入力!$CM$7:$CM$696,0)),"")</f>
        <v>未受領</v>
      </c>
    </row>
    <row r="780" s="135" customFormat="true" ht="30" hidden="false" customHeight="true" outlineLevel="0" collapsed="false">
      <c r="A780" s="310" t="s">
        <v>499</v>
      </c>
      <c r="B780" s="311" t="n">
        <f aca="false">SUM(+B737+B768+B773+B778+B779)</f>
        <v>481803224</v>
      </c>
      <c r="C780" s="312" t="n">
        <f aca="false">SUM(+C737+C768+C773+C778+C779)</f>
        <v>39488093</v>
      </c>
      <c r="D780" s="311" t="n">
        <f aca="false">SUM(+D737+D768+D773+D778+D779)</f>
        <v>709735266</v>
      </c>
      <c r="E780" s="313" t="n">
        <f aca="false">SUM(+E737+E768+E773+E778+E779)</f>
        <v>39467325</v>
      </c>
      <c r="F780" s="312" t="n">
        <f aca="false">SUM(+F737+F768+F773+F778+F779)</f>
        <v>516130</v>
      </c>
      <c r="G780" s="314" t="n">
        <f aca="false">SUM(B780:F780)</f>
        <v>1271010038</v>
      </c>
      <c r="H780" s="315" t="n">
        <f aca="false">SUM(+H737+H768+H773+H778+H779)</f>
        <v>366153450</v>
      </c>
      <c r="I780" s="315" t="n">
        <f aca="false">SUM(+I737+I768+I773+I778+I779)</f>
        <v>369664538</v>
      </c>
      <c r="J780" s="316" t="n">
        <f aca="false">SUM(H780:I780)</f>
        <v>735817988</v>
      </c>
      <c r="K780" s="317" t="n">
        <f aca="false">SUM(+K737+K768+K773+K778+K779)</f>
        <v>31373862</v>
      </c>
      <c r="L780" s="315" t="n">
        <f aca="false">SUM(+L737+L768+L773+L778+L779)</f>
        <v>31265991</v>
      </c>
      <c r="M780" s="316" t="n">
        <f aca="false">SUM(K780:L780)</f>
        <v>62639853</v>
      </c>
      <c r="N780" s="317" t="n">
        <f aca="false">SUM(+N737+N768+N773+N778+N779)</f>
        <v>27</v>
      </c>
      <c r="O780" s="315" t="n">
        <f aca="false">SUM(+O737+O768+O773+O778+O779)</f>
        <v>38</v>
      </c>
      <c r="P780" s="316" t="n">
        <f aca="false">SUM(N780:O780)</f>
        <v>65</v>
      </c>
      <c r="Q780" s="135" t="str">
        <f aca="false">IF(P715=P780,"〇","×")</f>
        <v>〇</v>
      </c>
    </row>
    <row r="781" s="341" customFormat="true" ht="39" hidden="false" customHeight="true" outlineLevel="0" collapsed="false">
      <c r="A781" s="340"/>
      <c r="G781" s="109"/>
      <c r="Q781" s="341" t="str">
        <f aca="false">IF(P716=P781,"〇","×")</f>
        <v>〇</v>
      </c>
    </row>
    <row r="782" s="322" customFormat="true" ht="30" hidden="false" customHeight="true" outlineLevel="0" collapsed="false">
      <c r="A782" s="320"/>
      <c r="B782" s="416" t="n">
        <f aca="false">EOMONTH(B717,1)</f>
        <v>46446</v>
      </c>
      <c r="C782" s="416"/>
      <c r="D782" s="416"/>
      <c r="E782" s="416"/>
      <c r="F782" s="416"/>
      <c r="G782" s="416"/>
      <c r="H782" s="112" t="n">
        <f aca="false">B782</f>
        <v>46446</v>
      </c>
      <c r="I782" s="112"/>
      <c r="J782" s="112"/>
      <c r="K782" s="112" t="n">
        <f aca="false">H782</f>
        <v>46446</v>
      </c>
      <c r="L782" s="112"/>
      <c r="M782" s="112"/>
      <c r="N782" s="112" t="n">
        <f aca="false">K782</f>
        <v>46446</v>
      </c>
      <c r="O782" s="112"/>
      <c r="P782" s="112"/>
      <c r="Q782" s="322" t="str">
        <f aca="false">IF(P717=P782,"〇","×")</f>
        <v>〇</v>
      </c>
      <c r="S782" s="322" t="s">
        <v>514</v>
      </c>
    </row>
    <row r="783" customFormat="false" ht="22.5" hidden="false" customHeight="true" outlineLevel="0" collapsed="false">
      <c r="A783" s="114" t="s">
        <v>483</v>
      </c>
      <c r="B783" s="114" t="s">
        <v>484</v>
      </c>
      <c r="C783" s="114"/>
      <c r="D783" s="114"/>
      <c r="E783" s="114"/>
      <c r="F783" s="114"/>
      <c r="G783" s="114"/>
      <c r="H783" s="116" t="s">
        <v>485</v>
      </c>
      <c r="I783" s="116"/>
      <c r="J783" s="116"/>
      <c r="K783" s="116" t="s">
        <v>486</v>
      </c>
      <c r="L783" s="116"/>
      <c r="M783" s="116"/>
      <c r="N783" s="116" t="str">
        <f aca="false">$N$3</f>
        <v>子ども・子育て支援納付金</v>
      </c>
      <c r="O783" s="116"/>
      <c r="P783" s="116"/>
      <c r="Q783" s="105" t="str">
        <f aca="false">IF(P718=P783,"〇","×")</f>
        <v>〇</v>
      </c>
    </row>
    <row r="784" customFormat="false" ht="22.5" hidden="false" customHeight="true" outlineLevel="0" collapsed="false">
      <c r="A784" s="114"/>
      <c r="B784" s="117" t="s">
        <v>487</v>
      </c>
      <c r="C784" s="117"/>
      <c r="D784" s="117" t="s">
        <v>488</v>
      </c>
      <c r="E784" s="117"/>
      <c r="F784" s="117"/>
      <c r="G784" s="117" t="s">
        <v>489</v>
      </c>
      <c r="H784" s="121" t="s">
        <v>490</v>
      </c>
      <c r="I784" s="119" t="s">
        <v>491</v>
      </c>
      <c r="J784" s="120" t="s">
        <v>489</v>
      </c>
      <c r="K784" s="121" t="s">
        <v>490</v>
      </c>
      <c r="L784" s="119" t="s">
        <v>491</v>
      </c>
      <c r="M784" s="120" t="s">
        <v>489</v>
      </c>
      <c r="N784" s="121" t="s">
        <v>490</v>
      </c>
      <c r="O784" s="119" t="s">
        <v>491</v>
      </c>
      <c r="P784" s="120" t="s">
        <v>489</v>
      </c>
      <c r="Q784" s="105" t="str">
        <f aca="false">IF(P719=P784,"〇","×")</f>
        <v>〇</v>
      </c>
    </row>
    <row r="785" customFormat="false" ht="22.5" hidden="false" customHeight="true" outlineLevel="0" collapsed="false">
      <c r="A785" s="114"/>
      <c r="B785" s="122" t="s">
        <v>492</v>
      </c>
      <c r="C785" s="123" t="s">
        <v>493</v>
      </c>
      <c r="D785" s="124" t="s">
        <v>492</v>
      </c>
      <c r="E785" s="124" t="s">
        <v>494</v>
      </c>
      <c r="F785" s="123" t="s">
        <v>93</v>
      </c>
      <c r="G785" s="117"/>
      <c r="H785" s="121"/>
      <c r="I785" s="119"/>
      <c r="J785" s="120"/>
      <c r="K785" s="121"/>
      <c r="L785" s="119"/>
      <c r="M785" s="120"/>
      <c r="N785" s="121"/>
      <c r="O785" s="119"/>
      <c r="P785" s="120"/>
      <c r="Q785" s="105" t="str">
        <f aca="false">IF(P720=P785,"〇","×")</f>
        <v>〇</v>
      </c>
    </row>
    <row r="786" s="135" customFormat="true" ht="19.5" hidden="false" customHeight="true" outlineLevel="0" collapsed="false">
      <c r="A786" s="125" t="s">
        <v>166</v>
      </c>
      <c r="B786" s="240" t="n">
        <f aca="false">SUMIFS(報告入力!$AY$7:$AY$696,報告入力!$A$7:$A$696,$S$782,報告入力!$B$7:$B$696,$A786)</f>
        <v>232963119</v>
      </c>
      <c r="C786" s="393" t="n">
        <f aca="false">SUMIFS(報告入力!$AZ$7:$AZ$696,報告入力!$A$7:$A$696,$S$782,報告入力!$B$7:$B$696,$A786)</f>
        <v>19100214</v>
      </c>
      <c r="D786" s="240" t="n">
        <f aca="false">SUMIFS(報告入力!$BA$7:$BA$696,報告入力!$A$7:$A$696,$S$782,報告入力!$B$7:$B$696,$A786)</f>
        <v>339759219</v>
      </c>
      <c r="E786" s="238" t="n">
        <f aca="false">SUMIFS(報告入力!$BB$7:$BB$696,報告入力!$A$7:$A$696,$S$782,報告入力!$B$7:$B$696,$A786)</f>
        <v>18607559</v>
      </c>
      <c r="F786" s="393" t="n">
        <f aca="false">SUMIFS(報告入力!$BC$7:$BC$696,報告入力!$A$7:$A$696,$S$782,報告入力!$B$7:$B$696,$A786)</f>
        <v>245654</v>
      </c>
      <c r="G786" s="206" t="n">
        <f aca="false">SUM(B786:F786)</f>
        <v>610675765</v>
      </c>
      <c r="H786" s="207" t="n">
        <f aca="false">SUMIFS(報告入力!$BD$7:$BD$696,報告入力!$A$7:$A$696,$S$782,報告入力!$B$7:$B$696,$A786)</f>
        <v>180228959</v>
      </c>
      <c r="I786" s="208" t="n">
        <f aca="false">SUMIFS(報告入力!$BE$7:$BE$696,報告入力!$A$7:$A$696,$S$782,報告入力!$B$7:$B$696,$A786)</f>
        <v>179795878</v>
      </c>
      <c r="J786" s="160" t="n">
        <f aca="false">SUM(H786:I786)</f>
        <v>360024837</v>
      </c>
      <c r="K786" s="207" t="n">
        <f aca="false">SUMIFS(報告入力!$BF$7:$BF$696,報告入力!$A$7:$A$696,$S$782,報告入力!$B$7:$B$696,$A786)</f>
        <v>15863531</v>
      </c>
      <c r="L786" s="208" t="n">
        <f aca="false">SUMIFS(報告入力!$BG$7:$BG$696,報告入力!$A$7:$A$696,$S$782,報告入力!$B$7:$B$696,$A786)</f>
        <v>15423045</v>
      </c>
      <c r="M786" s="160" t="n">
        <f aca="false">SUM(K786:L786)</f>
        <v>31286576</v>
      </c>
      <c r="N786" s="207" t="n">
        <f aca="false">SUMIFS(報告入力!$BH$7:$BH$696,報告入力!$A$7:$A$696,$S$782,報告入力!$B$7:$B$696,$A786)</f>
        <v>1</v>
      </c>
      <c r="O786" s="208" t="n">
        <f aca="false">SUMIFS(報告入力!$BI$7:$BI$696,報告入力!$A$7:$A$696,$S$782,報告入力!$B$7:$B$696,$A786)</f>
        <v>1</v>
      </c>
      <c r="P786" s="160" t="n">
        <f aca="false">SUM(N786:O786)</f>
        <v>2</v>
      </c>
      <c r="Q786" s="135" t="str">
        <f aca="false">IF(P721=P786,"〇","×")</f>
        <v>〇</v>
      </c>
      <c r="R786" s="135" t="str">
        <f aca="false">IFERROR(INDEX(報告入力!$C$7:$C$696,MATCH($S$782&amp;"|"&amp;$A786,報告入力!$CM$7:$CM$696,0)),"")</f>
        <v>未受領</v>
      </c>
    </row>
    <row r="787" s="135" customFormat="true" ht="20.1" hidden="false" customHeight="true" outlineLevel="0" collapsed="false">
      <c r="A787" s="125" t="s">
        <v>169</v>
      </c>
      <c r="B787" s="240" t="n">
        <f aca="false">SUMIFS(報告入力!$AY$7:$AY$696,報告入力!$A$7:$A$696,$S$782,報告入力!$B$7:$B$696,$A787)</f>
        <v>16581906</v>
      </c>
      <c r="C787" s="393" t="n">
        <f aca="false">SUMIFS(報告入力!$AZ$7:$AZ$696,報告入力!$A$7:$A$696,$S$782,報告入力!$B$7:$B$696,$A787)</f>
        <v>1359174</v>
      </c>
      <c r="D787" s="240" t="n">
        <f aca="false">SUMIFS(報告入力!$BA$7:$BA$696,報告入力!$A$7:$A$696,$S$782,報告入力!$B$7:$B$696,$A787)</f>
        <v>24091980</v>
      </c>
      <c r="E787" s="238" t="n">
        <f aca="false">SUMIFS(報告入力!$BB$7:$BB$696,報告入力!$A$7:$A$696,$S$782,報告入力!$B$7:$B$696,$A787)</f>
        <v>1353375</v>
      </c>
      <c r="F787" s="393" t="n">
        <f aca="false">SUMIFS(報告入力!$BC$7:$BC$696,報告入力!$A$7:$A$696,$S$782,報告入力!$B$7:$B$696,$A787)</f>
        <v>17146</v>
      </c>
      <c r="G787" s="206" t="n">
        <f aca="false">SUM(B787:F787)</f>
        <v>43403581</v>
      </c>
      <c r="H787" s="207" t="n">
        <f aca="false">SUMIFS(報告入力!$BD$7:$BD$696,報告入力!$A$7:$A$696,$S$782,報告入力!$B$7:$B$696,$A787)</f>
        <v>10386132</v>
      </c>
      <c r="I787" s="208" t="n">
        <f aca="false">SUMIFS(報告入力!$BE$7:$BE$696,報告入力!$A$7:$A$696,$S$782,報告入力!$B$7:$B$696,$A787)</f>
        <v>10528288</v>
      </c>
      <c r="J787" s="160" t="n">
        <f aca="false">SUM(H787:I787)</f>
        <v>20914420</v>
      </c>
      <c r="K787" s="207" t="n">
        <f aca="false">SUMIFS(報告入力!$BF$7:$BF$696,報告入力!$A$7:$A$696,$S$782,報告入力!$B$7:$B$696,$A787)</f>
        <v>1033192</v>
      </c>
      <c r="L787" s="208" t="n">
        <f aca="false">SUMIFS(報告入力!$BG$7:$BG$696,報告入力!$A$7:$A$696,$S$782,報告入力!$B$7:$B$696,$A787)</f>
        <v>1025529</v>
      </c>
      <c r="M787" s="160" t="n">
        <f aca="false">SUM(K787:L787)</f>
        <v>2058721</v>
      </c>
      <c r="N787" s="207" t="n">
        <f aca="false">SUMIFS(報告入力!$BH$7:$BH$696,報告入力!$A$7:$A$696,$S$782,報告入力!$B$7:$B$696,$A787)</f>
        <v>1</v>
      </c>
      <c r="O787" s="208" t="n">
        <f aca="false">SUMIFS(報告入力!$BI$7:$BI$696,報告入力!$A$7:$A$696,$S$782,報告入力!$B$7:$B$696,$A787)</f>
        <v>1</v>
      </c>
      <c r="P787" s="160" t="n">
        <f aca="false">SUM(N787:O787)</f>
        <v>2</v>
      </c>
      <c r="Q787" s="135" t="str">
        <f aca="false">IF(P722=P787,"〇","×")</f>
        <v>〇</v>
      </c>
      <c r="R787" s="135" t="str">
        <f aca="false">IFERROR(INDEX(報告入力!$C$7:$C$696,MATCH($S$782&amp;"|"&amp;$A787,報告入力!$CM$7:$CM$696,0)),"")</f>
        <v>未受領</v>
      </c>
    </row>
    <row r="788" s="135" customFormat="true" ht="20.1" hidden="false" customHeight="true" outlineLevel="0" collapsed="false">
      <c r="A788" s="125" t="s">
        <v>170</v>
      </c>
      <c r="B788" s="240" t="n">
        <f aca="false">SUMIFS(報告入力!$AY$7:$AY$696,報告入力!$A$7:$A$696,$S$782,報告入力!$B$7:$B$696,$A788)</f>
        <v>53727793</v>
      </c>
      <c r="C788" s="393" t="n">
        <f aca="false">SUMIFS(報告入力!$AZ$7:$AZ$696,報告入力!$A$7:$A$696,$S$782,報告入力!$B$7:$B$696,$A788)</f>
        <v>4403917</v>
      </c>
      <c r="D788" s="240" t="n">
        <f aca="false">SUMIFS(報告入力!$BA$7:$BA$696,報告入力!$A$7:$A$696,$S$782,報告入力!$B$7:$B$696,$A788)</f>
        <v>78203593</v>
      </c>
      <c r="E788" s="238" t="n">
        <f aca="false">SUMIFS(報告入力!$BB$7:$BB$696,報告入力!$A$7:$A$696,$S$782,報告入力!$B$7:$B$696,$A788)</f>
        <v>4396568</v>
      </c>
      <c r="F788" s="393" t="n">
        <f aca="false">SUMIFS(報告入力!$BC$7:$BC$696,報告入力!$A$7:$A$696,$S$782,報告入力!$B$7:$B$696,$A788)</f>
        <v>55349</v>
      </c>
      <c r="G788" s="206" t="n">
        <f aca="false">SUM(B788:F788)</f>
        <v>140787220</v>
      </c>
      <c r="H788" s="207" t="n">
        <f aca="false">SUMIFS(報告入力!$BD$7:$BD$696,報告入力!$A$7:$A$696,$S$782,報告入力!$B$7:$B$696,$A788)</f>
        <v>33001840</v>
      </c>
      <c r="I788" s="208" t="n">
        <f aca="false">SUMIFS(報告入力!$BE$7:$BE$696,報告入力!$A$7:$A$696,$S$782,報告入力!$B$7:$B$696,$A788)</f>
        <v>33534812</v>
      </c>
      <c r="J788" s="160" t="n">
        <f aca="false">SUM(H788:I788)</f>
        <v>66536652</v>
      </c>
      <c r="K788" s="207" t="n">
        <f aca="false">SUMIFS(報告入力!$BF$7:$BF$696,報告入力!$A$7:$A$696,$S$782,報告入力!$B$7:$B$696,$A788)</f>
        <v>2001660</v>
      </c>
      <c r="L788" s="208" t="n">
        <f aca="false">SUMIFS(報告入力!$BG$7:$BG$696,報告入力!$A$7:$A$696,$S$782,報告入力!$B$7:$B$696,$A788)</f>
        <v>1994631</v>
      </c>
      <c r="M788" s="160" t="n">
        <f aca="false">SUM(K788:L788)</f>
        <v>3996291</v>
      </c>
      <c r="N788" s="207" t="n">
        <f aca="false">SUMIFS(報告入力!$BH$7:$BH$696,報告入力!$A$7:$A$696,$S$782,報告入力!$B$7:$B$696,$A788)</f>
        <v>1</v>
      </c>
      <c r="O788" s="208" t="n">
        <f aca="false">SUMIFS(報告入力!$BI$7:$BI$696,報告入力!$A$7:$A$696,$S$782,報告入力!$B$7:$B$696,$A788)</f>
        <v>1</v>
      </c>
      <c r="P788" s="160" t="n">
        <f aca="false">SUM(N788:O788)</f>
        <v>2</v>
      </c>
      <c r="Q788" s="135" t="str">
        <f aca="false">IF(P723=P788,"〇","×")</f>
        <v>〇</v>
      </c>
      <c r="R788" s="135" t="str">
        <f aca="false">IFERROR(INDEX(報告入力!$C$7:$C$696,MATCH($S$782&amp;"|"&amp;$A788,報告入力!$CM$7:$CM$696,0)),"")</f>
        <v>未受領</v>
      </c>
    </row>
    <row r="789" s="135" customFormat="true" ht="20.1" hidden="false" customHeight="true" outlineLevel="0" collapsed="false">
      <c r="A789" s="125" t="s">
        <v>171</v>
      </c>
      <c r="B789" s="240" t="n">
        <f aca="false">SUMIFS(報告入力!$AY$7:$AY$696,報告入力!$A$7:$A$696,$S$782,報告入力!$B$7:$B$696,$A789)</f>
        <v>1740330</v>
      </c>
      <c r="C789" s="393" t="n">
        <f aca="false">SUMIFS(報告入力!$AZ$7:$AZ$696,報告入力!$A$7:$A$696,$S$782,報告入力!$B$7:$B$696,$A789)</f>
        <v>142650</v>
      </c>
      <c r="D789" s="240" t="n">
        <f aca="false">SUMIFS(報告入力!$BA$7:$BA$696,報告入力!$A$7:$A$696,$S$782,報告入力!$B$7:$B$696,$A789)</f>
        <v>2539620</v>
      </c>
      <c r="E789" s="238" t="n">
        <f aca="false">SUMIFS(報告入力!$BB$7:$BB$696,報告入力!$A$7:$A$696,$S$782,報告入力!$B$7:$B$696,$A789)</f>
        <v>142650</v>
      </c>
      <c r="F789" s="393" t="n">
        <f aca="false">SUMIFS(報告入力!$BC$7:$BC$696,報告入力!$A$7:$A$696,$S$782,報告入力!$B$7:$B$696,$A789)</f>
        <v>1808</v>
      </c>
      <c r="G789" s="206" t="n">
        <f aca="false">SUM(B789:F789)</f>
        <v>4567058</v>
      </c>
      <c r="H789" s="207" t="n">
        <f aca="false">SUMIFS(報告入力!$BD$7:$BD$696,報告入力!$A$7:$A$696,$S$782,報告入力!$B$7:$B$696,$A789)</f>
        <v>1055074</v>
      </c>
      <c r="I789" s="208" t="n">
        <f aca="false">SUMIFS(報告入力!$BE$7:$BE$696,報告入力!$A$7:$A$696,$S$782,報告入力!$B$7:$B$696,$A789)</f>
        <v>1073929</v>
      </c>
      <c r="J789" s="160" t="n">
        <f aca="false">SUM(H789:I789)</f>
        <v>2129003</v>
      </c>
      <c r="K789" s="207" t="n">
        <f aca="false">SUMIFS(報告入力!$BF$7:$BF$696,報告入力!$A$7:$A$696,$S$782,報告入力!$B$7:$B$696,$A789)</f>
        <v>99935</v>
      </c>
      <c r="L789" s="208" t="n">
        <f aca="false">SUMIFS(報告入力!$BG$7:$BG$696,報告入力!$A$7:$A$696,$S$782,報告入力!$B$7:$B$696,$A789)</f>
        <v>99935</v>
      </c>
      <c r="M789" s="160" t="n">
        <f aca="false">SUM(K789:L789)</f>
        <v>199870</v>
      </c>
      <c r="N789" s="207" t="n">
        <f aca="false">SUMIFS(報告入力!$BH$7:$BH$696,報告入力!$A$7:$A$696,$S$782,報告入力!$B$7:$B$696,$A789)</f>
        <v>1</v>
      </c>
      <c r="O789" s="208" t="n">
        <f aca="false">SUMIFS(報告入力!$BI$7:$BI$696,報告入力!$A$7:$A$696,$S$782,報告入力!$B$7:$B$696,$A789)</f>
        <v>1</v>
      </c>
      <c r="P789" s="160" t="n">
        <f aca="false">SUM(N789:O789)</f>
        <v>2</v>
      </c>
      <c r="Q789" s="135" t="str">
        <f aca="false">IF(P724=P789,"〇","×")</f>
        <v>〇</v>
      </c>
      <c r="R789" s="135" t="str">
        <f aca="false">IFERROR(INDEX(報告入力!$C$7:$C$696,MATCH($S$782&amp;"|"&amp;$A789,報告入力!$CM$7:$CM$696,0)),"")</f>
        <v>未受領</v>
      </c>
    </row>
    <row r="790" s="135" customFormat="true" ht="19.5" hidden="false" customHeight="true" outlineLevel="0" collapsed="false">
      <c r="A790" s="125" t="s">
        <v>172</v>
      </c>
      <c r="B790" s="240" t="n">
        <f aca="false">SUMIFS(報告入力!$AY$7:$AY$696,報告入力!$A$7:$A$696,$S$782,報告入力!$B$7:$B$696,$A790)</f>
        <v>24150144</v>
      </c>
      <c r="C790" s="393" t="n">
        <f aca="false">SUMIFS(報告入力!$AZ$7:$AZ$696,報告入力!$A$7:$A$696,$S$782,報告入力!$B$7:$B$696,$A790)</f>
        <v>1979520</v>
      </c>
      <c r="D790" s="240" t="n">
        <f aca="false">SUMIFS(報告入力!$BA$7:$BA$696,報告入力!$A$7:$A$696,$S$782,報告入力!$B$7:$B$696,$A790)</f>
        <v>35247213</v>
      </c>
      <c r="E790" s="238" t="n">
        <f aca="false">SUMIFS(報告入力!$BB$7:$BB$696,報告入力!$A$7:$A$696,$S$782,報告入力!$B$7:$B$696,$A790)</f>
        <v>1981470</v>
      </c>
      <c r="F790" s="393" t="n">
        <f aca="false">SUMIFS(報告入力!$BC$7:$BC$696,報告入力!$A$7:$A$696,$S$782,報告入力!$B$7:$B$696,$A790)</f>
        <v>25050</v>
      </c>
      <c r="G790" s="206" t="n">
        <f aca="false">SUM(B790:F790)</f>
        <v>63383397</v>
      </c>
      <c r="H790" s="387" t="n">
        <f aca="false">SUMIFS(報告入力!$BD$7:$BD$696,報告入力!$A$7:$A$696,$S$782,報告入力!$B$7:$B$696,$A790)</f>
        <v>25548768</v>
      </c>
      <c r="I790" s="207" t="n">
        <f aca="false">SUMIFS(報告入力!$BE$7:$BE$696,報告入力!$A$7:$A$696,$S$782,報告入力!$B$7:$B$696,$A790)</f>
        <v>25995220</v>
      </c>
      <c r="J790" s="449" t="n">
        <f aca="false">SUM(H790:I790)</f>
        <v>51543988</v>
      </c>
      <c r="K790" s="239" t="n">
        <f aca="false">SUMIFS(報告入力!$BF$7:$BF$696,報告入力!$A$7:$A$696,$S$782,報告入力!$B$7:$B$696,$A790)</f>
        <v>2774507</v>
      </c>
      <c r="L790" s="239" t="n">
        <f aca="false">SUMIFS(報告入力!$BG$7:$BG$696,報告入力!$A$7:$A$696,$S$782,報告入力!$B$7:$B$696,$A790)</f>
        <v>2772516</v>
      </c>
      <c r="M790" s="160" t="n">
        <f aca="false">SUM(K790:L790)</f>
        <v>5547023</v>
      </c>
      <c r="N790" s="239" t="n">
        <f aca="false">SUMIFS(報告入力!$BH$7:$BH$696,報告入力!$A$7:$A$696,$S$782,報告入力!$B$7:$B$696,$A790)</f>
        <v>1</v>
      </c>
      <c r="O790" s="239" t="n">
        <f aca="false">SUMIFS(報告入力!$BI$7:$BI$696,報告入力!$A$7:$A$696,$S$782,報告入力!$B$7:$B$696,$A790)</f>
        <v>1</v>
      </c>
      <c r="P790" s="160" t="n">
        <f aca="false">SUM(N790:O790)</f>
        <v>2</v>
      </c>
      <c r="Q790" s="135" t="str">
        <f aca="false">IF(P725=P790,"〇","×")</f>
        <v>〇</v>
      </c>
      <c r="R790" s="135" t="str">
        <f aca="false">IFERROR(INDEX(報告入力!$C$7:$C$696,MATCH($S$782&amp;"|"&amp;$A790,報告入力!$CM$7:$CM$696,0)),"")</f>
        <v>未受領</v>
      </c>
    </row>
    <row r="791" s="135" customFormat="true" ht="20.1" hidden="false" customHeight="true" outlineLevel="0" collapsed="false">
      <c r="A791" s="125" t="s">
        <v>173</v>
      </c>
      <c r="B791" s="240" t="n">
        <f aca="false">SUMIFS(報告入力!$AY$7:$AY$696,報告入力!$A$7:$A$696,$S$782,報告入力!$B$7:$B$696,$A791)</f>
        <v>253455</v>
      </c>
      <c r="C791" s="393" t="n">
        <f aca="false">SUMIFS(報告入力!$AZ$7:$AZ$696,報告入力!$A$7:$A$696,$S$782,報告入力!$B$7:$B$696,$A791)</f>
        <v>20775</v>
      </c>
      <c r="D791" s="240" t="n">
        <f aca="false">SUMIFS(報告入力!$BA$7:$BA$696,報告入力!$A$7:$A$696,$S$782,報告入力!$B$7:$B$696,$A791)</f>
        <v>368410</v>
      </c>
      <c r="E791" s="238" t="n">
        <f aca="false">SUMIFS(報告入力!$BB$7:$BB$696,報告入力!$A$7:$A$696,$S$782,報告入力!$B$7:$B$696,$A791)</f>
        <v>20775</v>
      </c>
      <c r="F791" s="393" t="n">
        <f aca="false">SUMIFS(報告入力!$BC$7:$BC$696,報告入力!$A$7:$A$696,$S$782,報告入力!$B$7:$B$696,$A791)</f>
        <v>260</v>
      </c>
      <c r="G791" s="206" t="n">
        <f aca="false">SUM(B791:F791)</f>
        <v>663675</v>
      </c>
      <c r="H791" s="207" t="n">
        <f aca="false">SUMIFS(報告入力!$BD$7:$BD$696,報告入力!$A$7:$A$696,$S$782,報告入力!$B$7:$B$696,$A791)</f>
        <v>173828</v>
      </c>
      <c r="I791" s="208" t="n">
        <f aca="false">SUMIFS(報告入力!$BE$7:$BE$696,報告入力!$A$7:$A$696,$S$782,報告入力!$B$7:$B$696,$A791)</f>
        <v>176896</v>
      </c>
      <c r="J791" s="160" t="n">
        <f aca="false">SUM(H791:I791)</f>
        <v>350724</v>
      </c>
      <c r="K791" s="207" t="n">
        <f aca="false">SUMIFS(報告入力!$BF$7:$BF$696,報告入力!$A$7:$A$696,$S$782,報告入力!$B$7:$B$696,$A791)</f>
        <v>15326</v>
      </c>
      <c r="L791" s="208" t="n">
        <f aca="false">SUMIFS(報告入力!$BG$7:$BG$696,報告入力!$A$7:$A$696,$S$782,報告入力!$B$7:$B$696,$A791)</f>
        <v>15326</v>
      </c>
      <c r="M791" s="160" t="n">
        <f aca="false">SUM(K791:L791)</f>
        <v>30652</v>
      </c>
      <c r="N791" s="207" t="n">
        <f aca="false">SUMIFS(報告入力!$BH$7:$BH$696,報告入力!$A$7:$A$696,$S$782,報告入力!$B$7:$B$696,$A791)</f>
        <v>1</v>
      </c>
      <c r="O791" s="208" t="n">
        <f aca="false">SUMIFS(報告入力!$BI$7:$BI$696,報告入力!$A$7:$A$696,$S$782,報告入力!$B$7:$B$696,$A791)</f>
        <v>1</v>
      </c>
      <c r="P791" s="160" t="n">
        <f aca="false">SUM(N791:O791)</f>
        <v>2</v>
      </c>
      <c r="Q791" s="135" t="str">
        <f aca="false">IF(P726=P791,"〇","×")</f>
        <v>〇</v>
      </c>
      <c r="R791" s="135" t="str">
        <f aca="false">IFERROR(INDEX(報告入力!$C$7:$C$696,MATCH($S$782&amp;"|"&amp;$A791,報告入力!$CM$7:$CM$696,0)),"")</f>
        <v>未受領</v>
      </c>
    </row>
    <row r="792" s="135" customFormat="true" ht="20.1" hidden="false" customHeight="true" outlineLevel="0" collapsed="false">
      <c r="A792" s="125" t="s">
        <v>174</v>
      </c>
      <c r="B792" s="240" t="n">
        <f aca="false">SUMIFS(報告入力!$AY$7:$AY$696,報告入力!$A$7:$A$696,$S$782,報告入力!$B$7:$B$696,$A792)</f>
        <v>561810</v>
      </c>
      <c r="C792" s="393" t="n">
        <f aca="false">SUMIFS(報告入力!$AZ$7:$AZ$696,報告入力!$A$7:$A$696,$S$782,報告入力!$B$7:$B$696,$A792)</f>
        <v>46050</v>
      </c>
      <c r="D792" s="240" t="n">
        <f aca="false">SUMIFS(報告入力!$BA$7:$BA$696,報告入力!$A$7:$A$696,$S$782,報告入力!$B$7:$B$696,$A792)</f>
        <v>816620</v>
      </c>
      <c r="E792" s="238" t="n">
        <f aca="false">SUMIFS(報告入力!$BB$7:$BB$696,報告入力!$A$7:$A$696,$S$782,報告入力!$B$7:$B$696,$A792)</f>
        <v>46050</v>
      </c>
      <c r="F792" s="393" t="n">
        <f aca="false">SUMIFS(報告入力!$BC$7:$BC$696,報告入力!$A$7:$A$696,$S$782,報告入力!$B$7:$B$696,$A792)</f>
        <v>576</v>
      </c>
      <c r="G792" s="206" t="n">
        <f aca="false">SUM(B792:F792)</f>
        <v>1471106</v>
      </c>
      <c r="H792" s="207" t="n">
        <f aca="false">SUMIFS(報告入力!$BD$7:$BD$696,報告入力!$A$7:$A$696,$S$782,報告入力!$B$7:$B$696,$A792)</f>
        <v>343259</v>
      </c>
      <c r="I792" s="208" t="n">
        <f aca="false">SUMIFS(報告入力!$BE$7:$BE$696,報告入力!$A$7:$A$696,$S$782,報告入力!$B$7:$B$696,$A792)</f>
        <v>349315</v>
      </c>
      <c r="J792" s="160" t="n">
        <f aca="false">SUM(H792:I792)</f>
        <v>692574</v>
      </c>
      <c r="K792" s="207" t="n">
        <f aca="false">SUMIFS(報告入力!$BF$7:$BF$696,報告入力!$A$7:$A$696,$S$782,報告入力!$B$7:$B$696,$A792)</f>
        <v>32232</v>
      </c>
      <c r="L792" s="208" t="n">
        <f aca="false">SUMIFS(報告入力!$BG$7:$BG$696,報告入力!$A$7:$A$696,$S$782,報告入力!$B$7:$B$696,$A792)</f>
        <v>32232</v>
      </c>
      <c r="M792" s="160" t="n">
        <f aca="false">SUM(K792:L792)</f>
        <v>64464</v>
      </c>
      <c r="N792" s="207" t="n">
        <f aca="false">SUMIFS(報告入力!$BH$7:$BH$696,報告入力!$A$7:$A$696,$S$782,報告入力!$B$7:$B$696,$A792)</f>
        <v>1</v>
      </c>
      <c r="O792" s="208" t="n">
        <f aca="false">SUMIFS(報告入力!$BI$7:$BI$696,報告入力!$A$7:$A$696,$S$782,報告入力!$B$7:$B$696,$A792)</f>
        <v>1</v>
      </c>
      <c r="P792" s="160" t="n">
        <f aca="false">SUM(N792:O792)</f>
        <v>2</v>
      </c>
      <c r="Q792" s="135" t="str">
        <f aca="false">IF(P727=P792,"〇","×")</f>
        <v>〇</v>
      </c>
      <c r="R792" s="135" t="str">
        <f aca="false">IFERROR(INDEX(報告入力!$C$7:$C$696,MATCH($S$782&amp;"|"&amp;$A792,報告入力!$CM$7:$CM$696,0)),"")</f>
        <v>未受領</v>
      </c>
    </row>
    <row r="793" s="135" customFormat="true" ht="20.1" hidden="false" customHeight="true" outlineLevel="0" collapsed="false">
      <c r="A793" s="125" t="s">
        <v>175</v>
      </c>
      <c r="B793" s="203" t="n">
        <f aca="false">SUMIFS(報告入力!$AY$7:$AY$696,報告入力!$A$7:$A$696,$S$782,報告入力!$B$7:$B$696,$A793)</f>
        <v>1344135</v>
      </c>
      <c r="C793" s="204" t="n">
        <f aca="false">SUMIFS(報告入力!$AZ$7:$AZ$696,報告入力!$A$7:$A$696,$S$782,報告入力!$B$7:$B$696,$A793)</f>
        <v>110175</v>
      </c>
      <c r="D793" s="387" t="n">
        <f aca="false">SUMIFS(報告入力!$BA$7:$BA$696,報告入力!$A$7:$A$696,$S$782,報告入力!$B$7:$B$696,$A793)</f>
        <v>1965390</v>
      </c>
      <c r="E793" s="387" t="n">
        <f aca="false">SUMIFS(報告入力!$BB$7:$BB$696,報告入力!$A$7:$A$696,$S$782,報告入力!$B$7:$B$696,$A793)</f>
        <v>110175</v>
      </c>
      <c r="F793" s="237" t="n">
        <f aca="false">SUMIFS(報告入力!$BC$7:$BC$696,報告入力!$A$7:$A$696,$S$782,報告入力!$B$7:$B$696,$A793)</f>
        <v>1405</v>
      </c>
      <c r="G793" s="206" t="n">
        <f aca="false">SUM(B793:F793)</f>
        <v>3531280</v>
      </c>
      <c r="H793" s="207" t="n">
        <f aca="false">SUMIFS(報告入力!$BD$7:$BD$696,報告入力!$A$7:$A$696,$S$782,報告入力!$B$7:$B$696,$A793)</f>
        <v>836690</v>
      </c>
      <c r="I793" s="208" t="n">
        <f aca="false">SUMIFS(報告入力!$BE$7:$BE$696,報告入力!$A$7:$A$696,$S$782,報告入力!$B$7:$B$696,$A793)</f>
        <v>851727</v>
      </c>
      <c r="J793" s="160" t="n">
        <f aca="false">SUM(H793:I793)</f>
        <v>1688417</v>
      </c>
      <c r="K793" s="287" t="n">
        <f aca="false">SUMIFS(報告入力!$BF$7:$BF$696,報告入力!$A$7:$A$696,$S$782,報告入力!$B$7:$B$696,$A793)</f>
        <v>108309</v>
      </c>
      <c r="L793" s="208" t="n">
        <f aca="false">SUMIFS(報告入力!$BG$7:$BG$696,報告入力!$A$7:$A$696,$S$782,報告入力!$B$7:$B$696,$A793)</f>
        <v>108309</v>
      </c>
      <c r="M793" s="160" t="n">
        <f aca="false">SUM(K793:L793)</f>
        <v>216618</v>
      </c>
      <c r="N793" s="287" t="n">
        <f aca="false">SUMIFS(報告入力!$BH$7:$BH$696,報告入力!$A$7:$A$696,$S$782,報告入力!$B$7:$B$696,$A793)</f>
        <v>1</v>
      </c>
      <c r="O793" s="208" t="n">
        <f aca="false">SUMIFS(報告入力!$BI$7:$BI$696,報告入力!$A$7:$A$696,$S$782,報告入力!$B$7:$B$696,$A793)</f>
        <v>1</v>
      </c>
      <c r="P793" s="160" t="n">
        <f aca="false">SUM(N793:O793)</f>
        <v>2</v>
      </c>
      <c r="Q793" s="135" t="str">
        <f aca="false">IF(P728=P793,"〇","×")</f>
        <v>〇</v>
      </c>
      <c r="R793" s="135" t="str">
        <f aca="false">IFERROR(INDEX(報告入力!$C$7:$C$696,MATCH($S$782&amp;"|"&amp;$A793,報告入力!$CM$7:$CM$696,0)),"")</f>
        <v>未受領</v>
      </c>
    </row>
    <row r="794" s="135" customFormat="true" ht="20.1" hidden="false" customHeight="true" outlineLevel="0" collapsed="false">
      <c r="A794" s="125" t="s">
        <v>176</v>
      </c>
      <c r="B794" s="240" t="n">
        <f aca="false">SUMIFS(報告入力!$AY$7:$AY$696,報告入力!$A$7:$A$696,$S$782,報告入力!$B$7:$B$696,$A794)</f>
        <v>382470</v>
      </c>
      <c r="C794" s="393" t="n">
        <f aca="false">SUMIFS(報告入力!$AZ$7:$AZ$696,報告入力!$A$7:$A$696,$S$782,報告入力!$B$7:$B$696,$A794)</f>
        <v>31350</v>
      </c>
      <c r="D794" s="240" t="n">
        <f aca="false">SUMIFS(報告入力!$BA$7:$BA$696,報告入力!$A$7:$A$696,$S$782,報告入力!$B$7:$B$696,$A794)</f>
        <v>555940</v>
      </c>
      <c r="E794" s="238" t="n">
        <f aca="false">SUMIFS(報告入力!$BB$7:$BB$696,報告入力!$A$7:$A$696,$S$782,報告入力!$B$7:$B$696,$A794)</f>
        <v>31350</v>
      </c>
      <c r="F794" s="393" t="n">
        <f aca="false">SUMIFS(報告入力!$BC$7:$BC$696,報告入力!$A$7:$A$696,$S$782,報告入力!$B$7:$B$696,$A794)</f>
        <v>392</v>
      </c>
      <c r="G794" s="206" t="n">
        <f aca="false">SUM(B794:F794)</f>
        <v>1001502</v>
      </c>
      <c r="H794" s="207" t="n">
        <f aca="false">SUMIFS(報告入力!$BD$7:$BD$696,報告入力!$A$7:$A$696,$S$782,報告入力!$B$7:$B$696,$A794)</f>
        <v>308930</v>
      </c>
      <c r="I794" s="208" t="n">
        <f aca="false">SUMIFS(報告入力!$BE$7:$BE$696,報告入力!$A$7:$A$696,$S$782,報告入力!$B$7:$B$696,$A794)</f>
        <v>314382</v>
      </c>
      <c r="J794" s="160" t="n">
        <f aca="false">SUM(H794:I794)</f>
        <v>623312</v>
      </c>
      <c r="K794" s="207" t="n">
        <f aca="false">SUMIFS(報告入力!$BF$7:$BF$696,報告入力!$A$7:$A$696,$S$782,報告入力!$B$7:$B$696,$A794)</f>
        <v>32672</v>
      </c>
      <c r="L794" s="208" t="n">
        <f aca="false">SUMIFS(報告入力!$BG$7:$BG$696,報告入力!$A$7:$A$696,$S$782,報告入力!$B$7:$B$696,$A794)</f>
        <v>32674</v>
      </c>
      <c r="M794" s="160" t="n">
        <f aca="false">SUM(K794:L794)</f>
        <v>65346</v>
      </c>
      <c r="N794" s="207" t="n">
        <f aca="false">SUMIFS(報告入力!$BH$7:$BH$696,報告入力!$A$7:$A$696,$S$782,報告入力!$B$7:$B$696,$A794)</f>
        <v>1</v>
      </c>
      <c r="O794" s="208" t="n">
        <f aca="false">SUMIFS(報告入力!$BI$7:$BI$696,報告入力!$A$7:$A$696,$S$782,報告入力!$B$7:$B$696,$A794)</f>
        <v>1</v>
      </c>
      <c r="P794" s="160" t="n">
        <f aca="false">SUM(N794:O794)</f>
        <v>2</v>
      </c>
      <c r="Q794" s="135" t="str">
        <f aca="false">IF(P729=P794,"〇","×")</f>
        <v>〇</v>
      </c>
      <c r="R794" s="135" t="str">
        <f aca="false">IFERROR(INDEX(報告入力!$C$7:$C$696,MATCH($S$782&amp;"|"&amp;$A794,報告入力!$CM$7:$CM$696,0)),"")</f>
        <v>未受領</v>
      </c>
    </row>
    <row r="795" s="135" customFormat="true" ht="20.1" hidden="false" customHeight="true" outlineLevel="0" collapsed="false">
      <c r="A795" s="125" t="s">
        <v>177</v>
      </c>
      <c r="B795" s="240" t="n">
        <f aca="false">SUMIFS(報告入力!$AY$7:$AY$696,報告入力!$A$7:$A$696,$S$782,報告入力!$B$7:$B$696,$A795)</f>
        <v>22497105</v>
      </c>
      <c r="C795" s="393" t="n">
        <f aca="false">SUMIFS(報告入力!$AZ$7:$AZ$696,報告入力!$A$7:$A$696,$S$782,報告入力!$B$7:$B$696,$A795)</f>
        <v>1844025</v>
      </c>
      <c r="D795" s="240" t="n">
        <f aca="false">SUMIFS(報告入力!$BA$7:$BA$696,報告入力!$A$7:$A$696,$S$782,報告入力!$B$7:$B$696,$A795)</f>
        <v>32830605</v>
      </c>
      <c r="E795" s="238" t="n">
        <f aca="false">SUMIFS(報告入力!$BB$7:$BB$696,報告入力!$A$7:$A$696,$S$782,報告入力!$B$7:$B$696,$A795)</f>
        <v>1844025</v>
      </c>
      <c r="F795" s="393" t="n">
        <f aca="false">SUMIFS(報告入力!$BC$7:$BC$696,報告入力!$A$7:$A$696,$S$782,報告入力!$B$7:$B$696,$A795)</f>
        <v>23375</v>
      </c>
      <c r="G795" s="206" t="n">
        <f aca="false">SUM(B795:F795)</f>
        <v>59039135</v>
      </c>
      <c r="H795" s="207" t="n">
        <f aca="false">SUMIFS(報告入力!$BD$7:$BD$696,報告入力!$A$7:$A$696,$S$782,報告入力!$B$7:$B$696,$A795)</f>
        <v>14250081</v>
      </c>
      <c r="I795" s="208" t="n">
        <f aca="false">SUMIFS(報告入力!$BE$7:$BE$696,報告入力!$A$7:$A$696,$S$782,報告入力!$B$7:$B$696,$A795)</f>
        <v>14504654</v>
      </c>
      <c r="J795" s="160" t="n">
        <f aca="false">SUM(H795:I795)</f>
        <v>28754735</v>
      </c>
      <c r="K795" s="207" t="n">
        <f aca="false">SUMIFS(報告入力!$BF$7:$BF$696,報告入力!$A$7:$A$696,$S$782,報告入力!$B$7:$B$696,$A795)</f>
        <v>1332730</v>
      </c>
      <c r="L795" s="208" t="n">
        <f aca="false">SUMIFS(報告入力!$BG$7:$BG$696,報告入力!$A$7:$A$696,$S$782,報告入力!$B$7:$B$696,$A795)</f>
        <v>1332730</v>
      </c>
      <c r="M795" s="160" t="n">
        <f aca="false">SUM(K795:L795)</f>
        <v>2665460</v>
      </c>
      <c r="N795" s="207" t="n">
        <f aca="false">SUMIFS(報告入力!$BH$7:$BH$696,報告入力!$A$7:$A$696,$S$782,報告入力!$B$7:$B$696,$A795)</f>
        <v>1</v>
      </c>
      <c r="O795" s="208" t="n">
        <f aca="false">SUMIFS(報告入力!$BI$7:$BI$696,報告入力!$A$7:$A$696,$S$782,報告入力!$B$7:$B$696,$A795)</f>
        <v>1</v>
      </c>
      <c r="P795" s="160" t="n">
        <f aca="false">SUM(N795:O795)</f>
        <v>2</v>
      </c>
      <c r="Q795" s="135" t="str">
        <f aca="false">IF(P730=P795,"〇","×")</f>
        <v>〇</v>
      </c>
      <c r="R795" s="135" t="str">
        <f aca="false">IFERROR(INDEX(報告入力!$C$7:$C$696,MATCH($S$782&amp;"|"&amp;$A795,報告入力!$CM$7:$CM$696,0)),"")</f>
        <v>未受領</v>
      </c>
    </row>
    <row r="796" s="135" customFormat="true" ht="19.5" hidden="false" customHeight="true" outlineLevel="0" collapsed="false">
      <c r="A796" s="146" t="s">
        <v>495</v>
      </c>
      <c r="B796" s="240" t="n">
        <f aca="false">SUMIFS(報告入力!$AY$7:$AY$696,報告入力!$A$7:$A$696,$S$782,報告入力!$B$7:$B$696,$A796)</f>
        <v>48495</v>
      </c>
      <c r="C796" s="393" t="n">
        <f aca="false">SUMIFS(報告入力!$AZ$7:$AZ$696,報告入力!$A$7:$A$696,$S$782,報告入力!$B$7:$B$696,$A796)</f>
        <v>3975</v>
      </c>
      <c r="D796" s="240" t="n">
        <f aca="false">SUMIFS(報告入力!$BA$7:$BA$696,報告入力!$A$7:$A$696,$S$782,報告入力!$B$7:$B$696,$A796)</f>
        <v>70490</v>
      </c>
      <c r="E796" s="238" t="n">
        <f aca="false">SUMIFS(報告入力!$BB$7:$BB$696,報告入力!$A$7:$A$696,$S$782,報告入力!$B$7:$B$696,$A796)</f>
        <v>3975</v>
      </c>
      <c r="F796" s="393" t="n">
        <f aca="false">SUMIFS(報告入力!$BC$7:$BC$696,報告入力!$A$7:$A$696,$S$782,報告入力!$B$7:$B$696,$A796)</f>
        <v>49</v>
      </c>
      <c r="G796" s="206" t="n">
        <f aca="false">SUM(B796:F796)</f>
        <v>126984</v>
      </c>
      <c r="H796" s="207" t="n">
        <f aca="false">SUMIFS(報告入力!$BD$7:$BD$696,報告入力!$A$7:$A$696,$S$782,報告入力!$B$7:$B$696,$A796)</f>
        <v>29155</v>
      </c>
      <c r="I796" s="208" t="n">
        <f aca="false">SUMIFS(報告入力!$BE$7:$BE$696,報告入力!$A$7:$A$696,$S$782,報告入力!$B$7:$B$696,$A796)</f>
        <v>29669</v>
      </c>
      <c r="J796" s="160" t="n">
        <f aca="false">SUM(H796:I796)</f>
        <v>58824</v>
      </c>
      <c r="K796" s="207" t="n">
        <f aca="false">SUMIFS(報告入力!$BF$7:$BF$696,報告入力!$A$7:$A$696,$S$782,報告入力!$B$7:$B$696,$A796)</f>
        <v>4187</v>
      </c>
      <c r="L796" s="208" t="n">
        <f aca="false">SUMIFS(報告入力!$BG$7:$BG$696,報告入力!$A$7:$A$696,$S$782,報告入力!$B$7:$B$696,$A796)</f>
        <v>4187</v>
      </c>
      <c r="M796" s="160" t="n">
        <f aca="false">SUM(K796:L796)</f>
        <v>8374</v>
      </c>
      <c r="N796" s="207" t="n">
        <f aca="false">SUMIFS(報告入力!$BH$7:$BH$696,報告入力!$A$7:$A$696,$S$782,報告入力!$B$7:$B$696,$A796)</f>
        <v>1</v>
      </c>
      <c r="O796" s="208" t="n">
        <f aca="false">SUMIFS(報告入力!$BI$7:$BI$696,報告入力!$A$7:$A$696,$S$782,報告入力!$B$7:$B$696,$A796)</f>
        <v>1</v>
      </c>
      <c r="P796" s="160" t="n">
        <f aca="false">SUM(N796:O796)</f>
        <v>2</v>
      </c>
      <c r="Q796" s="135" t="str">
        <f aca="false">IF(P731=P796,"〇","×")</f>
        <v>〇</v>
      </c>
      <c r="R796" s="135" t="str">
        <f aca="false">IFERROR(INDEX(報告入力!$C$7:$C$696,MATCH($S$782&amp;"|"&amp;$A796,報告入力!$CM$7:$CM$696,0)),"")</f>
        <v>未受領</v>
      </c>
    </row>
    <row r="797" s="162" customFormat="true" ht="19.5" hidden="false" customHeight="true" outlineLevel="0" collapsed="false">
      <c r="A797" s="151" t="s">
        <v>179</v>
      </c>
      <c r="B797" s="152" t="n">
        <f aca="false">SUMIFS(報告入力!$AY$7:$AY$696,報告入力!$A$7:$A$696,$S$782,報告入力!$B$7:$B$696,$A797)</f>
        <v>0</v>
      </c>
      <c r="C797" s="153" t="n">
        <f aca="false">SUMIFS(報告入力!$AZ$7:$AZ$696,報告入力!$A$7:$A$696,$S$782,報告入力!$B$7:$B$696,$A797)</f>
        <v>0</v>
      </c>
      <c r="D797" s="154"/>
      <c r="E797" s="155"/>
      <c r="F797" s="156" t="n">
        <f aca="false">SUMIFS(報告入力!$BC$7:$BC$696,報告入力!$A$7:$A$696,$S$782,報告入力!$B$7:$B$696,$A797)</f>
        <v>0</v>
      </c>
      <c r="G797" s="157" t="n">
        <f aca="false">SUM(B797:F797)</f>
        <v>0</v>
      </c>
      <c r="H797" s="207" t="n">
        <f aca="false">SUMIFS(報告入力!$BD$7:$BD$696,報告入力!$A$7:$A$696,$S$782,報告入力!$B$7:$B$696,$A797)</f>
        <v>248959</v>
      </c>
      <c r="I797" s="208" t="n">
        <f aca="false">SUMIFS(報告入力!$BE$7:$BE$696,報告入力!$A$7:$A$696,$S$782,報告入力!$B$7:$B$696,$A797)</f>
        <v>253575</v>
      </c>
      <c r="J797" s="160" t="n">
        <f aca="false">SUM(H797:I797)</f>
        <v>502534</v>
      </c>
      <c r="K797" s="287" t="n">
        <f aca="false">SUMIFS(報告入力!$BF$7:$BF$696,報告入力!$A$7:$A$696,$S$782,報告入力!$B$7:$B$696,$A797)</f>
        <v>7441</v>
      </c>
      <c r="L797" s="208" t="n">
        <f aca="false">SUMIFS(報告入力!$BG$7:$BG$696,報告入力!$A$7:$A$696,$S$782,報告入力!$B$7:$B$696,$A797)</f>
        <v>7441</v>
      </c>
      <c r="M797" s="160" t="n">
        <f aca="false">SUM(K797:L797)</f>
        <v>14882</v>
      </c>
      <c r="N797" s="287" t="n">
        <f aca="false">SUMIFS(報告入力!$BH$7:$BH$696,報告入力!$A$7:$A$696,$S$782,報告入力!$B$7:$B$696,$A797)</f>
        <v>1</v>
      </c>
      <c r="O797" s="208" t="n">
        <f aca="false">SUMIFS(報告入力!$BI$7:$BI$696,報告入力!$A$7:$A$696,$S$782,報告入力!$B$7:$B$696,$A797)</f>
        <v>1</v>
      </c>
      <c r="P797" s="160" t="n">
        <f aca="false">SUM(N797:O797)</f>
        <v>2</v>
      </c>
      <c r="Q797" s="162" t="str">
        <f aca="false">IF(P732=P797,"〇","×")</f>
        <v>〇</v>
      </c>
      <c r="R797" s="162" t="str">
        <f aca="false">IFERROR(INDEX(報告入力!$C$7:$C$696,MATCH($S$782&amp;"|"&amp;$A797,報告入力!$CM$7:$CM$696,0)),"")</f>
        <v>未受領</v>
      </c>
    </row>
    <row r="798" s="162" customFormat="true" ht="19.5" hidden="false" customHeight="true" outlineLevel="0" collapsed="false">
      <c r="A798" s="163" t="s">
        <v>496</v>
      </c>
      <c r="B798" s="164"/>
      <c r="C798" s="165"/>
      <c r="D798" s="164"/>
      <c r="E798" s="166"/>
      <c r="F798" s="167"/>
      <c r="G798" s="168"/>
      <c r="H798" s="169"/>
      <c r="I798" s="170"/>
      <c r="J798" s="171"/>
      <c r="K798" s="172"/>
      <c r="L798" s="173"/>
      <c r="M798" s="173"/>
      <c r="N798" s="172"/>
      <c r="O798" s="173"/>
      <c r="P798" s="173"/>
      <c r="Q798" s="162" t="str">
        <f aca="false">IF(P733=P798,"〇","×")</f>
        <v>〇</v>
      </c>
    </row>
    <row r="799" s="162" customFormat="true" ht="19.5" hidden="false" customHeight="true" outlineLevel="0" collapsed="false">
      <c r="A799" s="174" t="s">
        <v>496</v>
      </c>
      <c r="B799" s="175"/>
      <c r="C799" s="176"/>
      <c r="D799" s="175"/>
      <c r="E799" s="177"/>
      <c r="F799" s="178"/>
      <c r="G799" s="179"/>
      <c r="H799" s="180"/>
      <c r="I799" s="177"/>
      <c r="J799" s="181"/>
      <c r="K799" s="182"/>
      <c r="L799" s="183"/>
      <c r="M799" s="183"/>
      <c r="N799" s="182"/>
      <c r="O799" s="183"/>
      <c r="P799" s="183"/>
      <c r="Q799" s="162" t="str">
        <f aca="false">IF(P734=P799,"〇","×")</f>
        <v>〇</v>
      </c>
    </row>
    <row r="800" s="162" customFormat="true" ht="19.5" hidden="false" customHeight="true" outlineLevel="0" collapsed="false">
      <c r="A800" s="174" t="s">
        <v>496</v>
      </c>
      <c r="B800" s="164"/>
      <c r="C800" s="165"/>
      <c r="D800" s="164"/>
      <c r="E800" s="166"/>
      <c r="F800" s="167"/>
      <c r="G800" s="168"/>
      <c r="H800" s="184"/>
      <c r="I800" s="166"/>
      <c r="J800" s="171"/>
      <c r="K800" s="185"/>
      <c r="L800" s="186"/>
      <c r="M800" s="186"/>
      <c r="N800" s="185"/>
      <c r="O800" s="186"/>
      <c r="P800" s="186"/>
      <c r="Q800" s="162" t="str">
        <f aca="false">IF(P735=P800,"〇","×")</f>
        <v>〇</v>
      </c>
    </row>
    <row r="801" s="162" customFormat="true" ht="19.5" hidden="false" customHeight="true" outlineLevel="0" collapsed="false">
      <c r="A801" s="187" t="s">
        <v>496</v>
      </c>
      <c r="B801" s="188"/>
      <c r="C801" s="189"/>
      <c r="D801" s="188"/>
      <c r="E801" s="190"/>
      <c r="F801" s="191"/>
      <c r="G801" s="192"/>
      <c r="H801" s="180"/>
      <c r="I801" s="193"/>
      <c r="J801" s="194"/>
      <c r="K801" s="182"/>
      <c r="L801" s="183"/>
      <c r="M801" s="195"/>
      <c r="N801" s="182"/>
      <c r="O801" s="183"/>
      <c r="P801" s="195"/>
      <c r="Q801" s="162" t="str">
        <f aca="false">IF(P736=P801,"〇","×")</f>
        <v>〇</v>
      </c>
    </row>
    <row r="802" s="162" customFormat="true" ht="19.5" hidden="false" customHeight="true" outlineLevel="0" collapsed="false">
      <c r="A802" s="196" t="s">
        <v>497</v>
      </c>
      <c r="B802" s="197" t="n">
        <f aca="false">SUM(B786:B801)</f>
        <v>354250762</v>
      </c>
      <c r="C802" s="198" t="n">
        <f aca="false">SUM(C786:C801)</f>
        <v>29041825</v>
      </c>
      <c r="D802" s="197" t="n">
        <f aca="false">SUM(D786:D801)</f>
        <v>516449080</v>
      </c>
      <c r="E802" s="199" t="n">
        <f aca="false">SUM(E786:E801)</f>
        <v>28537972</v>
      </c>
      <c r="F802" s="200" t="n">
        <f aca="false">SUM(F786:F801)</f>
        <v>371064</v>
      </c>
      <c r="G802" s="201" t="n">
        <f aca="false">SUM(B802:F802)</f>
        <v>928650703</v>
      </c>
      <c r="H802" s="198" t="n">
        <f aca="false">SUM(H786:H801)</f>
        <v>266411675</v>
      </c>
      <c r="I802" s="198" t="n">
        <f aca="false">SUM(I786:I801)</f>
        <v>267408345</v>
      </c>
      <c r="J802" s="200" t="n">
        <f aca="false">SUM(H802:I802)</f>
        <v>533820020</v>
      </c>
      <c r="K802" s="197" t="n">
        <f aca="false">SUM(K786:K801)</f>
        <v>23305722</v>
      </c>
      <c r="L802" s="198" t="n">
        <f aca="false">SUM(L786:L801)</f>
        <v>22848555</v>
      </c>
      <c r="M802" s="200" t="n">
        <f aca="false">SUM(K802:L802)</f>
        <v>46154277</v>
      </c>
      <c r="N802" s="197" t="n">
        <f aca="false">SUM(N786:N801)</f>
        <v>12</v>
      </c>
      <c r="O802" s="198" t="n">
        <f aca="false">SUM(O786:O801)</f>
        <v>12</v>
      </c>
      <c r="P802" s="200" t="n">
        <f aca="false">SUM(N802:O802)</f>
        <v>24</v>
      </c>
      <c r="Q802" s="162" t="str">
        <f aca="false">IF(P737=P802,"〇","×")</f>
        <v>〇</v>
      </c>
    </row>
    <row r="803" s="135" customFormat="true" ht="20.1" hidden="false" customHeight="true" outlineLevel="0" collapsed="false">
      <c r="A803" s="202" t="s">
        <v>180</v>
      </c>
      <c r="B803" s="324"/>
      <c r="C803" s="325"/>
      <c r="D803" s="450"/>
      <c r="E803" s="334"/>
      <c r="F803" s="333"/>
      <c r="G803" s="327" t="n">
        <f aca="false">SUM(B803:F803)</f>
        <v>0</v>
      </c>
      <c r="H803" s="328"/>
      <c r="I803" s="329"/>
      <c r="J803" s="330" t="n">
        <f aca="false">SUM(H803:I803)</f>
        <v>0</v>
      </c>
      <c r="K803" s="328"/>
      <c r="L803" s="329"/>
      <c r="M803" s="330" t="n">
        <f aca="false">SUM(K803:L803)</f>
        <v>0</v>
      </c>
      <c r="N803" s="328"/>
      <c r="O803" s="329"/>
      <c r="P803" s="330" t="n">
        <f aca="false">SUM(N803:O803)</f>
        <v>0</v>
      </c>
      <c r="Q803" s="135" t="str">
        <f aca="false">IF(P738=P803,"〇","×")</f>
        <v>〇</v>
      </c>
      <c r="R803" s="135" t="str">
        <f aca="false">IFERROR(INDEX(報告入力!$C$7:$C$696,MATCH($S$782&amp;"|"&amp;$A803,報告入力!$CM$7:$CM$696,0)),"")</f>
        <v>報告なし</v>
      </c>
    </row>
    <row r="804" s="135" customFormat="true" ht="20.1" hidden="false" customHeight="true" outlineLevel="0" collapsed="false">
      <c r="A804" s="125" t="s">
        <v>182</v>
      </c>
      <c r="B804" s="240" t="n">
        <f aca="false">SUMIFS(報告入力!$AY$7:$AY$696,報告入力!$A$7:$A$696,$S$782,報告入力!$B$7:$B$696,$A804)</f>
        <v>0</v>
      </c>
      <c r="C804" s="393" t="n">
        <f aca="false">SUMIFS(報告入力!$AZ$7:$AZ$696,報告入力!$A$7:$A$696,$S$782,報告入力!$B$7:$B$696,$A804)</f>
        <v>0</v>
      </c>
      <c r="D804" s="240" t="n">
        <f aca="false">SUMIFS(報告入力!$BA$7:$BA$696,報告入力!$A$7:$A$696,$S$782,報告入力!$B$7:$B$696,$A804)</f>
        <v>673440</v>
      </c>
      <c r="E804" s="238" t="n">
        <f aca="false">SUMIFS(報告入力!$BB$7:$BB$696,報告入力!$A$7:$A$696,$S$782,報告入力!$B$7:$B$696,$A804)</f>
        <v>55200</v>
      </c>
      <c r="F804" s="393" t="n">
        <f aca="false">SUMIFS(報告入力!$BC$7:$BC$696,報告入力!$A$7:$A$696,$S$782,報告入力!$B$7:$B$696,$A804)</f>
        <v>758</v>
      </c>
      <c r="G804" s="206" t="n">
        <f aca="false">SUM(B804:F804)</f>
        <v>729398</v>
      </c>
      <c r="H804" s="207" t="n">
        <f aca="false">SUMIFS(報告入力!$BD$7:$BD$696,報告入力!$A$7:$A$696,$S$782,報告入力!$B$7:$B$696,$A804)</f>
        <v>0</v>
      </c>
      <c r="I804" s="208" t="n">
        <f aca="false">SUMIFS(報告入力!$BE$7:$BE$696,報告入力!$A$7:$A$696,$S$782,報告入力!$B$7:$B$696,$A804)</f>
        <v>407262</v>
      </c>
      <c r="J804" s="160" t="n">
        <f aca="false">SUM(H804:I804)</f>
        <v>407262</v>
      </c>
      <c r="K804" s="207" t="n">
        <f aca="false">SUMIFS(報告入力!$BF$7:$BF$696,報告入力!$A$7:$A$696,$S$782,報告入力!$B$7:$B$696,$A804)</f>
        <v>0</v>
      </c>
      <c r="L804" s="208" t="n">
        <f aca="false">SUMIFS(報告入力!$BG$7:$BG$696,報告入力!$A$7:$A$696,$S$782,報告入力!$B$7:$B$696,$A804)</f>
        <v>52377</v>
      </c>
      <c r="M804" s="160" t="n">
        <f aca="false">SUM(K804:L804)</f>
        <v>52377</v>
      </c>
      <c r="N804" s="207" t="n">
        <f aca="false">SUMIFS(報告入力!$BH$7:$BH$696,報告入力!$A$7:$A$696,$S$782,報告入力!$B$7:$B$696,$A804)</f>
        <v>0</v>
      </c>
      <c r="O804" s="208" t="n">
        <f aca="false">SUMIFS(報告入力!$BI$7:$BI$696,報告入力!$A$7:$A$696,$S$782,報告入力!$B$7:$B$696,$A804)</f>
        <v>1</v>
      </c>
      <c r="P804" s="160" t="n">
        <f aca="false">SUM(N804:O804)</f>
        <v>1</v>
      </c>
      <c r="Q804" s="135" t="str">
        <f aca="false">IF(P739=P804,"〇","×")</f>
        <v>〇</v>
      </c>
      <c r="R804" s="135" t="str">
        <f aca="false">IFERROR(INDEX(報告入力!$C$7:$C$696,MATCH($S$782&amp;"|"&amp;$A804,報告入力!$CM$7:$CM$696,0)),"")</f>
        <v>未受領</v>
      </c>
    </row>
    <row r="805" s="135" customFormat="true" ht="20.1" hidden="false" customHeight="true" outlineLevel="0" collapsed="false">
      <c r="A805" s="125" t="s">
        <v>183</v>
      </c>
      <c r="B805" s="211"/>
      <c r="C805" s="212"/>
      <c r="D805" s="240" t="n">
        <f aca="false">SUMIFS(報告入力!$BA$7:$BA$696,報告入力!$A$7:$A$696,$S$782,報告入力!$B$7:$B$696,$A805)</f>
        <v>1886730</v>
      </c>
      <c r="E805" s="238" t="n">
        <f aca="false">SUMIFS(報告入力!$BB$7:$BB$696,報告入力!$A$7:$A$696,$S$782,報告入力!$B$7:$B$696,$A805)</f>
        <v>154650</v>
      </c>
      <c r="F805" s="393" t="n">
        <f aca="false">SUMIFS(報告入力!$BC$7:$BC$696,報告入力!$A$7:$A$696,$S$782,報告入力!$B$7:$B$696,$A805)</f>
        <v>1988</v>
      </c>
      <c r="G805" s="206" t="n">
        <f aca="false">SUM(B805:F805)</f>
        <v>2043368</v>
      </c>
      <c r="H805" s="213"/>
      <c r="I805" s="208" t="n">
        <f aca="false">SUMIFS(報告入力!$BE$7:$BE$696,報告入力!$A$7:$A$696,$S$782,報告入力!$B$7:$B$696,$A805)</f>
        <v>1275306</v>
      </c>
      <c r="J805" s="160" t="n">
        <f aca="false">SUM(H805:I805)</f>
        <v>1275306</v>
      </c>
      <c r="K805" s="213"/>
      <c r="L805" s="208" t="n">
        <f aca="false">SUMIFS(報告入力!$BG$7:$BG$696,報告入力!$A$7:$A$696,$S$782,報告入力!$B$7:$B$696,$A805)</f>
        <v>141252</v>
      </c>
      <c r="M805" s="160" t="n">
        <f aca="false">SUM(K805:L805)</f>
        <v>141252</v>
      </c>
      <c r="N805" s="213"/>
      <c r="O805" s="208" t="n">
        <f aca="false">SUMIFS(報告入力!$BI$7:$BI$696,報告入力!$A$7:$A$696,$S$782,報告入力!$B$7:$B$696,$A805)</f>
        <v>1</v>
      </c>
      <c r="P805" s="160" t="n">
        <f aca="false">SUM(N805:O805)</f>
        <v>1</v>
      </c>
      <c r="Q805" s="135" t="str">
        <f aca="false">IF(P740=P805,"〇","×")</f>
        <v>〇</v>
      </c>
      <c r="R805" s="135" t="str">
        <f aca="false">IFERROR(INDEX(報告入力!$C$7:$C$696,MATCH($S$782&amp;"|"&amp;$A805,報告入力!$CM$7:$CM$696,0)),"")</f>
        <v>未受領</v>
      </c>
    </row>
    <row r="806" s="135" customFormat="true" ht="20.1" hidden="false" customHeight="true" outlineLevel="0" collapsed="false">
      <c r="A806" s="125" t="s">
        <v>184</v>
      </c>
      <c r="B806" s="211"/>
      <c r="C806" s="212"/>
      <c r="D806" s="240" t="n">
        <f aca="false">SUMIFS(報告入力!$BA$7:$BA$696,報告入力!$A$7:$A$696,$S$782,報告入力!$B$7:$B$696,$A806)</f>
        <v>48495</v>
      </c>
      <c r="E806" s="238" t="n">
        <f aca="false">SUMIFS(報告入力!$BB$7:$BB$696,報告入力!$A$7:$A$696,$S$782,報告入力!$B$7:$B$696,$A806)</f>
        <v>3975</v>
      </c>
      <c r="F806" s="393" t="n">
        <f aca="false">SUMIFS(報告入力!$BC$7:$BC$696,報告入力!$A$7:$A$696,$S$782,報告入力!$B$7:$B$696,$A806)</f>
        <v>49</v>
      </c>
      <c r="G806" s="206" t="n">
        <f aca="false">SUM(B806:F806)</f>
        <v>52519</v>
      </c>
      <c r="H806" s="213"/>
      <c r="I806" s="208" t="n">
        <f aca="false">SUMIFS(報告入力!$BE$7:$BE$696,報告入力!$A$7:$A$696,$S$782,報告入力!$B$7:$B$696,$A806)</f>
        <v>29208</v>
      </c>
      <c r="J806" s="160" t="n">
        <f aca="false">SUM(H806:I806)</f>
        <v>29208</v>
      </c>
      <c r="K806" s="213"/>
      <c r="L806" s="208" t="n">
        <f aca="false">SUMIFS(報告入力!$BG$7:$BG$696,報告入力!$A$7:$A$696,$S$782,報告入力!$B$7:$B$696,$A806)</f>
        <v>4187</v>
      </c>
      <c r="M806" s="160" t="n">
        <f aca="false">SUM(K806:L806)</f>
        <v>4187</v>
      </c>
      <c r="N806" s="213"/>
      <c r="O806" s="208" t="n">
        <f aca="false">SUMIFS(報告入力!$BI$7:$BI$696,報告入力!$A$7:$A$696,$S$782,報告入力!$B$7:$B$696,$A806)</f>
        <v>1</v>
      </c>
      <c r="P806" s="160" t="n">
        <f aca="false">SUM(N806:O806)</f>
        <v>1</v>
      </c>
      <c r="Q806" s="135" t="str">
        <f aca="false">IF(P741=P806,"〇","×")</f>
        <v>〇</v>
      </c>
      <c r="R806" s="135" t="str">
        <f aca="false">IFERROR(INDEX(報告入力!$C$7:$C$696,MATCH($S$782&amp;"|"&amp;$A806,報告入力!$CM$7:$CM$696,0)),"")</f>
        <v>未受領</v>
      </c>
    </row>
    <row r="807" s="135" customFormat="true" ht="20.1" hidden="false" customHeight="true" outlineLevel="0" collapsed="false">
      <c r="A807" s="214" t="s">
        <v>185</v>
      </c>
      <c r="B807" s="211"/>
      <c r="C807" s="212"/>
      <c r="D807" s="240" t="n">
        <f aca="false">SUMIFS(報告入力!$BA$7:$BA$696,報告入力!$A$7:$A$696,$S$782,報告入力!$B$7:$B$696,$A807)</f>
        <v>425475</v>
      </c>
      <c r="E807" s="238" t="n">
        <f aca="false">SUMIFS(報告入力!$BB$7:$BB$696,報告入力!$A$7:$A$696,$S$782,報告入力!$B$7:$B$696,$A807)</f>
        <v>34875</v>
      </c>
      <c r="F807" s="393" t="n">
        <f aca="false">SUMIFS(報告入力!$BC$7:$BC$696,報告入力!$A$7:$A$696,$S$782,報告入力!$B$7:$B$696,$A807)</f>
        <v>435</v>
      </c>
      <c r="G807" s="206" t="n">
        <f aca="false">SUM(B807:F807)</f>
        <v>460785</v>
      </c>
      <c r="H807" s="213"/>
      <c r="I807" s="208" t="n">
        <f aca="false">SUMIFS(報告入力!$BE$7:$BE$696,報告入力!$A$7:$A$696,$S$782,報告入力!$B$7:$B$696,$A807)</f>
        <v>256260</v>
      </c>
      <c r="J807" s="160" t="n">
        <f aca="false">SUM(H807:I807)</f>
        <v>256260</v>
      </c>
      <c r="K807" s="213"/>
      <c r="L807" s="208" t="n">
        <f aca="false">SUMIFS(報告入力!$BG$7:$BG$696,報告入力!$A$7:$A$696,$S$782,報告入力!$B$7:$B$696,$A807)</f>
        <v>34207</v>
      </c>
      <c r="M807" s="160" t="n">
        <f aca="false">SUM(K807:L807)</f>
        <v>34207</v>
      </c>
      <c r="N807" s="213"/>
      <c r="O807" s="208" t="n">
        <f aca="false">SUMIFS(報告入力!$BI$7:$BI$696,報告入力!$A$7:$A$696,$S$782,報告入力!$B$7:$B$696,$A807)</f>
        <v>1</v>
      </c>
      <c r="P807" s="160" t="n">
        <f aca="false">SUM(N807:O807)</f>
        <v>1</v>
      </c>
      <c r="Q807" s="135" t="str">
        <f aca="false">IF(P742=P807,"〇","×")</f>
        <v>〇</v>
      </c>
      <c r="R807" s="135" t="str">
        <f aca="false">IFERROR(INDEX(報告入力!$C$7:$C$696,MATCH($S$782&amp;"|"&amp;$A807,報告入力!$CM$7:$CM$696,0)),"")</f>
        <v>未受領</v>
      </c>
    </row>
    <row r="808" s="135" customFormat="true" ht="20.1" hidden="false" customHeight="true" outlineLevel="0" collapsed="false">
      <c r="A808" s="146" t="s">
        <v>186</v>
      </c>
      <c r="B808" s="211"/>
      <c r="C808" s="216"/>
      <c r="D808" s="240" t="n">
        <f aca="false">SUMIFS(報告入力!$BA$7:$BA$696,報告入力!$A$7:$A$696,$S$782,報告入力!$B$7:$B$696,$A808)</f>
        <v>86010</v>
      </c>
      <c r="E808" s="238" t="n">
        <f aca="false">SUMIFS(報告入力!$BB$7:$BB$696,報告入力!$A$7:$A$696,$S$782,報告入力!$B$7:$B$696,$A808)</f>
        <v>7050</v>
      </c>
      <c r="F808" s="393" t="n">
        <f aca="false">SUMIFS(報告入力!$BC$7:$BC$696,報告入力!$A$7:$A$696,$S$782,報告入力!$B$7:$B$696,$A808)</f>
        <v>88</v>
      </c>
      <c r="G808" s="206" t="n">
        <f aca="false">SUM(B808:F808)</f>
        <v>93148</v>
      </c>
      <c r="H808" s="213"/>
      <c r="I808" s="208" t="n">
        <f aca="false">SUMIFS(報告入力!$BE$7:$BE$696,報告入力!$A$7:$A$696,$S$782,報告入力!$B$7:$B$696,$A808)</f>
        <v>51803</v>
      </c>
      <c r="J808" s="160" t="n">
        <f aca="false">SUM(H808:I808)</f>
        <v>51803</v>
      </c>
      <c r="K808" s="213"/>
      <c r="L808" s="208" t="n">
        <f aca="false">SUMIFS(報告入力!$BG$7:$BG$696,報告入力!$A$7:$A$696,$S$782,報告入力!$B$7:$B$696,$A808)</f>
        <v>7426</v>
      </c>
      <c r="M808" s="160" t="n">
        <f aca="false">SUM(K808:L808)</f>
        <v>7426</v>
      </c>
      <c r="N808" s="213"/>
      <c r="O808" s="208" t="n">
        <f aca="false">SUMIFS(報告入力!$BI$7:$BI$696,報告入力!$A$7:$A$696,$S$782,報告入力!$B$7:$B$696,$A808)</f>
        <v>1</v>
      </c>
      <c r="P808" s="160" t="n">
        <f aca="false">SUM(N808:O808)</f>
        <v>1</v>
      </c>
      <c r="Q808" s="135" t="str">
        <f aca="false">IF(P743=P808,"〇","×")</f>
        <v>〇</v>
      </c>
      <c r="R808" s="135" t="str">
        <f aca="false">IFERROR(INDEX(報告入力!$C$7:$C$696,MATCH($S$782&amp;"|"&amp;$A808,報告入力!$CM$7:$CM$696,0)),"")</f>
        <v>未受領</v>
      </c>
    </row>
    <row r="809" s="135" customFormat="true" ht="20.1" hidden="false" customHeight="true" outlineLevel="0" collapsed="false">
      <c r="A809" s="146" t="s">
        <v>187</v>
      </c>
      <c r="B809" s="211"/>
      <c r="C809" s="216"/>
      <c r="D809" s="240" t="n">
        <f aca="false">SUMIFS(報告入力!$BA$7:$BA$696,報告入力!$A$7:$A$696,$S$782,報告入力!$B$7:$B$696,$A809)</f>
        <v>48495</v>
      </c>
      <c r="E809" s="238" t="n">
        <f aca="false">SUMIFS(報告入力!$BB$7:$BB$696,報告入力!$A$7:$A$696,$S$782,報告入力!$B$7:$B$696,$A809)</f>
        <v>3975</v>
      </c>
      <c r="F809" s="393" t="n">
        <f aca="false">SUMIFS(報告入力!$BC$7:$BC$696,報告入力!$A$7:$A$696,$S$782,報告入力!$B$7:$B$696,$A809)</f>
        <v>49</v>
      </c>
      <c r="G809" s="206" t="n">
        <f aca="false">SUM(B809:F809)</f>
        <v>52519</v>
      </c>
      <c r="H809" s="213"/>
      <c r="I809" s="208" t="n">
        <f aca="false">SUMIFS(報告入力!$BE$7:$BE$696,報告入力!$A$7:$A$696,$S$782,報告入力!$B$7:$B$696,$A809)</f>
        <v>29208</v>
      </c>
      <c r="J809" s="160" t="n">
        <f aca="false">SUM(H809:I809)</f>
        <v>29208</v>
      </c>
      <c r="K809" s="213"/>
      <c r="L809" s="208" t="n">
        <f aca="false">SUMIFS(報告入力!$BG$7:$BG$696,報告入力!$A$7:$A$696,$S$782,報告入力!$B$7:$B$696,$A809)</f>
        <v>4187</v>
      </c>
      <c r="M809" s="160" t="n">
        <f aca="false">SUM(K809:L809)</f>
        <v>4187</v>
      </c>
      <c r="N809" s="213"/>
      <c r="O809" s="208" t="n">
        <f aca="false">SUMIFS(報告入力!$BI$7:$BI$696,報告入力!$A$7:$A$696,$S$782,報告入力!$B$7:$B$696,$A809)</f>
        <v>1</v>
      </c>
      <c r="P809" s="160" t="n">
        <f aca="false">SUM(N809:O809)</f>
        <v>1</v>
      </c>
      <c r="Q809" s="135" t="str">
        <f aca="false">IF(P744=P809,"〇","×")</f>
        <v>〇</v>
      </c>
      <c r="R809" s="135" t="str">
        <f aca="false">IFERROR(INDEX(報告入力!$C$7:$C$696,MATCH($S$782&amp;"|"&amp;$A809,報告入力!$CM$7:$CM$696,0)),"")</f>
        <v>未受領</v>
      </c>
    </row>
    <row r="810" s="135" customFormat="true" ht="20.1" hidden="false" customHeight="true" outlineLevel="0" collapsed="false">
      <c r="A810" s="217" t="s">
        <v>188</v>
      </c>
      <c r="B810" s="211"/>
      <c r="C810" s="218"/>
      <c r="D810" s="240" t="n">
        <f aca="false">SUMIFS(報告入力!$BA$7:$BA$696,報告入力!$A$7:$A$696,$S$782,報告入力!$B$7:$B$696,$A810)</f>
        <v>122428</v>
      </c>
      <c r="E810" s="238" t="n">
        <f aca="false">SUMIFS(報告入力!$BB$7:$BB$696,報告入力!$A$7:$A$696,$S$782,報告入力!$B$7:$B$696,$A810)</f>
        <v>10034</v>
      </c>
      <c r="F810" s="393" t="n">
        <f aca="false">SUMIFS(報告入力!$BC$7:$BC$696,報告入力!$A$7:$A$696,$S$782,報告入力!$B$7:$B$696,$A810)</f>
        <v>125</v>
      </c>
      <c r="G810" s="206" t="n">
        <f aca="false">SUM(B810:F810)</f>
        <v>132587</v>
      </c>
      <c r="H810" s="213"/>
      <c r="I810" s="208" t="n">
        <f aca="false">SUMIFS(報告入力!$BE$7:$BE$696,報告入力!$A$7:$A$696,$S$782,報告入力!$B$7:$B$696,$A810)</f>
        <v>73737</v>
      </c>
      <c r="J810" s="160" t="n">
        <f aca="false">SUM(H810:I810)</f>
        <v>73737</v>
      </c>
      <c r="K810" s="213"/>
      <c r="L810" s="208" t="n">
        <f aca="false">SUMIFS(報告入力!$BG$7:$BG$696,報告入力!$A$7:$A$696,$S$782,報告入力!$B$7:$B$696,$A810)</f>
        <v>7031</v>
      </c>
      <c r="M810" s="160" t="n">
        <f aca="false">SUM(K810:L810)</f>
        <v>7031</v>
      </c>
      <c r="N810" s="213"/>
      <c r="O810" s="208" t="n">
        <f aca="false">SUMIFS(報告入力!$BI$7:$BI$696,報告入力!$A$7:$A$696,$S$782,報告入力!$B$7:$B$696,$A810)</f>
        <v>1</v>
      </c>
      <c r="P810" s="160" t="n">
        <f aca="false">SUM(N810:O810)</f>
        <v>1</v>
      </c>
      <c r="Q810" s="135" t="str">
        <f aca="false">IF(P745=P810,"〇","×")</f>
        <v>〇</v>
      </c>
      <c r="R810" s="135" t="str">
        <f aca="false">IFERROR(INDEX(報告入力!$C$7:$C$696,MATCH($S$782&amp;"|"&amp;$A810,報告入力!$CM$7:$CM$696,0)),"")</f>
        <v>未受領</v>
      </c>
    </row>
    <row r="811" s="135" customFormat="true" ht="20.1" hidden="false" customHeight="true" outlineLevel="0" collapsed="false">
      <c r="A811" s="125" t="s">
        <v>189</v>
      </c>
      <c r="B811" s="240" t="n">
        <f aca="false">SUMIFS(報告入力!$AY$7:$AY$696,報告入力!$A$7:$A$696,$S$782,報告入力!$B$7:$B$696,$A811)</f>
        <v>245220</v>
      </c>
      <c r="C811" s="237" t="n">
        <f aca="false">SUMIFS(報告入力!$AZ$7:$AZ$696,報告入力!$A$7:$A$696,$S$782,報告入力!$B$7:$B$696,$A811)</f>
        <v>20100</v>
      </c>
      <c r="D811" s="203" t="n">
        <f aca="false">SUMIFS(報告入力!$BA$7:$BA$696,報告入力!$A$7:$A$696,$S$782,報告入力!$B$7:$B$696,$A811)</f>
        <v>245220</v>
      </c>
      <c r="E811" s="207" t="n">
        <f aca="false">SUMIFS(報告入力!$BB$7:$BB$696,報告入力!$A$7:$A$696,$S$782,報告入力!$B$7:$B$696,$A811)</f>
        <v>20100</v>
      </c>
      <c r="F811" s="237" t="n">
        <f aca="false">SUMIFS(報告入力!$BC$7:$BC$696,報告入力!$A$7:$A$696,$S$782,報告入力!$B$7:$B$696,$A811)</f>
        <v>251</v>
      </c>
      <c r="G811" s="206" t="n">
        <f aca="false">SUM(B811:F811)</f>
        <v>530891</v>
      </c>
      <c r="H811" s="240" t="n">
        <f aca="false">SUMIFS(報告入力!$BD$7:$BD$696,報告入力!$A$7:$A$696,$S$782,報告入力!$B$7:$B$696,$A811)</f>
        <v>147425</v>
      </c>
      <c r="I811" s="208" t="n">
        <f aca="false">SUMIFS(報告入力!$BE$7:$BE$696,報告入力!$A$7:$A$696,$S$782,報告入力!$B$7:$B$696,$A811)</f>
        <v>147694</v>
      </c>
      <c r="J811" s="160" t="n">
        <f aca="false">SUM(H811:I811)</f>
        <v>295119</v>
      </c>
      <c r="K811" s="240" t="n">
        <f aca="false">SUMIFS(報告入力!$BF$7:$BF$696,報告入力!$A$7:$A$696,$S$782,報告入力!$B$7:$B$696,$A811)</f>
        <v>9559</v>
      </c>
      <c r="L811" s="387" t="n">
        <f aca="false">SUMIFS(報告入力!$BG$7:$BG$696,報告入力!$A$7:$A$696,$S$782,報告入力!$B$7:$B$696,$A811)</f>
        <v>9559</v>
      </c>
      <c r="M811" s="160" t="n">
        <f aca="false">SUM(K811:L811)</f>
        <v>19118</v>
      </c>
      <c r="N811" s="240" t="n">
        <f aca="false">SUMIFS(報告入力!$BH$7:$BH$696,報告入力!$A$7:$A$696,$S$782,報告入力!$B$7:$B$696,$A811)</f>
        <v>1</v>
      </c>
      <c r="O811" s="387" t="n">
        <f aca="false">SUMIFS(報告入力!$BI$7:$BI$696,報告入力!$A$7:$A$696,$S$782,報告入力!$B$7:$B$696,$A811)</f>
        <v>1</v>
      </c>
      <c r="P811" s="160" t="n">
        <f aca="false">SUM(N811:O811)</f>
        <v>2</v>
      </c>
      <c r="Q811" s="135" t="str">
        <f aca="false">IF(P746=P811,"〇","×")</f>
        <v>〇</v>
      </c>
      <c r="R811" s="135" t="str">
        <f aca="false">IFERROR(INDEX(報告入力!$C$7:$C$696,MATCH($S$782&amp;"|"&amp;$A811,報告入力!$CM$7:$CM$696,0)),"")</f>
        <v>未受領</v>
      </c>
    </row>
    <row r="812" s="135" customFormat="true" ht="19.5" hidden="false" customHeight="true" outlineLevel="0" collapsed="false">
      <c r="A812" s="219" t="s">
        <v>190</v>
      </c>
      <c r="B812" s="203" t="n">
        <f aca="false">SUMIFS(報告入力!$AY$7:$AY$696,報告入力!$A$7:$A$696,$S$782,報告入力!$B$7:$B$696,$A812)</f>
        <v>40260</v>
      </c>
      <c r="C812" s="237" t="n">
        <f aca="false">SUMIFS(報告入力!$AZ$7:$AZ$696,報告入力!$A$7:$A$696,$S$782,報告入力!$B$7:$B$696,$A812)</f>
        <v>3300</v>
      </c>
      <c r="D812" s="240" t="n">
        <f aca="false">SUMIFS(報告入力!$BA$7:$BA$696,報告入力!$A$7:$A$696,$S$782,報告入力!$B$7:$B$696,$A812)</f>
        <v>40260</v>
      </c>
      <c r="E812" s="238" t="n">
        <f aca="false">SUMIFS(報告入力!$BB$7:$BB$696,報告入力!$A$7:$A$696,$S$782,報告入力!$B$7:$B$696,$A812)</f>
        <v>3300</v>
      </c>
      <c r="F812" s="393" t="n">
        <f aca="false">SUMIFS(報告入力!$BC$7:$BC$696,報告入力!$A$7:$A$696,$S$782,報告入力!$B$7:$B$696,$A812)</f>
        <v>41</v>
      </c>
      <c r="G812" s="206" t="n">
        <f aca="false">SUM(B812:F812)</f>
        <v>87161</v>
      </c>
      <c r="H812" s="207" t="n">
        <f aca="false">SUMIFS(報告入力!$BD$7:$BD$696,報告入力!$A$7:$A$696,$S$782,報告入力!$B$7:$B$696,$A812)</f>
        <v>24204</v>
      </c>
      <c r="I812" s="208" t="n">
        <f aca="false">SUMIFS(報告入力!$BE$7:$BE$696,報告入力!$A$7:$A$696,$S$782,報告入力!$B$7:$B$696,$A812)</f>
        <v>24248</v>
      </c>
      <c r="J812" s="160" t="n">
        <f aca="false">SUM(H812:I812)</f>
        <v>48452</v>
      </c>
      <c r="K812" s="207" t="n">
        <f aca="false">SUMIFS(報告入力!$BF$7:$BF$696,報告入力!$A$7:$A$696,$S$782,報告入力!$B$7:$B$696,$A812)</f>
        <v>0</v>
      </c>
      <c r="L812" s="208" t="n">
        <f aca="false">SUMIFS(報告入力!$BG$7:$BG$696,報告入力!$A$7:$A$696,$S$782,報告入力!$B$7:$B$696,$A812)</f>
        <v>0</v>
      </c>
      <c r="M812" s="160" t="n">
        <f aca="false">SUM(K812:L812)</f>
        <v>0</v>
      </c>
      <c r="N812" s="207" t="n">
        <f aca="false">SUMIFS(報告入力!$BH$7:$BH$696,報告入力!$A$7:$A$696,$S$782,報告入力!$B$7:$B$696,$A812)</f>
        <v>1</v>
      </c>
      <c r="O812" s="208" t="n">
        <f aca="false">SUMIFS(報告入力!$BI$7:$BI$696,報告入力!$A$7:$A$696,$S$782,報告入力!$B$7:$B$696,$A812)</f>
        <v>1</v>
      </c>
      <c r="P812" s="160" t="n">
        <f aca="false">SUM(N812:O812)</f>
        <v>2</v>
      </c>
      <c r="Q812" s="135" t="str">
        <f aca="false">IF(P747=P812,"〇","×")</f>
        <v>〇</v>
      </c>
      <c r="R812" s="135" t="str">
        <f aca="false">IFERROR(INDEX(報告入力!$C$7:$C$696,MATCH($S$782&amp;"|"&amp;$A812,報告入力!$CM$7:$CM$696,0)),"")</f>
        <v>未受領</v>
      </c>
    </row>
    <row r="813" s="135" customFormat="true" ht="20.1" hidden="false" customHeight="true" outlineLevel="0" collapsed="false">
      <c r="A813" s="222" t="s">
        <v>191</v>
      </c>
      <c r="B813" s="240" t="n">
        <f aca="false">SUMIFS(報告入力!$AY$7:$AY$696,報告入力!$A$7:$A$696,$S$782,報告入力!$B$7:$B$696,$A813)</f>
        <v>102480</v>
      </c>
      <c r="C813" s="393" t="n">
        <f aca="false">SUMIFS(報告入力!$AZ$7:$AZ$696,報告入力!$A$7:$A$696,$S$782,報告入力!$B$7:$B$696,$A813)</f>
        <v>8400</v>
      </c>
      <c r="D813" s="240" t="n">
        <f aca="false">SUMIFS(報告入力!$BA$7:$BA$696,報告入力!$A$7:$A$696,$S$782,報告入力!$B$7:$B$696,$A813)</f>
        <v>102480</v>
      </c>
      <c r="E813" s="238" t="n">
        <f aca="false">SUMIFS(報告入力!$BB$7:$BB$696,報告入力!$A$7:$A$696,$S$782,報告入力!$B$7:$B$696,$A813)</f>
        <v>8400</v>
      </c>
      <c r="F813" s="393" t="n">
        <f aca="false">SUMIFS(報告入力!$BC$7:$BC$696,報告入力!$A$7:$A$696,$S$782,報告入力!$B$7:$B$696,$A813)</f>
        <v>105</v>
      </c>
      <c r="G813" s="206" t="n">
        <f aca="false">SUM(B813:F813)</f>
        <v>221865</v>
      </c>
      <c r="H813" s="207" t="n">
        <f aca="false">SUMIFS(報告入力!$BD$7:$BD$696,報告入力!$A$7:$A$696,$S$782,報告入力!$B$7:$B$696,$A813)</f>
        <v>61610</v>
      </c>
      <c r="I813" s="208" t="n">
        <f aca="false">SUMIFS(報告入力!$BE$7:$BE$696,報告入力!$A$7:$A$696,$S$782,報告入力!$B$7:$B$696,$A813)</f>
        <v>61723</v>
      </c>
      <c r="J813" s="160" t="n">
        <f aca="false">SUM(H813:I813)</f>
        <v>123333</v>
      </c>
      <c r="K813" s="207" t="n">
        <f aca="false">SUMIFS(報告入力!$BF$7:$BF$696,報告入力!$A$7:$A$696,$S$782,報告入力!$B$7:$B$696,$A813)</f>
        <v>4661</v>
      </c>
      <c r="L813" s="208" t="n">
        <f aca="false">SUMIFS(報告入力!$BG$7:$BG$696,報告入力!$A$7:$A$696,$S$782,報告入力!$B$7:$B$696,$A813)</f>
        <v>4661</v>
      </c>
      <c r="M813" s="160" t="n">
        <f aca="false">SUM(K813:L813)</f>
        <v>9322</v>
      </c>
      <c r="N813" s="207" t="n">
        <f aca="false">SUMIFS(報告入力!$BH$7:$BH$696,報告入力!$A$7:$A$696,$S$782,報告入力!$B$7:$B$696,$A813)</f>
        <v>1</v>
      </c>
      <c r="O813" s="208" t="n">
        <f aca="false">SUMIFS(報告入力!$BI$7:$BI$696,報告入力!$A$7:$A$696,$S$782,報告入力!$B$7:$B$696,$A813)</f>
        <v>1</v>
      </c>
      <c r="P813" s="160" t="n">
        <f aca="false">SUM(N813:O813)</f>
        <v>2</v>
      </c>
      <c r="Q813" s="135" t="str">
        <f aca="false">IF(P748=P813,"〇","×")</f>
        <v>〇</v>
      </c>
      <c r="R813" s="135" t="str">
        <f aca="false">IFERROR(INDEX(報告入力!$C$7:$C$696,MATCH($S$782&amp;"|"&amp;$A813,報告入力!$CM$7:$CM$696,0)),"")</f>
        <v>未受領</v>
      </c>
    </row>
    <row r="814" s="135" customFormat="true" ht="20.1" hidden="false" customHeight="true" outlineLevel="0" collapsed="false">
      <c r="A814" s="125" t="s">
        <v>192</v>
      </c>
      <c r="B814" s="240" t="n">
        <f aca="false">SUMIFS(報告入力!$AY$7:$AY$696,報告入力!$A$7:$A$696,$S$782,報告入力!$B$7:$B$696,$A814)</f>
        <v>923235</v>
      </c>
      <c r="C814" s="393" t="n">
        <f aca="false">SUMIFS(報告入力!$AZ$7:$AZ$696,報告入力!$A$7:$A$696,$S$782,報告入力!$B$7:$B$696,$A814)</f>
        <v>75675</v>
      </c>
      <c r="D814" s="240" t="n">
        <f aca="false">SUMIFS(報告入力!$BA$7:$BA$696,報告入力!$A$7:$A$696,$S$782,報告入力!$B$7:$B$696,$A814)</f>
        <v>923235</v>
      </c>
      <c r="E814" s="238" t="n">
        <f aca="false">SUMIFS(報告入力!$BB$7:$BB$696,報告入力!$A$7:$A$696,$S$782,報告入力!$B$7:$B$696,$A814)</f>
        <v>75675</v>
      </c>
      <c r="F814" s="393" t="n">
        <f aca="false">SUMIFS(報告入力!$BC$7:$BC$696,報告入力!$A$7:$A$696,$S$782,報告入力!$B$7:$B$696,$A814)</f>
        <v>947</v>
      </c>
      <c r="G814" s="206" t="n">
        <f aca="false">SUM(B814:F814)</f>
        <v>1998767</v>
      </c>
      <c r="H814" s="207" t="n">
        <f aca="false">SUMIFS(報告入力!$BD$7:$BD$696,報告入力!$A$7:$A$696,$S$782,報告入力!$B$7:$B$696,$A814)</f>
        <v>556693</v>
      </c>
      <c r="I814" s="208" t="n">
        <f aca="false">SUMIFS(報告入力!$BE$7:$BE$696,報告入力!$A$7:$A$696,$S$782,報告入力!$B$7:$B$696,$A814)</f>
        <v>557713</v>
      </c>
      <c r="J814" s="418" t="n">
        <f aca="false">SUM(H814:I814)</f>
        <v>1114406</v>
      </c>
      <c r="K814" s="207" t="n">
        <f aca="false">SUMIFS(報告入力!$BF$7:$BF$696,報告入力!$A$7:$A$696,$S$782,報告入力!$B$7:$B$696,$A814)</f>
        <v>54747</v>
      </c>
      <c r="L814" s="208" t="n">
        <f aca="false">SUMIFS(報告入力!$BG$7:$BG$696,報告入力!$A$7:$A$696,$S$782,報告入力!$B$7:$B$696,$A814)</f>
        <v>54747</v>
      </c>
      <c r="M814" s="160" t="n">
        <f aca="false">SUM(K814:L814)</f>
        <v>109494</v>
      </c>
      <c r="N814" s="207" t="n">
        <f aca="false">SUMIFS(報告入力!$BH$7:$BH$696,報告入力!$A$7:$A$696,$S$782,報告入力!$B$7:$B$696,$A814)</f>
        <v>1</v>
      </c>
      <c r="O814" s="208" t="n">
        <f aca="false">SUMIFS(報告入力!$BI$7:$BI$696,報告入力!$A$7:$A$696,$S$782,報告入力!$B$7:$B$696,$A814)</f>
        <v>1</v>
      </c>
      <c r="P814" s="160" t="n">
        <f aca="false">SUM(N814:O814)</f>
        <v>2</v>
      </c>
      <c r="Q814" s="135" t="str">
        <f aca="false">IF(P749=P814,"〇","×")</f>
        <v>〇</v>
      </c>
      <c r="R814" s="135" t="str">
        <f aca="false">IFERROR(INDEX(報告入力!$C$7:$C$696,MATCH($S$782&amp;"|"&amp;$A814,報告入力!$CM$7:$CM$696,0)),"")</f>
        <v>未受領</v>
      </c>
    </row>
    <row r="815" s="135" customFormat="true" ht="20.1" hidden="false" customHeight="true" outlineLevel="0" collapsed="false">
      <c r="A815" s="125" t="s">
        <v>193</v>
      </c>
      <c r="B815" s="226"/>
      <c r="C815" s="216"/>
      <c r="D815" s="240" t="n">
        <f aca="false">SUMIFS(報告入力!$BA$7:$BA$696,報告入力!$A$7:$A$696,$S$782,報告入力!$B$7:$B$696,$A815)</f>
        <v>571875</v>
      </c>
      <c r="E815" s="238" t="n">
        <f aca="false">SUMIFS(報告入力!$BB$7:$BB$696,報告入力!$A$7:$A$696,$S$782,報告入力!$B$7:$B$696,$A815)</f>
        <v>46875</v>
      </c>
      <c r="F815" s="393" t="n">
        <f aca="false">SUMIFS(報告入力!$BC$7:$BC$696,報告入力!$A$7:$A$696,$S$782,報告入力!$B$7:$B$696,$A815)</f>
        <v>613</v>
      </c>
      <c r="G815" s="206" t="n">
        <f aca="false">SUM(B815:F815)</f>
        <v>619363</v>
      </c>
      <c r="H815" s="227"/>
      <c r="I815" s="208" t="n">
        <f aca="false">SUMIFS(報告入力!$BE$7:$BE$696,報告入力!$A$7:$A$696,$S$782,報告入力!$B$7:$B$696,$A815)</f>
        <v>344467</v>
      </c>
      <c r="J815" s="160" t="n">
        <f aca="false">SUM(H815:I815)</f>
        <v>344467</v>
      </c>
      <c r="K815" s="213"/>
      <c r="L815" s="208" t="n">
        <f aca="false">SUMIFS(報告入力!$BG$7:$BG$696,報告入力!$A$7:$A$696,$S$782,報告入力!$B$7:$B$696,$A815)</f>
        <v>27255</v>
      </c>
      <c r="M815" s="160" t="n">
        <f aca="false">SUM(K815:L815)</f>
        <v>27255</v>
      </c>
      <c r="N815" s="213"/>
      <c r="O815" s="208" t="n">
        <f aca="false">SUMIFS(報告入力!$BI$7:$BI$696,報告入力!$A$7:$A$696,$S$782,報告入力!$B$7:$B$696,$A815)</f>
        <v>1</v>
      </c>
      <c r="P815" s="160" t="n">
        <f aca="false">SUM(N815:O815)</f>
        <v>1</v>
      </c>
      <c r="Q815" s="135" t="str">
        <f aca="false">IF(P750=P815,"〇","×")</f>
        <v>〇</v>
      </c>
      <c r="R815" s="135" t="str">
        <f aca="false">IFERROR(INDEX(報告入力!$C$7:$C$696,MATCH($S$782&amp;"|"&amp;$A815,報告入力!$CM$7:$CM$696,0)),"")</f>
        <v>未受領</v>
      </c>
    </row>
    <row r="816" s="135" customFormat="true" ht="20.1" hidden="false" customHeight="true" outlineLevel="0" collapsed="false">
      <c r="A816" s="228" t="s">
        <v>194</v>
      </c>
      <c r="B816" s="211"/>
      <c r="C816" s="218"/>
      <c r="D816" s="240" t="n">
        <f aca="false">SUMIFS(報告入力!$BA$7:$BA$696,報告入力!$A$7:$A$696,$S$782,報告入力!$B$7:$B$696,$A816)</f>
        <v>1160220</v>
      </c>
      <c r="E816" s="238" t="n">
        <f aca="false">SUMIFS(報告入力!$BB$7:$BB$696,報告入力!$A$7:$A$696,$S$782,報告入力!$B$7:$B$696,$A816)</f>
        <v>95100</v>
      </c>
      <c r="F816" s="393" t="n">
        <f aca="false">SUMIFS(報告入力!$BC$7:$BC$696,報告入力!$A$7:$A$696,$S$782,報告入力!$B$7:$B$696,$A816)</f>
        <v>1185</v>
      </c>
      <c r="G816" s="206" t="n">
        <f aca="false">SUM(B816:F816)</f>
        <v>1256505</v>
      </c>
      <c r="H816" s="213"/>
      <c r="I816" s="208" t="n">
        <f aca="false">SUMIFS(報告入力!$BE$7:$BE$696,報告入力!$A$7:$A$696,$S$782,報告入力!$B$7:$B$696,$A816)</f>
        <v>698790</v>
      </c>
      <c r="J816" s="160" t="n">
        <f aca="false">SUM(H816:I816)</f>
        <v>698790</v>
      </c>
      <c r="K816" s="213"/>
      <c r="L816" s="208" t="n">
        <f aca="false">SUMIFS(報告入力!$BG$7:$BG$696,報告入力!$A$7:$A$696,$S$782,報告入力!$B$7:$B$696,$A816)</f>
        <v>94721</v>
      </c>
      <c r="M816" s="160" t="n">
        <f aca="false">SUM(K816:L816)</f>
        <v>94721</v>
      </c>
      <c r="N816" s="213"/>
      <c r="O816" s="208" t="n">
        <f aca="false">SUMIFS(報告入力!$BI$7:$BI$696,報告入力!$A$7:$A$696,$S$782,報告入力!$B$7:$B$696,$A816)</f>
        <v>1</v>
      </c>
      <c r="P816" s="160" t="n">
        <f aca="false">SUM(N816:O816)</f>
        <v>1</v>
      </c>
      <c r="Q816" s="135" t="str">
        <f aca="false">IF(P751=P816,"〇","×")</f>
        <v>〇</v>
      </c>
      <c r="R816" s="135" t="str">
        <f aca="false">IFERROR(INDEX(報告入力!$C$7:$C$696,MATCH($S$782&amp;"|"&amp;$A816,報告入力!$CM$7:$CM$696,0)),"")</f>
        <v>未受領</v>
      </c>
    </row>
    <row r="817" s="135" customFormat="true" ht="20.1" hidden="false" customHeight="true" outlineLevel="0" collapsed="false">
      <c r="A817" s="229" t="s">
        <v>195</v>
      </c>
      <c r="B817" s="211"/>
      <c r="C817" s="218"/>
      <c r="D817" s="240" t="n">
        <f aca="false">SUMIFS(報告入力!$BA$7:$BA$696,報告入力!$A$7:$A$696,$S$782,報告入力!$B$7:$B$696,$A817)</f>
        <v>0</v>
      </c>
      <c r="E817" s="238" t="n">
        <f aca="false">SUMIFS(報告入力!$BB$7:$BB$696,報告入力!$A$7:$A$696,$S$782,報告入力!$B$7:$B$696,$A817)</f>
        <v>0</v>
      </c>
      <c r="F817" s="393" t="n">
        <f aca="false">SUMIFS(報告入力!$BC$7:$BC$696,報告入力!$A$7:$A$696,$S$782,報告入力!$B$7:$B$696,$A817)</f>
        <v>0</v>
      </c>
      <c r="G817" s="206" t="n">
        <f aca="false">SUM(B817:F817)</f>
        <v>0</v>
      </c>
      <c r="H817" s="213"/>
      <c r="I817" s="208" t="n">
        <f aca="false">SUMIFS(報告入力!$BE$7:$BE$696,報告入力!$A$7:$A$696,$S$782,報告入力!$B$7:$B$696,$A817)</f>
        <v>0</v>
      </c>
      <c r="J817" s="160" t="n">
        <f aca="false">SUM(H817:I817)</f>
        <v>0</v>
      </c>
      <c r="K817" s="213"/>
      <c r="L817" s="208" t="n">
        <f aca="false">SUMIFS(報告入力!$BG$7:$BG$696,報告入力!$A$7:$A$696,$S$782,報告入力!$B$7:$B$696,$A817)</f>
        <v>0</v>
      </c>
      <c r="M817" s="160" t="n">
        <f aca="false">SUM(K817:L817)</f>
        <v>0</v>
      </c>
      <c r="N817" s="213"/>
      <c r="O817" s="208" t="n">
        <f aca="false">SUMIFS(報告入力!$BI$7:$BI$696,報告入力!$A$7:$A$696,$S$782,報告入力!$B$7:$B$696,$A817)</f>
        <v>0</v>
      </c>
      <c r="P817" s="160" t="n">
        <f aca="false">SUM(N817:O817)</f>
        <v>0</v>
      </c>
      <c r="Q817" s="135" t="str">
        <f aca="false">IF(P752=P817,"〇","×")</f>
        <v>〇</v>
      </c>
      <c r="R817" s="135" t="str">
        <f aca="false">IFERROR(INDEX(報告入力!$C$7:$C$696,MATCH($S$782&amp;"|"&amp;$A817,報告入力!$CM$7:$CM$696,0)),"")</f>
        <v>未受領</v>
      </c>
    </row>
    <row r="818" s="457" customFormat="true" ht="20.1" hidden="false" customHeight="true" outlineLevel="0" collapsed="false">
      <c r="A818" s="451" t="s">
        <v>196</v>
      </c>
      <c r="B818" s="452"/>
      <c r="C818" s="453"/>
      <c r="D818" s="240" t="n">
        <f aca="false">SUMIFS(報告入力!$BA$7:$BA$696,報告入力!$A$7:$A$696,$S$782,報告入力!$B$7:$B$696,$A818)</f>
        <v>402600</v>
      </c>
      <c r="E818" s="238" t="n">
        <f aca="false">SUMIFS(報告入力!$BB$7:$BB$696,報告入力!$A$7:$A$696,$S$782,報告入力!$B$7:$B$696,$A818)</f>
        <v>33000</v>
      </c>
      <c r="F818" s="393" t="n">
        <f aca="false">SUMIFS(報告入力!$BC$7:$BC$696,報告入力!$A$7:$A$696,$S$782,報告入力!$B$7:$B$696,$A818)</f>
        <v>412</v>
      </c>
      <c r="G818" s="454" t="n">
        <f aca="false">SUM(B818:F818)</f>
        <v>436012</v>
      </c>
      <c r="H818" s="455"/>
      <c r="I818" s="208" t="n">
        <f aca="false">SUMIFS(報告入力!$BE$7:$BE$696,報告入力!$A$7:$A$696,$S$782,報告入力!$B$7:$B$696,$A818)</f>
        <v>242482</v>
      </c>
      <c r="J818" s="160" t="n">
        <f aca="false">SUM(H818:I818)</f>
        <v>242482</v>
      </c>
      <c r="K818" s="455"/>
      <c r="L818" s="208" t="n">
        <f aca="false">SUMIFS(報告入力!$BG$7:$BG$696,報告入力!$A$7:$A$696,$S$782,報告入力!$B$7:$B$696,$A818)</f>
        <v>34760</v>
      </c>
      <c r="M818" s="160" t="n">
        <f aca="false">SUM(K818:L818)</f>
        <v>34760</v>
      </c>
      <c r="N818" s="455"/>
      <c r="O818" s="208" t="n">
        <f aca="false">SUMIFS(報告入力!$BI$7:$BI$696,報告入力!$A$7:$A$696,$S$782,報告入力!$B$7:$B$696,$A818)</f>
        <v>1</v>
      </c>
      <c r="P818" s="456" t="n">
        <f aca="false">SUM(N818:O818)</f>
        <v>1</v>
      </c>
      <c r="Q818" s="457" t="str">
        <f aca="false">IF(P753=P818,"〇","×")</f>
        <v>〇</v>
      </c>
      <c r="R818" s="457" t="str">
        <f aca="false">IFERROR(INDEX(報告入力!$C$7:$C$696,MATCH($S$782&amp;"|"&amp;$A818,報告入力!$CM$7:$CM$696,0)),"")</f>
        <v>未受領</v>
      </c>
    </row>
    <row r="819" s="135" customFormat="true" ht="20.1" hidden="false" customHeight="true" outlineLevel="0" collapsed="false">
      <c r="A819" s="146" t="s">
        <v>197</v>
      </c>
      <c r="B819" s="240" t="n">
        <f aca="false">SUMIFS(報告入力!$AY$7:$AY$696,報告入力!$A$7:$A$696,$S$782,報告入力!$B$7:$B$696,$A819)</f>
        <v>137250</v>
      </c>
      <c r="C819" s="393" t="n">
        <f aca="false">SUMIFS(報告入力!$AZ$7:$AZ$696,報告入力!$A$7:$A$696,$S$782,報告入力!$B$7:$B$696,$A819)</f>
        <v>11250</v>
      </c>
      <c r="D819" s="240" t="n">
        <f aca="false">SUMIFS(報告入力!$BA$7:$BA$696,報告入力!$A$7:$A$696,$S$782,報告入力!$B$7:$B$696,$A819)</f>
        <v>137250</v>
      </c>
      <c r="E819" s="238" t="n">
        <f aca="false">SUMIFS(報告入力!$BB$7:$BB$696,報告入力!$A$7:$A$696,$S$782,報告入力!$B$7:$B$696,$A819)</f>
        <v>11250</v>
      </c>
      <c r="F819" s="393" t="n">
        <f aca="false">SUMIFS(報告入力!$BC$7:$BC$696,報告入力!$A$7:$A$696,$S$782,報告入力!$B$7:$B$696,$A819)</f>
        <v>140</v>
      </c>
      <c r="G819" s="206" t="n">
        <f aca="false">SUM(B819:F819)</f>
        <v>297140</v>
      </c>
      <c r="H819" s="207" t="n">
        <f aca="false">SUMIFS(報告入力!$BD$7:$BD$696,報告入力!$A$7:$A$696,$S$782,報告入力!$B$7:$B$696,$A819)</f>
        <v>82514</v>
      </c>
      <c r="I819" s="395" t="n">
        <f aca="false">SUMIFS(報告入力!$BE$7:$BE$696,報告入力!$A$7:$A$696,$S$782,報告入力!$B$7:$B$696,$A819)</f>
        <v>82665</v>
      </c>
      <c r="J819" s="160" t="n">
        <f aca="false">SUM(H819:I819)</f>
        <v>165179</v>
      </c>
      <c r="K819" s="207" t="n">
        <f aca="false">SUMIFS(報告入力!$BF$7:$BF$696,報告入力!$A$7:$A$696,$S$782,報告入力!$B$7:$B$696,$A819)</f>
        <v>8611</v>
      </c>
      <c r="L819" s="395" t="n">
        <f aca="false">SUMIFS(報告入力!$BG$7:$BG$696,報告入力!$A$7:$A$696,$S$782,報告入力!$B$7:$B$696,$A819)</f>
        <v>8611</v>
      </c>
      <c r="M819" s="160" t="n">
        <f aca="false">SUM(K819:L819)</f>
        <v>17222</v>
      </c>
      <c r="N819" s="207" t="n">
        <f aca="false">SUMIFS(報告入力!$BH$7:$BH$696,報告入力!$A$7:$A$696,$S$782,報告入力!$B$7:$B$696,$A819)</f>
        <v>1</v>
      </c>
      <c r="O819" s="395" t="n">
        <f aca="false">SUMIFS(報告入力!$BI$7:$BI$696,報告入力!$A$7:$A$696,$S$782,報告入力!$B$7:$B$696,$A819)</f>
        <v>1</v>
      </c>
      <c r="P819" s="160" t="n">
        <f aca="false">SUM(N819:O819)</f>
        <v>2</v>
      </c>
      <c r="Q819" s="135" t="str">
        <f aca="false">IF(P754=P819,"〇","×")</f>
        <v>〇</v>
      </c>
      <c r="R819" s="135" t="str">
        <f aca="false">IFERROR(INDEX(報告入力!$C$7:$C$696,MATCH($S$782&amp;"|"&amp;$A819,報告入力!$CM$7:$CM$696,0)),"")</f>
        <v>未受領</v>
      </c>
    </row>
    <row r="820" s="135" customFormat="true" ht="20.1" hidden="false" customHeight="true" outlineLevel="0" collapsed="false">
      <c r="A820" s="231" t="s">
        <v>219</v>
      </c>
      <c r="B820" s="226"/>
      <c r="C820" s="216"/>
      <c r="D820" s="240" t="n">
        <f aca="false">SUMIFS(報告入力!$BA$7:$BA$696,報告入力!$A$7:$A$696,$S$782,報告入力!$B$7:$B$696,$A820)</f>
        <v>477630</v>
      </c>
      <c r="E820" s="394" t="n">
        <f aca="false">SUMIFS(報告入力!$BB$7:$BB$696,報告入力!$A$7:$A$696,$S$782,報告入力!$B$7:$B$696,$A820)</f>
        <v>39150</v>
      </c>
      <c r="F820" s="393" t="n">
        <f aca="false">SUMIFS(報告入力!$BC$7:$BC$696,報告入力!$A$7:$A$696,$S$782,報告入力!$B$7:$B$696,$A820)</f>
        <v>490</v>
      </c>
      <c r="G820" s="206" t="n">
        <f aca="false">SUM(B820:F820)</f>
        <v>517270</v>
      </c>
      <c r="H820" s="227"/>
      <c r="I820" s="208" t="n">
        <f aca="false">SUMIFS(報告入力!$BE$7:$BE$696,報告入力!$A$7:$A$696,$S$782,報告入力!$B$7:$B$696,$A820)</f>
        <v>293185</v>
      </c>
      <c r="J820" s="160" t="n">
        <f aca="false">SUM(H820:I820)</f>
        <v>293185</v>
      </c>
      <c r="K820" s="213"/>
      <c r="L820" s="159" t="n">
        <f aca="false">SUMIFS(報告入力!$BG$7:$BG$696,報告入力!$A$7:$A$696,$S$782,報告入力!$B$7:$B$696,$A820)</f>
        <v>25517</v>
      </c>
      <c r="M820" s="160" t="n">
        <f aca="false">SUM(K820:L820)</f>
        <v>25517</v>
      </c>
      <c r="N820" s="213"/>
      <c r="O820" s="208" t="n">
        <f aca="false">SUMIFS(報告入力!$BI$7:$BI$696,報告入力!$A$7:$A$696,$S$782,報告入力!$B$7:$B$696,$A820)</f>
        <v>1</v>
      </c>
      <c r="P820" s="160" t="n">
        <f aca="false">SUM(N820:O820)</f>
        <v>1</v>
      </c>
      <c r="Q820" s="135" t="str">
        <f aca="false">IF(P755=P820,"〇","×")</f>
        <v>〇</v>
      </c>
      <c r="R820" s="135" t="str">
        <f aca="false">IFERROR(INDEX(報告入力!$C$7:$C$696,MATCH($S$782&amp;"|"&amp;$A820,報告入力!$CM$7:$CM$696,0)),"")</f>
        <v>受領済</v>
      </c>
    </row>
    <row r="821" s="135" customFormat="true" ht="20.1" hidden="false" customHeight="true" outlineLevel="0" collapsed="false">
      <c r="A821" s="214" t="s">
        <v>199</v>
      </c>
      <c r="B821" s="240" t="n">
        <f aca="false">SUMIFS(報告入力!$AY$7:$AY$696,報告入力!$A$7:$A$696,$S$782,報告入力!$B$7:$B$696,$A821)</f>
        <v>56730</v>
      </c>
      <c r="C821" s="393" t="n">
        <f aca="false">SUMIFS(報告入力!$AZ$7:$AZ$696,報告入力!$A$7:$A$696,$S$782,報告入力!$B$7:$B$696,$A821)</f>
        <v>4650</v>
      </c>
      <c r="D821" s="240" t="n">
        <f aca="false">SUMIFS(報告入力!$BA$7:$BA$696,報告入力!$A$7:$A$696,$S$782,報告入力!$B$7:$B$696,$A821)</f>
        <v>56730</v>
      </c>
      <c r="E821" s="238" t="n">
        <f aca="false">SUMIFS(報告入力!$BB$7:$BB$696,報告入力!$A$7:$A$696,$S$782,報告入力!$B$7:$B$696,$A821)</f>
        <v>4650</v>
      </c>
      <c r="F821" s="393" t="n">
        <f aca="false">SUMIFS(報告入力!$BC$7:$BC$696,報告入力!$A$7:$A$696,$S$782,報告入力!$B$7:$B$696,$A821)</f>
        <v>58</v>
      </c>
      <c r="G821" s="206" t="n">
        <f aca="false">SUM(B821:F821)</f>
        <v>122818</v>
      </c>
      <c r="H821" s="207" t="n">
        <f aca="false">SUMIFS(報告入力!$BD$7:$BD$696,報告入力!$A$7:$A$696,$S$782,報告入力!$B$7:$B$696,$A821)</f>
        <v>34106</v>
      </c>
      <c r="I821" s="208" t="n">
        <f aca="false">SUMIFS(報告入力!$BE$7:$BE$696,報告入力!$A$7:$A$696,$S$782,報告入力!$B$7:$B$696,$A821)</f>
        <v>34168</v>
      </c>
      <c r="J821" s="160" t="n">
        <f aca="false">SUM(H821:I821)</f>
        <v>68274</v>
      </c>
      <c r="K821" s="207" t="n">
        <f aca="false">SUMIFS(報告入力!$BF$7:$BF$696,報告入力!$A$7:$A$696,$S$782,報告入力!$B$7:$B$696,$A821)</f>
        <v>4898</v>
      </c>
      <c r="L821" s="208" t="n">
        <f aca="false">SUMIFS(報告入力!$BG$7:$BG$696,報告入力!$A$7:$A$696,$S$782,報告入力!$B$7:$B$696,$A821)</f>
        <v>4898</v>
      </c>
      <c r="M821" s="160" t="n">
        <f aca="false">SUM(K821:L821)</f>
        <v>9796</v>
      </c>
      <c r="N821" s="207" t="n">
        <f aca="false">SUMIFS(報告入力!$BH$7:$BH$696,報告入力!$A$7:$A$696,$S$782,報告入力!$B$7:$B$696,$A821)</f>
        <v>1</v>
      </c>
      <c r="O821" s="208" t="n">
        <f aca="false">SUMIFS(報告入力!$BI$7:$BI$696,報告入力!$A$7:$A$696,$S$782,報告入力!$B$7:$B$696,$A821)</f>
        <v>1</v>
      </c>
      <c r="P821" s="160" t="n">
        <f aca="false">SUM(N821:O821)</f>
        <v>2</v>
      </c>
      <c r="Q821" s="135" t="str">
        <f aca="false">IF(P756=P821,"〇","×")</f>
        <v>〇</v>
      </c>
      <c r="R821" s="135" t="str">
        <f aca="false">IFERROR(INDEX(報告入力!$C$7:$C$696,MATCH($S$782&amp;"|"&amp;$A821,報告入力!$CM$7:$CM$696,0)),"")</f>
        <v>未受領</v>
      </c>
    </row>
    <row r="822" s="135" customFormat="true" ht="20.1" hidden="false" customHeight="true" outlineLevel="0" collapsed="false">
      <c r="A822" s="214" t="s">
        <v>200</v>
      </c>
      <c r="B822" s="240" t="n">
        <f aca="false">SUMIFS(報告入力!$AY$7:$AY$696,報告入力!$A$7:$A$696,$S$782,報告入力!$B$7:$B$696,$A822)</f>
        <v>59475</v>
      </c>
      <c r="C822" s="393" t="n">
        <f aca="false">SUMIFS(報告入力!$AZ$7:$AZ$696,報告入力!$A$7:$A$696,$S$782,報告入力!$B$7:$B$696,$A822)</f>
        <v>4875</v>
      </c>
      <c r="D822" s="240" t="n">
        <f aca="false">SUMIFS(報告入力!$BA$7:$BA$696,報告入力!$A$7:$A$696,$S$782,報告入力!$B$7:$B$696,$A822)</f>
        <v>59475</v>
      </c>
      <c r="E822" s="238" t="n">
        <f aca="false">SUMIFS(報告入力!$BB$7:$BB$696,報告入力!$A$7:$A$696,$S$782,報告入力!$B$7:$B$696,$A822)</f>
        <v>4875</v>
      </c>
      <c r="F822" s="393" t="n">
        <f aca="false">SUMIFS(報告入力!$BC$7:$BC$696,報告入力!$A$7:$A$696,$S$782,報告入力!$B$7:$B$696,$A822)</f>
        <v>61</v>
      </c>
      <c r="G822" s="206" t="n">
        <f aca="false">SUM(B822:F822)</f>
        <v>128761</v>
      </c>
      <c r="H822" s="207" t="n">
        <f aca="false">SUMIFS(報告入力!$BD$7:$BD$696,報告入力!$A$7:$A$696,$S$782,報告入力!$B$7:$B$696,$A822)</f>
        <v>41257</v>
      </c>
      <c r="I822" s="208" t="n">
        <f aca="false">SUMIFS(報告入力!$BE$7:$BE$696,報告入力!$A$7:$A$696,$S$782,報告入力!$B$7:$B$696,$A822)</f>
        <v>41332</v>
      </c>
      <c r="J822" s="160" t="n">
        <f aca="false">SUM(H822:I822)</f>
        <v>82589</v>
      </c>
      <c r="K822" s="207" t="n">
        <f aca="false">SUMIFS(報告入力!$BF$7:$BF$696,報告入力!$A$7:$A$696,$S$782,報告入力!$B$7:$B$696,$A822)</f>
        <v>5925</v>
      </c>
      <c r="L822" s="208" t="n">
        <f aca="false">SUMIFS(報告入力!$BG$7:$BG$696,報告入力!$A$7:$A$696,$S$782,報告入力!$B$7:$B$696,$A822)</f>
        <v>5925</v>
      </c>
      <c r="M822" s="160" t="n">
        <f aca="false">SUM(K822:L822)</f>
        <v>11850</v>
      </c>
      <c r="N822" s="207" t="n">
        <f aca="false">SUMIFS(報告入力!$BH$7:$BH$696,報告入力!$A$7:$A$696,$S$782,報告入力!$B$7:$B$696,$A822)</f>
        <v>1</v>
      </c>
      <c r="O822" s="208" t="n">
        <f aca="false">SUMIFS(報告入力!$BI$7:$BI$696,報告入力!$A$7:$A$696,$S$782,報告入力!$B$7:$B$696,$A822)</f>
        <v>1</v>
      </c>
      <c r="P822" s="160" t="n">
        <f aca="false">SUM(N822:O822)</f>
        <v>2</v>
      </c>
      <c r="Q822" s="135" t="str">
        <f aca="false">IF(P757=P822,"〇","×")</f>
        <v>〇</v>
      </c>
      <c r="R822" s="135" t="str">
        <f aca="false">IFERROR(INDEX(報告入力!$C$7:$C$696,MATCH($S$782&amp;"|"&amp;$A822,報告入力!$CM$7:$CM$696,0)),"")</f>
        <v>未受領</v>
      </c>
    </row>
    <row r="823" s="135" customFormat="true" ht="20.1" hidden="false" customHeight="true" outlineLevel="0" collapsed="false">
      <c r="A823" s="214" t="s">
        <v>201</v>
      </c>
      <c r="B823" s="240" t="n">
        <f aca="false">SUMIFS(報告入力!$AY$7:$AY$696,報告入力!$A$7:$A$696,$S$782,報告入力!$B$7:$B$696,$A823)</f>
        <v>53985</v>
      </c>
      <c r="C823" s="393" t="n">
        <f aca="false">SUMIFS(報告入力!$AZ$7:$AZ$696,報告入力!$A$7:$A$696,$S$782,報告入力!$B$7:$B$696,$A823)</f>
        <v>4425</v>
      </c>
      <c r="D823" s="240" t="n">
        <f aca="false">SUMIFS(報告入力!$BA$7:$BA$696,報告入力!$A$7:$A$696,$S$782,報告入力!$B$7:$B$696,$A823)</f>
        <v>53985</v>
      </c>
      <c r="E823" s="238" t="n">
        <f aca="false">SUMIFS(報告入力!$BB$7:$BB$696,報告入力!$A$7:$A$696,$S$782,報告入力!$B$7:$B$696,$A823)</f>
        <v>4425</v>
      </c>
      <c r="F823" s="393" t="n">
        <f aca="false">SUMIFS(報告入力!$BC$7:$BC$696,報告入力!$A$7:$A$696,$S$782,報告入力!$B$7:$B$696,$A823)</f>
        <v>55</v>
      </c>
      <c r="G823" s="206" t="n">
        <f aca="false">SUM(B823:F823)</f>
        <v>116875</v>
      </c>
      <c r="H823" s="207" t="n">
        <f aca="false">SUMIFS(報告入力!$BD$7:$BD$696,報告入力!$A$7:$A$696,$S$782,報告入力!$B$7:$B$696,$A823)</f>
        <v>32455</v>
      </c>
      <c r="I823" s="208" t="n">
        <f aca="false">SUMIFS(報告入力!$BE$7:$BE$696,報告入力!$A$7:$A$696,$S$782,報告入力!$B$7:$B$696,$A823)</f>
        <v>32514</v>
      </c>
      <c r="J823" s="160" t="n">
        <f aca="false">SUM(H823:I823)</f>
        <v>64969</v>
      </c>
      <c r="K823" s="207" t="n">
        <f aca="false">SUMIFS(報告入力!$BF$7:$BF$696,報告入力!$A$7:$A$696,$S$782,報告入力!$B$7:$B$696,$A823)</f>
        <v>0</v>
      </c>
      <c r="L823" s="208" t="n">
        <f aca="false">SUMIFS(報告入力!$BG$7:$BG$696,報告入力!$A$7:$A$696,$S$782,報告入力!$B$7:$B$696,$A823)</f>
        <v>0</v>
      </c>
      <c r="M823" s="160" t="n">
        <f aca="false">SUM(K823:L823)</f>
        <v>0</v>
      </c>
      <c r="N823" s="207" t="n">
        <f aca="false">SUMIFS(報告入力!$BH$7:$BH$696,報告入力!$A$7:$A$696,$S$782,報告入力!$B$7:$B$696,$A823)</f>
        <v>1</v>
      </c>
      <c r="O823" s="208" t="n">
        <f aca="false">SUMIFS(報告入力!$BI$7:$BI$696,報告入力!$A$7:$A$696,$S$782,報告入力!$B$7:$B$696,$A823)</f>
        <v>1</v>
      </c>
      <c r="P823" s="160" t="n">
        <f aca="false">SUM(N823:O823)</f>
        <v>2</v>
      </c>
      <c r="Q823" s="135" t="str">
        <f aca="false">IF(P758=P823,"〇","×")</f>
        <v>〇</v>
      </c>
      <c r="R823" s="135" t="str">
        <f aca="false">IFERROR(INDEX(報告入力!$C$7:$C$696,MATCH($S$782&amp;"|"&amp;$A823,報告入力!$CM$7:$CM$696,0)),"")</f>
        <v>未受領</v>
      </c>
    </row>
    <row r="824" s="135" customFormat="true" ht="20.1" hidden="false" customHeight="true" outlineLevel="0" collapsed="false">
      <c r="A824" s="146" t="s">
        <v>202</v>
      </c>
      <c r="B824" s="240" t="n">
        <f aca="false">SUMIFS(報告入力!$AY$7:$AY$696,報告入力!$A$7:$A$696,$S$782,報告入力!$B$7:$B$696,$A824)</f>
        <v>1197735</v>
      </c>
      <c r="C824" s="393" t="n">
        <f aca="false">SUMIFS(報告入力!$AZ$7:$AZ$696,報告入力!$A$7:$A$696,$S$782,報告入力!$B$7:$B$696,$A824)</f>
        <v>98175</v>
      </c>
      <c r="D824" s="240" t="n">
        <f aca="false">SUMIFS(報告入力!$BA$7:$BA$696,報告入力!$A$7:$A$696,$S$782,報告入力!$B$7:$B$696,$A824)</f>
        <v>1197735</v>
      </c>
      <c r="E824" s="238" t="n">
        <f aca="false">SUMIFS(報告入力!$BB$7:$BB$696,報告入力!$A$7:$A$696,$S$782,報告入力!$B$7:$B$696,$A824)</f>
        <v>98175</v>
      </c>
      <c r="F824" s="393" t="n">
        <f aca="false">SUMIFS(報告入力!$BC$7:$BC$696,報告入力!$A$7:$A$696,$S$782,報告入力!$B$7:$B$696,$A824)</f>
        <v>1340</v>
      </c>
      <c r="G824" s="206" t="n">
        <f aca="false">SUM(B824:F824)</f>
        <v>2593160</v>
      </c>
      <c r="H824" s="207" t="n">
        <f aca="false">SUMIFS(報告入力!$BD$7:$BD$696,報告入力!$A$7:$A$696,$S$782,報告入力!$B$7:$B$696,$A824)</f>
        <v>720070</v>
      </c>
      <c r="I824" s="208" t="n">
        <f aca="false">SUMIFS(報告入力!$BE$7:$BE$696,報告入力!$A$7:$A$696,$S$782,報告入力!$B$7:$B$696,$A824)</f>
        <v>721509</v>
      </c>
      <c r="J824" s="160" t="n">
        <f aca="false">SUM(H824:I824)</f>
        <v>1441579</v>
      </c>
      <c r="K824" s="207" t="n">
        <f aca="false">SUMIFS(報告入力!$BF$7:$BF$696,報告入力!$A$7:$A$696,$S$782,報告入力!$B$7:$B$696,$A824)</f>
        <v>67940</v>
      </c>
      <c r="L824" s="208" t="n">
        <f aca="false">SUMIFS(報告入力!$BG$7:$BG$696,報告入力!$A$7:$A$696,$S$782,報告入力!$B$7:$B$696,$A824)</f>
        <v>67940</v>
      </c>
      <c r="M824" s="160" t="n">
        <f aca="false">SUM(K824:L824)</f>
        <v>135880</v>
      </c>
      <c r="N824" s="207" t="n">
        <f aca="false">SUMIFS(報告入力!$BH$7:$BH$696,報告入力!$A$7:$A$696,$S$782,報告入力!$B$7:$B$696,$A824)</f>
        <v>1</v>
      </c>
      <c r="O824" s="208" t="n">
        <f aca="false">SUMIFS(報告入力!$BI$7:$BI$696,報告入力!$A$7:$A$696,$S$782,報告入力!$B$7:$B$696,$A824)</f>
        <v>1</v>
      </c>
      <c r="P824" s="160" t="n">
        <f aca="false">SUM(N824:O824)</f>
        <v>2</v>
      </c>
      <c r="Q824" s="135" t="str">
        <f aca="false">IF(P759=P824,"〇","×")</f>
        <v>〇</v>
      </c>
      <c r="R824" s="135" t="str">
        <f aca="false">IFERROR(INDEX(報告入力!$C$7:$C$696,MATCH($S$782&amp;"|"&amp;$A824,報告入力!$CM$7:$CM$696,0)),"")</f>
        <v>未受領</v>
      </c>
    </row>
    <row r="825" s="135" customFormat="true" ht="20.1" hidden="false" customHeight="true" outlineLevel="0" collapsed="false">
      <c r="A825" s="146" t="s">
        <v>203</v>
      </c>
      <c r="B825" s="226"/>
      <c r="C825" s="216"/>
      <c r="D825" s="240" t="n">
        <f aca="false">SUMIFS(報告入力!$BA$7:$BA$696,報告入力!$A$7:$A$696,$S$782,報告入力!$B$7:$B$696,$A825)</f>
        <v>245220</v>
      </c>
      <c r="E825" s="238" t="n">
        <f aca="false">SUMIFS(報告入力!$BB$7:$BB$696,報告入力!$A$7:$A$696,$S$782,報告入力!$B$7:$B$696,$A825)</f>
        <v>20100</v>
      </c>
      <c r="F825" s="393" t="n">
        <f aca="false">SUMIFS(報告入力!$BC$7:$BC$696,報告入力!$A$7:$A$696,$S$782,報告入力!$B$7:$B$696,$A825)</f>
        <v>251</v>
      </c>
      <c r="G825" s="206" t="n">
        <f aca="false">SUM(B825:F825)</f>
        <v>265571</v>
      </c>
      <c r="H825" s="227"/>
      <c r="I825" s="208" t="n">
        <f aca="false">SUMIFS(報告入力!$BE$7:$BE$696,報告入力!$A$7:$A$696,$S$782,報告入力!$B$7:$B$696,$A825)</f>
        <v>151001</v>
      </c>
      <c r="J825" s="160" t="n">
        <f aca="false">SUM(H825:I825)</f>
        <v>151001</v>
      </c>
      <c r="K825" s="227"/>
      <c r="L825" s="239" t="n">
        <f aca="false">SUMIFS(報告入力!$BG$7:$BG$696,報告入力!$A$7:$A$696,$S$782,報告入力!$B$7:$B$696,$A825)</f>
        <v>10744</v>
      </c>
      <c r="M825" s="160" t="n">
        <f aca="false">SUM(K825:L825)</f>
        <v>10744</v>
      </c>
      <c r="N825" s="227"/>
      <c r="O825" s="239" t="n">
        <f aca="false">SUMIFS(報告入力!$BI$7:$BI$696,報告入力!$A$7:$A$696,$S$782,報告入力!$B$7:$B$696,$A825)</f>
        <v>1</v>
      </c>
      <c r="P825" s="160" t="n">
        <f aca="false">SUM(N825:O825)</f>
        <v>1</v>
      </c>
      <c r="Q825" s="135" t="str">
        <f aca="false">IF(P760=P825,"〇","×")</f>
        <v>〇</v>
      </c>
      <c r="R825" s="135" t="str">
        <f aca="false">IFERROR(INDEX(報告入力!$C$7:$C$696,MATCH($S$782&amp;"|"&amp;$A825,報告入力!$CM$7:$CM$696,0)),"")</f>
        <v>未受領</v>
      </c>
    </row>
    <row r="826" s="135" customFormat="true" ht="19.5" hidden="false" customHeight="true" outlineLevel="0" collapsed="false">
      <c r="A826" s="232" t="s">
        <v>204</v>
      </c>
      <c r="B826" s="240" t="n">
        <f aca="false">SUMIFS(報告入力!$AY$7:$AY$696,報告入力!$A$7:$A$696,$S$782,報告入力!$B$7:$B$696,$A826)</f>
        <v>123538633</v>
      </c>
      <c r="C826" s="393" t="n">
        <f aca="false">SUMIFS(報告入力!$AZ$7:$AZ$696,報告入力!$A$7:$A$696,$S$782,報告入力!$B$7:$B$696,$A826)</f>
        <v>10126117</v>
      </c>
      <c r="D826" s="240" t="n">
        <f aca="false">SUMIFS(報告入力!$BA$7:$BA$696,報告入力!$A$7:$A$696,$S$782,報告入力!$B$7:$B$696,$A826)</f>
        <v>183046981</v>
      </c>
      <c r="E826" s="238" t="n">
        <f aca="false">SUMIFS(報告入力!$BB$7:$BB$696,報告入力!$A$7:$A$696,$S$782,報告入力!$B$7:$B$696,$A826)</f>
        <v>10126117</v>
      </c>
      <c r="F826" s="393" t="n">
        <f aca="false">SUMIFS(報告入力!$BC$7:$BC$696,報告入力!$A$7:$A$696,$S$782,報告入力!$B$7:$B$696,$A826)</f>
        <v>134539</v>
      </c>
      <c r="G826" s="206" t="n">
        <f aca="false">SUM(B826:F826)</f>
        <v>326972387</v>
      </c>
      <c r="H826" s="207" t="n">
        <f aca="false">SUMIFS(報告入力!$BD$7:$BD$696,報告入力!$A$7:$A$696,$S$782,報告入力!$B$7:$B$696,$A826)</f>
        <v>96329864</v>
      </c>
      <c r="I826" s="208" t="n">
        <f aca="false">SUMIFS(報告入力!$BE$7:$BE$696,報告入力!$A$7:$A$696,$S$782,報告入力!$B$7:$B$696,$A826)</f>
        <v>96517913</v>
      </c>
      <c r="J826" s="160" t="n">
        <f aca="false">SUM(H826:I826)</f>
        <v>192847777</v>
      </c>
      <c r="K826" s="207" t="n">
        <f aca="false">SUMIFS(報告入力!$BF$7:$BF$696,報告入力!$A$7:$A$696,$S$782,報告入力!$B$7:$B$696,$A826)</f>
        <v>7858664</v>
      </c>
      <c r="L826" s="208" t="n">
        <f aca="false">SUMIFS(報告入力!$BG$7:$BG$696,報告入力!$A$7:$A$696,$S$782,報告入力!$B$7:$B$696,$A826)</f>
        <v>7858664</v>
      </c>
      <c r="M826" s="160" t="n">
        <f aca="false">SUM(K826:L826)</f>
        <v>15717328</v>
      </c>
      <c r="N826" s="207" t="n">
        <f aca="false">SUMIFS(報告入力!$BH$7:$BH$696,報告入力!$A$7:$A$696,$S$782,報告入力!$B$7:$B$696,$A826)</f>
        <v>1</v>
      </c>
      <c r="O826" s="208" t="n">
        <f aca="false">SUMIFS(報告入力!$BI$7:$BI$696,報告入力!$A$7:$A$696,$S$782,報告入力!$B$7:$B$696,$A826)</f>
        <v>1</v>
      </c>
      <c r="P826" s="160" t="n">
        <f aca="false">SUM(N826:O826)</f>
        <v>2</v>
      </c>
      <c r="Q826" s="135" t="str">
        <f aca="false">IF(P761=P826,"〇","×")</f>
        <v>〇</v>
      </c>
      <c r="R826" s="135" t="str">
        <f aca="false">IFERROR(INDEX(報告入力!$C$7:$C$696,MATCH($S$782&amp;"|"&amp;$A826,報告入力!$CM$7:$CM$696,0)),"")</f>
        <v>未受領</v>
      </c>
    </row>
    <row r="827" s="162" customFormat="true" ht="21.75" hidden="false" customHeight="true" outlineLevel="0" collapsed="false">
      <c r="A827" s="399" t="s">
        <v>205</v>
      </c>
      <c r="B827" s="152"/>
      <c r="C827" s="156"/>
      <c r="D827" s="152"/>
      <c r="E827" s="234"/>
      <c r="F827" s="156"/>
      <c r="G827" s="235" t="n">
        <f aca="false">SUM(B827:F827)</f>
        <v>0</v>
      </c>
      <c r="H827" s="238" t="n">
        <f aca="false">SUMIFS(報告入力!$BD$7:$BD$696,報告入力!$A$7:$A$696,$S$782,報告入力!$B$7:$B$696,$A827)</f>
        <v>108364</v>
      </c>
      <c r="I827" s="395" t="n">
        <f aca="false">SUMIFS(報告入力!$BE$7:$BE$696,報告入力!$A$7:$A$696,$S$782,報告入力!$B$7:$B$696,$A827)</f>
        <v>108566</v>
      </c>
      <c r="J827" s="160" t="n">
        <f aca="false">SUM(H827:I827)</f>
        <v>216930</v>
      </c>
      <c r="K827" s="240" t="n">
        <f aca="false">SUMIFS(報告入力!$BF$7:$BF$696,報告入力!$A$7:$A$696,$S$782,報告入力!$B$7:$B$696,$A827)</f>
        <v>12245</v>
      </c>
      <c r="L827" s="395" t="n">
        <f aca="false">SUMIFS(報告入力!$BG$7:$BG$696,報告入力!$A$7:$A$696,$S$782,報告入力!$B$7:$B$696,$A827)</f>
        <v>12245</v>
      </c>
      <c r="M827" s="160" t="n">
        <f aca="false">SUM(K827:L827)</f>
        <v>24490</v>
      </c>
      <c r="N827" s="240" t="n">
        <f aca="false">SUMIFS(報告入力!$BH$7:$BH$696,報告入力!$A$7:$A$696,$S$782,報告入力!$B$7:$B$696,$A827)</f>
        <v>1</v>
      </c>
      <c r="O827" s="395" t="n">
        <f aca="false">SUMIFS(報告入力!$BI$7:$BI$696,報告入力!$A$7:$A$696,$S$782,報告入力!$B$7:$B$696,$A827)</f>
        <v>1</v>
      </c>
      <c r="P827" s="160" t="n">
        <f aca="false">SUM(N827:O827)</f>
        <v>2</v>
      </c>
      <c r="Q827" s="162" t="str">
        <f aca="false">IF(P762=P827,"〇","×")</f>
        <v>〇</v>
      </c>
      <c r="R827" s="162" t="str">
        <f aca="false">IFERROR(INDEX(報告入力!$C$7:$C$696,MATCH($S$782&amp;"|"&amp;$A827,報告入力!$CM$7:$CM$696,0)),"")</f>
        <v>未受領</v>
      </c>
    </row>
    <row r="828" s="162" customFormat="true" ht="21.75" hidden="false" customHeight="true" outlineLevel="0" collapsed="false">
      <c r="A828" s="236" t="s">
        <v>206</v>
      </c>
      <c r="B828" s="336"/>
      <c r="C828" s="355"/>
      <c r="D828" s="336"/>
      <c r="E828" s="334"/>
      <c r="F828" s="356"/>
      <c r="G828" s="327" t="n">
        <f aca="false">SUM(B828:F828)</f>
        <v>0</v>
      </c>
      <c r="H828" s="334"/>
      <c r="I828" s="335"/>
      <c r="J828" s="330" t="n">
        <f aca="false">SUM(H828:I828)</f>
        <v>0</v>
      </c>
      <c r="K828" s="334"/>
      <c r="L828" s="335"/>
      <c r="M828" s="330" t="n">
        <f aca="false">SUM(K828:L828)</f>
        <v>0</v>
      </c>
      <c r="N828" s="334"/>
      <c r="O828" s="335"/>
      <c r="P828" s="330" t="n">
        <f aca="false">SUM(N828:O828)</f>
        <v>0</v>
      </c>
      <c r="Q828" s="162" t="str">
        <f aca="false">IF(P763=P828,"〇","×")</f>
        <v>〇</v>
      </c>
      <c r="R828" s="162" t="str">
        <f aca="false">IFERROR(INDEX(報告入力!$C$7:$C$696,MATCH($S$782&amp;"|"&amp;$A828,報告入力!$CM$7:$CM$696,0)),"")</f>
        <v>報告なし</v>
      </c>
    </row>
    <row r="829" s="162" customFormat="true" ht="21.75" hidden="false" customHeight="true" outlineLevel="0" collapsed="false">
      <c r="A829" s="236" t="s">
        <v>207</v>
      </c>
      <c r="B829" s="240" t="n">
        <f aca="false">SUMIFS(報告入力!$AY$7:$AY$696,報告入力!$A$7:$A$696,$S$782,報告入力!$B$7:$B$696,$A829)</f>
        <v>59475</v>
      </c>
      <c r="C829" s="392" t="n">
        <f aca="false">SUMIFS(報告入力!$AZ$7:$AZ$696,報告入力!$A$7:$A$696,$S$782,報告入力!$B$7:$B$696,$A829)</f>
        <v>4875</v>
      </c>
      <c r="D829" s="240" t="n">
        <f aca="false">SUMIFS(報告入力!$BA$7:$BA$696,報告入力!$A$7:$A$696,$S$782,報告入力!$B$7:$B$696,$A829)</f>
        <v>59475</v>
      </c>
      <c r="E829" s="238" t="n">
        <f aca="false">SUMIFS(報告入力!$BB$7:$BB$696,報告入力!$A$7:$A$696,$S$782,報告入力!$B$7:$B$696,$A829)</f>
        <v>4875</v>
      </c>
      <c r="F829" s="393" t="n">
        <f aca="false">SUMIFS(報告入力!$BC$7:$BC$696,報告入力!$A$7:$A$696,$S$782,報告入力!$B$7:$B$696,$A829)</f>
        <v>61</v>
      </c>
      <c r="G829" s="206" t="n">
        <f aca="false">SUM(B829:F829)</f>
        <v>128761</v>
      </c>
      <c r="H829" s="240" t="n">
        <f aca="false">SUMIFS(報告入力!$BD$7:$BD$696,報告入力!$A$7:$A$696,$S$782,報告入力!$B$7:$B$696,$A829)</f>
        <v>41257</v>
      </c>
      <c r="I829" s="239" t="n">
        <f aca="false">SUMIFS(報告入力!$BE$7:$BE$696,報告入力!$A$7:$A$696,$S$782,報告入力!$B$7:$B$696,$A829)</f>
        <v>41332</v>
      </c>
      <c r="J829" s="160" t="n">
        <f aca="false">SUM(H829:I829)</f>
        <v>82589</v>
      </c>
      <c r="K829" s="240" t="n">
        <f aca="false">SUMIFS(報告入力!$BF$7:$BF$696,報告入力!$A$7:$A$696,$S$782,報告入力!$B$7:$B$696,$A829)</f>
        <v>5925</v>
      </c>
      <c r="L829" s="238" t="n">
        <f aca="false">SUMIFS(報告入力!$BG$7:$BG$696,報告入力!$A$7:$A$696,$S$782,報告入力!$B$7:$B$696,$A829)</f>
        <v>5925</v>
      </c>
      <c r="M829" s="160" t="n">
        <f aca="false">SUM(K829:L829)</f>
        <v>11850</v>
      </c>
      <c r="N829" s="240" t="n">
        <f aca="false">SUMIFS(報告入力!$BH$7:$BH$696,報告入力!$A$7:$A$696,$S$782,報告入力!$B$7:$B$696,$A829)</f>
        <v>1</v>
      </c>
      <c r="O829" s="238" t="n">
        <f aca="false">SUMIFS(報告入力!$BI$7:$BI$696,報告入力!$A$7:$A$696,$S$782,報告入力!$B$7:$B$696,$A829)</f>
        <v>1</v>
      </c>
      <c r="P829" s="160" t="n">
        <f aca="false">SUM(N829:O829)</f>
        <v>2</v>
      </c>
      <c r="Q829" s="162" t="str">
        <f aca="false">IF(P764=P829,"〇","×")</f>
        <v>〇</v>
      </c>
      <c r="R829" s="162" t="str">
        <f aca="false">IFERROR(INDEX(報告入力!$C$7:$C$696,MATCH($S$782&amp;"|"&amp;$A829,報告入力!$CM$7:$CM$696,0)),"")</f>
        <v>未受領</v>
      </c>
    </row>
    <row r="830" s="162" customFormat="true" ht="21.75" hidden="false" customHeight="true" outlineLevel="0" collapsed="false">
      <c r="A830" s="174"/>
      <c r="B830" s="353"/>
      <c r="C830" s="243"/>
      <c r="D830" s="401"/>
      <c r="E830" s="397"/>
      <c r="F830" s="243"/>
      <c r="G830" s="391" t="n">
        <f aca="false">SUM(B830:F830)</f>
        <v>0</v>
      </c>
      <c r="H830" s="247"/>
      <c r="I830" s="183"/>
      <c r="J830" s="248" t="n">
        <f aca="false">SUM(H830:I830)</f>
        <v>0</v>
      </c>
      <c r="K830" s="245"/>
      <c r="L830" s="183"/>
      <c r="M830" s="248" t="n">
        <f aca="false">SUM(K830:L830)</f>
        <v>0</v>
      </c>
      <c r="N830" s="245"/>
      <c r="O830" s="183"/>
      <c r="P830" s="248" t="n">
        <f aca="false">SUM(N830:O830)</f>
        <v>0</v>
      </c>
      <c r="Q830" s="162" t="str">
        <f aca="false">IF(P765=P830,"〇","×")</f>
        <v>〇</v>
      </c>
    </row>
    <row r="831" s="162" customFormat="true" ht="0.2" hidden="false" customHeight="true" outlineLevel="0" collapsed="false">
      <c r="A831" s="174"/>
      <c r="B831" s="182"/>
      <c r="C831" s="181"/>
      <c r="D831" s="245"/>
      <c r="E831" s="183"/>
      <c r="F831" s="181"/>
      <c r="G831" s="246" t="n">
        <f aca="false">SUM(B831:F831)</f>
        <v>0</v>
      </c>
      <c r="H831" s="247"/>
      <c r="I831" s="183"/>
      <c r="J831" s="248" t="n">
        <f aca="false">SUM(H831:I831)</f>
        <v>0</v>
      </c>
      <c r="K831" s="245"/>
      <c r="L831" s="183"/>
      <c r="M831" s="248" t="n">
        <f aca="false">SUM(K831:L831)</f>
        <v>0</v>
      </c>
      <c r="N831" s="245"/>
      <c r="O831" s="183"/>
      <c r="P831" s="248" t="n">
        <f aca="false">SUM(N831:O831)</f>
        <v>0</v>
      </c>
      <c r="Q831" s="162" t="str">
        <f aca="false">IF(P766=P831,"〇","×")</f>
        <v>〇</v>
      </c>
    </row>
    <row r="832" s="162" customFormat="true" ht="0.2" hidden="false" customHeight="true" outlineLevel="0" collapsed="false">
      <c r="A832" s="187"/>
      <c r="B832" s="249"/>
      <c r="C832" s="250"/>
      <c r="D832" s="251"/>
      <c r="E832" s="252"/>
      <c r="F832" s="250"/>
      <c r="G832" s="253"/>
      <c r="H832" s="254"/>
      <c r="I832" s="254"/>
      <c r="J832" s="255"/>
      <c r="K832" s="256"/>
      <c r="L832" s="254"/>
      <c r="M832" s="255"/>
      <c r="N832" s="256"/>
      <c r="O832" s="254"/>
      <c r="P832" s="255"/>
      <c r="Q832" s="162" t="str">
        <f aca="false">IF(P767=P832,"〇","×")</f>
        <v>〇</v>
      </c>
    </row>
    <row r="833" s="135" customFormat="true" ht="20.1" hidden="false" customHeight="true" outlineLevel="0" collapsed="false">
      <c r="A833" s="196" t="s">
        <v>497</v>
      </c>
      <c r="B833" s="197" t="n">
        <f aca="false">SUM(B803:B832)</f>
        <v>126414478</v>
      </c>
      <c r="C833" s="200" t="n">
        <f aca="false">SUM(C803:C832)</f>
        <v>10361842</v>
      </c>
      <c r="D833" s="198" t="n">
        <f aca="false">SUM(D803:D832)</f>
        <v>192071444</v>
      </c>
      <c r="E833" s="199" t="n">
        <f aca="false">SUM(E803:E832)</f>
        <v>10865826</v>
      </c>
      <c r="F833" s="200" t="n">
        <f aca="false">SUM(F803:F832)</f>
        <v>144041</v>
      </c>
      <c r="G833" s="201" t="n">
        <f aca="false">SUM(B833:F833)</f>
        <v>339857631</v>
      </c>
      <c r="H833" s="198" t="n">
        <f aca="false">SUM(H803:H831)</f>
        <v>98179819</v>
      </c>
      <c r="I833" s="198" t="n">
        <f aca="false">SUM(I803:I831)</f>
        <v>102224086</v>
      </c>
      <c r="J833" s="200" t="n">
        <f aca="false">SUM(H833:I833)</f>
        <v>200403905</v>
      </c>
      <c r="K833" s="197" t="n">
        <f aca="false">SUM(K803:K831)</f>
        <v>8033175</v>
      </c>
      <c r="L833" s="198" t="n">
        <f aca="false">SUM(L803:L831)</f>
        <v>8476839</v>
      </c>
      <c r="M833" s="200" t="n">
        <f aca="false">SUM(K833:L833)</f>
        <v>16510014</v>
      </c>
      <c r="N833" s="197" t="n">
        <f aca="false">SUM(N803:N831)</f>
        <v>12</v>
      </c>
      <c r="O833" s="198" t="n">
        <f aca="false">SUM(O803:O831)</f>
        <v>24</v>
      </c>
      <c r="P833" s="200" t="n">
        <f aca="false">SUM(N833:O833)</f>
        <v>36</v>
      </c>
      <c r="Q833" s="135" t="str">
        <f aca="false">IF(P768=P833,"〇","×")</f>
        <v>〇</v>
      </c>
    </row>
    <row r="834" s="162" customFormat="true" ht="0.2" hidden="false" customHeight="true" outlineLevel="0" collapsed="false">
      <c r="A834" s="174" t="s">
        <v>496</v>
      </c>
      <c r="B834" s="256"/>
      <c r="C834" s="257"/>
      <c r="D834" s="254"/>
      <c r="E834" s="258"/>
      <c r="F834" s="259"/>
      <c r="G834" s="260"/>
      <c r="H834" s="261"/>
      <c r="I834" s="261"/>
      <c r="J834" s="262"/>
      <c r="K834" s="263"/>
      <c r="L834" s="264"/>
      <c r="M834" s="265"/>
      <c r="N834" s="263"/>
      <c r="O834" s="264"/>
      <c r="P834" s="265"/>
      <c r="Q834" s="162" t="str">
        <f aca="false">IF(P769=P834,"〇","×")</f>
        <v>〇</v>
      </c>
    </row>
    <row r="835" s="162" customFormat="true" ht="0.2" hidden="false" customHeight="true" outlineLevel="0" collapsed="false">
      <c r="A835" s="266" t="s">
        <v>496</v>
      </c>
      <c r="B835" s="267"/>
      <c r="C835" s="268"/>
      <c r="D835" s="254"/>
      <c r="E835" s="258"/>
      <c r="F835" s="257"/>
      <c r="G835" s="253"/>
      <c r="H835" s="269"/>
      <c r="I835" s="269"/>
      <c r="J835" s="270"/>
      <c r="K835" s="271"/>
      <c r="L835" s="272"/>
      <c r="M835" s="273"/>
      <c r="N835" s="271"/>
      <c r="O835" s="272"/>
      <c r="P835" s="273"/>
      <c r="Q835" s="162" t="str">
        <f aca="false">IF(P770=P835,"〇","×")</f>
        <v>〇</v>
      </c>
    </row>
    <row r="836" s="135" customFormat="true" ht="20.1" hidden="false" customHeight="true" outlineLevel="0" collapsed="false">
      <c r="A836" s="214" t="s">
        <v>208</v>
      </c>
      <c r="B836" s="240" t="n">
        <f aca="false">SUMIFS(報告入力!$AY$7:$AY$696,報告入力!$A$7:$A$696,$S$782,報告入力!$B$7:$B$696,$A836)</f>
        <v>145485</v>
      </c>
      <c r="C836" s="393" t="n">
        <f aca="false">SUMIFS(報告入力!$AZ$7:$AZ$696,報告入力!$A$7:$A$696,$S$782,報告入力!$B$7:$B$696,$A836)</f>
        <v>11925</v>
      </c>
      <c r="D836" s="240" t="n">
        <f aca="false">SUMIFS(報告入力!$BA$7:$BA$696,報告入力!$A$7:$A$696,$S$782,報告入力!$B$7:$B$696,$A836)</f>
        <v>145485</v>
      </c>
      <c r="E836" s="238" t="n">
        <f aca="false">SUMIFS(報告入力!$BB$7:$BB$696,報告入力!$A$7:$A$696,$S$782,報告入力!$B$7:$B$696,$A836)</f>
        <v>11925</v>
      </c>
      <c r="F836" s="393" t="n">
        <f aca="false">SUMIFS(報告入力!$BC$7:$BC$696,報告入力!$A$7:$A$696,$S$782,報告入力!$B$7:$B$696,$A836)</f>
        <v>149</v>
      </c>
      <c r="G836" s="206" t="n">
        <f aca="false">SUM(B836:F836)</f>
        <v>314969</v>
      </c>
      <c r="H836" s="155"/>
      <c r="I836" s="155"/>
      <c r="J836" s="221" t="n">
        <f aca="false">SUM(H836:I836)</f>
        <v>0</v>
      </c>
      <c r="K836" s="155"/>
      <c r="L836" s="155"/>
      <c r="M836" s="221" t="n">
        <f aca="false">SUM(K836:L836)</f>
        <v>0</v>
      </c>
      <c r="N836" s="155"/>
      <c r="O836" s="155"/>
      <c r="P836" s="221" t="n">
        <f aca="false">SUM(N836:O836)</f>
        <v>0</v>
      </c>
      <c r="Q836" s="135" t="str">
        <f aca="false">IF(P771=P836,"〇","×")</f>
        <v>〇</v>
      </c>
      <c r="R836" s="135" t="str">
        <f aca="false">IFERROR(INDEX(報告入力!$C$7:$C$696,MATCH($S$782&amp;"|"&amp;$A836,報告入力!$CM$7:$CM$696,0)),"")</f>
        <v>未受領</v>
      </c>
    </row>
    <row r="837" s="135" customFormat="true" ht="21.75" hidden="false" customHeight="true" outlineLevel="0" collapsed="false">
      <c r="A837" s="214" t="s">
        <v>209</v>
      </c>
      <c r="B837" s="409" t="n">
        <f aca="false">SUMIFS(報告入力!$AY$7:$AY$696,報告入力!$A$7:$A$696,$S$782,報告入力!$B$7:$B$696,$A837)</f>
        <v>53985</v>
      </c>
      <c r="C837" s="410" t="n">
        <f aca="false">SUMIFS(報告入力!$AZ$7:$AZ$696,報告入力!$A$7:$A$696,$S$782,報告入力!$B$7:$B$696,$A837)</f>
        <v>4425</v>
      </c>
      <c r="D837" s="425" t="n">
        <f aca="false">SUMIFS(報告入力!$BA$7:$BA$696,報告入力!$A$7:$A$696,$S$782,報告入力!$B$7:$B$696,$A837)</f>
        <v>53985</v>
      </c>
      <c r="E837" s="426" t="n">
        <f aca="false">SUMIFS(報告入力!$BB$7:$BB$696,報告入力!$A$7:$A$696,$S$782,報告入力!$B$7:$B$696,$A837)</f>
        <v>4425</v>
      </c>
      <c r="F837" s="427" t="n">
        <f aca="false">SUMIFS(報告入力!$BC$7:$BC$696,報告入力!$A$7:$A$696,$S$782,報告入力!$B$7:$B$696,$A837)</f>
        <v>55</v>
      </c>
      <c r="G837" s="391" t="n">
        <f aca="false">SUM(B837:F837)</f>
        <v>116875</v>
      </c>
      <c r="H837" s="277"/>
      <c r="I837" s="277"/>
      <c r="J837" s="278" t="n">
        <f aca="false">SUM(H837:I837)</f>
        <v>0</v>
      </c>
      <c r="K837" s="277"/>
      <c r="L837" s="277"/>
      <c r="M837" s="278" t="n">
        <f aca="false">SUM(K837:L837)</f>
        <v>0</v>
      </c>
      <c r="N837" s="277"/>
      <c r="O837" s="277"/>
      <c r="P837" s="278" t="n">
        <f aca="false">SUM(N837:O837)</f>
        <v>0</v>
      </c>
      <c r="Q837" s="135" t="str">
        <f aca="false">IF(P772=P837,"〇","×")</f>
        <v>〇</v>
      </c>
      <c r="R837" s="135" t="str">
        <f aca="false">IFERROR(INDEX(報告入力!$C$7:$C$696,MATCH($S$782&amp;"|"&amp;$A837,報告入力!$CM$7:$CM$696,0)),"")</f>
        <v>未受領</v>
      </c>
    </row>
    <row r="838" s="135" customFormat="true" ht="19.5" hidden="false" customHeight="true" outlineLevel="0" collapsed="false">
      <c r="A838" s="196" t="s">
        <v>497</v>
      </c>
      <c r="B838" s="197" t="n">
        <f aca="false">SUM(B834:B837)</f>
        <v>199470</v>
      </c>
      <c r="C838" s="200" t="n">
        <f aca="false">SUM(C834:C837)</f>
        <v>16350</v>
      </c>
      <c r="D838" s="198" t="n">
        <f aca="false">SUM(D834:D837)</f>
        <v>199470</v>
      </c>
      <c r="E838" s="199" t="n">
        <f aca="false">SUM(E834:E837)</f>
        <v>16350</v>
      </c>
      <c r="F838" s="200" t="n">
        <f aca="false">SUM(F834:F837)</f>
        <v>204</v>
      </c>
      <c r="G838" s="201" t="n">
        <f aca="false">SUM(B838:F838)</f>
        <v>431844</v>
      </c>
      <c r="H838" s="281" t="n">
        <f aca="false">SUM(H834:H837)</f>
        <v>0</v>
      </c>
      <c r="I838" s="282" t="n">
        <f aca="false">SUM(I834:I837)</f>
        <v>0</v>
      </c>
      <c r="J838" s="283" t="n">
        <f aca="false">SUM(H838:I838)</f>
        <v>0</v>
      </c>
      <c r="K838" s="281" t="n">
        <f aca="false">SUM(K834:K837)</f>
        <v>0</v>
      </c>
      <c r="L838" s="282" t="n">
        <f aca="false">SUM(L834:L837)</f>
        <v>0</v>
      </c>
      <c r="M838" s="283" t="n">
        <f aca="false">SUM(K838:L838)</f>
        <v>0</v>
      </c>
      <c r="N838" s="281" t="n">
        <f aca="false">SUM(N834:N837)</f>
        <v>0</v>
      </c>
      <c r="O838" s="282" t="n">
        <f aca="false">SUM(O834:O837)</f>
        <v>0</v>
      </c>
      <c r="P838" s="283" t="n">
        <f aca="false">SUM(N838:O838)</f>
        <v>0</v>
      </c>
      <c r="Q838" s="135" t="str">
        <f aca="false">IF(P773=P838,"〇","×")</f>
        <v>〇</v>
      </c>
    </row>
    <row r="839" s="135" customFormat="true" ht="20.1" hidden="false" customHeight="true" outlineLevel="0" collapsed="false">
      <c r="A839" s="125" t="s">
        <v>210</v>
      </c>
      <c r="B839" s="240" t="n">
        <f aca="false">SUMIFS(報告入力!$AY$7:$AY$696,報告入力!$A$7:$A$696,$S$782,報告入力!$B$7:$B$696,$A839)</f>
        <v>29280</v>
      </c>
      <c r="C839" s="393" t="n">
        <f aca="false">SUMIFS(報告入力!$AZ$7:$AZ$696,報告入力!$A$7:$A$696,$S$782,報告入力!$B$7:$B$696,$A839)</f>
        <v>2400</v>
      </c>
      <c r="D839" s="240" t="n">
        <f aca="false">SUMIFS(報告入力!$BA$7:$BA$696,報告入力!$A$7:$A$696,$S$782,報告入力!$B$7:$B$696,$A839)</f>
        <v>29280</v>
      </c>
      <c r="E839" s="238" t="n">
        <f aca="false">SUMIFS(報告入力!$BB$7:$BB$696,報告入力!$A$7:$A$696,$S$782,報告入力!$B$7:$B$696,$A839)</f>
        <v>2400</v>
      </c>
      <c r="F839" s="337"/>
      <c r="G839" s="206" t="n">
        <f aca="false">SUM(B839:F839)</f>
        <v>63360</v>
      </c>
      <c r="H839" s="207" t="n">
        <f aca="false">SUMIFS(報告入力!$BD$7:$BD$696,報告入力!$A$7:$A$696,$S$782,報告入力!$B$7:$B$696,$A839)</f>
        <v>17603</v>
      </c>
      <c r="I839" s="208" t="n">
        <f aca="false">SUMIFS(報告入力!$BE$7:$BE$696,報告入力!$A$7:$A$696,$S$782,報告入力!$B$7:$B$696,$A839)</f>
        <v>17635</v>
      </c>
      <c r="J839" s="160" t="n">
        <f aca="false">SUM(H839:I839)</f>
        <v>35238</v>
      </c>
      <c r="K839" s="207" t="n">
        <f aca="false">SUMIFS(報告入力!$BF$7:$BF$696,報告入力!$A$7:$A$696,$S$782,報告入力!$B$7:$B$696,$A839)</f>
        <v>2528</v>
      </c>
      <c r="L839" s="208" t="n">
        <f aca="false">SUMIFS(報告入力!$BG$7:$BG$696,報告入力!$A$7:$A$696,$S$782,報告入力!$B$7:$B$696,$A839)</f>
        <v>2528</v>
      </c>
      <c r="M839" s="160" t="n">
        <f aca="false">SUM(K839:L839)</f>
        <v>5056</v>
      </c>
      <c r="N839" s="207" t="n">
        <f aca="false">SUMIFS(報告入力!$BH$7:$BH$696,報告入力!$A$7:$A$696,$S$782,報告入力!$B$7:$B$696,$A839)</f>
        <v>1</v>
      </c>
      <c r="O839" s="208" t="n">
        <f aca="false">SUMIFS(報告入力!$BI$7:$BI$696,報告入力!$A$7:$A$696,$S$782,報告入力!$B$7:$B$696,$A839)</f>
        <v>1</v>
      </c>
      <c r="P839" s="160" t="n">
        <f aca="false">SUM(N839:O839)</f>
        <v>2</v>
      </c>
      <c r="Q839" s="135" t="str">
        <f aca="false">IF(P774=P839,"〇","×")</f>
        <v>〇</v>
      </c>
      <c r="R839" s="135" t="str">
        <f aca="false">IFERROR(INDEX(報告入力!$C$7:$C$696,MATCH($S$782&amp;"|"&amp;$A839,報告入力!$CM$7:$CM$696,0)),"")</f>
        <v>未受領</v>
      </c>
    </row>
    <row r="840" s="135" customFormat="true" ht="20.1" hidden="false" customHeight="true" outlineLevel="0" collapsed="false">
      <c r="A840" s="125" t="s">
        <v>211</v>
      </c>
      <c r="B840" s="203"/>
      <c r="C840" s="204"/>
      <c r="D840" s="203"/>
      <c r="E840" s="440"/>
      <c r="F840" s="337"/>
      <c r="G840" s="206" t="n">
        <f aca="false">SUM(B840:F840)</f>
        <v>0</v>
      </c>
      <c r="H840" s="207"/>
      <c r="I840" s="208"/>
      <c r="J840" s="160" t="n">
        <f aca="false">SUM(H840:I840)</f>
        <v>0</v>
      </c>
      <c r="K840" s="287"/>
      <c r="L840" s="208"/>
      <c r="M840" s="160" t="n">
        <f aca="false">SUM(K840:L840)</f>
        <v>0</v>
      </c>
      <c r="N840" s="287"/>
      <c r="O840" s="208"/>
      <c r="P840" s="160" t="n">
        <f aca="false">SUM(N840:O840)</f>
        <v>0</v>
      </c>
      <c r="Q840" s="135" t="str">
        <f aca="false">IF(P775=P840,"〇","×")</f>
        <v>〇</v>
      </c>
      <c r="R840" s="135" t="str">
        <f aca="false">IFERROR(INDEX(報告入力!$C$7:$C$696,MATCH($S$782&amp;"|"&amp;$A840,報告入力!$CM$7:$CM$696,0)),"")</f>
        <v>報告なし</v>
      </c>
    </row>
    <row r="841" s="135" customFormat="true" ht="19.5" hidden="false" customHeight="true" outlineLevel="0" collapsed="false">
      <c r="A841" s="217" t="s">
        <v>212</v>
      </c>
      <c r="B841" s="203" t="n">
        <f aca="false">SUMIFS(報告入力!$AY$7:$AY$696,報告入力!$A$7:$A$696,$S$782,報告入力!$B$7:$B$696,$A841)</f>
        <v>27450</v>
      </c>
      <c r="C841" s="204" t="n">
        <f aca="false">SUMIFS(報告入力!$AZ$7:$AZ$696,報告入力!$A$7:$A$696,$S$782,報告入力!$B$7:$B$696,$A841)</f>
        <v>2250</v>
      </c>
      <c r="D841" s="203" t="n">
        <f aca="false">SUMIFS(報告入力!$BA$7:$BA$696,報告入力!$A$7:$A$696,$S$782,報告入力!$B$7:$B$696,$A841)</f>
        <v>27450</v>
      </c>
      <c r="E841" s="440" t="n">
        <f aca="false">SUMIFS(報告入力!$BB$7:$BB$696,報告入力!$A$7:$A$696,$S$782,報告入力!$B$7:$B$696,$A841)</f>
        <v>2250</v>
      </c>
      <c r="F841" s="337"/>
      <c r="G841" s="206" t="n">
        <f aca="false">SUM(B841:F841)</f>
        <v>59400</v>
      </c>
      <c r="H841" s="207" t="n">
        <f aca="false">SUMIFS(報告入力!$BD$7:$BD$696,報告入力!$A$7:$A$696,$S$782,報告入力!$B$7:$B$696,$A841)</f>
        <v>33006</v>
      </c>
      <c r="I841" s="208" t="n">
        <f aca="false">SUMIFS(報告入力!$BE$7:$BE$696,報告入力!$A$7:$A$696,$S$782,報告入力!$B$7:$B$696,$A841)</f>
        <v>33066</v>
      </c>
      <c r="J841" s="160" t="n">
        <f aca="false">SUM(H841:I841)</f>
        <v>66072</v>
      </c>
      <c r="K841" s="287" t="n">
        <f aca="false">SUMIFS(報告入力!$BF$7:$BF$696,報告入力!$A$7:$A$696,$S$782,報告入力!$B$7:$B$696,$A841)</f>
        <v>2370</v>
      </c>
      <c r="L841" s="208" t="n">
        <f aca="false">SUMIFS(報告入力!$BG$7:$BG$696,報告入力!$A$7:$A$696,$S$782,報告入力!$B$7:$B$696,$A841)</f>
        <v>2370</v>
      </c>
      <c r="M841" s="160" t="n">
        <f aca="false">SUM(K841:L841)</f>
        <v>4740</v>
      </c>
      <c r="N841" s="287" t="n">
        <f aca="false">SUMIFS(報告入力!$BH$7:$BH$696,報告入力!$A$7:$A$696,$S$782,報告入力!$B$7:$B$696,$A841)</f>
        <v>1</v>
      </c>
      <c r="O841" s="208" t="n">
        <f aca="false">SUMIFS(報告入力!$BI$7:$BI$696,報告入力!$A$7:$A$696,$S$782,報告入力!$B$7:$B$696,$A841)</f>
        <v>1</v>
      </c>
      <c r="P841" s="160" t="n">
        <f aca="false">SUM(N841:O841)</f>
        <v>2</v>
      </c>
      <c r="Q841" s="135" t="str">
        <f aca="false">IF(P776=P841,"〇","×")</f>
        <v>〇</v>
      </c>
      <c r="R841" s="135" t="str">
        <f aca="false">IFERROR(INDEX(報告入力!$C$7:$C$696,MATCH($S$782&amp;"|"&amp;$A841,報告入力!$CM$7:$CM$696,0)),"")</f>
        <v>未受領</v>
      </c>
    </row>
    <row r="842" s="135" customFormat="true" ht="20.1" hidden="false" customHeight="true" outlineLevel="0" collapsed="false">
      <c r="A842" s="217" t="s">
        <v>213</v>
      </c>
      <c r="B842" s="441"/>
      <c r="C842" s="442"/>
      <c r="D842" s="441"/>
      <c r="E842" s="443"/>
      <c r="F842" s="292"/>
      <c r="G842" s="444" t="n">
        <f aca="false">SUM(B842:F842)</f>
        <v>0</v>
      </c>
      <c r="H842" s="357"/>
      <c r="I842" s="358"/>
      <c r="J842" s="309" t="n">
        <f aca="false">SUM(H842:I842)</f>
        <v>0</v>
      </c>
      <c r="K842" s="359"/>
      <c r="L842" s="358"/>
      <c r="M842" s="309" t="n">
        <f aca="false">SUM(K842:L842)</f>
        <v>0</v>
      </c>
      <c r="N842" s="359"/>
      <c r="O842" s="358"/>
      <c r="P842" s="309" t="n">
        <f aca="false">SUM(N842:O842)</f>
        <v>0</v>
      </c>
      <c r="Q842" s="135" t="str">
        <f aca="false">IF(P777=P842,"〇","×")</f>
        <v>〇</v>
      </c>
      <c r="R842" s="135" t="str">
        <f aca="false">IFERROR(INDEX(報告入力!$C$7:$C$696,MATCH($S$782&amp;"|"&amp;$A842,報告入力!$CM$7:$CM$696,0)),"")</f>
        <v>報告なし</v>
      </c>
    </row>
    <row r="843" s="135" customFormat="true" ht="20.1" hidden="false" customHeight="true" outlineLevel="0" collapsed="false">
      <c r="A843" s="196" t="s">
        <v>497</v>
      </c>
      <c r="B843" s="197" t="n">
        <f aca="false">SUM(B839:B842)</f>
        <v>56730</v>
      </c>
      <c r="C843" s="201" t="n">
        <f aca="false">SUM(C839:C842)</f>
        <v>4650</v>
      </c>
      <c r="D843" s="197" t="n">
        <f aca="false">SUM(D839:D842)</f>
        <v>56730</v>
      </c>
      <c r="E843" s="199" t="n">
        <f aca="false">SUM(E839:E842)</f>
        <v>4650</v>
      </c>
      <c r="F843" s="200" t="n">
        <f aca="false">SUM(F839:F842)</f>
        <v>0</v>
      </c>
      <c r="G843" s="201" t="n">
        <f aca="false">SUM(B843:F843)</f>
        <v>122760</v>
      </c>
      <c r="H843" s="301" t="n">
        <f aca="false">SUM(H839:H842)</f>
        <v>50609</v>
      </c>
      <c r="I843" s="199" t="n">
        <f aca="false">SUM(I839:I842)</f>
        <v>50701</v>
      </c>
      <c r="J843" s="200" t="n">
        <f aca="false">SUM(H843:I843)</f>
        <v>101310</v>
      </c>
      <c r="K843" s="197" t="n">
        <f aca="false">SUM(K839:K842)</f>
        <v>4898</v>
      </c>
      <c r="L843" s="301" t="n">
        <f aca="false">SUM(L839:L842)</f>
        <v>4898</v>
      </c>
      <c r="M843" s="200" t="n">
        <f aca="false">SUM(K843:L843)</f>
        <v>9796</v>
      </c>
      <c r="N843" s="197" t="n">
        <f aca="false">SUM(N839:N842)</f>
        <v>2</v>
      </c>
      <c r="O843" s="301" t="n">
        <f aca="false">SUM(O839:O842)</f>
        <v>2</v>
      </c>
      <c r="P843" s="200" t="n">
        <f aca="false">SUM(N843:O843)</f>
        <v>4</v>
      </c>
      <c r="Q843" s="135" t="str">
        <f aca="false">IF(P778=P843,"〇","×")</f>
        <v>〇</v>
      </c>
    </row>
    <row r="844" s="135" customFormat="true" ht="20.1" hidden="false" customHeight="true" outlineLevel="0" collapsed="false">
      <c r="A844" s="302" t="s">
        <v>214</v>
      </c>
      <c r="B844" s="303"/>
      <c r="C844" s="304"/>
      <c r="D844" s="305"/>
      <c r="E844" s="306"/>
      <c r="F844" s="292"/>
      <c r="G844" s="293"/>
      <c r="H844" s="357" t="n">
        <f aca="false">SUMIFS(報告入力!$BD$7:$BD$696,報告入力!$A$7:$A$696,$S$782,報告入力!$B$7:$B$696,$A844)</f>
        <v>873541</v>
      </c>
      <c r="I844" s="339"/>
      <c r="J844" s="309" t="n">
        <f aca="false">SUM(H844:I844)</f>
        <v>873541</v>
      </c>
      <c r="K844" s="357" t="n">
        <f aca="false">SUMIFS(報告入力!$BF$7:$BF$696,報告入力!$A$7:$A$696,$S$782,報告入力!$B$7:$B$696,$A844)</f>
        <v>60734</v>
      </c>
      <c r="L844" s="339"/>
      <c r="M844" s="309" t="n">
        <f aca="false">SUM(K844:L844)</f>
        <v>60734</v>
      </c>
      <c r="N844" s="357" t="n">
        <f aca="false">SUMIFS(報告入力!$BH$7:$BH$696,報告入力!$A$7:$A$696,$S$782,報告入力!$B$7:$B$696,$A844)</f>
        <v>1</v>
      </c>
      <c r="O844" s="339"/>
      <c r="P844" s="309" t="n">
        <f aca="false">SUM(N844:O844)</f>
        <v>1</v>
      </c>
      <c r="Q844" s="135" t="str">
        <f aca="false">IF(P779=P844,"〇","×")</f>
        <v>〇</v>
      </c>
      <c r="R844" s="135" t="str">
        <f aca="false">IFERROR(INDEX(報告入力!$C$7:$C$696,MATCH($S$782&amp;"|"&amp;$A844,報告入力!$CM$7:$CM$696,0)),"")</f>
        <v>未受領</v>
      </c>
    </row>
    <row r="845" s="135" customFormat="true" ht="30" hidden="false" customHeight="true" outlineLevel="0" collapsed="false">
      <c r="A845" s="310" t="s">
        <v>499</v>
      </c>
      <c r="B845" s="311" t="n">
        <f aca="false">SUM(+B802+B833+B838+B843+B844)</f>
        <v>480921440</v>
      </c>
      <c r="C845" s="312" t="n">
        <f aca="false">SUM(+C802+C833+C838+C843+C844)</f>
        <v>39424667</v>
      </c>
      <c r="D845" s="311" t="n">
        <f aca="false">SUM(+D802+D833+D838+D843+D844)</f>
        <v>708776724</v>
      </c>
      <c r="E845" s="313" t="n">
        <f aca="false">SUM(+E802+E833+E838+E843+E844)</f>
        <v>39424798</v>
      </c>
      <c r="F845" s="312" t="n">
        <f aca="false">SUM(+F802+F833+F838+F843+F844)</f>
        <v>515309</v>
      </c>
      <c r="G845" s="314" t="n">
        <f aca="false">SUM(B845:F845)</f>
        <v>1269062938</v>
      </c>
      <c r="H845" s="315" t="n">
        <f aca="false">SUM(+H802+H833+H838+H843+H844)</f>
        <v>365515644</v>
      </c>
      <c r="I845" s="315" t="n">
        <f aca="false">SUM(+I802+I833+I838+I843+I844)</f>
        <v>369683132</v>
      </c>
      <c r="J845" s="316" t="n">
        <f aca="false">SUM(H845:I845)</f>
        <v>735198776</v>
      </c>
      <c r="K845" s="317" t="n">
        <f aca="false">SUM(+K802+K833+K838+K843+K844)</f>
        <v>31404529</v>
      </c>
      <c r="L845" s="315" t="n">
        <f aca="false">SUM(+L802+L833+L838+L843+L844)</f>
        <v>31330292</v>
      </c>
      <c r="M845" s="316" t="n">
        <f aca="false">SUM(K845:L845)</f>
        <v>62734821</v>
      </c>
      <c r="N845" s="317" t="n">
        <f aca="false">SUM(+N802+N833+N838+N843+N844)</f>
        <v>27</v>
      </c>
      <c r="O845" s="315" t="n">
        <f aca="false">SUM(+O802+O833+O838+O843+O844)</f>
        <v>38</v>
      </c>
      <c r="P845" s="316" t="n">
        <f aca="false">SUM(N845:O845)</f>
        <v>65</v>
      </c>
      <c r="Q845" s="135" t="str">
        <f aca="false">IF(P780=P845,"〇","×")</f>
        <v>〇</v>
      </c>
    </row>
    <row r="846" s="341" customFormat="true" ht="39" hidden="false" customHeight="true" outlineLevel="0" collapsed="false">
      <c r="A846" s="340"/>
      <c r="G846" s="109"/>
      <c r="Q846" s="341" t="str">
        <f aca="false">IF(P781=P846,"〇","×")</f>
        <v>〇</v>
      </c>
    </row>
    <row r="847" s="322" customFormat="true" ht="30" hidden="false" customHeight="true" outlineLevel="0" collapsed="false">
      <c r="A847" s="360"/>
      <c r="B847" s="430" t="n">
        <f aca="false">B912</f>
        <v>46477</v>
      </c>
      <c r="C847" s="430"/>
      <c r="D847" s="430"/>
      <c r="E847" s="430"/>
      <c r="F847" s="430"/>
      <c r="G847" s="430"/>
      <c r="H847" s="361" t="n">
        <f aca="false">B847</f>
        <v>46477</v>
      </c>
      <c r="I847" s="361"/>
      <c r="J847" s="361"/>
      <c r="K847" s="361" t="n">
        <f aca="false">H847</f>
        <v>46477</v>
      </c>
      <c r="L847" s="361"/>
      <c r="M847" s="361"/>
      <c r="N847" s="361" t="n">
        <f aca="false">K847</f>
        <v>46477</v>
      </c>
      <c r="O847" s="361"/>
      <c r="P847" s="361"/>
      <c r="Q847" s="322" t="str">
        <f aca="false">IF(P782=P847,"〇","×")</f>
        <v>〇</v>
      </c>
      <c r="S847" s="322" t="s">
        <v>515</v>
      </c>
    </row>
    <row r="848" customFormat="false" ht="22.5" hidden="false" customHeight="true" outlineLevel="0" collapsed="false">
      <c r="A848" s="114" t="s">
        <v>483</v>
      </c>
      <c r="B848" s="114" t="s">
        <v>484</v>
      </c>
      <c r="C848" s="114"/>
      <c r="D848" s="114"/>
      <c r="E848" s="114"/>
      <c r="F848" s="114"/>
      <c r="G848" s="114"/>
      <c r="H848" s="116" t="s">
        <v>485</v>
      </c>
      <c r="I848" s="116"/>
      <c r="J848" s="116"/>
      <c r="K848" s="116" t="s">
        <v>486</v>
      </c>
      <c r="L848" s="116"/>
      <c r="M848" s="116"/>
      <c r="N848" s="116" t="str">
        <f aca="false">$N$3</f>
        <v>子ども・子育て支援納付金</v>
      </c>
      <c r="O848" s="116"/>
      <c r="P848" s="116"/>
      <c r="Q848" s="105" t="str">
        <f aca="false">IF(P783=P848,"〇","×")</f>
        <v>〇</v>
      </c>
    </row>
    <row r="849" customFormat="false" ht="22.5" hidden="false" customHeight="true" outlineLevel="0" collapsed="false">
      <c r="A849" s="114"/>
      <c r="B849" s="117" t="s">
        <v>487</v>
      </c>
      <c r="C849" s="117"/>
      <c r="D849" s="117" t="s">
        <v>488</v>
      </c>
      <c r="E849" s="117"/>
      <c r="F849" s="117"/>
      <c r="G849" s="117" t="s">
        <v>489</v>
      </c>
      <c r="H849" s="121" t="s">
        <v>490</v>
      </c>
      <c r="I849" s="119" t="s">
        <v>491</v>
      </c>
      <c r="J849" s="120" t="s">
        <v>489</v>
      </c>
      <c r="K849" s="121" t="s">
        <v>490</v>
      </c>
      <c r="L849" s="119" t="s">
        <v>491</v>
      </c>
      <c r="M849" s="120" t="s">
        <v>489</v>
      </c>
      <c r="N849" s="121" t="s">
        <v>490</v>
      </c>
      <c r="O849" s="119" t="s">
        <v>491</v>
      </c>
      <c r="P849" s="120" t="s">
        <v>489</v>
      </c>
      <c r="Q849" s="105" t="str">
        <f aca="false">IF(P784=P849,"〇","×")</f>
        <v>〇</v>
      </c>
    </row>
    <row r="850" customFormat="false" ht="22.5" hidden="false" customHeight="true" outlineLevel="0" collapsed="false">
      <c r="A850" s="114"/>
      <c r="B850" s="122" t="s">
        <v>492</v>
      </c>
      <c r="C850" s="123" t="s">
        <v>493</v>
      </c>
      <c r="D850" s="124" t="s">
        <v>492</v>
      </c>
      <c r="E850" s="124" t="s">
        <v>494</v>
      </c>
      <c r="F850" s="123" t="s">
        <v>93</v>
      </c>
      <c r="G850" s="117"/>
      <c r="H850" s="121"/>
      <c r="I850" s="119"/>
      <c r="J850" s="120"/>
      <c r="K850" s="121"/>
      <c r="L850" s="119"/>
      <c r="M850" s="120"/>
      <c r="N850" s="121"/>
      <c r="O850" s="119"/>
      <c r="P850" s="120"/>
      <c r="Q850" s="105" t="str">
        <f aca="false">IF(P785=P850,"〇","×")</f>
        <v>〇</v>
      </c>
    </row>
    <row r="851" s="135" customFormat="true" ht="20.1" hidden="false" customHeight="true" outlineLevel="0" collapsed="false">
      <c r="A851" s="125" t="s">
        <v>166</v>
      </c>
      <c r="B851" s="385" t="n">
        <f aca="false">SUMIFS(報告入力!$AY$7:$AY$696,報告入力!$A$7:$A$696,$S$847,報告入力!$B$7:$B$696,$A851)</f>
        <v>96770566</v>
      </c>
      <c r="C851" s="386" t="n">
        <f aca="false">SUMIFS(報告入力!$AZ$7:$AZ$696,報告入力!$A$7:$A$696,$S$847,報告入力!$B$7:$B$696,$A851)</f>
        <v>7936030</v>
      </c>
      <c r="D851" s="387" t="n">
        <f aca="false">SUMIFS(報告入力!$BA$7:$BA$696,報告入力!$A$7:$A$696,$S$847,報告入力!$B$7:$B$696,$A851)</f>
        <v>139664515</v>
      </c>
      <c r="E851" s="387" t="n">
        <f aca="false">SUMIFS(報告入力!$BB$7:$BB$696,報告入力!$A$7:$A$696,$S$847,報告入力!$B$7:$B$696,$A851)</f>
        <v>8271054</v>
      </c>
      <c r="F851" s="388" t="n">
        <f aca="false">SUMIFS(報告入力!$BC$7:$BC$696,報告入力!$A$7:$A$696,$S$847,報告入力!$B$7:$B$696,$A851)</f>
        <v>106358</v>
      </c>
      <c r="G851" s="389" t="n">
        <f aca="false">SUM(B851:F851)</f>
        <v>252748523</v>
      </c>
      <c r="H851" s="390" t="n">
        <f aca="false">SUMIFS(報告入力!$BD$7:$BD$696,報告入力!$A$7:$A$696,$S$847,報告入力!$B$7:$B$696,$A851)</f>
        <v>74532442</v>
      </c>
      <c r="I851" s="205" t="n">
        <f aca="false">SUMIFS(報告入力!$BE$7:$BE$696,報告入力!$A$7:$A$696,$S$847,報告入力!$B$7:$B$696,$A851)</f>
        <v>78429253</v>
      </c>
      <c r="J851" s="206" t="n">
        <f aca="false">SUM(H851:I851)</f>
        <v>152961695</v>
      </c>
      <c r="K851" s="287" t="n">
        <f aca="false">SUMIFS(報告入力!$BF$7:$BF$696,報告入力!$A$7:$A$696,$S$847,報告入力!$B$7:$B$696,$A851)</f>
        <v>6766104</v>
      </c>
      <c r="L851" s="205" t="n">
        <f aca="false">SUMIFS(報告入力!$BG$7:$BG$696,報告入力!$A$7:$A$696,$S$847,報告入力!$B$7:$B$696,$A851)</f>
        <v>7394555</v>
      </c>
      <c r="M851" s="206" t="n">
        <f aca="false">SUM(K851:L851)</f>
        <v>14160659</v>
      </c>
      <c r="N851" s="287" t="n">
        <f aca="false">SUMIFS(報告入力!$BH$7:$BH$696,報告入力!$A$7:$A$696,$S$847,報告入力!$B$7:$B$696,$A851)</f>
        <v>1</v>
      </c>
      <c r="O851" s="205" t="n">
        <f aca="false">SUMIFS(報告入力!$BI$7:$BI$696,報告入力!$A$7:$A$696,$S$847,報告入力!$B$7:$B$696,$A851)</f>
        <v>1</v>
      </c>
      <c r="P851" s="206" t="n">
        <f aca="false">SUM(N851:O851)</f>
        <v>2</v>
      </c>
      <c r="Q851" s="135" t="str">
        <f aca="false">IF(P786=P851,"〇","×")</f>
        <v>〇</v>
      </c>
      <c r="R851" s="135" t="str">
        <f aca="false">IFERROR(INDEX(報告入力!$C$7:$C$696,MATCH($S$847&amp;"|"&amp;$A851,報告入力!$CM$7:$CM$696,0)),"")</f>
        <v>未受領</v>
      </c>
    </row>
    <row r="852" s="135" customFormat="true" ht="20.1" hidden="false" customHeight="true" outlineLevel="0" collapsed="false">
      <c r="A852" s="125" t="s">
        <v>169</v>
      </c>
      <c r="B852" s="203" t="n">
        <f aca="false">SUMIFS(報告入力!$AY$7:$AY$696,報告入力!$A$7:$A$696,$S$847,報告入力!$B$7:$B$696,$A852)</f>
        <v>6933043</v>
      </c>
      <c r="C852" s="204" t="n">
        <f aca="false">SUMIFS(報告入力!$AZ$7:$AZ$696,報告入力!$A$7:$A$696,$S$847,報告入力!$B$7:$B$696,$A852)</f>
        <v>568195</v>
      </c>
      <c r="D852" s="387" t="n">
        <f aca="false">SUMIFS(報告入力!$BA$7:$BA$696,報告入力!$A$7:$A$696,$S$847,報告入力!$B$7:$B$696,$A852)</f>
        <v>9468725</v>
      </c>
      <c r="E852" s="387" t="n">
        <f aca="false">SUMIFS(報告入力!$BB$7:$BB$696,報告入力!$A$7:$A$696,$S$847,報告入力!$B$7:$B$696,$A852)</f>
        <v>568286</v>
      </c>
      <c r="F852" s="237" t="n">
        <f aca="false">SUMIFS(報告入力!$BC$7:$BC$696,報告入力!$A$7:$A$696,$S$847,報告入力!$B$7:$B$696,$A852)</f>
        <v>7229</v>
      </c>
      <c r="G852" s="206" t="n">
        <f aca="false">SUM(B852:F852)</f>
        <v>17545478</v>
      </c>
      <c r="H852" s="207" t="n">
        <f aca="false">SUMIFS(報告入力!$BD$7:$BD$696,報告入力!$A$7:$A$696,$S$847,報告入力!$B$7:$B$696,$A852)</f>
        <v>4320014</v>
      </c>
      <c r="I852" s="208" t="n">
        <f aca="false">SUMIFS(報告入力!$BE$7:$BE$696,報告入力!$A$7:$A$696,$S$847,報告入力!$B$7:$B$696,$A852)</f>
        <v>4386292</v>
      </c>
      <c r="J852" s="160" t="n">
        <f aca="false">SUM(H852:I852)</f>
        <v>8706306</v>
      </c>
      <c r="K852" s="240" t="n">
        <f aca="false">SUMIFS(報告入力!$BF$7:$BF$696,報告入力!$A$7:$A$696,$S$847,報告入力!$B$7:$B$696,$A852)</f>
        <v>473681</v>
      </c>
      <c r="L852" s="238" t="n">
        <f aca="false">SUMIFS(報告入力!$BG$7:$BG$696,報告入力!$A$7:$A$696,$S$847,報告入力!$B$7:$B$696,$A852)</f>
        <v>473771</v>
      </c>
      <c r="M852" s="160" t="n">
        <f aca="false">SUM(K852:L852)</f>
        <v>947452</v>
      </c>
      <c r="N852" s="240" t="n">
        <f aca="false">SUMIFS(報告入力!$BH$7:$BH$696,報告入力!$A$7:$A$696,$S$847,報告入力!$B$7:$B$696,$A852)</f>
        <v>1</v>
      </c>
      <c r="O852" s="238" t="n">
        <f aca="false">SUMIFS(報告入力!$BI$7:$BI$696,報告入力!$A$7:$A$696,$S$847,報告入力!$B$7:$B$696,$A852)</f>
        <v>1</v>
      </c>
      <c r="P852" s="160" t="n">
        <f aca="false">SUM(N852:O852)</f>
        <v>2</v>
      </c>
      <c r="Q852" s="135" t="str">
        <f aca="false">IF(P787=P852,"〇","×")</f>
        <v>〇</v>
      </c>
      <c r="R852" s="135" t="str">
        <f aca="false">IFERROR(INDEX(報告入力!$C$7:$C$696,MATCH($S$847&amp;"|"&amp;$A852,報告入力!$CM$7:$CM$696,0)),"")</f>
        <v>未受領</v>
      </c>
    </row>
    <row r="853" s="135" customFormat="true" ht="20.1" hidden="false" customHeight="true" outlineLevel="0" collapsed="false">
      <c r="A853" s="125" t="s">
        <v>170</v>
      </c>
      <c r="B853" s="203" t="n">
        <f aca="false">SUMIFS(報告入力!$AY$7:$AY$696,報告入力!$A$7:$A$696,$S$847,報告入力!$B$7:$B$696,$A853)</f>
        <v>21949718</v>
      </c>
      <c r="C853" s="204" t="n">
        <f aca="false">SUMIFS(報告入力!$AZ$7:$AZ$696,報告入力!$A$7:$A$696,$S$847,報告入力!$B$7:$B$696,$A853)</f>
        <v>1798874</v>
      </c>
      <c r="D853" s="387" t="n">
        <f aca="false">SUMIFS(報告入力!$BA$7:$BA$696,報告入力!$A$7:$A$696,$S$847,報告入力!$B$7:$B$696,$A853)</f>
        <v>29915317</v>
      </c>
      <c r="E853" s="387" t="n">
        <f aca="false">SUMIFS(報告入力!$BB$7:$BB$696,報告入力!$A$7:$A$696,$S$847,報告入力!$B$7:$B$696,$A853)</f>
        <v>1794195</v>
      </c>
      <c r="F853" s="237" t="n">
        <f aca="false">SUMIFS(報告入力!$BC$7:$BC$696,報告入力!$A$7:$A$696,$S$847,報告入力!$B$7:$B$696,$A853)</f>
        <v>22793</v>
      </c>
      <c r="G853" s="206" t="n">
        <f aca="false">SUM(B853:F853)</f>
        <v>55480897</v>
      </c>
      <c r="H853" s="238" t="n">
        <f aca="false">SUMIFS(報告入力!$BD$7:$BD$696,報告入力!$A$7:$A$696,$S$847,報告入力!$B$7:$B$696,$A853)</f>
        <v>13500499</v>
      </c>
      <c r="I853" s="207" t="n">
        <f aca="false">SUMIFS(報告入力!$BE$7:$BE$696,報告入力!$A$7:$A$696,$S$847,報告入力!$B$7:$B$696,$A853)</f>
        <v>13670336</v>
      </c>
      <c r="J853" s="160" t="n">
        <f aca="false">SUM(H853:I853)</f>
        <v>27170835</v>
      </c>
      <c r="K853" s="240" t="n">
        <f aca="false">SUMIFS(報告入力!$BF$7:$BF$696,報告入力!$A$7:$A$696,$S$847,報告入力!$B$7:$B$696,$A853)</f>
        <v>942529</v>
      </c>
      <c r="L853" s="207" t="n">
        <f aca="false">SUMIFS(報告入力!$BG$7:$BG$696,報告入力!$A$7:$A$696,$S$847,報告入力!$B$7:$B$696,$A853)</f>
        <v>938989</v>
      </c>
      <c r="M853" s="160" t="n">
        <f aca="false">SUM(K853:L853)</f>
        <v>1881518</v>
      </c>
      <c r="N853" s="240" t="n">
        <f aca="false">SUMIFS(報告入力!$BH$7:$BH$696,報告入力!$A$7:$A$696,$S$847,報告入力!$B$7:$B$696,$A853)</f>
        <v>1</v>
      </c>
      <c r="O853" s="207" t="n">
        <f aca="false">SUMIFS(報告入力!$BI$7:$BI$696,報告入力!$A$7:$A$696,$S$847,報告入力!$B$7:$B$696,$A853)</f>
        <v>1</v>
      </c>
      <c r="P853" s="160" t="n">
        <f aca="false">SUM(N853:O853)</f>
        <v>2</v>
      </c>
      <c r="Q853" s="135" t="str">
        <f aca="false">IF(P788=P853,"〇","×")</f>
        <v>〇</v>
      </c>
      <c r="R853" s="135" t="str">
        <f aca="false">IFERROR(INDEX(報告入力!$C$7:$C$696,MATCH($S$847&amp;"|"&amp;$A853,報告入力!$CM$7:$CM$696,0)),"")</f>
        <v>未受領</v>
      </c>
    </row>
    <row r="854" s="135" customFormat="true" ht="20.1" hidden="false" customHeight="true" outlineLevel="0" collapsed="false">
      <c r="A854" s="125" t="s">
        <v>171</v>
      </c>
      <c r="B854" s="203" t="n">
        <f aca="false">SUMIFS(報告入力!$AY$7:$AY$696,報告入力!$A$7:$A$696,$S$847,報告入力!$B$7:$B$696,$A854)</f>
        <v>762004</v>
      </c>
      <c r="C854" s="204" t="n">
        <f aca="false">SUMIFS(報告入力!$AZ$7:$AZ$696,報告入力!$A$7:$A$696,$S$847,報告入力!$B$7:$B$696,$A854)</f>
        <v>62452</v>
      </c>
      <c r="D854" s="387" t="n">
        <f aca="false">SUMIFS(報告入力!$BA$7:$BA$696,報告入力!$A$7:$A$696,$S$847,報告入力!$B$7:$B$696,$A854)</f>
        <v>1112729</v>
      </c>
      <c r="E854" s="387" t="n">
        <f aca="false">SUMIFS(報告入力!$BB$7:$BB$696,報告入力!$A$7:$A$696,$S$847,報告入力!$B$7:$B$696,$A854)</f>
        <v>62460</v>
      </c>
      <c r="F854" s="237" t="n">
        <f aca="false">SUMIFS(報告入力!$BC$7:$BC$696,報告入力!$A$7:$A$696,$S$847,報告入力!$B$7:$B$696,$A854)</f>
        <v>793</v>
      </c>
      <c r="G854" s="206" t="n">
        <f aca="false">SUM(B854:F854)</f>
        <v>2000438</v>
      </c>
      <c r="H854" s="387" t="n">
        <f aca="false">SUMIFS(報告入力!$BD$7:$BD$696,報告入力!$A$7:$A$696,$S$847,報告入力!$B$7:$B$696,$A854)</f>
        <v>458103</v>
      </c>
      <c r="I854" s="207" t="n">
        <f aca="false">SUMIFS(報告入力!$BE$7:$BE$696,報告入力!$A$7:$A$696,$S$847,報告入力!$B$7:$B$696,$A854)</f>
        <v>466320</v>
      </c>
      <c r="J854" s="160" t="n">
        <f aca="false">SUM(H854:I854)</f>
        <v>924423</v>
      </c>
      <c r="K854" s="203" t="n">
        <f aca="false">SUMIFS(報告入力!$BF$7:$BF$696,報告入力!$A$7:$A$696,$S$847,報告入力!$B$7:$B$696,$A854)</f>
        <v>46480</v>
      </c>
      <c r="L854" s="207" t="n">
        <f aca="false">SUMIFS(報告入力!$BG$7:$BG$696,報告入力!$A$7:$A$696,$S$847,報告入力!$B$7:$B$696,$A854)</f>
        <v>46491</v>
      </c>
      <c r="M854" s="160" t="n">
        <f aca="false">SUM(K854:L854)</f>
        <v>92971</v>
      </c>
      <c r="N854" s="203" t="n">
        <f aca="false">SUMIFS(報告入力!$BH$7:$BH$696,報告入力!$A$7:$A$696,$S$847,報告入力!$B$7:$B$696,$A854)</f>
        <v>1</v>
      </c>
      <c r="O854" s="207" t="n">
        <f aca="false">SUMIFS(報告入力!$BI$7:$BI$696,報告入力!$A$7:$A$696,$S$847,報告入力!$B$7:$B$696,$A854)</f>
        <v>1</v>
      </c>
      <c r="P854" s="160" t="n">
        <f aca="false">SUM(N854:O854)</f>
        <v>2</v>
      </c>
      <c r="Q854" s="135" t="str">
        <f aca="false">IF(P789=P854,"〇","×")</f>
        <v>〇</v>
      </c>
      <c r="R854" s="135" t="str">
        <f aca="false">IFERROR(INDEX(報告入力!$C$7:$C$696,MATCH($S$847&amp;"|"&amp;$A854,報告入力!$CM$7:$CM$696,0)),"")</f>
        <v>未受領</v>
      </c>
    </row>
    <row r="855" s="135" customFormat="true" ht="20.1" hidden="false" customHeight="true" outlineLevel="0" collapsed="false">
      <c r="A855" s="125" t="s">
        <v>172</v>
      </c>
      <c r="B855" s="203" t="n">
        <f aca="false">SUMIFS(報告入力!$AY$7:$AY$696,報告入力!$A$7:$A$696,$S$847,報告入力!$B$7:$B$696,$A855)</f>
        <v>11288669</v>
      </c>
      <c r="C855" s="204" t="n">
        <f aca="false">SUMIFS(報告入力!$AZ$7:$AZ$696,報告入力!$A$7:$A$696,$S$847,報告入力!$B$7:$B$696,$A855)</f>
        <v>925169</v>
      </c>
      <c r="D855" s="387" t="n">
        <f aca="false">SUMIFS(報告入力!$BA$7:$BA$696,報告入力!$A$7:$A$696,$S$847,報告入力!$B$7:$B$696,$A855)</f>
        <v>15428472</v>
      </c>
      <c r="E855" s="387" t="n">
        <f aca="false">SUMIFS(報告入力!$BB$7:$BB$696,報告入力!$A$7:$A$696,$S$847,報告入力!$B$7:$B$696,$A855)</f>
        <v>925311</v>
      </c>
      <c r="F855" s="237" t="n">
        <f aca="false">SUMIFS(報告入力!$BC$7:$BC$696,報告入力!$A$7:$A$696,$S$847,報告入力!$B$7:$B$696,$A855)</f>
        <v>11806</v>
      </c>
      <c r="G855" s="206" t="n">
        <f aca="false">SUM(B855:F855)</f>
        <v>28579427</v>
      </c>
      <c r="H855" s="387" t="n">
        <f aca="false">SUMIFS(報告入力!$BD$7:$BD$696,報告入力!$A$7:$A$696,$S$847,報告入力!$B$7:$B$696,$A855)</f>
        <v>10970321</v>
      </c>
      <c r="I855" s="207" t="n">
        <f aca="false">SUMIFS(報告入力!$BE$7:$BE$696,報告入力!$A$7:$A$696,$S$847,報告入力!$B$7:$B$696,$A855)</f>
        <v>11131787</v>
      </c>
      <c r="J855" s="449" t="n">
        <f aca="false">SUM(H855:I855)</f>
        <v>22102108</v>
      </c>
      <c r="K855" s="239" t="n">
        <f aca="false">SUMIFS(報告入力!$BF$7:$BF$696,報告入力!$A$7:$A$696,$S$847,報告入力!$B$7:$B$696,$A855)</f>
        <v>1291130</v>
      </c>
      <c r="L855" s="239" t="n">
        <f aca="false">SUMIFS(報告入力!$BG$7:$BG$696,報告入力!$A$7:$A$696,$S$847,報告入力!$B$7:$B$696,$A855)</f>
        <v>1290783</v>
      </c>
      <c r="M855" s="160" t="n">
        <f aca="false">SUM(K855:L855)</f>
        <v>2581913</v>
      </c>
      <c r="N855" s="239" t="n">
        <f aca="false">SUMIFS(報告入力!$BH$7:$BH$696,報告入力!$A$7:$A$696,$S$847,報告入力!$B$7:$B$696,$A855)</f>
        <v>1</v>
      </c>
      <c r="O855" s="239" t="n">
        <f aca="false">SUMIFS(報告入力!$BI$7:$BI$696,報告入力!$A$7:$A$696,$S$847,報告入力!$B$7:$B$696,$A855)</f>
        <v>1</v>
      </c>
      <c r="P855" s="160" t="n">
        <f aca="false">SUM(N855:O855)</f>
        <v>2</v>
      </c>
      <c r="Q855" s="135" t="str">
        <f aca="false">IF(P790=P855,"〇","×")</f>
        <v>〇</v>
      </c>
      <c r="R855" s="135" t="str">
        <f aca="false">IFERROR(INDEX(報告入力!$C$7:$C$696,MATCH($S$847&amp;"|"&amp;$A855,報告入力!$CM$7:$CM$696,0)),"")</f>
        <v>未受領</v>
      </c>
    </row>
    <row r="856" s="135" customFormat="true" ht="20.1" hidden="false" customHeight="true" outlineLevel="0" collapsed="false">
      <c r="A856" s="125" t="s">
        <v>173</v>
      </c>
      <c r="B856" s="203" t="n">
        <f aca="false">SUMIFS(報告入力!$AY$7:$AY$696,報告入力!$A$7:$A$696,$S$847,報告入力!$B$7:$B$696,$A856)</f>
        <v>107327</v>
      </c>
      <c r="C856" s="204" t="n">
        <f aca="false">SUMIFS(報告入力!$AZ$7:$AZ$696,報告入力!$A$7:$A$696,$S$847,報告入力!$B$7:$B$696,$A856)</f>
        <v>8795</v>
      </c>
      <c r="D856" s="387" t="n">
        <f aca="false">SUMIFS(報告入力!$BA$7:$BA$696,報告入力!$A$7:$A$696,$S$847,報告入力!$B$7:$B$696,$A856)</f>
        <v>156008</v>
      </c>
      <c r="E856" s="387" t="n">
        <f aca="false">SUMIFS(報告入力!$BB$7:$BB$696,報告入力!$A$7:$A$696,$S$847,報告入力!$B$7:$B$696,$A856)</f>
        <v>8797</v>
      </c>
      <c r="F856" s="237" t="n">
        <f aca="false">SUMIFS(報告入力!$BC$7:$BC$696,報告入力!$A$7:$A$696,$S$847,報告入力!$B$7:$B$696,$A856)</f>
        <v>110</v>
      </c>
      <c r="G856" s="206" t="n">
        <f aca="false">SUM(B856:F856)</f>
        <v>281037</v>
      </c>
      <c r="H856" s="207" t="n">
        <f aca="false">SUMIFS(報告入力!$BD$7:$BD$696,報告入力!$A$7:$A$696,$S$847,報告入力!$B$7:$B$696,$A856)</f>
        <v>72939</v>
      </c>
      <c r="I856" s="208" t="n">
        <f aca="false">SUMIFS(報告入力!$BE$7:$BE$696,報告入力!$A$7:$A$696,$S$847,報告入力!$B$7:$B$696,$A856)</f>
        <v>74228</v>
      </c>
      <c r="J856" s="160" t="n">
        <f aca="false">SUM(H856:I856)</f>
        <v>147167</v>
      </c>
      <c r="K856" s="203" t="n">
        <f aca="false">SUMIFS(報告入力!$BF$7:$BF$696,報告入力!$A$7:$A$696,$S$847,報告入力!$B$7:$B$696,$A856)</f>
        <v>7085</v>
      </c>
      <c r="L856" s="207" t="n">
        <f aca="false">SUMIFS(報告入力!$BG$7:$BG$696,報告入力!$A$7:$A$696,$S$847,報告入力!$B$7:$B$696,$A856)</f>
        <v>7085</v>
      </c>
      <c r="M856" s="160" t="n">
        <f aca="false">SUM(K856:L856)</f>
        <v>14170</v>
      </c>
      <c r="N856" s="203" t="n">
        <f aca="false">SUMIFS(報告入力!$BH$7:$BH$696,報告入力!$A$7:$A$696,$S$847,報告入力!$B$7:$B$696,$A856)</f>
        <v>1</v>
      </c>
      <c r="O856" s="207" t="n">
        <f aca="false">SUMIFS(報告入力!$BI$7:$BI$696,報告入力!$A$7:$A$696,$S$847,報告入力!$B$7:$B$696,$A856)</f>
        <v>1</v>
      </c>
      <c r="P856" s="160" t="n">
        <f aca="false">SUM(N856:O856)</f>
        <v>2</v>
      </c>
      <c r="Q856" s="135" t="str">
        <f aca="false">IF(P791=P856,"〇","×")</f>
        <v>〇</v>
      </c>
      <c r="R856" s="135" t="str">
        <f aca="false">IFERROR(INDEX(報告入力!$C$7:$C$696,MATCH($S$847&amp;"|"&amp;$A856,報告入力!$CM$7:$CM$696,0)),"")</f>
        <v>未受領</v>
      </c>
    </row>
    <row r="857" s="135" customFormat="true" ht="20.1" hidden="false" customHeight="true" outlineLevel="0" collapsed="false">
      <c r="A857" s="125" t="s">
        <v>174</v>
      </c>
      <c r="B857" s="203" t="n">
        <f aca="false">SUMIFS(報告入力!$AY$7:$AY$696,報告入力!$A$7:$A$696,$S$847,報告入力!$B$7:$B$696,$A857)</f>
        <v>248785</v>
      </c>
      <c r="C857" s="204" t="n">
        <f aca="false">SUMIFS(報告入力!$AZ$7:$AZ$696,報告入力!$A$7:$A$696,$S$847,報告入力!$B$7:$B$696,$A857)</f>
        <v>20389</v>
      </c>
      <c r="D857" s="387" t="n">
        <f aca="false">SUMIFS(報告入力!$BA$7:$BA$696,報告入力!$A$7:$A$696,$S$847,報告入力!$B$7:$B$696,$A857)</f>
        <v>361626</v>
      </c>
      <c r="E857" s="387" t="n">
        <f aca="false">SUMIFS(報告入力!$BB$7:$BB$696,報告入力!$A$7:$A$696,$S$847,報告入力!$B$7:$B$696,$A857)</f>
        <v>20392</v>
      </c>
      <c r="F857" s="237" t="n">
        <f aca="false">SUMIFS(報告入力!$BC$7:$BC$696,報告入力!$A$7:$A$696,$S$847,報告入力!$B$7:$B$696,$A857)</f>
        <v>255</v>
      </c>
      <c r="G857" s="391" t="n">
        <f aca="false">SUM(B857:F857)</f>
        <v>651447</v>
      </c>
      <c r="H857" s="207" t="n">
        <f aca="false">SUMIFS(報告入力!$BD$7:$BD$696,報告入力!$A$7:$A$696,$S$847,報告入力!$B$7:$B$696,$A857)</f>
        <v>149566</v>
      </c>
      <c r="I857" s="208" t="n">
        <f aca="false">SUMIFS(報告入力!$BE$7:$BE$696,報告入力!$A$7:$A$696,$S$847,報告入力!$B$7:$B$696,$A857)</f>
        <v>152209</v>
      </c>
      <c r="J857" s="160" t="n">
        <f aca="false">SUM(H857:I857)</f>
        <v>301775</v>
      </c>
      <c r="K857" s="287" t="n">
        <f aca="false">SUMIFS(報告入力!$BF$7:$BF$696,報告入力!$A$7:$A$696,$S$847,報告入力!$B$7:$B$696,$A857)</f>
        <v>14517</v>
      </c>
      <c r="L857" s="208" t="n">
        <f aca="false">SUMIFS(報告入力!$BG$7:$BG$696,報告入力!$A$7:$A$696,$S$847,報告入力!$B$7:$B$696,$A857)</f>
        <v>14520</v>
      </c>
      <c r="M857" s="160" t="n">
        <f aca="false">SUM(K857:L857)</f>
        <v>29037</v>
      </c>
      <c r="N857" s="287" t="n">
        <f aca="false">SUMIFS(報告入力!$BH$7:$BH$696,報告入力!$A$7:$A$696,$S$847,報告入力!$B$7:$B$696,$A857)</f>
        <v>1</v>
      </c>
      <c r="O857" s="208" t="n">
        <f aca="false">SUMIFS(報告入力!$BI$7:$BI$696,報告入力!$A$7:$A$696,$S$847,報告入力!$B$7:$B$696,$A857)</f>
        <v>1</v>
      </c>
      <c r="P857" s="160" t="n">
        <f aca="false">SUM(N857:O857)</f>
        <v>2</v>
      </c>
      <c r="Q857" s="135" t="str">
        <f aca="false">IF(P792=P857,"〇","×")</f>
        <v>〇</v>
      </c>
      <c r="R857" s="135" t="str">
        <f aca="false">IFERROR(INDEX(報告入力!$C$7:$C$696,MATCH($S$847&amp;"|"&amp;$A857,報告入力!$CM$7:$CM$696,0)),"")</f>
        <v>未受領</v>
      </c>
    </row>
    <row r="858" s="135" customFormat="true" ht="20.1" hidden="false" customHeight="true" outlineLevel="0" collapsed="false">
      <c r="A858" s="125" t="s">
        <v>175</v>
      </c>
      <c r="B858" s="203" t="n">
        <f aca="false">SUMIFS(報告入力!$AY$7:$AY$696,報告入力!$A$7:$A$696,$S$847,報告入力!$B$7:$B$696,$A858)</f>
        <v>646257</v>
      </c>
      <c r="C858" s="204" t="n">
        <f aca="false">SUMIFS(報告入力!$AZ$7:$AZ$696,報告入力!$A$7:$A$696,$S$847,報告入力!$B$7:$B$696,$A858)</f>
        <v>52965</v>
      </c>
      <c r="D858" s="387" t="n">
        <f aca="false">SUMIFS(報告入力!$BA$7:$BA$696,報告入力!$A$7:$A$696,$S$847,報告入力!$B$7:$B$696,$A858)</f>
        <v>882168</v>
      </c>
      <c r="E858" s="387" t="n">
        <f aca="false">SUMIFS(報告入力!$BB$7:$BB$696,報告入力!$A$7:$A$696,$S$847,報告入力!$B$7:$B$696,$A858)</f>
        <v>52972</v>
      </c>
      <c r="F858" s="237" t="n">
        <f aca="false">SUMIFS(報告入力!$BC$7:$BC$696,報告入力!$A$7:$A$696,$S$847,報告入力!$B$7:$B$696,$A858)</f>
        <v>672</v>
      </c>
      <c r="G858" s="206" t="n">
        <f aca="false">SUM(B858:F858)</f>
        <v>1635034</v>
      </c>
      <c r="H858" s="207" t="n">
        <f aca="false">SUMIFS(報告入力!$BD$7:$BD$696,報告入力!$A$7:$A$696,$S$847,報告入力!$B$7:$B$696,$A858)</f>
        <v>392206</v>
      </c>
      <c r="I858" s="208" t="n">
        <f aca="false">SUMIFS(報告入力!$BE$7:$BE$696,報告入力!$A$7:$A$696,$S$847,報告入力!$B$7:$B$696,$A858)</f>
        <v>398208</v>
      </c>
      <c r="J858" s="160" t="n">
        <f aca="false">SUM(H858:I858)</f>
        <v>790414</v>
      </c>
      <c r="K858" s="287" t="n">
        <f aca="false">SUMIFS(報告入力!$BF$7:$BF$696,報告入力!$A$7:$A$696,$S$847,報告入力!$B$7:$B$696,$A858)</f>
        <v>55774</v>
      </c>
      <c r="L858" s="208" t="n">
        <f aca="false">SUMIFS(報告入力!$BG$7:$BG$696,報告入力!$A$7:$A$696,$S$847,報告入力!$B$7:$B$696,$A858)</f>
        <v>55783</v>
      </c>
      <c r="M858" s="160" t="n">
        <f aca="false">SUM(K858:L858)</f>
        <v>111557</v>
      </c>
      <c r="N858" s="287" t="n">
        <f aca="false">SUMIFS(報告入力!$BH$7:$BH$696,報告入力!$A$7:$A$696,$S$847,報告入力!$B$7:$B$696,$A858)</f>
        <v>1</v>
      </c>
      <c r="O858" s="208" t="n">
        <f aca="false">SUMIFS(報告入力!$BI$7:$BI$696,報告入力!$A$7:$A$696,$S$847,報告入力!$B$7:$B$696,$A858)</f>
        <v>1</v>
      </c>
      <c r="P858" s="160" t="n">
        <f aca="false">SUM(N858:O858)</f>
        <v>2</v>
      </c>
      <c r="Q858" s="135" t="str">
        <f aca="false">IF(P793=P858,"〇","×")</f>
        <v>〇</v>
      </c>
      <c r="R858" s="135" t="str">
        <f aca="false">IFERROR(INDEX(報告入力!$C$7:$C$696,MATCH($S$847&amp;"|"&amp;$A858,報告入力!$CM$7:$CM$696,0)),"")</f>
        <v>未受領</v>
      </c>
    </row>
    <row r="859" s="135" customFormat="true" ht="20.1" hidden="false" customHeight="true" outlineLevel="0" collapsed="false">
      <c r="A859" s="125" t="s">
        <v>176</v>
      </c>
      <c r="B859" s="203" t="n">
        <f aca="false">SUMIFS(報告入力!$AY$7:$AY$696,報告入力!$A$7:$A$696,$S$847,報告入力!$B$7:$B$696,$A859)</f>
        <v>168175</v>
      </c>
      <c r="C859" s="204" t="n">
        <f aca="false">SUMIFS(報告入力!$AZ$7:$AZ$696,報告入力!$A$7:$A$696,$S$847,報告入力!$B$7:$B$696,$A859)</f>
        <v>13783</v>
      </c>
      <c r="D859" s="387" t="n">
        <f aca="false">SUMIFS(報告入力!$BA$7:$BA$696,報告入力!$A$7:$A$696,$S$847,報告入力!$B$7:$B$696,$A859)</f>
        <v>244454</v>
      </c>
      <c r="E859" s="387" t="n">
        <f aca="false">SUMIFS(報告入力!$BB$7:$BB$696,報告入力!$A$7:$A$696,$S$847,報告入力!$B$7:$B$696,$A859)</f>
        <v>13785</v>
      </c>
      <c r="F859" s="237" t="n">
        <f aca="false">SUMIFS(報告入力!$BC$7:$BC$696,報告入力!$A$7:$A$696,$S$847,報告入力!$B$7:$B$696,$A859)</f>
        <v>172</v>
      </c>
      <c r="G859" s="206" t="n">
        <f aca="false">SUM(B859:F859)</f>
        <v>440369</v>
      </c>
      <c r="H859" s="207" t="n">
        <f aca="false">SUMIFS(報告入力!$BD$7:$BD$696,報告入力!$A$7:$A$696,$S$847,報告入力!$B$7:$B$696,$A859)</f>
        <v>135039</v>
      </c>
      <c r="I859" s="208" t="n">
        <f aca="false">SUMIFS(報告入力!$BE$7:$BE$696,報告入力!$A$7:$A$696,$S$847,報告入力!$B$7:$B$696,$A859)</f>
        <v>137430</v>
      </c>
      <c r="J859" s="160" t="n">
        <f aca="false">SUM(H859:I859)</f>
        <v>272469</v>
      </c>
      <c r="K859" s="287" t="n">
        <f aca="false">SUMIFS(報告入力!$BF$7:$BF$696,報告入力!$A$7:$A$696,$S$847,報告入力!$B$7:$B$696,$A859)</f>
        <v>14721</v>
      </c>
      <c r="L859" s="208" t="n">
        <f aca="false">SUMIFS(報告入力!$BG$7:$BG$696,報告入力!$A$7:$A$696,$S$847,報告入力!$B$7:$B$696,$A859)</f>
        <v>14724</v>
      </c>
      <c r="M859" s="160" t="n">
        <f aca="false">SUM(K859:L859)</f>
        <v>29445</v>
      </c>
      <c r="N859" s="287" t="n">
        <f aca="false">SUMIFS(報告入力!$BH$7:$BH$696,報告入力!$A$7:$A$696,$S$847,報告入力!$B$7:$B$696,$A859)</f>
        <v>1</v>
      </c>
      <c r="O859" s="208" t="n">
        <f aca="false">SUMIFS(報告入力!$BI$7:$BI$696,報告入力!$A$7:$A$696,$S$847,報告入力!$B$7:$B$696,$A859)</f>
        <v>1</v>
      </c>
      <c r="P859" s="160" t="n">
        <f aca="false">SUM(N859:O859)</f>
        <v>2</v>
      </c>
      <c r="Q859" s="135" t="str">
        <f aca="false">IF(P794=P859,"〇","×")</f>
        <v>〇</v>
      </c>
      <c r="R859" s="135" t="str">
        <f aca="false">IFERROR(INDEX(報告入力!$C$7:$C$696,MATCH($S$847&amp;"|"&amp;$A859,報告入力!$CM$7:$CM$696,0)),"")</f>
        <v>未受領</v>
      </c>
    </row>
    <row r="860" s="135" customFormat="true" ht="20.1" hidden="false" customHeight="true" outlineLevel="0" collapsed="false">
      <c r="A860" s="125" t="s">
        <v>177</v>
      </c>
      <c r="B860" s="203" t="n">
        <f aca="false">SUMIFS(報告入力!$AY$7:$AY$696,報告入力!$A$7:$A$696,$S$847,報告入力!$B$7:$B$696,$A860)</f>
        <v>10777442</v>
      </c>
      <c r="C860" s="204" t="n">
        <f aca="false">SUMIFS(報告入力!$AZ$7:$AZ$696,報告入力!$A$7:$A$696,$S$847,報告入力!$B$7:$B$696,$A860)</f>
        <v>883250</v>
      </c>
      <c r="D860" s="387" t="n">
        <f aca="false">SUMIFS(報告入力!$BA$7:$BA$696,報告入力!$A$7:$A$696,$S$847,報告入力!$B$7:$B$696,$A860)</f>
        <v>14724336</v>
      </c>
      <c r="E860" s="387" t="n">
        <f aca="false">SUMIFS(報告入力!$BB$7:$BB$696,報告入力!$A$7:$A$696,$S$847,報告入力!$B$7:$B$696,$A860)</f>
        <v>883408</v>
      </c>
      <c r="F860" s="237" t="n">
        <f aca="false">SUMIFS(報告入力!$BC$7:$BC$696,報告入力!$A$7:$A$696,$S$847,報告入力!$B$7:$B$696,$A860)</f>
        <v>11254</v>
      </c>
      <c r="G860" s="206" t="n">
        <f aca="false">SUM(B860:F860)</f>
        <v>27279690</v>
      </c>
      <c r="H860" s="207" t="n">
        <f aca="false">SUMIFS(報告入力!$BD$7:$BD$696,報告入力!$A$7:$A$696,$S$847,報告入力!$B$7:$B$696,$A860)</f>
        <v>6732257</v>
      </c>
      <c r="I860" s="208" t="n">
        <f aca="false">SUMIFS(報告入力!$BE$7:$BE$696,報告入力!$A$7:$A$696,$S$847,報告入力!$B$7:$B$696,$A860)</f>
        <v>6835679</v>
      </c>
      <c r="J860" s="160" t="n">
        <f aca="false">SUM(H860:I860)</f>
        <v>13567936</v>
      </c>
      <c r="K860" s="287" t="n">
        <f aca="false">SUMIFS(報告入力!$BF$7:$BF$696,報告入力!$A$7:$A$696,$S$847,報告入力!$B$7:$B$696,$A860)</f>
        <v>716904</v>
      </c>
      <c r="L860" s="208" t="n">
        <f aca="false">SUMIFS(報告入力!$BG$7:$BG$696,報告入力!$A$7:$A$696,$S$847,報告入力!$B$7:$B$696,$A860)</f>
        <v>717036</v>
      </c>
      <c r="M860" s="160" t="n">
        <f aca="false">SUM(K860:L860)</f>
        <v>1433940</v>
      </c>
      <c r="N860" s="287" t="n">
        <f aca="false">SUMIFS(報告入力!$BH$7:$BH$696,報告入力!$A$7:$A$696,$S$847,報告入力!$B$7:$B$696,$A860)</f>
        <v>1</v>
      </c>
      <c r="O860" s="208" t="n">
        <f aca="false">SUMIFS(報告入力!$BI$7:$BI$696,報告入力!$A$7:$A$696,$S$847,報告入力!$B$7:$B$696,$A860)</f>
        <v>1</v>
      </c>
      <c r="P860" s="160" t="n">
        <f aca="false">SUM(N860:O860)</f>
        <v>2</v>
      </c>
      <c r="Q860" s="135" t="str">
        <f aca="false">IF(P795=P860,"〇","×")</f>
        <v>〇</v>
      </c>
      <c r="R860" s="135" t="str">
        <f aca="false">IFERROR(INDEX(報告入力!$C$7:$C$696,MATCH($S$847&amp;"|"&amp;$A860,報告入力!$CM$7:$CM$696,0)),"")</f>
        <v>未受領</v>
      </c>
    </row>
    <row r="861" s="135" customFormat="true" ht="19.5" hidden="false" customHeight="true" outlineLevel="0" collapsed="false">
      <c r="A861" s="146" t="s">
        <v>495</v>
      </c>
      <c r="B861" s="240" t="n">
        <f aca="false">SUMIFS(報告入力!$AY$7:$AY$696,報告入力!$A$7:$A$696,$S$847,報告入力!$B$7:$B$696,$A861)</f>
        <v>22783</v>
      </c>
      <c r="C861" s="392" t="n">
        <f aca="false">SUMIFS(報告入力!$AZ$7:$AZ$696,報告入力!$A$7:$A$696,$S$847,報告入力!$B$7:$B$696,$A861)</f>
        <v>1867</v>
      </c>
      <c r="D861" s="240" t="n">
        <f aca="false">SUMIFS(報告入力!$BA$7:$BA$696,報告入力!$A$7:$A$696,$S$847,報告入力!$B$7:$B$696,$A861)</f>
        <v>31101</v>
      </c>
      <c r="E861" s="238" t="n">
        <f aca="false">SUMIFS(報告入力!$BB$7:$BB$696,報告入力!$A$7:$A$696,$S$847,報告入力!$B$7:$B$696,$A861)</f>
        <v>1867</v>
      </c>
      <c r="F861" s="393" t="n">
        <f aca="false">SUMIFS(報告入力!$BC$7:$BC$696,報告入力!$A$7:$A$696,$S$847,報告入力!$B$7:$B$696,$A861)</f>
        <v>23</v>
      </c>
      <c r="G861" s="391" t="n">
        <f aca="false">SUM(B861:F861)</f>
        <v>57641</v>
      </c>
      <c r="H861" s="394" t="n">
        <f aca="false">SUMIFS(報告入力!$BD$7:$BD$696,報告入力!$A$7:$A$696,$S$847,報告入力!$B$7:$B$696,$A861)</f>
        <v>13697</v>
      </c>
      <c r="I861" s="395" t="n">
        <f aca="false">SUMIFS(報告入力!$BE$7:$BE$696,報告入力!$A$7:$A$696,$S$847,報告入力!$B$7:$B$696,$A861)</f>
        <v>13906</v>
      </c>
      <c r="J861" s="160" t="n">
        <f aca="false">SUM(H861:I861)</f>
        <v>27603</v>
      </c>
      <c r="K861" s="287" t="n">
        <f aca="false">SUMIFS(報告入力!$BF$7:$BF$696,報告入力!$A$7:$A$696,$S$847,報告入力!$B$7:$B$696,$A861)</f>
        <v>2091</v>
      </c>
      <c r="L861" s="208" t="n">
        <f aca="false">SUMIFS(報告入力!$BG$7:$BG$696,報告入力!$A$7:$A$696,$S$847,報告入力!$B$7:$B$696,$A861)</f>
        <v>2091</v>
      </c>
      <c r="M861" s="160" t="n">
        <f aca="false">SUM(K861:L861)</f>
        <v>4182</v>
      </c>
      <c r="N861" s="287" t="n">
        <f aca="false">SUMIFS(報告入力!$BH$7:$BH$696,報告入力!$A$7:$A$696,$S$847,報告入力!$B$7:$B$696,$A861)</f>
        <v>1</v>
      </c>
      <c r="O861" s="208" t="n">
        <f aca="false">SUMIFS(報告入力!$BI$7:$BI$696,報告入力!$A$7:$A$696,$S$847,報告入力!$B$7:$B$696,$A861)</f>
        <v>1</v>
      </c>
      <c r="P861" s="160" t="n">
        <f aca="false">SUM(N861:O861)</f>
        <v>2</v>
      </c>
      <c r="Q861" s="135" t="str">
        <f aca="false">IF(P796=P861,"〇","×")</f>
        <v>〇</v>
      </c>
      <c r="R861" s="135" t="str">
        <f aca="false">IFERROR(INDEX(報告入力!$C$7:$C$696,MATCH($S$847&amp;"|"&amp;$A861,報告入力!$CM$7:$CM$696,0)),"")</f>
        <v>未受領</v>
      </c>
    </row>
    <row r="862" s="162" customFormat="true" ht="19.5" hidden="false" customHeight="true" outlineLevel="0" collapsed="false">
      <c r="A862" s="151" t="s">
        <v>179</v>
      </c>
      <c r="B862" s="152" t="n">
        <f aca="false">SUMIFS(報告入力!$AY$7:$AY$696,報告入力!$A$7:$A$696,$S$847,報告入力!$B$7:$B$696,$A862)</f>
        <v>0</v>
      </c>
      <c r="C862" s="153" t="n">
        <f aca="false">SUMIFS(報告入力!$AZ$7:$AZ$696,報告入力!$A$7:$A$696,$S$847,報告入力!$B$7:$B$696,$A862)</f>
        <v>0</v>
      </c>
      <c r="D862" s="154"/>
      <c r="E862" s="155"/>
      <c r="F862" s="156" t="n">
        <f aca="false">SUMIFS(報告入力!$BC$7:$BC$696,報告入力!$A$7:$A$696,$S$847,報告入力!$B$7:$B$696,$A862)</f>
        <v>0</v>
      </c>
      <c r="G862" s="157" t="n">
        <f aca="false">SUM(B862:F862)</f>
        <v>0</v>
      </c>
      <c r="H862" s="207" t="n">
        <f aca="false">SUMIFS(報告入力!$BD$7:$BD$696,報告入力!$A$7:$A$696,$S$847,報告入力!$B$7:$B$696,$A862)</f>
        <v>40150</v>
      </c>
      <c r="I862" s="208" t="n">
        <f aca="false">SUMIFS(報告入力!$BE$7:$BE$696,報告入力!$A$7:$A$696,$S$847,報告入力!$B$7:$B$696,$A862)</f>
        <v>40770</v>
      </c>
      <c r="J862" s="160" t="n">
        <f aca="false">SUM(H862:I862)</f>
        <v>80920</v>
      </c>
      <c r="K862" s="287" t="n">
        <f aca="false">SUMIFS(報告入力!$BF$7:$BF$696,報告入力!$A$7:$A$696,$S$847,報告入力!$B$7:$B$696,$A862)</f>
        <v>2922</v>
      </c>
      <c r="L862" s="208" t="n">
        <f aca="false">SUMIFS(報告入力!$BG$7:$BG$696,報告入力!$A$7:$A$696,$S$847,報告入力!$B$7:$B$696,$A862)</f>
        <v>2923</v>
      </c>
      <c r="M862" s="160" t="n">
        <f aca="false">SUM(K862:L862)</f>
        <v>5845</v>
      </c>
      <c r="N862" s="287" t="n">
        <f aca="false">SUMIFS(報告入力!$BH$7:$BH$696,報告入力!$A$7:$A$696,$S$847,報告入力!$B$7:$B$696,$A862)</f>
        <v>1</v>
      </c>
      <c r="O862" s="208" t="n">
        <f aca="false">SUMIFS(報告入力!$BI$7:$BI$696,報告入力!$A$7:$A$696,$S$847,報告入力!$B$7:$B$696,$A862)</f>
        <v>1</v>
      </c>
      <c r="P862" s="160" t="n">
        <f aca="false">SUM(N862:O862)</f>
        <v>2</v>
      </c>
      <c r="Q862" s="162" t="str">
        <f aca="false">IF(P797=P862,"〇","×")</f>
        <v>〇</v>
      </c>
      <c r="R862" s="162" t="str">
        <f aca="false">IFERROR(INDEX(報告入力!$C$7:$C$696,MATCH($S$847&amp;"|"&amp;$A862,報告入力!$CM$7:$CM$696,0)),"")</f>
        <v>未受領</v>
      </c>
    </row>
    <row r="863" s="162" customFormat="true" ht="19.5" hidden="false" customHeight="true" outlineLevel="0" collapsed="false">
      <c r="A863" s="163" t="s">
        <v>496</v>
      </c>
      <c r="B863" s="164"/>
      <c r="C863" s="165"/>
      <c r="D863" s="164"/>
      <c r="E863" s="166"/>
      <c r="F863" s="167"/>
      <c r="G863" s="168"/>
      <c r="H863" s="169"/>
      <c r="I863" s="170"/>
      <c r="J863" s="171"/>
      <c r="K863" s="172"/>
      <c r="L863" s="173"/>
      <c r="M863" s="173"/>
      <c r="N863" s="172"/>
      <c r="O863" s="173"/>
      <c r="P863" s="173"/>
      <c r="Q863" s="162" t="str">
        <f aca="false">IF(P798=P863,"〇","×")</f>
        <v>〇</v>
      </c>
    </row>
    <row r="864" s="162" customFormat="true" ht="19.5" hidden="false" customHeight="true" outlineLevel="0" collapsed="false">
      <c r="A864" s="174" t="s">
        <v>496</v>
      </c>
      <c r="B864" s="175"/>
      <c r="C864" s="176"/>
      <c r="D864" s="175"/>
      <c r="E864" s="177"/>
      <c r="F864" s="178"/>
      <c r="G864" s="179"/>
      <c r="H864" s="180"/>
      <c r="I864" s="177"/>
      <c r="J864" s="181"/>
      <c r="K864" s="182"/>
      <c r="L864" s="183"/>
      <c r="M864" s="183"/>
      <c r="N864" s="182"/>
      <c r="O864" s="183"/>
      <c r="P864" s="183"/>
      <c r="Q864" s="162" t="str">
        <f aca="false">IF(P799=P864,"〇","×")</f>
        <v>〇</v>
      </c>
    </row>
    <row r="865" s="162" customFormat="true" ht="19.5" hidden="false" customHeight="true" outlineLevel="0" collapsed="false">
      <c r="A865" s="174" t="s">
        <v>496</v>
      </c>
      <c r="B865" s="164"/>
      <c r="C865" s="165"/>
      <c r="D865" s="164"/>
      <c r="E865" s="166"/>
      <c r="F865" s="167"/>
      <c r="G865" s="168"/>
      <c r="H865" s="184"/>
      <c r="I865" s="166"/>
      <c r="J865" s="171"/>
      <c r="K865" s="185"/>
      <c r="L865" s="186"/>
      <c r="M865" s="186"/>
      <c r="N865" s="185"/>
      <c r="O865" s="186"/>
      <c r="P865" s="186"/>
      <c r="Q865" s="162" t="str">
        <f aca="false">IF(P800=P865,"〇","×")</f>
        <v>〇</v>
      </c>
    </row>
    <row r="866" s="162" customFormat="true" ht="19.5" hidden="false" customHeight="true" outlineLevel="0" collapsed="false">
      <c r="A866" s="187" t="s">
        <v>496</v>
      </c>
      <c r="B866" s="188"/>
      <c r="C866" s="189"/>
      <c r="D866" s="188"/>
      <c r="E866" s="190"/>
      <c r="F866" s="191"/>
      <c r="G866" s="192"/>
      <c r="H866" s="180"/>
      <c r="I866" s="193"/>
      <c r="J866" s="194"/>
      <c r="K866" s="182"/>
      <c r="L866" s="183"/>
      <c r="M866" s="195"/>
      <c r="N866" s="182"/>
      <c r="O866" s="183"/>
      <c r="P866" s="195"/>
      <c r="Q866" s="162" t="str">
        <f aca="false">IF(P801=P866,"〇","×")</f>
        <v>〇</v>
      </c>
    </row>
    <row r="867" s="162" customFormat="true" ht="19.5" hidden="false" customHeight="true" outlineLevel="0" collapsed="false">
      <c r="A867" s="196" t="s">
        <v>497</v>
      </c>
      <c r="B867" s="197" t="n">
        <f aca="false">SUM(B851:B866)</f>
        <v>149674769</v>
      </c>
      <c r="C867" s="198" t="n">
        <f aca="false">SUM(C851:C866)</f>
        <v>12271769</v>
      </c>
      <c r="D867" s="197" t="n">
        <f aca="false">SUM(D851:D866)</f>
        <v>211989451</v>
      </c>
      <c r="E867" s="199" t="n">
        <f aca="false">SUM(E851:E866)</f>
        <v>12602527</v>
      </c>
      <c r="F867" s="200" t="n">
        <f aca="false">SUM(F851:F866)</f>
        <v>161465</v>
      </c>
      <c r="G867" s="201" t="n">
        <f aca="false">SUM(B867:F867)</f>
        <v>386699981</v>
      </c>
      <c r="H867" s="198" t="n">
        <f aca="false">SUM(H851:H866)</f>
        <v>111317233</v>
      </c>
      <c r="I867" s="198" t="n">
        <f aca="false">SUM(I851:I866)</f>
        <v>115736418</v>
      </c>
      <c r="J867" s="200" t="n">
        <f aca="false">SUM(H867:I867)</f>
        <v>227053651</v>
      </c>
      <c r="K867" s="197" t="n">
        <f aca="false">SUM(K851:K866)</f>
        <v>10333938</v>
      </c>
      <c r="L867" s="198" t="n">
        <f aca="false">SUM(L851:L866)</f>
        <v>10958751</v>
      </c>
      <c r="M867" s="200" t="n">
        <f aca="false">SUM(K867:L867)</f>
        <v>21292689</v>
      </c>
      <c r="N867" s="197" t="n">
        <f aca="false">SUM(N851:N866)</f>
        <v>12</v>
      </c>
      <c r="O867" s="198" t="n">
        <f aca="false">SUM(O851:O866)</f>
        <v>12</v>
      </c>
      <c r="P867" s="200" t="n">
        <f aca="false">SUM(N867:O867)</f>
        <v>24</v>
      </c>
      <c r="Q867" s="162" t="str">
        <f aca="false">IF(P802=P867,"〇","×")</f>
        <v>〇</v>
      </c>
    </row>
    <row r="868" s="135" customFormat="true" ht="20.1" hidden="false" customHeight="true" outlineLevel="0" collapsed="false">
      <c r="A868" s="202" t="s">
        <v>180</v>
      </c>
      <c r="B868" s="324"/>
      <c r="C868" s="325"/>
      <c r="D868" s="458"/>
      <c r="E868" s="459"/>
      <c r="F868" s="333"/>
      <c r="G868" s="327" t="n">
        <f aca="false">SUM(B868:F868)</f>
        <v>0</v>
      </c>
      <c r="H868" s="328"/>
      <c r="I868" s="329"/>
      <c r="J868" s="330" t="n">
        <f aca="false">SUM(H868:I868)</f>
        <v>0</v>
      </c>
      <c r="K868" s="328"/>
      <c r="L868" s="329"/>
      <c r="M868" s="331" t="n">
        <f aca="false">SUM(K868:L868)</f>
        <v>0</v>
      </c>
      <c r="N868" s="328"/>
      <c r="O868" s="329"/>
      <c r="P868" s="331" t="n">
        <f aca="false">SUM(N868:O868)</f>
        <v>0</v>
      </c>
      <c r="Q868" s="135" t="str">
        <f aca="false">IF(P803=P868,"〇","×")</f>
        <v>〇</v>
      </c>
      <c r="R868" s="135" t="str">
        <f aca="false">IFERROR(INDEX(報告入力!$C$7:$C$696,MATCH($S$847&amp;"|"&amp;$A868,報告入力!$CM$7:$CM$696,0)),"")</f>
        <v>報告なし</v>
      </c>
    </row>
    <row r="869" s="135" customFormat="true" ht="20.1" hidden="false" customHeight="true" outlineLevel="0" collapsed="false">
      <c r="A869" s="125" t="s">
        <v>182</v>
      </c>
      <c r="B869" s="240" t="n">
        <f aca="false">SUMIFS(報告入力!$AY$7:$AY$696,報告入力!$A$7:$A$696,$S$847,報告入力!$B$7:$B$696,$A869)</f>
        <v>0</v>
      </c>
      <c r="C869" s="393" t="n">
        <f aca="false">SUMIFS(報告入力!$AZ$7:$AZ$696,報告入力!$A$7:$A$696,$S$847,報告入力!$B$7:$B$696,$A869)</f>
        <v>0</v>
      </c>
      <c r="D869" s="240" t="n">
        <f aca="false">SUMIFS(報告入力!$BA$7:$BA$696,報告入力!$A$7:$A$696,$S$847,報告入力!$B$7:$B$696,$A869)</f>
        <v>266723</v>
      </c>
      <c r="E869" s="238" t="n">
        <f aca="false">SUMIFS(報告入力!$BB$7:$BB$696,報告入力!$A$7:$A$696,$S$847,報告入力!$B$7:$B$696,$A869)</f>
        <v>21863</v>
      </c>
      <c r="F869" s="393" t="n">
        <f aca="false">SUMIFS(報告入力!$BC$7:$BC$696,報告入力!$A$7:$A$696,$S$847,報告入力!$B$7:$B$696,$A869)</f>
        <v>284</v>
      </c>
      <c r="G869" s="206" t="n">
        <f aca="false">SUM(B869:F869)</f>
        <v>288870</v>
      </c>
      <c r="H869" s="207" t="n">
        <f aca="false">SUMIFS(報告入力!$BD$7:$BD$696,報告入力!$A$7:$A$696,$S$847,報告入力!$B$7:$B$696,$A869)</f>
        <v>0</v>
      </c>
      <c r="I869" s="208" t="n">
        <f aca="false">SUMIFS(報告入力!$BE$7:$BE$696,報告入力!$A$7:$A$696,$S$847,報告入力!$B$7:$B$696,$A869)</f>
        <v>160646</v>
      </c>
      <c r="J869" s="160" t="n">
        <f aca="false">SUM(H869:I869)</f>
        <v>160646</v>
      </c>
      <c r="K869" s="207" t="n">
        <f aca="false">SUMIFS(報告入力!$BF$7:$BF$696,報告入力!$A$7:$A$696,$S$847,報告入力!$B$7:$B$696,$A869)</f>
        <v>0</v>
      </c>
      <c r="L869" s="208" t="n">
        <f aca="false">SUMIFS(報告入力!$BG$7:$BG$696,報告入力!$A$7:$A$696,$S$847,報告入力!$B$7:$B$696,$A869)</f>
        <v>20879</v>
      </c>
      <c r="M869" s="160" t="n">
        <f aca="false">SUM(K869:L869)</f>
        <v>20879</v>
      </c>
      <c r="N869" s="207" t="n">
        <f aca="false">SUMIFS(報告入力!$BH$7:$BH$696,報告入力!$A$7:$A$696,$S$847,報告入力!$B$7:$B$696,$A869)</f>
        <v>0</v>
      </c>
      <c r="O869" s="208" t="n">
        <f aca="false">SUMIFS(報告入力!$BI$7:$BI$696,報告入力!$A$7:$A$696,$S$847,報告入力!$B$7:$B$696,$A869)</f>
        <v>1</v>
      </c>
      <c r="P869" s="160" t="n">
        <f aca="false">SUM(N869:O869)</f>
        <v>1</v>
      </c>
      <c r="Q869" s="135" t="str">
        <f aca="false">IF(P804=P869,"〇","×")</f>
        <v>〇</v>
      </c>
      <c r="R869" s="135" t="str">
        <f aca="false">IFERROR(INDEX(報告入力!$C$7:$C$696,MATCH($S$847&amp;"|"&amp;$A869,報告入力!$CM$7:$CM$696,0)),"")</f>
        <v>未受領</v>
      </c>
    </row>
    <row r="870" s="135" customFormat="true" ht="20.1" hidden="false" customHeight="true" outlineLevel="0" collapsed="false">
      <c r="A870" s="125" t="s">
        <v>183</v>
      </c>
      <c r="B870" s="211"/>
      <c r="C870" s="212"/>
      <c r="D870" s="240" t="n">
        <f aca="false">SUMIFS(報告入力!$BA$7:$BA$696,報告入力!$A$7:$A$696,$S$847,報告入力!$B$7:$B$696,$A870)</f>
        <v>842818</v>
      </c>
      <c r="E870" s="238" t="n">
        <f aca="false">SUMIFS(報告入力!$BB$7:$BB$696,報告入力!$A$7:$A$696,$S$847,報告入力!$B$7:$B$696,$A870)</f>
        <v>69079</v>
      </c>
      <c r="F870" s="393" t="n">
        <f aca="false">SUMIFS(報告入力!$BC$7:$BC$696,報告入力!$A$7:$A$696,$S$847,報告入力!$B$7:$B$696,$A870)</f>
        <v>884</v>
      </c>
      <c r="G870" s="206" t="n">
        <f aca="false">SUM(B870:F870)</f>
        <v>912781</v>
      </c>
      <c r="H870" s="213"/>
      <c r="I870" s="208" t="n">
        <f aca="false">SUMIFS(報告入力!$BE$7:$BE$696,報告入力!$A$7:$A$696,$S$847,報告入力!$B$7:$B$696,$A870)</f>
        <v>507639</v>
      </c>
      <c r="J870" s="160" t="n">
        <f aca="false">SUM(H870:I870)</f>
        <v>507639</v>
      </c>
      <c r="K870" s="213"/>
      <c r="L870" s="208" t="n">
        <f aca="false">SUMIFS(報告入力!$BG$7:$BG$696,報告入力!$A$7:$A$696,$S$847,報告入力!$B$7:$B$696,$A870)</f>
        <v>56123</v>
      </c>
      <c r="M870" s="160" t="n">
        <f aca="false">SUM(K870:L870)</f>
        <v>56123</v>
      </c>
      <c r="N870" s="213"/>
      <c r="O870" s="208" t="n">
        <f aca="false">SUMIFS(報告入力!$BI$7:$BI$696,報告入力!$A$7:$A$696,$S$847,報告入力!$B$7:$B$696,$A870)</f>
        <v>1</v>
      </c>
      <c r="P870" s="160" t="n">
        <f aca="false">SUM(N870:O870)</f>
        <v>1</v>
      </c>
      <c r="Q870" s="135" t="str">
        <f aca="false">IF(P805=P870,"〇","×")</f>
        <v>〇</v>
      </c>
      <c r="R870" s="135" t="str">
        <f aca="false">IFERROR(INDEX(報告入力!$C$7:$C$696,MATCH($S$847&amp;"|"&amp;$A870,報告入力!$CM$7:$CM$696,0)),"")</f>
        <v>未受領</v>
      </c>
    </row>
    <row r="871" s="135" customFormat="true" ht="20.1" hidden="false" customHeight="true" outlineLevel="0" collapsed="false">
      <c r="A871" s="125" t="s">
        <v>184</v>
      </c>
      <c r="B871" s="211"/>
      <c r="C871" s="212"/>
      <c r="D871" s="240" t="n">
        <f aca="false">SUMIFS(報告入力!$BA$7:$BA$696,報告入力!$A$7:$A$696,$S$847,報告入力!$B$7:$B$696,$A871)</f>
        <v>22509</v>
      </c>
      <c r="E871" s="238" t="n">
        <f aca="false">SUMIFS(報告入力!$BB$7:$BB$696,報告入力!$A$7:$A$696,$S$847,報告入力!$B$7:$B$696,$A871)</f>
        <v>1845</v>
      </c>
      <c r="F871" s="393" t="n">
        <f aca="false">SUMIFS(報告入力!$BC$7:$BC$696,報告入力!$A$7:$A$696,$S$847,報告入力!$B$7:$B$696,$A871)</f>
        <v>23</v>
      </c>
      <c r="G871" s="206" t="n">
        <f aca="false">SUM(B871:F871)</f>
        <v>24377</v>
      </c>
      <c r="H871" s="213"/>
      <c r="I871" s="208" t="n">
        <f aca="false">SUMIFS(報告入力!$BE$7:$BE$696,報告入力!$A$7:$A$696,$S$847,報告入力!$B$7:$B$696,$A871)</f>
        <v>13557</v>
      </c>
      <c r="J871" s="160" t="n">
        <f aca="false">SUM(H871:I871)</f>
        <v>13557</v>
      </c>
      <c r="K871" s="213"/>
      <c r="L871" s="208" t="n">
        <f aca="false">SUMIFS(報告入力!$BG$7:$BG$696,報告入力!$A$7:$A$696,$S$847,報告入力!$B$7:$B$696,$A871)</f>
        <v>1943</v>
      </c>
      <c r="M871" s="160" t="n">
        <f aca="false">SUM(K871:L871)</f>
        <v>1943</v>
      </c>
      <c r="N871" s="213"/>
      <c r="O871" s="208" t="n">
        <f aca="false">SUMIFS(報告入力!$BI$7:$BI$696,報告入力!$A$7:$A$696,$S$847,報告入力!$B$7:$B$696,$A871)</f>
        <v>1</v>
      </c>
      <c r="P871" s="160" t="n">
        <f aca="false">SUM(N871:O871)</f>
        <v>1</v>
      </c>
      <c r="Q871" s="135" t="str">
        <f aca="false">IF(P806=P871,"〇","×")</f>
        <v>〇</v>
      </c>
      <c r="R871" s="135" t="str">
        <f aca="false">IFERROR(INDEX(報告入力!$C$7:$C$696,MATCH($S$847&amp;"|"&amp;$A871,報告入力!$CM$7:$CM$696,0)),"")</f>
        <v>未受領</v>
      </c>
    </row>
    <row r="872" s="135" customFormat="true" ht="20.1" hidden="false" customHeight="true" outlineLevel="0" collapsed="false">
      <c r="A872" s="214" t="s">
        <v>185</v>
      </c>
      <c r="B872" s="211"/>
      <c r="C872" s="212"/>
      <c r="D872" s="240" t="n">
        <f aca="false">SUMIFS(報告入力!$BA$7:$BA$696,報告入力!$A$7:$A$696,$S$847,報告入力!$B$7:$B$696,$A872)</f>
        <v>185656</v>
      </c>
      <c r="E872" s="238" t="n">
        <f aca="false">SUMIFS(報告入力!$BB$7:$BB$696,報告入力!$A$7:$A$696,$S$847,報告入力!$B$7:$B$696,$A872)</f>
        <v>15217</v>
      </c>
      <c r="F872" s="393" t="n">
        <f aca="false">SUMIFS(報告入力!$BC$7:$BC$696,報告入力!$A$7:$A$696,$S$847,報告入力!$B$7:$B$696,$A872)</f>
        <v>190</v>
      </c>
      <c r="G872" s="206" t="n">
        <f aca="false">SUM(B872:F872)</f>
        <v>201063</v>
      </c>
      <c r="H872" s="213"/>
      <c r="I872" s="208" t="n">
        <f aca="false">SUMIFS(報告入力!$BE$7:$BE$696,報告入力!$A$7:$A$696,$S$847,報告入力!$B$7:$B$696,$A872)</f>
        <v>111817</v>
      </c>
      <c r="J872" s="160" t="n">
        <f aca="false">SUM(H872:I872)</f>
        <v>111817</v>
      </c>
      <c r="K872" s="213"/>
      <c r="L872" s="208" t="n">
        <f aca="false">SUMIFS(報告入力!$BG$7:$BG$696,報告入力!$A$7:$A$696,$S$847,報告入力!$B$7:$B$696,$A872)</f>
        <v>15064</v>
      </c>
      <c r="M872" s="160" t="n">
        <f aca="false">SUM(K872:L872)</f>
        <v>15064</v>
      </c>
      <c r="N872" s="213"/>
      <c r="O872" s="208" t="n">
        <f aca="false">SUMIFS(報告入力!$BI$7:$BI$696,報告入力!$A$7:$A$696,$S$847,報告入力!$B$7:$B$696,$A872)</f>
        <v>1</v>
      </c>
      <c r="P872" s="160" t="n">
        <f aca="false">SUM(N872:O872)</f>
        <v>1</v>
      </c>
      <c r="Q872" s="135" t="str">
        <f aca="false">IF(P807=P872,"〇","×")</f>
        <v>〇</v>
      </c>
      <c r="R872" s="135" t="str">
        <f aca="false">IFERROR(INDEX(報告入力!$C$7:$C$696,MATCH($S$847&amp;"|"&amp;$A872,報告入力!$CM$7:$CM$696,0)),"")</f>
        <v>未受領</v>
      </c>
    </row>
    <row r="873" s="135" customFormat="true" ht="20.1" hidden="false" customHeight="true" outlineLevel="0" collapsed="false">
      <c r="A873" s="146" t="s">
        <v>186</v>
      </c>
      <c r="B873" s="211"/>
      <c r="C873" s="216"/>
      <c r="D873" s="240" t="n">
        <f aca="false">SUMIFS(報告入力!$BA$7:$BA$696,報告入力!$A$7:$A$696,$S$847,報告入力!$B$7:$B$696,$A873)</f>
        <v>40352</v>
      </c>
      <c r="E873" s="238" t="n">
        <f aca="false">SUMIFS(報告入力!$BB$7:$BB$696,報告入力!$A$7:$A$696,$S$847,報告入力!$B$7:$B$696,$A873)</f>
        <v>3307</v>
      </c>
      <c r="F873" s="393" t="n">
        <f aca="false">SUMIFS(報告入力!$BC$7:$BC$696,報告入力!$A$7:$A$696,$S$847,報告入力!$B$7:$B$696,$A873)</f>
        <v>41</v>
      </c>
      <c r="G873" s="206" t="n">
        <f aca="false">SUM(B873:F873)</f>
        <v>43700</v>
      </c>
      <c r="H873" s="213"/>
      <c r="I873" s="208" t="n">
        <f aca="false">SUMIFS(報告入力!$BE$7:$BE$696,報告入力!$A$7:$A$696,$S$847,報告入力!$B$7:$B$696,$A873)</f>
        <v>24303</v>
      </c>
      <c r="J873" s="160" t="n">
        <f aca="false">SUM(H873:I873)</f>
        <v>24303</v>
      </c>
      <c r="K873" s="213"/>
      <c r="L873" s="208" t="n">
        <f aca="false">SUMIFS(報告入力!$BG$7:$BG$696,報告入力!$A$7:$A$696,$S$847,報告入力!$B$7:$B$696,$A873)</f>
        <v>3483</v>
      </c>
      <c r="M873" s="160" t="n">
        <f aca="false">SUM(K873:L873)</f>
        <v>3483</v>
      </c>
      <c r="N873" s="213"/>
      <c r="O873" s="208" t="n">
        <f aca="false">SUMIFS(報告入力!$BI$7:$BI$696,報告入力!$A$7:$A$696,$S$847,報告入力!$B$7:$B$696,$A873)</f>
        <v>1</v>
      </c>
      <c r="P873" s="160" t="n">
        <f aca="false">SUM(N873:O873)</f>
        <v>1</v>
      </c>
      <c r="Q873" s="135" t="str">
        <f aca="false">IF(P808=P873,"〇","×")</f>
        <v>〇</v>
      </c>
      <c r="R873" s="135" t="str">
        <f aca="false">IFERROR(INDEX(報告入力!$C$7:$C$696,MATCH($S$847&amp;"|"&amp;$A873,報告入力!$CM$7:$CM$696,0)),"")</f>
        <v>未受領</v>
      </c>
    </row>
    <row r="874" s="135" customFormat="true" ht="20.1" hidden="false" customHeight="true" outlineLevel="0" collapsed="false">
      <c r="A874" s="146" t="s">
        <v>187</v>
      </c>
      <c r="B874" s="211"/>
      <c r="C874" s="216"/>
      <c r="D874" s="240" t="n">
        <f aca="false">SUMIFS(報告入力!$BA$7:$BA$696,報告入力!$A$7:$A$696,$S$847,報告入力!$B$7:$B$696,$A874)</f>
        <v>22143</v>
      </c>
      <c r="E874" s="207" t="n">
        <f aca="false">SUMIFS(報告入力!$BB$7:$BB$696,報告入力!$A$7:$A$696,$S$847,報告入力!$B$7:$B$696,$A874)</f>
        <v>1815</v>
      </c>
      <c r="F874" s="237" t="n">
        <f aca="false">SUMIFS(報告入力!$BC$7:$BC$696,報告入力!$A$7:$A$696,$S$847,報告入力!$B$7:$B$696,$A874)</f>
        <v>22</v>
      </c>
      <c r="G874" s="206" t="n">
        <f aca="false">SUM(B874:F874)</f>
        <v>23980</v>
      </c>
      <c r="H874" s="213"/>
      <c r="I874" s="208" t="n">
        <f aca="false">SUMIFS(報告入力!$BE$7:$BE$696,報告入力!$A$7:$A$696,$S$847,報告入力!$B$7:$B$696,$A874)</f>
        <v>13336</v>
      </c>
      <c r="J874" s="160" t="n">
        <f aca="false">SUM(H874:I874)</f>
        <v>13336</v>
      </c>
      <c r="K874" s="213"/>
      <c r="L874" s="208" t="n">
        <f aca="false">SUMIFS(報告入力!$BG$7:$BG$696,報告入力!$A$7:$A$696,$S$847,報告入力!$B$7:$B$696,$A874)</f>
        <v>1911</v>
      </c>
      <c r="M874" s="160" t="n">
        <f aca="false">SUM(K874:L874)</f>
        <v>1911</v>
      </c>
      <c r="N874" s="213"/>
      <c r="O874" s="208" t="n">
        <f aca="false">SUMIFS(報告入力!$BI$7:$BI$696,報告入力!$A$7:$A$696,$S$847,報告入力!$B$7:$B$696,$A874)</f>
        <v>1</v>
      </c>
      <c r="P874" s="160" t="n">
        <f aca="false">SUM(N874:O874)</f>
        <v>1</v>
      </c>
      <c r="Q874" s="135" t="str">
        <f aca="false">IF(P809=P874,"〇","×")</f>
        <v>〇</v>
      </c>
      <c r="R874" s="135" t="str">
        <f aca="false">IFERROR(INDEX(報告入力!$C$7:$C$696,MATCH($S$847&amp;"|"&amp;$A874,報告入力!$CM$7:$CM$696,0)),"")</f>
        <v>未受領</v>
      </c>
    </row>
    <row r="875" s="135" customFormat="true" ht="20.1" hidden="false" customHeight="true" outlineLevel="0" collapsed="false">
      <c r="A875" s="217" t="s">
        <v>188</v>
      </c>
      <c r="B875" s="211"/>
      <c r="C875" s="218"/>
      <c r="D875" s="203" t="n">
        <f aca="false">SUMIFS(報告入力!$BA$7:$BA$696,報告入力!$A$7:$A$696,$S$847,報告入力!$B$7:$B$696,$A875)</f>
        <v>55175</v>
      </c>
      <c r="E875" s="207" t="n">
        <f aca="false">SUMIFS(報告入力!$BB$7:$BB$696,報告入力!$A$7:$A$696,$S$847,報告入力!$B$7:$B$696,$A875)</f>
        <v>4522</v>
      </c>
      <c r="F875" s="237" t="n">
        <f aca="false">SUMIFS(報告入力!$BC$7:$BC$696,報告入力!$A$7:$A$696,$S$847,報告入力!$B$7:$B$696,$A875)</f>
        <v>56</v>
      </c>
      <c r="G875" s="206" t="n">
        <f aca="false">SUM(B875:F875)</f>
        <v>59753</v>
      </c>
      <c r="H875" s="213"/>
      <c r="I875" s="208" t="n">
        <f aca="false">SUMIFS(報告入力!$BE$7:$BE$696,報告入力!$A$7:$A$696,$S$847,報告入力!$B$7:$B$696,$A875)</f>
        <v>33231</v>
      </c>
      <c r="J875" s="160" t="n">
        <f aca="false">SUM(H875:I875)</f>
        <v>33231</v>
      </c>
      <c r="K875" s="213"/>
      <c r="L875" s="208" t="n">
        <f aca="false">SUMIFS(報告入力!$BG$7:$BG$696,報告入力!$A$7:$A$696,$S$847,報告入力!$B$7:$B$696,$A875)</f>
        <v>3246</v>
      </c>
      <c r="M875" s="160" t="n">
        <f aca="false">SUM(K875:L875)</f>
        <v>3246</v>
      </c>
      <c r="N875" s="213"/>
      <c r="O875" s="208" t="n">
        <f aca="false">SUMIFS(報告入力!$BI$7:$BI$696,報告入力!$A$7:$A$696,$S$847,報告入力!$B$7:$B$696,$A875)</f>
        <v>1</v>
      </c>
      <c r="P875" s="160" t="n">
        <f aca="false">SUM(N875:O875)</f>
        <v>1</v>
      </c>
      <c r="Q875" s="135" t="str">
        <f aca="false">IF(P810=P875,"〇","×")</f>
        <v>〇</v>
      </c>
      <c r="R875" s="135" t="str">
        <f aca="false">IFERROR(INDEX(報告入力!$C$7:$C$696,MATCH($S$847&amp;"|"&amp;$A875,報告入力!$CM$7:$CM$696,0)),"")</f>
        <v>未受領</v>
      </c>
    </row>
    <row r="876" s="135" customFormat="true" ht="20.1" hidden="false" customHeight="true" outlineLevel="0" collapsed="false">
      <c r="A876" s="125" t="s">
        <v>189</v>
      </c>
      <c r="B876" s="240" t="n">
        <f aca="false">SUMIFS(報告入力!$AY$7:$AY$696,報告入力!$A$7:$A$696,$S$847,報告入力!$B$7:$B$696,$A876)</f>
        <v>3204</v>
      </c>
      <c r="C876" s="237" t="n">
        <f aca="false">SUMIFS(報告入力!$AZ$7:$AZ$696,報告入力!$A$7:$A$696,$S$847,報告入力!$B$7:$B$696,$A876)</f>
        <v>264</v>
      </c>
      <c r="D876" s="203" t="n">
        <f aca="false">SUMIFS(報告入力!$BA$7:$BA$696,報告入力!$A$7:$A$696,$S$847,報告入力!$B$7:$B$696,$A876)</f>
        <v>3201</v>
      </c>
      <c r="E876" s="207" t="n">
        <f aca="false">SUMIFS(報告入力!$BB$7:$BB$696,報告入力!$A$7:$A$696,$S$847,報告入力!$B$7:$B$696,$A876)</f>
        <v>262</v>
      </c>
      <c r="F876" s="237" t="n">
        <f aca="false">SUMIFS(報告入力!$BC$7:$BC$696,報告入力!$A$7:$A$696,$S$847,報告入力!$B$7:$B$696,$A876)</f>
        <v>4</v>
      </c>
      <c r="G876" s="206" t="n">
        <f aca="false">SUM(B876:F876)</f>
        <v>6935</v>
      </c>
      <c r="H876" s="207" t="n">
        <f aca="false">SUMIFS(報告入力!$BD$7:$BD$696,報告入力!$A$7:$A$696,$S$847,報告入力!$B$7:$B$696,$A876)</f>
        <v>1926</v>
      </c>
      <c r="I876" s="208" t="n">
        <f aca="false">SUMIFS(報告入力!$BE$7:$BE$696,報告入力!$A$7:$A$696,$S$847,報告入力!$B$7:$B$696,$A876)</f>
        <v>1929</v>
      </c>
      <c r="J876" s="160" t="n">
        <f aca="false">SUM(H876:I876)</f>
        <v>3855</v>
      </c>
      <c r="K876" s="207" t="n">
        <f aca="false">SUMIFS(報告入力!$BF$7:$BF$696,報告入力!$A$7:$A$696,$S$847,報告入力!$B$7:$B$696,$A876)</f>
        <v>47</v>
      </c>
      <c r="L876" s="208" t="n">
        <f aca="false">SUMIFS(報告入力!$BG$7:$BG$696,報告入力!$A$7:$A$696,$S$847,報告入力!$B$7:$B$696,$A876)</f>
        <v>47</v>
      </c>
      <c r="M876" s="160" t="n">
        <f aca="false">SUM(K876:L876)</f>
        <v>94</v>
      </c>
      <c r="N876" s="207" t="n">
        <f aca="false">SUMIFS(報告入力!$BH$7:$BH$696,報告入力!$A$7:$A$696,$S$847,報告入力!$B$7:$B$696,$A876)</f>
        <v>1</v>
      </c>
      <c r="O876" s="208" t="n">
        <f aca="false">SUMIFS(報告入力!$BI$7:$BI$696,報告入力!$A$7:$A$696,$S$847,報告入力!$B$7:$B$696,$A876)</f>
        <v>1</v>
      </c>
      <c r="P876" s="160" t="n">
        <f aca="false">SUM(N876:O876)</f>
        <v>2</v>
      </c>
      <c r="Q876" s="135" t="str">
        <f aca="false">IF(P811=P876,"〇","×")</f>
        <v>〇</v>
      </c>
      <c r="R876" s="135" t="str">
        <f aca="false">IFERROR(INDEX(報告入力!$C$7:$C$696,MATCH($S$847&amp;"|"&amp;$A876,報告入力!$CM$7:$CM$696,0)),"")</f>
        <v>未受領</v>
      </c>
    </row>
    <row r="877" s="135" customFormat="true" ht="20.1" hidden="false" customHeight="true" outlineLevel="0" collapsed="false">
      <c r="A877" s="219" t="s">
        <v>190</v>
      </c>
      <c r="B877" s="203"/>
      <c r="C877" s="237"/>
      <c r="D877" s="240" t="n">
        <f aca="false">SUMIFS(報告入力!$BA$7:$BA$696,報告入力!$A$7:$A$696,$S$847,報告入力!$B$7:$B$696,$A877)</f>
        <v>0</v>
      </c>
      <c r="E877" s="238" t="n">
        <f aca="false">SUMIFS(報告入力!$BB$7:$BB$696,報告入力!$A$7:$A$696,$S$847,報告入力!$B$7:$B$696,$A877)</f>
        <v>0</v>
      </c>
      <c r="F877" s="393" t="n">
        <f aca="false">SUMIFS(報告入力!$BC$7:$BC$696,報告入力!$A$7:$A$696,$S$847,報告入力!$B$7:$B$696,$A877)</f>
        <v>0</v>
      </c>
      <c r="G877" s="206" t="n">
        <f aca="false">SUM(B877:F877)</f>
        <v>0</v>
      </c>
      <c r="H877" s="207"/>
      <c r="I877" s="208" t="n">
        <f aca="false">SUMIFS(報告入力!$BE$7:$BE$696,報告入力!$A$7:$A$696,$S$847,報告入力!$B$7:$B$696,$A877)</f>
        <v>0</v>
      </c>
      <c r="J877" s="160" t="n">
        <f aca="false">SUM(H877:I877)</f>
        <v>0</v>
      </c>
      <c r="K877" s="207"/>
      <c r="L877" s="208" t="n">
        <f aca="false">SUMIFS(報告入力!$BG$7:$BG$696,報告入力!$A$7:$A$696,$S$847,報告入力!$B$7:$B$696,$A877)</f>
        <v>0</v>
      </c>
      <c r="M877" s="160" t="n">
        <f aca="false">SUM(K877:L877)</f>
        <v>0</v>
      </c>
      <c r="N877" s="207"/>
      <c r="O877" s="208" t="n">
        <f aca="false">SUMIFS(報告入力!$BI$7:$BI$696,報告入力!$A$7:$A$696,$S$847,報告入力!$B$7:$B$696,$A877)</f>
        <v>0</v>
      </c>
      <c r="P877" s="160" t="n">
        <f aca="false">SUM(N877:O877)</f>
        <v>0</v>
      </c>
      <c r="Q877" s="135" t="str">
        <f aca="false">IF(P812=P877,"〇","×")</f>
        <v>×</v>
      </c>
      <c r="R877" s="135" t="str">
        <f aca="false">IFERROR(INDEX(報告入力!$C$7:$C$696,MATCH($S$847&amp;"|"&amp;$A877,報告入力!$CM$7:$CM$696,0)),"")</f>
        <v>未受領</v>
      </c>
    </row>
    <row r="878" s="135" customFormat="true" ht="20.1" hidden="false" customHeight="true" outlineLevel="0" collapsed="false">
      <c r="A878" s="222" t="s">
        <v>191</v>
      </c>
      <c r="B878" s="211"/>
      <c r="C878" s="218"/>
      <c r="D878" s="203"/>
      <c r="E878" s="207"/>
      <c r="F878" s="237"/>
      <c r="G878" s="206" t="n">
        <f aca="false">SUM(B878:F878)</f>
        <v>0</v>
      </c>
      <c r="H878" s="213"/>
      <c r="I878" s="286"/>
      <c r="J878" s="221" t="n">
        <f aca="false">SUM(H878:I878)</f>
        <v>0</v>
      </c>
      <c r="K878" s="213"/>
      <c r="L878" s="286"/>
      <c r="M878" s="221" t="n">
        <f aca="false">SUM(K878:L878)</f>
        <v>0</v>
      </c>
      <c r="N878" s="213"/>
      <c r="O878" s="286"/>
      <c r="P878" s="221" t="n">
        <f aca="false">SUM(N878:O878)</f>
        <v>0</v>
      </c>
      <c r="Q878" s="135" t="str">
        <f aca="false">IF(P813=P878,"〇","×")</f>
        <v>×</v>
      </c>
      <c r="R878" s="135" t="str">
        <f aca="false">IFERROR(INDEX(報告入力!$C$7:$C$696,MATCH($S$847&amp;"|"&amp;$A878,報告入力!$CM$7:$CM$696,0)),"")</f>
        <v>報告なし</v>
      </c>
    </row>
    <row r="879" s="135" customFormat="true" ht="20.1" hidden="false" customHeight="true" outlineLevel="0" collapsed="false">
      <c r="A879" s="125" t="s">
        <v>192</v>
      </c>
      <c r="B879" s="240" t="n">
        <f aca="false">SUMIFS(報告入力!$AY$7:$AY$696,報告入力!$A$7:$A$696,$S$847,報告入力!$B$7:$B$696,$A879)</f>
        <v>394542</v>
      </c>
      <c r="C879" s="393" t="n">
        <f aca="false">SUMIFS(報告入力!$AZ$7:$AZ$696,報告入力!$A$7:$A$696,$S$847,報告入力!$B$7:$B$696,$A879)</f>
        <v>32334</v>
      </c>
      <c r="D879" s="240" t="n">
        <f aca="false">SUMIFS(報告入力!$BA$7:$BA$696,報告入力!$A$7:$A$696,$S$847,報告入力!$B$7:$B$696,$A879)</f>
        <v>394548</v>
      </c>
      <c r="E879" s="238" t="n">
        <f aca="false">SUMIFS(報告入力!$BB$7:$BB$696,報告入力!$A$7:$A$696,$S$847,報告入力!$B$7:$B$696,$A879)</f>
        <v>32340</v>
      </c>
      <c r="F879" s="393" t="n">
        <f aca="false">SUMIFS(報告入力!$BC$7:$BC$696,報告入力!$A$7:$A$696,$S$847,報告入力!$B$7:$B$696,$A879)</f>
        <v>404</v>
      </c>
      <c r="G879" s="206" t="n">
        <f aca="false">SUM(B879:F879)</f>
        <v>854168</v>
      </c>
      <c r="H879" s="207" t="n">
        <f aca="false">SUMIFS(報告入力!$BD$7:$BD$696,報告入力!$A$7:$A$696,$S$847,報告入力!$B$7:$B$696,$A879)</f>
        <v>237194</v>
      </c>
      <c r="I879" s="208" t="n">
        <f aca="false">SUMIFS(報告入力!$BE$7:$BE$696,報告入力!$A$7:$A$696,$S$847,報告入力!$B$7:$B$696,$A879)</f>
        <v>237634</v>
      </c>
      <c r="J879" s="160" t="n">
        <f aca="false">SUM(H879:I879)</f>
        <v>474828</v>
      </c>
      <c r="K879" s="207" t="n">
        <f aca="false">SUMIFS(報告入力!$BF$7:$BF$696,報告入力!$A$7:$A$696,$S$847,報告入力!$B$7:$B$696,$A879)</f>
        <v>24334</v>
      </c>
      <c r="L879" s="208" t="n">
        <f aca="false">SUMIFS(報告入力!$BG$7:$BG$696,報告入力!$A$7:$A$696,$S$847,報告入力!$B$7:$B$696,$A879)</f>
        <v>24339</v>
      </c>
      <c r="M879" s="160" t="n">
        <f aca="false">SUM(K879:L879)</f>
        <v>48673</v>
      </c>
      <c r="N879" s="207" t="n">
        <f aca="false">SUMIFS(報告入力!$BH$7:$BH$696,報告入力!$A$7:$A$696,$S$847,報告入力!$B$7:$B$696,$A879)</f>
        <v>1</v>
      </c>
      <c r="O879" s="208" t="n">
        <f aca="false">SUMIFS(報告入力!$BI$7:$BI$696,報告入力!$A$7:$A$696,$S$847,報告入力!$B$7:$B$696,$A879)</f>
        <v>1</v>
      </c>
      <c r="P879" s="160" t="n">
        <f aca="false">SUM(N879:O879)</f>
        <v>2</v>
      </c>
      <c r="Q879" s="135" t="str">
        <f aca="false">IF(P814=P879,"〇","×")</f>
        <v>〇</v>
      </c>
      <c r="R879" s="135" t="str">
        <f aca="false">IFERROR(INDEX(報告入力!$C$7:$C$696,MATCH($S$847&amp;"|"&amp;$A879,報告入力!$CM$7:$CM$696,0)),"")</f>
        <v>未受領</v>
      </c>
    </row>
    <row r="880" s="135" customFormat="true" ht="20.1" hidden="false" customHeight="true" outlineLevel="0" collapsed="false">
      <c r="A880" s="125" t="s">
        <v>193</v>
      </c>
      <c r="B880" s="226"/>
      <c r="C880" s="216"/>
      <c r="D880" s="240" t="n">
        <f aca="false">SUMIFS(報告入力!$BA$7:$BA$696,報告入力!$A$7:$A$696,$S$847,報告入力!$B$7:$B$696,$A880)</f>
        <v>293989</v>
      </c>
      <c r="E880" s="394" t="n">
        <f aca="false">SUMIFS(報告入力!$BB$7:$BB$696,報告入力!$A$7:$A$696,$S$847,報告入力!$B$7:$B$696,$A880)</f>
        <v>24097</v>
      </c>
      <c r="F880" s="393" t="n">
        <f aca="false">SUMIFS(報告入力!$BC$7:$BC$696,報告入力!$A$7:$A$696,$S$847,報告入力!$B$7:$B$696,$A880)</f>
        <v>303</v>
      </c>
      <c r="G880" s="206" t="n">
        <f aca="false">SUM(B880:F880)</f>
        <v>318389</v>
      </c>
      <c r="H880" s="227"/>
      <c r="I880" s="395" t="n">
        <f aca="false">SUMIFS(報告入力!$BE$7:$BE$696,報告入力!$A$7:$A$696,$S$847,報告入力!$B$7:$B$696,$A880)</f>
        <v>177065</v>
      </c>
      <c r="J880" s="160" t="n">
        <f aca="false">SUM(H880:I880)</f>
        <v>177065</v>
      </c>
      <c r="K880" s="227"/>
      <c r="L880" s="395" t="n">
        <f aca="false">SUMIFS(報告入力!$BG$7:$BG$696,報告入力!$A$7:$A$696,$S$847,報告入力!$B$7:$B$696,$A880)</f>
        <v>17681</v>
      </c>
      <c r="M880" s="160" t="n">
        <f aca="false">SUM(K880:L880)</f>
        <v>17681</v>
      </c>
      <c r="N880" s="227"/>
      <c r="O880" s="395" t="n">
        <f aca="false">SUMIFS(報告入力!$BI$7:$BI$696,報告入力!$A$7:$A$696,$S$847,報告入力!$B$7:$B$696,$A880)</f>
        <v>1</v>
      </c>
      <c r="P880" s="160" t="n">
        <f aca="false">SUM(N880:O880)</f>
        <v>1</v>
      </c>
      <c r="Q880" s="135" t="str">
        <f aca="false">IF(P815=P880,"〇","×")</f>
        <v>〇</v>
      </c>
      <c r="R880" s="135" t="str">
        <f aca="false">IFERROR(INDEX(報告入力!$C$7:$C$696,MATCH($S$847&amp;"|"&amp;$A880,報告入力!$CM$7:$CM$696,0)),"")</f>
        <v>未受領</v>
      </c>
    </row>
    <row r="881" s="135" customFormat="true" ht="20.1" hidden="false" customHeight="true" outlineLevel="0" collapsed="false">
      <c r="A881" s="228" t="s">
        <v>194</v>
      </c>
      <c r="B881" s="211"/>
      <c r="C881" s="218"/>
      <c r="D881" s="240" t="n">
        <f aca="false">SUMIFS(報告入力!$BA$7:$BA$696,報告入力!$A$7:$A$696,$S$847,報告入力!$B$7:$B$696,$A881)</f>
        <v>535372</v>
      </c>
      <c r="E881" s="238" t="n">
        <f aca="false">SUMIFS(報告入力!$BB$7:$BB$696,報告入力!$A$7:$A$696,$S$847,報告入力!$B$7:$B$696,$A881)</f>
        <v>43880</v>
      </c>
      <c r="F881" s="393" t="n">
        <f aca="false">SUMIFS(報告入力!$BC$7:$BC$696,報告入力!$A$7:$A$696,$S$847,報告入力!$B$7:$B$696,$A881)</f>
        <v>546</v>
      </c>
      <c r="G881" s="206" t="n">
        <f aca="false">SUM(B881:F881)</f>
        <v>579798</v>
      </c>
      <c r="H881" s="213"/>
      <c r="I881" s="208" t="n">
        <f aca="false">SUMIFS(報告入力!$BE$7:$BE$696,報告入力!$A$7:$A$696,$S$847,報告入力!$B$7:$B$696,$A881)</f>
        <v>322445</v>
      </c>
      <c r="J881" s="160" t="n">
        <f aca="false">SUM(H881:I881)</f>
        <v>322445</v>
      </c>
      <c r="K881" s="213"/>
      <c r="L881" s="208" t="n">
        <f aca="false">SUMIFS(報告入力!$BG$7:$BG$696,報告入力!$A$7:$A$696,$S$847,報告入力!$B$7:$B$696,$A881)</f>
        <v>43832</v>
      </c>
      <c r="M881" s="160" t="n">
        <f aca="false">SUM(K881:L881)</f>
        <v>43832</v>
      </c>
      <c r="N881" s="213"/>
      <c r="O881" s="208" t="n">
        <f aca="false">SUMIFS(報告入力!$BI$7:$BI$696,報告入力!$A$7:$A$696,$S$847,報告入力!$B$7:$B$696,$A881)</f>
        <v>1</v>
      </c>
      <c r="P881" s="160" t="n">
        <f aca="false">SUM(N881:O881)</f>
        <v>1</v>
      </c>
      <c r="Q881" s="135" t="str">
        <f aca="false">IF(P816=P881,"〇","×")</f>
        <v>〇</v>
      </c>
      <c r="R881" s="135" t="str">
        <f aca="false">IFERROR(INDEX(報告入力!$C$7:$C$696,MATCH($S$847&amp;"|"&amp;$A881,報告入力!$CM$7:$CM$696,0)),"")</f>
        <v>未受領</v>
      </c>
    </row>
    <row r="882" s="135" customFormat="true" ht="20.1" hidden="false" customHeight="true" outlineLevel="0" collapsed="false">
      <c r="A882" s="229" t="s">
        <v>195</v>
      </c>
      <c r="B882" s="211"/>
      <c r="C882" s="218"/>
      <c r="D882" s="240" t="n">
        <f aca="false">SUMIFS(報告入力!$BA$7:$BA$696,報告入力!$A$7:$A$696,$S$847,報告入力!$B$7:$B$696,$A882)</f>
        <v>0</v>
      </c>
      <c r="E882" s="238" t="n">
        <f aca="false">SUMIFS(報告入力!$BB$7:$BB$696,報告入力!$A$7:$A$696,$S$847,報告入力!$B$7:$B$696,$A882)</f>
        <v>0</v>
      </c>
      <c r="F882" s="393" t="n">
        <f aca="false">SUMIFS(報告入力!$BC$7:$BC$696,報告入力!$A$7:$A$696,$S$847,報告入力!$B$7:$B$696,$A882)</f>
        <v>0</v>
      </c>
      <c r="G882" s="206" t="n">
        <f aca="false">SUM(B882:F882)</f>
        <v>0</v>
      </c>
      <c r="H882" s="213"/>
      <c r="I882" s="208" t="n">
        <f aca="false">SUMIFS(報告入力!$BE$7:$BE$696,報告入力!$A$7:$A$696,$S$847,報告入力!$B$7:$B$696,$A882)</f>
        <v>0</v>
      </c>
      <c r="J882" s="160" t="n">
        <f aca="false">SUM(H882:I882)</f>
        <v>0</v>
      </c>
      <c r="K882" s="213"/>
      <c r="L882" s="208" t="n">
        <f aca="false">SUMIFS(報告入力!$BG$7:$BG$696,報告入力!$A$7:$A$696,$S$847,報告入力!$B$7:$B$696,$A882)</f>
        <v>0</v>
      </c>
      <c r="M882" s="160" t="n">
        <f aca="false">SUM(K882:L882)</f>
        <v>0</v>
      </c>
      <c r="N882" s="213"/>
      <c r="O882" s="208" t="n">
        <f aca="false">SUMIFS(報告入力!$BI$7:$BI$696,報告入力!$A$7:$A$696,$S$847,報告入力!$B$7:$B$696,$A882)</f>
        <v>0</v>
      </c>
      <c r="P882" s="160" t="n">
        <f aca="false">SUM(N882:O882)</f>
        <v>0</v>
      </c>
      <c r="Q882" s="135" t="str">
        <f aca="false">IF(P817=P882,"〇","×")</f>
        <v>〇</v>
      </c>
      <c r="R882" s="135" t="str">
        <f aca="false">IFERROR(INDEX(報告入力!$C$7:$C$696,MATCH($S$847&amp;"|"&amp;$A882,報告入力!$CM$7:$CM$696,0)),"")</f>
        <v>未受領</v>
      </c>
    </row>
    <row r="883" s="135" customFormat="true" ht="20.1" hidden="false" customHeight="true" outlineLevel="0" collapsed="false">
      <c r="A883" s="125" t="s">
        <v>196</v>
      </c>
      <c r="B883" s="211"/>
      <c r="C883" s="218"/>
      <c r="D883" s="203" t="n">
        <f aca="false">SUMIFS(報告入力!$BA$7:$BA$696,報告入力!$A$7:$A$696,$S$847,報告入力!$B$7:$B$696,$A883)</f>
        <v>185565</v>
      </c>
      <c r="E883" s="207" t="n">
        <f aca="false">SUMIFS(報告入力!$BB$7:$BB$696,報告入力!$A$7:$A$696,$S$847,報告入力!$B$7:$B$696,$A883)</f>
        <v>15210</v>
      </c>
      <c r="F883" s="393" t="n">
        <f aca="false">SUMIFS(報告入力!$BC$7:$BC$696,報告入力!$A$7:$A$696,$S$847,報告入力!$B$7:$B$696,$A883)</f>
        <v>188</v>
      </c>
      <c r="G883" s="206" t="n">
        <f aca="false">SUM(B883:F883)</f>
        <v>200963</v>
      </c>
      <c r="H883" s="213"/>
      <c r="I883" s="395" t="n">
        <f aca="false">SUMIFS(報告入力!$BE$7:$BE$696,報告入力!$A$7:$A$696,$S$847,報告入力!$B$7:$B$696,$A883)</f>
        <v>111760</v>
      </c>
      <c r="J883" s="160" t="n">
        <f aca="false">SUM(H883:I883)</f>
        <v>111760</v>
      </c>
      <c r="K883" s="213"/>
      <c r="L883" s="395" t="n">
        <f aca="false">SUMIFS(報告入力!$BG$7:$BG$696,報告入力!$A$7:$A$696,$S$847,報告入力!$B$7:$B$696,$A883)</f>
        <v>16020</v>
      </c>
      <c r="M883" s="160" t="n">
        <f aca="false">SUM(K883:L883)</f>
        <v>16020</v>
      </c>
      <c r="N883" s="213"/>
      <c r="O883" s="395" t="n">
        <f aca="false">SUMIFS(報告入力!$BI$7:$BI$696,報告入力!$A$7:$A$696,$S$847,報告入力!$B$7:$B$696,$A883)</f>
        <v>1</v>
      </c>
      <c r="P883" s="160" t="n">
        <f aca="false">SUM(N883:O883)</f>
        <v>1</v>
      </c>
      <c r="Q883" s="135" t="str">
        <f aca="false">IF(P818=P883,"〇","×")</f>
        <v>〇</v>
      </c>
      <c r="R883" s="135" t="str">
        <f aca="false">IFERROR(INDEX(報告入力!$C$7:$C$696,MATCH($S$847&amp;"|"&amp;$A883,報告入力!$CM$7:$CM$696,0)),"")</f>
        <v>未受領</v>
      </c>
    </row>
    <row r="884" s="135" customFormat="true" ht="20.1" hidden="false" customHeight="true" outlineLevel="0" collapsed="false">
      <c r="A884" s="146" t="s">
        <v>197</v>
      </c>
      <c r="B884" s="240" t="n">
        <f aca="false">SUMIFS(報告入力!$AY$7:$AY$696,報告入力!$A$7:$A$696,$S$847,報告入力!$B$7:$B$696,$A884)</f>
        <v>62127</v>
      </c>
      <c r="C884" s="393" t="n">
        <f aca="false">SUMIFS(報告入力!$AZ$7:$AZ$696,報告入力!$A$7:$A$696,$S$847,報告入力!$B$7:$B$696,$A884)</f>
        <v>5091</v>
      </c>
      <c r="D884" s="240" t="n">
        <f aca="false">SUMIFS(報告入力!$BA$7:$BA$696,報告入力!$A$7:$A$696,$S$847,報告入力!$B$7:$B$696,$A884)</f>
        <v>62130</v>
      </c>
      <c r="E884" s="238" t="n">
        <f aca="false">SUMIFS(報告入力!$BB$7:$BB$696,報告入力!$A$7:$A$696,$S$847,報告入力!$B$7:$B$696,$A884)</f>
        <v>5092</v>
      </c>
      <c r="F884" s="393" t="n">
        <f aca="false">SUMIFS(報告入力!$BC$7:$BC$696,報告入力!$A$7:$A$696,$S$847,報告入力!$B$7:$B$696,$A884)</f>
        <v>63</v>
      </c>
      <c r="G884" s="206" t="n">
        <f aca="false">SUM(B884:F884)</f>
        <v>134503</v>
      </c>
      <c r="H884" s="207" t="n">
        <f aca="false">SUMIFS(報告入力!$BD$7:$BD$696,報告入力!$A$7:$A$696,$S$847,報告入力!$B$7:$B$696,$A884)</f>
        <v>37350</v>
      </c>
      <c r="I884" s="208" t="n">
        <f aca="false">SUMIFS(報告入力!$BE$7:$BE$696,報告入力!$A$7:$A$696,$S$847,報告入力!$B$7:$B$696,$A884)</f>
        <v>37419</v>
      </c>
      <c r="J884" s="160" t="n">
        <f aca="false">SUM(H884:I884)</f>
        <v>74769</v>
      </c>
      <c r="K884" s="207" t="n">
        <f aca="false">SUMIFS(報告入力!$BF$7:$BF$696,報告入力!$A$7:$A$696,$S$847,報告入力!$B$7:$B$696,$A884)</f>
        <v>4012</v>
      </c>
      <c r="L884" s="208" t="n">
        <f aca="false">SUMIFS(報告入力!$BG$7:$BG$696,報告入力!$A$7:$A$696,$S$847,報告入力!$B$7:$B$696,$A884)</f>
        <v>4013</v>
      </c>
      <c r="M884" s="160" t="n">
        <f aca="false">SUM(K884:L884)</f>
        <v>8025</v>
      </c>
      <c r="N884" s="207" t="n">
        <f aca="false">SUMIFS(報告入力!$BH$7:$BH$696,報告入力!$A$7:$A$696,$S$847,報告入力!$B$7:$B$696,$A884)</f>
        <v>1</v>
      </c>
      <c r="O884" s="208" t="n">
        <f aca="false">SUMIFS(報告入力!$BI$7:$BI$696,報告入力!$A$7:$A$696,$S$847,報告入力!$B$7:$B$696,$A884)</f>
        <v>1</v>
      </c>
      <c r="P884" s="160" t="n">
        <f aca="false">SUM(N884:O884)</f>
        <v>2</v>
      </c>
      <c r="Q884" s="135" t="str">
        <f aca="false">IF(P819=P884,"〇","×")</f>
        <v>〇</v>
      </c>
      <c r="R884" s="135" t="str">
        <f aca="false">IFERROR(INDEX(報告入力!$C$7:$C$696,MATCH($S$847&amp;"|"&amp;$A884,報告入力!$CM$7:$CM$696,0)),"")</f>
        <v>未受領</v>
      </c>
    </row>
    <row r="885" s="135" customFormat="true" ht="20.1" hidden="false" customHeight="true" outlineLevel="0" collapsed="false">
      <c r="A885" s="231" t="s">
        <v>219</v>
      </c>
      <c r="B885" s="226"/>
      <c r="C885" s="216"/>
      <c r="D885" s="240" t="n">
        <f aca="false">SUMIFS(報告入力!$BA$7:$BA$696,報告入力!$A$7:$A$696,$S$847,報告入力!$B$7:$B$696,$A885)</f>
        <v>0</v>
      </c>
      <c r="E885" s="238" t="n">
        <f aca="false">SUMIFS(報告入力!$BB$7:$BB$696,報告入力!$A$7:$A$696,$S$847,報告入力!$B$7:$B$696,$A885)</f>
        <v>0</v>
      </c>
      <c r="F885" s="393" t="n">
        <f aca="false">SUMIFS(報告入力!$BC$7:$BC$696,報告入力!$A$7:$A$696,$S$847,報告入力!$B$7:$B$696,$A885)</f>
        <v>0</v>
      </c>
      <c r="G885" s="206" t="n">
        <f aca="false">SUM(B885:F885)</f>
        <v>0</v>
      </c>
      <c r="H885" s="227"/>
      <c r="I885" s="208" t="n">
        <f aca="false">SUMIFS(報告入力!$BE$7:$BE$696,報告入力!$A$7:$A$696,$S$847,報告入力!$B$7:$B$696,$A885)</f>
        <v>0</v>
      </c>
      <c r="J885" s="160" t="n">
        <f aca="false">SUM(H885:I885)</f>
        <v>0</v>
      </c>
      <c r="K885" s="213"/>
      <c r="L885" s="208" t="n">
        <f aca="false">SUMIFS(報告入力!$BG$7:$BG$696,報告入力!$A$7:$A$696,$S$847,報告入力!$B$7:$B$696,$A885)</f>
        <v>0</v>
      </c>
      <c r="M885" s="160" t="n">
        <f aca="false">SUM(K885:L885)</f>
        <v>0</v>
      </c>
      <c r="N885" s="213"/>
      <c r="O885" s="208" t="n">
        <f aca="false">SUMIFS(報告入力!$BI$7:$BI$696,報告入力!$A$7:$A$696,$S$847,報告入力!$B$7:$B$696,$A885)</f>
        <v>0</v>
      </c>
      <c r="P885" s="160" t="n">
        <f aca="false">SUM(N885:O885)</f>
        <v>0</v>
      </c>
      <c r="Q885" s="135" t="str">
        <f aca="false">IF(P820=P885,"〇","×")</f>
        <v>×</v>
      </c>
      <c r="R885" s="135" t="str">
        <f aca="false">IFERROR(INDEX(報告入力!$C$7:$C$696,MATCH($S$847&amp;"|"&amp;$A885,報告入力!$CM$7:$CM$696,0)),"")</f>
        <v>未受領</v>
      </c>
    </row>
    <row r="886" s="135" customFormat="true" ht="20.1" hidden="false" customHeight="true" outlineLevel="0" collapsed="false">
      <c r="A886" s="214" t="s">
        <v>199</v>
      </c>
      <c r="B886" s="240" t="n">
        <f aca="false">SUMIFS(報告入力!$AY$7:$AY$696,報告入力!$A$7:$A$696,$S$847,報告入力!$B$7:$B$696,$A886)</f>
        <v>25803</v>
      </c>
      <c r="C886" s="393" t="n">
        <f aca="false">SUMIFS(報告入力!$AZ$7:$AZ$696,報告入力!$A$7:$A$696,$S$847,報告入力!$B$7:$B$696,$A886)</f>
        <v>2115</v>
      </c>
      <c r="D886" s="240" t="n">
        <f aca="false">SUMIFS(報告入力!$BA$7:$BA$696,報告入力!$A$7:$A$696,$S$847,報告入力!$B$7:$B$696,$A886)</f>
        <v>25803</v>
      </c>
      <c r="E886" s="238" t="n">
        <f aca="false">SUMIFS(報告入力!$BB$7:$BB$696,報告入力!$A$7:$A$696,$S$847,報告入力!$B$7:$B$696,$A886)</f>
        <v>2115</v>
      </c>
      <c r="F886" s="393" t="n">
        <f aca="false">SUMIFS(報告入力!$BC$7:$BC$696,報告入力!$A$7:$A$696,$S$847,報告入力!$B$7:$B$696,$A886)</f>
        <v>26</v>
      </c>
      <c r="G886" s="206" t="n">
        <f aca="false">SUM(B886:F886)</f>
        <v>55862</v>
      </c>
      <c r="H886" s="207" t="n">
        <f aca="false">SUMIFS(報告入力!$BD$7:$BD$696,報告入力!$A$7:$A$696,$S$847,報告入力!$B$7:$B$696,$A886)</f>
        <v>15512</v>
      </c>
      <c r="I886" s="208" t="n">
        <f aca="false">SUMIFS(報告入力!$BE$7:$BE$696,報告入力!$A$7:$A$696,$S$847,報告入力!$B$7:$B$696,$A886)</f>
        <v>15541</v>
      </c>
      <c r="J886" s="160" t="n">
        <f aca="false">SUM(H886:I886)</f>
        <v>31053</v>
      </c>
      <c r="K886" s="207" t="n">
        <f aca="false">SUMIFS(報告入力!$BF$7:$BF$696,報告入力!$A$7:$A$696,$S$847,報告入力!$B$7:$B$696,$A886)</f>
        <v>2227</v>
      </c>
      <c r="L886" s="208" t="n">
        <f aca="false">SUMIFS(報告入力!$BG$7:$BG$696,報告入力!$A$7:$A$696,$S$847,報告入力!$B$7:$B$696,$A886)</f>
        <v>2227</v>
      </c>
      <c r="M886" s="160" t="n">
        <f aca="false">SUM(K886:L886)</f>
        <v>4454</v>
      </c>
      <c r="N886" s="207" t="n">
        <f aca="false">SUMIFS(報告入力!$BH$7:$BH$696,報告入力!$A$7:$A$696,$S$847,報告入力!$B$7:$B$696,$A886)</f>
        <v>1</v>
      </c>
      <c r="O886" s="208" t="n">
        <f aca="false">SUMIFS(報告入力!$BI$7:$BI$696,報告入力!$A$7:$A$696,$S$847,報告入力!$B$7:$B$696,$A886)</f>
        <v>1</v>
      </c>
      <c r="P886" s="160" t="n">
        <f aca="false">SUM(N886:O886)</f>
        <v>2</v>
      </c>
      <c r="Q886" s="135" t="str">
        <f aca="false">IF(P821=P886,"〇","×")</f>
        <v>〇</v>
      </c>
      <c r="R886" s="135" t="str">
        <f aca="false">IFERROR(INDEX(報告入力!$C$7:$C$696,MATCH($S$847&amp;"|"&amp;$A886,報告入力!$CM$7:$CM$696,0)),"")</f>
        <v>未受領</v>
      </c>
    </row>
    <row r="887" s="135" customFormat="true" ht="20.1" hidden="false" customHeight="true" outlineLevel="0" collapsed="false">
      <c r="A887" s="214" t="s">
        <v>200</v>
      </c>
      <c r="B887" s="226"/>
      <c r="C887" s="218"/>
      <c r="D887" s="211"/>
      <c r="E887" s="213"/>
      <c r="F887" s="218"/>
      <c r="G887" s="235" t="n">
        <f aca="false">SUM(B887:F887)</f>
        <v>0</v>
      </c>
      <c r="H887" s="213"/>
      <c r="I887" s="286"/>
      <c r="J887" s="221" t="n">
        <f aca="false">SUM(H887:I887)</f>
        <v>0</v>
      </c>
      <c r="K887" s="213"/>
      <c r="L887" s="286"/>
      <c r="M887" s="221" t="n">
        <f aca="false">SUM(K887:L887)</f>
        <v>0</v>
      </c>
      <c r="N887" s="213"/>
      <c r="O887" s="286"/>
      <c r="P887" s="221" t="n">
        <f aca="false">SUM(N887:O887)</f>
        <v>0</v>
      </c>
      <c r="Q887" s="135" t="str">
        <f aca="false">IF(P822=P887,"〇","×")</f>
        <v>×</v>
      </c>
      <c r="R887" s="135" t="str">
        <f aca="false">IFERROR(INDEX(報告入力!$C$7:$C$696,MATCH($S$847&amp;"|"&amp;$A887,報告入力!$CM$7:$CM$696,0)),"")</f>
        <v>報告なし</v>
      </c>
    </row>
    <row r="888" s="135" customFormat="true" ht="20.1" hidden="false" customHeight="true" outlineLevel="0" collapsed="false">
      <c r="A888" s="214" t="s">
        <v>201</v>
      </c>
      <c r="B888" s="211"/>
      <c r="C888" s="218"/>
      <c r="D888" s="211"/>
      <c r="E888" s="213"/>
      <c r="F888" s="218"/>
      <c r="G888" s="235" t="n">
        <f aca="false">SUM(B888:F888)</f>
        <v>0</v>
      </c>
      <c r="H888" s="213"/>
      <c r="I888" s="286"/>
      <c r="J888" s="221" t="n">
        <f aca="false">SUM(H888:I888)</f>
        <v>0</v>
      </c>
      <c r="K888" s="213"/>
      <c r="L888" s="286"/>
      <c r="M888" s="221" t="n">
        <f aca="false">SUM(K888:L888)</f>
        <v>0</v>
      </c>
      <c r="N888" s="213"/>
      <c r="O888" s="286"/>
      <c r="P888" s="221" t="n">
        <f aca="false">SUM(N888:O888)</f>
        <v>0</v>
      </c>
      <c r="Q888" s="135" t="str">
        <f aca="false">IF(P823=P888,"〇","×")</f>
        <v>×</v>
      </c>
      <c r="R888" s="135" t="str">
        <f aca="false">IFERROR(INDEX(報告入力!$C$7:$C$696,MATCH($S$847&amp;"|"&amp;$A888,報告入力!$CM$7:$CM$696,0)),"")</f>
        <v>報告なし</v>
      </c>
    </row>
    <row r="889" s="135" customFormat="true" ht="20.1" hidden="false" customHeight="true" outlineLevel="0" collapsed="false">
      <c r="A889" s="146" t="s">
        <v>202</v>
      </c>
      <c r="B889" s="203" t="n">
        <f aca="false">SUMIFS(報告入力!$AY$7:$AY$696,報告入力!$A$7:$A$696,$S$847,報告入力!$B$7:$B$696,$A889)</f>
        <v>489886</v>
      </c>
      <c r="C889" s="237" t="n">
        <f aca="false">SUMIFS(報告入力!$AZ$7:$AZ$696,報告入力!$A$7:$A$696,$S$847,報告入力!$B$7:$B$696,$A889)</f>
        <v>40150</v>
      </c>
      <c r="D889" s="203" t="n">
        <f aca="false">SUMIFS(報告入力!$BA$7:$BA$696,報告入力!$A$7:$A$696,$S$847,報告入力!$B$7:$B$696,$A889)</f>
        <v>489896</v>
      </c>
      <c r="E889" s="207" t="n">
        <f aca="false">SUMIFS(報告入力!$BB$7:$BB$696,報告入力!$A$7:$A$696,$S$847,報告入力!$B$7:$B$696,$A889)</f>
        <v>40155</v>
      </c>
      <c r="F889" s="237" t="n">
        <f aca="false">SUMIFS(報告入力!$BC$7:$BC$696,報告入力!$A$7:$A$696,$S$847,報告入力!$B$7:$B$696,$A889)</f>
        <v>502</v>
      </c>
      <c r="G889" s="206" t="n">
        <f aca="false">SUM(B889:F889)</f>
        <v>1060589</v>
      </c>
      <c r="H889" s="207" t="n">
        <f aca="false">SUMIFS(報告入力!$BD$7:$BD$696,報告入力!$A$7:$A$696,$S$847,報告入力!$B$7:$B$696,$A889)</f>
        <v>294509</v>
      </c>
      <c r="I889" s="208" t="n">
        <f aca="false">SUMIFS(報告入力!$BE$7:$BE$696,報告入力!$A$7:$A$696,$S$847,報告入力!$B$7:$B$696,$A889)</f>
        <v>295058</v>
      </c>
      <c r="J889" s="160" t="n">
        <f aca="false">SUM(H889:I889)</f>
        <v>589567</v>
      </c>
      <c r="K889" s="207" t="n">
        <f aca="false">SUMIFS(報告入力!$BF$7:$BF$696,報告入力!$A$7:$A$696,$S$847,報告入力!$B$7:$B$696,$A889)</f>
        <v>29009</v>
      </c>
      <c r="L889" s="208" t="n">
        <f aca="false">SUMIFS(報告入力!$BG$7:$BG$696,報告入力!$A$7:$A$696,$S$847,報告入力!$B$7:$B$696,$A889)</f>
        <v>29016</v>
      </c>
      <c r="M889" s="160" t="n">
        <f aca="false">SUM(K889:L889)</f>
        <v>58025</v>
      </c>
      <c r="N889" s="207" t="n">
        <f aca="false">SUMIFS(報告入力!$BH$7:$BH$696,報告入力!$A$7:$A$696,$S$847,報告入力!$B$7:$B$696,$A889)</f>
        <v>1</v>
      </c>
      <c r="O889" s="208" t="n">
        <f aca="false">SUMIFS(報告入力!$BI$7:$BI$696,報告入力!$A$7:$A$696,$S$847,報告入力!$B$7:$B$696,$A889)</f>
        <v>1</v>
      </c>
      <c r="P889" s="160" t="n">
        <f aca="false">SUM(N889:O889)</f>
        <v>2</v>
      </c>
      <c r="Q889" s="135" t="str">
        <f aca="false">IF(P824=P889,"〇","×")</f>
        <v>〇</v>
      </c>
      <c r="R889" s="135" t="str">
        <f aca="false">IFERROR(INDEX(報告入力!$C$7:$C$696,MATCH($S$847&amp;"|"&amp;$A889,報告入力!$CM$7:$CM$696,0)),"")</f>
        <v>未受領</v>
      </c>
    </row>
    <row r="890" s="135" customFormat="true" ht="20.1" hidden="false" customHeight="true" outlineLevel="0" collapsed="false">
      <c r="A890" s="146" t="s">
        <v>203</v>
      </c>
      <c r="B890" s="226"/>
      <c r="C890" s="216"/>
      <c r="D890" s="240" t="n">
        <f aca="false">SUMIFS(報告入力!$BA$7:$BA$696,報告入力!$A$7:$A$696,$S$847,報告入力!$B$7:$B$696,$A890)</f>
        <v>100743</v>
      </c>
      <c r="E890" s="238" t="n">
        <f aca="false">SUMIFS(報告入力!$BB$7:$BB$696,報告入力!$A$7:$A$696,$S$847,報告入力!$B$7:$B$696,$A890)</f>
        <v>8257</v>
      </c>
      <c r="F890" s="393" t="n">
        <f aca="false">SUMIFS(報告入力!$BC$7:$BC$696,報告入力!$A$7:$A$696,$S$847,報告入力!$B$7:$B$696,$A890)</f>
        <v>103</v>
      </c>
      <c r="G890" s="206" t="n">
        <f aca="false">SUM(B890:F890)</f>
        <v>109103</v>
      </c>
      <c r="H890" s="460"/>
      <c r="I890" s="239" t="n">
        <f aca="false">SUMIFS(報告入力!$BE$7:$BE$696,報告入力!$A$7:$A$696,$S$847,報告入力!$B$7:$B$696,$A890)</f>
        <v>60676</v>
      </c>
      <c r="J890" s="160" t="n">
        <f aca="false">SUM(H890:I890)</f>
        <v>60676</v>
      </c>
      <c r="K890" s="226"/>
      <c r="L890" s="239" t="n">
        <f aca="false">SUMIFS(報告入力!$BG$7:$BG$696,報告入力!$A$7:$A$696,$S$847,報告入力!$B$7:$B$696,$A890)</f>
        <v>4732</v>
      </c>
      <c r="M890" s="160" t="n">
        <f aca="false">SUM(K890:L890)</f>
        <v>4732</v>
      </c>
      <c r="N890" s="226"/>
      <c r="O890" s="239" t="n">
        <f aca="false">SUMIFS(報告入力!$BI$7:$BI$696,報告入力!$A$7:$A$696,$S$847,報告入力!$B$7:$B$696,$A890)</f>
        <v>1</v>
      </c>
      <c r="P890" s="160" t="n">
        <f aca="false">SUM(N890:O890)</f>
        <v>1</v>
      </c>
      <c r="Q890" s="135" t="str">
        <f aca="false">IF(P825=P890,"〇","×")</f>
        <v>〇</v>
      </c>
      <c r="R890" s="135" t="str">
        <f aca="false">IFERROR(INDEX(報告入力!$C$7:$C$696,MATCH($S$847&amp;"|"&amp;$A890,報告入力!$CM$7:$CM$696,0)),"")</f>
        <v>未受領</v>
      </c>
    </row>
    <row r="891" s="135" customFormat="true" ht="19.5" hidden="false" customHeight="true" outlineLevel="0" collapsed="false">
      <c r="A891" s="232" t="s">
        <v>204</v>
      </c>
      <c r="B891" s="240" t="n">
        <f aca="false">SUMIFS(報告入力!$AY$7:$AY$696,報告入力!$A$7:$A$696,$S$847,報告入力!$B$7:$B$696,$A891)</f>
        <v>46167702</v>
      </c>
      <c r="C891" s="393" t="n">
        <f aca="false">SUMIFS(報告入力!$AZ$7:$AZ$696,報告入力!$A$7:$A$696,$S$847,報告入力!$B$7:$B$696,$A891)</f>
        <v>3788385</v>
      </c>
      <c r="D891" s="240" t="n">
        <f aca="false">SUMIFS(報告入力!$BA$7:$BA$696,報告入力!$A$7:$A$696,$S$847,報告入力!$B$7:$B$696,$A891)</f>
        <v>63388806</v>
      </c>
      <c r="E891" s="394" t="n">
        <f aca="false">SUMIFS(報告入力!$BB$7:$BB$696,報告入力!$A$7:$A$696,$S$847,報告入力!$B$7:$B$696,$A891)</f>
        <v>3788385</v>
      </c>
      <c r="F891" s="393" t="n">
        <f aca="false">SUMIFS(報告入力!$BC$7:$BC$696,報告入力!$A$7:$A$696,$S$847,報告入力!$B$7:$B$696,$A891)</f>
        <v>49128</v>
      </c>
      <c r="G891" s="206" t="n">
        <f aca="false">SUM(B891:F891)</f>
        <v>117182406</v>
      </c>
      <c r="H891" s="238" t="n">
        <f aca="false">SUMIFS(報告入力!$BD$7:$BD$696,報告入力!$A$7:$A$696,$S$847,報告入力!$B$7:$B$696,$A891)</f>
        <v>27900090</v>
      </c>
      <c r="I891" s="395" t="n">
        <f aca="false">SUMIFS(報告入力!$BE$7:$BE$696,報告入力!$A$7:$A$696,$S$847,報告入力!$B$7:$B$696,$A891)</f>
        <v>27950807</v>
      </c>
      <c r="J891" s="160" t="n">
        <f aca="false">SUM(H891:I891)</f>
        <v>55850897</v>
      </c>
      <c r="K891" s="240" t="n">
        <f aca="false">SUMIFS(報告入力!$BF$7:$BF$696,報告入力!$A$7:$A$696,$S$847,報告入力!$B$7:$B$696,$A891)</f>
        <v>2515257</v>
      </c>
      <c r="L891" s="395" t="n">
        <f aca="false">SUMIFS(報告入力!$BG$7:$BG$696,報告入力!$A$7:$A$696,$S$847,報告入力!$B$7:$B$696,$A891)</f>
        <v>2515257</v>
      </c>
      <c r="M891" s="160" t="n">
        <f aca="false">SUM(K891:L891)</f>
        <v>5030514</v>
      </c>
      <c r="N891" s="240" t="n">
        <f aca="false">SUMIFS(報告入力!$BH$7:$BH$696,報告入力!$A$7:$A$696,$S$847,報告入力!$B$7:$B$696,$A891)</f>
        <v>1</v>
      </c>
      <c r="O891" s="395" t="n">
        <f aca="false">SUMIFS(報告入力!$BI$7:$BI$696,報告入力!$A$7:$A$696,$S$847,報告入力!$B$7:$B$696,$A891)</f>
        <v>1</v>
      </c>
      <c r="P891" s="160" t="n">
        <f aca="false">SUM(N891:O891)</f>
        <v>2</v>
      </c>
      <c r="Q891" s="135" t="str">
        <f aca="false">IF(P826=P891,"〇","×")</f>
        <v>〇</v>
      </c>
      <c r="R891" s="135" t="str">
        <f aca="false">IFERROR(INDEX(報告入力!$C$7:$C$696,MATCH($S$847&amp;"|"&amp;$A891,報告入力!$CM$7:$CM$696,0)),"")</f>
        <v>未受領</v>
      </c>
    </row>
    <row r="892" s="162" customFormat="true" ht="21.75" hidden="false" customHeight="true" outlineLevel="0" collapsed="false">
      <c r="A892" s="399" t="s">
        <v>205</v>
      </c>
      <c r="B892" s="152"/>
      <c r="C892" s="156"/>
      <c r="D892" s="152"/>
      <c r="E892" s="234"/>
      <c r="F892" s="156"/>
      <c r="G892" s="235" t="n">
        <f aca="false">SUM(B892:F892)</f>
        <v>0</v>
      </c>
      <c r="H892" s="238" t="n">
        <f aca="false">SUMIFS(報告入力!$BD$7:$BD$696,報告入力!$A$7:$A$696,$S$847,報告入力!$B$7:$B$696,$A892)</f>
        <v>3465</v>
      </c>
      <c r="I892" s="395" t="n">
        <f aca="false">SUMIFS(報告入力!$BE$7:$BE$696,報告入力!$A$7:$A$696,$S$847,報告入力!$B$7:$B$696,$A892)</f>
        <v>3471</v>
      </c>
      <c r="J892" s="160" t="n">
        <f aca="false">SUM(H892:I892)</f>
        <v>6936</v>
      </c>
      <c r="K892" s="240" t="n">
        <f aca="false">SUMIFS(報告入力!$BF$7:$BF$696,報告入力!$A$7:$A$696,$S$847,報告入力!$B$7:$B$696,$A892)</f>
        <v>529</v>
      </c>
      <c r="L892" s="395" t="n">
        <f aca="false">SUMIFS(報告入力!$BG$7:$BG$696,報告入力!$A$7:$A$696,$S$847,報告入力!$B$7:$B$696,$A892)</f>
        <v>529</v>
      </c>
      <c r="M892" s="160" t="n">
        <f aca="false">SUM(K892:L892)</f>
        <v>1058</v>
      </c>
      <c r="N892" s="240" t="n">
        <f aca="false">SUMIFS(報告入力!$BH$7:$BH$696,報告入力!$A$7:$A$696,$S$847,報告入力!$B$7:$B$696,$A892)</f>
        <v>1</v>
      </c>
      <c r="O892" s="395" t="n">
        <f aca="false">SUMIFS(報告入力!$BI$7:$BI$696,報告入力!$A$7:$A$696,$S$847,報告入力!$B$7:$B$696,$A892)</f>
        <v>1</v>
      </c>
      <c r="P892" s="160" t="n">
        <f aca="false">SUM(N892:O892)</f>
        <v>2</v>
      </c>
      <c r="Q892" s="162" t="str">
        <f aca="false">IF(P827=P892,"〇","×")</f>
        <v>〇</v>
      </c>
      <c r="R892" s="162" t="str">
        <f aca="false">IFERROR(INDEX(報告入力!$C$7:$C$696,MATCH($S$847&amp;"|"&amp;$A892,報告入力!$CM$7:$CM$696,0)),"")</f>
        <v>未受領</v>
      </c>
    </row>
    <row r="893" s="162" customFormat="true" ht="21.75" hidden="false" customHeight="true" outlineLevel="0" collapsed="false">
      <c r="A893" s="236" t="s">
        <v>206</v>
      </c>
      <c r="B893" s="336" t="n">
        <f aca="false">SUMIFS(報告入力!$AY$7:$AY$696,報告入力!$A$7:$A$696,$S$847,報告入力!$B$7:$B$696,$A893)</f>
        <v>0</v>
      </c>
      <c r="C893" s="356" t="n">
        <f aca="false">SUMIFS(報告入力!$AZ$7:$AZ$696,報告入力!$A$7:$A$696,$S$847,報告入力!$B$7:$B$696,$A893)</f>
        <v>0</v>
      </c>
      <c r="D893" s="336" t="n">
        <f aca="false">SUMIFS(報告入力!$BA$7:$BA$696,報告入力!$A$7:$A$696,$S$847,報告入力!$B$7:$B$696,$A893)</f>
        <v>0</v>
      </c>
      <c r="E893" s="334" t="n">
        <f aca="false">SUMIFS(報告入力!$BB$7:$BB$696,報告入力!$A$7:$A$696,$S$847,報告入力!$B$7:$B$696,$A893)</f>
        <v>0</v>
      </c>
      <c r="F893" s="356" t="n">
        <f aca="false">SUMIFS(報告入力!$BC$7:$BC$696,報告入力!$A$7:$A$696,$S$847,報告入力!$B$7:$B$696,$A893)</f>
        <v>0</v>
      </c>
      <c r="G893" s="327" t="n">
        <f aca="false">SUM(B893:F893)</f>
        <v>0</v>
      </c>
      <c r="H893" s="461"/>
      <c r="I893" s="462"/>
      <c r="J893" s="330" t="n">
        <f aca="false">SUM(H893:I893)</f>
        <v>0</v>
      </c>
      <c r="K893" s="461"/>
      <c r="L893" s="462"/>
      <c r="M893" s="330" t="n">
        <f aca="false">SUM(K893:L893)</f>
        <v>0</v>
      </c>
      <c r="N893" s="461"/>
      <c r="O893" s="462"/>
      <c r="P893" s="330" t="n">
        <f aca="false">SUM(N893:O893)</f>
        <v>0</v>
      </c>
      <c r="Q893" s="162" t="str">
        <f aca="false">IF(P828=P893,"〇","×")</f>
        <v>〇</v>
      </c>
      <c r="R893" s="162" t="str">
        <f aca="false">IFERROR(INDEX(報告入力!$C$7:$C$696,MATCH($S$847&amp;"|"&amp;$A893,報告入力!$CM$7:$CM$696,0)),"")</f>
        <v>未受領</v>
      </c>
    </row>
    <row r="894" s="162" customFormat="true" ht="21.75" hidden="false" customHeight="true" outlineLevel="0" collapsed="false">
      <c r="A894" s="236" t="s">
        <v>207</v>
      </c>
      <c r="B894" s="240" t="n">
        <f aca="false">SUMIFS(報告入力!$AY$7:$AY$696,報告入力!$A$7:$A$696,$S$847,報告入力!$B$7:$B$696,$A894)</f>
        <v>0</v>
      </c>
      <c r="C894" s="393" t="n">
        <f aca="false">SUMIFS(報告入力!$AZ$7:$AZ$696,報告入力!$A$7:$A$696,$S$847,報告入力!$B$7:$B$696,$A894)</f>
        <v>0</v>
      </c>
      <c r="D894" s="240" t="n">
        <f aca="false">SUMIFS(報告入力!$BA$7:$BA$696,報告入力!$A$7:$A$696,$S$847,報告入力!$B$7:$B$696,$A894)</f>
        <v>0</v>
      </c>
      <c r="E894" s="238" t="n">
        <f aca="false">SUMIFS(報告入力!$BB$7:$BB$696,報告入力!$A$7:$A$696,$S$847,報告入力!$B$7:$B$696,$A894)</f>
        <v>0</v>
      </c>
      <c r="F894" s="393" t="n">
        <f aca="false">SUMIFS(報告入力!$BC$7:$BC$696,報告入力!$A$7:$A$696,$S$847,報告入力!$B$7:$B$696,$A894)</f>
        <v>0</v>
      </c>
      <c r="G894" s="402" t="n">
        <f aca="false">SUM(B894:F894)</f>
        <v>0</v>
      </c>
      <c r="H894" s="245"/>
      <c r="I894" s="183"/>
      <c r="J894" s="248" t="n">
        <f aca="false">SUM(H894:I894)</f>
        <v>0</v>
      </c>
      <c r="K894" s="245"/>
      <c r="L894" s="183"/>
      <c r="M894" s="248" t="n">
        <f aca="false">SUM(K894:L894)</f>
        <v>0</v>
      </c>
      <c r="N894" s="245"/>
      <c r="O894" s="183"/>
      <c r="P894" s="248" t="n">
        <f aca="false">SUM(N894:O894)</f>
        <v>0</v>
      </c>
      <c r="Q894" s="162" t="str">
        <f aca="false">IF(P829=P894,"〇","×")</f>
        <v>×</v>
      </c>
      <c r="R894" s="162" t="str">
        <f aca="false">IFERROR(INDEX(報告入力!$C$7:$C$696,MATCH($S$847&amp;"|"&amp;$A894,報告入力!$CM$7:$CM$696,0)),"")</f>
        <v>未受領</v>
      </c>
    </row>
    <row r="895" s="162" customFormat="true" ht="21.75" hidden="false" customHeight="true" outlineLevel="0" collapsed="false">
      <c r="A895" s="174"/>
      <c r="B895" s="182"/>
      <c r="C895" s="181"/>
      <c r="D895" s="245"/>
      <c r="E895" s="183"/>
      <c r="F895" s="181"/>
      <c r="G895" s="246" t="n">
        <f aca="false">SUM(B895:F895)</f>
        <v>0</v>
      </c>
      <c r="H895" s="247"/>
      <c r="I895" s="183"/>
      <c r="J895" s="248" t="n">
        <f aca="false">SUM(H895:I895)</f>
        <v>0</v>
      </c>
      <c r="K895" s="245"/>
      <c r="L895" s="183"/>
      <c r="M895" s="248" t="n">
        <f aca="false">SUM(K895:L895)</f>
        <v>0</v>
      </c>
      <c r="N895" s="245"/>
      <c r="O895" s="183"/>
      <c r="P895" s="248" t="n">
        <f aca="false">SUM(N895:O895)</f>
        <v>0</v>
      </c>
      <c r="Q895" s="162" t="str">
        <f aca="false">IF(P830=P895,"〇","×")</f>
        <v>〇</v>
      </c>
    </row>
    <row r="896" s="162" customFormat="true" ht="0.2" hidden="false" customHeight="true" outlineLevel="0" collapsed="false">
      <c r="A896" s="174"/>
      <c r="B896" s="182"/>
      <c r="C896" s="181"/>
      <c r="D896" s="245"/>
      <c r="E896" s="183"/>
      <c r="F896" s="181"/>
      <c r="G896" s="246" t="n">
        <f aca="false">SUM(B896:F896)</f>
        <v>0</v>
      </c>
      <c r="H896" s="247"/>
      <c r="I896" s="183"/>
      <c r="J896" s="248" t="n">
        <f aca="false">SUM(H896:I896)</f>
        <v>0</v>
      </c>
      <c r="K896" s="245"/>
      <c r="L896" s="183"/>
      <c r="M896" s="248" t="n">
        <f aca="false">SUM(K896:L896)</f>
        <v>0</v>
      </c>
      <c r="N896" s="245"/>
      <c r="O896" s="183"/>
      <c r="P896" s="248" t="n">
        <f aca="false">SUM(N896:O896)</f>
        <v>0</v>
      </c>
      <c r="Q896" s="162" t="str">
        <f aca="false">IF(P831=P896,"〇","×")</f>
        <v>〇</v>
      </c>
    </row>
    <row r="897" s="162" customFormat="true" ht="0.2" hidden="false" customHeight="true" outlineLevel="0" collapsed="false">
      <c r="A897" s="187"/>
      <c r="B897" s="249"/>
      <c r="C897" s="250"/>
      <c r="D897" s="251"/>
      <c r="E897" s="252"/>
      <c r="F897" s="250"/>
      <c r="G897" s="253"/>
      <c r="H897" s="254"/>
      <c r="I897" s="254"/>
      <c r="J897" s="255"/>
      <c r="K897" s="256"/>
      <c r="L897" s="254"/>
      <c r="M897" s="255"/>
      <c r="N897" s="256"/>
      <c r="O897" s="254"/>
      <c r="P897" s="255"/>
      <c r="Q897" s="162" t="str">
        <f aca="false">IF(P832=P897,"〇","×")</f>
        <v>〇</v>
      </c>
    </row>
    <row r="898" s="135" customFormat="true" ht="20.1" hidden="false" customHeight="true" outlineLevel="0" collapsed="false">
      <c r="A898" s="196" t="s">
        <v>497</v>
      </c>
      <c r="B898" s="197" t="n">
        <f aca="false">SUM(B868:B897)</f>
        <v>47143264</v>
      </c>
      <c r="C898" s="200" t="n">
        <f aca="false">SUM(C868:C897)</f>
        <v>3868339</v>
      </c>
      <c r="D898" s="198" t="n">
        <f aca="false">SUM(D868:D897)</f>
        <v>66915429</v>
      </c>
      <c r="E898" s="199" t="n">
        <f aca="false">SUM(E868:E897)</f>
        <v>4077441</v>
      </c>
      <c r="F898" s="200" t="n">
        <f aca="false">SUM(F868:F897)</f>
        <v>52767</v>
      </c>
      <c r="G898" s="201" t="n">
        <f aca="false">SUM(B898:F898)</f>
        <v>122057240</v>
      </c>
      <c r="H898" s="198" t="n">
        <f aca="false">SUM(H868:H896)</f>
        <v>28490046</v>
      </c>
      <c r="I898" s="198" t="n">
        <f aca="false">SUM(I868:I896)</f>
        <v>30078334</v>
      </c>
      <c r="J898" s="200" t="n">
        <f aca="false">SUM(H898:I898)</f>
        <v>58568380</v>
      </c>
      <c r="K898" s="197" t="n">
        <f aca="false">SUM(K868:K896)</f>
        <v>2575415</v>
      </c>
      <c r="L898" s="198" t="n">
        <f aca="false">SUM(L868:L896)</f>
        <v>2760342</v>
      </c>
      <c r="M898" s="200" t="n">
        <f aca="false">SUM(K898:L898)</f>
        <v>5335757</v>
      </c>
      <c r="N898" s="197" t="n">
        <f aca="false">SUM(N868:N896)</f>
        <v>7</v>
      </c>
      <c r="O898" s="198" t="n">
        <f aca="false">SUM(O868:O896)</f>
        <v>18</v>
      </c>
      <c r="P898" s="200" t="n">
        <f aca="false">SUM(N898:O898)</f>
        <v>25</v>
      </c>
      <c r="Q898" s="135" t="str">
        <f aca="false">IF(P833=P898,"〇","×")</f>
        <v>×</v>
      </c>
    </row>
    <row r="899" s="162" customFormat="true" ht="0.2" hidden="false" customHeight="true" outlineLevel="0" collapsed="false">
      <c r="A899" s="174" t="s">
        <v>496</v>
      </c>
      <c r="B899" s="256"/>
      <c r="C899" s="257"/>
      <c r="D899" s="254"/>
      <c r="E899" s="258"/>
      <c r="F899" s="259"/>
      <c r="G899" s="260"/>
      <c r="H899" s="261"/>
      <c r="I899" s="261"/>
      <c r="J899" s="262"/>
      <c r="K899" s="263"/>
      <c r="L899" s="264"/>
      <c r="M899" s="265"/>
      <c r="N899" s="263"/>
      <c r="O899" s="264"/>
      <c r="P899" s="265"/>
      <c r="Q899" s="162" t="str">
        <f aca="false">IF(P834=P899,"〇","×")</f>
        <v>〇</v>
      </c>
    </row>
    <row r="900" s="162" customFormat="true" ht="0.2" hidden="false" customHeight="true" outlineLevel="0" collapsed="false">
      <c r="A900" s="266" t="s">
        <v>496</v>
      </c>
      <c r="B900" s="267"/>
      <c r="C900" s="268"/>
      <c r="D900" s="254"/>
      <c r="E900" s="258"/>
      <c r="F900" s="257"/>
      <c r="G900" s="253"/>
      <c r="H900" s="269"/>
      <c r="I900" s="269"/>
      <c r="J900" s="270"/>
      <c r="K900" s="271"/>
      <c r="L900" s="272"/>
      <c r="M900" s="273"/>
      <c r="N900" s="271"/>
      <c r="O900" s="272"/>
      <c r="P900" s="273"/>
      <c r="Q900" s="162" t="str">
        <f aca="false">IF(P835=P900,"〇","×")</f>
        <v>〇</v>
      </c>
    </row>
    <row r="901" s="135" customFormat="true" ht="20.1" hidden="false" customHeight="true" outlineLevel="0" collapsed="false">
      <c r="A901" s="214" t="s">
        <v>208</v>
      </c>
      <c r="B901" s="240" t="n">
        <f aca="false">SUMIFS(報告入力!$AY$7:$AY$696,報告入力!$A$7:$A$696,$S$847,報告入力!$B$7:$B$696,$A901)</f>
        <v>63867</v>
      </c>
      <c r="C901" s="393" t="n">
        <f aca="false">SUMIFS(報告入力!$AZ$7:$AZ$696,報告入力!$A$7:$A$696,$S$847,報告入力!$B$7:$B$696,$A901)</f>
        <v>5235</v>
      </c>
      <c r="D901" s="240" t="n">
        <f aca="false">SUMIFS(報告入力!$BA$7:$BA$696,報告入力!$A$7:$A$696,$S$847,報告入力!$B$7:$B$696,$A901)</f>
        <v>63867</v>
      </c>
      <c r="E901" s="238" t="n">
        <f aca="false">SUMIFS(報告入力!$BB$7:$BB$696,報告入力!$A$7:$A$696,$S$847,報告入力!$B$7:$B$696,$A901)</f>
        <v>5235</v>
      </c>
      <c r="F901" s="393" t="n">
        <f aca="false">SUMIFS(報告入力!$BC$7:$BC$696,報告入力!$A$7:$A$696,$S$847,報告入力!$B$7:$B$696,$A901)</f>
        <v>65</v>
      </c>
      <c r="G901" s="206" t="n">
        <f aca="false">SUM(B901:F901)</f>
        <v>138269</v>
      </c>
      <c r="H901" s="239" t="n">
        <f aca="false">SUMIFS(報告入力!$BD$7:$BD$696,報告入力!$A$7:$A$696,$S$847,報告入力!$B$7:$B$696,$A901)</f>
        <v>0</v>
      </c>
      <c r="I901" s="155"/>
      <c r="J901" s="160" t="n">
        <f aca="false">SUM(H901:I901)</f>
        <v>0</v>
      </c>
      <c r="K901" s="239" t="n">
        <f aca="false">SUMIFS(報告入力!$BF$7:$BF$696,報告入力!$A$7:$A$696,$S$847,報告入力!$B$7:$B$696,$A901)</f>
        <v>0</v>
      </c>
      <c r="L901" s="155"/>
      <c r="M901" s="160" t="n">
        <f aca="false">SUM(K901:L901)</f>
        <v>0</v>
      </c>
      <c r="N901" s="239" t="n">
        <f aca="false">SUMIFS(報告入力!$BH$7:$BH$696,報告入力!$A$7:$A$696,$S$847,報告入力!$B$7:$B$696,$A901)</f>
        <v>0</v>
      </c>
      <c r="O901" s="155"/>
      <c r="P901" s="160" t="n">
        <f aca="false">SUM(N901:O901)</f>
        <v>0</v>
      </c>
      <c r="Q901" s="135" t="str">
        <f aca="false">IF(P836=P901,"〇","×")</f>
        <v>〇</v>
      </c>
      <c r="R901" s="135" t="str">
        <f aca="false">IFERROR(INDEX(報告入力!$C$7:$C$696,MATCH($S$847&amp;"|"&amp;$A901,報告入力!$CM$7:$CM$696,0)),"")</f>
        <v>未受領</v>
      </c>
    </row>
    <row r="902" s="135" customFormat="true" ht="21.75" hidden="false" customHeight="true" outlineLevel="0" collapsed="false">
      <c r="A902" s="214" t="s">
        <v>209</v>
      </c>
      <c r="B902" s="240" t="n">
        <f aca="false">SUMIFS(報告入力!$AY$7:$AY$696,報告入力!$A$7:$A$696,$S$847,報告入力!$B$7:$B$696,$A902)</f>
        <v>26352</v>
      </c>
      <c r="C902" s="393" t="n">
        <f aca="false">SUMIFS(報告入力!$AZ$7:$AZ$696,報告入力!$A$7:$A$696,$S$847,報告入力!$B$7:$B$696,$A902)</f>
        <v>2160</v>
      </c>
      <c r="D902" s="240" t="n">
        <f aca="false">SUMIFS(報告入力!$BA$7:$BA$696,報告入力!$A$7:$A$696,$S$847,報告入力!$B$7:$B$696,$A902)</f>
        <v>26352</v>
      </c>
      <c r="E902" s="238" t="n">
        <f aca="false">SUMIFS(報告入力!$BB$7:$BB$696,報告入力!$A$7:$A$696,$S$847,報告入力!$B$7:$B$696,$A902)</f>
        <v>2160</v>
      </c>
      <c r="F902" s="393" t="n">
        <f aca="false">SUMIFS(報告入力!$BC$7:$BC$696,報告入力!$A$7:$A$696,$S$847,報告入力!$B$7:$B$696,$A902)</f>
        <v>27</v>
      </c>
      <c r="G902" s="391" t="n">
        <f aca="false">SUM(B902:F902)</f>
        <v>57051</v>
      </c>
      <c r="H902" s="277"/>
      <c r="I902" s="277"/>
      <c r="J902" s="278" t="n">
        <f aca="false">SUM(H902:I902)</f>
        <v>0</v>
      </c>
      <c r="K902" s="277"/>
      <c r="L902" s="277"/>
      <c r="M902" s="278" t="n">
        <f aca="false">SUM(K902:L902)</f>
        <v>0</v>
      </c>
      <c r="N902" s="277"/>
      <c r="O902" s="277"/>
      <c r="P902" s="278" t="n">
        <f aca="false">SUM(N902:O902)</f>
        <v>0</v>
      </c>
      <c r="Q902" s="135" t="str">
        <f aca="false">IF(P837=P902,"〇","×")</f>
        <v>〇</v>
      </c>
      <c r="R902" s="135" t="str">
        <f aca="false">IFERROR(INDEX(報告入力!$C$7:$C$696,MATCH($S$847&amp;"|"&amp;$A902,報告入力!$CM$7:$CM$696,0)),"")</f>
        <v>未受領</v>
      </c>
    </row>
    <row r="903" s="135" customFormat="true" ht="19.5" hidden="false" customHeight="true" outlineLevel="0" collapsed="false">
      <c r="A903" s="196" t="s">
        <v>497</v>
      </c>
      <c r="B903" s="197" t="n">
        <f aca="false">SUM(B899:B902)</f>
        <v>90219</v>
      </c>
      <c r="C903" s="200" t="n">
        <f aca="false">SUM(C899:C902)</f>
        <v>7395</v>
      </c>
      <c r="D903" s="198" t="n">
        <f aca="false">SUM(D899:D902)</f>
        <v>90219</v>
      </c>
      <c r="E903" s="199" t="n">
        <f aca="false">SUM(E899:E902)</f>
        <v>7395</v>
      </c>
      <c r="F903" s="200" t="n">
        <f aca="false">SUM(F899:F902)</f>
        <v>92</v>
      </c>
      <c r="G903" s="201" t="n">
        <f aca="false">SUM(B903:F903)</f>
        <v>195320</v>
      </c>
      <c r="H903" s="281" t="n">
        <f aca="false">SUM(H899:H902)</f>
        <v>0</v>
      </c>
      <c r="I903" s="282" t="n">
        <f aca="false">SUM(I899:I902)</f>
        <v>0</v>
      </c>
      <c r="J903" s="283" t="n">
        <f aca="false">SUM(H903:I903)</f>
        <v>0</v>
      </c>
      <c r="K903" s="281" t="n">
        <f aca="false">SUM(K899:K902)</f>
        <v>0</v>
      </c>
      <c r="L903" s="282" t="n">
        <f aca="false">SUM(L899:L902)</f>
        <v>0</v>
      </c>
      <c r="M903" s="283" t="n">
        <f aca="false">SUM(K903:L903)</f>
        <v>0</v>
      </c>
      <c r="N903" s="281" t="n">
        <f aca="false">SUM(N899:N902)</f>
        <v>0</v>
      </c>
      <c r="O903" s="282" t="n">
        <f aca="false">SUM(O899:O902)</f>
        <v>0</v>
      </c>
      <c r="P903" s="283" t="n">
        <f aca="false">SUM(N903:O903)</f>
        <v>0</v>
      </c>
      <c r="Q903" s="135" t="str">
        <f aca="false">IF(P838=P903,"〇","×")</f>
        <v>〇</v>
      </c>
    </row>
    <row r="904" s="135" customFormat="true" ht="20.1" hidden="false" customHeight="true" outlineLevel="0" collapsed="false">
      <c r="A904" s="125" t="s">
        <v>210</v>
      </c>
      <c r="B904" s="240" t="n">
        <f aca="false">SUMIFS(報告入力!$AY$7:$AY$696,報告入力!$A$7:$A$696,$S$847,報告入力!$B$7:$B$696,$A904)</f>
        <v>8509</v>
      </c>
      <c r="C904" s="393" t="n">
        <f aca="false">SUMIFS(報告入力!$AZ$7:$AZ$696,報告入力!$A$7:$A$696,$S$847,報告入力!$B$7:$B$696,$A904)</f>
        <v>697</v>
      </c>
      <c r="D904" s="240" t="n">
        <f aca="false">SUMIFS(報告入力!$BA$7:$BA$696,報告入力!$A$7:$A$696,$S$847,報告入力!$B$7:$B$696,$A904)</f>
        <v>8510</v>
      </c>
      <c r="E904" s="238" t="n">
        <f aca="false">SUMIFS(報告入力!$BB$7:$BB$696,報告入力!$A$7:$A$696,$S$847,報告入力!$B$7:$B$696,$A904)</f>
        <v>697</v>
      </c>
      <c r="F904" s="337"/>
      <c r="G904" s="206" t="n">
        <f aca="false">SUM(B904:F904)</f>
        <v>18413</v>
      </c>
      <c r="H904" s="207" t="n">
        <f aca="false">SUMIFS(報告入力!$BD$7:$BD$696,報告入力!$A$7:$A$696,$S$847,報告入力!$B$7:$B$696,$A904)</f>
        <v>5115</v>
      </c>
      <c r="I904" s="208" t="n">
        <f aca="false">SUMIFS(報告入力!$BE$7:$BE$696,報告入力!$A$7:$A$696,$S$847,報告入力!$B$7:$B$696,$A904)</f>
        <v>5125</v>
      </c>
      <c r="J904" s="160" t="n">
        <f aca="false">SUM(H904:I904)</f>
        <v>10240</v>
      </c>
      <c r="K904" s="207" t="n">
        <f aca="false">SUMIFS(報告入力!$BF$7:$BF$696,報告入力!$A$7:$A$696,$S$847,報告入力!$B$7:$B$696,$A904)</f>
        <v>734</v>
      </c>
      <c r="L904" s="208" t="n">
        <f aca="false">SUMIFS(報告入力!$BG$7:$BG$696,報告入力!$A$7:$A$696,$S$847,報告入力!$B$7:$B$696,$A904)</f>
        <v>734</v>
      </c>
      <c r="M904" s="160" t="n">
        <f aca="false">SUM(K904:L904)</f>
        <v>1468</v>
      </c>
      <c r="N904" s="207" t="n">
        <f aca="false">SUMIFS(報告入力!$BH$7:$BH$696,報告入力!$A$7:$A$696,$S$847,報告入力!$B$7:$B$696,$A904)</f>
        <v>1</v>
      </c>
      <c r="O904" s="208" t="n">
        <f aca="false">SUMIFS(報告入力!$BI$7:$BI$696,報告入力!$A$7:$A$696,$S$847,報告入力!$B$7:$B$696,$A904)</f>
        <v>1</v>
      </c>
      <c r="P904" s="160" t="n">
        <f aca="false">SUM(N904:O904)</f>
        <v>2</v>
      </c>
      <c r="Q904" s="135" t="str">
        <f aca="false">IF(P839=P904,"〇","×")</f>
        <v>〇</v>
      </c>
      <c r="R904" s="135" t="str">
        <f aca="false">IFERROR(INDEX(報告入力!$C$7:$C$696,MATCH($S$847&amp;"|"&amp;$A904,報告入力!$CM$7:$CM$696,0)),"")</f>
        <v>未受領</v>
      </c>
    </row>
    <row r="905" s="135" customFormat="true" ht="20.1" hidden="false" customHeight="true" outlineLevel="0" collapsed="false">
      <c r="A905" s="125" t="s">
        <v>211</v>
      </c>
      <c r="B905" s="240"/>
      <c r="C905" s="393"/>
      <c r="D905" s="240"/>
      <c r="E905" s="238"/>
      <c r="F905" s="337"/>
      <c r="G905" s="206" t="n">
        <f aca="false">SUM(B905:F905)</f>
        <v>0</v>
      </c>
      <c r="H905" s="207"/>
      <c r="I905" s="208"/>
      <c r="J905" s="160" t="n">
        <f aca="false">SUM(H905:I905)</f>
        <v>0</v>
      </c>
      <c r="K905" s="287"/>
      <c r="L905" s="208"/>
      <c r="M905" s="160" t="n">
        <f aca="false">SUM(K905:L905)</f>
        <v>0</v>
      </c>
      <c r="N905" s="287"/>
      <c r="O905" s="208"/>
      <c r="P905" s="160" t="n">
        <f aca="false">SUM(N905:O905)</f>
        <v>0</v>
      </c>
      <c r="Q905" s="135" t="str">
        <f aca="false">IF(P840=P905,"〇","×")</f>
        <v>〇</v>
      </c>
      <c r="R905" s="135" t="str">
        <f aca="false">IFERROR(INDEX(報告入力!$C$7:$C$696,MATCH($S$847&amp;"|"&amp;$A905,報告入力!$CM$7:$CM$696,0)),"")</f>
        <v>報告なし</v>
      </c>
    </row>
    <row r="906" s="135" customFormat="true" ht="20.1" hidden="false" customHeight="true" outlineLevel="0" collapsed="false">
      <c r="A906" s="217" t="s">
        <v>212</v>
      </c>
      <c r="B906" s="203" t="n">
        <f aca="false">SUMIFS(報告入力!$AY$7:$AY$696,報告入力!$A$7:$A$696,$S$847,報告入力!$B$7:$B$696,$A906)</f>
        <v>9516</v>
      </c>
      <c r="C906" s="204" t="n">
        <f aca="false">SUMIFS(報告入力!$AZ$7:$AZ$696,報告入力!$A$7:$A$696,$S$847,報告入力!$B$7:$B$696,$A906)</f>
        <v>780</v>
      </c>
      <c r="D906" s="203" t="n">
        <f aca="false">SUMIFS(報告入力!$BA$7:$BA$696,報告入力!$A$7:$A$696,$S$847,報告入力!$B$7:$B$696,$A906)</f>
        <v>9516</v>
      </c>
      <c r="E906" s="440" t="n">
        <f aca="false">SUMIFS(報告入力!$BB$7:$BB$696,報告入力!$A$7:$A$696,$S$847,報告入力!$B$7:$B$696,$A906)</f>
        <v>780</v>
      </c>
      <c r="F906" s="337"/>
      <c r="G906" s="206" t="n">
        <f aca="false">SUM(B906:F906)</f>
        <v>20592</v>
      </c>
      <c r="H906" s="207" t="n">
        <f aca="false">SUMIFS(報告入力!$BD$7:$BD$696,報告入力!$A$7:$A$696,$S$847,報告入力!$B$7:$B$696,$A906)</f>
        <v>9791</v>
      </c>
      <c r="I906" s="208" t="n">
        <f aca="false">SUMIFS(報告入力!$BE$7:$BE$696,報告入力!$A$7:$A$696,$S$847,報告入力!$B$7:$B$696,$A906)</f>
        <v>9809</v>
      </c>
      <c r="J906" s="160" t="n">
        <f aca="false">SUM(H906:I906)</f>
        <v>19600</v>
      </c>
      <c r="K906" s="287" t="n">
        <f aca="false">SUMIFS(報告入力!$BF$7:$BF$696,報告入力!$A$7:$A$696,$S$847,報告入力!$B$7:$B$696,$A906)</f>
        <v>584</v>
      </c>
      <c r="L906" s="208" t="n">
        <f aca="false">SUMIFS(報告入力!$BG$7:$BG$696,報告入力!$A$7:$A$696,$S$847,報告入力!$B$7:$B$696,$A906)</f>
        <v>584</v>
      </c>
      <c r="M906" s="160" t="n">
        <f aca="false">SUM(K906:L906)</f>
        <v>1168</v>
      </c>
      <c r="N906" s="287" t="n">
        <f aca="false">SUMIFS(報告入力!$BH$7:$BH$696,報告入力!$A$7:$A$696,$S$847,報告入力!$B$7:$B$696,$A906)</f>
        <v>1</v>
      </c>
      <c r="O906" s="208" t="n">
        <f aca="false">SUMIFS(報告入力!$BI$7:$BI$696,報告入力!$A$7:$A$696,$S$847,報告入力!$B$7:$B$696,$A906)</f>
        <v>1</v>
      </c>
      <c r="P906" s="160" t="n">
        <f aca="false">SUM(N906:O906)</f>
        <v>2</v>
      </c>
      <c r="Q906" s="135" t="str">
        <f aca="false">IF(P841=P906,"〇","×")</f>
        <v>〇</v>
      </c>
      <c r="R906" s="135" t="str">
        <f aca="false">IFERROR(INDEX(報告入力!$C$7:$C$696,MATCH($S$847&amp;"|"&amp;$A906,報告入力!$CM$7:$CM$696,0)),"")</f>
        <v>未受領</v>
      </c>
    </row>
    <row r="907" s="135" customFormat="true" ht="20.1" hidden="false" customHeight="true" outlineLevel="0" collapsed="false">
      <c r="A907" s="217" t="s">
        <v>213</v>
      </c>
      <c r="B907" s="240"/>
      <c r="C907" s="393"/>
      <c r="D907" s="240"/>
      <c r="E907" s="238"/>
      <c r="F907" s="337"/>
      <c r="G907" s="206" t="n">
        <f aca="false">SUM(B907:F907)</f>
        <v>0</v>
      </c>
      <c r="H907" s="357"/>
      <c r="I907" s="358"/>
      <c r="J907" s="309" t="n">
        <f aca="false">SUM(H907:I907)</f>
        <v>0</v>
      </c>
      <c r="K907" s="359"/>
      <c r="L907" s="358"/>
      <c r="M907" s="309" t="n">
        <f aca="false">SUM(K907:L907)</f>
        <v>0</v>
      </c>
      <c r="N907" s="359"/>
      <c r="O907" s="358"/>
      <c r="P907" s="309" t="n">
        <f aca="false">SUM(N907:O907)</f>
        <v>0</v>
      </c>
      <c r="Q907" s="135" t="str">
        <f aca="false">IF(P842=P907,"〇","×")</f>
        <v>〇</v>
      </c>
      <c r="R907" s="135" t="str">
        <f aca="false">IFERROR(INDEX(報告入力!$C$7:$C$696,MATCH($S$847&amp;"|"&amp;$A907,報告入力!$CM$7:$CM$696,0)),"")</f>
        <v>報告なし</v>
      </c>
    </row>
    <row r="908" s="135" customFormat="true" ht="20.1" hidden="false" customHeight="true" outlineLevel="0" collapsed="false">
      <c r="A908" s="196" t="s">
        <v>497</v>
      </c>
      <c r="B908" s="197" t="n">
        <f aca="false">SUM(B904:B907)</f>
        <v>18025</v>
      </c>
      <c r="C908" s="201" t="n">
        <f aca="false">SUM(C904:C907)</f>
        <v>1477</v>
      </c>
      <c r="D908" s="197" t="n">
        <f aca="false">SUM(D904:D907)</f>
        <v>18026</v>
      </c>
      <c r="E908" s="199" t="n">
        <f aca="false">SUM(E904:E907)</f>
        <v>1477</v>
      </c>
      <c r="F908" s="200" t="n">
        <f aca="false">SUM(F904:F907)</f>
        <v>0</v>
      </c>
      <c r="G908" s="201" t="n">
        <f aca="false">SUM(B908:F908)</f>
        <v>39005</v>
      </c>
      <c r="H908" s="301" t="n">
        <f aca="false">SUM(H904:H907)</f>
        <v>14906</v>
      </c>
      <c r="I908" s="199" t="n">
        <f aca="false">SUM(I904:I907)</f>
        <v>14934</v>
      </c>
      <c r="J908" s="200" t="n">
        <f aca="false">SUM(H908:I908)</f>
        <v>29840</v>
      </c>
      <c r="K908" s="197" t="n">
        <f aca="false">SUM(K904:K907)</f>
        <v>1318</v>
      </c>
      <c r="L908" s="301" t="n">
        <f aca="false">SUM(L904:L907)</f>
        <v>1318</v>
      </c>
      <c r="M908" s="200" t="n">
        <f aca="false">SUM(K908:L908)</f>
        <v>2636</v>
      </c>
      <c r="N908" s="197" t="n">
        <f aca="false">SUM(N904:N907)</f>
        <v>2</v>
      </c>
      <c r="O908" s="301" t="n">
        <f aca="false">SUM(O904:O907)</f>
        <v>2</v>
      </c>
      <c r="P908" s="200" t="n">
        <f aca="false">SUM(N908:O908)</f>
        <v>4</v>
      </c>
      <c r="Q908" s="135" t="str">
        <f aca="false">IF(P843=P908,"〇","×")</f>
        <v>〇</v>
      </c>
    </row>
    <row r="909" s="135" customFormat="true" ht="20.1" hidden="false" customHeight="true" outlineLevel="0" collapsed="false">
      <c r="A909" s="302" t="s">
        <v>214</v>
      </c>
      <c r="B909" s="303"/>
      <c r="C909" s="304"/>
      <c r="D909" s="305"/>
      <c r="E909" s="306"/>
      <c r="F909" s="292"/>
      <c r="G909" s="293"/>
      <c r="H909" s="338"/>
      <c r="I909" s="339"/>
      <c r="J909" s="296" t="n">
        <f aca="false">SUM(H909:I909)</f>
        <v>0</v>
      </c>
      <c r="K909" s="338"/>
      <c r="L909" s="339"/>
      <c r="M909" s="296" t="n">
        <f aca="false">SUM(K909:L909)</f>
        <v>0</v>
      </c>
      <c r="N909" s="338"/>
      <c r="O909" s="339"/>
      <c r="P909" s="296" t="n">
        <f aca="false">SUM(N909:O909)</f>
        <v>0</v>
      </c>
      <c r="Q909" s="135" t="str">
        <f aca="false">IF(P844=P909,"〇","×")</f>
        <v>×</v>
      </c>
      <c r="R909" s="135" t="str">
        <f aca="false">IFERROR(INDEX(報告入力!$C$7:$C$696,MATCH($S$847&amp;"|"&amp;$A909,報告入力!$CM$7:$CM$696,0)),"")</f>
        <v>報告なし</v>
      </c>
    </row>
    <row r="910" s="135" customFormat="true" ht="30" hidden="false" customHeight="true" outlineLevel="0" collapsed="false">
      <c r="A910" s="310" t="s">
        <v>499</v>
      </c>
      <c r="B910" s="311" t="n">
        <f aca="false">SUM(+B867+B898+B903+B908+B909)</f>
        <v>196926277</v>
      </c>
      <c r="C910" s="312" t="n">
        <f aca="false">SUM(+C867+C898+C903+C908+C909)</f>
        <v>16148980</v>
      </c>
      <c r="D910" s="311" t="n">
        <f aca="false">SUM(+D867+D898+D903+D908+D909)</f>
        <v>279013125</v>
      </c>
      <c r="E910" s="313" t="n">
        <f aca="false">SUM(+E867+E898+E903+E908+E909)</f>
        <v>16688840</v>
      </c>
      <c r="F910" s="312" t="n">
        <f aca="false">SUM(+F867+F898+F903+F908+F909)</f>
        <v>214324</v>
      </c>
      <c r="G910" s="314" t="n">
        <f aca="false">SUM(B910:F910)</f>
        <v>508991546</v>
      </c>
      <c r="H910" s="315" t="n">
        <f aca="false">SUM(+H867+H898+H903+H908+H909)</f>
        <v>139822185</v>
      </c>
      <c r="I910" s="315" t="n">
        <f aca="false">SUM(+I867+I898+I903+I908+I909)</f>
        <v>145829686</v>
      </c>
      <c r="J910" s="316" t="n">
        <f aca="false">SUM(H910:I910)</f>
        <v>285651871</v>
      </c>
      <c r="K910" s="317" t="n">
        <f aca="false">SUM(+K867+K898+K903+K908+K909)</f>
        <v>12910671</v>
      </c>
      <c r="L910" s="315" t="n">
        <f aca="false">SUM(+L867+L898+L903+L908+L909)</f>
        <v>13720411</v>
      </c>
      <c r="M910" s="316" t="n">
        <f aca="false">SUM(K910:L910)</f>
        <v>26631082</v>
      </c>
      <c r="N910" s="317" t="n">
        <f aca="false">SUM(+N867+N898+N903+N908+N909)</f>
        <v>21</v>
      </c>
      <c r="O910" s="315" t="n">
        <f aca="false">SUM(+O867+O898+O903+O908+O909)</f>
        <v>32</v>
      </c>
      <c r="P910" s="316" t="n">
        <f aca="false">SUM(N910:O910)</f>
        <v>53</v>
      </c>
      <c r="Q910" s="135" t="str">
        <f aca="false">IF(P845=P910,"〇","×")</f>
        <v>×</v>
      </c>
    </row>
    <row r="911" s="341" customFormat="true" ht="39" hidden="false" customHeight="true" outlineLevel="0" collapsed="false">
      <c r="A911" s="340"/>
      <c r="G911" s="109"/>
      <c r="Q911" s="341" t="str">
        <f aca="false">IF(P846=P911,"〇","×")</f>
        <v>〇</v>
      </c>
    </row>
    <row r="912" s="322" customFormat="true" ht="30" hidden="false" customHeight="true" outlineLevel="0" collapsed="false">
      <c r="A912" s="320"/>
      <c r="B912" s="416" t="n">
        <f aca="false">EOMONTH(B782,1)</f>
        <v>46477</v>
      </c>
      <c r="C912" s="416"/>
      <c r="D912" s="416"/>
      <c r="E912" s="416"/>
      <c r="F912" s="416"/>
      <c r="G912" s="416"/>
      <c r="H912" s="112" t="n">
        <f aca="false">B912</f>
        <v>46477</v>
      </c>
      <c r="I912" s="112"/>
      <c r="J912" s="112"/>
      <c r="K912" s="112" t="n">
        <f aca="false">B912</f>
        <v>46477</v>
      </c>
      <c r="L912" s="112"/>
      <c r="M912" s="112"/>
      <c r="N912" s="112" t="n">
        <f aca="false">B912</f>
        <v>46477</v>
      </c>
      <c r="O912" s="112"/>
      <c r="P912" s="112"/>
      <c r="Q912" s="322" t="str">
        <f aca="false">IF(P847=P912,"〇","×")</f>
        <v>〇</v>
      </c>
      <c r="S912" s="322" t="s">
        <v>516</v>
      </c>
    </row>
    <row r="913" customFormat="false" ht="22.5" hidden="false" customHeight="true" outlineLevel="0" collapsed="false">
      <c r="A913" s="114" t="s">
        <v>483</v>
      </c>
      <c r="B913" s="114" t="s">
        <v>484</v>
      </c>
      <c r="C913" s="114"/>
      <c r="D913" s="114"/>
      <c r="E913" s="114"/>
      <c r="F913" s="114"/>
      <c r="G913" s="114"/>
      <c r="H913" s="116" t="s">
        <v>485</v>
      </c>
      <c r="I913" s="116"/>
      <c r="J913" s="116"/>
      <c r="K913" s="116" t="s">
        <v>486</v>
      </c>
      <c r="L913" s="116"/>
      <c r="M913" s="116"/>
      <c r="N913" s="116" t="str">
        <f aca="false">$N$3</f>
        <v>子ども・子育て支援納付金</v>
      </c>
      <c r="O913" s="116"/>
      <c r="P913" s="116"/>
      <c r="Q913" s="105" t="str">
        <f aca="false">IF(P848=P913,"〇","×")</f>
        <v>〇</v>
      </c>
    </row>
    <row r="914" customFormat="false" ht="22.5" hidden="false" customHeight="true" outlineLevel="0" collapsed="false">
      <c r="A914" s="114"/>
      <c r="B914" s="117" t="s">
        <v>487</v>
      </c>
      <c r="C914" s="117"/>
      <c r="D914" s="117" t="s">
        <v>488</v>
      </c>
      <c r="E914" s="117"/>
      <c r="F914" s="117"/>
      <c r="G914" s="117" t="s">
        <v>489</v>
      </c>
      <c r="H914" s="121" t="s">
        <v>490</v>
      </c>
      <c r="I914" s="119" t="s">
        <v>491</v>
      </c>
      <c r="J914" s="120" t="s">
        <v>489</v>
      </c>
      <c r="K914" s="121" t="s">
        <v>490</v>
      </c>
      <c r="L914" s="119" t="s">
        <v>491</v>
      </c>
      <c r="M914" s="120" t="s">
        <v>489</v>
      </c>
      <c r="N914" s="121" t="s">
        <v>490</v>
      </c>
      <c r="O914" s="119" t="s">
        <v>491</v>
      </c>
      <c r="P914" s="120" t="s">
        <v>489</v>
      </c>
      <c r="Q914" s="105" t="str">
        <f aca="false">IF(P849=P914,"〇","×")</f>
        <v>〇</v>
      </c>
    </row>
    <row r="915" customFormat="false" ht="23.25" hidden="false" customHeight="true" outlineLevel="0" collapsed="false">
      <c r="A915" s="114"/>
      <c r="B915" s="122" t="s">
        <v>492</v>
      </c>
      <c r="C915" s="123" t="s">
        <v>493</v>
      </c>
      <c r="D915" s="124" t="s">
        <v>492</v>
      </c>
      <c r="E915" s="124" t="s">
        <v>494</v>
      </c>
      <c r="F915" s="123" t="s">
        <v>93</v>
      </c>
      <c r="G915" s="117"/>
      <c r="H915" s="121"/>
      <c r="I915" s="119"/>
      <c r="J915" s="120"/>
      <c r="K915" s="121"/>
      <c r="L915" s="119"/>
      <c r="M915" s="120"/>
      <c r="N915" s="121"/>
      <c r="O915" s="119"/>
      <c r="P915" s="120"/>
      <c r="Q915" s="105" t="str">
        <f aca="false">IF(P850=P915,"〇","×")</f>
        <v>〇</v>
      </c>
    </row>
    <row r="916" s="135" customFormat="true" ht="20.1" hidden="false" customHeight="true" outlineLevel="0" collapsed="false">
      <c r="A916" s="125" t="s">
        <v>166</v>
      </c>
      <c r="B916" s="385" t="n">
        <f aca="false">SUMIFS(報告入力!$AY$7:$AY$696,報告入力!$A$7:$A$696,$S$912,報告入力!$B$7:$B$696,$A916)</f>
        <v>229019009</v>
      </c>
      <c r="C916" s="386" t="n">
        <f aca="false">SUMIFS(報告入力!$AZ$7:$AZ$696,報告入力!$A$7:$A$696,$S$912,報告入力!$B$7:$B$696,$A916)</f>
        <v>18776924</v>
      </c>
      <c r="D916" s="387" t="n">
        <f aca="false">SUMIFS(報告入力!$BA$7:$BA$696,報告入力!$A$7:$A$696,$S$912,報告入力!$B$7:$B$696,$A916)</f>
        <v>312323915</v>
      </c>
      <c r="E916" s="387" t="n">
        <f aca="false">SUMIFS(報告入力!$BB$7:$BB$696,報告入力!$A$7:$A$696,$S$912,報告入力!$B$7:$B$696,$A916)</f>
        <v>18303600</v>
      </c>
      <c r="F916" s="388" t="n">
        <f aca="false">SUMIFS(報告入力!$BC$7:$BC$696,報告入力!$A$7:$A$696,$S$912,報告入力!$B$7:$B$696,$A916)</f>
        <v>244502</v>
      </c>
      <c r="G916" s="389" t="n">
        <f aca="false">SUM(B916:F916)</f>
        <v>578667950</v>
      </c>
      <c r="H916" s="390" t="n">
        <f aca="false">SUMIFS(報告入力!$BD$7:$BD$696,報告入力!$A$7:$A$696,$S$912,報告入力!$B$7:$B$696,$A916)</f>
        <v>174436457</v>
      </c>
      <c r="I916" s="205" t="n">
        <f aca="false">SUMIFS(報告入力!$BE$7:$BE$696,報告入力!$A$7:$A$696,$S$912,報告入力!$B$7:$B$696,$A916)</f>
        <v>173567692</v>
      </c>
      <c r="J916" s="206" t="n">
        <f aca="false">SUM(H916:I916)</f>
        <v>348004149</v>
      </c>
      <c r="K916" s="287" t="n">
        <f aca="false">SUMIFS(報告入力!$BF$7:$BF$696,報告入力!$A$7:$A$696,$S$912,報告入力!$B$7:$B$696,$A916)</f>
        <v>16256938</v>
      </c>
      <c r="L916" s="205" t="n">
        <f aca="false">SUMIFS(報告入力!$BG$7:$BG$696,報告入力!$A$7:$A$696,$S$912,報告入力!$B$7:$B$696,$A916)</f>
        <v>15821519</v>
      </c>
      <c r="M916" s="206" t="n">
        <f aca="false">SUM(K916:L916)</f>
        <v>32078457</v>
      </c>
      <c r="N916" s="287" t="n">
        <f aca="false">SUMIFS(報告入力!$BH$7:$BH$696,報告入力!$A$7:$A$696,$S$912,報告入力!$B$7:$B$696,$A916)</f>
        <v>1</v>
      </c>
      <c r="O916" s="205" t="n">
        <f aca="false">SUMIFS(報告入力!$BI$7:$BI$696,報告入力!$A$7:$A$696,$S$912,報告入力!$B$7:$B$696,$A916)</f>
        <v>1</v>
      </c>
      <c r="P916" s="206" t="n">
        <f aca="false">SUM(N916:O916)</f>
        <v>2</v>
      </c>
      <c r="Q916" s="135" t="str">
        <f aca="false">IF(P851=P916,"〇","×")</f>
        <v>〇</v>
      </c>
      <c r="R916" s="135" t="str">
        <f aca="false">IFERROR(INDEX(報告入力!$C$7:$C$696,MATCH($S$912&amp;"|"&amp;$A916,報告入力!$CM$7:$CM$696,0)),"")</f>
        <v>未受領</v>
      </c>
    </row>
    <row r="917" s="135" customFormat="true" ht="20.1" hidden="false" customHeight="true" outlineLevel="0" collapsed="false">
      <c r="A917" s="125" t="s">
        <v>169</v>
      </c>
      <c r="B917" s="203" t="n">
        <f aca="false">SUMIFS(報告入力!$AY$7:$AY$696,報告入力!$A$7:$A$696,$S$912,報告入力!$B$7:$B$696,$A917)</f>
        <v>16431570</v>
      </c>
      <c r="C917" s="204" t="n">
        <f aca="false">SUMIFS(報告入力!$AZ$7:$AZ$696,報告入力!$A$7:$A$696,$S$912,報告入力!$B$7:$B$696,$A917)</f>
        <v>1346850</v>
      </c>
      <c r="D917" s="387" t="n">
        <f aca="false">SUMIFS(報告入力!$BA$7:$BA$696,報告入力!$A$7:$A$696,$S$912,報告入力!$B$7:$B$696,$A917)</f>
        <v>22525841</v>
      </c>
      <c r="E917" s="387" t="n">
        <f aca="false">SUMIFS(報告入力!$BB$7:$BB$696,報告入力!$A$7:$A$696,$S$912,報告入力!$B$7:$B$696,$A917)</f>
        <v>1349925</v>
      </c>
      <c r="F917" s="237" t="n">
        <f aca="false">SUMIFS(報告入力!$BC$7:$BC$696,報告入力!$A$7:$A$696,$S$912,報告入力!$B$7:$B$696,$A917)</f>
        <v>17275</v>
      </c>
      <c r="G917" s="206" t="n">
        <f aca="false">SUM(B917:F917)</f>
        <v>41671461</v>
      </c>
      <c r="H917" s="207" t="n">
        <f aca="false">SUMIFS(報告入力!$BD$7:$BD$696,報告入力!$A$7:$A$696,$S$912,報告入力!$B$7:$B$696,$A917)</f>
        <v>10306925</v>
      </c>
      <c r="I917" s="208" t="n">
        <f aca="false">SUMIFS(報告入力!$BE$7:$BE$696,報告入力!$A$7:$A$696,$S$912,報告入力!$B$7:$B$696,$A917)</f>
        <v>10465632</v>
      </c>
      <c r="J917" s="160" t="n">
        <f aca="false">SUM(H917:I917)</f>
        <v>20772557</v>
      </c>
      <c r="K917" s="240" t="n">
        <f aca="false">SUMIFS(報告入力!$BF$7:$BF$696,報告入力!$A$7:$A$696,$S$912,報告入力!$B$7:$B$696,$A917)</f>
        <v>1094702</v>
      </c>
      <c r="L917" s="238" t="n">
        <f aca="false">SUMIFS(報告入力!$BG$7:$BG$696,報告入力!$A$7:$A$696,$S$912,報告入力!$B$7:$B$696,$A917)</f>
        <v>1094703</v>
      </c>
      <c r="M917" s="160" t="n">
        <f aca="false">SUM(K917:L917)</f>
        <v>2189405</v>
      </c>
      <c r="N917" s="240" t="n">
        <f aca="false">SUMIFS(報告入力!$BH$7:$BH$696,報告入力!$A$7:$A$696,$S$912,報告入力!$B$7:$B$696,$A917)</f>
        <v>1</v>
      </c>
      <c r="O917" s="238" t="n">
        <f aca="false">SUMIFS(報告入力!$BI$7:$BI$696,報告入力!$A$7:$A$696,$S$912,報告入力!$B$7:$B$696,$A917)</f>
        <v>1</v>
      </c>
      <c r="P917" s="160" t="n">
        <f aca="false">SUM(N917:O917)</f>
        <v>2</v>
      </c>
      <c r="Q917" s="135" t="str">
        <f aca="false">IF(P852=P917,"〇","×")</f>
        <v>〇</v>
      </c>
      <c r="R917" s="135" t="str">
        <f aca="false">IFERROR(INDEX(報告入力!$C$7:$C$696,MATCH($S$912&amp;"|"&amp;$A917,報告入力!$CM$7:$CM$696,0)),"")</f>
        <v>未受領</v>
      </c>
    </row>
    <row r="918" s="135" customFormat="true" ht="20.1" hidden="false" customHeight="true" outlineLevel="0" collapsed="false">
      <c r="A918" s="125" t="s">
        <v>170</v>
      </c>
      <c r="B918" s="203" t="n">
        <f aca="false">SUMIFS(報告入力!$AY$7:$AY$696,報告入力!$A$7:$A$696,$S$912,報告入力!$B$7:$B$696,$A918)</f>
        <v>53656515</v>
      </c>
      <c r="C918" s="204" t="n">
        <f aca="false">SUMIFS(報告入力!$AZ$7:$AZ$696,報告入力!$A$7:$A$696,$S$912,報告入力!$B$7:$B$696,$A918)</f>
        <v>4398075</v>
      </c>
      <c r="D918" s="387" t="n">
        <f aca="false">SUMIFS(報告入力!$BA$7:$BA$696,報告入力!$A$7:$A$696,$S$912,報告入力!$B$7:$B$696,$A918)</f>
        <v>73333111</v>
      </c>
      <c r="E918" s="387" t="n">
        <f aca="false">SUMIFS(報告入力!$BB$7:$BB$696,報告入力!$A$7:$A$696,$S$912,報告入力!$B$7:$B$696,$A918)</f>
        <v>4391175</v>
      </c>
      <c r="F918" s="237" t="n">
        <f aca="false">SUMIFS(報告入力!$BC$7:$BC$696,報告入力!$A$7:$A$696,$S$912,報告入力!$B$7:$B$696,$A918)</f>
        <v>56160</v>
      </c>
      <c r="G918" s="206" t="n">
        <f aca="false">SUM(B918:F918)</f>
        <v>135835036</v>
      </c>
      <c r="H918" s="238" t="n">
        <f aca="false">SUMIFS(報告入力!$BD$7:$BD$696,報告入力!$A$7:$A$696,$S$912,報告入力!$B$7:$B$696,$A918)</f>
        <v>32948502</v>
      </c>
      <c r="I918" s="207" t="n">
        <f aca="false">SUMIFS(報告入力!$BE$7:$BE$696,報告入力!$A$7:$A$696,$S$912,報告入力!$B$7:$B$696,$A918)</f>
        <v>33405805</v>
      </c>
      <c r="J918" s="160" t="n">
        <f aca="false">SUM(H918:I918)</f>
        <v>66354307</v>
      </c>
      <c r="K918" s="240" t="n">
        <f aca="false">SUMIFS(報告入力!$BF$7:$BF$696,報告入力!$A$7:$A$696,$S$912,報告入力!$B$7:$B$696,$A918)</f>
        <v>2138433</v>
      </c>
      <c r="L918" s="207" t="n">
        <f aca="false">SUMIFS(報告入力!$BG$7:$BG$696,報告入力!$A$7:$A$696,$S$912,報告入力!$B$7:$B$696,$A918)</f>
        <v>2131382</v>
      </c>
      <c r="M918" s="160" t="n">
        <f aca="false">SUM(K918:L918)</f>
        <v>4269815</v>
      </c>
      <c r="N918" s="240" t="n">
        <f aca="false">SUMIFS(報告入力!$BH$7:$BH$696,報告入力!$A$7:$A$696,$S$912,報告入力!$B$7:$B$696,$A918)</f>
        <v>1</v>
      </c>
      <c r="O918" s="207" t="n">
        <f aca="false">SUMIFS(報告入力!$BI$7:$BI$696,報告入力!$A$7:$A$696,$S$912,報告入力!$B$7:$B$696,$A918)</f>
        <v>1</v>
      </c>
      <c r="P918" s="160" t="n">
        <f aca="false">SUM(N918:O918)</f>
        <v>2</v>
      </c>
      <c r="Q918" s="135" t="str">
        <f aca="false">IF(P853=P918,"〇","×")</f>
        <v>〇</v>
      </c>
      <c r="R918" s="135" t="str">
        <f aca="false">IFERROR(INDEX(報告入力!$C$7:$C$696,MATCH($S$912&amp;"|"&amp;$A918,報告入力!$CM$7:$CM$696,0)),"")</f>
        <v>未受領</v>
      </c>
    </row>
    <row r="919" s="135" customFormat="true" ht="20.1" hidden="false" customHeight="true" outlineLevel="0" collapsed="false">
      <c r="A919" s="125" t="s">
        <v>171</v>
      </c>
      <c r="B919" s="203" t="n">
        <f aca="false">SUMIFS(報告入力!$AY$7:$AY$696,報告入力!$A$7:$A$696,$S$912,報告入力!$B$7:$B$696,$A919)</f>
        <v>1737585</v>
      </c>
      <c r="C919" s="204" t="n">
        <f aca="false">SUMIFS(報告入力!$AZ$7:$AZ$696,報告入力!$A$7:$A$696,$S$912,報告入力!$B$7:$B$696,$A919)</f>
        <v>142425</v>
      </c>
      <c r="D919" s="387" t="n">
        <f aca="false">SUMIFS(報告入力!$BA$7:$BA$696,報告入力!$A$7:$A$696,$S$912,報告入力!$B$7:$B$696,$A919)</f>
        <v>2379867</v>
      </c>
      <c r="E919" s="387" t="n">
        <f aca="false">SUMIFS(報告入力!$BB$7:$BB$696,報告入力!$A$7:$A$696,$S$912,報告入力!$B$7:$B$696,$A919)</f>
        <v>142425</v>
      </c>
      <c r="F919" s="237" t="n">
        <f aca="false">SUMIFS(報告入力!$BC$7:$BC$696,報告入力!$A$7:$A$696,$S$912,報告入力!$B$7:$B$696,$A919)</f>
        <v>1832</v>
      </c>
      <c r="G919" s="206" t="n">
        <f aca="false">SUM(B919:F919)</f>
        <v>4404134</v>
      </c>
      <c r="H919" s="387" t="n">
        <f aca="false">SUMIFS(報告入力!$BD$7:$BD$696,報告入力!$A$7:$A$696,$S$912,報告入力!$B$7:$B$696,$A919)</f>
        <v>1054526</v>
      </c>
      <c r="I919" s="207" t="n">
        <f aca="false">SUMIFS(報告入力!$BE$7:$BE$696,報告入力!$A$7:$A$696,$S$912,報告入力!$B$7:$B$696,$A919)</f>
        <v>1078329</v>
      </c>
      <c r="J919" s="160" t="n">
        <f aca="false">SUM(H919:I919)</f>
        <v>2132855</v>
      </c>
      <c r="K919" s="203" t="n">
        <f aca="false">SUMIFS(報告入力!$BF$7:$BF$696,報告入力!$A$7:$A$696,$S$912,報告入力!$B$7:$B$696,$A919)</f>
        <v>107940</v>
      </c>
      <c r="L919" s="207" t="n">
        <f aca="false">SUMIFS(報告入力!$BG$7:$BG$696,報告入力!$A$7:$A$696,$S$912,報告入力!$B$7:$B$696,$A919)</f>
        <v>109065</v>
      </c>
      <c r="M919" s="160" t="n">
        <f aca="false">SUM(K919:L919)</f>
        <v>217005</v>
      </c>
      <c r="N919" s="203" t="n">
        <f aca="false">SUMIFS(報告入力!$BH$7:$BH$696,報告入力!$A$7:$A$696,$S$912,報告入力!$B$7:$B$696,$A919)</f>
        <v>1</v>
      </c>
      <c r="O919" s="207" t="n">
        <f aca="false">SUMIFS(報告入力!$BI$7:$BI$696,報告入力!$A$7:$A$696,$S$912,報告入力!$B$7:$B$696,$A919)</f>
        <v>1</v>
      </c>
      <c r="P919" s="160" t="n">
        <f aca="false">SUM(N919:O919)</f>
        <v>2</v>
      </c>
      <c r="Q919" s="135" t="str">
        <f aca="false">IF(P854=P919,"〇","×")</f>
        <v>〇</v>
      </c>
      <c r="R919" s="135" t="str">
        <f aca="false">IFERROR(INDEX(報告入力!$C$7:$C$696,MATCH($S$912&amp;"|"&amp;$A919,報告入力!$CM$7:$CM$696,0)),"")</f>
        <v>未受領</v>
      </c>
    </row>
    <row r="920" s="135" customFormat="true" ht="20.1" hidden="false" customHeight="true" outlineLevel="0" collapsed="false">
      <c r="A920" s="125" t="s">
        <v>172</v>
      </c>
      <c r="B920" s="203" t="n">
        <f aca="false">SUMIFS(報告入力!$AY$7:$AY$696,報告入力!$A$7:$A$696,$S$912,報告入力!$B$7:$B$696,$A920)</f>
        <v>24148223</v>
      </c>
      <c r="C920" s="204" t="n">
        <f aca="false">SUMIFS(報告入力!$AZ$7:$AZ$696,報告入力!$A$7:$A$696,$S$912,報告入力!$B$7:$B$696,$A920)</f>
        <v>1979363</v>
      </c>
      <c r="D920" s="387" t="n">
        <f aca="false">SUMIFS(報告入力!$BA$7:$BA$696,報告入力!$A$7:$A$696,$S$912,報告入力!$B$7:$B$696,$A920)</f>
        <v>33143343</v>
      </c>
      <c r="E920" s="387" t="n">
        <f aca="false">SUMIFS(報告入力!$BB$7:$BB$696,報告入力!$A$7:$A$696,$S$912,報告入力!$B$7:$B$696,$A920)</f>
        <v>1979362</v>
      </c>
      <c r="F920" s="237" t="n">
        <f aca="false">SUMIFS(報告入力!$BC$7:$BC$696,報告入力!$A$7:$A$696,$S$912,報告入力!$B$7:$B$696,$A920)</f>
        <v>25661</v>
      </c>
      <c r="G920" s="206" t="n">
        <f aca="false">SUM(B920:F920)</f>
        <v>61275952</v>
      </c>
      <c r="H920" s="387" t="n">
        <f aca="false">SUMIFS(報告入力!$BD$7:$BD$696,報告入力!$A$7:$A$696,$S$912,報告入力!$B$7:$B$696,$A920)</f>
        <v>23803207</v>
      </c>
      <c r="I920" s="207" t="n">
        <f aca="false">SUMIFS(報告入力!$BE$7:$BE$696,報告入力!$A$7:$A$696,$S$912,報告入力!$B$7:$B$696,$A920)</f>
        <v>24156609</v>
      </c>
      <c r="J920" s="449" t="n">
        <f aca="false">SUM(H920:I920)</f>
        <v>47959816</v>
      </c>
      <c r="K920" s="239" t="n">
        <f aca="false">SUMIFS(報告入力!$BF$7:$BF$696,報告入力!$A$7:$A$696,$S$912,報告入力!$B$7:$B$696,$A920)</f>
        <v>2770706</v>
      </c>
      <c r="L920" s="239" t="n">
        <f aca="false">SUMIFS(報告入力!$BG$7:$BG$696,報告入力!$A$7:$A$696,$S$912,報告入力!$B$7:$B$696,$A920)</f>
        <v>2768555</v>
      </c>
      <c r="M920" s="160" t="n">
        <f aca="false">SUM(K920:L920)</f>
        <v>5539261</v>
      </c>
      <c r="N920" s="239" t="n">
        <f aca="false">SUMIFS(報告入力!$BH$7:$BH$696,報告入力!$A$7:$A$696,$S$912,報告入力!$B$7:$B$696,$A920)</f>
        <v>1</v>
      </c>
      <c r="O920" s="239" t="n">
        <f aca="false">SUMIFS(報告入力!$BI$7:$BI$696,報告入力!$A$7:$A$696,$S$912,報告入力!$B$7:$B$696,$A920)</f>
        <v>1</v>
      </c>
      <c r="P920" s="160" t="n">
        <f aca="false">SUM(N920:O920)</f>
        <v>2</v>
      </c>
      <c r="Q920" s="135" t="str">
        <f aca="false">IF(P855=P920,"〇","×")</f>
        <v>〇</v>
      </c>
      <c r="R920" s="135" t="str">
        <f aca="false">IFERROR(INDEX(報告入力!$C$7:$C$696,MATCH($S$912&amp;"|"&amp;$A920,報告入力!$CM$7:$CM$696,0)),"")</f>
        <v>未受領</v>
      </c>
    </row>
    <row r="921" s="135" customFormat="true" ht="20.1" hidden="false" customHeight="true" outlineLevel="0" collapsed="false">
      <c r="A921" s="125" t="s">
        <v>173</v>
      </c>
      <c r="B921" s="240" t="n">
        <f aca="false">SUMIFS(報告入力!$AY$7:$AY$696,報告入力!$A$7:$A$696,$S$912,報告入力!$B$7:$B$696,$A921)</f>
        <v>285480</v>
      </c>
      <c r="C921" s="393" t="n">
        <f aca="false">SUMIFS(報告入力!$AZ$7:$AZ$696,報告入力!$A$7:$A$696,$S$912,報告入力!$B$7:$B$696,$A921)</f>
        <v>23400</v>
      </c>
      <c r="D921" s="240" t="n">
        <f aca="false">SUMIFS(報告入力!$BA$7:$BA$696,報告入力!$A$7:$A$696,$S$912,報告入力!$B$7:$B$696,$A921)</f>
        <v>389688</v>
      </c>
      <c r="E921" s="238" t="n">
        <f aca="false">SUMIFS(報告入力!$BB$7:$BB$696,報告入力!$A$7:$A$696,$S$912,報告入力!$B$7:$B$696,$A921)</f>
        <v>23400</v>
      </c>
      <c r="F921" s="393" t="n">
        <f aca="false">SUMIFS(報告入力!$BC$7:$BC$696,報告入力!$A$7:$A$696,$S$912,報告入力!$B$7:$B$696,$A921)</f>
        <v>297</v>
      </c>
      <c r="G921" s="206" t="n">
        <f aca="false">SUM(B921:F921)</f>
        <v>722265</v>
      </c>
      <c r="H921" s="207" t="n">
        <f aca="false">SUMIFS(報告入力!$BD$7:$BD$696,報告入力!$A$7:$A$696,$S$912,報告入力!$B$7:$B$696,$A921)</f>
        <v>179879</v>
      </c>
      <c r="I921" s="208" t="n">
        <f aca="false">SUMIFS(報告入力!$BE$7:$BE$696,報告入力!$A$7:$A$696,$S$912,報告入力!$B$7:$B$696,$A921)</f>
        <v>182629</v>
      </c>
      <c r="J921" s="160" t="n">
        <f aca="false">SUM(H921:I921)</f>
        <v>362508</v>
      </c>
      <c r="K921" s="207" t="n">
        <f aca="false">SUMIFS(報告入力!$BF$7:$BF$696,報告入力!$A$7:$A$696,$S$912,報告入力!$B$7:$B$696,$A921)</f>
        <v>20580</v>
      </c>
      <c r="L921" s="208" t="n">
        <f aca="false">SUMIFS(報告入力!$BG$7:$BG$696,報告入力!$A$7:$A$696,$S$912,報告入力!$B$7:$B$696,$A921)</f>
        <v>20580</v>
      </c>
      <c r="M921" s="160" t="n">
        <f aca="false">SUM(K921:L921)</f>
        <v>41160</v>
      </c>
      <c r="N921" s="207" t="n">
        <f aca="false">SUMIFS(報告入力!$BH$7:$BH$696,報告入力!$A$7:$A$696,$S$912,報告入力!$B$7:$B$696,$A921)</f>
        <v>1</v>
      </c>
      <c r="O921" s="208" t="n">
        <f aca="false">SUMIFS(報告入力!$BI$7:$BI$696,報告入力!$A$7:$A$696,$S$912,報告入力!$B$7:$B$696,$A921)</f>
        <v>1</v>
      </c>
      <c r="P921" s="160" t="n">
        <f aca="false">SUM(N921:O921)</f>
        <v>2</v>
      </c>
      <c r="Q921" s="135" t="str">
        <f aca="false">IF(P856=P921,"〇","×")</f>
        <v>〇</v>
      </c>
      <c r="R921" s="135" t="str">
        <f aca="false">IFERROR(INDEX(報告入力!$C$7:$C$696,MATCH($S$912&amp;"|"&amp;$A921,報告入力!$CM$7:$CM$696,0)),"")</f>
        <v>未受領</v>
      </c>
    </row>
    <row r="922" s="135" customFormat="true" ht="20.1" hidden="false" customHeight="true" outlineLevel="0" collapsed="false">
      <c r="A922" s="125" t="s">
        <v>174</v>
      </c>
      <c r="B922" s="203" t="n">
        <f aca="false">SUMIFS(報告入力!$AY$7:$AY$696,報告入力!$A$7:$A$696,$S$912,報告入力!$B$7:$B$696,$A922)</f>
        <v>581025</v>
      </c>
      <c r="C922" s="204" t="n">
        <f aca="false">SUMIFS(報告入力!$AZ$7:$AZ$696,報告入力!$A$7:$A$696,$S$912,報告入力!$B$7:$B$696,$A922)</f>
        <v>47625</v>
      </c>
      <c r="D922" s="387" t="n">
        <f aca="false">SUMIFS(報告入力!$BA$7:$BA$696,報告入力!$A$7:$A$696,$S$912,報告入力!$B$7:$B$696,$A922)</f>
        <v>844550</v>
      </c>
      <c r="E922" s="387" t="n">
        <f aca="false">SUMIFS(報告入力!$BB$7:$BB$696,報告入力!$A$7:$A$696,$S$912,報告入力!$B$7:$B$696,$A922)</f>
        <v>47625</v>
      </c>
      <c r="F922" s="237" t="n">
        <f aca="false">SUMIFS(報告入力!$BC$7:$BC$696,報告入力!$A$7:$A$696,$S$912,報告入力!$B$7:$B$696,$A922)</f>
        <v>596</v>
      </c>
      <c r="G922" s="391" t="n">
        <f aca="false">SUM(B922:F922)</f>
        <v>1521421</v>
      </c>
      <c r="H922" s="207" t="n">
        <f aca="false">SUMIFS(報告入力!$BD$7:$BD$696,報告入力!$A$7:$A$696,$S$912,報告入力!$B$7:$B$696,$A922)</f>
        <v>354809</v>
      </c>
      <c r="I922" s="208" t="n">
        <f aca="false">SUMIFS(報告入力!$BE$7:$BE$696,報告入力!$A$7:$A$696,$S$912,報告入力!$B$7:$B$696,$A922)</f>
        <v>361071</v>
      </c>
      <c r="J922" s="160" t="n">
        <f aca="false">SUM(H922:I922)</f>
        <v>715880</v>
      </c>
      <c r="K922" s="287" t="n">
        <f aca="false">SUMIFS(報告入力!$BF$7:$BF$696,報告入力!$A$7:$A$696,$S$912,報告入力!$B$7:$B$696,$A922)</f>
        <v>32943</v>
      </c>
      <c r="L922" s="208" t="n">
        <f aca="false">SUMIFS(報告入力!$BG$7:$BG$696,報告入力!$A$7:$A$696,$S$912,報告入力!$B$7:$B$696,$A922)</f>
        <v>32943</v>
      </c>
      <c r="M922" s="160" t="n">
        <f aca="false">SUM(K922:L922)</f>
        <v>65886</v>
      </c>
      <c r="N922" s="287" t="n">
        <f aca="false">SUMIFS(報告入力!$BH$7:$BH$696,報告入力!$A$7:$A$696,$S$912,報告入力!$B$7:$B$696,$A922)</f>
        <v>1</v>
      </c>
      <c r="O922" s="208" t="n">
        <f aca="false">SUMIFS(報告入力!$BI$7:$BI$696,報告入力!$A$7:$A$696,$S$912,報告入力!$B$7:$B$696,$A922)</f>
        <v>1</v>
      </c>
      <c r="P922" s="160" t="n">
        <f aca="false">SUM(N922:O922)</f>
        <v>2</v>
      </c>
      <c r="Q922" s="135" t="str">
        <f aca="false">IF(P857=P922,"〇","×")</f>
        <v>〇</v>
      </c>
      <c r="R922" s="135" t="str">
        <f aca="false">IFERROR(INDEX(報告入力!$C$7:$C$696,MATCH($S$912&amp;"|"&amp;$A922,報告入力!$CM$7:$CM$696,0)),"")</f>
        <v>未受領</v>
      </c>
    </row>
    <row r="923" s="135" customFormat="true" ht="20.1" hidden="false" customHeight="true" outlineLevel="0" collapsed="false">
      <c r="A923" s="125" t="s">
        <v>175</v>
      </c>
      <c r="B923" s="203" t="n">
        <f aca="false">SUMIFS(報告入力!$AY$7:$AY$696,報告入力!$A$7:$A$696,$S$912,報告入力!$B$7:$B$696,$A923)</f>
        <v>1271850</v>
      </c>
      <c r="C923" s="204" t="n">
        <f aca="false">SUMIFS(報告入力!$AZ$7:$AZ$696,報告入力!$A$7:$A$696,$S$912,報告入力!$B$7:$B$696,$A923)</f>
        <v>104250</v>
      </c>
      <c r="D923" s="387" t="n">
        <f aca="false">SUMIFS(報告入力!$BA$7:$BA$696,報告入力!$A$7:$A$696,$S$912,報告入力!$B$7:$B$696,$A923)</f>
        <v>1745462</v>
      </c>
      <c r="E923" s="387" t="n">
        <f aca="false">SUMIFS(報告入力!$BB$7:$BB$696,報告入力!$A$7:$A$696,$S$912,報告入力!$B$7:$B$696,$A923)</f>
        <v>104250</v>
      </c>
      <c r="F923" s="237" t="n">
        <f aca="false">SUMIFS(報告入力!$BC$7:$BC$696,報告入力!$A$7:$A$696,$S$912,報告入力!$B$7:$B$696,$A923)</f>
        <v>1350</v>
      </c>
      <c r="G923" s="206" t="n">
        <f aca="false">SUM(B923:F923)</f>
        <v>3227162</v>
      </c>
      <c r="H923" s="207" t="n">
        <f aca="false">SUMIFS(報告入力!$BD$7:$BD$696,報告入力!$A$7:$A$696,$S$912,報告入力!$B$7:$B$696,$A923)</f>
        <v>785639</v>
      </c>
      <c r="I923" s="208" t="n">
        <f aca="false">SUMIFS(報告入力!$BE$7:$BE$696,報告入力!$A$7:$A$696,$S$912,報告入力!$B$7:$B$696,$A923)</f>
        <v>797884</v>
      </c>
      <c r="J923" s="160" t="n">
        <f aca="false">SUM(H923:I923)</f>
        <v>1583523</v>
      </c>
      <c r="K923" s="287" t="n">
        <f aca="false">SUMIFS(報告入力!$BF$7:$BF$696,報告入力!$A$7:$A$696,$S$912,報告入力!$B$7:$B$696,$A923)</f>
        <v>110812</v>
      </c>
      <c r="L923" s="208" t="n">
        <f aca="false">SUMIFS(報告入力!$BG$7:$BG$696,報告入力!$A$7:$A$696,$S$912,報告入力!$B$7:$B$696,$A923)</f>
        <v>110812</v>
      </c>
      <c r="M923" s="160" t="n">
        <f aca="false">SUM(K923:L923)</f>
        <v>221624</v>
      </c>
      <c r="N923" s="287" t="n">
        <f aca="false">SUMIFS(報告入力!$BH$7:$BH$696,報告入力!$A$7:$A$696,$S$912,報告入力!$B$7:$B$696,$A923)</f>
        <v>1</v>
      </c>
      <c r="O923" s="208" t="n">
        <f aca="false">SUMIFS(報告入力!$BI$7:$BI$696,報告入力!$A$7:$A$696,$S$912,報告入力!$B$7:$B$696,$A923)</f>
        <v>1</v>
      </c>
      <c r="P923" s="160" t="n">
        <f aca="false">SUM(N923:O923)</f>
        <v>2</v>
      </c>
      <c r="Q923" s="135" t="str">
        <f aca="false">IF(P858=P923,"〇","×")</f>
        <v>〇</v>
      </c>
      <c r="R923" s="135" t="str">
        <f aca="false">IFERROR(INDEX(報告入力!$C$7:$C$696,MATCH($S$912&amp;"|"&amp;$A923,報告入力!$CM$7:$CM$696,0)),"")</f>
        <v>未受領</v>
      </c>
    </row>
    <row r="924" s="135" customFormat="true" ht="20.1" hidden="false" customHeight="true" outlineLevel="0" collapsed="false">
      <c r="A924" s="125" t="s">
        <v>176</v>
      </c>
      <c r="B924" s="240" t="n">
        <f aca="false">SUMIFS(報告入力!$AY$7:$AY$696,報告入力!$A$7:$A$696,$S$912,報告入力!$B$7:$B$696,$A924)</f>
        <v>409920</v>
      </c>
      <c r="C924" s="393" t="n">
        <f aca="false">SUMIFS(報告入力!$AZ$7:$AZ$696,報告入力!$A$7:$A$696,$S$912,報告入力!$B$7:$B$696,$A924)</f>
        <v>33600</v>
      </c>
      <c r="D924" s="240" t="n">
        <f aca="false">SUMIFS(報告入力!$BA$7:$BA$696,報告入力!$A$7:$A$696,$S$912,報告入力!$B$7:$B$696,$A924)</f>
        <v>595840</v>
      </c>
      <c r="E924" s="238" t="n">
        <f aca="false">SUMIFS(報告入力!$BB$7:$BB$696,報告入力!$A$7:$A$696,$S$912,報告入力!$B$7:$B$696,$A924)</f>
        <v>33600</v>
      </c>
      <c r="F924" s="393" t="n">
        <f aca="false">SUMIFS(報告入力!$BC$7:$BC$696,報告入力!$A$7:$A$696,$S$912,報告入力!$B$7:$B$696,$A924)</f>
        <v>420</v>
      </c>
      <c r="G924" s="206" t="n">
        <f aca="false">SUM(B924:F924)</f>
        <v>1073380</v>
      </c>
      <c r="H924" s="207" t="n">
        <f aca="false">SUMIFS(報告入力!$BD$7:$BD$696,報告入力!$A$7:$A$696,$S$912,報告入力!$B$7:$B$696,$A924)</f>
        <v>325433</v>
      </c>
      <c r="I924" s="208" t="n">
        <f aca="false">SUMIFS(報告入力!$BE$7:$BE$696,報告入力!$A$7:$A$696,$S$912,報告入力!$B$7:$B$696,$A924)</f>
        <v>331176</v>
      </c>
      <c r="J924" s="160" t="n">
        <f aca="false">SUM(H924:I924)</f>
        <v>656609</v>
      </c>
      <c r="K924" s="207" t="n">
        <f aca="false">SUMIFS(報告入力!$BF$7:$BF$696,報告入力!$A$7:$A$696,$S$912,報告入力!$B$7:$B$696,$A924)</f>
        <v>35042</v>
      </c>
      <c r="L924" s="208" t="n">
        <f aca="false">SUMIFS(報告入力!$BG$7:$BG$696,報告入力!$A$7:$A$696,$S$912,報告入力!$B$7:$B$696,$A924)</f>
        <v>35044</v>
      </c>
      <c r="M924" s="160" t="n">
        <f aca="false">SUM(K924:L924)</f>
        <v>70086</v>
      </c>
      <c r="N924" s="207" t="n">
        <f aca="false">SUMIFS(報告入力!$BH$7:$BH$696,報告入力!$A$7:$A$696,$S$912,報告入力!$B$7:$B$696,$A924)</f>
        <v>1</v>
      </c>
      <c r="O924" s="208" t="n">
        <f aca="false">SUMIFS(報告入力!$BI$7:$BI$696,報告入力!$A$7:$A$696,$S$912,報告入力!$B$7:$B$696,$A924)</f>
        <v>1</v>
      </c>
      <c r="P924" s="160" t="n">
        <f aca="false">SUM(N924:O924)</f>
        <v>2</v>
      </c>
      <c r="Q924" s="135" t="str">
        <f aca="false">IF(P859=P924,"〇","×")</f>
        <v>〇</v>
      </c>
      <c r="R924" s="135" t="str">
        <f aca="false">IFERROR(INDEX(報告入力!$C$7:$C$696,MATCH($S$912&amp;"|"&amp;$A924,報告入力!$CM$7:$CM$696,0)),"")</f>
        <v>未受領</v>
      </c>
    </row>
    <row r="925" s="135" customFormat="true" ht="20.1" hidden="false" customHeight="true" outlineLevel="0" collapsed="false">
      <c r="A925" s="125" t="s">
        <v>177</v>
      </c>
      <c r="B925" s="203" t="n">
        <f aca="false">SUMIFS(報告入力!$AY$7:$AY$696,報告入力!$A$7:$A$696,$S$912,報告入力!$B$7:$B$696,$A925)</f>
        <v>22444035</v>
      </c>
      <c r="C925" s="204" t="n">
        <f aca="false">SUMIFS(報告入力!$AZ$7:$AZ$696,報告入力!$A$7:$A$696,$S$912,報告入力!$B$7:$B$696,$A925)</f>
        <v>1839675</v>
      </c>
      <c r="D925" s="387" t="n">
        <f aca="false">SUMIFS(報告入力!$BA$7:$BA$696,報告入力!$A$7:$A$696,$S$912,報告入力!$B$7:$B$696,$A925)</f>
        <v>30701851</v>
      </c>
      <c r="E925" s="387" t="n">
        <f aca="false">SUMIFS(報告入力!$BB$7:$BB$696,報告入力!$A$7:$A$696,$S$912,報告入力!$B$7:$B$696,$A925)</f>
        <v>1839675</v>
      </c>
      <c r="F925" s="237" t="n">
        <f aca="false">SUMIFS(報告入力!$BC$7:$BC$696,報告入力!$A$7:$A$696,$S$912,報告入力!$B$7:$B$696,$A925)</f>
        <v>23557</v>
      </c>
      <c r="G925" s="206" t="n">
        <f aca="false">SUM(B925:F925)</f>
        <v>56848793</v>
      </c>
      <c r="H925" s="207" t="n">
        <f aca="false">SUMIFS(報告入力!$BD$7:$BD$696,報告入力!$A$7:$A$696,$S$912,報告入力!$B$7:$B$696,$A925)</f>
        <v>14184190</v>
      </c>
      <c r="I925" s="208" t="n">
        <f aca="false">SUMIFS(報告入力!$BE$7:$BE$696,報告入力!$A$7:$A$696,$S$912,報告入力!$B$7:$B$696,$A925)</f>
        <v>14402671</v>
      </c>
      <c r="J925" s="160" t="n">
        <f aca="false">SUM(H925:I925)</f>
        <v>28586861</v>
      </c>
      <c r="K925" s="287" t="n">
        <f aca="false">SUMIFS(報告入力!$BF$7:$BF$696,報告入力!$A$7:$A$696,$S$912,報告入力!$B$7:$B$696,$A925)</f>
        <v>1454376</v>
      </c>
      <c r="L925" s="208" t="n">
        <f aca="false">SUMIFS(報告入力!$BG$7:$BG$696,報告入力!$A$7:$A$696,$S$912,報告入力!$B$7:$B$696,$A925)</f>
        <v>1454376</v>
      </c>
      <c r="M925" s="160" t="n">
        <f aca="false">SUM(K925:L925)</f>
        <v>2908752</v>
      </c>
      <c r="N925" s="287" t="n">
        <f aca="false">SUMIFS(報告入力!$BH$7:$BH$696,報告入力!$A$7:$A$696,$S$912,報告入力!$B$7:$B$696,$A925)</f>
        <v>1</v>
      </c>
      <c r="O925" s="208" t="n">
        <f aca="false">SUMIFS(報告入力!$BI$7:$BI$696,報告入力!$A$7:$A$696,$S$912,報告入力!$B$7:$B$696,$A925)</f>
        <v>1</v>
      </c>
      <c r="P925" s="160" t="n">
        <f aca="false">SUM(N925:O925)</f>
        <v>2</v>
      </c>
      <c r="Q925" s="135" t="str">
        <f aca="false">IF(P860=P925,"〇","×")</f>
        <v>〇</v>
      </c>
      <c r="R925" s="135" t="str">
        <f aca="false">IFERROR(INDEX(報告入力!$C$7:$C$696,MATCH($S$912&amp;"|"&amp;$A925,報告入力!$CM$7:$CM$696,0)),"")</f>
        <v>未受領</v>
      </c>
    </row>
    <row r="926" s="135" customFormat="true" ht="19.5" hidden="false" customHeight="true" outlineLevel="0" collapsed="false">
      <c r="A926" s="146" t="s">
        <v>495</v>
      </c>
      <c r="B926" s="240" t="n">
        <f aca="false">SUMIFS(報告入力!$AY$7:$AY$696,報告入力!$A$7:$A$696,$S$912,報告入力!$B$7:$B$696,$A926)</f>
        <v>48495</v>
      </c>
      <c r="C926" s="393" t="n">
        <f aca="false">SUMIFS(報告入力!$AZ$7:$AZ$696,報告入力!$A$7:$A$696,$S$912,報告入力!$B$7:$B$696,$A926)</f>
        <v>3975</v>
      </c>
      <c r="D926" s="240" t="n">
        <f aca="false">SUMIFS(報告入力!$BA$7:$BA$696,報告入力!$A$7:$A$696,$S$912,報告入力!$B$7:$B$696,$A926)</f>
        <v>70490</v>
      </c>
      <c r="E926" s="238" t="n">
        <f aca="false">SUMIFS(報告入力!$BB$7:$BB$696,報告入力!$A$7:$A$696,$S$912,報告入力!$B$7:$B$696,$A926)</f>
        <v>3975</v>
      </c>
      <c r="F926" s="393" t="n">
        <f aca="false">SUMIFS(報告入力!$BC$7:$BC$696,報告入力!$A$7:$A$696,$S$912,報告入力!$B$7:$B$696,$A926)</f>
        <v>49</v>
      </c>
      <c r="G926" s="391" t="n">
        <f aca="false">SUM(B926:F926)</f>
        <v>126984</v>
      </c>
      <c r="H926" s="394" t="n">
        <f aca="false">SUMIFS(報告入力!$BD$7:$BD$696,報告入力!$A$7:$A$696,$S$912,報告入力!$B$7:$B$696,$A926)</f>
        <v>29155</v>
      </c>
      <c r="I926" s="395" t="n">
        <f aca="false">SUMIFS(報告入力!$BE$7:$BE$696,報告入力!$A$7:$A$696,$S$912,報告入力!$B$7:$B$696,$A926)</f>
        <v>29669</v>
      </c>
      <c r="J926" s="160" t="n">
        <f aca="false">SUM(H926:I926)</f>
        <v>58824</v>
      </c>
      <c r="K926" s="287" t="n">
        <f aca="false">SUMIFS(報告入力!$BF$7:$BF$696,報告入力!$A$7:$A$696,$S$912,報告入力!$B$7:$B$696,$A926)</f>
        <v>4187</v>
      </c>
      <c r="L926" s="208" t="n">
        <f aca="false">SUMIFS(報告入力!$BG$7:$BG$696,報告入力!$A$7:$A$696,$S$912,報告入力!$B$7:$B$696,$A926)</f>
        <v>4187</v>
      </c>
      <c r="M926" s="160" t="n">
        <f aca="false">SUM(K926:L926)</f>
        <v>8374</v>
      </c>
      <c r="N926" s="287" t="n">
        <f aca="false">SUMIFS(報告入力!$BH$7:$BH$696,報告入力!$A$7:$A$696,$S$912,報告入力!$B$7:$B$696,$A926)</f>
        <v>1</v>
      </c>
      <c r="O926" s="208" t="n">
        <f aca="false">SUMIFS(報告入力!$BI$7:$BI$696,報告入力!$A$7:$A$696,$S$912,報告入力!$B$7:$B$696,$A926)</f>
        <v>1</v>
      </c>
      <c r="P926" s="160" t="n">
        <f aca="false">SUM(N926:O926)</f>
        <v>2</v>
      </c>
      <c r="Q926" s="135" t="str">
        <f aca="false">IF(P861=P926,"〇","×")</f>
        <v>〇</v>
      </c>
      <c r="R926" s="135" t="str">
        <f aca="false">IFERROR(INDEX(報告入力!$C$7:$C$696,MATCH($S$912&amp;"|"&amp;$A926,報告入力!$CM$7:$CM$696,0)),"")</f>
        <v>未受領</v>
      </c>
    </row>
    <row r="927" s="162" customFormat="true" ht="19.5" hidden="false" customHeight="true" outlineLevel="0" collapsed="false">
      <c r="A927" s="151" t="s">
        <v>179</v>
      </c>
      <c r="B927" s="152" t="n">
        <f aca="false">SUMIFS(報告入力!$AY$7:$AY$696,報告入力!$A$7:$A$696,$S$912,報告入力!$B$7:$B$696,$A927)</f>
        <v>0</v>
      </c>
      <c r="C927" s="153" t="n">
        <f aca="false">SUMIFS(報告入力!$AZ$7:$AZ$696,報告入力!$A$7:$A$696,$S$912,報告入力!$B$7:$B$696,$A927)</f>
        <v>0</v>
      </c>
      <c r="D927" s="154"/>
      <c r="E927" s="155"/>
      <c r="F927" s="156" t="n">
        <f aca="false">SUMIFS(報告入力!$BC$7:$BC$696,報告入力!$A$7:$A$696,$S$912,報告入力!$B$7:$B$696,$A927)</f>
        <v>0</v>
      </c>
      <c r="G927" s="157" t="n">
        <f aca="false">SUM(B927:F927)</f>
        <v>0</v>
      </c>
      <c r="H927" s="207" t="n">
        <f aca="false">SUMIFS(報告入力!$BD$7:$BD$696,報告入力!$A$7:$A$696,$S$912,報告入力!$B$7:$B$696,$A927)</f>
        <v>132568</v>
      </c>
      <c r="I927" s="208" t="n">
        <f aca="false">SUMIFS(報告入力!$BE$7:$BE$696,報告入力!$A$7:$A$696,$S$912,報告入力!$B$7:$B$696,$A927)</f>
        <v>134598</v>
      </c>
      <c r="J927" s="160" t="n">
        <f aca="false">SUM(H927:I927)</f>
        <v>267166</v>
      </c>
      <c r="K927" s="287" t="n">
        <f aca="false">SUMIFS(報告入力!$BF$7:$BF$696,報告入力!$A$7:$A$696,$S$912,報告入力!$B$7:$B$696,$A927)</f>
        <v>9156</v>
      </c>
      <c r="L927" s="208" t="n">
        <f aca="false">SUMIFS(報告入力!$BG$7:$BG$696,報告入力!$A$7:$A$696,$S$912,報告入力!$B$7:$B$696,$A927)</f>
        <v>9156</v>
      </c>
      <c r="M927" s="160" t="n">
        <f aca="false">SUM(K927:L927)</f>
        <v>18312</v>
      </c>
      <c r="N927" s="287" t="n">
        <f aca="false">SUMIFS(報告入力!$BH$7:$BH$696,報告入力!$A$7:$A$696,$S$912,報告入力!$B$7:$B$696,$A927)</f>
        <v>1</v>
      </c>
      <c r="O927" s="208" t="n">
        <f aca="false">SUMIFS(報告入力!$BI$7:$BI$696,報告入力!$A$7:$A$696,$S$912,報告入力!$B$7:$B$696,$A927)</f>
        <v>1</v>
      </c>
      <c r="P927" s="160" t="n">
        <f aca="false">SUM(N927:O927)</f>
        <v>2</v>
      </c>
      <c r="Q927" s="162" t="str">
        <f aca="false">IF(P862=P927,"〇","×")</f>
        <v>〇</v>
      </c>
      <c r="R927" s="162" t="str">
        <f aca="false">IFERROR(INDEX(報告入力!$C$7:$C$696,MATCH($S$912&amp;"|"&amp;$A927,報告入力!$CM$7:$CM$696,0)),"")</f>
        <v>未受領</v>
      </c>
    </row>
    <row r="928" s="162" customFormat="true" ht="19.5" hidden="false" customHeight="true" outlineLevel="0" collapsed="false">
      <c r="A928" s="163" t="s">
        <v>496</v>
      </c>
      <c r="B928" s="164"/>
      <c r="C928" s="165"/>
      <c r="D928" s="164"/>
      <c r="E928" s="166"/>
      <c r="F928" s="167"/>
      <c r="G928" s="168"/>
      <c r="H928" s="169"/>
      <c r="I928" s="170"/>
      <c r="J928" s="171"/>
      <c r="K928" s="172"/>
      <c r="L928" s="173"/>
      <c r="M928" s="173"/>
      <c r="N928" s="172"/>
      <c r="O928" s="173"/>
      <c r="P928" s="173"/>
      <c r="Q928" s="162" t="str">
        <f aca="false">IF(P863=P928,"〇","×")</f>
        <v>〇</v>
      </c>
    </row>
    <row r="929" s="162" customFormat="true" ht="19.5" hidden="false" customHeight="true" outlineLevel="0" collapsed="false">
      <c r="A929" s="174" t="s">
        <v>496</v>
      </c>
      <c r="B929" s="175"/>
      <c r="C929" s="176"/>
      <c r="D929" s="175"/>
      <c r="E929" s="177"/>
      <c r="F929" s="178"/>
      <c r="G929" s="179"/>
      <c r="H929" s="180"/>
      <c r="I929" s="177"/>
      <c r="J929" s="181"/>
      <c r="K929" s="182"/>
      <c r="L929" s="183"/>
      <c r="M929" s="183"/>
      <c r="N929" s="182"/>
      <c r="O929" s="183"/>
      <c r="P929" s="183"/>
      <c r="Q929" s="162" t="str">
        <f aca="false">IF(P864=P929,"〇","×")</f>
        <v>〇</v>
      </c>
    </row>
    <row r="930" s="162" customFormat="true" ht="19.5" hidden="false" customHeight="true" outlineLevel="0" collapsed="false">
      <c r="A930" s="174" t="s">
        <v>496</v>
      </c>
      <c r="B930" s="164"/>
      <c r="C930" s="165"/>
      <c r="D930" s="164"/>
      <c r="E930" s="166"/>
      <c r="F930" s="167"/>
      <c r="G930" s="168"/>
      <c r="H930" s="184"/>
      <c r="I930" s="166"/>
      <c r="J930" s="171"/>
      <c r="K930" s="185"/>
      <c r="L930" s="186"/>
      <c r="M930" s="186"/>
      <c r="N930" s="185"/>
      <c r="O930" s="186"/>
      <c r="P930" s="186"/>
      <c r="Q930" s="162" t="str">
        <f aca="false">IF(P865=P930,"〇","×")</f>
        <v>〇</v>
      </c>
    </row>
    <row r="931" s="162" customFormat="true" ht="19.5" hidden="false" customHeight="true" outlineLevel="0" collapsed="false">
      <c r="A931" s="187" t="s">
        <v>496</v>
      </c>
      <c r="B931" s="188"/>
      <c r="C931" s="189"/>
      <c r="D931" s="188"/>
      <c r="E931" s="190"/>
      <c r="F931" s="191"/>
      <c r="G931" s="192"/>
      <c r="H931" s="180"/>
      <c r="I931" s="193"/>
      <c r="J931" s="194"/>
      <c r="K931" s="182"/>
      <c r="L931" s="183"/>
      <c r="M931" s="195"/>
      <c r="N931" s="182"/>
      <c r="O931" s="183"/>
      <c r="P931" s="195"/>
      <c r="Q931" s="162" t="str">
        <f aca="false">IF(P866=P931,"〇","×")</f>
        <v>〇</v>
      </c>
    </row>
    <row r="932" s="162" customFormat="true" ht="19.5" hidden="false" customHeight="true" outlineLevel="0" collapsed="false">
      <c r="A932" s="196" t="s">
        <v>497</v>
      </c>
      <c r="B932" s="197" t="n">
        <f aca="false">SUM(B916:B931)</f>
        <v>350033707</v>
      </c>
      <c r="C932" s="198" t="n">
        <f aca="false">SUM(C916:C931)</f>
        <v>28696162</v>
      </c>
      <c r="D932" s="197" t="n">
        <f aca="false">SUM(D916:D931)</f>
        <v>478053958</v>
      </c>
      <c r="E932" s="199" t="n">
        <f aca="false">SUM(E916:E931)</f>
        <v>28219012</v>
      </c>
      <c r="F932" s="200" t="n">
        <f aca="false">SUM(F916:F931)</f>
        <v>371699</v>
      </c>
      <c r="G932" s="201" t="n">
        <f aca="false">SUM(B932:F932)</f>
        <v>885374538</v>
      </c>
      <c r="H932" s="198" t="n">
        <f aca="false">SUM(H916:H931)</f>
        <v>258541290</v>
      </c>
      <c r="I932" s="198" t="n">
        <f aca="false">SUM(I916:I931)</f>
        <v>258913765</v>
      </c>
      <c r="J932" s="200" t="n">
        <f aca="false">SUM(H932:I932)</f>
        <v>517455055</v>
      </c>
      <c r="K932" s="197" t="n">
        <f aca="false">SUM(K916:K931)</f>
        <v>24035815</v>
      </c>
      <c r="L932" s="198" t="n">
        <f aca="false">SUM(L916:L931)</f>
        <v>23592322</v>
      </c>
      <c r="M932" s="200" t="n">
        <f aca="false">SUM(K932:L932)</f>
        <v>47628137</v>
      </c>
      <c r="N932" s="197" t="n">
        <f aca="false">SUM(N916:N931)</f>
        <v>12</v>
      </c>
      <c r="O932" s="198" t="n">
        <f aca="false">SUM(O916:O931)</f>
        <v>12</v>
      </c>
      <c r="P932" s="200" t="n">
        <f aca="false">SUM(N932:O932)</f>
        <v>24</v>
      </c>
      <c r="Q932" s="162" t="str">
        <f aca="false">IF(P867=P932,"〇","×")</f>
        <v>〇</v>
      </c>
    </row>
    <row r="933" s="135" customFormat="true" ht="20.1" hidden="false" customHeight="true" outlineLevel="0" collapsed="false">
      <c r="A933" s="202" t="s">
        <v>180</v>
      </c>
      <c r="B933" s="336"/>
      <c r="C933" s="356"/>
      <c r="D933" s="336"/>
      <c r="E933" s="334"/>
      <c r="F933" s="356"/>
      <c r="G933" s="327" t="n">
        <f aca="false">SUM(B933:F933)</f>
        <v>0</v>
      </c>
      <c r="H933" s="328"/>
      <c r="I933" s="329"/>
      <c r="J933" s="330" t="n">
        <f aca="false">SUM(H933:I933)</f>
        <v>0</v>
      </c>
      <c r="K933" s="328"/>
      <c r="L933" s="329"/>
      <c r="M933" s="330" t="n">
        <f aca="false">SUM(K933:L933)</f>
        <v>0</v>
      </c>
      <c r="N933" s="328"/>
      <c r="O933" s="329"/>
      <c r="P933" s="330" t="n">
        <v>2</v>
      </c>
      <c r="Q933" s="135" t="str">
        <f aca="false">IF(P868=P933,"〇","×")</f>
        <v>×</v>
      </c>
      <c r="R933" s="135" t="str">
        <f aca="false">IFERROR(INDEX(報告入力!$C$7:$C$696,MATCH($S$912&amp;"|"&amp;$A933,報告入力!$CM$7:$CM$696,0)),"")</f>
        <v>報告なし</v>
      </c>
    </row>
    <row r="934" s="135" customFormat="true" ht="20.1" hidden="false" customHeight="true" outlineLevel="0" collapsed="false">
      <c r="A934" s="125" t="s">
        <v>182</v>
      </c>
      <c r="B934" s="203" t="n">
        <f aca="false">SUMIFS(報告入力!$AY$7:$AY$696,報告入力!$A$7:$A$696,$S$912,報告入力!$B$7:$B$696,$A934)</f>
        <v>45750</v>
      </c>
      <c r="C934" s="204" t="n">
        <f aca="false">SUMIFS(報告入力!$AZ$7:$AZ$696,報告入力!$A$7:$A$696,$S$912,報告入力!$B$7:$B$696,$A934)</f>
        <v>3750</v>
      </c>
      <c r="D934" s="409" t="n">
        <f aca="false">SUMIFS(報告入力!$BA$7:$BA$696,報告入力!$A$7:$A$696,$S$912,報告入力!$B$7:$B$696,$A934)</f>
        <v>494100</v>
      </c>
      <c r="E934" s="238" t="n">
        <f aca="false">SUMIFS(報告入力!$BB$7:$BB$696,報告入力!$A$7:$A$696,$S$912,報告入力!$B$7:$B$696,$A934)</f>
        <v>40500</v>
      </c>
      <c r="F934" s="237" t="n">
        <f aca="false">SUMIFS(報告入力!$BC$7:$BC$696,報告入力!$A$7:$A$696,$S$912,報告入力!$B$7:$B$696,$A934)</f>
        <v>545</v>
      </c>
      <c r="G934" s="206" t="n">
        <f aca="false">SUM(B934:F934)</f>
        <v>584645</v>
      </c>
      <c r="H934" s="207" t="n">
        <f aca="false">SUMIFS(報告入力!$BD$7:$BD$696,報告入力!$A$7:$A$696,$S$912,報告入力!$B$7:$B$696,$A934)</f>
        <v>27505</v>
      </c>
      <c r="I934" s="208" t="n">
        <f aca="false">SUMIFS(報告入力!$BE$7:$BE$696,報告入力!$A$7:$A$696,$S$912,報告入力!$B$7:$B$696,$A934)</f>
        <v>297625</v>
      </c>
      <c r="J934" s="160" t="n">
        <f aca="false">SUM(H934:I934)</f>
        <v>325130</v>
      </c>
      <c r="K934" s="207" t="n">
        <f aca="false">SUMIFS(報告入力!$BF$7:$BF$696,報告入力!$A$7:$A$696,$S$912,報告入力!$B$7:$B$696,$A934)</f>
        <v>4200</v>
      </c>
      <c r="L934" s="208" t="n">
        <f aca="false">SUMIFS(報告入力!$BG$7:$BG$696,報告入力!$A$7:$A$696,$S$912,報告入力!$B$7:$B$696,$A934)</f>
        <v>35112</v>
      </c>
      <c r="M934" s="160" t="n">
        <f aca="false">SUM(K934:L934)</f>
        <v>39312</v>
      </c>
      <c r="N934" s="207" t="n">
        <f aca="false">SUMIFS(報告入力!$BH$7:$BH$696,報告入力!$A$7:$A$696,$S$912,報告入力!$B$7:$B$696,$A934)</f>
        <v>0</v>
      </c>
      <c r="O934" s="208" t="n">
        <f aca="false">SUMIFS(報告入力!$BI$7:$BI$696,報告入力!$A$7:$A$696,$S$912,報告入力!$B$7:$B$696,$A934)</f>
        <v>1</v>
      </c>
      <c r="P934" s="160" t="n">
        <f aca="false">SUM(N934:O934)</f>
        <v>1</v>
      </c>
      <c r="Q934" s="135" t="str">
        <f aca="false">IF(P869=P934,"〇","×")</f>
        <v>〇</v>
      </c>
      <c r="R934" s="135" t="str">
        <f aca="false">IFERROR(INDEX(報告入力!$C$7:$C$696,MATCH($S$912&amp;"|"&amp;$A934,報告入力!$CM$7:$CM$696,0)),"")</f>
        <v>未受領</v>
      </c>
    </row>
    <row r="935" s="135" customFormat="true" ht="20.1" hidden="false" customHeight="true" outlineLevel="0" collapsed="false">
      <c r="A935" s="125" t="s">
        <v>183</v>
      </c>
      <c r="B935" s="211"/>
      <c r="C935" s="212"/>
      <c r="D935" s="240" t="n">
        <f aca="false">SUMIFS(報告入力!$BA$7:$BA$696,報告入力!$A$7:$A$696,$S$912,報告入力!$B$7:$B$696,$A935)</f>
        <v>1895880</v>
      </c>
      <c r="E935" s="207" t="n">
        <f aca="false">SUMIFS(報告入力!$BB$7:$BB$696,報告入力!$A$7:$A$696,$S$912,報告入力!$B$7:$B$696,$A935)</f>
        <v>155400</v>
      </c>
      <c r="F935" s="237" t="n">
        <f aca="false">SUMIFS(報告入力!$BC$7:$BC$696,報告入力!$A$7:$A$696,$S$912,報告入力!$B$7:$B$696,$A935)</f>
        <v>1997</v>
      </c>
      <c r="G935" s="206" t="n">
        <f aca="false">SUM(B935:F935)</f>
        <v>2053277</v>
      </c>
      <c r="H935" s="213"/>
      <c r="I935" s="208" t="n">
        <f aca="false">SUMIFS(報告入力!$BE$7:$BE$696,報告入力!$A$7:$A$696,$S$912,報告入力!$B$7:$B$696,$A935)</f>
        <v>1280817</v>
      </c>
      <c r="J935" s="160" t="n">
        <f aca="false">SUM(H935:I935)</f>
        <v>1280817</v>
      </c>
      <c r="K935" s="213"/>
      <c r="L935" s="208" t="n">
        <f aca="false">SUMIFS(報告入力!$BG$7:$BG$696,報告入力!$A$7:$A$696,$S$912,報告入力!$B$7:$B$696,$A935)</f>
        <v>141726</v>
      </c>
      <c r="M935" s="160" t="n">
        <f aca="false">SUM(K935:L935)</f>
        <v>141726</v>
      </c>
      <c r="N935" s="213"/>
      <c r="O935" s="208" t="n">
        <f aca="false">SUMIFS(報告入力!$BI$7:$BI$696,報告入力!$A$7:$A$696,$S$912,報告入力!$B$7:$B$696,$A935)</f>
        <v>1</v>
      </c>
      <c r="P935" s="160" t="n">
        <f aca="false">SUM(N935:O935)</f>
        <v>1</v>
      </c>
      <c r="Q935" s="135" t="str">
        <f aca="false">IF(P870=P935,"〇","×")</f>
        <v>〇</v>
      </c>
      <c r="R935" s="135" t="str">
        <f aca="false">IFERROR(INDEX(報告入力!$C$7:$C$696,MATCH($S$912&amp;"|"&amp;$A935,報告入力!$CM$7:$CM$696,0)),"")</f>
        <v>未受領</v>
      </c>
    </row>
    <row r="936" s="135" customFormat="true" ht="20.1" hidden="false" customHeight="true" outlineLevel="0" collapsed="false">
      <c r="A936" s="125" t="s">
        <v>184</v>
      </c>
      <c r="B936" s="211"/>
      <c r="C936" s="212"/>
      <c r="D936" s="240" t="n">
        <f aca="false">SUMIFS(報告入力!$BA$7:$BA$696,報告入力!$A$7:$A$696,$S$912,報告入力!$B$7:$B$696,$A936)</f>
        <v>48495</v>
      </c>
      <c r="E936" s="238" t="n">
        <f aca="false">SUMIFS(報告入力!$BB$7:$BB$696,報告入力!$A$7:$A$696,$S$912,報告入力!$B$7:$B$696,$A936)</f>
        <v>3975</v>
      </c>
      <c r="F936" s="393" t="n">
        <f aca="false">SUMIFS(報告入力!$BC$7:$BC$696,報告入力!$A$7:$A$696,$S$912,報告入力!$B$7:$B$696,$A936)</f>
        <v>50</v>
      </c>
      <c r="G936" s="206" t="n">
        <f aca="false">SUM(B936:F936)</f>
        <v>52520</v>
      </c>
      <c r="H936" s="213"/>
      <c r="I936" s="208" t="n">
        <f aca="false">SUMIFS(報告入力!$BE$7:$BE$696,報告入力!$A$7:$A$696,$S$912,報告入力!$B$7:$B$696,$A936)</f>
        <v>29208</v>
      </c>
      <c r="J936" s="160" t="n">
        <f aca="false">SUM(H936:I936)</f>
        <v>29208</v>
      </c>
      <c r="K936" s="213"/>
      <c r="L936" s="208" t="n">
        <f aca="false">SUMIFS(報告入力!$BG$7:$BG$696,報告入力!$A$7:$A$696,$S$912,報告入力!$B$7:$B$696,$A936)</f>
        <v>4452</v>
      </c>
      <c r="M936" s="160" t="n">
        <f aca="false">SUM(K936:L936)</f>
        <v>4452</v>
      </c>
      <c r="N936" s="213"/>
      <c r="O936" s="208" t="n">
        <f aca="false">SUMIFS(報告入力!$BI$7:$BI$696,報告入力!$A$7:$A$696,$S$912,報告入力!$B$7:$B$696,$A936)</f>
        <v>1</v>
      </c>
      <c r="P936" s="160" t="n">
        <f aca="false">SUM(N936:O936)</f>
        <v>1</v>
      </c>
      <c r="Q936" s="135" t="str">
        <f aca="false">IF(P871=P936,"〇","×")</f>
        <v>〇</v>
      </c>
      <c r="R936" s="135" t="str">
        <f aca="false">IFERROR(INDEX(報告入力!$C$7:$C$696,MATCH($S$912&amp;"|"&amp;$A936,報告入力!$CM$7:$CM$696,0)),"")</f>
        <v>未受領</v>
      </c>
    </row>
    <row r="937" s="135" customFormat="true" ht="19.5" hidden="false" customHeight="true" outlineLevel="0" collapsed="false">
      <c r="A937" s="214" t="s">
        <v>185</v>
      </c>
      <c r="B937" s="211"/>
      <c r="C937" s="212"/>
      <c r="D937" s="240" t="n">
        <f aca="false">SUMIFS(報告入力!$BA$7:$BA$696,報告入力!$A$7:$A$696,$S$912,報告入力!$B$7:$B$696,$A937)</f>
        <v>425475</v>
      </c>
      <c r="E937" s="238" t="n">
        <f aca="false">SUMIFS(報告入力!$BB$7:$BB$696,報告入力!$A$7:$A$696,$S$912,報告入力!$B$7:$B$696,$A937)</f>
        <v>34875</v>
      </c>
      <c r="F937" s="393" t="n">
        <f aca="false">SUMIFS(報告入力!$BC$7:$BC$696,報告入力!$A$7:$A$696,$S$912,報告入力!$B$7:$B$696,$A937)</f>
        <v>435</v>
      </c>
      <c r="G937" s="206" t="n">
        <f aca="false">SUM(B937:F937)</f>
        <v>460785</v>
      </c>
      <c r="H937" s="213"/>
      <c r="I937" s="208" t="n">
        <f aca="false">SUMIFS(報告入力!$BE$7:$BE$696,報告入力!$A$7:$A$696,$S$912,報告入力!$B$7:$B$696,$A937)</f>
        <v>256260</v>
      </c>
      <c r="J937" s="160" t="n">
        <f aca="false">SUM(H937:I937)</f>
        <v>256260</v>
      </c>
      <c r="K937" s="213"/>
      <c r="L937" s="208" t="n">
        <f aca="false">SUMIFS(報告入力!$BG$7:$BG$696,報告入力!$A$7:$A$696,$S$912,報告入力!$B$7:$B$696,$A937)</f>
        <v>34207</v>
      </c>
      <c r="M937" s="160" t="n">
        <f aca="false">SUM(K937:L937)</f>
        <v>34207</v>
      </c>
      <c r="N937" s="213"/>
      <c r="O937" s="208" t="n">
        <f aca="false">SUMIFS(報告入力!$BI$7:$BI$696,報告入力!$A$7:$A$696,$S$912,報告入力!$B$7:$B$696,$A937)</f>
        <v>1</v>
      </c>
      <c r="P937" s="160" t="n">
        <f aca="false">SUM(N937:O937)</f>
        <v>1</v>
      </c>
      <c r="Q937" s="135" t="str">
        <f aca="false">IF(P872=P937,"〇","×")</f>
        <v>〇</v>
      </c>
      <c r="R937" s="135" t="str">
        <f aca="false">IFERROR(INDEX(報告入力!$C$7:$C$696,MATCH($S$912&amp;"|"&amp;$A937,報告入力!$CM$7:$CM$696,0)),"")</f>
        <v>未受領</v>
      </c>
    </row>
    <row r="938" s="135" customFormat="true" ht="20.1" hidden="false" customHeight="true" outlineLevel="0" collapsed="false">
      <c r="A938" s="146" t="s">
        <v>186</v>
      </c>
      <c r="B938" s="211"/>
      <c r="C938" s="216"/>
      <c r="D938" s="240" t="n">
        <f aca="false">SUMIFS(報告入力!$BA$7:$BA$696,報告入力!$A$7:$A$696,$S$912,報告入力!$B$7:$B$696,$A938)</f>
        <v>86010</v>
      </c>
      <c r="E938" s="238" t="n">
        <f aca="false">SUMIFS(報告入力!$BB$7:$BB$696,報告入力!$A$7:$A$696,$S$912,報告入力!$B$7:$B$696,$A938)</f>
        <v>7050</v>
      </c>
      <c r="F938" s="393" t="n">
        <f aca="false">SUMIFS(報告入力!$BC$7:$BC$696,報告入力!$A$7:$A$696,$S$912,報告入力!$B$7:$B$696,$A938)</f>
        <v>88</v>
      </c>
      <c r="G938" s="206" t="n">
        <f aca="false">SUM(B938:F938)</f>
        <v>93148</v>
      </c>
      <c r="H938" s="213"/>
      <c r="I938" s="395" t="n">
        <f aca="false">SUMIFS(報告入力!$BE$7:$BE$696,報告入力!$A$7:$A$696,$S$912,報告入力!$B$7:$B$696,$A938)</f>
        <v>51803</v>
      </c>
      <c r="J938" s="160" t="n">
        <f aca="false">SUM(H938:I938)</f>
        <v>51803</v>
      </c>
      <c r="K938" s="213"/>
      <c r="L938" s="395" t="n">
        <f aca="false">SUMIFS(報告入力!$BG$7:$BG$696,報告入力!$A$7:$A$696,$S$912,報告入力!$B$7:$B$696,$A938)</f>
        <v>7426</v>
      </c>
      <c r="M938" s="160" t="n">
        <f aca="false">SUM(K938:L938)</f>
        <v>7426</v>
      </c>
      <c r="N938" s="213"/>
      <c r="O938" s="395" t="n">
        <f aca="false">SUMIFS(報告入力!$BI$7:$BI$696,報告入力!$A$7:$A$696,$S$912,報告入力!$B$7:$B$696,$A938)</f>
        <v>1</v>
      </c>
      <c r="P938" s="160" t="n">
        <f aca="false">SUM(N938:O938)</f>
        <v>1</v>
      </c>
      <c r="Q938" s="135" t="str">
        <f aca="false">IF(P873=P938,"〇","×")</f>
        <v>〇</v>
      </c>
      <c r="R938" s="135" t="str">
        <f aca="false">IFERROR(INDEX(報告入力!$C$7:$C$696,MATCH($S$912&amp;"|"&amp;$A938,報告入力!$CM$7:$CM$696,0)),"")</f>
        <v>未受領</v>
      </c>
    </row>
    <row r="939" s="135" customFormat="true" ht="20.1" hidden="false" customHeight="true" outlineLevel="0" collapsed="false">
      <c r="A939" s="146" t="s">
        <v>187</v>
      </c>
      <c r="B939" s="211"/>
      <c r="C939" s="216"/>
      <c r="D939" s="240" t="n">
        <f aca="false">SUMIFS(報告入力!$BA$7:$BA$696,報告入力!$A$7:$A$696,$S$912,報告入力!$B$7:$B$696,$A939)</f>
        <v>48495</v>
      </c>
      <c r="E939" s="238" t="n">
        <f aca="false">SUMIFS(報告入力!$BB$7:$BB$696,報告入力!$A$7:$A$696,$S$912,報告入力!$B$7:$B$696,$A939)</f>
        <v>3975</v>
      </c>
      <c r="F939" s="393" t="n">
        <f aca="false">SUMIFS(報告入力!$BC$7:$BC$696,報告入力!$A$7:$A$696,$S$912,報告入力!$B$7:$B$696,$A939)</f>
        <v>49</v>
      </c>
      <c r="G939" s="206" t="n">
        <f aca="false">SUM(B939:F939)</f>
        <v>52519</v>
      </c>
      <c r="H939" s="213"/>
      <c r="I939" s="208" t="n">
        <f aca="false">SUMIFS(報告入力!$BE$7:$BE$696,報告入力!$A$7:$A$696,$S$912,報告入力!$B$7:$B$696,$A939)</f>
        <v>29208</v>
      </c>
      <c r="J939" s="160" t="n">
        <f aca="false">SUM(H939:I939)</f>
        <v>29208</v>
      </c>
      <c r="K939" s="213"/>
      <c r="L939" s="208" t="n">
        <f aca="false">SUMIFS(報告入力!$BG$7:$BG$696,報告入力!$A$7:$A$696,$S$912,報告入力!$B$7:$B$696,$A939)</f>
        <v>4187</v>
      </c>
      <c r="M939" s="160" t="n">
        <f aca="false">SUM(K939:L939)</f>
        <v>4187</v>
      </c>
      <c r="N939" s="213"/>
      <c r="O939" s="208" t="n">
        <f aca="false">SUMIFS(報告入力!$BI$7:$BI$696,報告入力!$A$7:$A$696,$S$912,報告入力!$B$7:$B$696,$A939)</f>
        <v>1</v>
      </c>
      <c r="P939" s="160" t="n">
        <f aca="false">SUM(N939:O939)</f>
        <v>1</v>
      </c>
      <c r="Q939" s="135" t="str">
        <f aca="false">IF(P874=P939,"〇","×")</f>
        <v>〇</v>
      </c>
      <c r="R939" s="135" t="str">
        <f aca="false">IFERROR(INDEX(報告入力!$C$7:$C$696,MATCH($S$912&amp;"|"&amp;$A939,報告入力!$CM$7:$CM$696,0)),"")</f>
        <v>未受領</v>
      </c>
    </row>
    <row r="940" s="135" customFormat="true" ht="20.1" hidden="false" customHeight="true" outlineLevel="0" collapsed="false">
      <c r="A940" s="217" t="s">
        <v>188</v>
      </c>
      <c r="B940" s="211"/>
      <c r="C940" s="218"/>
      <c r="D940" s="240" t="n">
        <f aca="false">SUMIFS(報告入力!$BA$7:$BA$696,報告入力!$A$7:$A$696,$S$912,報告入力!$B$7:$B$696,$A940)</f>
        <v>124440</v>
      </c>
      <c r="E940" s="238" t="n">
        <f aca="false">SUMIFS(報告入力!$BB$7:$BB$696,報告入力!$A$7:$A$696,$S$912,報告入力!$B$7:$B$696,$A940)</f>
        <v>10200</v>
      </c>
      <c r="F940" s="393" t="n">
        <f aca="false">SUMIFS(報告入力!$BC$7:$BC$696,報告入力!$A$7:$A$696,$S$912,報告入力!$B$7:$B$696,$A940)</f>
        <v>127</v>
      </c>
      <c r="G940" s="206" t="n">
        <f aca="false">SUM(B940:F940)</f>
        <v>134767</v>
      </c>
      <c r="H940" s="213"/>
      <c r="I940" s="208" t="n">
        <f aca="false">SUMIFS(報告入力!$BE$7:$BE$696,報告入力!$A$7:$A$696,$S$912,報告入力!$B$7:$B$696,$A940)</f>
        <v>74949</v>
      </c>
      <c r="J940" s="160" t="n">
        <f aca="false">SUM(H940:I940)</f>
        <v>74949</v>
      </c>
      <c r="K940" s="213"/>
      <c r="L940" s="208" t="n">
        <f aca="false">SUMIFS(報告入力!$BG$7:$BG$696,報告入力!$A$7:$A$696,$S$912,報告入力!$B$7:$B$696,$A940)</f>
        <v>7031</v>
      </c>
      <c r="M940" s="160" t="n">
        <f aca="false">SUM(K940:L940)</f>
        <v>7031</v>
      </c>
      <c r="N940" s="213"/>
      <c r="O940" s="208" t="n">
        <f aca="false">SUMIFS(報告入力!$BI$7:$BI$696,報告入力!$A$7:$A$696,$S$912,報告入力!$B$7:$B$696,$A940)</f>
        <v>1</v>
      </c>
      <c r="P940" s="160" t="n">
        <f aca="false">SUM(N940:O940)</f>
        <v>1</v>
      </c>
      <c r="Q940" s="135" t="str">
        <f aca="false">IF(P875=P940,"〇","×")</f>
        <v>〇</v>
      </c>
      <c r="R940" s="135" t="str">
        <f aca="false">IFERROR(INDEX(報告入力!$C$7:$C$696,MATCH($S$912&amp;"|"&amp;$A940,報告入力!$CM$7:$CM$696,0)),"")</f>
        <v>未受領</v>
      </c>
    </row>
    <row r="941" s="135" customFormat="true" ht="20.1" hidden="false" customHeight="true" outlineLevel="0" collapsed="false">
      <c r="A941" s="125" t="s">
        <v>189</v>
      </c>
      <c r="B941" s="240" t="n">
        <f aca="false">SUMIFS(報告入力!$AY$7:$AY$696,報告入力!$A$7:$A$696,$S$912,報告入力!$B$7:$B$696,$A941)</f>
        <v>245220</v>
      </c>
      <c r="C941" s="237" t="n">
        <f aca="false">SUMIFS(報告入力!$AZ$7:$AZ$696,報告入力!$A$7:$A$696,$S$912,報告入力!$B$7:$B$696,$A941)</f>
        <v>20100</v>
      </c>
      <c r="D941" s="203" t="n">
        <f aca="false">SUMIFS(報告入力!$BA$7:$BA$696,報告入力!$A$7:$A$696,$S$912,報告入力!$B$7:$B$696,$A941)</f>
        <v>245220</v>
      </c>
      <c r="E941" s="207" t="n">
        <f aca="false">SUMIFS(報告入力!$BB$7:$BB$696,報告入力!$A$7:$A$696,$S$912,報告入力!$B$7:$B$696,$A941)</f>
        <v>20100</v>
      </c>
      <c r="F941" s="237" t="n">
        <f aca="false">SUMIFS(報告入力!$BC$7:$BC$696,報告入力!$A$7:$A$696,$S$912,報告入力!$B$7:$B$696,$A941)</f>
        <v>251</v>
      </c>
      <c r="G941" s="206" t="n">
        <f aca="false">SUM(B941:F941)</f>
        <v>530891</v>
      </c>
      <c r="H941" s="240" t="n">
        <f aca="false">SUMIFS(報告入力!$BD$7:$BD$696,報告入力!$A$7:$A$696,$S$912,報告入力!$B$7:$B$696,$A941)</f>
        <v>147425</v>
      </c>
      <c r="I941" s="208" t="n">
        <f aca="false">SUMIFS(報告入力!$BE$7:$BE$696,報告入力!$A$7:$A$696,$S$912,報告入力!$B$7:$B$696,$A941)</f>
        <v>147694</v>
      </c>
      <c r="J941" s="160" t="n">
        <f aca="false">SUM(H941:I941)</f>
        <v>295119</v>
      </c>
      <c r="K941" s="240" t="n">
        <f aca="false">SUMIFS(報告入力!$BF$7:$BF$696,報告入力!$A$7:$A$696,$S$912,報告入力!$B$7:$B$696,$A941)</f>
        <v>9559</v>
      </c>
      <c r="L941" s="387" t="n">
        <f aca="false">SUMIFS(報告入力!$BG$7:$BG$696,報告入力!$A$7:$A$696,$S$912,報告入力!$B$7:$B$696,$A941)</f>
        <v>9559</v>
      </c>
      <c r="M941" s="160" t="n">
        <f aca="false">SUM(K941:L941)</f>
        <v>19118</v>
      </c>
      <c r="N941" s="240" t="n">
        <f aca="false">SUMIFS(報告入力!$BH$7:$BH$696,報告入力!$A$7:$A$696,$S$912,報告入力!$B$7:$B$696,$A941)</f>
        <v>1</v>
      </c>
      <c r="O941" s="387" t="n">
        <f aca="false">SUMIFS(報告入力!$BI$7:$BI$696,報告入力!$A$7:$A$696,$S$912,報告入力!$B$7:$B$696,$A941)</f>
        <v>1</v>
      </c>
      <c r="P941" s="160" t="n">
        <f aca="false">SUM(N941:O941)</f>
        <v>2</v>
      </c>
      <c r="Q941" s="135" t="str">
        <f aca="false">IF(P876=P941,"〇","×")</f>
        <v>〇</v>
      </c>
      <c r="R941" s="135" t="str">
        <f aca="false">IFERROR(INDEX(報告入力!$C$7:$C$696,MATCH($S$912&amp;"|"&amp;$A941,報告入力!$CM$7:$CM$696,0)),"")</f>
        <v>未受領</v>
      </c>
    </row>
    <row r="942" s="135" customFormat="true" ht="20.1" hidden="false" customHeight="true" outlineLevel="0" collapsed="false">
      <c r="A942" s="219" t="s">
        <v>190</v>
      </c>
      <c r="B942" s="203" t="n">
        <f aca="false">SUMIFS(報告入力!$AY$7:$AY$696,報告入力!$A$7:$A$696,$S$912,報告入力!$B$7:$B$696,$A942)</f>
        <v>40260</v>
      </c>
      <c r="C942" s="237" t="n">
        <f aca="false">SUMIFS(報告入力!$AZ$7:$AZ$696,報告入力!$A$7:$A$696,$S$912,報告入力!$B$7:$B$696,$A942)</f>
        <v>3300</v>
      </c>
      <c r="D942" s="240" t="n">
        <f aca="false">SUMIFS(報告入力!$BA$7:$BA$696,報告入力!$A$7:$A$696,$S$912,報告入力!$B$7:$B$696,$A942)</f>
        <v>40260</v>
      </c>
      <c r="E942" s="238" t="n">
        <f aca="false">SUMIFS(報告入力!$BB$7:$BB$696,報告入力!$A$7:$A$696,$S$912,報告入力!$B$7:$B$696,$A942)</f>
        <v>3300</v>
      </c>
      <c r="F942" s="393" t="n">
        <f aca="false">SUMIFS(報告入力!$BC$7:$BC$696,報告入力!$A$7:$A$696,$S$912,報告入力!$B$7:$B$696,$A942)</f>
        <v>41</v>
      </c>
      <c r="G942" s="391" t="n">
        <f aca="false">SUM(B942:F942)</f>
        <v>87161</v>
      </c>
      <c r="H942" s="207" t="n">
        <f aca="false">SUMIFS(報告入力!$BD$7:$BD$696,報告入力!$A$7:$A$696,$S$912,報告入力!$B$7:$B$696,$A942)</f>
        <v>24204</v>
      </c>
      <c r="I942" s="208" t="n">
        <f aca="false">SUMIFS(報告入力!$BE$7:$BE$696,報告入力!$A$7:$A$696,$S$912,報告入力!$B$7:$B$696,$A942)</f>
        <v>24248</v>
      </c>
      <c r="J942" s="160" t="n">
        <f aca="false">SUM(H942:I942)</f>
        <v>48452</v>
      </c>
      <c r="K942" s="207" t="n">
        <f aca="false">SUMIFS(報告入力!$BF$7:$BF$696,報告入力!$A$7:$A$696,$S$912,報告入力!$B$7:$B$696,$A942)</f>
        <v>0</v>
      </c>
      <c r="L942" s="208" t="n">
        <f aca="false">SUMIFS(報告入力!$BG$7:$BG$696,報告入力!$A$7:$A$696,$S$912,報告入力!$B$7:$B$696,$A942)</f>
        <v>0</v>
      </c>
      <c r="M942" s="160" t="n">
        <f aca="false">SUM(K942:L942)</f>
        <v>0</v>
      </c>
      <c r="N942" s="207" t="n">
        <f aca="false">SUMIFS(報告入力!$BH$7:$BH$696,報告入力!$A$7:$A$696,$S$912,報告入力!$B$7:$B$696,$A942)</f>
        <v>1</v>
      </c>
      <c r="O942" s="208" t="n">
        <f aca="false">SUMIFS(報告入力!$BI$7:$BI$696,報告入力!$A$7:$A$696,$S$912,報告入力!$B$7:$B$696,$A942)</f>
        <v>1</v>
      </c>
      <c r="P942" s="160" t="n">
        <f aca="false">SUM(N942:O942)</f>
        <v>2</v>
      </c>
      <c r="Q942" s="135" t="str">
        <f aca="false">IF(P877=P942,"〇","×")</f>
        <v>×</v>
      </c>
      <c r="R942" s="135" t="str">
        <f aca="false">IFERROR(INDEX(報告入力!$C$7:$C$696,MATCH($S$912&amp;"|"&amp;$A942,報告入力!$CM$7:$CM$696,0)),"")</f>
        <v>未受領</v>
      </c>
    </row>
    <row r="943" s="135" customFormat="true" ht="20.1" hidden="false" customHeight="true" outlineLevel="0" collapsed="false">
      <c r="A943" s="222" t="s">
        <v>191</v>
      </c>
      <c r="B943" s="240" t="n">
        <f aca="false">SUMIFS(報告入力!$AY$7:$AY$696,報告入力!$A$7:$A$696,$S$912,報告入力!$B$7:$B$696,$A943)</f>
        <v>102480</v>
      </c>
      <c r="C943" s="393" t="n">
        <f aca="false">SUMIFS(報告入力!$AZ$7:$AZ$696,報告入力!$A$7:$A$696,$S$912,報告入力!$B$7:$B$696,$A943)</f>
        <v>8400</v>
      </c>
      <c r="D943" s="240" t="n">
        <f aca="false">SUMIFS(報告入力!$BA$7:$BA$696,報告入力!$A$7:$A$696,$S$912,報告入力!$B$7:$B$696,$A943)</f>
        <v>102480</v>
      </c>
      <c r="E943" s="238" t="n">
        <f aca="false">SUMIFS(報告入力!$BB$7:$BB$696,報告入力!$A$7:$A$696,$S$912,報告入力!$B$7:$B$696,$A943)</f>
        <v>8400</v>
      </c>
      <c r="F943" s="393" t="n">
        <f aca="false">SUMIFS(報告入力!$BC$7:$BC$696,報告入力!$A$7:$A$696,$S$912,報告入力!$B$7:$B$696,$A943)</f>
        <v>105</v>
      </c>
      <c r="G943" s="206" t="n">
        <f aca="false">SUM(B943:F943)</f>
        <v>221865</v>
      </c>
      <c r="H943" s="207" t="n">
        <f aca="false">SUMIFS(報告入力!$BD$7:$BD$696,報告入力!$A$7:$A$696,$S$912,報告入力!$B$7:$B$696,$A943)</f>
        <v>61610</v>
      </c>
      <c r="I943" s="208" t="n">
        <f aca="false">SUMIFS(報告入力!$BE$7:$BE$696,報告入力!$A$7:$A$696,$S$912,報告入力!$B$7:$B$696,$A943)</f>
        <v>61723</v>
      </c>
      <c r="J943" s="160" t="n">
        <f aca="false">SUM(H943:I943)</f>
        <v>123333</v>
      </c>
      <c r="K943" s="207" t="n">
        <f aca="false">SUMIFS(報告入力!$BF$7:$BF$696,報告入力!$A$7:$A$696,$S$912,報告入力!$B$7:$B$696,$A943)</f>
        <v>4661</v>
      </c>
      <c r="L943" s="208" t="n">
        <f aca="false">SUMIFS(報告入力!$BG$7:$BG$696,報告入力!$A$7:$A$696,$S$912,報告入力!$B$7:$B$696,$A943)</f>
        <v>4661</v>
      </c>
      <c r="M943" s="160" t="n">
        <f aca="false">SUM(K943:L943)</f>
        <v>9322</v>
      </c>
      <c r="N943" s="207" t="n">
        <f aca="false">SUMIFS(報告入力!$BH$7:$BH$696,報告入力!$A$7:$A$696,$S$912,報告入力!$B$7:$B$696,$A943)</f>
        <v>1</v>
      </c>
      <c r="O943" s="208" t="n">
        <f aca="false">SUMIFS(報告入力!$BI$7:$BI$696,報告入力!$A$7:$A$696,$S$912,報告入力!$B$7:$B$696,$A943)</f>
        <v>1</v>
      </c>
      <c r="P943" s="160" t="n">
        <f aca="false">SUM(N943:O943)</f>
        <v>2</v>
      </c>
      <c r="Q943" s="135" t="str">
        <f aca="false">IF(P878=P943,"〇","×")</f>
        <v>×</v>
      </c>
      <c r="R943" s="135" t="str">
        <f aca="false">IFERROR(INDEX(報告入力!$C$7:$C$696,MATCH($S$912&amp;"|"&amp;$A943,報告入力!$CM$7:$CM$696,0)),"")</f>
        <v>未受領</v>
      </c>
    </row>
    <row r="944" s="135" customFormat="true" ht="20.1" hidden="false" customHeight="true" outlineLevel="0" collapsed="false">
      <c r="A944" s="125" t="s">
        <v>192</v>
      </c>
      <c r="B944" s="409" t="n">
        <f aca="false">SUMIFS(報告入力!$AY$7:$AY$696,報告入力!$A$7:$A$696,$S$912,報告入力!$B$7:$B$696,$A944)</f>
        <v>987285</v>
      </c>
      <c r="C944" s="393" t="n">
        <f aca="false">SUMIFS(報告入力!$AZ$7:$AZ$696,報告入力!$A$7:$A$696,$S$912,報告入力!$B$7:$B$696,$A944)</f>
        <v>80925</v>
      </c>
      <c r="D944" s="409" t="n">
        <f aca="false">SUMIFS(報告入力!$BA$7:$BA$696,報告入力!$A$7:$A$696,$S$912,報告入力!$B$7:$B$696,$A944)</f>
        <v>987285</v>
      </c>
      <c r="E944" s="463" t="n">
        <f aca="false">SUMIFS(報告入力!$BB$7:$BB$696,報告入力!$A$7:$A$696,$S$912,報告入力!$B$7:$B$696,$A944)</f>
        <v>80925</v>
      </c>
      <c r="F944" s="410" t="n">
        <f aca="false">SUMIFS(報告入力!$BC$7:$BC$696,報告入力!$A$7:$A$696,$S$912,報告入力!$B$7:$B$696,$A944)</f>
        <v>1028</v>
      </c>
      <c r="G944" s="464" t="n">
        <f aca="false">SUM(B944:F944)</f>
        <v>2137448</v>
      </c>
      <c r="H944" s="239" t="n">
        <f aca="false">SUMIFS(報告入力!$BD$7:$BD$696,報告入力!$A$7:$A$696,$S$912,報告入力!$B$7:$B$696,$A944)</f>
        <v>593546</v>
      </c>
      <c r="I944" s="239" t="n">
        <f aca="false">SUMIFS(報告入力!$BE$7:$BE$696,報告入力!$A$7:$A$696,$S$912,報告入力!$B$7:$B$696,$A944)</f>
        <v>594636</v>
      </c>
      <c r="J944" s="465" t="n">
        <f aca="false">SUM(H944:I944)</f>
        <v>1188182</v>
      </c>
      <c r="K944" s="239" t="n">
        <f aca="false">SUMIFS(報告入力!$BF$7:$BF$696,報告入力!$A$7:$A$696,$S$912,報告入力!$B$7:$B$696,$A944)</f>
        <v>68124</v>
      </c>
      <c r="L944" s="239" t="n">
        <f aca="false">SUMIFS(報告入力!$BG$7:$BG$696,報告入力!$A$7:$A$696,$S$912,報告入力!$B$7:$B$696,$A944)</f>
        <v>68124</v>
      </c>
      <c r="M944" s="160" t="n">
        <f aca="false">SUM(K944:L944)</f>
        <v>136248</v>
      </c>
      <c r="N944" s="239" t="n">
        <f aca="false">SUMIFS(報告入力!$BH$7:$BH$696,報告入力!$A$7:$A$696,$S$912,報告入力!$B$7:$B$696,$A944)</f>
        <v>1</v>
      </c>
      <c r="O944" s="239" t="n">
        <f aca="false">SUMIFS(報告入力!$BI$7:$BI$696,報告入力!$A$7:$A$696,$S$912,報告入力!$B$7:$B$696,$A944)</f>
        <v>1</v>
      </c>
      <c r="P944" s="160" t="n">
        <f aca="false">SUM(N944:O944)</f>
        <v>2</v>
      </c>
      <c r="Q944" s="135" t="str">
        <f aca="false">IF(P879=P944,"〇","×")</f>
        <v>〇</v>
      </c>
      <c r="R944" s="135" t="str">
        <f aca="false">IFERROR(INDEX(報告入力!$C$7:$C$696,MATCH($S$912&amp;"|"&amp;$A944,報告入力!$CM$7:$CM$696,0)),"")</f>
        <v>未受領</v>
      </c>
    </row>
    <row r="945" s="135" customFormat="true" ht="20.1" hidden="false" customHeight="true" outlineLevel="0" collapsed="false">
      <c r="A945" s="125" t="s">
        <v>193</v>
      </c>
      <c r="B945" s="226"/>
      <c r="C945" s="216"/>
      <c r="D945" s="240" t="n">
        <f aca="false">SUMIFS(報告入力!$BA$7:$BA$696,報告入力!$A$7:$A$696,$S$912,報告入力!$B$7:$B$696,$A945)</f>
        <v>634095</v>
      </c>
      <c r="E945" s="238" t="n">
        <f aca="false">SUMIFS(報告入力!$BB$7:$BB$696,報告入力!$A$7:$A$696,$S$912,報告入力!$B$7:$B$696,$A945)</f>
        <v>51975</v>
      </c>
      <c r="F945" s="393" t="n">
        <f aca="false">SUMIFS(報告入力!$BC$7:$BC$696,報告入力!$A$7:$A$696,$S$912,報告入力!$B$7:$B$696,$A945)</f>
        <v>689</v>
      </c>
      <c r="G945" s="464" t="n">
        <f aca="false">SUM(B945:F945)</f>
        <v>686759</v>
      </c>
      <c r="H945" s="466"/>
      <c r="I945" s="239" t="n">
        <f aca="false">SUMIFS(報告入力!$BE$7:$BE$696,報告入力!$A$7:$A$696,$S$912,報告入力!$B$7:$B$696,$A945)</f>
        <v>381942</v>
      </c>
      <c r="J945" s="465" t="n">
        <f aca="false">SUM(H945:I945)</f>
        <v>381942</v>
      </c>
      <c r="K945" s="466"/>
      <c r="L945" s="239" t="n">
        <f aca="false">SUMIFS(報告入力!$BG$7:$BG$696,報告入力!$A$7:$A$696,$S$912,報告入力!$B$7:$B$696,$A945)</f>
        <v>36120</v>
      </c>
      <c r="M945" s="160" t="n">
        <f aca="false">SUM(K945:L945)</f>
        <v>36120</v>
      </c>
      <c r="N945" s="466"/>
      <c r="O945" s="239" t="n">
        <f aca="false">SUMIFS(報告入力!$BI$7:$BI$696,報告入力!$A$7:$A$696,$S$912,報告入力!$B$7:$B$696,$A945)</f>
        <v>1</v>
      </c>
      <c r="P945" s="160" t="n">
        <f aca="false">SUM(N945:O945)</f>
        <v>1</v>
      </c>
      <c r="Q945" s="135" t="str">
        <f aca="false">IF(P880=P945,"〇","×")</f>
        <v>〇</v>
      </c>
      <c r="R945" s="135" t="str">
        <f aca="false">IFERROR(INDEX(報告入力!$C$7:$C$696,MATCH($S$912&amp;"|"&amp;$A945,報告入力!$CM$7:$CM$696,0)),"")</f>
        <v>未受領</v>
      </c>
    </row>
    <row r="946" s="135" customFormat="true" ht="20.1" hidden="false" customHeight="true" outlineLevel="0" collapsed="false">
      <c r="A946" s="228" t="s">
        <v>194</v>
      </c>
      <c r="B946" s="211"/>
      <c r="C946" s="218"/>
      <c r="D946" s="240" t="n">
        <f aca="false">SUMIFS(報告入力!$BA$7:$BA$696,報告入力!$A$7:$A$696,$S$912,報告入力!$B$7:$B$696,$A946)</f>
        <v>1196820</v>
      </c>
      <c r="E946" s="238" t="n">
        <f aca="false">SUMIFS(報告入力!$BB$7:$BB$696,報告入力!$A$7:$A$696,$S$912,報告入力!$B$7:$B$696,$A946)</f>
        <v>98100</v>
      </c>
      <c r="F946" s="393" t="n">
        <f aca="false">SUMIFS(報告入力!$BC$7:$BC$696,報告入力!$A$7:$A$696,$S$912,報告入力!$B$7:$B$696,$A946)</f>
        <v>1224</v>
      </c>
      <c r="G946" s="206" t="n">
        <f aca="false">SUM(B946:F946)</f>
        <v>1296144</v>
      </c>
      <c r="H946" s="213"/>
      <c r="I946" s="395" t="n">
        <f aca="false">SUMIFS(報告入力!$BE$7:$BE$696,報告入力!$A$7:$A$696,$S$912,報告入力!$B$7:$B$696,$A946)</f>
        <v>722488</v>
      </c>
      <c r="J946" s="160" t="n">
        <f aca="false">SUM(H946:I946)</f>
        <v>722488</v>
      </c>
      <c r="K946" s="213"/>
      <c r="L946" s="395" t="n">
        <f aca="false">SUMIFS(報告入力!$BG$7:$BG$696,報告入力!$A$7:$A$696,$S$912,報告入力!$B$7:$B$696,$A946)</f>
        <v>97012</v>
      </c>
      <c r="M946" s="160" t="n">
        <f aca="false">SUM(K946:L946)</f>
        <v>97012</v>
      </c>
      <c r="N946" s="213"/>
      <c r="O946" s="395" t="n">
        <f aca="false">SUMIFS(報告入力!$BI$7:$BI$696,報告入力!$A$7:$A$696,$S$912,報告入力!$B$7:$B$696,$A946)</f>
        <v>1</v>
      </c>
      <c r="P946" s="160" t="n">
        <f aca="false">SUM(N946:O946)</f>
        <v>1</v>
      </c>
      <c r="Q946" s="135" t="str">
        <f aca="false">IF(P881=P946,"〇","×")</f>
        <v>〇</v>
      </c>
      <c r="R946" s="135" t="str">
        <f aca="false">IFERROR(INDEX(報告入力!$C$7:$C$696,MATCH($S$912&amp;"|"&amp;$A946,報告入力!$CM$7:$CM$696,0)),"")</f>
        <v>未受領</v>
      </c>
    </row>
    <row r="947" s="135" customFormat="true" ht="20.1" hidden="false" customHeight="true" outlineLevel="0" collapsed="false">
      <c r="A947" s="229" t="s">
        <v>195</v>
      </c>
      <c r="B947" s="211"/>
      <c r="C947" s="218"/>
      <c r="D947" s="240" t="n">
        <f aca="false">SUMIFS(報告入力!$BA$7:$BA$696,報告入力!$A$7:$A$696,$S$912,報告入力!$B$7:$B$696,$A947)</f>
        <v>0</v>
      </c>
      <c r="E947" s="238" t="n">
        <f aca="false">SUMIFS(報告入力!$BB$7:$BB$696,報告入力!$A$7:$A$696,$S$912,報告入力!$B$7:$B$696,$A947)</f>
        <v>0</v>
      </c>
      <c r="F947" s="393" t="n">
        <f aca="false">SUMIFS(報告入力!$BC$7:$BC$696,報告入力!$A$7:$A$696,$S$912,報告入力!$B$7:$B$696,$A947)</f>
        <v>0</v>
      </c>
      <c r="G947" s="206" t="n">
        <f aca="false">SUM(B947:F947)</f>
        <v>0</v>
      </c>
      <c r="H947" s="213"/>
      <c r="I947" s="395" t="n">
        <f aca="false">SUMIFS(報告入力!$BE$7:$BE$696,報告入力!$A$7:$A$696,$S$912,報告入力!$B$7:$B$696,$A947)</f>
        <v>0</v>
      </c>
      <c r="J947" s="160" t="n">
        <f aca="false">SUM(H947:I947)</f>
        <v>0</v>
      </c>
      <c r="K947" s="213"/>
      <c r="L947" s="395" t="n">
        <f aca="false">SUMIFS(報告入力!$BG$7:$BG$696,報告入力!$A$7:$A$696,$S$912,報告入力!$B$7:$B$696,$A947)</f>
        <v>0</v>
      </c>
      <c r="M947" s="160" t="n">
        <f aca="false">SUM(K947:L947)</f>
        <v>0</v>
      </c>
      <c r="N947" s="213"/>
      <c r="O947" s="395" t="n">
        <f aca="false">SUMIFS(報告入力!$BI$7:$BI$696,報告入力!$A$7:$A$696,$S$912,報告入力!$B$7:$B$696,$A947)</f>
        <v>0</v>
      </c>
      <c r="P947" s="160" t="n">
        <f aca="false">SUM(N947:O947)</f>
        <v>0</v>
      </c>
      <c r="Q947" s="135" t="str">
        <f aca="false">IF(P882=P947,"〇","×")</f>
        <v>〇</v>
      </c>
      <c r="R947" s="135" t="str">
        <f aca="false">IFERROR(INDEX(報告入力!$C$7:$C$696,MATCH($S$912&amp;"|"&amp;$A947,報告入力!$CM$7:$CM$696,0)),"")</f>
        <v>未受領</v>
      </c>
    </row>
    <row r="948" s="135" customFormat="true" ht="20.1" hidden="false" customHeight="true" outlineLevel="0" collapsed="false">
      <c r="A948" s="125" t="s">
        <v>196</v>
      </c>
      <c r="B948" s="211"/>
      <c r="C948" s="218"/>
      <c r="D948" s="203" t="n">
        <f aca="false">SUMIFS(報告入力!$BA$7:$BA$696,報告入力!$A$7:$A$696,$S$912,報告入力!$B$7:$B$696,$A948)</f>
        <v>402600</v>
      </c>
      <c r="E948" s="207" t="n">
        <f aca="false">SUMIFS(報告入力!$BB$7:$BB$696,報告入力!$A$7:$A$696,$S$912,報告入力!$B$7:$B$696,$A948)</f>
        <v>33000</v>
      </c>
      <c r="F948" s="393" t="n">
        <f aca="false">SUMIFS(報告入力!$BC$7:$BC$696,報告入力!$A$7:$A$696,$S$912,報告入力!$B$7:$B$696,$A948)</f>
        <v>412</v>
      </c>
      <c r="G948" s="206" t="n">
        <f aca="false">SUM(B948:F948)</f>
        <v>436012</v>
      </c>
      <c r="H948" s="213"/>
      <c r="I948" s="395" t="n">
        <f aca="false">SUMIFS(報告入力!$BE$7:$BE$696,報告入力!$A$7:$A$696,$S$912,報告入力!$B$7:$B$696,$A948)</f>
        <v>242482</v>
      </c>
      <c r="J948" s="160" t="n">
        <f aca="false">SUM(H948:I948)</f>
        <v>242482</v>
      </c>
      <c r="K948" s="213"/>
      <c r="L948" s="395" t="n">
        <f aca="false">SUMIFS(報告入力!$BG$7:$BG$696,報告入力!$A$7:$A$696,$S$912,報告入力!$B$7:$B$696,$A948)</f>
        <v>34760</v>
      </c>
      <c r="M948" s="160" t="n">
        <f aca="false">SUM(K948:L948)</f>
        <v>34760</v>
      </c>
      <c r="N948" s="213"/>
      <c r="O948" s="395" t="n">
        <f aca="false">SUMIFS(報告入力!$BI$7:$BI$696,報告入力!$A$7:$A$696,$S$912,報告入力!$B$7:$B$696,$A948)</f>
        <v>1</v>
      </c>
      <c r="P948" s="160" t="n">
        <f aca="false">SUM(N948:O948)</f>
        <v>1</v>
      </c>
      <c r="Q948" s="135" t="str">
        <f aca="false">IF(P883=P948,"〇","×")</f>
        <v>〇</v>
      </c>
      <c r="R948" s="135" t="str">
        <f aca="false">IFERROR(INDEX(報告入力!$C$7:$C$696,MATCH($S$912&amp;"|"&amp;$A948,報告入力!$CM$7:$CM$696,0)),"")</f>
        <v>未受領</v>
      </c>
    </row>
    <row r="949" s="135" customFormat="true" ht="20.1" hidden="false" customHeight="true" outlineLevel="0" collapsed="false">
      <c r="A949" s="146" t="s">
        <v>197</v>
      </c>
      <c r="B949" s="240" t="n">
        <f aca="false">SUMIFS(報告入力!$AY$7:$AY$696,報告入力!$A$7:$A$696,$S$912,報告入力!$B$7:$B$696,$A949)</f>
        <v>137250</v>
      </c>
      <c r="C949" s="393" t="n">
        <f aca="false">SUMIFS(報告入力!$AZ$7:$AZ$696,報告入力!$A$7:$A$696,$S$912,報告入力!$B$7:$B$696,$A949)</f>
        <v>11250</v>
      </c>
      <c r="D949" s="240" t="n">
        <f aca="false">SUMIFS(報告入力!$BA$7:$BA$696,報告入力!$A$7:$A$696,$S$912,報告入力!$B$7:$B$696,$A949)</f>
        <v>137250</v>
      </c>
      <c r="E949" s="238" t="n">
        <f aca="false">SUMIFS(報告入力!$BB$7:$BB$696,報告入力!$A$7:$A$696,$S$912,報告入力!$B$7:$B$696,$A949)</f>
        <v>11250</v>
      </c>
      <c r="F949" s="393" t="n">
        <f aca="false">SUMIFS(報告入力!$BC$7:$BC$696,報告入力!$A$7:$A$696,$S$912,報告入力!$B$7:$B$696,$A949)</f>
        <v>140</v>
      </c>
      <c r="G949" s="206" t="n">
        <f aca="false">SUM(B949:F949)</f>
        <v>297140</v>
      </c>
      <c r="H949" s="207" t="n">
        <f aca="false">SUMIFS(報告入力!$BD$7:$BD$696,報告入力!$A$7:$A$696,$S$912,報告入力!$B$7:$B$696,$A949)</f>
        <v>82514</v>
      </c>
      <c r="I949" s="395" t="n">
        <f aca="false">SUMIFS(報告入力!$BE$7:$BE$696,報告入力!$A$7:$A$696,$S$912,報告入力!$B$7:$B$696,$A949)</f>
        <v>82665</v>
      </c>
      <c r="J949" s="160" t="n">
        <f aca="false">SUM(H949:I949)</f>
        <v>165179</v>
      </c>
      <c r="K949" s="207" t="n">
        <f aca="false">SUMIFS(報告入力!$BF$7:$BF$696,報告入力!$A$7:$A$696,$S$912,報告入力!$B$7:$B$696,$A949)</f>
        <v>8611</v>
      </c>
      <c r="L949" s="395" t="n">
        <f aca="false">SUMIFS(報告入力!$BG$7:$BG$696,報告入力!$A$7:$A$696,$S$912,報告入力!$B$7:$B$696,$A949)</f>
        <v>8611</v>
      </c>
      <c r="M949" s="160" t="n">
        <f aca="false">SUM(K949:L949)</f>
        <v>17222</v>
      </c>
      <c r="N949" s="207" t="n">
        <f aca="false">SUMIFS(報告入力!$BH$7:$BH$696,報告入力!$A$7:$A$696,$S$912,報告入力!$B$7:$B$696,$A949)</f>
        <v>1</v>
      </c>
      <c r="O949" s="395" t="n">
        <f aca="false">SUMIFS(報告入力!$BI$7:$BI$696,報告入力!$A$7:$A$696,$S$912,報告入力!$B$7:$B$696,$A949)</f>
        <v>1</v>
      </c>
      <c r="P949" s="160" t="n">
        <f aca="false">SUM(N949:O949)</f>
        <v>2</v>
      </c>
      <c r="Q949" s="135" t="str">
        <f aca="false">IF(P884=P949,"〇","×")</f>
        <v>〇</v>
      </c>
      <c r="R949" s="135" t="str">
        <f aca="false">IFERROR(INDEX(報告入力!$C$7:$C$696,MATCH($S$912&amp;"|"&amp;$A949,報告入力!$CM$7:$CM$696,0)),"")</f>
        <v>未受領</v>
      </c>
    </row>
    <row r="950" s="135" customFormat="true" ht="20.1" hidden="false" customHeight="true" outlineLevel="0" collapsed="false">
      <c r="A950" s="231" t="s">
        <v>219</v>
      </c>
      <c r="B950" s="226"/>
      <c r="C950" s="216"/>
      <c r="D950" s="240" t="n">
        <f aca="false">SUMIFS(報告入力!$BA$7:$BA$696,報告入力!$A$7:$A$696,$S$912,報告入力!$B$7:$B$696,$A950)</f>
        <v>48495</v>
      </c>
      <c r="E950" s="394" t="n">
        <f aca="false">SUMIFS(報告入力!$BB$7:$BB$696,報告入力!$A$7:$A$696,$S$912,報告入力!$B$7:$B$696,$A950)</f>
        <v>3975</v>
      </c>
      <c r="F950" s="393" t="n">
        <f aca="false">SUMIFS(報告入力!$BC$7:$BC$696,報告入力!$A$7:$A$696,$S$912,報告入力!$B$7:$B$696,$A950)</f>
        <v>50</v>
      </c>
      <c r="G950" s="206" t="n">
        <f aca="false">SUM(B950:F950)</f>
        <v>52520</v>
      </c>
      <c r="H950" s="227"/>
      <c r="I950" s="395" t="n">
        <f aca="false">SUMIFS(報告入力!$BE$7:$BE$696,報告入力!$A$7:$A$696,$S$912,報告入力!$B$7:$B$696,$A950)</f>
        <v>29208</v>
      </c>
      <c r="J950" s="160" t="n">
        <f aca="false">SUM(H950:I950)</f>
        <v>29208</v>
      </c>
      <c r="K950" s="227"/>
      <c r="L950" s="395" t="n">
        <f aca="false">SUMIFS(報告入力!$BG$7:$BG$696,報告入力!$A$7:$A$696,$S$912,報告入力!$B$7:$B$696,$A950)</f>
        <v>4452</v>
      </c>
      <c r="M950" s="160" t="n">
        <f aca="false">SUM(K950:L950)</f>
        <v>4452</v>
      </c>
      <c r="N950" s="227"/>
      <c r="O950" s="395" t="n">
        <f aca="false">SUMIFS(報告入力!$BI$7:$BI$696,報告入力!$A$7:$A$696,$S$912,報告入力!$B$7:$B$696,$A950)</f>
        <v>1</v>
      </c>
      <c r="P950" s="160" t="n">
        <f aca="false">SUM(N950:O950)</f>
        <v>1</v>
      </c>
      <c r="Q950" s="135" t="str">
        <f aca="false">IF(P885=P950,"〇","×")</f>
        <v>×</v>
      </c>
      <c r="R950" s="135" t="str">
        <f aca="false">IFERROR(INDEX(報告入力!$C$7:$C$696,MATCH($S$912&amp;"|"&amp;$A950,報告入力!$CM$7:$CM$696,0)),"")</f>
        <v>未受領</v>
      </c>
    </row>
    <row r="951" s="135" customFormat="true" ht="20.1" hidden="false" customHeight="true" outlineLevel="0" collapsed="false">
      <c r="A951" s="214" t="s">
        <v>199</v>
      </c>
      <c r="B951" s="240" t="n">
        <f aca="false">SUMIFS(報告入力!$AY$7:$AY$696,報告入力!$A$7:$A$696,$S$912,報告入力!$B$7:$B$696,$A951)</f>
        <v>56730</v>
      </c>
      <c r="C951" s="393" t="n">
        <f aca="false">SUMIFS(報告入力!$AZ$7:$AZ$696,報告入力!$A$7:$A$696,$S$912,報告入力!$B$7:$B$696,$A951)</f>
        <v>4650</v>
      </c>
      <c r="D951" s="240" t="n">
        <f aca="false">SUMIFS(報告入力!$BA$7:$BA$696,報告入力!$A$7:$A$696,$S$912,報告入力!$B$7:$B$696,$A951)</f>
        <v>56730</v>
      </c>
      <c r="E951" s="238" t="n">
        <f aca="false">SUMIFS(報告入力!$BB$7:$BB$696,報告入力!$A$7:$A$696,$S$912,報告入力!$B$7:$B$696,$A951)</f>
        <v>4650</v>
      </c>
      <c r="F951" s="393" t="n">
        <f aca="false">SUMIFS(報告入力!$BC$7:$BC$696,報告入力!$A$7:$A$696,$S$912,報告入力!$B$7:$B$696,$A951)</f>
        <v>58</v>
      </c>
      <c r="G951" s="206" t="n">
        <f aca="false">SUM(B951:F951)</f>
        <v>122818</v>
      </c>
      <c r="H951" s="207" t="n">
        <f aca="false">SUMIFS(報告入力!$BD$7:$BD$696,報告入力!$A$7:$A$696,$S$912,報告入力!$B$7:$B$696,$A951)</f>
        <v>34106</v>
      </c>
      <c r="I951" s="208" t="n">
        <f aca="false">SUMIFS(報告入力!$BE$7:$BE$696,報告入力!$A$7:$A$696,$S$912,報告入力!$B$7:$B$696,$A951)</f>
        <v>34168</v>
      </c>
      <c r="J951" s="160" t="n">
        <f aca="false">SUM(H951:I951)</f>
        <v>68274</v>
      </c>
      <c r="K951" s="207" t="n">
        <f aca="false">SUMIFS(報告入力!$BF$7:$BF$696,報告入力!$A$7:$A$696,$S$912,報告入力!$B$7:$B$696,$A951)</f>
        <v>4898</v>
      </c>
      <c r="L951" s="208" t="n">
        <f aca="false">SUMIFS(報告入力!$BG$7:$BG$696,報告入力!$A$7:$A$696,$S$912,報告入力!$B$7:$B$696,$A951)</f>
        <v>4898</v>
      </c>
      <c r="M951" s="160" t="n">
        <f aca="false">SUM(K951:L951)</f>
        <v>9796</v>
      </c>
      <c r="N951" s="207" t="n">
        <f aca="false">SUMIFS(報告入力!$BH$7:$BH$696,報告入力!$A$7:$A$696,$S$912,報告入力!$B$7:$B$696,$A951)</f>
        <v>1</v>
      </c>
      <c r="O951" s="208" t="n">
        <f aca="false">SUMIFS(報告入力!$BI$7:$BI$696,報告入力!$A$7:$A$696,$S$912,報告入力!$B$7:$B$696,$A951)</f>
        <v>1</v>
      </c>
      <c r="P951" s="160" t="n">
        <f aca="false">SUM(N951:O951)</f>
        <v>2</v>
      </c>
      <c r="Q951" s="135" t="str">
        <f aca="false">IF(P886=P951,"〇","×")</f>
        <v>〇</v>
      </c>
      <c r="R951" s="135" t="str">
        <f aca="false">IFERROR(INDEX(報告入力!$C$7:$C$696,MATCH($S$912&amp;"|"&amp;$A951,報告入力!$CM$7:$CM$696,0)),"")</f>
        <v>未受領</v>
      </c>
    </row>
    <row r="952" s="135" customFormat="true" ht="20.1" hidden="false" customHeight="true" outlineLevel="0" collapsed="false">
      <c r="A952" s="214" t="s">
        <v>200</v>
      </c>
      <c r="B952" s="240" t="n">
        <f aca="false">SUMIFS(報告入力!$AY$7:$AY$696,報告入力!$A$7:$A$696,$S$912,報告入力!$B$7:$B$696,$A952)</f>
        <v>59475</v>
      </c>
      <c r="C952" s="393" t="n">
        <f aca="false">SUMIFS(報告入力!$AZ$7:$AZ$696,報告入力!$A$7:$A$696,$S$912,報告入力!$B$7:$B$696,$A952)</f>
        <v>4875</v>
      </c>
      <c r="D952" s="240" t="n">
        <f aca="false">SUMIFS(報告入力!$BA$7:$BA$696,報告入力!$A$7:$A$696,$S$912,報告入力!$B$7:$B$696,$A952)</f>
        <v>59475</v>
      </c>
      <c r="E952" s="238" t="n">
        <f aca="false">SUMIFS(報告入力!$BB$7:$BB$696,報告入力!$A$7:$A$696,$S$912,報告入力!$B$7:$B$696,$A952)</f>
        <v>4875</v>
      </c>
      <c r="F952" s="393" t="n">
        <f aca="false">SUMIFS(報告入力!$BC$7:$BC$696,報告入力!$A$7:$A$696,$S$912,報告入力!$B$7:$B$696,$A952)</f>
        <v>61</v>
      </c>
      <c r="G952" s="206" t="n">
        <f aca="false">SUM(B952:F952)</f>
        <v>128761</v>
      </c>
      <c r="H952" s="207" t="n">
        <f aca="false">SUMIFS(報告入力!$BD$7:$BD$696,報告入力!$A$7:$A$696,$S$912,報告入力!$B$7:$B$696,$A952)</f>
        <v>41257</v>
      </c>
      <c r="I952" s="208" t="n">
        <f aca="false">SUMIFS(報告入力!$BE$7:$BE$696,報告入力!$A$7:$A$696,$S$912,報告入力!$B$7:$B$696,$A952)</f>
        <v>41332</v>
      </c>
      <c r="J952" s="160" t="n">
        <f aca="false">SUM(H952:I952)</f>
        <v>82589</v>
      </c>
      <c r="K952" s="207" t="n">
        <f aca="false">SUMIFS(報告入力!$BF$7:$BF$696,報告入力!$A$7:$A$696,$S$912,報告入力!$B$7:$B$696,$A952)</f>
        <v>5925</v>
      </c>
      <c r="L952" s="208" t="n">
        <f aca="false">SUMIFS(報告入力!$BG$7:$BG$696,報告入力!$A$7:$A$696,$S$912,報告入力!$B$7:$B$696,$A952)</f>
        <v>5925</v>
      </c>
      <c r="M952" s="160" t="n">
        <f aca="false">SUM(K952:L952)</f>
        <v>11850</v>
      </c>
      <c r="N952" s="207" t="n">
        <f aca="false">SUMIFS(報告入力!$BH$7:$BH$696,報告入力!$A$7:$A$696,$S$912,報告入力!$B$7:$B$696,$A952)</f>
        <v>1</v>
      </c>
      <c r="O952" s="208" t="n">
        <f aca="false">SUMIFS(報告入力!$BI$7:$BI$696,報告入力!$A$7:$A$696,$S$912,報告入力!$B$7:$B$696,$A952)</f>
        <v>1</v>
      </c>
      <c r="P952" s="160" t="n">
        <f aca="false">SUM(N952:O952)</f>
        <v>2</v>
      </c>
      <c r="Q952" s="135" t="str">
        <f aca="false">IF(P887=P952,"〇","×")</f>
        <v>×</v>
      </c>
      <c r="R952" s="135" t="str">
        <f aca="false">IFERROR(INDEX(報告入力!$C$7:$C$696,MATCH($S$912&amp;"|"&amp;$A952,報告入力!$CM$7:$CM$696,0)),"")</f>
        <v>未受領</v>
      </c>
    </row>
    <row r="953" s="135" customFormat="true" ht="20.1" hidden="false" customHeight="true" outlineLevel="0" collapsed="false">
      <c r="A953" s="214" t="s">
        <v>201</v>
      </c>
      <c r="B953" s="240" t="n">
        <f aca="false">SUMIFS(報告入力!$AY$7:$AY$696,報告入力!$A$7:$A$696,$S$912,報告入力!$B$7:$B$696,$A953)</f>
        <v>53985</v>
      </c>
      <c r="C953" s="393" t="n">
        <f aca="false">SUMIFS(報告入力!$AZ$7:$AZ$696,報告入力!$A$7:$A$696,$S$912,報告入力!$B$7:$B$696,$A953)</f>
        <v>4425</v>
      </c>
      <c r="D953" s="240" t="n">
        <f aca="false">SUMIFS(報告入力!$BA$7:$BA$696,報告入力!$A$7:$A$696,$S$912,報告入力!$B$7:$B$696,$A953)</f>
        <v>53985</v>
      </c>
      <c r="E953" s="238" t="n">
        <f aca="false">SUMIFS(報告入力!$BB$7:$BB$696,報告入力!$A$7:$A$696,$S$912,報告入力!$B$7:$B$696,$A953)</f>
        <v>4425</v>
      </c>
      <c r="F953" s="393" t="n">
        <f aca="false">SUMIFS(報告入力!$BC$7:$BC$696,報告入力!$A$7:$A$696,$S$912,報告入力!$B$7:$B$696,$A953)</f>
        <v>55</v>
      </c>
      <c r="G953" s="206" t="n">
        <f aca="false">SUM(B953:F953)</f>
        <v>116875</v>
      </c>
      <c r="H953" s="207" t="n">
        <f aca="false">SUMIFS(報告入力!$BD$7:$BD$696,報告入力!$A$7:$A$696,$S$912,報告入力!$B$7:$B$696,$A953)</f>
        <v>32455</v>
      </c>
      <c r="I953" s="208" t="n">
        <f aca="false">SUMIFS(報告入力!$BE$7:$BE$696,報告入力!$A$7:$A$696,$S$912,報告入力!$B$7:$B$696,$A953)</f>
        <v>32514</v>
      </c>
      <c r="J953" s="160" t="n">
        <f aca="false">SUM(H953:I953)</f>
        <v>64969</v>
      </c>
      <c r="K953" s="207" t="n">
        <f aca="false">SUMIFS(報告入力!$BF$7:$BF$696,報告入力!$A$7:$A$696,$S$912,報告入力!$B$7:$B$696,$A953)</f>
        <v>0</v>
      </c>
      <c r="L953" s="208" t="n">
        <f aca="false">SUMIFS(報告入力!$BG$7:$BG$696,報告入力!$A$7:$A$696,$S$912,報告入力!$B$7:$B$696,$A953)</f>
        <v>0</v>
      </c>
      <c r="M953" s="160" t="n">
        <f aca="false">SUM(K953:L953)</f>
        <v>0</v>
      </c>
      <c r="N953" s="207" t="n">
        <f aca="false">SUMIFS(報告入力!$BH$7:$BH$696,報告入力!$A$7:$A$696,$S$912,報告入力!$B$7:$B$696,$A953)</f>
        <v>1</v>
      </c>
      <c r="O953" s="208" t="n">
        <f aca="false">SUMIFS(報告入力!$BI$7:$BI$696,報告入力!$A$7:$A$696,$S$912,報告入力!$B$7:$B$696,$A953)</f>
        <v>1</v>
      </c>
      <c r="P953" s="160" t="n">
        <f aca="false">SUM(N953:O953)</f>
        <v>2</v>
      </c>
      <c r="Q953" s="135" t="str">
        <f aca="false">IF(P888=P953,"〇","×")</f>
        <v>×</v>
      </c>
      <c r="R953" s="135" t="str">
        <f aca="false">IFERROR(INDEX(報告入力!$C$7:$C$696,MATCH($S$912&amp;"|"&amp;$A953,報告入力!$CM$7:$CM$696,0)),"")</f>
        <v>未受領</v>
      </c>
    </row>
    <row r="954" s="135" customFormat="true" ht="20.1" hidden="false" customHeight="true" outlineLevel="0" collapsed="false">
      <c r="A954" s="146" t="s">
        <v>202</v>
      </c>
      <c r="B954" s="203" t="n">
        <f aca="false">SUMIFS(報告入力!$AY$7:$AY$696,報告入力!$A$7:$A$696,$S$912,報告入力!$B$7:$B$696,$A954)</f>
        <v>1216950</v>
      </c>
      <c r="C954" s="237" t="n">
        <f aca="false">SUMIFS(報告入力!$AZ$7:$AZ$696,報告入力!$A$7:$A$696,$S$912,報告入力!$B$7:$B$696,$A954)</f>
        <v>99750</v>
      </c>
      <c r="D954" s="203" t="n">
        <f aca="false">SUMIFS(報告入力!$BA$7:$BA$696,報告入力!$A$7:$A$696,$S$912,報告入力!$B$7:$B$696,$A954)</f>
        <v>1216950</v>
      </c>
      <c r="E954" s="207" t="n">
        <f aca="false">SUMIFS(報告入力!$BB$7:$BB$696,報告入力!$A$7:$A$696,$S$912,報告入力!$B$7:$B$696,$A954)</f>
        <v>99750</v>
      </c>
      <c r="F954" s="237" t="n">
        <f aca="false">SUMIFS(報告入力!$BC$7:$BC$696,報告入力!$A$7:$A$696,$S$912,報告入力!$B$7:$B$696,$A954)</f>
        <v>1360</v>
      </c>
      <c r="G954" s="206" t="n">
        <f aca="false">SUM(B954:F954)</f>
        <v>2634760</v>
      </c>
      <c r="H954" s="207" t="n">
        <f aca="false">SUMIFS(報告入力!$BD$7:$BD$696,報告入力!$A$7:$A$696,$S$912,報告入力!$B$7:$B$696,$A954)</f>
        <v>731621</v>
      </c>
      <c r="I954" s="208" t="n">
        <f aca="false">SUMIFS(報告入力!$BE$7:$BE$696,報告入力!$A$7:$A$696,$S$912,報告入力!$B$7:$B$696,$A954)</f>
        <v>733082</v>
      </c>
      <c r="J954" s="160" t="n">
        <f aca="false">SUM(H954:I954)</f>
        <v>1464703</v>
      </c>
      <c r="K954" s="207" t="n">
        <f aca="false">SUMIFS(報告入力!$BF$7:$BF$696,報告入力!$A$7:$A$696,$S$912,報告入力!$B$7:$B$696,$A954)</f>
        <v>69599</v>
      </c>
      <c r="L954" s="208" t="n">
        <f aca="false">SUMIFS(報告入力!$BG$7:$BG$696,報告入力!$A$7:$A$696,$S$912,報告入力!$B$7:$B$696,$A954)</f>
        <v>69599</v>
      </c>
      <c r="M954" s="160" t="n">
        <f aca="false">SUM(K954:L954)</f>
        <v>139198</v>
      </c>
      <c r="N954" s="207" t="n">
        <f aca="false">SUMIFS(報告入力!$BH$7:$BH$696,報告入力!$A$7:$A$696,$S$912,報告入力!$B$7:$B$696,$A954)</f>
        <v>1</v>
      </c>
      <c r="O954" s="208" t="n">
        <f aca="false">SUMIFS(報告入力!$BI$7:$BI$696,報告入力!$A$7:$A$696,$S$912,報告入力!$B$7:$B$696,$A954)</f>
        <v>1</v>
      </c>
      <c r="P954" s="160" t="n">
        <f aca="false">SUM(N954:O954)</f>
        <v>2</v>
      </c>
      <c r="Q954" s="135" t="str">
        <f aca="false">IF(P889=P954,"〇","×")</f>
        <v>〇</v>
      </c>
      <c r="R954" s="135" t="str">
        <f aca="false">IFERROR(INDEX(報告入力!$C$7:$C$696,MATCH($S$912&amp;"|"&amp;$A954,報告入力!$CM$7:$CM$696,0)),"")</f>
        <v>未受領</v>
      </c>
    </row>
    <row r="955" s="135" customFormat="true" ht="20.1" hidden="false" customHeight="true" outlineLevel="0" collapsed="false">
      <c r="A955" s="146" t="s">
        <v>203</v>
      </c>
      <c r="B955" s="226"/>
      <c r="C955" s="216"/>
      <c r="D955" s="240" t="n">
        <f aca="false">SUMIFS(報告入力!$BA$7:$BA$696,報告入力!$A$7:$A$696,$S$912,報告入力!$B$7:$B$696,$A955)</f>
        <v>245220</v>
      </c>
      <c r="E955" s="238" t="n">
        <f aca="false">SUMIFS(報告入力!$BB$7:$BB$696,報告入力!$A$7:$A$696,$S$912,報告入力!$B$7:$B$696,$A955)</f>
        <v>20100</v>
      </c>
      <c r="F955" s="393" t="n">
        <f aca="false">SUMIFS(報告入力!$BC$7:$BC$696,報告入力!$A$7:$A$696,$S$912,報告入力!$B$7:$B$696,$A955)</f>
        <v>251</v>
      </c>
      <c r="G955" s="206" t="n">
        <f aca="false">SUM(B955:F955)</f>
        <v>265571</v>
      </c>
      <c r="H955" s="227"/>
      <c r="I955" s="239" t="n">
        <f aca="false">SUMIFS(報告入力!$BE$7:$BE$696,報告入力!$A$7:$A$696,$S$912,報告入力!$B$7:$B$696,$A955)</f>
        <v>151001</v>
      </c>
      <c r="J955" s="160" t="n">
        <f aca="false">SUM(H955:I955)</f>
        <v>151001</v>
      </c>
      <c r="K955" s="226"/>
      <c r="L955" s="239" t="n">
        <f aca="false">SUMIFS(報告入力!$BG$7:$BG$696,報告入力!$A$7:$A$696,$S$912,報告入力!$B$7:$B$696,$A955)</f>
        <v>10744</v>
      </c>
      <c r="M955" s="160" t="n">
        <f aca="false">SUM(K955:L955)</f>
        <v>10744</v>
      </c>
      <c r="N955" s="226"/>
      <c r="O955" s="239" t="n">
        <f aca="false">SUMIFS(報告入力!$BI$7:$BI$696,報告入力!$A$7:$A$696,$S$912,報告入力!$B$7:$B$696,$A955)</f>
        <v>1</v>
      </c>
      <c r="P955" s="160" t="n">
        <f aca="false">SUM(N955:O955)</f>
        <v>1</v>
      </c>
      <c r="Q955" s="135" t="str">
        <f aca="false">IF(P890=P955,"〇","×")</f>
        <v>〇</v>
      </c>
      <c r="R955" s="135" t="str">
        <f aca="false">IFERROR(INDEX(報告入力!$C$7:$C$696,MATCH($S$912&amp;"|"&amp;$A955,報告入力!$CM$7:$CM$696,0)),"")</f>
        <v>未受領</v>
      </c>
    </row>
    <row r="956" s="135" customFormat="true" ht="19.5" hidden="false" customHeight="true" outlineLevel="0" collapsed="false">
      <c r="A956" s="232" t="s">
        <v>204</v>
      </c>
      <c r="B956" s="240" t="n">
        <f aca="false">SUMIFS(報告入力!$AY$7:$AY$696,報告入力!$A$7:$A$696,$S$912,報告入力!$B$7:$B$696,$A956)</f>
        <v>122457286</v>
      </c>
      <c r="C956" s="393" t="n">
        <f aca="false">SUMIFS(報告入力!$AZ$7:$AZ$696,報告入力!$A$7:$A$696,$S$912,報告入力!$B$7:$B$696,$A956)</f>
        <v>10042357</v>
      </c>
      <c r="D956" s="240" t="n">
        <f aca="false">SUMIFS(報告入力!$BA$7:$BA$696,報告入力!$A$7:$A$696,$S$912,報告入力!$B$7:$B$696,$A956)</f>
        <v>169847748</v>
      </c>
      <c r="E956" s="394" t="n">
        <f aca="false">SUMIFS(報告入力!$BB$7:$BB$696,報告入力!$A$7:$A$696,$S$912,報告入力!$B$7:$B$696,$A956)</f>
        <v>10042357</v>
      </c>
      <c r="F956" s="393" t="n">
        <f aca="false">SUMIFS(報告入力!$BC$7:$BC$696,報告入力!$A$7:$A$696,$S$912,報告入力!$B$7:$B$696,$A956)</f>
        <v>134868</v>
      </c>
      <c r="G956" s="206" t="n">
        <f aca="false">SUM(B956:F956)</f>
        <v>312524616</v>
      </c>
      <c r="H956" s="238" t="n">
        <f aca="false">SUMIFS(報告入力!$BD$7:$BD$696,報告入力!$A$7:$A$696,$S$912,報告入力!$B$7:$B$696,$A956)</f>
        <v>95166395</v>
      </c>
      <c r="I956" s="395" t="n">
        <f aca="false">SUMIFS(報告入力!$BE$7:$BE$696,報告入力!$A$7:$A$696,$S$912,報告入力!$B$7:$B$696,$A956)</f>
        <v>95340690</v>
      </c>
      <c r="J956" s="160" t="n">
        <f aca="false">SUM(H956:I956)</f>
        <v>190507085</v>
      </c>
      <c r="K956" s="240" t="n">
        <f aca="false">SUMIFS(報告入力!$BF$7:$BF$696,報告入力!$A$7:$A$696,$S$912,報告入力!$B$7:$B$696,$A956)</f>
        <v>8029163</v>
      </c>
      <c r="L956" s="395" t="n">
        <f aca="false">SUMIFS(報告入力!$BG$7:$BG$696,報告入力!$A$7:$A$696,$S$912,報告入力!$B$7:$B$696,$A956)</f>
        <v>8029163</v>
      </c>
      <c r="M956" s="160" t="n">
        <f aca="false">SUM(K956:L956)</f>
        <v>16058326</v>
      </c>
      <c r="N956" s="240" t="n">
        <f aca="false">SUMIFS(報告入力!$BH$7:$BH$696,報告入力!$A$7:$A$696,$S$912,報告入力!$B$7:$B$696,$A956)</f>
        <v>1</v>
      </c>
      <c r="O956" s="395" t="n">
        <f aca="false">SUMIFS(報告入力!$BI$7:$BI$696,報告入力!$A$7:$A$696,$S$912,報告入力!$B$7:$B$696,$A956)</f>
        <v>1</v>
      </c>
      <c r="P956" s="160" t="n">
        <f aca="false">SUM(N956:O956)</f>
        <v>2</v>
      </c>
      <c r="Q956" s="135" t="str">
        <f aca="false">IF(P891=P956,"〇","×")</f>
        <v>〇</v>
      </c>
      <c r="R956" s="135" t="str">
        <f aca="false">IFERROR(INDEX(報告入力!$C$7:$C$696,MATCH($S$912&amp;"|"&amp;$A956,報告入力!$CM$7:$CM$696,0)),"")</f>
        <v>未受領</v>
      </c>
    </row>
    <row r="957" s="162" customFormat="true" ht="21.75" hidden="false" customHeight="true" outlineLevel="0" collapsed="false">
      <c r="A957" s="399" t="s">
        <v>205</v>
      </c>
      <c r="B957" s="152"/>
      <c r="C957" s="156"/>
      <c r="D957" s="152"/>
      <c r="E957" s="234"/>
      <c r="F957" s="156"/>
      <c r="G957" s="235" t="n">
        <f aca="false">SUM(B957:F957)</f>
        <v>0</v>
      </c>
      <c r="H957" s="238" t="n">
        <f aca="false">SUMIFS(報告入力!$BD$7:$BD$696,報告入力!$A$7:$A$696,$S$912,報告入力!$B$7:$B$696,$A957)</f>
        <v>99012</v>
      </c>
      <c r="I957" s="395" t="n">
        <f aca="false">SUMIFS(報告入力!$BE$7:$BE$696,報告入力!$A$7:$A$696,$S$912,報告入力!$B$7:$B$696,$A957)</f>
        <v>99196</v>
      </c>
      <c r="J957" s="160" t="n">
        <f aca="false">SUM(H957:I957)</f>
        <v>198208</v>
      </c>
      <c r="K957" s="240" t="n">
        <f aca="false">SUMIFS(報告入力!$BF$7:$BF$696,報告入力!$A$7:$A$696,$S$912,報告入力!$B$7:$B$696,$A957)</f>
        <v>13524</v>
      </c>
      <c r="L957" s="395" t="n">
        <f aca="false">SUMIFS(報告入力!$BG$7:$BG$696,報告入力!$A$7:$A$696,$S$912,報告入力!$B$7:$B$696,$A957)</f>
        <v>13524</v>
      </c>
      <c r="M957" s="160" t="n">
        <f aca="false">SUM(K957:L957)</f>
        <v>27048</v>
      </c>
      <c r="N957" s="240" t="n">
        <f aca="false">SUMIFS(報告入力!$BH$7:$BH$696,報告入力!$A$7:$A$696,$S$912,報告入力!$B$7:$B$696,$A957)</f>
        <v>1</v>
      </c>
      <c r="O957" s="395" t="n">
        <f aca="false">SUMIFS(報告入力!$BI$7:$BI$696,報告入力!$A$7:$A$696,$S$912,報告入力!$B$7:$B$696,$A957)</f>
        <v>1</v>
      </c>
      <c r="P957" s="160" t="n">
        <f aca="false">SUM(N957:O957)</f>
        <v>2</v>
      </c>
      <c r="Q957" s="162" t="str">
        <f aca="false">IF(P892=P957,"〇","×")</f>
        <v>〇</v>
      </c>
      <c r="R957" s="162" t="str">
        <f aca="false">IFERROR(INDEX(報告入力!$C$7:$C$696,MATCH($S$912&amp;"|"&amp;$A957,報告入力!$CM$7:$CM$696,0)),"")</f>
        <v>未受領</v>
      </c>
    </row>
    <row r="958" s="162" customFormat="true" ht="21.75" hidden="false" customHeight="true" outlineLevel="0" collapsed="false">
      <c r="A958" s="236" t="s">
        <v>206</v>
      </c>
      <c r="B958" s="336"/>
      <c r="C958" s="355"/>
      <c r="D958" s="336"/>
      <c r="E958" s="334"/>
      <c r="F958" s="356"/>
      <c r="G958" s="327" t="n">
        <f aca="false">SUM(B958:F958)</f>
        <v>0</v>
      </c>
      <c r="H958" s="334"/>
      <c r="I958" s="335"/>
      <c r="J958" s="330" t="n">
        <f aca="false">SUM(H958:I958)</f>
        <v>0</v>
      </c>
      <c r="K958" s="334"/>
      <c r="L958" s="335"/>
      <c r="M958" s="330" t="n">
        <f aca="false">SUM(K958:L958)</f>
        <v>0</v>
      </c>
      <c r="N958" s="334"/>
      <c r="O958" s="335"/>
      <c r="P958" s="330" t="n">
        <f aca="false">SUM(N958:O958)</f>
        <v>0</v>
      </c>
      <c r="Q958" s="162" t="str">
        <f aca="false">IF(P893=P958,"〇","×")</f>
        <v>〇</v>
      </c>
      <c r="R958" s="162" t="str">
        <f aca="false">IFERROR(INDEX(報告入力!$C$7:$C$696,MATCH($S$912&amp;"|"&amp;$A958,報告入力!$CM$7:$CM$696,0)),"")</f>
        <v>報告なし</v>
      </c>
    </row>
    <row r="959" s="162" customFormat="true" ht="21.75" hidden="false" customHeight="true" outlineLevel="0" collapsed="false">
      <c r="A959" s="236" t="s">
        <v>207</v>
      </c>
      <c r="B959" s="240" t="n">
        <f aca="false">SUMIFS(報告入力!$AY$7:$AY$696,報告入力!$A$7:$A$696,$S$912,報告入力!$B$7:$B$696,$A959)</f>
        <v>59475</v>
      </c>
      <c r="C959" s="392" t="n">
        <f aca="false">SUMIFS(報告入力!$AZ$7:$AZ$696,報告入力!$A$7:$A$696,$S$912,報告入力!$B$7:$B$696,$A959)</f>
        <v>4875</v>
      </c>
      <c r="D959" s="240" t="n">
        <f aca="false">SUMIFS(報告入力!$BA$7:$BA$696,報告入力!$A$7:$A$696,$S$912,報告入力!$B$7:$B$696,$A959)</f>
        <v>59475</v>
      </c>
      <c r="E959" s="238" t="n">
        <f aca="false">SUMIFS(報告入力!$BB$7:$BB$696,報告入力!$A$7:$A$696,$S$912,報告入力!$B$7:$B$696,$A959)</f>
        <v>4875</v>
      </c>
      <c r="F959" s="393" t="n">
        <f aca="false">SUMIFS(報告入力!$BC$7:$BC$696,報告入力!$A$7:$A$696,$S$912,報告入力!$B$7:$B$696,$A959)</f>
        <v>61</v>
      </c>
      <c r="G959" s="206" t="n">
        <f aca="false">SUM(B959:F959)</f>
        <v>128761</v>
      </c>
      <c r="H959" s="240" t="n">
        <f aca="false">SUMIFS(報告入力!$BD$7:$BD$696,報告入力!$A$7:$A$696,$S$912,報告入力!$B$7:$B$696,$A959)</f>
        <v>41257</v>
      </c>
      <c r="I959" s="239" t="n">
        <f aca="false">SUMIFS(報告入力!$BE$7:$BE$696,報告入力!$A$7:$A$696,$S$912,報告入力!$B$7:$B$696,$A959)</f>
        <v>41332</v>
      </c>
      <c r="J959" s="160" t="n">
        <f aca="false">SUM(H959:I959)</f>
        <v>82589</v>
      </c>
      <c r="K959" s="240" t="n">
        <f aca="false">SUMIFS(報告入力!$BF$7:$BF$696,報告入力!$A$7:$A$696,$S$912,報告入力!$B$7:$B$696,$A959)</f>
        <v>5925</v>
      </c>
      <c r="L959" s="238" t="n">
        <f aca="false">SUMIFS(報告入力!$BG$7:$BG$696,報告入力!$A$7:$A$696,$S$912,報告入力!$B$7:$B$696,$A959)</f>
        <v>5925</v>
      </c>
      <c r="M959" s="160" t="n">
        <f aca="false">SUM(K959:L959)</f>
        <v>11850</v>
      </c>
      <c r="N959" s="240" t="n">
        <f aca="false">SUMIFS(報告入力!$BH$7:$BH$696,報告入力!$A$7:$A$696,$S$912,報告入力!$B$7:$B$696,$A959)</f>
        <v>1</v>
      </c>
      <c r="O959" s="238" t="n">
        <f aca="false">SUMIFS(報告入力!$BI$7:$BI$696,報告入力!$A$7:$A$696,$S$912,報告入力!$B$7:$B$696,$A959)</f>
        <v>1</v>
      </c>
      <c r="P959" s="160" t="n">
        <f aca="false">SUM(N959:O959)</f>
        <v>2</v>
      </c>
      <c r="Q959" s="162" t="str">
        <f aca="false">IF(P894=P959,"〇","×")</f>
        <v>×</v>
      </c>
      <c r="R959" s="162" t="str">
        <f aca="false">IFERROR(INDEX(報告入力!$C$7:$C$696,MATCH($S$912&amp;"|"&amp;$A959,報告入力!$CM$7:$CM$696,0)),"")</f>
        <v>未受領</v>
      </c>
    </row>
    <row r="960" s="162" customFormat="true" ht="21.75" hidden="false" customHeight="true" outlineLevel="0" collapsed="false">
      <c r="A960" s="174"/>
      <c r="B960" s="182"/>
      <c r="C960" s="181"/>
      <c r="D960" s="245"/>
      <c r="E960" s="183"/>
      <c r="F960" s="181"/>
      <c r="G960" s="246" t="n">
        <f aca="false">SUM(B960:F960)</f>
        <v>0</v>
      </c>
      <c r="H960" s="247"/>
      <c r="I960" s="183"/>
      <c r="J960" s="248" t="n">
        <f aca="false">SUM(H960:I960)</f>
        <v>0</v>
      </c>
      <c r="K960" s="245"/>
      <c r="L960" s="183"/>
      <c r="M960" s="248" t="n">
        <f aca="false">SUM(K960:L960)</f>
        <v>0</v>
      </c>
      <c r="N960" s="245"/>
      <c r="O960" s="183"/>
      <c r="P960" s="160" t="n">
        <f aca="false">SUM(N960:O960)</f>
        <v>0</v>
      </c>
      <c r="Q960" s="162" t="str">
        <f aca="false">IF(P895=P960,"〇","×")</f>
        <v>〇</v>
      </c>
    </row>
    <row r="961" s="162" customFormat="true" ht="0.2" hidden="false" customHeight="true" outlineLevel="0" collapsed="false">
      <c r="A961" s="174"/>
      <c r="B961" s="182"/>
      <c r="C961" s="181"/>
      <c r="D961" s="245"/>
      <c r="E961" s="183"/>
      <c r="F961" s="181"/>
      <c r="G961" s="246" t="n">
        <f aca="false">SUM(B961:F961)</f>
        <v>0</v>
      </c>
      <c r="H961" s="247"/>
      <c r="I961" s="183"/>
      <c r="J961" s="248" t="n">
        <f aca="false">SUM(H961:I961)</f>
        <v>0</v>
      </c>
      <c r="K961" s="245"/>
      <c r="L961" s="183"/>
      <c r="M961" s="248" t="n">
        <f aca="false">SUM(K961:L961)</f>
        <v>0</v>
      </c>
      <c r="N961" s="245"/>
      <c r="O961" s="183"/>
      <c r="P961" s="248" t="n">
        <f aca="false">SUM(N961:O961)</f>
        <v>0</v>
      </c>
      <c r="Q961" s="162" t="str">
        <f aca="false">IF(P896=P961,"〇","×")</f>
        <v>〇</v>
      </c>
    </row>
    <row r="962" s="162" customFormat="true" ht="0.2" hidden="false" customHeight="true" outlineLevel="0" collapsed="false">
      <c r="A962" s="187"/>
      <c r="B962" s="249"/>
      <c r="C962" s="250"/>
      <c r="D962" s="251"/>
      <c r="E962" s="252"/>
      <c r="F962" s="250"/>
      <c r="G962" s="253"/>
      <c r="H962" s="254"/>
      <c r="I962" s="254"/>
      <c r="J962" s="255"/>
      <c r="K962" s="256"/>
      <c r="L962" s="254"/>
      <c r="M962" s="255"/>
      <c r="N962" s="256"/>
      <c r="O962" s="254"/>
      <c r="P962" s="255"/>
      <c r="Q962" s="162" t="str">
        <f aca="false">IF(P897=P962,"〇","×")</f>
        <v>〇</v>
      </c>
    </row>
    <row r="963" s="135" customFormat="true" ht="20.1" hidden="false" customHeight="true" outlineLevel="0" collapsed="false">
      <c r="A963" s="196" t="s">
        <v>497</v>
      </c>
      <c r="B963" s="197" t="n">
        <f aca="false">SUM(B933:B962)</f>
        <v>125462146</v>
      </c>
      <c r="C963" s="200" t="n">
        <f aca="false">SUM(C933:C962)</f>
        <v>10288657</v>
      </c>
      <c r="D963" s="198" t="n">
        <f aca="false">SUM(D933:D962)</f>
        <v>178456983</v>
      </c>
      <c r="E963" s="199" t="n">
        <f aca="false">SUM(E933:E962)</f>
        <v>10748032</v>
      </c>
      <c r="F963" s="200" t="n">
        <f aca="false">SUM(F933:F962)</f>
        <v>143945</v>
      </c>
      <c r="G963" s="201" t="n">
        <f aca="false">SUM(B963:F963)</f>
        <v>325099763</v>
      </c>
      <c r="H963" s="198" t="n">
        <f aca="false">SUM(H933:H961)</f>
        <v>97082907</v>
      </c>
      <c r="I963" s="198" t="n">
        <f aca="false">SUM(I933:I961)</f>
        <v>100780271</v>
      </c>
      <c r="J963" s="200" t="n">
        <f aca="false">SUM(H963:I963)</f>
        <v>197863178</v>
      </c>
      <c r="K963" s="197" t="n">
        <f aca="false">SUM(K933:K961)</f>
        <v>8224189</v>
      </c>
      <c r="L963" s="198" t="n">
        <f aca="false">SUM(L933:L961)</f>
        <v>8637218</v>
      </c>
      <c r="M963" s="200" t="n">
        <f aca="false">SUM(K963:L963)</f>
        <v>16861407</v>
      </c>
      <c r="N963" s="197" t="n">
        <f aca="false">SUM(N933:N961)</f>
        <v>12</v>
      </c>
      <c r="O963" s="198" t="n">
        <f aca="false">SUM(O933:O961)</f>
        <v>24</v>
      </c>
      <c r="P963" s="200" t="n">
        <f aca="false">SUM(N963:O963)</f>
        <v>36</v>
      </c>
      <c r="Q963" s="135" t="str">
        <f aca="false">IF(P898=P963,"〇","×")</f>
        <v>×</v>
      </c>
    </row>
    <row r="964" s="162" customFormat="true" ht="0.2" hidden="false" customHeight="true" outlineLevel="0" collapsed="false">
      <c r="A964" s="174" t="s">
        <v>496</v>
      </c>
      <c r="B964" s="256"/>
      <c r="C964" s="257"/>
      <c r="D964" s="254"/>
      <c r="E964" s="258"/>
      <c r="F964" s="259"/>
      <c r="G964" s="260"/>
      <c r="H964" s="261"/>
      <c r="I964" s="261"/>
      <c r="J964" s="262"/>
      <c r="K964" s="263"/>
      <c r="L964" s="264"/>
      <c r="M964" s="265"/>
      <c r="N964" s="263"/>
      <c r="O964" s="264"/>
      <c r="P964" s="265"/>
      <c r="Q964" s="162" t="str">
        <f aca="false">IF(P899=P964,"〇","×")</f>
        <v>〇</v>
      </c>
    </row>
    <row r="965" s="162" customFormat="true" ht="0.2" hidden="false" customHeight="true" outlineLevel="0" collapsed="false">
      <c r="A965" s="266" t="s">
        <v>496</v>
      </c>
      <c r="B965" s="267"/>
      <c r="C965" s="268"/>
      <c r="D965" s="254"/>
      <c r="E965" s="258"/>
      <c r="F965" s="257"/>
      <c r="G965" s="253"/>
      <c r="H965" s="269"/>
      <c r="I965" s="269"/>
      <c r="J965" s="270"/>
      <c r="K965" s="271"/>
      <c r="L965" s="272"/>
      <c r="M965" s="273"/>
      <c r="N965" s="271"/>
      <c r="O965" s="272"/>
      <c r="P965" s="273"/>
      <c r="Q965" s="162" t="str">
        <f aca="false">IF(P900=P965,"〇","×")</f>
        <v>〇</v>
      </c>
    </row>
    <row r="966" s="135" customFormat="true" ht="20.1" hidden="false" customHeight="true" outlineLevel="0" collapsed="false">
      <c r="A966" s="214" t="s">
        <v>208</v>
      </c>
      <c r="B966" s="240" t="n">
        <f aca="false">SUMIFS(報告入力!$AY$7:$AY$696,報告入力!$A$7:$A$696,$S$912,報告入力!$B$7:$B$696,$A966)</f>
        <v>185745</v>
      </c>
      <c r="C966" s="393" t="n">
        <f aca="false">SUMIFS(報告入力!$AZ$7:$AZ$696,報告入力!$A$7:$A$696,$S$912,報告入力!$B$7:$B$696,$A966)</f>
        <v>15225</v>
      </c>
      <c r="D966" s="240" t="n">
        <f aca="false">SUMIFS(報告入力!$BA$7:$BA$696,報告入力!$A$7:$A$696,$S$912,報告入力!$B$7:$B$696,$A966)</f>
        <v>185745</v>
      </c>
      <c r="E966" s="238" t="n">
        <f aca="false">SUMIFS(報告入力!$BB$7:$BB$696,報告入力!$A$7:$A$696,$S$912,報告入力!$B$7:$B$696,$A966)</f>
        <v>15225</v>
      </c>
      <c r="F966" s="393" t="n">
        <f aca="false">SUMIFS(報告入力!$BC$7:$BC$696,報告入力!$A$7:$A$696,$S$912,報告入力!$B$7:$B$696,$A966)</f>
        <v>193</v>
      </c>
      <c r="G966" s="206" t="n">
        <f aca="false">SUM(B966:F966)</f>
        <v>402133</v>
      </c>
      <c r="H966" s="239" t="n">
        <f aca="false">SUMIFS(報告入力!$BD$7:$BD$696,報告入力!$A$7:$A$696,$S$912,報告入力!$B$7:$B$696,$A966)</f>
        <v>0</v>
      </c>
      <c r="I966" s="155"/>
      <c r="J966" s="160" t="n">
        <f aca="false">SUM(H966:I966)</f>
        <v>0</v>
      </c>
      <c r="K966" s="239" t="n">
        <f aca="false">SUMIFS(報告入力!$BF$7:$BF$696,報告入力!$A$7:$A$696,$S$912,報告入力!$B$7:$B$696,$A966)</f>
        <v>0</v>
      </c>
      <c r="L966" s="155"/>
      <c r="M966" s="160" t="n">
        <f aca="false">SUM(K966:L966)</f>
        <v>0</v>
      </c>
      <c r="N966" s="239" t="n">
        <f aca="false">SUMIFS(報告入力!$BH$7:$BH$696,報告入力!$A$7:$A$696,$S$912,報告入力!$B$7:$B$696,$A966)</f>
        <v>0</v>
      </c>
      <c r="O966" s="155"/>
      <c r="P966" s="160" t="n">
        <f aca="false">SUM(N966:O966)</f>
        <v>0</v>
      </c>
      <c r="Q966" s="135" t="str">
        <f aca="false">IF(P901=P966,"〇","×")</f>
        <v>〇</v>
      </c>
      <c r="R966" s="135" t="str">
        <f aca="false">IFERROR(INDEX(報告入力!$C$7:$C$696,MATCH($S$912&amp;"|"&amp;$A966,報告入力!$CM$7:$CM$696,0)),"")</f>
        <v>未受領</v>
      </c>
    </row>
    <row r="967" s="135" customFormat="true" ht="21.75" hidden="false" customHeight="true" outlineLevel="0" collapsed="false">
      <c r="A967" s="214" t="s">
        <v>209</v>
      </c>
      <c r="B967" s="409" t="n">
        <f aca="false">SUMIFS(報告入力!$AY$7:$AY$696,報告入力!$A$7:$A$696,$S$912,報告入力!$B$7:$B$696,$A967)</f>
        <v>53985</v>
      </c>
      <c r="C967" s="410" t="n">
        <f aca="false">SUMIFS(報告入力!$AZ$7:$AZ$696,報告入力!$A$7:$A$696,$S$912,報告入力!$B$7:$B$696,$A967)</f>
        <v>4425</v>
      </c>
      <c r="D967" s="425" t="n">
        <f aca="false">SUMIFS(報告入力!$BA$7:$BA$696,報告入力!$A$7:$A$696,$S$912,報告入力!$B$7:$B$696,$A967)</f>
        <v>53985</v>
      </c>
      <c r="E967" s="426" t="n">
        <f aca="false">SUMIFS(報告入力!$BB$7:$BB$696,報告入力!$A$7:$A$696,$S$912,報告入力!$B$7:$B$696,$A967)</f>
        <v>4425</v>
      </c>
      <c r="F967" s="427" t="n">
        <f aca="false">SUMIFS(報告入力!$BC$7:$BC$696,報告入力!$A$7:$A$696,$S$912,報告入力!$B$7:$B$696,$A967)</f>
        <v>55</v>
      </c>
      <c r="G967" s="391" t="n">
        <f aca="false">SUM(B967:F967)</f>
        <v>116875</v>
      </c>
      <c r="H967" s="277"/>
      <c r="I967" s="277"/>
      <c r="J967" s="278" t="n">
        <f aca="false">SUM(H967:I967)</f>
        <v>0</v>
      </c>
      <c r="K967" s="277"/>
      <c r="L967" s="277"/>
      <c r="M967" s="278" t="n">
        <f aca="false">SUM(K967:L967)</f>
        <v>0</v>
      </c>
      <c r="N967" s="277"/>
      <c r="O967" s="277"/>
      <c r="P967" s="278" t="n">
        <f aca="false">SUM(N967:O967)</f>
        <v>0</v>
      </c>
      <c r="Q967" s="135" t="str">
        <f aca="false">IF(P902=P967,"〇","×")</f>
        <v>〇</v>
      </c>
      <c r="R967" s="135" t="str">
        <f aca="false">IFERROR(INDEX(報告入力!$C$7:$C$696,MATCH($S$912&amp;"|"&amp;$A967,報告入力!$CM$7:$CM$696,0)),"")</f>
        <v>未受領</v>
      </c>
    </row>
    <row r="968" s="135" customFormat="true" ht="19.5" hidden="false" customHeight="true" outlineLevel="0" collapsed="false">
      <c r="A968" s="196" t="s">
        <v>497</v>
      </c>
      <c r="B968" s="197" t="n">
        <f aca="false">SUM(B964:B967)</f>
        <v>239730</v>
      </c>
      <c r="C968" s="200" t="n">
        <f aca="false">SUM(C964:C967)</f>
        <v>19650</v>
      </c>
      <c r="D968" s="198" t="n">
        <f aca="false">SUM(D964:D967)</f>
        <v>239730</v>
      </c>
      <c r="E968" s="199" t="n">
        <f aca="false">SUM(E964:E967)</f>
        <v>19650</v>
      </c>
      <c r="F968" s="200" t="n">
        <f aca="false">SUM(F964:F967)</f>
        <v>248</v>
      </c>
      <c r="G968" s="201" t="n">
        <f aca="false">SUM(B968:F968)</f>
        <v>519008</v>
      </c>
      <c r="H968" s="281" t="n">
        <f aca="false">SUM(H964:H967)</f>
        <v>0</v>
      </c>
      <c r="I968" s="282" t="n">
        <f aca="false">SUM(I964:I967)</f>
        <v>0</v>
      </c>
      <c r="J968" s="283" t="n">
        <f aca="false">SUM(H968:I968)</f>
        <v>0</v>
      </c>
      <c r="K968" s="281" t="n">
        <f aca="false">SUM(K964:K967)</f>
        <v>0</v>
      </c>
      <c r="L968" s="282" t="n">
        <f aca="false">SUM(L964:L967)</f>
        <v>0</v>
      </c>
      <c r="M968" s="283" t="n">
        <f aca="false">SUM(K968:L968)</f>
        <v>0</v>
      </c>
      <c r="N968" s="281" t="n">
        <f aca="false">SUM(N964:N967)</f>
        <v>0</v>
      </c>
      <c r="O968" s="282" t="n">
        <f aca="false">SUM(O964:O967)</f>
        <v>0</v>
      </c>
      <c r="P968" s="283" t="n">
        <f aca="false">SUM(N968:O968)</f>
        <v>0</v>
      </c>
      <c r="Q968" s="135" t="str">
        <f aca="false">IF(P903=P968,"〇","×")</f>
        <v>〇</v>
      </c>
    </row>
    <row r="969" s="135" customFormat="true" ht="20.1" hidden="false" customHeight="true" outlineLevel="0" collapsed="false">
      <c r="A969" s="125" t="s">
        <v>210</v>
      </c>
      <c r="B969" s="203" t="n">
        <f aca="false">SUMIFS(報告入力!$AY$7:$AY$696,報告入力!$A$7:$A$696,$S$912,報告入力!$B$7:$B$696,$A969)</f>
        <v>29280</v>
      </c>
      <c r="C969" s="237" t="n">
        <f aca="false">SUMIFS(報告入力!$AZ$7:$AZ$696,報告入力!$A$7:$A$696,$S$912,報告入力!$B$7:$B$696,$A969)</f>
        <v>2400</v>
      </c>
      <c r="D969" s="387" t="n">
        <f aca="false">SUMIFS(報告入力!$BA$7:$BA$696,報告入力!$A$7:$A$696,$S$912,報告入力!$B$7:$B$696,$A969)</f>
        <v>29280</v>
      </c>
      <c r="E969" s="440" t="n">
        <f aca="false">SUMIFS(報告入力!$BB$7:$BB$696,報告入力!$A$7:$A$696,$S$912,報告入力!$B$7:$B$696,$A969)</f>
        <v>2400</v>
      </c>
      <c r="F969" s="337"/>
      <c r="G969" s="206" t="n">
        <f aca="false">SUM(B969:F969)</f>
        <v>63360</v>
      </c>
      <c r="H969" s="207" t="n">
        <f aca="false">SUMIFS(報告入力!$BD$7:$BD$696,報告入力!$A$7:$A$696,$S$912,報告入力!$B$7:$B$696,$A969)</f>
        <v>17603</v>
      </c>
      <c r="I969" s="208" t="n">
        <f aca="false">SUMIFS(報告入力!$BE$7:$BE$696,報告入力!$A$7:$A$696,$S$912,報告入力!$B$7:$B$696,$A969)</f>
        <v>17635</v>
      </c>
      <c r="J969" s="160" t="n">
        <f aca="false">SUM(H969:I969)</f>
        <v>35238</v>
      </c>
      <c r="K969" s="207" t="n">
        <f aca="false">SUMIFS(報告入力!$BF$7:$BF$696,報告入力!$A$7:$A$696,$S$912,報告入力!$B$7:$B$696,$A969)</f>
        <v>2528</v>
      </c>
      <c r="L969" s="208" t="n">
        <f aca="false">SUMIFS(報告入力!$BG$7:$BG$696,報告入力!$A$7:$A$696,$S$912,報告入力!$B$7:$B$696,$A969)</f>
        <v>2528</v>
      </c>
      <c r="M969" s="160" t="n">
        <f aca="false">SUM(K969:L969)</f>
        <v>5056</v>
      </c>
      <c r="N969" s="207" t="n">
        <f aca="false">SUMIFS(報告入力!$BH$7:$BH$696,報告入力!$A$7:$A$696,$S$912,報告入力!$B$7:$B$696,$A969)</f>
        <v>1</v>
      </c>
      <c r="O969" s="208" t="n">
        <f aca="false">SUMIFS(報告入力!$BI$7:$BI$696,報告入力!$A$7:$A$696,$S$912,報告入力!$B$7:$B$696,$A969)</f>
        <v>1</v>
      </c>
      <c r="P969" s="160" t="n">
        <f aca="false">SUM(N969:O969)</f>
        <v>2</v>
      </c>
      <c r="Q969" s="135" t="str">
        <f aca="false">IF(P904=P969,"〇","×")</f>
        <v>〇</v>
      </c>
      <c r="R969" s="135" t="str">
        <f aca="false">IFERROR(INDEX(報告入力!$C$7:$C$696,MATCH($S$912&amp;"|"&amp;$A969,報告入力!$CM$7:$CM$696,0)),"")</f>
        <v>未受領</v>
      </c>
    </row>
    <row r="970" s="135" customFormat="true" ht="20.1" hidden="false" customHeight="true" outlineLevel="0" collapsed="false">
      <c r="A970" s="125" t="s">
        <v>211</v>
      </c>
      <c r="B970" s="203"/>
      <c r="C970" s="204"/>
      <c r="D970" s="203"/>
      <c r="E970" s="440"/>
      <c r="F970" s="337"/>
      <c r="G970" s="206" t="n">
        <f aca="false">SUM(B970:F970)</f>
        <v>0</v>
      </c>
      <c r="H970" s="207"/>
      <c r="I970" s="208"/>
      <c r="J970" s="160" t="n">
        <f aca="false">SUM(H970:I970)</f>
        <v>0</v>
      </c>
      <c r="K970" s="287"/>
      <c r="L970" s="208"/>
      <c r="M970" s="160" t="n">
        <f aca="false">SUM(K970:L970)</f>
        <v>0</v>
      </c>
      <c r="N970" s="287"/>
      <c r="O970" s="208"/>
      <c r="P970" s="160" t="n">
        <f aca="false">SUM(N970:O970)</f>
        <v>0</v>
      </c>
      <c r="Q970" s="135" t="str">
        <f aca="false">IF(P905=P970,"〇","×")</f>
        <v>〇</v>
      </c>
      <c r="R970" s="135" t="str">
        <f aca="false">IFERROR(INDEX(報告入力!$C$7:$C$696,MATCH($S$912&amp;"|"&amp;$A970,報告入力!$CM$7:$CM$696,0)),"")</f>
        <v>報告なし</v>
      </c>
    </row>
    <row r="971" s="135" customFormat="true" ht="20.1" hidden="false" customHeight="true" outlineLevel="0" collapsed="false">
      <c r="A971" s="217" t="s">
        <v>212</v>
      </c>
      <c r="B971" s="203" t="n">
        <f aca="false">SUMIFS(報告入力!$AY$7:$AY$696,報告入力!$A$7:$A$696,$S$912,報告入力!$B$7:$B$696,$A971)</f>
        <v>27450</v>
      </c>
      <c r="C971" s="204" t="n">
        <f aca="false">SUMIFS(報告入力!$AZ$7:$AZ$696,報告入力!$A$7:$A$696,$S$912,報告入力!$B$7:$B$696,$A971)</f>
        <v>2250</v>
      </c>
      <c r="D971" s="203" t="n">
        <f aca="false">SUMIFS(報告入力!$BA$7:$BA$696,報告入力!$A$7:$A$696,$S$912,報告入力!$B$7:$B$696,$A971)</f>
        <v>27450</v>
      </c>
      <c r="E971" s="440" t="n">
        <f aca="false">SUMIFS(報告入力!$BB$7:$BB$696,報告入力!$A$7:$A$696,$S$912,報告入力!$B$7:$B$696,$A971)</f>
        <v>2250</v>
      </c>
      <c r="F971" s="337"/>
      <c r="G971" s="206" t="n">
        <f aca="false">SUM(B971:F971)</f>
        <v>59400</v>
      </c>
      <c r="H971" s="207" t="n">
        <f aca="false">SUMIFS(報告入力!$BD$7:$BD$696,報告入力!$A$7:$A$696,$S$912,報告入力!$B$7:$B$696,$A971)</f>
        <v>33006</v>
      </c>
      <c r="I971" s="208" t="n">
        <f aca="false">SUMIFS(報告入力!$BE$7:$BE$696,報告入力!$A$7:$A$696,$S$912,報告入力!$B$7:$B$696,$A971)</f>
        <v>33066</v>
      </c>
      <c r="J971" s="160" t="n">
        <f aca="false">SUM(H971:I971)</f>
        <v>66072</v>
      </c>
      <c r="K971" s="287" t="n">
        <f aca="false">SUMIFS(報告入力!$BF$7:$BF$696,報告入力!$A$7:$A$696,$S$912,報告入力!$B$7:$B$696,$A971)</f>
        <v>2370</v>
      </c>
      <c r="L971" s="208" t="n">
        <f aca="false">SUMIFS(報告入力!$BG$7:$BG$696,報告入力!$A$7:$A$696,$S$912,報告入力!$B$7:$B$696,$A971)</f>
        <v>2370</v>
      </c>
      <c r="M971" s="160" t="n">
        <f aca="false">SUM(K971:L971)</f>
        <v>4740</v>
      </c>
      <c r="N971" s="287" t="n">
        <f aca="false">SUMIFS(報告入力!$BH$7:$BH$696,報告入力!$A$7:$A$696,$S$912,報告入力!$B$7:$B$696,$A971)</f>
        <v>1</v>
      </c>
      <c r="O971" s="208" t="n">
        <f aca="false">SUMIFS(報告入力!$BI$7:$BI$696,報告入力!$A$7:$A$696,$S$912,報告入力!$B$7:$B$696,$A971)</f>
        <v>1</v>
      </c>
      <c r="P971" s="160" t="n">
        <f aca="false">SUM(N971:O971)</f>
        <v>2</v>
      </c>
      <c r="Q971" s="135" t="str">
        <f aca="false">IF(P906=P971,"〇","×")</f>
        <v>〇</v>
      </c>
      <c r="R971" s="135" t="str">
        <f aca="false">IFERROR(INDEX(報告入力!$C$7:$C$696,MATCH($S$912&amp;"|"&amp;$A971,報告入力!$CM$7:$CM$696,0)),"")</f>
        <v>未受領</v>
      </c>
    </row>
    <row r="972" s="135" customFormat="true" ht="20.1" hidden="false" customHeight="true" outlineLevel="0" collapsed="false">
      <c r="A972" s="217" t="s">
        <v>213</v>
      </c>
      <c r="B972" s="441"/>
      <c r="C972" s="442"/>
      <c r="D972" s="441"/>
      <c r="E972" s="443"/>
      <c r="F972" s="292"/>
      <c r="G972" s="444" t="n">
        <f aca="false">SUM(B972:F972)</f>
        <v>0</v>
      </c>
      <c r="H972" s="357"/>
      <c r="I972" s="358"/>
      <c r="J972" s="309" t="n">
        <f aca="false">SUM(H972:I972)</f>
        <v>0</v>
      </c>
      <c r="K972" s="359"/>
      <c r="L972" s="358"/>
      <c r="M972" s="309" t="n">
        <f aca="false">SUM(K972:L972)</f>
        <v>0</v>
      </c>
      <c r="N972" s="359"/>
      <c r="O972" s="358"/>
      <c r="P972" s="309" t="n">
        <f aca="false">SUM(N972:O972)</f>
        <v>0</v>
      </c>
      <c r="Q972" s="135" t="str">
        <f aca="false">IF(P907=P972,"〇","×")</f>
        <v>〇</v>
      </c>
      <c r="R972" s="135" t="str">
        <f aca="false">IFERROR(INDEX(報告入力!$C$7:$C$696,MATCH($S$912&amp;"|"&amp;$A972,報告入力!$CM$7:$CM$696,0)),"")</f>
        <v>報告なし</v>
      </c>
    </row>
    <row r="973" s="135" customFormat="true" ht="20.1" hidden="false" customHeight="true" outlineLevel="0" collapsed="false">
      <c r="A973" s="196" t="s">
        <v>497</v>
      </c>
      <c r="B973" s="197" t="n">
        <f aca="false">SUM(B969:B972)</f>
        <v>56730</v>
      </c>
      <c r="C973" s="201" t="n">
        <f aca="false">SUM(C969:C972)</f>
        <v>4650</v>
      </c>
      <c r="D973" s="197" t="n">
        <f aca="false">SUM(D969:D972)</f>
        <v>56730</v>
      </c>
      <c r="E973" s="199" t="n">
        <f aca="false">SUM(E969:E972)</f>
        <v>4650</v>
      </c>
      <c r="F973" s="200" t="n">
        <f aca="false">SUM(F969:F972)</f>
        <v>0</v>
      </c>
      <c r="G973" s="201" t="n">
        <f aca="false">SUM(B973:F973)</f>
        <v>122760</v>
      </c>
      <c r="H973" s="301" t="n">
        <f aca="false">SUM(H969:H972)</f>
        <v>50609</v>
      </c>
      <c r="I973" s="199" t="n">
        <f aca="false">SUM(I969:I972)</f>
        <v>50701</v>
      </c>
      <c r="J973" s="200" t="n">
        <f aca="false">SUM(H973:I973)</f>
        <v>101310</v>
      </c>
      <c r="K973" s="197" t="n">
        <f aca="false">SUM(K969:K972)</f>
        <v>4898</v>
      </c>
      <c r="L973" s="301" t="n">
        <f aca="false">SUM(L969:L972)</f>
        <v>4898</v>
      </c>
      <c r="M973" s="200" t="n">
        <f aca="false">SUM(K973:L973)</f>
        <v>9796</v>
      </c>
      <c r="N973" s="197" t="n">
        <f aca="false">SUM(N969:N972)</f>
        <v>2</v>
      </c>
      <c r="O973" s="301" t="n">
        <f aca="false">SUM(O969:O972)</f>
        <v>2</v>
      </c>
      <c r="P973" s="200" t="n">
        <f aca="false">SUM(N973:O973)</f>
        <v>4</v>
      </c>
      <c r="Q973" s="135" t="str">
        <f aca="false">IF(P908=P973,"〇","×")</f>
        <v>〇</v>
      </c>
    </row>
    <row r="974" s="135" customFormat="true" ht="20.1" hidden="false" customHeight="true" outlineLevel="0" collapsed="false">
      <c r="A974" s="302" t="s">
        <v>214</v>
      </c>
      <c r="B974" s="303"/>
      <c r="C974" s="304"/>
      <c r="D974" s="305"/>
      <c r="E974" s="306"/>
      <c r="F974" s="292"/>
      <c r="G974" s="293"/>
      <c r="H974" s="357" t="n">
        <f aca="false">SUMIFS(報告入力!$BD$7:$BD$696,報告入力!$A$7:$A$696,$S$912,報告入力!$B$7:$B$696,$A974)</f>
        <v>112219</v>
      </c>
      <c r="I974" s="339"/>
      <c r="J974" s="309" t="n">
        <f aca="false">SUM(H974:I974)</f>
        <v>112219</v>
      </c>
      <c r="K974" s="357" t="n">
        <f aca="false">SUMIFS(報告入力!$BF$7:$BF$696,報告入力!$A$7:$A$696,$S$912,報告入力!$B$7:$B$696,$A974)</f>
        <v>17136</v>
      </c>
      <c r="L974" s="339"/>
      <c r="M974" s="309" t="n">
        <f aca="false">SUM(K974:L974)</f>
        <v>17136</v>
      </c>
      <c r="N974" s="357" t="n">
        <f aca="false">SUMIFS(報告入力!$BH$7:$BH$696,報告入力!$A$7:$A$696,$S$912,報告入力!$B$7:$B$696,$A974)</f>
        <v>1</v>
      </c>
      <c r="O974" s="339"/>
      <c r="P974" s="309" t="n">
        <f aca="false">SUM(N974:O974)</f>
        <v>1</v>
      </c>
      <c r="Q974" s="135" t="str">
        <f aca="false">IF(P909=P974,"〇","×")</f>
        <v>×</v>
      </c>
      <c r="R974" s="135" t="str">
        <f aca="false">IFERROR(INDEX(報告入力!$C$7:$C$696,MATCH($S$912&amp;"|"&amp;$A974,報告入力!$CM$7:$CM$696,0)),"")</f>
        <v>未受領</v>
      </c>
    </row>
    <row r="975" s="135" customFormat="true" ht="30" hidden="false" customHeight="true" outlineLevel="0" collapsed="false">
      <c r="A975" s="310" t="s">
        <v>499</v>
      </c>
      <c r="B975" s="311" t="n">
        <f aca="false">SUM(+B932+B963+B968+B973+B974)</f>
        <v>475792313</v>
      </c>
      <c r="C975" s="312" t="n">
        <f aca="false">SUM(+C932+C963+C968+C973+C974)</f>
        <v>39009119</v>
      </c>
      <c r="D975" s="311" t="n">
        <f aca="false">SUM(+D932+D963+D968+D973+D974)</f>
        <v>656807401</v>
      </c>
      <c r="E975" s="313" t="n">
        <f aca="false">SUM(+E932+E963+E968+E973+E974)</f>
        <v>38991344</v>
      </c>
      <c r="F975" s="312" t="n">
        <f aca="false">SUM(+F932+F963+F968+F973+F974)</f>
        <v>515892</v>
      </c>
      <c r="G975" s="314" t="n">
        <f aca="false">SUM(B975:F975)</f>
        <v>1211116069</v>
      </c>
      <c r="H975" s="315" t="n">
        <f aca="false">SUM(+H932+H963+H968+H973+H974)</f>
        <v>355787025</v>
      </c>
      <c r="I975" s="315" t="n">
        <f aca="false">SUM(+I932+I963+I968+I973+I974)</f>
        <v>359744737</v>
      </c>
      <c r="J975" s="316" t="n">
        <f aca="false">SUM(H975:I975)</f>
        <v>715531762</v>
      </c>
      <c r="K975" s="317" t="n">
        <f aca="false">SUM(+K932+K963+K968+K973+K974)</f>
        <v>32282038</v>
      </c>
      <c r="L975" s="315" t="n">
        <f aca="false">SUM(+L932+L963+L968+L973+L974)</f>
        <v>32234438</v>
      </c>
      <c r="M975" s="316" t="n">
        <f aca="false">SUM(K975:L975)</f>
        <v>64516476</v>
      </c>
      <c r="N975" s="317" t="n">
        <f aca="false">SUM(+N932+N963+N968+N973+N974)</f>
        <v>27</v>
      </c>
      <c r="O975" s="315" t="n">
        <f aca="false">SUM(+O932+O963+O968+O973+O974)</f>
        <v>38</v>
      </c>
      <c r="P975" s="316" t="n">
        <f aca="false">SUM(N975:O975)</f>
        <v>65</v>
      </c>
      <c r="Q975" s="135" t="str">
        <f aca="false">IF(P910=P975,"〇","×")</f>
        <v>×</v>
      </c>
    </row>
    <row r="976" s="341" customFormat="true" ht="39" hidden="false" customHeight="true" outlineLevel="0" collapsed="false">
      <c r="A976" s="340"/>
      <c r="G976" s="109"/>
      <c r="Q976" s="341" t="str">
        <f aca="false">IF(P911=P976,"〇","×")</f>
        <v>〇</v>
      </c>
    </row>
    <row r="977" s="322" customFormat="true" ht="30" hidden="false" customHeight="true" outlineLevel="0" collapsed="false">
      <c r="A977" s="320"/>
      <c r="B977" s="467" t="str">
        <f aca="false">A2</f>
        <v>令和8年度</v>
      </c>
      <c r="C977" s="467"/>
      <c r="D977" s="468" t="s">
        <v>517</v>
      </c>
      <c r="E977" s="468"/>
      <c r="F977" s="468"/>
      <c r="G977" s="468"/>
      <c r="H977" s="467" t="str">
        <f aca="false">B977</f>
        <v>令和8年度</v>
      </c>
      <c r="I977" s="468" t="s">
        <v>517</v>
      </c>
      <c r="J977" s="468"/>
      <c r="K977" s="467" t="str">
        <f aca="false">B977</f>
        <v>令和8年度</v>
      </c>
      <c r="L977" s="468" t="s">
        <v>517</v>
      </c>
      <c r="M977" s="468"/>
      <c r="N977" s="467" t="str">
        <f aca="false">K977</f>
        <v>令和8年度</v>
      </c>
      <c r="O977" s="468" t="s">
        <v>517</v>
      </c>
      <c r="P977" s="468"/>
      <c r="Q977" s="322" t="str">
        <f aca="false">IF(P912=P977,"〇","×")</f>
        <v>〇</v>
      </c>
    </row>
    <row r="978" customFormat="false" ht="45" hidden="false" customHeight="true" outlineLevel="0" collapsed="false">
      <c r="A978" s="114" t="s">
        <v>483</v>
      </c>
      <c r="B978" s="114" t="s">
        <v>484</v>
      </c>
      <c r="C978" s="114"/>
      <c r="D978" s="114"/>
      <c r="E978" s="114"/>
      <c r="F978" s="114"/>
      <c r="G978" s="114"/>
      <c r="H978" s="116" t="s">
        <v>485</v>
      </c>
      <c r="I978" s="116"/>
      <c r="J978" s="116"/>
      <c r="K978" s="116" t="s">
        <v>486</v>
      </c>
      <c r="L978" s="116"/>
      <c r="M978" s="116"/>
      <c r="N978" s="116" t="str">
        <f aca="false">$N$3</f>
        <v>子ども・子育て支援納付金</v>
      </c>
      <c r="O978" s="116"/>
      <c r="P978" s="116"/>
      <c r="Q978" s="105" t="str">
        <f aca="false">IF(P913=P978,"〇","×")</f>
        <v>〇</v>
      </c>
    </row>
    <row r="979" customFormat="false" ht="22.5" hidden="false" customHeight="true" outlineLevel="0" collapsed="false">
      <c r="A979" s="114"/>
      <c r="B979" s="117" t="s">
        <v>487</v>
      </c>
      <c r="C979" s="117"/>
      <c r="D979" s="117" t="s">
        <v>488</v>
      </c>
      <c r="E979" s="117"/>
      <c r="F979" s="117"/>
      <c r="G979" s="117" t="s">
        <v>489</v>
      </c>
      <c r="H979" s="121" t="s">
        <v>490</v>
      </c>
      <c r="I979" s="119" t="s">
        <v>491</v>
      </c>
      <c r="J979" s="120" t="s">
        <v>489</v>
      </c>
      <c r="K979" s="121" t="s">
        <v>490</v>
      </c>
      <c r="L979" s="119" t="s">
        <v>491</v>
      </c>
      <c r="M979" s="120" t="s">
        <v>489</v>
      </c>
      <c r="N979" s="121" t="s">
        <v>490</v>
      </c>
      <c r="O979" s="119" t="s">
        <v>491</v>
      </c>
      <c r="P979" s="120" t="s">
        <v>489</v>
      </c>
      <c r="Q979" s="105" t="str">
        <f aca="false">IF(P914=P979,"〇","×")</f>
        <v>〇</v>
      </c>
    </row>
    <row r="980" customFormat="false" ht="22.5" hidden="false" customHeight="true" outlineLevel="0" collapsed="false">
      <c r="A980" s="114"/>
      <c r="B980" s="122" t="s">
        <v>492</v>
      </c>
      <c r="C980" s="123" t="s">
        <v>493</v>
      </c>
      <c r="D980" s="124" t="s">
        <v>492</v>
      </c>
      <c r="E980" s="124" t="s">
        <v>494</v>
      </c>
      <c r="F980" s="123" t="s">
        <v>93</v>
      </c>
      <c r="G980" s="117"/>
      <c r="H980" s="121"/>
      <c r="I980" s="119"/>
      <c r="J980" s="120"/>
      <c r="K980" s="121"/>
      <c r="L980" s="119"/>
      <c r="M980" s="120"/>
      <c r="N980" s="121"/>
      <c r="O980" s="119"/>
      <c r="P980" s="120"/>
      <c r="Q980" s="105" t="str">
        <f aca="false">IF(P915=P980,"〇","×")</f>
        <v>〇</v>
      </c>
    </row>
    <row r="981" s="135" customFormat="true" ht="20.1" hidden="false" customHeight="true" outlineLevel="0" collapsed="false">
      <c r="A981" s="125" t="s">
        <v>166</v>
      </c>
      <c r="B981" s="469" t="n">
        <f aca="false">ROUNDDOWN(B1133*$C$1194/($C$1194+$E$1194),0)</f>
        <v>12788486</v>
      </c>
      <c r="C981" s="260" t="n">
        <f aca="false">ROUNDDOWN(C1133*$C$1194/($C$1194+$E$1194),0)</f>
        <v>1048184</v>
      </c>
      <c r="D981" s="470" t="n">
        <f aca="false">ROUNDDOWN(D1133*$C$1194/($C$1194+$E$1194),0)</f>
        <v>18153472</v>
      </c>
      <c r="E981" s="470" t="n">
        <f aca="false">ROUNDDOWN(E1133*$C$1194/($C$1194+$E$1194),0)</f>
        <v>998835</v>
      </c>
      <c r="F981" s="471" t="n">
        <f aca="false">ROUNDDOWN(F1133*$C$1194/($C$1194+$E$1194),0)</f>
        <v>13040</v>
      </c>
      <c r="G981" s="260" t="n">
        <f aca="false">SUM(B981:F981)</f>
        <v>33002017</v>
      </c>
      <c r="H981" s="469" t="n">
        <f aca="false">ROUNDDOWN(H1133*$C$1194/($C$1194+$E$1194),0)</f>
        <v>9934249</v>
      </c>
      <c r="I981" s="472" t="n">
        <f aca="false">ROUNDDOWN(I1133*$C$1194/($C$1194+$E$1194),0)</f>
        <v>9715832</v>
      </c>
      <c r="J981" s="402" t="n">
        <f aca="false">SUM(H981:I981)</f>
        <v>19650081</v>
      </c>
      <c r="K981" s="473" t="n">
        <f aca="false">ROUNDDOWN(K1133*$C$1194/($C$1194+$E$1194),0)</f>
        <v>830651</v>
      </c>
      <c r="L981" s="472" t="n">
        <f aca="false">ROUNDDOWN(L1133*$C$1194/($C$1194+$E$1194),0)</f>
        <v>807649</v>
      </c>
      <c r="M981" s="402" t="n">
        <f aca="false">SUM(K981:L981)</f>
        <v>1638300</v>
      </c>
      <c r="N981" s="469" t="n">
        <f aca="false">ROUNDDOWN(N1133*$C$1194/($C$1194+$E$1194),0)</f>
        <v>1</v>
      </c>
      <c r="O981" s="472" t="n">
        <f aca="false">ROUNDDOWN(O1133*$C$1194/($C$1194+$E$1194),0)</f>
        <v>1</v>
      </c>
      <c r="P981" s="402" t="n">
        <f aca="false">SUM(N981:O981)</f>
        <v>2</v>
      </c>
      <c r="Q981" s="135" t="str">
        <f aca="false">IF(P201=P981,"〇","×")</f>
        <v>×</v>
      </c>
    </row>
    <row r="982" s="135" customFormat="true" ht="20.1" hidden="false" customHeight="true" outlineLevel="0" collapsed="false">
      <c r="A982" s="125" t="s">
        <v>169</v>
      </c>
      <c r="B982" s="474" t="n">
        <f aca="false">ROUNDDOWN(B1134*$C$1194/($C$1194+$E$1194),0)</f>
        <v>827102</v>
      </c>
      <c r="C982" s="402" t="n">
        <f aca="false">ROUNDDOWN(C1134*$C$1194/($C$1194+$E$1194),0)</f>
        <v>67784</v>
      </c>
      <c r="D982" s="470" t="n">
        <f aca="false">ROUNDDOWN(D1134*$C$1194/($C$1194+$E$1194),0)</f>
        <v>1201647</v>
      </c>
      <c r="E982" s="470" t="n">
        <f aca="false">ROUNDDOWN(E1134*$C$1194/($C$1194+$E$1194),0)</f>
        <v>67646</v>
      </c>
      <c r="F982" s="248" t="n">
        <f aca="false">ROUNDDOWN(F1134*$C$1194/($C$1194+$E$1194),0)</f>
        <v>850</v>
      </c>
      <c r="G982" s="402" t="n">
        <f aca="false">SUM(B982:F982)</f>
        <v>2165029</v>
      </c>
      <c r="H982" s="473" t="n">
        <f aca="false">ROUNDDOWN(H1134*$C$1194/($C$1194+$E$1194),0)</f>
        <v>529193</v>
      </c>
      <c r="I982" s="475" t="n">
        <f aca="false">ROUNDDOWN(I1134*$C$1194/($C$1194+$E$1194),0)</f>
        <v>537149</v>
      </c>
      <c r="J982" s="248" t="n">
        <f aca="false">SUM(H982:I982)</f>
        <v>1066342</v>
      </c>
      <c r="K982" s="476" t="n">
        <f aca="false">ROUNDDOWN(K1134*$C$1194/($C$1194+$E$1194),0)</f>
        <v>50792</v>
      </c>
      <c r="L982" s="477" t="n">
        <f aca="false">ROUNDDOWN(L1134*$C$1194/($C$1194+$E$1194),0)</f>
        <v>50519</v>
      </c>
      <c r="M982" s="248" t="n">
        <f aca="false">SUM(K982:L982)</f>
        <v>101311</v>
      </c>
      <c r="N982" s="473" t="n">
        <f aca="false">ROUNDDOWN(N1134*$C$1194/($C$1194+$E$1194),0)</f>
        <v>1</v>
      </c>
      <c r="O982" s="475" t="n">
        <f aca="false">ROUNDDOWN(O1134*$C$1194/($C$1194+$E$1194),0)</f>
        <v>1</v>
      </c>
      <c r="P982" s="248" t="n">
        <f aca="false">SUM(N982:O982)</f>
        <v>2</v>
      </c>
      <c r="Q982" s="135" t="str">
        <f aca="false">IF(P202=P982,"〇","×")</f>
        <v>×</v>
      </c>
    </row>
    <row r="983" s="135" customFormat="true" ht="20.1" hidden="false" customHeight="true" outlineLevel="0" collapsed="false">
      <c r="A983" s="125" t="s">
        <v>170</v>
      </c>
      <c r="B983" s="474" t="n">
        <f aca="false">ROUNDDOWN(B1135*$C$1194/($C$1194+$E$1194),0)</f>
        <v>2737312</v>
      </c>
      <c r="C983" s="402" t="n">
        <f aca="false">ROUNDDOWN(C1135*$C$1194/($C$1194+$E$1194),0)</f>
        <v>222371</v>
      </c>
      <c r="D983" s="470" t="n">
        <f aca="false">ROUNDDOWN(D1135*$C$1194/($C$1194+$E$1194),0)</f>
        <v>3874237</v>
      </c>
      <c r="E983" s="470" t="n">
        <f aca="false">ROUNDDOWN(E1135*$C$1194/($C$1194+$E$1194),0)</f>
        <v>215314</v>
      </c>
      <c r="F983" s="248" t="n">
        <f aca="false">ROUNDDOWN(F1135*$C$1194/($C$1194+$E$1194),0)</f>
        <v>2810</v>
      </c>
      <c r="G983" s="402" t="n">
        <f aca="false">SUM(B983:F983)</f>
        <v>7052044</v>
      </c>
      <c r="H983" s="476" t="n">
        <f aca="false">ROUNDDOWN(H1135*$C$1194/($C$1194+$E$1194),0)</f>
        <v>1696842</v>
      </c>
      <c r="I983" s="478" t="n">
        <f aca="false">ROUNDDOWN(I1135*$C$1194/($C$1194+$E$1194),0)</f>
        <v>1667794</v>
      </c>
      <c r="J983" s="248" t="n">
        <f aca="false">SUM(H983:I983)</f>
        <v>3364636</v>
      </c>
      <c r="K983" s="476" t="n">
        <f aca="false">ROUNDDOWN(K1135*$C$1194/($C$1194+$E$1194),0)</f>
        <v>100475</v>
      </c>
      <c r="L983" s="478" t="n">
        <f aca="false">ROUNDDOWN(L1135*$C$1194/($C$1194+$E$1194),0)</f>
        <v>100966</v>
      </c>
      <c r="M983" s="248" t="n">
        <f aca="false">SUM(K983:L983)</f>
        <v>201441</v>
      </c>
      <c r="N983" s="476" t="n">
        <f aca="false">ROUNDDOWN(N1135*$C$1194/($C$1194+$E$1194),0)</f>
        <v>1</v>
      </c>
      <c r="O983" s="478" t="n">
        <f aca="false">ROUNDDOWN(O1135*$C$1194/($C$1194+$E$1194),0)</f>
        <v>1</v>
      </c>
      <c r="P983" s="248" t="n">
        <f aca="false">SUM(N983:O983)</f>
        <v>2</v>
      </c>
      <c r="Q983" s="135" t="str">
        <f aca="false">IF(P203=P983,"〇","×")</f>
        <v>×</v>
      </c>
    </row>
    <row r="984" s="135" customFormat="true" ht="20.1" hidden="false" customHeight="true" outlineLevel="0" collapsed="false">
      <c r="A984" s="125" t="s">
        <v>171</v>
      </c>
      <c r="B984" s="474" t="n">
        <f aca="false">ROUNDDOWN(B1136*$C$1194/($C$1194+$E$1194),0)</f>
        <v>93101</v>
      </c>
      <c r="C984" s="402" t="n">
        <f aca="false">ROUNDDOWN(C1136*$C$1194/($C$1194+$E$1194),0)</f>
        <v>7631</v>
      </c>
      <c r="D984" s="470" t="n">
        <f aca="false">ROUNDDOWN(D1136*$C$1194/($C$1194+$E$1194),0)</f>
        <v>135328</v>
      </c>
      <c r="E984" s="470" t="n">
        <f aca="false">ROUNDDOWN(E1136*$C$1194/($C$1194+$E$1194),0)</f>
        <v>7631</v>
      </c>
      <c r="F984" s="248" t="n">
        <f aca="false">ROUNDDOWN(F1136*$C$1194/($C$1194+$E$1194),0)</f>
        <v>95</v>
      </c>
      <c r="G984" s="402" t="n">
        <f aca="false">SUM(B984:F984)</f>
        <v>243786</v>
      </c>
      <c r="H984" s="474" t="n">
        <f aca="false">ROUNDDOWN(H1136*$C$1194/($C$1194+$E$1194),0)</f>
        <v>59444</v>
      </c>
      <c r="I984" s="478" t="n">
        <f aca="false">ROUNDDOWN(I1136*$C$1194/($C$1194+$E$1194),0)</f>
        <v>60486</v>
      </c>
      <c r="J984" s="248" t="n">
        <f aca="false">SUM(H984:I984)</f>
        <v>119930</v>
      </c>
      <c r="K984" s="474" t="n">
        <f aca="false">ROUNDDOWN(K1136*$C$1194/($C$1194+$E$1194),0)</f>
        <v>5215</v>
      </c>
      <c r="L984" s="478" t="n">
        <f aca="false">ROUNDDOWN(L1136*$C$1194/($C$1194+$E$1194),0)</f>
        <v>5218</v>
      </c>
      <c r="M984" s="248" t="n">
        <f aca="false">SUM(K984:L984)</f>
        <v>10433</v>
      </c>
      <c r="N984" s="474" t="n">
        <f aca="false">ROUNDDOWN(N1136*$C$1194/($C$1194+$E$1194),0)</f>
        <v>1</v>
      </c>
      <c r="O984" s="478" t="n">
        <f aca="false">ROUNDDOWN(O1136*$C$1194/($C$1194+$E$1194),0)</f>
        <v>1</v>
      </c>
      <c r="P984" s="248" t="n">
        <f aca="false">SUM(N984:O984)</f>
        <v>2</v>
      </c>
      <c r="Q984" s="135" t="str">
        <f aca="false">IF(P204=P984,"〇","×")</f>
        <v>×</v>
      </c>
    </row>
    <row r="985" s="135" customFormat="true" ht="20.1" hidden="false" customHeight="true" outlineLevel="0" collapsed="false">
      <c r="A985" s="125" t="s">
        <v>172</v>
      </c>
      <c r="B985" s="474" t="n">
        <f aca="false">ROUNDDOWN(B1137*$C$1194/($C$1194+$E$1194),0)</f>
        <v>1342083</v>
      </c>
      <c r="C985" s="402" t="n">
        <f aca="false">ROUNDDOWN(C1137*$C$1194/($C$1194+$E$1194),0)</f>
        <v>110013</v>
      </c>
      <c r="D985" s="470" t="n">
        <f aca="false">ROUNDDOWN(D1137*$C$1194/($C$1194+$E$1194),0)</f>
        <v>1914789</v>
      </c>
      <c r="E985" s="470" t="n">
        <f aca="false">ROUNDDOWN(E1137*$C$1194/($C$1194+$E$1194),0)</f>
        <v>106665</v>
      </c>
      <c r="F985" s="248" t="n">
        <f aca="false">ROUNDDOWN(F1137*$C$1194/($C$1194+$E$1194),0)</f>
        <v>1389</v>
      </c>
      <c r="G985" s="402" t="n">
        <f aca="false">SUM(B985:F985)</f>
        <v>3474939</v>
      </c>
      <c r="H985" s="474" t="n">
        <f aca="false">ROUNDDOWN(H1137*$C$1194/($C$1194+$E$1194),0)</f>
        <v>1226602</v>
      </c>
      <c r="I985" s="478" t="n">
        <f aca="false">ROUNDDOWN(I1137*$C$1194/($C$1194+$E$1194),0)</f>
        <v>1224505</v>
      </c>
      <c r="J985" s="248" t="n">
        <f aca="false">SUM(H985:I985)</f>
        <v>2451107</v>
      </c>
      <c r="K985" s="474" t="n">
        <f aca="false">ROUNDDOWN(K1137*$C$1194/($C$1194+$E$1194),0)</f>
        <v>131803</v>
      </c>
      <c r="L985" s="478" t="n">
        <f aca="false">ROUNDDOWN(L1137*$C$1194/($C$1194+$E$1194),0)</f>
        <v>131873</v>
      </c>
      <c r="M985" s="248" t="n">
        <f aca="false">SUM(K985:L985)</f>
        <v>263676</v>
      </c>
      <c r="N985" s="474" t="n">
        <f aca="false">ROUNDDOWN(N1137*$C$1194/($C$1194+$E$1194),0)</f>
        <v>1</v>
      </c>
      <c r="O985" s="478" t="n">
        <f aca="false">ROUNDDOWN(O1137*$C$1194/($C$1194+$E$1194),0)</f>
        <v>1</v>
      </c>
      <c r="P985" s="248" t="n">
        <f aca="false">SUM(N985:O985)</f>
        <v>2</v>
      </c>
      <c r="Q985" s="135" t="str">
        <f aca="false">IF(P205=P985,"〇","×")</f>
        <v>×</v>
      </c>
    </row>
    <row r="986" s="135" customFormat="true" ht="20.1" hidden="false" customHeight="true" outlineLevel="0" collapsed="false">
      <c r="A986" s="125" t="s">
        <v>173</v>
      </c>
      <c r="B986" s="474" t="n">
        <f aca="false">ROUNDDOWN(B1138*$C$1194/($C$1194+$E$1194),0)</f>
        <v>15646</v>
      </c>
      <c r="C986" s="402" t="n">
        <f aca="false">ROUNDDOWN(C1138*$C$1194/($C$1194+$E$1194),0)</f>
        <v>1282</v>
      </c>
      <c r="D986" s="470" t="n">
        <f aca="false">ROUNDDOWN(D1138*$C$1194/($C$1194+$E$1194),0)</f>
        <v>22742</v>
      </c>
      <c r="E986" s="470" t="n">
        <f aca="false">ROUNDDOWN(E1138*$C$1194/($C$1194+$E$1194),0)</f>
        <v>1282</v>
      </c>
      <c r="F986" s="248" t="n">
        <f aca="false">ROUNDDOWN(F1138*$C$1194/($C$1194+$E$1194),0)</f>
        <v>16</v>
      </c>
      <c r="G986" s="402" t="n">
        <f aca="false">SUM(B986:F986)</f>
        <v>40968</v>
      </c>
      <c r="H986" s="473" t="n">
        <f aca="false">ROUNDDOWN(H1138*$C$1194/($C$1194+$E$1194),0)</f>
        <v>10564</v>
      </c>
      <c r="I986" s="475" t="n">
        <f aca="false">ROUNDDOWN(I1138*$C$1194/($C$1194+$E$1194),0)</f>
        <v>10748</v>
      </c>
      <c r="J986" s="248" t="n">
        <f aca="false">SUM(H986:I986)</f>
        <v>21312</v>
      </c>
      <c r="K986" s="474" t="n">
        <f aca="false">ROUNDDOWN(K1138*$C$1194/($C$1194+$E$1194),0)</f>
        <v>806</v>
      </c>
      <c r="L986" s="478" t="n">
        <f aca="false">ROUNDDOWN(L1138*$C$1194/($C$1194+$E$1194),0)</f>
        <v>806</v>
      </c>
      <c r="M986" s="248" t="n">
        <f aca="false">SUM(K986:L986)</f>
        <v>1612</v>
      </c>
      <c r="N986" s="473" t="n">
        <f aca="false">ROUNDDOWN(N1138*$C$1194/($C$1194+$E$1194),0)</f>
        <v>1</v>
      </c>
      <c r="O986" s="475" t="n">
        <f aca="false">ROUNDDOWN(O1138*$C$1194/($C$1194+$E$1194),0)</f>
        <v>1</v>
      </c>
      <c r="P986" s="248" t="n">
        <f aca="false">SUM(N986:O986)</f>
        <v>2</v>
      </c>
      <c r="Q986" s="135" t="str">
        <f aca="false">IF(P206=P986,"〇","×")</f>
        <v>×</v>
      </c>
    </row>
    <row r="987" s="135" customFormat="true" ht="20.1" hidden="false" customHeight="true" outlineLevel="0" collapsed="false">
      <c r="A987" s="125" t="s">
        <v>174</v>
      </c>
      <c r="B987" s="474" t="n">
        <f aca="false">ROUNDDOWN(B1139*$C$1194/($C$1194+$E$1194),0)</f>
        <v>28960</v>
      </c>
      <c r="C987" s="402" t="n">
        <f aca="false">ROUNDDOWN(C1139*$C$1194/($C$1194+$E$1194),0)</f>
        <v>2374</v>
      </c>
      <c r="D987" s="470" t="n">
        <f aca="false">ROUNDDOWN(D1139*$C$1194/($C$1194+$E$1194),0)</f>
        <v>42094</v>
      </c>
      <c r="E987" s="470" t="n">
        <f aca="false">ROUNDDOWN(E1139*$C$1194/($C$1194+$E$1194),0)</f>
        <v>2373</v>
      </c>
      <c r="F987" s="248" t="n">
        <f aca="false">ROUNDDOWN(F1139*$C$1194/($C$1194+$E$1194),0)</f>
        <v>29</v>
      </c>
      <c r="G987" s="246" t="n">
        <f aca="false">SUM(B987:F987)</f>
        <v>75830</v>
      </c>
      <c r="H987" s="473" t="n">
        <f aca="false">ROUNDDOWN(H1139*$C$1194/($C$1194+$E$1194),0)</f>
        <v>19418</v>
      </c>
      <c r="I987" s="475" t="n">
        <f aca="false">ROUNDDOWN(I1139*$C$1194/($C$1194+$E$1194),0)</f>
        <v>19760</v>
      </c>
      <c r="J987" s="248" t="n">
        <f aca="false">SUM(H987:I987)</f>
        <v>39178</v>
      </c>
      <c r="K987" s="473" t="n">
        <f aca="false">ROUNDDOWN(K1139*$C$1194/($C$1194+$E$1194),0)</f>
        <v>1546</v>
      </c>
      <c r="L987" s="475" t="n">
        <f aca="false">ROUNDDOWN(L1139*$C$1194/($C$1194+$E$1194),0)</f>
        <v>1544</v>
      </c>
      <c r="M987" s="248" t="n">
        <f aca="false">SUM(K987:L987)</f>
        <v>3090</v>
      </c>
      <c r="N987" s="473" t="n">
        <f aca="false">ROUNDDOWN(N1139*$C$1194/($C$1194+$E$1194),0)</f>
        <v>1</v>
      </c>
      <c r="O987" s="475" t="n">
        <f aca="false">ROUNDDOWN(O1139*$C$1194/($C$1194+$E$1194),0)</f>
        <v>1</v>
      </c>
      <c r="P987" s="248" t="n">
        <f aca="false">SUM(N987:O987)</f>
        <v>2</v>
      </c>
      <c r="Q987" s="135" t="str">
        <f aca="false">IF(P207=P987,"〇","×")</f>
        <v>×</v>
      </c>
    </row>
    <row r="988" s="135" customFormat="true" ht="20.1" hidden="false" customHeight="true" outlineLevel="0" collapsed="false">
      <c r="A988" s="125" t="s">
        <v>175</v>
      </c>
      <c r="B988" s="474" t="n">
        <f aca="false">ROUNDDOWN(B1140*$C$1194/($C$1194+$E$1194),0)</f>
        <v>67434</v>
      </c>
      <c r="C988" s="402" t="n">
        <f aca="false">ROUNDDOWN(C1140*$C$1194/($C$1194+$E$1194),0)</f>
        <v>5526</v>
      </c>
      <c r="D988" s="470" t="n">
        <f aca="false">ROUNDDOWN(D1140*$C$1194/($C$1194+$E$1194),0)</f>
        <v>98021</v>
      </c>
      <c r="E988" s="470" t="n">
        <f aca="false">ROUNDDOWN(E1140*$C$1194/($C$1194+$E$1194),0)</f>
        <v>5527</v>
      </c>
      <c r="F988" s="248" t="n">
        <f aca="false">ROUNDDOWN(F1140*$C$1194/($C$1194+$E$1194),0)</f>
        <v>69</v>
      </c>
      <c r="G988" s="402" t="n">
        <f aca="false">SUM(B988:F988)</f>
        <v>176577</v>
      </c>
      <c r="H988" s="473" t="n">
        <f aca="false">ROUNDDOWN(H1140*$C$1194/($C$1194+$E$1194),0)</f>
        <v>42961</v>
      </c>
      <c r="I988" s="475" t="n">
        <f aca="false">ROUNDDOWN(I1140*$C$1194/($C$1194+$E$1194),0)</f>
        <v>43719</v>
      </c>
      <c r="J988" s="248" t="n">
        <f aca="false">SUM(H988:I988)</f>
        <v>86680</v>
      </c>
      <c r="K988" s="473" t="n">
        <f aca="false">ROUNDDOWN(K1140*$C$1194/($C$1194+$E$1194),0)</f>
        <v>5397</v>
      </c>
      <c r="L988" s="475" t="n">
        <f aca="false">ROUNDDOWN(L1140*$C$1194/($C$1194+$E$1194),0)</f>
        <v>5395</v>
      </c>
      <c r="M988" s="248" t="n">
        <f aca="false">SUM(K988:L988)</f>
        <v>10792</v>
      </c>
      <c r="N988" s="473" t="n">
        <f aca="false">ROUNDDOWN(N1140*$C$1194/($C$1194+$E$1194),0)</f>
        <v>1</v>
      </c>
      <c r="O988" s="475" t="n">
        <f aca="false">ROUNDDOWN(O1140*$C$1194/($C$1194+$E$1194),0)</f>
        <v>1</v>
      </c>
      <c r="P988" s="248" t="n">
        <f aca="false">SUM(N988:O988)</f>
        <v>2</v>
      </c>
      <c r="Q988" s="135" t="str">
        <f aca="false">IF(P208=P988,"〇","×")</f>
        <v>×</v>
      </c>
    </row>
    <row r="989" s="135" customFormat="true" ht="20.1" hidden="false" customHeight="true" outlineLevel="0" collapsed="false">
      <c r="A989" s="125" t="s">
        <v>176</v>
      </c>
      <c r="B989" s="474" t="n">
        <f aca="false">ROUNDDOWN(B1141*$C$1194/($C$1194+$E$1194),0)</f>
        <v>18116</v>
      </c>
      <c r="C989" s="402" t="n">
        <f aca="false">ROUNDDOWN(C1141*$C$1194/($C$1194+$E$1194),0)</f>
        <v>1484</v>
      </c>
      <c r="D989" s="470" t="n">
        <f aca="false">ROUNDDOWN(D1141*$C$1194/($C$1194+$E$1194),0)</f>
        <v>26335</v>
      </c>
      <c r="E989" s="470" t="n">
        <f aca="false">ROUNDDOWN(E1141*$C$1194/($C$1194+$E$1194),0)</f>
        <v>1485</v>
      </c>
      <c r="F989" s="248" t="n">
        <f aca="false">ROUNDDOWN(F1141*$C$1194/($C$1194+$E$1194),0)</f>
        <v>18</v>
      </c>
      <c r="G989" s="402" t="n">
        <f aca="false">SUM(B989:F989)</f>
        <v>47438</v>
      </c>
      <c r="H989" s="473" t="n">
        <f aca="false">ROUNDDOWN(H1141*$C$1194/($C$1194+$E$1194),0)</f>
        <v>17002</v>
      </c>
      <c r="I989" s="475" t="n">
        <f aca="false">ROUNDDOWN(I1141*$C$1194/($C$1194+$E$1194),0)</f>
        <v>17297</v>
      </c>
      <c r="J989" s="248" t="n">
        <f aca="false">SUM(H989:I989)</f>
        <v>34299</v>
      </c>
      <c r="K989" s="473" t="n">
        <f aca="false">ROUNDDOWN(K1141*$C$1194/($C$1194+$E$1194),0)</f>
        <v>1785</v>
      </c>
      <c r="L989" s="475" t="n">
        <f aca="false">ROUNDDOWN(L1141*$C$1194/($C$1194+$E$1194),0)</f>
        <v>1785</v>
      </c>
      <c r="M989" s="248" t="n">
        <f aca="false">SUM(K989:L989)</f>
        <v>3570</v>
      </c>
      <c r="N989" s="473" t="n">
        <f aca="false">ROUNDDOWN(N1141*$C$1194/($C$1194+$E$1194),0)</f>
        <v>1</v>
      </c>
      <c r="O989" s="475" t="n">
        <f aca="false">ROUNDDOWN(O1141*$C$1194/($C$1194+$E$1194),0)</f>
        <v>1</v>
      </c>
      <c r="P989" s="248" t="n">
        <f aca="false">SUM(N989:O989)</f>
        <v>2</v>
      </c>
      <c r="Q989" s="135" t="str">
        <f aca="false">IF(P209=P989,"〇","×")</f>
        <v>×</v>
      </c>
    </row>
    <row r="990" s="135" customFormat="true" ht="20.1" hidden="false" customHeight="true" outlineLevel="0" collapsed="false">
      <c r="A990" s="125" t="s">
        <v>177</v>
      </c>
      <c r="B990" s="474" t="n">
        <f aca="false">ROUNDDOWN(B1142*$C$1194/($C$1194+$E$1194),0)</f>
        <v>1294336</v>
      </c>
      <c r="C990" s="402" t="n">
        <f aca="false">ROUNDDOWN(C1142*$C$1194/($C$1194+$E$1194),0)</f>
        <v>106072</v>
      </c>
      <c r="D990" s="470" t="n">
        <f aca="false">ROUNDDOWN(D1142*$C$1194/($C$1194+$E$1194),0)</f>
        <v>1888287</v>
      </c>
      <c r="E990" s="470" t="n">
        <f aca="false">ROUNDDOWN(E1142*$C$1194/($C$1194+$E$1194),0)</f>
        <v>106094</v>
      </c>
      <c r="F990" s="248" t="n">
        <f aca="false">ROUNDDOWN(F1142*$C$1194/($C$1194+$E$1194),0)</f>
        <v>1342</v>
      </c>
      <c r="G990" s="402" t="n">
        <f aca="false">SUM(B990:F990)</f>
        <v>3396131</v>
      </c>
      <c r="H990" s="473" t="n">
        <f aca="false">ROUNDDOWN(H1142*$C$1194/($C$1194+$E$1194),0)</f>
        <v>823070</v>
      </c>
      <c r="I990" s="475" t="n">
        <f aca="false">ROUNDDOWN(I1142*$C$1194/($C$1194+$E$1194),0)</f>
        <v>837731</v>
      </c>
      <c r="J990" s="248" t="n">
        <f aca="false">SUM(H990:I990)</f>
        <v>1660801</v>
      </c>
      <c r="K990" s="473" t="n">
        <f aca="false">ROUNDDOWN(K1142*$C$1194/($C$1194+$E$1194),0)</f>
        <v>74129</v>
      </c>
      <c r="L990" s="475" t="n">
        <f aca="false">ROUNDDOWN(L1142*$C$1194/($C$1194+$E$1194),0)</f>
        <v>74122</v>
      </c>
      <c r="M990" s="248" t="n">
        <f aca="false">SUM(K990:L990)</f>
        <v>148251</v>
      </c>
      <c r="N990" s="473" t="n">
        <f aca="false">ROUNDDOWN(N1142*$C$1194/($C$1194+$E$1194),0)</f>
        <v>1</v>
      </c>
      <c r="O990" s="475" t="n">
        <f aca="false">ROUNDDOWN(O1142*$C$1194/($C$1194+$E$1194),0)</f>
        <v>1</v>
      </c>
      <c r="P990" s="248" t="n">
        <f aca="false">SUM(N990:O990)</f>
        <v>2</v>
      </c>
      <c r="Q990" s="135" t="str">
        <f aca="false">IF(P210=P990,"〇","×")</f>
        <v>×</v>
      </c>
    </row>
    <row r="991" s="135" customFormat="true" ht="19.5" hidden="false" customHeight="true" outlineLevel="0" collapsed="false">
      <c r="A991" s="146" t="s">
        <v>495</v>
      </c>
      <c r="B991" s="476" t="n">
        <f aca="false">ROUNDDOWN(B1143*$C$1194/($C$1194+$E$1194),0)</f>
        <v>2287</v>
      </c>
      <c r="C991" s="246" t="n">
        <f aca="false">ROUNDDOWN(C1143*$C$1194/($C$1194+$E$1194),0)</f>
        <v>187</v>
      </c>
      <c r="D991" s="476" t="n">
        <f aca="false">ROUNDDOWN(D1143*$C$1194/($C$1194+$E$1194),0)</f>
        <v>3325</v>
      </c>
      <c r="E991" s="477" t="n">
        <f aca="false">ROUNDDOWN(E1143*$C$1194/($C$1194+$E$1194),0)</f>
        <v>187</v>
      </c>
      <c r="F991" s="479" t="n">
        <f aca="false">ROUNDDOWN(F1143*$C$1194/($C$1194+$E$1194),0)</f>
        <v>2</v>
      </c>
      <c r="G991" s="246" t="n">
        <f aca="false">SUM(B991:F991)</f>
        <v>5988</v>
      </c>
      <c r="H991" s="480" t="n">
        <f aca="false">ROUNDDOWN(H1143*$C$1194/($C$1194+$E$1194),0)</f>
        <v>1375</v>
      </c>
      <c r="I991" s="481" t="n">
        <f aca="false">ROUNDDOWN(I1143*$C$1194/($C$1194+$E$1194),0)</f>
        <v>1399</v>
      </c>
      <c r="J991" s="248" t="n">
        <f aca="false">SUM(H991:I991)</f>
        <v>2774</v>
      </c>
      <c r="K991" s="482" t="n">
        <f aca="false">ROUNDDOWN(K1143*$C$1194/($C$1194+$E$1194),0)</f>
        <v>198</v>
      </c>
      <c r="L991" s="483" t="n">
        <f aca="false">ROUNDDOWN(L1143*$C$1194/($C$1194+$E$1194),0)</f>
        <v>198</v>
      </c>
      <c r="M991" s="484" t="n">
        <f aca="false">SUM(K991:L991)</f>
        <v>396</v>
      </c>
      <c r="N991" s="480" t="n">
        <f aca="false">ROUNDDOWN(N1143*$C$1194/($C$1194+$E$1194),0)</f>
        <v>1</v>
      </c>
      <c r="O991" s="481" t="n">
        <f aca="false">ROUNDDOWN(O1143*$C$1194/($C$1194+$E$1194),0)</f>
        <v>1</v>
      </c>
      <c r="P991" s="248" t="n">
        <f aca="false">SUM(N991:O991)</f>
        <v>2</v>
      </c>
      <c r="Q991" s="135" t="str">
        <f aca="false">IF(P211=P991,"〇","×")</f>
        <v>×</v>
      </c>
    </row>
    <row r="992" s="162" customFormat="true" ht="19.5" hidden="false" customHeight="true" outlineLevel="0" collapsed="false">
      <c r="A992" s="151" t="s">
        <v>179</v>
      </c>
      <c r="B992" s="476" t="n">
        <f aca="false">ROUNDDOWN(B1144*$C$1194/($C$1194+$E$1194),0)</f>
        <v>0</v>
      </c>
      <c r="C992" s="402" t="n">
        <f aca="false">ROUNDDOWN(C1144*$C$1194/($C$1194+$E$1194),0)</f>
        <v>0</v>
      </c>
      <c r="D992" s="474" t="n">
        <f aca="false">ROUNDDOWN(D1144*$C$1194/($C$1194+$E$1194),0)</f>
        <v>0</v>
      </c>
      <c r="E992" s="485" t="n">
        <f aca="false">ROUNDDOWN(E1144*$C$1194/($C$1194+$E$1194),0)</f>
        <v>0</v>
      </c>
      <c r="F992" s="479" t="n">
        <f aca="false">ROUNDDOWN(F1144*$C$1194/($C$1194+$E$1194),0)</f>
        <v>0</v>
      </c>
      <c r="G992" s="486" t="n">
        <f aca="false">SUM(B992:F992)</f>
        <v>0</v>
      </c>
      <c r="H992" s="473" t="n">
        <f aca="false">ROUNDDOWN(H1144*$C$1194/($C$1194+$E$1194),0)</f>
        <v>0</v>
      </c>
      <c r="I992" s="475" t="n">
        <f aca="false">ROUNDDOWN(I1144*$C$1194/($C$1194+$E$1194),0)</f>
        <v>0</v>
      </c>
      <c r="J992" s="248" t="n">
        <f aca="false">SUM(H992:I992)</f>
        <v>0</v>
      </c>
      <c r="K992" s="473" t="n">
        <f aca="false">ROUNDDOWN(K1144*$C$1194/($C$1194+$E$1194),0)</f>
        <v>0</v>
      </c>
      <c r="L992" s="475" t="n">
        <f aca="false">ROUNDDOWN(L1144*$C$1194/($C$1194+$E$1194),0)</f>
        <v>0</v>
      </c>
      <c r="M992" s="248" t="n">
        <f aca="false">SUM(K992:L992)</f>
        <v>0</v>
      </c>
      <c r="N992" s="473" t="n">
        <f aca="false">ROUNDDOWN(N1144*$C$1194/($C$1194+$E$1194),0)</f>
        <v>0</v>
      </c>
      <c r="O992" s="475" t="n">
        <f aca="false">ROUNDDOWN(O1144*$C$1194/($C$1194+$E$1194),0)</f>
        <v>0</v>
      </c>
      <c r="P992" s="248" t="n">
        <f aca="false">SUM(N992:O992)</f>
        <v>0</v>
      </c>
      <c r="Q992" s="135" t="str">
        <f aca="false">IF(P212=P992,"〇","×")</f>
        <v>×</v>
      </c>
    </row>
    <row r="993" s="162" customFormat="true" ht="19.5" hidden="false" customHeight="true" outlineLevel="0" collapsed="false">
      <c r="A993" s="163" t="s">
        <v>496</v>
      </c>
      <c r="B993" s="474" t="n">
        <f aca="false">ROUNDDOWN(B1145*$C$1194/($C$1194+$E$1194),0)</f>
        <v>0</v>
      </c>
      <c r="C993" s="402" t="n">
        <f aca="false">ROUNDDOWN(C1145*$C$1194/($C$1194+$E$1194),0)</f>
        <v>0</v>
      </c>
      <c r="D993" s="474" t="n">
        <f aca="false">ROUNDDOWN(D1145*$C$1194/($C$1194+$E$1194),0)</f>
        <v>0</v>
      </c>
      <c r="E993" s="487" t="n">
        <f aca="false">ROUNDDOWN(E1145*$C$1194/($C$1194+$E$1194),0)</f>
        <v>0</v>
      </c>
      <c r="F993" s="248" t="n">
        <f aca="false">ROUNDDOWN(F1145*$C$1194/($C$1194+$E$1194),0)</f>
        <v>0</v>
      </c>
      <c r="G993" s="402" t="n">
        <f aca="false">SUM(B993:F993)</f>
        <v>0</v>
      </c>
      <c r="H993" s="473" t="n">
        <f aca="false">ROUNDDOWN(H1145*$C$1194/($C$1194+$E$1194),0)</f>
        <v>0</v>
      </c>
      <c r="I993" s="475" t="n">
        <f aca="false">ROUNDDOWN(I1145*$C$1194/($C$1194+$E$1194),0)</f>
        <v>0</v>
      </c>
      <c r="J993" s="248" t="n">
        <f aca="false">SUM(H993:I993)</f>
        <v>0</v>
      </c>
      <c r="K993" s="473" t="n">
        <f aca="false">ROUNDDOWN(K1145*$C$1194/($C$1194+$E$1194),0)</f>
        <v>0</v>
      </c>
      <c r="L993" s="475" t="n">
        <f aca="false">ROUNDDOWN(L1145*$C$1194/($C$1194+$E$1194),0)</f>
        <v>0</v>
      </c>
      <c r="M993" s="475" t="n">
        <f aca="false">SUM(K993:L993)</f>
        <v>0</v>
      </c>
      <c r="N993" s="473" t="n">
        <f aca="false">ROUNDDOWN(N1145*$C$1194/($C$1194+$E$1194),0)</f>
        <v>0</v>
      </c>
      <c r="O993" s="475" t="n">
        <f aca="false">ROUNDDOWN(O1145*$C$1194/($C$1194+$E$1194),0)</f>
        <v>0</v>
      </c>
      <c r="P993" s="248" t="n">
        <f aca="false">SUM(N993:O993)</f>
        <v>0</v>
      </c>
      <c r="Q993" s="135" t="str">
        <f aca="false">IF(P213=P993,"〇","×")</f>
        <v>〇</v>
      </c>
    </row>
    <row r="994" s="162" customFormat="true" ht="19.5" hidden="false" customHeight="true" outlineLevel="0" collapsed="false">
      <c r="A994" s="174" t="s">
        <v>496</v>
      </c>
      <c r="B994" s="476" t="n">
        <f aca="false">ROUNDDOWN(B1146*$C$1194/($C$1194+$E$1194),0)</f>
        <v>0</v>
      </c>
      <c r="C994" s="246" t="n">
        <f aca="false">ROUNDDOWN(C1146*$C$1194/($C$1194+$E$1194),0)</f>
        <v>0</v>
      </c>
      <c r="D994" s="476" t="n">
        <f aca="false">ROUNDDOWN(D1146*$C$1194/($C$1194+$E$1194),0)</f>
        <v>0</v>
      </c>
      <c r="E994" s="487" t="n">
        <f aca="false">ROUNDDOWN(E1146*$C$1194/($C$1194+$E$1194),0)</f>
        <v>0</v>
      </c>
      <c r="F994" s="479" t="n">
        <f aca="false">ROUNDDOWN(F1146*$C$1194/($C$1194+$E$1194),0)</f>
        <v>0</v>
      </c>
      <c r="G994" s="246" t="n">
        <f aca="false">SUM(B994:F994)</f>
        <v>0</v>
      </c>
      <c r="H994" s="476" t="n">
        <f aca="false">ROUNDDOWN(H1146*$C$1194/($C$1194+$E$1194),0)</f>
        <v>0</v>
      </c>
      <c r="I994" s="487" t="n">
        <f aca="false">ROUNDDOWN(I1146*$C$1194/($C$1194+$E$1194),0)</f>
        <v>0</v>
      </c>
      <c r="J994" s="479" t="n">
        <f aca="false">SUM(H994:I994)</f>
        <v>0</v>
      </c>
      <c r="K994" s="476" t="n">
        <f aca="false">ROUNDDOWN(K1146*$C$1194/($C$1194+$E$1194),0)</f>
        <v>0</v>
      </c>
      <c r="L994" s="487" t="n">
        <f aca="false">ROUNDDOWN(L1146*$C$1194/($C$1194+$E$1194),0)</f>
        <v>0</v>
      </c>
      <c r="M994" s="487" t="n">
        <f aca="false">SUM(K994:L994)</f>
        <v>0</v>
      </c>
      <c r="N994" s="476" t="n">
        <f aca="false">ROUNDDOWN(N1146*$C$1194/($C$1194+$E$1194),0)</f>
        <v>0</v>
      </c>
      <c r="O994" s="487" t="n">
        <f aca="false">ROUNDDOWN(O1146*$C$1194/($C$1194+$E$1194),0)</f>
        <v>0</v>
      </c>
      <c r="P994" s="479" t="n">
        <f aca="false">SUM(N994:O994)</f>
        <v>0</v>
      </c>
      <c r="Q994" s="135" t="str">
        <f aca="false">IF(P214=P994,"〇","×")</f>
        <v>〇</v>
      </c>
    </row>
    <row r="995" s="162" customFormat="true" ht="19.5" hidden="false" customHeight="true" outlineLevel="0" collapsed="false">
      <c r="A995" s="174" t="s">
        <v>496</v>
      </c>
      <c r="B995" s="474" t="n">
        <f aca="false">ROUNDDOWN(B1147*$C$1194/($C$1194+$E$1194),0)</f>
        <v>0</v>
      </c>
      <c r="C995" s="402" t="n">
        <f aca="false">ROUNDDOWN(C1147*$C$1194/($C$1194+$E$1194),0)</f>
        <v>0</v>
      </c>
      <c r="D995" s="474" t="n">
        <f aca="false">ROUNDDOWN(D1147*$C$1194/($C$1194+$E$1194),0)</f>
        <v>0</v>
      </c>
      <c r="E995" s="488" t="n">
        <f aca="false">ROUNDDOWN(E1147*$C$1194/($C$1194+$E$1194),0)</f>
        <v>0</v>
      </c>
      <c r="F995" s="248" t="n">
        <f aca="false">ROUNDDOWN(F1147*$C$1194/($C$1194+$E$1194),0)</f>
        <v>0</v>
      </c>
      <c r="G995" s="402" t="n">
        <f aca="false">SUM(B995:F995)</f>
        <v>0</v>
      </c>
      <c r="H995" s="474" t="n">
        <f aca="false">ROUNDDOWN(H1147*$C$1194/($C$1194+$E$1194),0)</f>
        <v>0</v>
      </c>
      <c r="I995" s="488" t="n">
        <f aca="false">ROUNDDOWN(I1147*$C$1194/($C$1194+$E$1194),0)</f>
        <v>0</v>
      </c>
      <c r="J995" s="248" t="n">
        <f aca="false">SUM(H995:I995)</f>
        <v>0</v>
      </c>
      <c r="K995" s="474" t="n">
        <f aca="false">ROUNDDOWN(K1147*$C$1194/($C$1194+$E$1194),0)</f>
        <v>0</v>
      </c>
      <c r="L995" s="488" t="n">
        <f aca="false">ROUNDDOWN(L1147*$C$1194/($C$1194+$E$1194),0)</f>
        <v>0</v>
      </c>
      <c r="M995" s="488" t="n">
        <f aca="false">SUM(K995:L995)</f>
        <v>0</v>
      </c>
      <c r="N995" s="474" t="n">
        <f aca="false">ROUNDDOWN(N1147*$C$1194/($C$1194+$E$1194),0)</f>
        <v>0</v>
      </c>
      <c r="O995" s="488" t="n">
        <f aca="false">ROUNDDOWN(O1147*$C$1194/($C$1194+$E$1194),0)</f>
        <v>0</v>
      </c>
      <c r="P995" s="248" t="n">
        <f aca="false">SUM(N995:O995)</f>
        <v>0</v>
      </c>
      <c r="Q995" s="135" t="str">
        <f aca="false">IF(P215=P995,"〇","×")</f>
        <v>〇</v>
      </c>
    </row>
    <row r="996" s="162" customFormat="true" ht="19.5" hidden="false" customHeight="true" outlineLevel="0" collapsed="false">
      <c r="A996" s="187" t="s">
        <v>496</v>
      </c>
      <c r="B996" s="489" t="n">
        <f aca="false">ROUNDDOWN(B1148*$C$1194/($C$1194+$E$1194),0)</f>
        <v>0</v>
      </c>
      <c r="C996" s="490" t="n">
        <f aca="false">ROUNDDOWN(C1148*$C$1194/($C$1194+$E$1194),0)</f>
        <v>0</v>
      </c>
      <c r="D996" s="489" t="n">
        <f aca="false">ROUNDDOWN(D1148*$C$1194/($C$1194+$E$1194),0)</f>
        <v>0</v>
      </c>
      <c r="E996" s="485" t="n">
        <f aca="false">ROUNDDOWN(E1148*$C$1194/($C$1194+$E$1194),0)</f>
        <v>0</v>
      </c>
      <c r="F996" s="491" t="n">
        <f aca="false">ROUNDDOWN(F1148*$C$1194/($C$1194+$E$1194),0)</f>
        <v>0</v>
      </c>
      <c r="G996" s="490" t="n">
        <f aca="false">SUM(B996:F996)</f>
        <v>0</v>
      </c>
      <c r="H996" s="476" t="n">
        <f aca="false">ROUNDDOWN(H1148*$C$1194/($C$1194+$E$1194),0)</f>
        <v>0</v>
      </c>
      <c r="I996" s="492" t="n">
        <f aca="false">ROUNDDOWN(I1148*$C$1194/($C$1194+$E$1194),0)</f>
        <v>0</v>
      </c>
      <c r="J996" s="493" t="n">
        <f aca="false">SUM(H996:I996)</f>
        <v>0</v>
      </c>
      <c r="K996" s="476" t="n">
        <f aca="false">ROUNDDOWN(K1148*$C$1194/($C$1194+$E$1194),0)</f>
        <v>0</v>
      </c>
      <c r="L996" s="487" t="n">
        <f aca="false">ROUNDDOWN(L1148*$C$1194/($C$1194+$E$1194),0)</f>
        <v>0</v>
      </c>
      <c r="M996" s="492" t="n">
        <f aca="false">SUM(K996:L996)</f>
        <v>0</v>
      </c>
      <c r="N996" s="476" t="n">
        <f aca="false">ROUNDDOWN(N1148*$C$1194/($C$1194+$E$1194),0)</f>
        <v>0</v>
      </c>
      <c r="O996" s="492" t="n">
        <f aca="false">ROUNDDOWN(O1148*$C$1194/($C$1194+$E$1194),0)</f>
        <v>0</v>
      </c>
      <c r="P996" s="493" t="n">
        <f aca="false">SUM(N996:O996)</f>
        <v>0</v>
      </c>
      <c r="Q996" s="135" t="str">
        <f aca="false">IF(P216=P996,"〇","×")</f>
        <v>〇</v>
      </c>
    </row>
    <row r="997" s="162" customFormat="true" ht="19.5" hidden="false" customHeight="true" outlineLevel="0" collapsed="false">
      <c r="A997" s="196" t="s">
        <v>518</v>
      </c>
      <c r="B997" s="197" t="n">
        <f aca="false">SUM(B981:B996)</f>
        <v>19214863</v>
      </c>
      <c r="C997" s="198" t="n">
        <f aca="false">SUM(C981:C996)</f>
        <v>1572908</v>
      </c>
      <c r="D997" s="197" t="n">
        <f aca="false">SUM(D981:D996)</f>
        <v>27360277</v>
      </c>
      <c r="E997" s="199" t="n">
        <f aca="false">SUM(E981:E996)</f>
        <v>1513039</v>
      </c>
      <c r="F997" s="200" t="n">
        <f aca="false">SUM(F981:F996)</f>
        <v>19660</v>
      </c>
      <c r="G997" s="201" t="n">
        <f aca="false">SUM(B997:F997)</f>
        <v>49680747</v>
      </c>
      <c r="H997" s="197" t="n">
        <f aca="false">SUM(H981:H996)</f>
        <v>14360720</v>
      </c>
      <c r="I997" s="198" t="n">
        <f aca="false">SUM(I981:I996)</f>
        <v>14136420</v>
      </c>
      <c r="J997" s="200" t="n">
        <f aca="false">SUM(H997:I997)</f>
        <v>28497140</v>
      </c>
      <c r="K997" s="197" t="n">
        <f aca="false">SUM(K981:K996)</f>
        <v>1202797</v>
      </c>
      <c r="L997" s="198" t="n">
        <f aca="false">SUM(L981:L996)</f>
        <v>1180075</v>
      </c>
      <c r="M997" s="200" t="n">
        <f aca="false">SUM(K997:L997)</f>
        <v>2382872</v>
      </c>
      <c r="N997" s="197" t="n">
        <f aca="false">SUM(N981:N996)</f>
        <v>11</v>
      </c>
      <c r="O997" s="198" t="n">
        <f aca="false">SUM(O981:O996)</f>
        <v>11</v>
      </c>
      <c r="P997" s="200" t="n">
        <f aca="false">SUM(N997:O997)</f>
        <v>22</v>
      </c>
      <c r="Q997" s="135" t="str">
        <f aca="false">IF(P217=P997,"〇","×")</f>
        <v>×</v>
      </c>
    </row>
    <row r="998" s="135" customFormat="true" ht="20.1" hidden="false" customHeight="true" outlineLevel="0" collapsed="false">
      <c r="A998" s="202" t="s">
        <v>180</v>
      </c>
      <c r="B998" s="474" t="n">
        <f aca="false">ROUNDDOWN(B1150*$C$1194/($C$1194+$E$1194),0)</f>
        <v>0</v>
      </c>
      <c r="C998" s="402" t="n">
        <f aca="false">ROUNDDOWN(C1150*$C$1194/($C$1194+$E$1194),0)</f>
        <v>0</v>
      </c>
      <c r="D998" s="494" t="n">
        <f aca="false">ROUNDDOWN(D1150*$C$1194/($C$1194+$E$1194),0)</f>
        <v>0</v>
      </c>
      <c r="E998" s="488" t="n">
        <f aca="false">ROUNDDOWN(E1150*$C$1194/($C$1194+$E$1194),0)</f>
        <v>0</v>
      </c>
      <c r="F998" s="248" t="n">
        <f aca="false">ROUNDDOWN(F1150*$C$1194/($C$1194+$E$1194),0)</f>
        <v>0</v>
      </c>
      <c r="G998" s="402" t="n">
        <f aca="false">SUM(B998:F998)</f>
        <v>0</v>
      </c>
      <c r="H998" s="473" t="n">
        <f aca="false">ROUNDDOWN(H1150*$C$1194/($C$1194+$E$1194),0)</f>
        <v>0</v>
      </c>
      <c r="I998" s="475" t="n">
        <f aca="false">ROUNDDOWN(I1150*$C$1194/($C$1194+$E$1194),0)</f>
        <v>0</v>
      </c>
      <c r="J998" s="248" t="n">
        <f aca="false">SUM(H998:I998)</f>
        <v>0</v>
      </c>
      <c r="K998" s="478" t="n">
        <f aca="false">ROUNDDOWN(K1150*$C$1194/($C$1194+$E$1194),0)</f>
        <v>0</v>
      </c>
      <c r="L998" s="475" t="n">
        <f aca="false">ROUNDDOWN(L1150*$C$1194/($C$1194+$E$1194),0)</f>
        <v>0</v>
      </c>
      <c r="M998" s="471" t="n">
        <f aca="false">SUM(K998:L998)</f>
        <v>0</v>
      </c>
      <c r="N998" s="473" t="n">
        <f aca="false">ROUNDDOWN(N1150*$C$1194/($C$1194+$E$1194),0)</f>
        <v>0</v>
      </c>
      <c r="O998" s="475" t="n">
        <f aca="false">ROUNDDOWN(O1150*$C$1194/($C$1194+$E$1194),0)</f>
        <v>0</v>
      </c>
      <c r="P998" s="248" t="n">
        <f aca="false">SUM(N998:O998)</f>
        <v>0</v>
      </c>
      <c r="Q998" s="135" t="str">
        <f aca="false">IF(P218=P998,"〇","×")</f>
        <v>〇</v>
      </c>
    </row>
    <row r="999" s="135" customFormat="true" ht="20.1" hidden="false" customHeight="true" outlineLevel="0" collapsed="false">
      <c r="A999" s="163" t="s">
        <v>182</v>
      </c>
      <c r="B999" s="474" t="n">
        <f aca="false">ROUNDDOWN(B1151*$C$1194/($C$1194+$E$1194),0)</f>
        <v>0</v>
      </c>
      <c r="C999" s="402" t="n">
        <f aca="false">ROUNDDOWN(C1151*$C$1194/($C$1194+$E$1194),0)</f>
        <v>0</v>
      </c>
      <c r="D999" s="489" t="n">
        <f aca="false">ROUNDDOWN(D1151*$C$1194/($C$1194+$E$1194),0)</f>
        <v>35318</v>
      </c>
      <c r="E999" s="477" t="n">
        <f aca="false">ROUNDDOWN(E1151*$C$1194/($C$1194+$E$1194),0)</f>
        <v>2894</v>
      </c>
      <c r="F999" s="248" t="n">
        <f aca="false">ROUNDDOWN(F1151*$C$1194/($C$1194+$E$1194),0)</f>
        <v>39</v>
      </c>
      <c r="G999" s="402" t="n">
        <f aca="false">SUM(B999:F999)</f>
        <v>38251</v>
      </c>
      <c r="H999" s="473" t="n">
        <f aca="false">ROUNDDOWN(H1151*$C$1194/($C$1194+$E$1194),0)</f>
        <v>0</v>
      </c>
      <c r="I999" s="475" t="n">
        <f aca="false">ROUNDDOWN(I1151*$C$1194/($C$1194+$E$1194),0)</f>
        <v>23174</v>
      </c>
      <c r="J999" s="248" t="n">
        <f aca="false">SUM(H999:I999)</f>
        <v>23174</v>
      </c>
      <c r="K999" s="478" t="n">
        <f aca="false">ROUNDDOWN(K1151*$C$1194/($C$1194+$E$1194),0)</f>
        <v>0</v>
      </c>
      <c r="L999" s="475" t="n">
        <f aca="false">ROUNDDOWN(L1151*$C$1194/($C$1194+$E$1194),0)</f>
        <v>2583</v>
      </c>
      <c r="M999" s="248" t="n">
        <f aca="false">SUM(K999:L999)</f>
        <v>2583</v>
      </c>
      <c r="N999" s="473" t="n">
        <f aca="false">ROUNDDOWN(N1151*$C$1194/($C$1194+$E$1194),0)</f>
        <v>0</v>
      </c>
      <c r="O999" s="475" t="n">
        <f aca="false">ROUNDDOWN(O1151*$C$1194/($C$1194+$E$1194),0)</f>
        <v>1</v>
      </c>
      <c r="P999" s="248" t="n">
        <f aca="false">SUM(N999:O999)</f>
        <v>1</v>
      </c>
      <c r="Q999" s="135" t="str">
        <f aca="false">IF(P219=P999,"〇","×")</f>
        <v>×</v>
      </c>
    </row>
    <row r="1000" s="135" customFormat="true" ht="20.1" hidden="false" customHeight="true" outlineLevel="0" collapsed="false">
      <c r="A1000" s="163" t="s">
        <v>183</v>
      </c>
      <c r="B1000" s="474" t="n">
        <f aca="false">ROUNDDOWN(B1152*$C$1194/($C$1194+$E$1194),0)</f>
        <v>0</v>
      </c>
      <c r="C1000" s="402" t="n">
        <f aca="false">ROUNDDOWN(C1152*$C$1194/($C$1194+$E$1194),0)</f>
        <v>0</v>
      </c>
      <c r="D1000" s="476" t="n">
        <f aca="false">ROUNDDOWN(D1152*$C$1194/($C$1194+$E$1194),0)</f>
        <v>98681</v>
      </c>
      <c r="E1000" s="478" t="n">
        <f aca="false">ROUNDDOWN(E1152*$C$1194/($C$1194+$E$1194),0)</f>
        <v>8089</v>
      </c>
      <c r="F1000" s="248" t="n">
        <f aca="false">ROUNDDOWN(F1152*$C$1194/($C$1194+$E$1194),0)</f>
        <v>100</v>
      </c>
      <c r="G1000" s="402" t="n">
        <f aca="false">SUM(B1000:F1000)</f>
        <v>106870</v>
      </c>
      <c r="H1000" s="473" t="n">
        <f aca="false">ROUNDDOWN(H1152*$C$1194/($C$1194+$E$1194),0)</f>
        <v>0</v>
      </c>
      <c r="I1000" s="475" t="n">
        <f aca="false">ROUNDDOWN(I1152*$C$1194/($C$1194+$E$1194),0)</f>
        <v>66823</v>
      </c>
      <c r="J1000" s="248" t="n">
        <f aca="false">SUM(H1000:I1000)</f>
        <v>66823</v>
      </c>
      <c r="K1000" s="478" t="n">
        <f aca="false">ROUNDDOWN(K1152*$C$1194/($C$1194+$E$1194),0)</f>
        <v>0</v>
      </c>
      <c r="L1000" s="475" t="n">
        <f aca="false">ROUNDDOWN(L1152*$C$1194/($C$1194+$E$1194),0)</f>
        <v>6660</v>
      </c>
      <c r="M1000" s="248" t="n">
        <f aca="false">SUM(K1000:L1000)</f>
        <v>6660</v>
      </c>
      <c r="N1000" s="473" t="n">
        <f aca="false">ROUNDDOWN(N1152*$C$1194/($C$1194+$E$1194),0)</f>
        <v>0</v>
      </c>
      <c r="O1000" s="475" t="n">
        <f aca="false">ROUNDDOWN(O1152*$C$1194/($C$1194+$E$1194),0)</f>
        <v>1</v>
      </c>
      <c r="P1000" s="248" t="n">
        <f aca="false">SUM(N1000:O1000)</f>
        <v>1</v>
      </c>
      <c r="Q1000" s="135" t="str">
        <f aca="false">IF(P220=P1000,"〇","×")</f>
        <v>×</v>
      </c>
    </row>
    <row r="1001" s="135" customFormat="true" ht="20.1" hidden="false" customHeight="true" outlineLevel="0" collapsed="false">
      <c r="A1001" s="163" t="s">
        <v>184</v>
      </c>
      <c r="B1001" s="474" t="n">
        <f aca="false">ROUNDDOWN(B1153*$C$1194/($C$1194+$E$1194),0)</f>
        <v>0</v>
      </c>
      <c r="C1001" s="402" t="n">
        <f aca="false">ROUNDDOWN(C1153*$C$1194/($C$1194+$E$1194),0)</f>
        <v>0</v>
      </c>
      <c r="D1001" s="470" t="n">
        <f aca="false">ROUNDDOWN(D1153*$C$1194/($C$1194+$E$1194),0)</f>
        <v>2562</v>
      </c>
      <c r="E1001" s="478" t="n">
        <f aca="false">ROUNDDOWN(E1153*$C$1194/($C$1194+$E$1194),0)</f>
        <v>210</v>
      </c>
      <c r="F1001" s="248" t="n">
        <f aca="false">ROUNDDOWN(F1153*$C$1194/($C$1194+$E$1194),0)</f>
        <v>3</v>
      </c>
      <c r="G1001" s="402" t="n">
        <f aca="false">SUM(B1001:F1001)</f>
        <v>2775</v>
      </c>
      <c r="H1001" s="473" t="n">
        <f aca="false">ROUNDDOWN(H1153*$C$1194/($C$1194+$E$1194),0)</f>
        <v>0</v>
      </c>
      <c r="I1001" s="475" t="n">
        <f aca="false">ROUNDDOWN(I1153*$C$1194/($C$1194+$E$1194),0)</f>
        <v>1543</v>
      </c>
      <c r="J1001" s="248" t="n">
        <f aca="false">SUM(H1001:I1001)</f>
        <v>1543</v>
      </c>
      <c r="K1001" s="478" t="n">
        <f aca="false">ROUNDDOWN(K1153*$C$1194/($C$1194+$E$1194),0)</f>
        <v>0</v>
      </c>
      <c r="L1001" s="475" t="n">
        <f aca="false">ROUNDDOWN(L1153*$C$1194/($C$1194+$E$1194),0)</f>
        <v>221</v>
      </c>
      <c r="M1001" s="248" t="n">
        <f aca="false">SUM(K1001:L1001)</f>
        <v>221</v>
      </c>
      <c r="N1001" s="473" t="n">
        <f aca="false">ROUNDDOWN(N1153*$C$1194/($C$1194+$E$1194),0)</f>
        <v>0</v>
      </c>
      <c r="O1001" s="475" t="n">
        <f aca="false">ROUNDDOWN(O1153*$C$1194/($C$1194+$E$1194),0)</f>
        <v>1</v>
      </c>
      <c r="P1001" s="248" t="n">
        <f aca="false">SUM(N1001:O1001)</f>
        <v>1</v>
      </c>
      <c r="Q1001" s="135" t="str">
        <f aca="false">IF(P221=P1001,"〇","×")</f>
        <v>×</v>
      </c>
    </row>
    <row r="1002" s="135" customFormat="true" ht="20.1" hidden="false" customHeight="true" outlineLevel="0" collapsed="false">
      <c r="A1002" s="266" t="s">
        <v>185</v>
      </c>
      <c r="B1002" s="474" t="n">
        <f aca="false">ROUNDDOWN(B1154*$C$1194/($C$1194+$E$1194),0)</f>
        <v>0</v>
      </c>
      <c r="C1002" s="402" t="n">
        <f aca="false">ROUNDDOWN(C1154*$C$1194/($C$1194+$E$1194),0)</f>
        <v>0</v>
      </c>
      <c r="D1002" s="470" t="n">
        <f aca="false">ROUNDDOWN(D1154*$C$1194/($C$1194+$E$1194),0)</f>
        <v>21914</v>
      </c>
      <c r="E1002" s="478" t="n">
        <f aca="false">ROUNDDOWN(E1154*$C$1194/($C$1194+$E$1194),0)</f>
        <v>1796</v>
      </c>
      <c r="F1002" s="248" t="n">
        <f aca="false">ROUNDDOWN(F1154*$C$1194/($C$1194+$E$1194),0)</f>
        <v>21</v>
      </c>
      <c r="G1002" s="402" t="n">
        <f aca="false">SUM(B1002:F1002)</f>
        <v>23731</v>
      </c>
      <c r="H1002" s="473" t="n">
        <f aca="false">ROUNDDOWN(H1154*$C$1194/($C$1194+$E$1194),0)</f>
        <v>0</v>
      </c>
      <c r="I1002" s="475" t="n">
        <f aca="false">ROUNDDOWN(I1154*$C$1194/($C$1194+$E$1194),0)</f>
        <v>13199</v>
      </c>
      <c r="J1002" s="248" t="n">
        <f aca="false">SUM(H1002:I1002)</f>
        <v>13199</v>
      </c>
      <c r="K1002" s="478" t="n">
        <f aca="false">ROUNDDOWN(K1154*$C$1194/($C$1194+$E$1194),0)</f>
        <v>0</v>
      </c>
      <c r="L1002" s="475" t="n">
        <f aca="false">ROUNDDOWN(L1154*$C$1194/($C$1194+$E$1194),0)</f>
        <v>1749</v>
      </c>
      <c r="M1002" s="248" t="n">
        <f aca="false">SUM(K1002:L1002)</f>
        <v>1749</v>
      </c>
      <c r="N1002" s="473" t="n">
        <f aca="false">ROUNDDOWN(N1154*$C$1194/($C$1194+$E$1194),0)</f>
        <v>0</v>
      </c>
      <c r="O1002" s="475" t="n">
        <f aca="false">ROUNDDOWN(O1154*$C$1194/($C$1194+$E$1194),0)</f>
        <v>1</v>
      </c>
      <c r="P1002" s="248" t="n">
        <f aca="false">SUM(N1002:O1002)</f>
        <v>1</v>
      </c>
      <c r="Q1002" s="135" t="str">
        <f aca="false">IF(P222=P1002,"〇","×")</f>
        <v>×</v>
      </c>
    </row>
    <row r="1003" s="135" customFormat="true" ht="20.1" hidden="false" customHeight="true" outlineLevel="0" collapsed="false">
      <c r="A1003" s="174" t="s">
        <v>186</v>
      </c>
      <c r="B1003" s="474" t="n">
        <f aca="false">ROUNDDOWN(B1155*$C$1194/($C$1194+$E$1194),0)</f>
        <v>0</v>
      </c>
      <c r="C1003" s="479" t="n">
        <f aca="false">ROUNDDOWN(C1155*$C$1194/($C$1194+$E$1194),0)</f>
        <v>0</v>
      </c>
      <c r="D1003" s="470" t="n">
        <f aca="false">ROUNDDOWN(D1155*$C$1194/($C$1194+$E$1194),0)</f>
        <v>4941</v>
      </c>
      <c r="E1003" s="478" t="n">
        <f aca="false">ROUNDDOWN(E1155*$C$1194/($C$1194+$E$1194),0)</f>
        <v>405</v>
      </c>
      <c r="F1003" s="479" t="n">
        <f aca="false">ROUNDDOWN(F1155*$C$1194/($C$1194+$E$1194),0)</f>
        <v>5</v>
      </c>
      <c r="G1003" s="402" t="n">
        <f aca="false">SUM(B1003:F1003)</f>
        <v>5351</v>
      </c>
      <c r="H1003" s="473" t="n">
        <f aca="false">ROUNDDOWN(H1155*$C$1194/($C$1194+$E$1194),0)</f>
        <v>0</v>
      </c>
      <c r="I1003" s="481" t="n">
        <f aca="false">ROUNDDOWN(I1155*$C$1194/($C$1194+$E$1194),0)</f>
        <v>2976</v>
      </c>
      <c r="J1003" s="248" t="n">
        <f aca="false">SUM(H1003:I1003)</f>
        <v>2976</v>
      </c>
      <c r="K1003" s="478" t="n">
        <f aca="false">ROUNDDOWN(K1155*$C$1194/($C$1194+$E$1194),0)</f>
        <v>0</v>
      </c>
      <c r="L1003" s="481" t="n">
        <f aca="false">ROUNDDOWN(L1155*$C$1194/($C$1194+$E$1194),0)</f>
        <v>426</v>
      </c>
      <c r="M1003" s="248" t="n">
        <f aca="false">SUM(K1003:L1003)</f>
        <v>426</v>
      </c>
      <c r="N1003" s="473" t="n">
        <f aca="false">ROUNDDOWN(N1155*$C$1194/($C$1194+$E$1194),0)</f>
        <v>0</v>
      </c>
      <c r="O1003" s="481" t="n">
        <f aca="false">ROUNDDOWN(O1155*$C$1194/($C$1194+$E$1194),0)</f>
        <v>1</v>
      </c>
      <c r="P1003" s="248" t="n">
        <f aca="false">SUM(N1003:O1003)</f>
        <v>1</v>
      </c>
      <c r="Q1003" s="135" t="str">
        <f aca="false">IF(P223=P1003,"〇","×")</f>
        <v>×</v>
      </c>
    </row>
    <row r="1004" s="135" customFormat="true" ht="20.1" hidden="false" customHeight="true" outlineLevel="0" collapsed="false">
      <c r="A1004" s="174" t="s">
        <v>187</v>
      </c>
      <c r="B1004" s="474" t="n">
        <f aca="false">ROUNDDOWN(B1156*$C$1194/($C$1194+$E$1194),0)</f>
        <v>0</v>
      </c>
      <c r="C1004" s="479" t="n">
        <f aca="false">ROUNDDOWN(C1156*$C$1194/($C$1194+$E$1194),0)</f>
        <v>0</v>
      </c>
      <c r="D1004" s="476" t="n">
        <f aca="false">ROUNDDOWN(D1156*$C$1194/($C$1194+$E$1194),0)</f>
        <v>2608</v>
      </c>
      <c r="E1004" s="478" t="n">
        <f aca="false">ROUNDDOWN(E1156*$C$1194/($C$1194+$E$1194),0)</f>
        <v>213</v>
      </c>
      <c r="F1004" s="248" t="n">
        <f aca="false">ROUNDDOWN(F1156*$C$1194/($C$1194+$E$1194),0)</f>
        <v>3</v>
      </c>
      <c r="G1004" s="402" t="n">
        <f aca="false">SUM(B1004:F1004)</f>
        <v>2824</v>
      </c>
      <c r="H1004" s="473" t="n">
        <f aca="false">ROUNDDOWN(H1156*$C$1194/($C$1194+$E$1194),0)</f>
        <v>0</v>
      </c>
      <c r="I1004" s="475" t="n">
        <f aca="false">ROUNDDOWN(I1156*$C$1194/($C$1194+$E$1194),0)</f>
        <v>1571</v>
      </c>
      <c r="J1004" s="248" t="n">
        <f aca="false">SUM(H1004:I1004)</f>
        <v>1571</v>
      </c>
      <c r="K1004" s="478" t="n">
        <f aca="false">ROUNDDOWN(K1156*$C$1194/($C$1194+$E$1194),0)</f>
        <v>0</v>
      </c>
      <c r="L1004" s="475" t="n">
        <f aca="false">ROUNDDOWN(L1156*$C$1194/($C$1194+$E$1194),0)</f>
        <v>225</v>
      </c>
      <c r="M1004" s="248" t="n">
        <f aca="false">SUM(K1004:L1004)</f>
        <v>225</v>
      </c>
      <c r="N1004" s="473" t="n">
        <f aca="false">ROUNDDOWN(N1156*$C$1194/($C$1194+$E$1194),0)</f>
        <v>0</v>
      </c>
      <c r="O1004" s="475" t="n">
        <f aca="false">ROUNDDOWN(O1156*$C$1194/($C$1194+$E$1194),0)</f>
        <v>1</v>
      </c>
      <c r="P1004" s="248" t="n">
        <f aca="false">SUM(N1004:O1004)</f>
        <v>1</v>
      </c>
      <c r="Q1004" s="135" t="str">
        <f aca="false">IF(P224=P1004,"〇","×")</f>
        <v>×</v>
      </c>
    </row>
    <row r="1005" s="135" customFormat="true" ht="20.1" hidden="false" customHeight="true" outlineLevel="0" collapsed="false">
      <c r="A1005" s="174" t="s">
        <v>188</v>
      </c>
      <c r="B1005" s="474" t="n">
        <f aca="false">ROUNDDOWN(B1157*$C$1194/($C$1194+$E$1194),0)</f>
        <v>0</v>
      </c>
      <c r="C1005" s="248" t="n">
        <f aca="false">ROUNDDOWN(C1157*$C$1194/($C$1194+$E$1194),0)</f>
        <v>0</v>
      </c>
      <c r="D1005" s="474" t="n">
        <f aca="false">ROUNDDOWN(D1157*$C$1194/($C$1194+$E$1194),0)</f>
        <v>6861</v>
      </c>
      <c r="E1005" s="478" t="n">
        <f aca="false">ROUNDDOWN(E1157*$C$1194/($C$1194+$E$1194),0)</f>
        <v>563</v>
      </c>
      <c r="F1005" s="248" t="n">
        <f aca="false">ROUNDDOWN(F1157*$C$1194/($C$1194+$E$1194),0)</f>
        <v>7</v>
      </c>
      <c r="G1005" s="402" t="n">
        <f aca="false">SUM(B1005:F1005)</f>
        <v>7431</v>
      </c>
      <c r="H1005" s="473" t="n">
        <f aca="false">ROUNDDOWN(H1157*$C$1194/($C$1194+$E$1194),0)</f>
        <v>0</v>
      </c>
      <c r="I1005" s="475" t="n">
        <f aca="false">ROUNDDOWN(I1157*$C$1194/($C$1194+$E$1194),0)</f>
        <v>4133</v>
      </c>
      <c r="J1005" s="248" t="n">
        <f aca="false">SUM(H1005:I1005)</f>
        <v>4133</v>
      </c>
      <c r="K1005" s="478" t="n">
        <f aca="false">ROUNDDOWN(K1157*$C$1194/($C$1194+$E$1194),0)</f>
        <v>0</v>
      </c>
      <c r="L1005" s="475" t="n">
        <f aca="false">ROUNDDOWN(L1157*$C$1194/($C$1194+$E$1194),0)</f>
        <v>380</v>
      </c>
      <c r="M1005" s="248" t="n">
        <f aca="false">SUM(K1005:L1005)</f>
        <v>380</v>
      </c>
      <c r="N1005" s="473" t="n">
        <f aca="false">ROUNDDOWN(N1157*$C$1194/($C$1194+$E$1194),0)</f>
        <v>0</v>
      </c>
      <c r="O1005" s="475" t="n">
        <f aca="false">ROUNDDOWN(O1157*$C$1194/($C$1194+$E$1194),0)</f>
        <v>1</v>
      </c>
      <c r="P1005" s="248" t="n">
        <f aca="false">SUM(N1005:O1005)</f>
        <v>1</v>
      </c>
      <c r="Q1005" s="135" t="str">
        <f aca="false">IF(P225=P1005,"〇","×")</f>
        <v>×</v>
      </c>
    </row>
    <row r="1006" s="135" customFormat="true" ht="20.1" hidden="false" customHeight="true" outlineLevel="0" collapsed="false">
      <c r="A1006" s="174" t="s">
        <v>189</v>
      </c>
      <c r="B1006" s="476" t="n">
        <f aca="false">ROUNDDOWN(B1158*$C$1194/($C$1194+$E$1194),0)</f>
        <v>20541</v>
      </c>
      <c r="C1006" s="248" t="n">
        <f aca="false">ROUNDDOWN(C1158*$C$1194/($C$1194+$E$1194),0)</f>
        <v>1683</v>
      </c>
      <c r="D1006" s="474" t="n">
        <f aca="false">ROUNDDOWN(D1158*$C$1194/($C$1194+$E$1194),0)</f>
        <v>20542</v>
      </c>
      <c r="E1006" s="478" t="n">
        <f aca="false">ROUNDDOWN(E1158*$C$1194/($C$1194+$E$1194),0)</f>
        <v>1683</v>
      </c>
      <c r="F1006" s="248" t="n">
        <f aca="false">ROUNDDOWN(F1158*$C$1194/($C$1194+$E$1194),0)</f>
        <v>20</v>
      </c>
      <c r="G1006" s="402" t="n">
        <f aca="false">SUM(B1006:F1006)</f>
        <v>44469</v>
      </c>
      <c r="H1006" s="473" t="n">
        <f aca="false">ROUNDDOWN(H1158*$C$1194/($C$1194+$E$1194),0)</f>
        <v>12350</v>
      </c>
      <c r="I1006" s="475" t="n">
        <f aca="false">ROUNDDOWN(I1158*$C$1194/($C$1194+$E$1194),0)</f>
        <v>12372</v>
      </c>
      <c r="J1006" s="248" t="n">
        <f aca="false">SUM(H1006:I1006)</f>
        <v>24722</v>
      </c>
      <c r="K1006" s="478" t="n">
        <f aca="false">ROUNDDOWN(K1158*$C$1194/($C$1194+$E$1194),0)</f>
        <v>668</v>
      </c>
      <c r="L1006" s="475" t="n">
        <f aca="false">ROUNDDOWN(L1158*$C$1194/($C$1194+$E$1194),0)</f>
        <v>667</v>
      </c>
      <c r="M1006" s="248" t="n">
        <f aca="false">SUM(K1006:L1006)</f>
        <v>1335</v>
      </c>
      <c r="N1006" s="473" t="n">
        <f aca="false">ROUNDDOWN(N1158*$C$1194/($C$1194+$E$1194),0)</f>
        <v>1</v>
      </c>
      <c r="O1006" s="475" t="n">
        <f aca="false">ROUNDDOWN(O1158*$C$1194/($C$1194+$E$1194),0)</f>
        <v>1</v>
      </c>
      <c r="P1006" s="248" t="n">
        <f aca="false">SUM(N1006:O1006)</f>
        <v>2</v>
      </c>
      <c r="Q1006" s="135" t="str">
        <f aca="false">IF(P226=P1006,"〇","×")</f>
        <v>×</v>
      </c>
    </row>
    <row r="1007" s="135" customFormat="true" ht="20.1" hidden="false" customHeight="true" outlineLevel="0" collapsed="false">
      <c r="A1007" s="219" t="s">
        <v>190</v>
      </c>
      <c r="B1007" s="474" t="n">
        <f aca="false">ROUNDDOWN(B1159*$C$1194/($C$1194+$E$1194),0)</f>
        <v>3156</v>
      </c>
      <c r="C1007" s="248" t="n">
        <f aca="false">ROUNDDOWN(C1159*$C$1194/($C$1194+$E$1194),0)</f>
        <v>258</v>
      </c>
      <c r="D1007" s="474" t="n">
        <f aca="false">ROUNDDOWN(D1159*$C$1194/($C$1194+$E$1194),0)</f>
        <v>3157</v>
      </c>
      <c r="E1007" s="478" t="n">
        <f aca="false">ROUNDDOWN(E1159*$C$1194/($C$1194+$E$1194),0)</f>
        <v>258</v>
      </c>
      <c r="F1007" s="248" t="n">
        <f aca="false">ROUNDDOWN(F1159*$C$1194/($C$1194+$E$1194),0)</f>
        <v>3</v>
      </c>
      <c r="G1007" s="246" t="n">
        <f aca="false">SUM(B1007:F1007)</f>
        <v>6832</v>
      </c>
      <c r="H1007" s="473" t="n">
        <f aca="false">ROUNDDOWN(H1159*$C$1194/($C$1194+$E$1194),0)</f>
        <v>1897</v>
      </c>
      <c r="I1007" s="475" t="n">
        <f aca="false">ROUNDDOWN(I1159*$C$1194/($C$1194+$E$1194),0)</f>
        <v>1901</v>
      </c>
      <c r="J1007" s="248" t="n">
        <f aca="false">SUM(H1007:I1007)</f>
        <v>3798</v>
      </c>
      <c r="K1007" s="478" t="n">
        <f aca="false">ROUNDDOWN(K1159*$C$1194/($C$1194+$E$1194),0)</f>
        <v>0</v>
      </c>
      <c r="L1007" s="475" t="n">
        <f aca="false">ROUNDDOWN(L1159*$C$1194/($C$1194+$E$1194),0)</f>
        <v>0</v>
      </c>
      <c r="M1007" s="248" t="n">
        <f aca="false">SUM(K1007:L1007)</f>
        <v>0</v>
      </c>
      <c r="N1007" s="473" t="n">
        <f aca="false">ROUNDDOWN(N1159*$C$1194/($C$1194+$E$1194),0)</f>
        <v>1</v>
      </c>
      <c r="O1007" s="475" t="n">
        <f aca="false">ROUNDDOWN(O1159*$C$1194/($C$1194+$E$1194),0)</f>
        <v>1</v>
      </c>
      <c r="P1007" s="248" t="n">
        <f aca="false">SUM(N1007:O1007)</f>
        <v>2</v>
      </c>
      <c r="Q1007" s="135" t="str">
        <f aca="false">IF(P227=P1007,"〇","×")</f>
        <v>×</v>
      </c>
    </row>
    <row r="1008" s="135" customFormat="true" ht="20.1" hidden="false" customHeight="true" outlineLevel="0" collapsed="false">
      <c r="A1008" s="163" t="s">
        <v>191</v>
      </c>
      <c r="B1008" s="474" t="n">
        <f aca="false">ROUNDDOWN(B1160*$C$1194/($C$1194+$E$1194),0)</f>
        <v>7319</v>
      </c>
      <c r="C1008" s="248" t="n">
        <f aca="false">ROUNDDOWN(C1160*$C$1194/($C$1194+$E$1194),0)</f>
        <v>599</v>
      </c>
      <c r="D1008" s="474" t="n">
        <f aca="false">ROUNDDOWN(D1160*$C$1194/($C$1194+$E$1194),0)</f>
        <v>7320</v>
      </c>
      <c r="E1008" s="478" t="n">
        <f aca="false">ROUNDDOWN(E1160*$C$1194/($C$1194+$E$1194),0)</f>
        <v>600</v>
      </c>
      <c r="F1008" s="248" t="n">
        <f aca="false">ROUNDDOWN(F1160*$C$1194/($C$1194+$E$1194),0)</f>
        <v>7</v>
      </c>
      <c r="G1008" s="402" t="n">
        <f aca="false">SUM(B1008:F1008)</f>
        <v>15845</v>
      </c>
      <c r="H1008" s="473" t="n">
        <f aca="false">ROUNDDOWN(H1160*$C$1194/($C$1194+$E$1194),0)</f>
        <v>4402</v>
      </c>
      <c r="I1008" s="475" t="n">
        <f aca="false">ROUNDDOWN(I1160*$C$1194/($C$1194+$E$1194),0)</f>
        <v>4408</v>
      </c>
      <c r="J1008" s="248" t="n">
        <f aca="false">SUM(H1008:I1008)</f>
        <v>8810</v>
      </c>
      <c r="K1008" s="478" t="n">
        <f aca="false">ROUNDDOWN(K1160*$C$1194/($C$1194+$E$1194),0)</f>
        <v>324</v>
      </c>
      <c r="L1008" s="475" t="n">
        <f aca="false">ROUNDDOWN(L1160*$C$1194/($C$1194+$E$1194),0)</f>
        <v>324</v>
      </c>
      <c r="M1008" s="248" t="n">
        <f aca="false">SUM(K1008:L1008)</f>
        <v>648</v>
      </c>
      <c r="N1008" s="473" t="n">
        <f aca="false">ROUNDDOWN(N1160*$C$1194/($C$1194+$E$1194),0)</f>
        <v>1</v>
      </c>
      <c r="O1008" s="475" t="n">
        <f aca="false">ROUNDDOWN(O1160*$C$1194/($C$1194+$E$1194),0)</f>
        <v>1</v>
      </c>
      <c r="P1008" s="248" t="n">
        <f aca="false">SUM(N1008:O1008)</f>
        <v>2</v>
      </c>
      <c r="Q1008" s="135" t="str">
        <f aca="false">IF(P228=P1008,"〇","×")</f>
        <v>×</v>
      </c>
    </row>
    <row r="1009" s="135" customFormat="true" ht="20.1" hidden="false" customHeight="true" outlineLevel="0" collapsed="false">
      <c r="A1009" s="163" t="s">
        <v>192</v>
      </c>
      <c r="B1009" s="489" t="n">
        <f aca="false">ROUNDDOWN(B1161*$C$1194/($C$1194+$E$1194),0)</f>
        <v>47211</v>
      </c>
      <c r="C1009" s="479" t="n">
        <f aca="false">ROUNDDOWN(C1161*$C$1194/($C$1194+$E$1194),0)</f>
        <v>3867</v>
      </c>
      <c r="D1009" s="489" t="n">
        <f aca="false">ROUNDDOWN(D1161*$C$1194/($C$1194+$E$1194),0)</f>
        <v>47214</v>
      </c>
      <c r="E1009" s="495" t="n">
        <f aca="false">ROUNDDOWN(E1161*$C$1194/($C$1194+$E$1194),0)</f>
        <v>3869</v>
      </c>
      <c r="F1009" s="491" t="n">
        <f aca="false">ROUNDDOWN(F1161*$C$1194/($C$1194+$E$1194),0)</f>
        <v>49</v>
      </c>
      <c r="G1009" s="402" t="n">
        <f aca="false">SUM(B1009:F1009)</f>
        <v>102210</v>
      </c>
      <c r="H1009" s="496" t="n">
        <f aca="false">ROUNDDOWN(H1161*$C$1194/($C$1194+$E$1194),0)</f>
        <v>29266</v>
      </c>
      <c r="I1009" s="497" t="n">
        <f aca="false">ROUNDDOWN(I1161*$C$1194/($C$1194+$E$1194),0)</f>
        <v>29319</v>
      </c>
      <c r="J1009" s="248" t="n">
        <f aca="false">SUM(H1009:I1009)</f>
        <v>58585</v>
      </c>
      <c r="K1009" s="495" t="n">
        <f aca="false">ROUNDDOWN(K1161*$C$1194/($C$1194+$E$1194),0)</f>
        <v>2587</v>
      </c>
      <c r="L1009" s="497" t="n">
        <f aca="false">ROUNDDOWN(L1161*$C$1194/($C$1194+$E$1194),0)</f>
        <v>2587</v>
      </c>
      <c r="M1009" s="248" t="n">
        <f aca="false">SUM(K1009:L1009)</f>
        <v>5174</v>
      </c>
      <c r="N1009" s="496" t="n">
        <f aca="false">ROUNDDOWN(N1161*$C$1194/($C$1194+$E$1194),0)</f>
        <v>1</v>
      </c>
      <c r="O1009" s="497" t="n">
        <f aca="false">ROUNDDOWN(O1161*$C$1194/($C$1194+$E$1194),0)</f>
        <v>1</v>
      </c>
      <c r="P1009" s="248" t="n">
        <f aca="false">SUM(N1009:O1009)</f>
        <v>2</v>
      </c>
      <c r="Q1009" s="135" t="str">
        <f aca="false">IF(P229=P1009,"〇","×")</f>
        <v>×</v>
      </c>
    </row>
    <row r="1010" s="135" customFormat="true" ht="20.1" hidden="false" customHeight="true" outlineLevel="0" collapsed="false">
      <c r="A1010" s="163" t="s">
        <v>193</v>
      </c>
      <c r="B1010" s="476" t="n">
        <f aca="false">ROUNDDOWN(B1162*$C$1194/($C$1194+$E$1194),0)</f>
        <v>0</v>
      </c>
      <c r="C1010" s="479" t="n">
        <f aca="false">ROUNDDOWN(C1162*$C$1194/($C$1194+$E$1194),0)</f>
        <v>0</v>
      </c>
      <c r="D1010" s="476" t="n">
        <f aca="false">ROUNDDOWN(D1162*$C$1194/($C$1194+$E$1194),0)</f>
        <v>31613</v>
      </c>
      <c r="E1010" s="498" t="n">
        <f aca="false">ROUNDDOWN(E1162*$C$1194/($C$1194+$E$1194),0)</f>
        <v>2591</v>
      </c>
      <c r="F1010" s="479" t="n">
        <f aca="false">ROUNDDOWN(F1162*$C$1194/($C$1194+$E$1194),0)</f>
        <v>34</v>
      </c>
      <c r="G1010" s="402" t="n">
        <f aca="false">SUM(B1010:F1010)</f>
        <v>34238</v>
      </c>
      <c r="H1010" s="480" t="n">
        <f aca="false">ROUNDDOWN(H1162*$C$1194/($C$1194+$E$1194),0)</f>
        <v>0</v>
      </c>
      <c r="I1010" s="481" t="n">
        <f aca="false">ROUNDDOWN(I1162*$C$1194/($C$1194+$E$1194),0)</f>
        <v>19041</v>
      </c>
      <c r="J1010" s="248" t="n">
        <f aca="false">SUM(H1010:I1010)</f>
        <v>19041</v>
      </c>
      <c r="K1010" s="498" t="n">
        <f aca="false">ROUNDDOWN(K1162*$C$1194/($C$1194+$E$1194),0)</f>
        <v>0</v>
      </c>
      <c r="L1010" s="481" t="n">
        <f aca="false">ROUNDDOWN(L1162*$C$1194/($C$1194+$E$1194),0)</f>
        <v>1434</v>
      </c>
      <c r="M1010" s="248" t="n">
        <f aca="false">SUM(K1010:L1010)</f>
        <v>1434</v>
      </c>
      <c r="N1010" s="480" t="n">
        <f aca="false">ROUNDDOWN(N1162*$C$1194/($C$1194+$E$1194),0)</f>
        <v>0</v>
      </c>
      <c r="O1010" s="481" t="n">
        <f aca="false">ROUNDDOWN(O1162*$C$1194/($C$1194+$E$1194),0)</f>
        <v>1</v>
      </c>
      <c r="P1010" s="248" t="n">
        <f aca="false">SUM(N1010:O1010)</f>
        <v>1</v>
      </c>
      <c r="Q1010" s="135" t="str">
        <f aca="false">IF(P230=P1010,"〇","×")</f>
        <v>×</v>
      </c>
    </row>
    <row r="1011" s="135" customFormat="true" ht="20.1" hidden="false" customHeight="true" outlineLevel="0" collapsed="false">
      <c r="A1011" s="499" t="s">
        <v>194</v>
      </c>
      <c r="B1011" s="474" t="n">
        <f aca="false">ROUNDDOWN(B1163*$C$1194/($C$1194+$E$1194),0)</f>
        <v>0</v>
      </c>
      <c r="C1011" s="248" t="n">
        <f aca="false">ROUNDDOWN(C1163*$C$1194/($C$1194+$E$1194),0)</f>
        <v>0</v>
      </c>
      <c r="D1011" s="474" t="n">
        <f aca="false">ROUNDDOWN(D1163*$C$1194/($C$1194+$E$1194),0)</f>
        <v>64508</v>
      </c>
      <c r="E1011" s="478" t="n">
        <f aca="false">ROUNDDOWN(E1163*$C$1194/($C$1194+$E$1194),0)</f>
        <v>5287</v>
      </c>
      <c r="F1011" s="479" t="n">
        <f aca="false">ROUNDDOWN(F1163*$C$1194/($C$1194+$E$1194),0)</f>
        <v>67</v>
      </c>
      <c r="G1011" s="402" t="n">
        <f aca="false">SUM(B1011:F1011)</f>
        <v>69862</v>
      </c>
      <c r="H1011" s="473" t="n">
        <f aca="false">ROUNDDOWN(H1163*$C$1194/($C$1194+$E$1194),0)</f>
        <v>0</v>
      </c>
      <c r="I1011" s="481" t="n">
        <f aca="false">ROUNDDOWN(I1163*$C$1194/($C$1194+$E$1194),0)</f>
        <v>38852</v>
      </c>
      <c r="J1011" s="248" t="n">
        <f aca="false">SUM(H1011:I1011)</f>
        <v>38852</v>
      </c>
      <c r="K1011" s="478" t="n">
        <f aca="false">ROUNDDOWN(K1163*$C$1194/($C$1194+$E$1194),0)</f>
        <v>0</v>
      </c>
      <c r="L1011" s="481" t="n">
        <f aca="false">ROUNDDOWN(L1163*$C$1194/($C$1194+$E$1194),0)</f>
        <v>5218</v>
      </c>
      <c r="M1011" s="248" t="n">
        <f aca="false">SUM(K1011:L1011)</f>
        <v>5218</v>
      </c>
      <c r="N1011" s="473" t="n">
        <f aca="false">ROUNDDOWN(N1163*$C$1194/($C$1194+$E$1194),0)</f>
        <v>0</v>
      </c>
      <c r="O1011" s="481" t="n">
        <f aca="false">ROUNDDOWN(O1163*$C$1194/($C$1194+$E$1194),0)</f>
        <v>1</v>
      </c>
      <c r="P1011" s="248" t="n">
        <f aca="false">SUM(N1011:O1011)</f>
        <v>1</v>
      </c>
      <c r="Q1011" s="135" t="str">
        <f aca="false">IF(P231=P1011,"〇","×")</f>
        <v>×</v>
      </c>
    </row>
    <row r="1012" s="135" customFormat="true" ht="20.1" hidden="false" customHeight="true" outlineLevel="0" collapsed="false">
      <c r="A1012" s="499" t="s">
        <v>195</v>
      </c>
      <c r="B1012" s="474" t="n">
        <f aca="false">ROUNDDOWN(B1164*$C$1194/($C$1194+$E$1194),0)</f>
        <v>0</v>
      </c>
      <c r="C1012" s="248" t="n">
        <f aca="false">ROUNDDOWN(C1164*$C$1194/($C$1194+$E$1194),0)</f>
        <v>0</v>
      </c>
      <c r="D1012" s="474" t="n">
        <f aca="false">ROUNDDOWN(D1164*$C$1194/($C$1194+$E$1194),0)</f>
        <v>0</v>
      </c>
      <c r="E1012" s="478" t="n">
        <f aca="false">ROUNDDOWN(E1164*$C$1194/($C$1194+$E$1194),0)</f>
        <v>0</v>
      </c>
      <c r="F1012" s="479" t="n">
        <f aca="false">ROUNDDOWN(F1164*$C$1194/($C$1194+$E$1194),0)</f>
        <v>0</v>
      </c>
      <c r="G1012" s="402" t="n">
        <f aca="false">SUM(B1012:F1012)</f>
        <v>0</v>
      </c>
      <c r="H1012" s="473" t="n">
        <f aca="false">ROUNDDOWN(H1164*$C$1194/($C$1194+$E$1194),0)</f>
        <v>0</v>
      </c>
      <c r="I1012" s="481" t="n">
        <f aca="false">ROUNDDOWN(I1164*$C$1194/($C$1194+$E$1194),0)</f>
        <v>0</v>
      </c>
      <c r="J1012" s="248" t="n">
        <f aca="false">SUM(H1012:I1012)</f>
        <v>0</v>
      </c>
      <c r="K1012" s="478" t="n">
        <f aca="false">ROUNDDOWN(K1164*$C$1194/($C$1194+$E$1194),0)</f>
        <v>0</v>
      </c>
      <c r="L1012" s="481" t="n">
        <f aca="false">ROUNDDOWN(L1164*$C$1194/($C$1194+$E$1194),0)</f>
        <v>0</v>
      </c>
      <c r="M1012" s="248" t="n">
        <f aca="false">SUM(K1012:L1012)</f>
        <v>0</v>
      </c>
      <c r="N1012" s="473" t="n">
        <f aca="false">ROUNDDOWN(N1164*$C$1194/($C$1194+$E$1194),0)</f>
        <v>0</v>
      </c>
      <c r="O1012" s="481" t="n">
        <f aca="false">ROUNDDOWN(O1164*$C$1194/($C$1194+$E$1194),0)</f>
        <v>0</v>
      </c>
      <c r="P1012" s="248" t="n">
        <f aca="false">SUM(N1012:O1012)</f>
        <v>0</v>
      </c>
      <c r="Q1012" s="135" t="str">
        <f aca="false">IF(P232=P1012,"〇","×")</f>
        <v>〇</v>
      </c>
    </row>
    <row r="1013" s="135" customFormat="true" ht="20.1" hidden="false" customHeight="true" outlineLevel="0" collapsed="false">
      <c r="A1013" s="163" t="s">
        <v>196</v>
      </c>
      <c r="B1013" s="474" t="n">
        <f aca="false">ROUNDDOWN(B1165*$C$1194/($C$1194+$E$1194),0)</f>
        <v>0</v>
      </c>
      <c r="C1013" s="248" t="n">
        <f aca="false">ROUNDDOWN(C1165*$C$1194/($C$1194+$E$1194),0)</f>
        <v>0</v>
      </c>
      <c r="D1013" s="474" t="n">
        <f aca="false">ROUNDDOWN(D1165*$C$1194/($C$1194+$E$1194),0)</f>
        <v>22739</v>
      </c>
      <c r="E1013" s="478" t="n">
        <f aca="false">ROUNDDOWN(E1165*$C$1194/($C$1194+$E$1194),0)</f>
        <v>1864</v>
      </c>
      <c r="F1013" s="479" t="n">
        <f aca="false">ROUNDDOWN(F1165*$C$1194/($C$1194+$E$1194),0)</f>
        <v>23</v>
      </c>
      <c r="G1013" s="402" t="n">
        <f aca="false">SUM(B1013:F1013)</f>
        <v>24626</v>
      </c>
      <c r="H1013" s="473" t="n">
        <f aca="false">ROUNDDOWN(H1165*$C$1194/($C$1194+$E$1194),0)</f>
        <v>0</v>
      </c>
      <c r="I1013" s="481" t="n">
        <f aca="false">ROUNDDOWN(I1165*$C$1194/($C$1194+$E$1194),0)</f>
        <v>13694</v>
      </c>
      <c r="J1013" s="248" t="n">
        <f aca="false">SUM(H1013:I1013)</f>
        <v>13694</v>
      </c>
      <c r="K1013" s="478" t="n">
        <f aca="false">ROUNDDOWN(K1165*$C$1194/($C$1194+$E$1194),0)</f>
        <v>0</v>
      </c>
      <c r="L1013" s="481" t="n">
        <f aca="false">ROUNDDOWN(L1165*$C$1194/($C$1194+$E$1194),0)</f>
        <v>1964</v>
      </c>
      <c r="M1013" s="248" t="n">
        <f aca="false">SUM(K1013:L1013)</f>
        <v>1964</v>
      </c>
      <c r="N1013" s="473" t="n">
        <f aca="false">ROUNDDOWN(N1165*$C$1194/($C$1194+$E$1194),0)</f>
        <v>0</v>
      </c>
      <c r="O1013" s="481" t="n">
        <f aca="false">ROUNDDOWN(O1165*$C$1194/($C$1194+$E$1194),0)</f>
        <v>1</v>
      </c>
      <c r="P1013" s="248" t="n">
        <f aca="false">SUM(N1013:O1013)</f>
        <v>1</v>
      </c>
      <c r="Q1013" s="135" t="str">
        <f aca="false">IF(P233=P1013,"〇","×")</f>
        <v>×</v>
      </c>
    </row>
    <row r="1014" s="135" customFormat="true" ht="20.1" hidden="false" customHeight="true" outlineLevel="0" collapsed="false">
      <c r="A1014" s="174" t="s">
        <v>197</v>
      </c>
      <c r="B1014" s="474" t="n">
        <f aca="false">ROUNDDOWN(B1166*$C$1194/($C$1194+$E$1194),0)</f>
        <v>7778</v>
      </c>
      <c r="C1014" s="248" t="n">
        <f aca="false">ROUNDDOWN(C1166*$C$1194/($C$1194+$E$1194),0)</f>
        <v>638</v>
      </c>
      <c r="D1014" s="474" t="n">
        <f aca="false">ROUNDDOWN(D1166*$C$1194/($C$1194+$E$1194),0)</f>
        <v>7777</v>
      </c>
      <c r="E1014" s="478" t="n">
        <f aca="false">ROUNDDOWN(E1166*$C$1194/($C$1194+$E$1194),0)</f>
        <v>638</v>
      </c>
      <c r="F1014" s="479" t="n">
        <f aca="false">ROUNDDOWN(F1166*$C$1194/($C$1194+$E$1194),0)</f>
        <v>8</v>
      </c>
      <c r="G1014" s="402" t="n">
        <f aca="false">SUM(B1014:F1014)</f>
        <v>16839</v>
      </c>
      <c r="H1014" s="473" t="n">
        <f aca="false">ROUNDDOWN(H1166*$C$1194/($C$1194+$E$1194),0)</f>
        <v>4675</v>
      </c>
      <c r="I1014" s="481" t="n">
        <f aca="false">ROUNDDOWN(I1166*$C$1194/($C$1194+$E$1194),0)</f>
        <v>4685</v>
      </c>
      <c r="J1014" s="248" t="n">
        <f aca="false">SUM(H1014:I1014)</f>
        <v>9360</v>
      </c>
      <c r="K1014" s="478" t="n">
        <f aca="false">ROUNDDOWN(K1166*$C$1194/($C$1194+$E$1194),0)</f>
        <v>466</v>
      </c>
      <c r="L1014" s="481" t="n">
        <f aca="false">ROUNDDOWN(L1166*$C$1194/($C$1194+$E$1194),0)</f>
        <v>466</v>
      </c>
      <c r="M1014" s="248" t="n">
        <f aca="false">SUM(K1014:L1014)</f>
        <v>932</v>
      </c>
      <c r="N1014" s="473" t="n">
        <f aca="false">ROUNDDOWN(N1166*$C$1194/($C$1194+$E$1194),0)</f>
        <v>1</v>
      </c>
      <c r="O1014" s="481" t="n">
        <f aca="false">ROUNDDOWN(O1166*$C$1194/($C$1194+$E$1194),0)</f>
        <v>1</v>
      </c>
      <c r="P1014" s="248" t="n">
        <f aca="false">SUM(N1014:O1014)</f>
        <v>2</v>
      </c>
      <c r="Q1014" s="135" t="str">
        <f aca="false">IF(P234=P1014,"〇","×")</f>
        <v>×</v>
      </c>
    </row>
    <row r="1015" s="135" customFormat="true" ht="20.1" hidden="false" customHeight="true" outlineLevel="0" collapsed="false">
      <c r="A1015" s="231" t="s">
        <v>219</v>
      </c>
      <c r="B1015" s="476" t="n">
        <f aca="false">ROUNDDOWN(B1167*$C$1194/($C$1194+$E$1194),0)</f>
        <v>0</v>
      </c>
      <c r="C1015" s="479" t="n">
        <f aca="false">ROUNDDOWN(C1167*$C$1194/($C$1194+$E$1194),0)</f>
        <v>0</v>
      </c>
      <c r="D1015" s="476" t="n">
        <f aca="false">ROUNDDOWN(D1167*$C$1194/($C$1194+$E$1194),0)</f>
        <v>21640</v>
      </c>
      <c r="E1015" s="498" t="n">
        <f aca="false">ROUNDDOWN(E1167*$C$1194/($C$1194+$E$1194),0)</f>
        <v>1773</v>
      </c>
      <c r="F1015" s="479" t="n">
        <f aca="false">ROUNDDOWN(F1167*$C$1194/($C$1194+$E$1194),0)</f>
        <v>22</v>
      </c>
      <c r="G1015" s="402" t="n">
        <f aca="false">SUM(B1015:F1015)</f>
        <v>23435</v>
      </c>
      <c r="H1015" s="480" t="n">
        <f aca="false">ROUNDDOWN(H1167*$C$1194/($C$1194+$E$1194),0)</f>
        <v>0</v>
      </c>
      <c r="I1015" s="481" t="n">
        <f aca="false">ROUNDDOWN(I1167*$C$1194/($C$1194+$E$1194),0)</f>
        <v>14191</v>
      </c>
      <c r="J1015" s="248" t="n">
        <f aca="false">SUM(H1015:I1015)</f>
        <v>14191</v>
      </c>
      <c r="K1015" s="498" t="n">
        <f aca="false">ROUNDDOWN(K1167*$C$1194/($C$1194+$E$1194),0)</f>
        <v>0</v>
      </c>
      <c r="L1015" s="481" t="n">
        <f aca="false">ROUNDDOWN(L1167*$C$1194/($C$1194+$E$1194),0)</f>
        <v>1220</v>
      </c>
      <c r="M1015" s="248" t="n">
        <f aca="false">SUM(K1015:L1015)</f>
        <v>1220</v>
      </c>
      <c r="N1015" s="480" t="n">
        <f aca="false">ROUNDDOWN(N1167*$C$1194/($C$1194+$E$1194),0)</f>
        <v>0</v>
      </c>
      <c r="O1015" s="481" t="n">
        <f aca="false">ROUNDDOWN(O1167*$C$1194/($C$1194+$E$1194),0)</f>
        <v>1</v>
      </c>
      <c r="P1015" s="248" t="n">
        <f aca="false">SUM(N1015:O1015)</f>
        <v>1</v>
      </c>
      <c r="Q1015" s="135" t="str">
        <f aca="false">IF(P235=P1015,"〇","×")</f>
        <v>×</v>
      </c>
    </row>
    <row r="1016" s="135" customFormat="true" ht="20.1" hidden="false" customHeight="true" outlineLevel="0" collapsed="false">
      <c r="A1016" s="174" t="s">
        <v>199</v>
      </c>
      <c r="B1016" s="474" t="n">
        <f aca="false">ROUNDDOWN(B1168*$C$1194/($C$1194+$E$1194),0)</f>
        <v>2837</v>
      </c>
      <c r="C1016" s="248" t="n">
        <f aca="false">ROUNDDOWN(C1168*$C$1194/($C$1194+$E$1194),0)</f>
        <v>233</v>
      </c>
      <c r="D1016" s="474" t="n">
        <f aca="false">ROUNDDOWN(D1168*$C$1194/($C$1194+$E$1194),0)</f>
        <v>2836</v>
      </c>
      <c r="E1016" s="478" t="n">
        <f aca="false">ROUNDDOWN(E1168*$C$1194/($C$1194+$E$1194),0)</f>
        <v>233</v>
      </c>
      <c r="F1016" s="248" t="n">
        <f aca="false">ROUNDDOWN(F1168*$C$1194/($C$1194+$E$1194),0)</f>
        <v>3</v>
      </c>
      <c r="G1016" s="402" t="n">
        <f aca="false">SUM(B1016:F1016)</f>
        <v>6142</v>
      </c>
      <c r="H1016" s="473" t="n">
        <f aca="false">ROUNDDOWN(H1168*$C$1194/($C$1194+$E$1194),0)</f>
        <v>1706</v>
      </c>
      <c r="I1016" s="475" t="n">
        <f aca="false">ROUNDDOWN(I1168*$C$1194/($C$1194+$E$1194),0)</f>
        <v>1709</v>
      </c>
      <c r="J1016" s="248" t="n">
        <f aca="false">SUM(H1016:I1016)</f>
        <v>3415</v>
      </c>
      <c r="K1016" s="478" t="n">
        <f aca="false">ROUNDDOWN(K1168*$C$1194/($C$1194+$E$1194),0)</f>
        <v>245</v>
      </c>
      <c r="L1016" s="475" t="n">
        <f aca="false">ROUNDDOWN(L1168*$C$1194/($C$1194+$E$1194),0)</f>
        <v>245</v>
      </c>
      <c r="M1016" s="248" t="n">
        <f aca="false">SUM(K1016:L1016)</f>
        <v>490</v>
      </c>
      <c r="N1016" s="473" t="n">
        <f aca="false">ROUNDDOWN(N1168*$C$1194/($C$1194+$E$1194),0)</f>
        <v>1</v>
      </c>
      <c r="O1016" s="475" t="n">
        <f aca="false">ROUNDDOWN(O1168*$C$1194/($C$1194+$E$1194),0)</f>
        <v>1</v>
      </c>
      <c r="P1016" s="248" t="n">
        <f aca="false">SUM(N1016:O1016)</f>
        <v>2</v>
      </c>
      <c r="Q1016" s="135" t="str">
        <f aca="false">IF(P236=P1016,"〇","×")</f>
        <v>×</v>
      </c>
    </row>
    <row r="1017" s="135" customFormat="true" ht="20.1" hidden="false" customHeight="true" outlineLevel="0" collapsed="false">
      <c r="A1017" s="266" t="s">
        <v>200</v>
      </c>
      <c r="B1017" s="476" t="n">
        <f aca="false">ROUNDDOWN(B1169*$C$1194/($C$1194+$E$1194),0)</f>
        <v>1052</v>
      </c>
      <c r="C1017" s="248" t="n">
        <f aca="false">ROUNDDOWN(C1169*$C$1194/($C$1194+$E$1194),0)</f>
        <v>86</v>
      </c>
      <c r="D1017" s="474" t="n">
        <f aca="false">ROUNDDOWN(D1169*$C$1194/($C$1194+$E$1194),0)</f>
        <v>1052</v>
      </c>
      <c r="E1017" s="478" t="n">
        <f aca="false">ROUNDDOWN(E1169*$C$1194/($C$1194+$E$1194),0)</f>
        <v>86</v>
      </c>
      <c r="F1017" s="248" t="n">
        <f aca="false">ROUNDDOWN(F1169*$C$1194/($C$1194+$E$1194),0)</f>
        <v>1</v>
      </c>
      <c r="G1017" s="402" t="n">
        <f aca="false">SUM(B1017:F1017)</f>
        <v>2277</v>
      </c>
      <c r="H1017" s="473" t="n">
        <f aca="false">ROUNDDOWN(H1169*$C$1194/($C$1194+$E$1194),0)</f>
        <v>3026</v>
      </c>
      <c r="I1017" s="475" t="n">
        <f aca="false">ROUNDDOWN(I1169*$C$1194/($C$1194+$E$1194),0)</f>
        <v>3031</v>
      </c>
      <c r="J1017" s="248" t="n">
        <f aca="false">SUM(H1017:I1017)</f>
        <v>6057</v>
      </c>
      <c r="K1017" s="478" t="n">
        <f aca="false">ROUNDDOWN(K1169*$C$1194/($C$1194+$E$1194),0)</f>
        <v>434</v>
      </c>
      <c r="L1017" s="475" t="n">
        <f aca="false">ROUNDDOWN(L1169*$C$1194/($C$1194+$E$1194),0)</f>
        <v>434</v>
      </c>
      <c r="M1017" s="248" t="n">
        <f aca="false">SUM(K1017:L1017)</f>
        <v>868</v>
      </c>
      <c r="N1017" s="473" t="n">
        <f aca="false">ROUNDDOWN(N1169*$C$1194/($C$1194+$E$1194),0)</f>
        <v>1</v>
      </c>
      <c r="O1017" s="475" t="n">
        <f aca="false">ROUNDDOWN(O1169*$C$1194/($C$1194+$E$1194),0)</f>
        <v>1</v>
      </c>
      <c r="P1017" s="248" t="n">
        <f aca="false">SUM(N1017:O1017)</f>
        <v>2</v>
      </c>
      <c r="Q1017" s="135" t="str">
        <f aca="false">IF(P237=P1017,"〇","×")</f>
        <v>×</v>
      </c>
    </row>
    <row r="1018" s="135" customFormat="true" ht="20.1" hidden="false" customHeight="true" outlineLevel="0" collapsed="false">
      <c r="A1018" s="266" t="s">
        <v>201</v>
      </c>
      <c r="B1018" s="474" t="n">
        <f aca="false">ROUNDDOWN(B1170*$C$1194/($C$1194+$E$1194),0)</f>
        <v>1875</v>
      </c>
      <c r="C1018" s="248" t="n">
        <f aca="false">ROUNDDOWN(C1170*$C$1194/($C$1194+$E$1194),0)</f>
        <v>153</v>
      </c>
      <c r="D1018" s="474" t="n">
        <f aca="false">ROUNDDOWN(D1170*$C$1194/($C$1194+$E$1194),0)</f>
        <v>1876</v>
      </c>
      <c r="E1018" s="478" t="n">
        <f aca="false">ROUNDDOWN(E1170*$C$1194/($C$1194+$E$1194),0)</f>
        <v>153</v>
      </c>
      <c r="F1018" s="248" t="n">
        <f aca="false">ROUNDDOWN(F1170*$C$1194/($C$1194+$E$1194),0)</f>
        <v>2</v>
      </c>
      <c r="G1018" s="402" t="n">
        <f aca="false">SUM(B1018:F1018)</f>
        <v>4059</v>
      </c>
      <c r="H1018" s="473" t="n">
        <f aca="false">ROUNDDOWN(H1170*$C$1194/($C$1194+$E$1194),0)</f>
        <v>1128</v>
      </c>
      <c r="I1018" s="475" t="n">
        <f aca="false">ROUNDDOWN(I1170*$C$1194/($C$1194+$E$1194),0)</f>
        <v>1130</v>
      </c>
      <c r="J1018" s="248" t="n">
        <f aca="false">SUM(H1018:I1018)</f>
        <v>2258</v>
      </c>
      <c r="K1018" s="478" t="n">
        <f aca="false">ROUNDDOWN(K1170*$C$1194/($C$1194+$E$1194),0)</f>
        <v>0</v>
      </c>
      <c r="L1018" s="475" t="n">
        <f aca="false">ROUNDDOWN(L1170*$C$1194/($C$1194+$E$1194),0)</f>
        <v>0</v>
      </c>
      <c r="M1018" s="248" t="n">
        <f aca="false">SUM(K1018:L1018)</f>
        <v>0</v>
      </c>
      <c r="N1018" s="473" t="n">
        <f aca="false">ROUNDDOWN(N1170*$C$1194/($C$1194+$E$1194),0)</f>
        <v>1</v>
      </c>
      <c r="O1018" s="475" t="n">
        <f aca="false">ROUNDDOWN(O1170*$C$1194/($C$1194+$E$1194),0)</f>
        <v>1</v>
      </c>
      <c r="P1018" s="248" t="n">
        <f aca="false">SUM(N1018:O1018)</f>
        <v>2</v>
      </c>
      <c r="Q1018" s="135" t="str">
        <f aca="false">IF(P238=P1018,"〇","×")</f>
        <v>×</v>
      </c>
    </row>
    <row r="1019" s="135" customFormat="true" ht="20.1" hidden="false" customHeight="true" outlineLevel="0" collapsed="false">
      <c r="A1019" s="174" t="s">
        <v>202</v>
      </c>
      <c r="B1019" s="474" t="n">
        <f aca="false">ROUNDDOWN(B1171*$C$1194/($C$1194+$E$1194),0)</f>
        <v>66200</v>
      </c>
      <c r="C1019" s="248" t="n">
        <f aca="false">ROUNDDOWN(C1171*$C$1194/($C$1194+$E$1194),0)</f>
        <v>5426</v>
      </c>
      <c r="D1019" s="474" t="n">
        <f aca="false">ROUNDDOWN(D1171*$C$1194/($C$1194+$E$1194),0)</f>
        <v>66200</v>
      </c>
      <c r="E1019" s="478" t="n">
        <f aca="false">ROUNDDOWN(E1171*$C$1194/($C$1194+$E$1194),0)</f>
        <v>5426</v>
      </c>
      <c r="F1019" s="248" t="n">
        <f aca="false">ROUNDDOWN(F1171*$C$1194/($C$1194+$E$1194),0)</f>
        <v>71</v>
      </c>
      <c r="G1019" s="402" t="n">
        <f aca="false">SUM(B1019:F1019)</f>
        <v>143323</v>
      </c>
      <c r="H1019" s="473" t="n">
        <f aca="false">ROUNDDOWN(H1171*$C$1194/($C$1194+$E$1194),0)</f>
        <v>39799</v>
      </c>
      <c r="I1019" s="475" t="n">
        <f aca="false">ROUNDDOWN(I1171*$C$1194/($C$1194+$E$1194),0)</f>
        <v>39874</v>
      </c>
      <c r="J1019" s="248" t="n">
        <f aca="false">SUM(H1019:I1019)</f>
        <v>79673</v>
      </c>
      <c r="K1019" s="478" t="n">
        <f aca="false">ROUNDDOWN(K1171*$C$1194/($C$1194+$E$1194),0)</f>
        <v>3368</v>
      </c>
      <c r="L1019" s="475" t="n">
        <f aca="false">ROUNDDOWN(L1171*$C$1194/($C$1194+$E$1194),0)</f>
        <v>3369</v>
      </c>
      <c r="M1019" s="248" t="n">
        <f aca="false">SUM(K1019:L1019)</f>
        <v>6737</v>
      </c>
      <c r="N1019" s="473" t="n">
        <f aca="false">ROUNDDOWN(N1171*$C$1194/($C$1194+$E$1194),0)</f>
        <v>1</v>
      </c>
      <c r="O1019" s="475" t="n">
        <f aca="false">ROUNDDOWN(O1171*$C$1194/($C$1194+$E$1194),0)</f>
        <v>1</v>
      </c>
      <c r="P1019" s="248" t="n">
        <f aca="false">SUM(N1019:O1019)</f>
        <v>2</v>
      </c>
      <c r="Q1019" s="135" t="str">
        <f aca="false">IF(P239=P1019,"〇","×")</f>
        <v>×</v>
      </c>
    </row>
    <row r="1020" s="135" customFormat="true" ht="20.1" hidden="false" customHeight="true" outlineLevel="0" collapsed="false">
      <c r="A1020" s="174" t="s">
        <v>203</v>
      </c>
      <c r="B1020" s="476" t="n">
        <f aca="false">ROUNDDOWN(B1172*$C$1194/($C$1194+$E$1194),0)</f>
        <v>0</v>
      </c>
      <c r="C1020" s="479" t="n">
        <f aca="false">ROUNDDOWN(C1172*$C$1194/($C$1194+$E$1194),0)</f>
        <v>0</v>
      </c>
      <c r="D1020" s="476" t="n">
        <f aca="false">ROUNDDOWN(D1172*$C$1194/($C$1194+$E$1194),0)</f>
        <v>9652</v>
      </c>
      <c r="E1020" s="477" t="n">
        <f aca="false">ROUNDDOWN(E1172*$C$1194/($C$1194+$E$1194),0)</f>
        <v>791</v>
      </c>
      <c r="F1020" s="479" t="n">
        <f aca="false">ROUNDDOWN(F1172*$C$1194/($C$1194+$E$1194),0)</f>
        <v>10</v>
      </c>
      <c r="G1020" s="402" t="n">
        <f aca="false">SUM(B1020:F1020)</f>
        <v>10453</v>
      </c>
      <c r="H1020" s="476" t="n">
        <f aca="false">ROUNDDOWN(H1172*$C$1194/($C$1194+$E$1194),0)</f>
        <v>0</v>
      </c>
      <c r="I1020" s="487" t="n">
        <f aca="false">ROUNDDOWN(I1172*$C$1194/($C$1194+$E$1194),0)</f>
        <v>7853</v>
      </c>
      <c r="J1020" s="248" t="n">
        <f aca="false">SUM(H1020:I1020)</f>
        <v>7853</v>
      </c>
      <c r="K1020" s="476" t="n">
        <f aca="false">ROUNDDOWN(K1172*$C$1194/($C$1194+$E$1194),0)</f>
        <v>0</v>
      </c>
      <c r="L1020" s="487" t="n">
        <f aca="false">ROUNDDOWN(L1172*$C$1194/($C$1194+$E$1194),0)</f>
        <v>513</v>
      </c>
      <c r="M1020" s="248"/>
      <c r="N1020" s="476" t="n">
        <f aca="false">ROUNDDOWN(N1172*$C$1194/($C$1194+$E$1194),0)</f>
        <v>0</v>
      </c>
      <c r="O1020" s="487" t="n">
        <f aca="false">ROUNDDOWN(O1172*$C$1194/($C$1194+$E$1194),0)</f>
        <v>1</v>
      </c>
      <c r="P1020" s="248" t="n">
        <f aca="false">SUM(N1020:O1020)</f>
        <v>1</v>
      </c>
      <c r="Q1020" s="135" t="str">
        <f aca="false">IF(P240=P1020,"〇","×")</f>
        <v>×</v>
      </c>
    </row>
    <row r="1021" s="135" customFormat="true" ht="20.1" hidden="false" customHeight="true" outlineLevel="0" collapsed="false">
      <c r="A1021" s="500" t="s">
        <v>204</v>
      </c>
      <c r="B1021" s="476" t="n">
        <f aca="false">ROUNDDOWN(B1173*$C$1194/($C$1194+$E$1194),0)</f>
        <v>4948410</v>
      </c>
      <c r="C1021" s="479" t="n">
        <f aca="false">ROUNDDOWN(C1173*$C$1194/($C$1194+$E$1194),0)</f>
        <v>405480</v>
      </c>
      <c r="D1021" s="476" t="n">
        <f aca="false">ROUNDDOWN(D1173*$C$1194/($C$1194+$E$1194),0)</f>
        <v>7427028</v>
      </c>
      <c r="E1021" s="498" t="n">
        <f aca="false">ROUNDDOWN(E1173*$C$1194/($C$1194+$E$1194),0)</f>
        <v>405479</v>
      </c>
      <c r="F1021" s="479" t="n">
        <f aca="false">ROUNDDOWN(F1173*$C$1194/($C$1194+$E$1194),0)</f>
        <v>5605</v>
      </c>
      <c r="G1021" s="402" t="n">
        <f aca="false">SUM(B1021:F1021)</f>
        <v>13192002</v>
      </c>
      <c r="H1021" s="476" t="n">
        <f aca="false">ROUNDDOWN(H1173*$C$1194/($C$1194+$E$1194),0)</f>
        <v>3319939</v>
      </c>
      <c r="I1021" s="481" t="n">
        <f aca="false">ROUNDDOWN(I1173*$C$1194/($C$1194+$E$1194),0)</f>
        <v>3326580</v>
      </c>
      <c r="J1021" s="248" t="n">
        <f aca="false">SUM(H1021:I1021)</f>
        <v>6646519</v>
      </c>
      <c r="K1021" s="476" t="n">
        <f aca="false">ROUNDDOWN(K1173*$C$1194/($C$1194+$E$1194),0)</f>
        <v>263743</v>
      </c>
      <c r="L1021" s="481" t="n">
        <f aca="false">ROUNDDOWN(L1173*$C$1194/($C$1194+$E$1194),0)</f>
        <v>263743</v>
      </c>
      <c r="M1021" s="248" t="n">
        <f aca="false">SUM(K1021:L1021)</f>
        <v>527486</v>
      </c>
      <c r="N1021" s="476" t="n">
        <f aca="false">ROUNDDOWN(N1173*$C$1194/($C$1194+$E$1194),0)</f>
        <v>1</v>
      </c>
      <c r="O1021" s="481" t="n">
        <f aca="false">ROUNDDOWN(O1173*$C$1194/($C$1194+$E$1194),0)</f>
        <v>1</v>
      </c>
      <c r="P1021" s="248" t="n">
        <f aca="false">SUM(N1021:O1021)</f>
        <v>2</v>
      </c>
      <c r="Q1021" s="135" t="str">
        <f aca="false">IF(P241=P1021,"〇","×")</f>
        <v>×</v>
      </c>
    </row>
    <row r="1022" s="135" customFormat="true" ht="20.1" hidden="false" customHeight="true" outlineLevel="0" collapsed="false">
      <c r="A1022" s="377" t="s">
        <v>205</v>
      </c>
      <c r="B1022" s="474" t="n">
        <f aca="false">ROUNDDOWN(B1174*$C$1194/($C$1194+$E$1194),0)</f>
        <v>0</v>
      </c>
      <c r="C1022" s="479" t="n">
        <f aca="false">ROUNDDOWN(C1174*$C$1194/($C$1194+$E$1194),0)</f>
        <v>0</v>
      </c>
      <c r="D1022" s="474" t="n">
        <f aca="false">ROUNDDOWN(D1174*$C$1194/($C$1194+$E$1194),0)</f>
        <v>0</v>
      </c>
      <c r="E1022" s="478" t="n">
        <f aca="false">ROUNDDOWN(E1174*$C$1194/($C$1194+$E$1194),0)</f>
        <v>0</v>
      </c>
      <c r="F1022" s="248" t="n">
        <f aca="false">ROUNDDOWN(F1174*$C$1194/($C$1194+$E$1194),0)</f>
        <v>0</v>
      </c>
      <c r="G1022" s="402" t="n">
        <f aca="false">SUM(B1022:F1022)</f>
        <v>0</v>
      </c>
      <c r="H1022" s="473" t="n">
        <f aca="false">ROUNDDOWN(H1174*$C$1194/($C$1194+$E$1194),0)</f>
        <v>3740</v>
      </c>
      <c r="I1022" s="475" t="n">
        <f aca="false">ROUNDDOWN(I1174*$C$1194/($C$1194+$E$1194),0)</f>
        <v>3749</v>
      </c>
      <c r="J1022" s="248" t="n">
        <f aca="false">SUM(H1022:I1022)</f>
        <v>7489</v>
      </c>
      <c r="K1022" s="478" t="n">
        <f aca="false">ROUNDDOWN(K1174*$C$1194/($C$1194+$E$1194),0)</f>
        <v>391</v>
      </c>
      <c r="L1022" s="475" t="n">
        <f aca="false">ROUNDDOWN(L1174*$C$1194/($C$1194+$E$1194),0)</f>
        <v>391</v>
      </c>
      <c r="M1022" s="248" t="n">
        <f aca="false">SUM(K1022:L1022)</f>
        <v>782</v>
      </c>
      <c r="N1022" s="473" t="n">
        <f aca="false">ROUNDDOWN(N1174*$C$1194/($C$1194+$E$1194),0)</f>
        <v>1</v>
      </c>
      <c r="O1022" s="475" t="n">
        <f aca="false">ROUNDDOWN(O1174*$C$1194/($C$1194+$E$1194),0)</f>
        <v>1</v>
      </c>
      <c r="P1022" s="248" t="n">
        <f aca="false">SUM(N1022:O1022)</f>
        <v>2</v>
      </c>
      <c r="Q1022" s="135" t="str">
        <f aca="false">IF(P242=P1022,"〇","×")</f>
        <v>×</v>
      </c>
    </row>
    <row r="1023" s="135" customFormat="true" ht="20.1" hidden="false" customHeight="true" outlineLevel="0" collapsed="false">
      <c r="A1023" s="236" t="s">
        <v>206</v>
      </c>
      <c r="B1023" s="476" t="n">
        <f aca="false">ROUNDDOWN(B1175*$C$1194/($C$1194+$E$1194),0)</f>
        <v>0</v>
      </c>
      <c r="C1023" s="246" t="n">
        <f aca="false">ROUNDDOWN(C1175*$C$1194/($C$1194+$E$1194),0)</f>
        <v>0</v>
      </c>
      <c r="D1023" s="476" t="n">
        <f aca="false">ROUNDDOWN(D1175*$C$1194/($C$1194+$E$1194),0)</f>
        <v>0</v>
      </c>
      <c r="E1023" s="477" t="n">
        <f aca="false">ROUNDDOWN(E1175*$C$1194/($C$1194+$E$1194),0)</f>
        <v>0</v>
      </c>
      <c r="F1023" s="479" t="n">
        <f aca="false">ROUNDDOWN(F1175*$C$1194/($C$1194+$E$1194),0)</f>
        <v>0</v>
      </c>
      <c r="G1023" s="402" t="n">
        <f aca="false">SUM(B1023:F1023)</f>
        <v>0</v>
      </c>
      <c r="H1023" s="476" t="n">
        <f aca="false">ROUNDDOWN(H1175*$C$1194/($C$1194+$E$1194),0)</f>
        <v>0</v>
      </c>
      <c r="I1023" s="487" t="n">
        <f aca="false">ROUNDDOWN(I1175*$C$1194/($C$1194+$E$1194),0)</f>
        <v>0</v>
      </c>
      <c r="J1023" s="248" t="n">
        <f aca="false">SUM(H1023:I1023)</f>
        <v>0</v>
      </c>
      <c r="K1023" s="477" t="n">
        <f aca="false">ROUNDDOWN(K1175*$C$1194/($C$1194+$E$1194),0)</f>
        <v>0</v>
      </c>
      <c r="L1023" s="487" t="n">
        <f aca="false">ROUNDDOWN(L1175*$C$1194/($C$1194+$E$1194),0)</f>
        <v>0</v>
      </c>
      <c r="M1023" s="248" t="n">
        <f aca="false">SUM(K1023:L1023)</f>
        <v>0</v>
      </c>
      <c r="N1023" s="476" t="n">
        <f aca="false">ROUNDDOWN(N1175*$C$1194/($C$1194+$E$1194),0)</f>
        <v>0</v>
      </c>
      <c r="O1023" s="487" t="n">
        <f aca="false">ROUNDDOWN(O1175*$C$1194/($C$1194+$E$1194),0)</f>
        <v>0</v>
      </c>
      <c r="P1023" s="248" t="n">
        <f aca="false">SUM(N1023:O1023)</f>
        <v>0</v>
      </c>
      <c r="Q1023" s="135" t="str">
        <f aca="false">IF(P243=P1023,"〇","×")</f>
        <v>〇</v>
      </c>
    </row>
    <row r="1024" s="135" customFormat="true" ht="20.1" hidden="false" customHeight="true" outlineLevel="0" collapsed="false">
      <c r="A1024" s="236" t="s">
        <v>207</v>
      </c>
      <c r="B1024" s="476" t="n">
        <f aca="false">ROUNDDOWN(B1176*$C$1194/($C$1194+$E$1194),0)</f>
        <v>0</v>
      </c>
      <c r="C1024" s="246" t="n">
        <f aca="false">ROUNDDOWN(C1176*$C$1194/($C$1194+$E$1194),0)</f>
        <v>0</v>
      </c>
      <c r="D1024" s="476" t="n">
        <f aca="false">ROUNDDOWN(D1176*$C$1194/($C$1194+$E$1194),0)</f>
        <v>0</v>
      </c>
      <c r="E1024" s="477" t="n">
        <f aca="false">ROUNDDOWN(E1176*$C$1194/($C$1194+$E$1194),0)</f>
        <v>0</v>
      </c>
      <c r="F1024" s="479" t="n">
        <f aca="false">ROUNDDOWN(F1176*$C$1194/($C$1194+$E$1194),0)</f>
        <v>0</v>
      </c>
      <c r="G1024" s="402" t="n">
        <f aca="false">SUM(B1024:F1024)</f>
        <v>0</v>
      </c>
      <c r="H1024" s="476" t="n">
        <f aca="false">ROUNDDOWN(H1176*$C$1194/($C$1194+$E$1194),0)</f>
        <v>3906</v>
      </c>
      <c r="I1024" s="487" t="n">
        <f aca="false">ROUNDDOWN(I1176*$C$1194/($C$1194+$E$1194),0)</f>
        <v>3912</v>
      </c>
      <c r="J1024" s="248" t="n">
        <f aca="false">SUM(H1024:I1024)</f>
        <v>7818</v>
      </c>
      <c r="K1024" s="477" t="n">
        <f aca="false">ROUNDDOWN(K1176*$C$1194/($C$1194+$E$1194),0)</f>
        <v>561</v>
      </c>
      <c r="L1024" s="487" t="n">
        <f aca="false">ROUNDDOWN(L1176*$C$1194/($C$1194+$E$1194),0)</f>
        <v>561</v>
      </c>
      <c r="M1024" s="248" t="n">
        <f aca="false">SUM(K1024:L1024)</f>
        <v>1122</v>
      </c>
      <c r="N1024" s="476" t="n">
        <f aca="false">ROUNDDOWN(N1176*$C$1194/($C$1194+$E$1194),0)</f>
        <v>1</v>
      </c>
      <c r="O1024" s="487" t="n">
        <f aca="false">ROUNDDOWN(O1176*$C$1194/($C$1194+$E$1194),0)</f>
        <v>1</v>
      </c>
      <c r="P1024" s="248" t="n">
        <f aca="false">SUM(N1024:O1024)</f>
        <v>2</v>
      </c>
      <c r="Q1024" s="135" t="str">
        <f aca="false">IF(P244=P1024,"〇","×")</f>
        <v>×</v>
      </c>
    </row>
    <row r="1025" s="135" customFormat="true" ht="20.1" hidden="false" customHeight="true" outlineLevel="0" collapsed="false">
      <c r="A1025" s="174"/>
      <c r="B1025" s="476" t="n">
        <f aca="false">ROUNDDOWN(B1177*$C$1194/($C$1194+$E$1194),0)</f>
        <v>0</v>
      </c>
      <c r="C1025" s="479" t="n">
        <f aca="false">ROUNDDOWN(C1177*$C$1194/($C$1194+$E$1194),0)</f>
        <v>0</v>
      </c>
      <c r="D1025" s="477" t="n">
        <f aca="false">ROUNDDOWN(D1177*$C$1194/($C$1194+$E$1194),0)</f>
        <v>0</v>
      </c>
      <c r="E1025" s="487" t="n">
        <f aca="false">ROUNDDOWN(E1177*$C$1194/($C$1194+$E$1194),0)</f>
        <v>0</v>
      </c>
      <c r="F1025" s="479" t="n">
        <f aca="false">ROUNDDOWN(F1177*$C$1194/($C$1194+$E$1194),0)</f>
        <v>0</v>
      </c>
      <c r="G1025" s="246" t="n">
        <f aca="false">SUM(B1025:F1025)</f>
        <v>0</v>
      </c>
      <c r="H1025" s="474" t="n">
        <f aca="false">ROUNDDOWN(H1177*$C$1194/($C$1194+$E$1194),0)</f>
        <v>0</v>
      </c>
      <c r="I1025" s="487" t="n">
        <f aca="false">ROUNDDOWN(I1177*$C$1194/($C$1194+$E$1194),0)</f>
        <v>0</v>
      </c>
      <c r="J1025" s="248" t="n">
        <f aca="false">SUM(H1025:I1025)</f>
        <v>0</v>
      </c>
      <c r="K1025" s="477" t="n">
        <f aca="false">ROUNDDOWN(K1177*$C$1194/($C$1194+$E$1194),0)</f>
        <v>0</v>
      </c>
      <c r="L1025" s="487" t="n">
        <f aca="false">ROUNDDOWN(L1177*$C$1194/($C$1194+$E$1194),0)</f>
        <v>0</v>
      </c>
      <c r="M1025" s="248" t="n">
        <f aca="false">SUM(K1025:L1025)</f>
        <v>0</v>
      </c>
      <c r="N1025" s="474" t="n">
        <f aca="false">ROUNDDOWN(N1177*$C$1194/($C$1194+$E$1194),0)</f>
        <v>0</v>
      </c>
      <c r="O1025" s="487" t="n">
        <f aca="false">ROUNDDOWN(O1177*$C$1194/($C$1194+$E$1194),0)</f>
        <v>0</v>
      </c>
      <c r="P1025" s="248" t="n">
        <f aca="false">SUM(N1025:O1025)</f>
        <v>0</v>
      </c>
      <c r="Q1025" s="135" t="str">
        <f aca="false">IF(P245=P1025,"〇","×")</f>
        <v>〇</v>
      </c>
    </row>
    <row r="1026" s="162" customFormat="true" ht="0.2" hidden="false" customHeight="true" outlineLevel="0" collapsed="false">
      <c r="A1026" s="174"/>
      <c r="B1026" s="182"/>
      <c r="C1026" s="181"/>
      <c r="D1026" s="245"/>
      <c r="E1026" s="183"/>
      <c r="F1026" s="181"/>
      <c r="G1026" s="246" t="n">
        <f aca="false">SUM(B1026:F1026)</f>
        <v>0</v>
      </c>
      <c r="H1026" s="185"/>
      <c r="I1026" s="183"/>
      <c r="J1026" s="248" t="n">
        <f aca="false">SUM(H1026:I1026)</f>
        <v>0</v>
      </c>
      <c r="K1026" s="245"/>
      <c r="L1026" s="183"/>
      <c r="M1026" s="248" t="n">
        <f aca="false">SUM(K1026:L1026)</f>
        <v>0</v>
      </c>
      <c r="N1026" s="185"/>
      <c r="O1026" s="183"/>
      <c r="P1026" s="248" t="n">
        <f aca="false">SUM(N1026:O1026)</f>
        <v>0</v>
      </c>
      <c r="Q1026" s="135" t="str">
        <f aca="false">IF(P246=P1026,"〇","×")</f>
        <v>〇</v>
      </c>
    </row>
    <row r="1027" s="162" customFormat="true" ht="0.2" hidden="false" customHeight="true" outlineLevel="0" collapsed="false">
      <c r="A1027" s="187"/>
      <c r="B1027" s="249"/>
      <c r="C1027" s="250"/>
      <c r="D1027" s="251"/>
      <c r="E1027" s="252"/>
      <c r="F1027" s="250"/>
      <c r="G1027" s="253"/>
      <c r="H1027" s="256"/>
      <c r="I1027" s="254"/>
      <c r="J1027" s="255"/>
      <c r="K1027" s="256"/>
      <c r="L1027" s="254"/>
      <c r="M1027" s="255"/>
      <c r="N1027" s="256"/>
      <c r="O1027" s="254"/>
      <c r="P1027" s="255"/>
      <c r="Q1027" s="135" t="str">
        <f aca="false">IF(P247=P1027,"〇","×")</f>
        <v>〇</v>
      </c>
    </row>
    <row r="1028" s="135" customFormat="true" ht="20.1" hidden="false" customHeight="true" outlineLevel="0" collapsed="false">
      <c r="A1028" s="196" t="s">
        <v>519</v>
      </c>
      <c r="B1028" s="197" t="n">
        <f aca="false">SUM(B998:B1027)</f>
        <v>5106379</v>
      </c>
      <c r="C1028" s="200" t="n">
        <f aca="false">SUM(C998:C1027)</f>
        <v>418423</v>
      </c>
      <c r="D1028" s="198" t="n">
        <f aca="false">SUM(D998:D1027)</f>
        <v>7908039</v>
      </c>
      <c r="E1028" s="199" t="n">
        <f aca="false">SUM(E998:E1027)</f>
        <v>444901</v>
      </c>
      <c r="F1028" s="200" t="n">
        <f aca="false">SUM(F998:F1027)</f>
        <v>6103</v>
      </c>
      <c r="G1028" s="201" t="n">
        <f aca="false">SUM(B1028:F1028)</f>
        <v>13883845</v>
      </c>
      <c r="H1028" s="197" t="n">
        <f aca="false">SUM(H998:H1027)</f>
        <v>3425834</v>
      </c>
      <c r="I1028" s="198" t="n">
        <f aca="false">SUM(I998:I1027)</f>
        <v>3639720</v>
      </c>
      <c r="J1028" s="200" t="n">
        <f aca="false">SUM(H1028:I1028)</f>
        <v>7065554</v>
      </c>
      <c r="K1028" s="197" t="n">
        <f aca="false">SUM(K998:K1027)</f>
        <v>272787</v>
      </c>
      <c r="L1028" s="198" t="n">
        <f aca="false">SUM(L998:L1027)</f>
        <v>295380</v>
      </c>
      <c r="M1028" s="200" t="n">
        <f aca="false">SUM(K1028:L1028)</f>
        <v>568167</v>
      </c>
      <c r="N1028" s="197" t="n">
        <f aca="false">SUM(N998:N1027)</f>
        <v>12</v>
      </c>
      <c r="O1028" s="198" t="n">
        <f aca="false">SUM(O998:O1027)</f>
        <v>24</v>
      </c>
      <c r="P1028" s="200" t="n">
        <f aca="false">SUM(N1028:O1028)</f>
        <v>36</v>
      </c>
      <c r="Q1028" s="135" t="str">
        <f aca="false">IF(P248=P1028,"〇","×")</f>
        <v>×</v>
      </c>
    </row>
    <row r="1029" s="135" customFormat="true" ht="0.2" hidden="false" customHeight="true" outlineLevel="0" collapsed="false">
      <c r="A1029" s="174" t="s">
        <v>496</v>
      </c>
      <c r="B1029" s="494" t="n">
        <f aca="false">ROUNDDOWN(B1181*$C$1194/($C$1194+$E$1194),0)</f>
        <v>0</v>
      </c>
      <c r="C1029" s="255" t="n">
        <f aca="false">ROUNDDOWN(C1181*$C$1194/($C$1194+$E$1194),0)</f>
        <v>0</v>
      </c>
      <c r="D1029" s="501" t="n">
        <f aca="false">ROUNDDOWN(D1181*$C$1194/($C$1194+$E$1194),0)</f>
        <v>0</v>
      </c>
      <c r="E1029" s="502" t="n">
        <f aca="false">ROUNDDOWN(E1181*$C$1194/($C$1194+$E$1194),0)</f>
        <v>0</v>
      </c>
      <c r="F1029" s="471" t="n">
        <f aca="false">ROUNDDOWN(F1181*$C$1194/($C$1194+$E$1194),0)</f>
        <v>0</v>
      </c>
      <c r="G1029" s="260" t="n">
        <f aca="false">SUM(B1029:F1029)</f>
        <v>0</v>
      </c>
      <c r="H1029" s="503"/>
      <c r="I1029" s="504"/>
      <c r="J1029" s="505"/>
      <c r="K1029" s="506"/>
      <c r="L1029" s="507"/>
      <c r="M1029" s="508"/>
      <c r="N1029" s="503"/>
      <c r="O1029" s="504"/>
      <c r="P1029" s="505"/>
      <c r="Q1029" s="135" t="str">
        <f aca="false">IF(P249=P1029,"〇","×")</f>
        <v>〇</v>
      </c>
    </row>
    <row r="1030" s="135" customFormat="true" ht="0.2" hidden="false" customHeight="true" outlineLevel="0" collapsed="false">
      <c r="A1030" s="266" t="s">
        <v>496</v>
      </c>
      <c r="B1030" s="489" t="n">
        <f aca="false">ROUNDDOWN(B1182*$C$1194/($C$1194+$E$1194),0)</f>
        <v>0</v>
      </c>
      <c r="C1030" s="491" t="n">
        <f aca="false">ROUNDDOWN(C1182*$C$1194/($C$1194+$E$1194),0)</f>
        <v>0</v>
      </c>
      <c r="D1030" s="501" t="n">
        <f aca="false">ROUNDDOWN(D1182*$C$1194/($C$1194+$E$1194),0)</f>
        <v>0</v>
      </c>
      <c r="E1030" s="502" t="n">
        <f aca="false">ROUNDDOWN(E1182*$C$1194/($C$1194+$E$1194),0)</f>
        <v>0</v>
      </c>
      <c r="F1030" s="255" t="n">
        <f aca="false">ROUNDDOWN(F1182*$C$1194/($C$1194+$E$1194),0)</f>
        <v>0</v>
      </c>
      <c r="G1030" s="253" t="n">
        <f aca="false">SUM(B1030:F1030)</f>
        <v>0</v>
      </c>
      <c r="H1030" s="509"/>
      <c r="I1030" s="510"/>
      <c r="J1030" s="511"/>
      <c r="K1030" s="512"/>
      <c r="L1030" s="513"/>
      <c r="M1030" s="514"/>
      <c r="N1030" s="509"/>
      <c r="O1030" s="510"/>
      <c r="P1030" s="511"/>
      <c r="Q1030" s="135" t="str">
        <f aca="false">IF(P250=P1030,"〇","×")</f>
        <v>〇</v>
      </c>
    </row>
    <row r="1031" s="135" customFormat="true" ht="20.1" hidden="false" customHeight="true" outlineLevel="0" collapsed="false">
      <c r="A1031" s="266" t="s">
        <v>208</v>
      </c>
      <c r="B1031" s="489" t="n">
        <f aca="false">ROUNDDOWN(B1183*$C$1194/($C$1194+$E$1194),0)</f>
        <v>4941</v>
      </c>
      <c r="C1031" s="491" t="n">
        <f aca="false">ROUNDDOWN(C1183*$C$1194/($C$1194+$E$1194),0)</f>
        <v>405</v>
      </c>
      <c r="D1031" s="477" t="n">
        <f aca="false">ROUNDDOWN(D1183*$C$1194/($C$1194+$E$1194),0)</f>
        <v>4941</v>
      </c>
      <c r="E1031" s="487" t="n">
        <f aca="false">ROUNDDOWN(E1183*$C$1194/($C$1194+$E$1194),0)</f>
        <v>405</v>
      </c>
      <c r="F1031" s="479" t="n">
        <f aca="false">ROUNDDOWN(F1183*$C$1194/($C$1194+$E$1194),0)</f>
        <v>5</v>
      </c>
      <c r="G1031" s="246" t="n">
        <f aca="false">SUM(B1031:F1031)</f>
        <v>10697</v>
      </c>
      <c r="H1031" s="483" t="n">
        <f aca="false">ROUNDDOWN(H1183*$C$1194/($C$1194+$E$1194),0)</f>
        <v>0</v>
      </c>
      <c r="I1031" s="483" t="n">
        <f aca="false">ROUNDDOWN(I1183*$C$1194/($C$1194+$E$1194),0)</f>
        <v>0</v>
      </c>
      <c r="J1031" s="221" t="n">
        <f aca="false">SUM(H1031:I1031)</f>
        <v>0</v>
      </c>
      <c r="K1031" s="483" t="n">
        <f aca="false">ROUNDDOWN(K1183*$C$1194/($C$1194+$E$1194),0)</f>
        <v>0</v>
      </c>
      <c r="L1031" s="483" t="n">
        <f aca="false">ROUNDDOWN(L1183*$C$1194/($C$1194+$E$1194),0)</f>
        <v>0</v>
      </c>
      <c r="M1031" s="221" t="n">
        <f aca="false">SUM(K1031:L1031)</f>
        <v>0</v>
      </c>
      <c r="N1031" s="483" t="n">
        <f aca="false">ROUNDDOWN(N1183*$C$1194/($C$1194+$E$1194),0)</f>
        <v>0</v>
      </c>
      <c r="O1031" s="483" t="n">
        <f aca="false">ROUNDDOWN(O1183*$C$1194/($C$1194+$E$1194),0)</f>
        <v>0</v>
      </c>
      <c r="P1031" s="221" t="n">
        <f aca="false">SUM(N1031:O1031)</f>
        <v>0</v>
      </c>
      <c r="Q1031" s="135" t="str">
        <f aca="false">IF(P251=P1031,"〇","×")</f>
        <v>〇</v>
      </c>
    </row>
    <row r="1032" s="135" customFormat="true" ht="20.1" hidden="false" customHeight="true" outlineLevel="0" collapsed="false">
      <c r="A1032" s="214" t="s">
        <v>209</v>
      </c>
      <c r="B1032" s="489" t="n">
        <f aca="false">ROUNDDOWN(B1184*$C$1194/($C$1194+$E$1194),0)</f>
        <v>3019</v>
      </c>
      <c r="C1032" s="491" t="n">
        <f aca="false">ROUNDDOWN(C1184*$C$1194/($C$1194+$E$1194),0)</f>
        <v>247</v>
      </c>
      <c r="D1032" s="501" t="n">
        <f aca="false">ROUNDDOWN(D1184*$C$1194/($C$1194+$E$1194),0)</f>
        <v>3019</v>
      </c>
      <c r="E1032" s="502" t="n">
        <f aca="false">ROUNDDOWN(E1184*$C$1194/($C$1194+$E$1194),0)</f>
        <v>247</v>
      </c>
      <c r="F1032" s="255" t="n">
        <f aca="false">ROUNDDOWN(F1184*$C$1194/($C$1194+$E$1194),0)</f>
        <v>3</v>
      </c>
      <c r="G1032" s="246" t="n">
        <f aca="false">SUM(B1032:F1032)</f>
        <v>6535</v>
      </c>
      <c r="H1032" s="515" t="n">
        <f aca="false">ROUNDDOWN(H1184*$C$1194/($C$1194+$E$1194),0)</f>
        <v>0</v>
      </c>
      <c r="I1032" s="515" t="n">
        <f aca="false">ROUNDDOWN(I1184*$C$1194/($C$1194+$E$1194),0)</f>
        <v>0</v>
      </c>
      <c r="J1032" s="278" t="n">
        <f aca="false">SUM(H1032:I1032)</f>
        <v>0</v>
      </c>
      <c r="K1032" s="515" t="n">
        <f aca="false">ROUNDDOWN(K1184*$C$1194/($C$1194+$E$1194),0)</f>
        <v>0</v>
      </c>
      <c r="L1032" s="515" t="n">
        <f aca="false">ROUNDDOWN(L1184*$C$1194/($C$1194+$E$1194),0)</f>
        <v>0</v>
      </c>
      <c r="M1032" s="278" t="n">
        <f aca="false">SUM(K1032:L1032)</f>
        <v>0</v>
      </c>
      <c r="N1032" s="515" t="n">
        <f aca="false">ROUNDDOWN(N1184*$C$1194/($C$1194+$E$1194),0)</f>
        <v>0</v>
      </c>
      <c r="O1032" s="515" t="n">
        <f aca="false">ROUNDDOWN(O1184*$C$1194/($C$1194+$E$1194),0)</f>
        <v>0</v>
      </c>
      <c r="P1032" s="278" t="n">
        <f aca="false">SUM(N1032:O1032)</f>
        <v>0</v>
      </c>
      <c r="Q1032" s="135" t="str">
        <f aca="false">IF(P252=P1032,"〇","×")</f>
        <v>〇</v>
      </c>
    </row>
    <row r="1033" s="135" customFormat="true" ht="20.1" hidden="false" customHeight="true" outlineLevel="0" collapsed="false">
      <c r="A1033" s="196" t="s">
        <v>520</v>
      </c>
      <c r="B1033" s="197" t="n">
        <f aca="false">SUM(B1029:B1032)</f>
        <v>7960</v>
      </c>
      <c r="C1033" s="200" t="n">
        <f aca="false">SUM(C1029:C1032)</f>
        <v>652</v>
      </c>
      <c r="D1033" s="198" t="n">
        <f aca="false">SUM(D1029:D1032)</f>
        <v>7960</v>
      </c>
      <c r="E1033" s="199" t="n">
        <f aca="false">SUM(E1029:E1032)</f>
        <v>652</v>
      </c>
      <c r="F1033" s="200" t="n">
        <f aca="false">SUM(F1029:F1032)</f>
        <v>8</v>
      </c>
      <c r="G1033" s="201" t="n">
        <f aca="false">SUM(B1033:F1033)</f>
        <v>17232</v>
      </c>
      <c r="H1033" s="281" t="n">
        <f aca="false">SUM(H1029:H1032)</f>
        <v>0</v>
      </c>
      <c r="I1033" s="282" t="n">
        <f aca="false">SUM(I1029:I1032)</f>
        <v>0</v>
      </c>
      <c r="J1033" s="283" t="n">
        <f aca="false">SUM(H1033:I1033)</f>
        <v>0</v>
      </c>
      <c r="K1033" s="281" t="n">
        <f aca="false">SUM(K1029:K1032)</f>
        <v>0</v>
      </c>
      <c r="L1033" s="282" t="n">
        <f aca="false">SUM(L1029:L1032)</f>
        <v>0</v>
      </c>
      <c r="M1033" s="283" t="n">
        <f aca="false">SUM(K1033:L1033)</f>
        <v>0</v>
      </c>
      <c r="N1033" s="281" t="n">
        <f aca="false">SUM(N1029:N1032)</f>
        <v>0</v>
      </c>
      <c r="O1033" s="282" t="n">
        <f aca="false">SUM(O1029:O1032)</f>
        <v>0</v>
      </c>
      <c r="P1033" s="283" t="n">
        <f aca="false">SUM(N1033:O1033)</f>
        <v>0</v>
      </c>
      <c r="Q1033" s="135" t="str">
        <f aca="false">IF(P253=P1033,"〇","×")</f>
        <v>〇</v>
      </c>
    </row>
    <row r="1034" s="135" customFormat="true" ht="20.1" hidden="false" customHeight="true" outlineLevel="0" collapsed="false">
      <c r="A1034" s="163" t="s">
        <v>210</v>
      </c>
      <c r="B1034" s="474" t="n">
        <f aca="false">ROUNDDOWN(B1186*$C$1194/($C$1194+$E$1194),0)</f>
        <v>3385</v>
      </c>
      <c r="C1034" s="248" t="n">
        <f aca="false">ROUNDDOWN(C1186*$C$1194/($C$1194+$E$1194),0)</f>
        <v>277</v>
      </c>
      <c r="D1034" s="470" t="n">
        <f aca="false">ROUNDDOWN(D1186*$C$1194/($C$1194+$E$1194),0)</f>
        <v>3385</v>
      </c>
      <c r="E1034" s="488" t="n">
        <f aca="false">ROUNDDOWN(E1186*$C$1194/($C$1194+$E$1194),0)</f>
        <v>277</v>
      </c>
      <c r="F1034" s="221" t="n">
        <f aca="false">ROUNDDOWN(F1186*$C$1194/($C$1194+$E$1194),0)</f>
        <v>0</v>
      </c>
      <c r="G1034" s="402" t="n">
        <f aca="false">SUM(B1034:F1034)</f>
        <v>7324</v>
      </c>
      <c r="H1034" s="478" t="n">
        <f aca="false">ROUNDDOWN(H1186*$C$1194/($C$1194+$E$1194),0)</f>
        <v>2035</v>
      </c>
      <c r="I1034" s="475" t="n">
        <f aca="false">ROUNDDOWN(I1186*$C$1194/($C$1194+$E$1194),0)</f>
        <v>2039</v>
      </c>
      <c r="J1034" s="248" t="n">
        <f aca="false">SUM(H1034:I1034)</f>
        <v>4074</v>
      </c>
      <c r="K1034" s="478" t="n">
        <f aca="false">ROUNDDOWN(K1186*$C$1194/($C$1194+$E$1194),0)</f>
        <v>292</v>
      </c>
      <c r="L1034" s="475" t="n">
        <f aca="false">ROUNDDOWN(L1186*$C$1194/($C$1194+$E$1194),0)</f>
        <v>292</v>
      </c>
      <c r="M1034" s="248" t="n">
        <f aca="false">SUM(K1034:L1034)</f>
        <v>584</v>
      </c>
      <c r="N1034" s="478" t="n">
        <f aca="false">ROUNDDOWN(N1186*$C$1194/($C$1194+$E$1194),0)</f>
        <v>1</v>
      </c>
      <c r="O1034" s="475" t="n">
        <f aca="false">ROUNDDOWN(O1186*$C$1194/($C$1194+$E$1194),0)</f>
        <v>1</v>
      </c>
      <c r="P1034" s="248" t="n">
        <f aca="false">SUM(N1034:O1034)</f>
        <v>2</v>
      </c>
      <c r="Q1034" s="135" t="str">
        <f aca="false">IF(P254=P1034,"〇","×")</f>
        <v>×</v>
      </c>
    </row>
    <row r="1035" s="135" customFormat="true" ht="20.1" hidden="false" customHeight="true" outlineLevel="0" collapsed="false">
      <c r="A1035" s="163" t="s">
        <v>211</v>
      </c>
      <c r="B1035" s="474" t="n">
        <f aca="false">ROUNDDOWN(B1187*$C$1194/($C$1194+$E$1194),0)</f>
        <v>0</v>
      </c>
      <c r="C1035" s="402" t="n">
        <f aca="false">ROUNDDOWN(C1187*$C$1194/($C$1194+$E$1194),0)</f>
        <v>0</v>
      </c>
      <c r="D1035" s="474" t="n">
        <f aca="false">ROUNDDOWN(D1187*$C$1194/($C$1194+$E$1194),0)</f>
        <v>0</v>
      </c>
      <c r="E1035" s="488" t="n">
        <f aca="false">ROUNDDOWN(E1187*$C$1194/($C$1194+$E$1194),0)</f>
        <v>0</v>
      </c>
      <c r="F1035" s="221" t="n">
        <f aca="false">ROUNDDOWN(F1187*$C$1194/($C$1194+$E$1194),0)</f>
        <v>0</v>
      </c>
      <c r="G1035" s="402" t="n">
        <f aca="false">SUM(B1035:F1035)</f>
        <v>0</v>
      </c>
      <c r="H1035" s="478" t="n">
        <f aca="false">ROUNDDOWN(H1187*$C$1194/($C$1194+$E$1194),0)</f>
        <v>0</v>
      </c>
      <c r="I1035" s="475" t="n">
        <f aca="false">ROUNDDOWN(I1187*$C$1194/($C$1194+$E$1194),0)</f>
        <v>0</v>
      </c>
      <c r="J1035" s="248" t="n">
        <f aca="false">SUM(H1035:I1035)</f>
        <v>0</v>
      </c>
      <c r="K1035" s="473" t="n">
        <f aca="false">ROUNDDOWN(K1187*$C$1194/($C$1194+$E$1194),0)</f>
        <v>0</v>
      </c>
      <c r="L1035" s="475" t="n">
        <f aca="false">ROUNDDOWN(L1187*$C$1194/($C$1194+$E$1194),0)</f>
        <v>0</v>
      </c>
      <c r="M1035" s="248" t="n">
        <f aca="false">SUM(K1035:L1035)</f>
        <v>0</v>
      </c>
      <c r="N1035" s="478" t="n">
        <f aca="false">ROUNDDOWN(N1187*$C$1194/($C$1194+$E$1194),0)</f>
        <v>0</v>
      </c>
      <c r="O1035" s="475" t="n">
        <f aca="false">ROUNDDOWN(O1187*$C$1194/($C$1194+$E$1194),0)</f>
        <v>0</v>
      </c>
      <c r="P1035" s="248" t="n">
        <f aca="false">SUM(N1035:O1035)</f>
        <v>0</v>
      </c>
      <c r="Q1035" s="135" t="str">
        <f aca="false">IF(P255=P1035,"〇","×")</f>
        <v>〇</v>
      </c>
    </row>
    <row r="1036" s="135" customFormat="true" ht="20.1" hidden="false" customHeight="true" outlineLevel="0" collapsed="false">
      <c r="A1036" s="174" t="s">
        <v>212</v>
      </c>
      <c r="B1036" s="474" t="n">
        <f aca="false">ROUNDDOWN(B1188*$C$1194/($C$1194+$E$1194),0)</f>
        <v>39299</v>
      </c>
      <c r="C1036" s="402" t="n">
        <f aca="false">ROUNDDOWN(C1188*$C$1194/($C$1194+$E$1194),0)</f>
        <v>3221</v>
      </c>
      <c r="D1036" s="474" t="n">
        <f aca="false">ROUNDDOWN(D1188*$C$1194/($C$1194+$E$1194),0)</f>
        <v>39299</v>
      </c>
      <c r="E1036" s="488" t="n">
        <f aca="false">ROUNDDOWN(E1188*$C$1194/($C$1194+$E$1194),0)</f>
        <v>3221</v>
      </c>
      <c r="F1036" s="221" t="n">
        <f aca="false">ROUNDDOWN(F1188*$C$1194/($C$1194+$E$1194),0)</f>
        <v>0</v>
      </c>
      <c r="G1036" s="402" t="n">
        <f aca="false">SUM(B1036:F1036)</f>
        <v>85040</v>
      </c>
      <c r="H1036" s="478" t="n">
        <f aca="false">ROUNDDOWN(H1188*$C$1194/($C$1194+$E$1194),0)</f>
        <v>24287</v>
      </c>
      <c r="I1036" s="475" t="n">
        <f aca="false">ROUNDDOWN(I1188*$C$1194/($C$1194+$E$1194),0)</f>
        <v>24331</v>
      </c>
      <c r="J1036" s="248" t="n">
        <f aca="false">SUM(H1036:I1036)</f>
        <v>48618</v>
      </c>
      <c r="K1036" s="473" t="n">
        <f aca="false">ROUNDDOWN(K1188*$C$1194/($C$1194+$E$1194),0)</f>
        <v>3425</v>
      </c>
      <c r="L1036" s="475" t="n">
        <f aca="false">ROUNDDOWN(L1188*$C$1194/($C$1194+$E$1194),0)</f>
        <v>3424</v>
      </c>
      <c r="M1036" s="248" t="n">
        <f aca="false">SUM(K1036:L1036)</f>
        <v>6849</v>
      </c>
      <c r="N1036" s="478" t="n">
        <f aca="false">ROUNDDOWN(N1188*$C$1194/($C$1194+$E$1194),0)</f>
        <v>1</v>
      </c>
      <c r="O1036" s="475" t="n">
        <f aca="false">ROUNDDOWN(O1188*$C$1194/($C$1194+$E$1194),0)</f>
        <v>1</v>
      </c>
      <c r="P1036" s="248" t="n">
        <f aca="false">SUM(N1036:O1036)</f>
        <v>2</v>
      </c>
      <c r="Q1036" s="135" t="str">
        <f aca="false">IF(P256=P1036,"〇","×")</f>
        <v>×</v>
      </c>
    </row>
    <row r="1037" s="135" customFormat="true" ht="20.1" hidden="false" customHeight="true" outlineLevel="0" collapsed="false">
      <c r="A1037" s="174" t="s">
        <v>213</v>
      </c>
      <c r="B1037" s="516" t="n">
        <f aca="false">ROUNDDOWN(B1189*$C$1194/($C$1194+$E$1194),0)</f>
        <v>0</v>
      </c>
      <c r="C1037" s="517" t="n">
        <f aca="false">ROUNDDOWN(C1189*$C$1194/($C$1194+$E$1194),0)</f>
        <v>0</v>
      </c>
      <c r="D1037" s="516" t="n">
        <f aca="false">ROUNDDOWN(D1189*$C$1194/($C$1194+$E$1194),0)</f>
        <v>0</v>
      </c>
      <c r="E1037" s="492" t="n">
        <f aca="false">ROUNDDOWN(E1189*$C$1194/($C$1194+$E$1194),0)</f>
        <v>0</v>
      </c>
      <c r="F1037" s="296" t="n">
        <f aca="false">ROUNDDOWN(F1189*$C$1194/($C$1194+$E$1194),0)</f>
        <v>0</v>
      </c>
      <c r="G1037" s="517" t="n">
        <f aca="false">SUM(B1037:F1037)</f>
        <v>0</v>
      </c>
      <c r="H1037" s="518" t="n">
        <f aca="false">ROUNDDOWN(H1189*$C$1194/($C$1194+$E$1194),0)</f>
        <v>0</v>
      </c>
      <c r="I1037" s="519" t="n">
        <f aca="false">ROUNDDOWN(I1189*$C$1194/($C$1194+$E$1194),0)</f>
        <v>0</v>
      </c>
      <c r="J1037" s="520" t="n">
        <f aca="false">SUM(H1037:I1037)</f>
        <v>0</v>
      </c>
      <c r="K1037" s="521" t="n">
        <f aca="false">ROUNDDOWN(K1189*$C$1194/($C$1194+$E$1194),0)</f>
        <v>0</v>
      </c>
      <c r="L1037" s="519" t="n">
        <f aca="false">ROUNDDOWN(L1189*$C$1194/($C$1194+$E$1194),0)</f>
        <v>0</v>
      </c>
      <c r="M1037" s="520" t="n">
        <f aca="false">SUM(K1037:L1037)</f>
        <v>0</v>
      </c>
      <c r="N1037" s="518" t="n">
        <f aca="false">ROUNDDOWN(N1189*$C$1194/($C$1194+$E$1194),0)</f>
        <v>0</v>
      </c>
      <c r="O1037" s="519" t="n">
        <f aca="false">ROUNDDOWN(O1189*$C$1194/($C$1194+$E$1194),0)</f>
        <v>0</v>
      </c>
      <c r="P1037" s="520" t="n">
        <f aca="false">SUM(N1037:O1037)</f>
        <v>0</v>
      </c>
      <c r="Q1037" s="135" t="str">
        <f aca="false">IF(P257=P1037,"〇","×")</f>
        <v>〇</v>
      </c>
    </row>
    <row r="1038" s="135" customFormat="true" ht="20.1" hidden="false" customHeight="true" outlineLevel="0" collapsed="false">
      <c r="A1038" s="196" t="s">
        <v>521</v>
      </c>
      <c r="B1038" s="197" t="n">
        <f aca="false">SUM(B1034:B1037)</f>
        <v>42684</v>
      </c>
      <c r="C1038" s="201" t="n">
        <f aca="false">SUM(C1034:C1037)</f>
        <v>3498</v>
      </c>
      <c r="D1038" s="197" t="n">
        <f aca="false">SUM(D1034:D1037)</f>
        <v>42684</v>
      </c>
      <c r="E1038" s="199" t="n">
        <f aca="false">SUM(E1034:E1037)</f>
        <v>3498</v>
      </c>
      <c r="F1038" s="283"/>
      <c r="G1038" s="201" t="n">
        <f aca="false">SUM(B1038:F1038)</f>
        <v>92364</v>
      </c>
      <c r="H1038" s="301" t="n">
        <f aca="false">SUM(H1034:H1037)</f>
        <v>26322</v>
      </c>
      <c r="I1038" s="199" t="n">
        <f aca="false">SUM(I1034:I1037)</f>
        <v>26370</v>
      </c>
      <c r="J1038" s="200" t="n">
        <f aca="false">SUM(H1038:I1038)</f>
        <v>52692</v>
      </c>
      <c r="K1038" s="197" t="n">
        <f aca="false">SUM(K1034:K1037)</f>
        <v>3717</v>
      </c>
      <c r="L1038" s="301" t="n">
        <f aca="false">SUM(L1034:L1037)</f>
        <v>3716</v>
      </c>
      <c r="M1038" s="200" t="n">
        <f aca="false">SUM(K1038:L1038)</f>
        <v>7433</v>
      </c>
      <c r="N1038" s="301" t="n">
        <f aca="false">SUM(N1034:N1037)</f>
        <v>2</v>
      </c>
      <c r="O1038" s="199" t="n">
        <f aca="false">SUM(O1034:O1037)</f>
        <v>2</v>
      </c>
      <c r="P1038" s="200" t="n">
        <f aca="false">SUM(N1038:O1038)</f>
        <v>4</v>
      </c>
      <c r="Q1038" s="135" t="str">
        <f aca="false">IF(P258=P1038,"〇","×")</f>
        <v>×</v>
      </c>
    </row>
    <row r="1039" s="135" customFormat="true" ht="20.1" hidden="false" customHeight="true" outlineLevel="0" collapsed="false">
      <c r="A1039" s="522" t="s">
        <v>214</v>
      </c>
      <c r="B1039" s="281"/>
      <c r="C1039" s="523"/>
      <c r="D1039" s="524"/>
      <c r="E1039" s="525"/>
      <c r="F1039" s="296"/>
      <c r="G1039" s="293" t="n">
        <f aca="false">SUM(B1039:F1039)</f>
        <v>0</v>
      </c>
      <c r="H1039" s="526" t="n">
        <f aca="false">ROUNDDOWN(H1191*$C$1194/($C$1194+$E$1194),0)</f>
        <v>0</v>
      </c>
      <c r="I1039" s="527" t="n">
        <f aca="false">ROUNDDOWN(I1191*$C$1194/($C$1194+$E$1194),0)</f>
        <v>0</v>
      </c>
      <c r="J1039" s="296" t="n">
        <f aca="false">SUM(H1039:I1039)</f>
        <v>0</v>
      </c>
      <c r="K1039" s="526" t="n">
        <f aca="false">ROUNDDOWN(K1191*$C$1194/($C$1194+$E$1194),0)</f>
        <v>0</v>
      </c>
      <c r="L1039" s="527" t="n">
        <f aca="false">ROUNDDOWN(L1191*$C$1194/($C$1194+$E$1194),0)</f>
        <v>0</v>
      </c>
      <c r="M1039" s="296" t="n">
        <f aca="false">SUM(K1039:L1039)</f>
        <v>0</v>
      </c>
      <c r="N1039" s="526" t="n">
        <f aca="false">ROUNDDOWN(N1191*$C$1194/($C$1194+$E$1194),0)</f>
        <v>0</v>
      </c>
      <c r="O1039" s="527" t="n">
        <f aca="false">ROUNDDOWN(O1191*$C$1194/($C$1194+$E$1194),0)</f>
        <v>0</v>
      </c>
      <c r="P1039" s="296" t="n">
        <f aca="false">SUM(N1039:O1039)</f>
        <v>0</v>
      </c>
      <c r="Q1039" s="135" t="str">
        <f aca="false">IF(P259=P1039,"〇","×")</f>
        <v>〇</v>
      </c>
    </row>
    <row r="1040" s="135" customFormat="true" ht="30" hidden="false" customHeight="true" outlineLevel="0" collapsed="false">
      <c r="A1040" s="310" t="s">
        <v>499</v>
      </c>
      <c r="B1040" s="311" t="n">
        <f aca="false">SUM(+B997+B1028+B1033+B1038+B1039)</f>
        <v>24371886</v>
      </c>
      <c r="C1040" s="528" t="n">
        <f aca="false">SUM(+C997+C1028+C1033+C1038+C1039)</f>
        <v>1995481</v>
      </c>
      <c r="D1040" s="311" t="n">
        <f aca="false">SUM(+D997+D1028+D1033+D1038+D1039)</f>
        <v>35318960</v>
      </c>
      <c r="E1040" s="313" t="n">
        <f aca="false">SUM(+E997+E1028+E1033+E1038+E1039)</f>
        <v>1962090</v>
      </c>
      <c r="F1040" s="312" t="n">
        <f aca="false">SUM(+F997+F1028+F1033+F1038+F1039)</f>
        <v>25771</v>
      </c>
      <c r="G1040" s="529" t="n">
        <f aca="false">SUM(B1040:F1040)</f>
        <v>63674188</v>
      </c>
      <c r="H1040" s="315" t="n">
        <f aca="false">SUM(+H997+H1028+H1033+H1038+H1039)</f>
        <v>17812876</v>
      </c>
      <c r="I1040" s="315" t="n">
        <f aca="false">SUM(+I997+I1028+I1033+I1038+I1039)</f>
        <v>17802510</v>
      </c>
      <c r="J1040" s="316" t="n">
        <f aca="false">SUM(H1040:I1040)</f>
        <v>35615386</v>
      </c>
      <c r="K1040" s="317" t="n">
        <f aca="false">SUM(+K997+K1028+K1033+K1038+K1039)</f>
        <v>1479301</v>
      </c>
      <c r="L1040" s="315" t="n">
        <f aca="false">SUM(+L997+L1028+L1033+L1038+L1039)</f>
        <v>1479171</v>
      </c>
      <c r="M1040" s="316" t="n">
        <f aca="false">SUM(K1040:L1040)</f>
        <v>2958472</v>
      </c>
      <c r="N1040" s="315" t="n">
        <f aca="false">SUM(+N997+N1028+N1033+N1038+N1039)</f>
        <v>25</v>
      </c>
      <c r="O1040" s="315" t="n">
        <f aca="false">SUM(+O997+O1028+O1033+O1038+O1039)</f>
        <v>37</v>
      </c>
      <c r="P1040" s="316" t="n">
        <f aca="false">SUM(N1040:O1040)</f>
        <v>62</v>
      </c>
      <c r="Q1040" s="135" t="str">
        <f aca="false">IF(P260=P1040,"〇","×")</f>
        <v>×</v>
      </c>
    </row>
    <row r="1041" s="341" customFormat="true" ht="39" hidden="false" customHeight="true" outlineLevel="0" collapsed="false">
      <c r="A1041" s="340"/>
      <c r="G1041" s="109"/>
      <c r="Q1041" s="341" t="str">
        <f aca="false">IF(P976=P1041,"〇","×")</f>
        <v>〇</v>
      </c>
    </row>
    <row r="1042" s="322" customFormat="true" ht="30" hidden="false" customHeight="true" outlineLevel="0" collapsed="false">
      <c r="A1042" s="320"/>
      <c r="B1042" s="467" t="str">
        <f aca="false">B977</f>
        <v>令和8年度</v>
      </c>
      <c r="C1042" s="467"/>
      <c r="D1042" s="468" t="s">
        <v>522</v>
      </c>
      <c r="E1042" s="468"/>
      <c r="F1042" s="468"/>
      <c r="G1042" s="468"/>
      <c r="H1042" s="467" t="str">
        <f aca="false">B1042</f>
        <v>令和8年度</v>
      </c>
      <c r="I1042" s="468" t="s">
        <v>522</v>
      </c>
      <c r="J1042" s="468"/>
      <c r="K1042" s="467" t="str">
        <f aca="false">B1042</f>
        <v>令和8年度</v>
      </c>
      <c r="L1042" s="468" t="s">
        <v>522</v>
      </c>
      <c r="M1042" s="468"/>
      <c r="N1042" s="467" t="str">
        <f aca="false">K1042</f>
        <v>令和8年度</v>
      </c>
      <c r="O1042" s="468" t="s">
        <v>522</v>
      </c>
      <c r="P1042" s="468"/>
      <c r="Q1042" s="322" t="str">
        <f aca="false">IF(P977=P1042,"〇","×")</f>
        <v>〇</v>
      </c>
    </row>
    <row r="1043" customFormat="false" ht="45" hidden="false" customHeight="true" outlineLevel="0" collapsed="false">
      <c r="A1043" s="114" t="s">
        <v>483</v>
      </c>
      <c r="B1043" s="114" t="s">
        <v>484</v>
      </c>
      <c r="C1043" s="114"/>
      <c r="D1043" s="114"/>
      <c r="E1043" s="114"/>
      <c r="F1043" s="114"/>
      <c r="G1043" s="114"/>
      <c r="H1043" s="116" t="s">
        <v>485</v>
      </c>
      <c r="I1043" s="116"/>
      <c r="J1043" s="116"/>
      <c r="K1043" s="116" t="s">
        <v>486</v>
      </c>
      <c r="L1043" s="116"/>
      <c r="M1043" s="116"/>
      <c r="N1043" s="116" t="str">
        <f aca="false">$N$3</f>
        <v>子ども・子育て支援納付金</v>
      </c>
      <c r="O1043" s="116"/>
      <c r="P1043" s="116"/>
      <c r="Q1043" s="105" t="str">
        <f aca="false">IF(P978=P1043,"〇","×")</f>
        <v>〇</v>
      </c>
    </row>
    <row r="1044" customFormat="false" ht="22.5" hidden="false" customHeight="true" outlineLevel="0" collapsed="false">
      <c r="A1044" s="114"/>
      <c r="B1044" s="117" t="s">
        <v>487</v>
      </c>
      <c r="C1044" s="117"/>
      <c r="D1044" s="117" t="s">
        <v>488</v>
      </c>
      <c r="E1044" s="117"/>
      <c r="F1044" s="117"/>
      <c r="G1044" s="117" t="s">
        <v>489</v>
      </c>
      <c r="H1044" s="121" t="s">
        <v>490</v>
      </c>
      <c r="I1044" s="119" t="s">
        <v>491</v>
      </c>
      <c r="J1044" s="120" t="s">
        <v>489</v>
      </c>
      <c r="K1044" s="121" t="s">
        <v>490</v>
      </c>
      <c r="L1044" s="119" t="s">
        <v>491</v>
      </c>
      <c r="M1044" s="120" t="s">
        <v>489</v>
      </c>
      <c r="N1044" s="121" t="s">
        <v>490</v>
      </c>
      <c r="O1044" s="119" t="s">
        <v>491</v>
      </c>
      <c r="P1044" s="120" t="s">
        <v>489</v>
      </c>
      <c r="Q1044" s="105" t="str">
        <f aca="false">IF(P979=P1044,"〇","×")</f>
        <v>〇</v>
      </c>
    </row>
    <row r="1045" customFormat="false" ht="22.5" hidden="false" customHeight="true" outlineLevel="0" collapsed="false">
      <c r="A1045" s="114"/>
      <c r="B1045" s="122" t="s">
        <v>492</v>
      </c>
      <c r="C1045" s="123" t="s">
        <v>493</v>
      </c>
      <c r="D1045" s="124" t="s">
        <v>492</v>
      </c>
      <c r="E1045" s="124" t="s">
        <v>494</v>
      </c>
      <c r="F1045" s="123" t="s">
        <v>93</v>
      </c>
      <c r="G1045" s="117"/>
      <c r="H1045" s="121"/>
      <c r="I1045" s="119"/>
      <c r="J1045" s="120"/>
      <c r="K1045" s="121"/>
      <c r="L1045" s="119"/>
      <c r="M1045" s="120"/>
      <c r="N1045" s="121"/>
      <c r="O1045" s="119"/>
      <c r="P1045" s="120"/>
      <c r="Q1045" s="105" t="str">
        <f aca="false">IF(P980=P1045,"〇","×")</f>
        <v>〇</v>
      </c>
    </row>
    <row r="1046" s="135" customFormat="true" ht="20.1" hidden="false" customHeight="true" outlineLevel="0" collapsed="false">
      <c r="A1046" s="125" t="s">
        <v>166</v>
      </c>
      <c r="B1046" s="469" t="n">
        <f aca="false">B1133-B981</f>
        <v>12788487</v>
      </c>
      <c r="C1046" s="260" t="n">
        <f aca="false">C1133-C981</f>
        <v>1048185</v>
      </c>
      <c r="D1046" s="470" t="n">
        <f aca="false">D1133-D981</f>
        <v>18153472</v>
      </c>
      <c r="E1046" s="470" t="n">
        <f aca="false">E1133-E981</f>
        <v>998835</v>
      </c>
      <c r="F1046" s="471" t="n">
        <f aca="false">F1133-F981</f>
        <v>13040</v>
      </c>
      <c r="G1046" s="260" t="n">
        <f aca="false">SUM(B1046:F1046)</f>
        <v>33002019</v>
      </c>
      <c r="H1046" s="469" t="n">
        <f aca="false">H1133-H981</f>
        <v>9934250</v>
      </c>
      <c r="I1046" s="472" t="n">
        <f aca="false">I1133-I981</f>
        <v>9715832</v>
      </c>
      <c r="J1046" s="402" t="n">
        <f aca="false">SUM(H1046:I1046)</f>
        <v>19650082</v>
      </c>
      <c r="K1046" s="473" t="n">
        <f aca="false">K1133-K981</f>
        <v>830651</v>
      </c>
      <c r="L1046" s="472" t="n">
        <f aca="false">L1133-L981</f>
        <v>807650</v>
      </c>
      <c r="M1046" s="402" t="n">
        <f aca="false">SUM(K1046:L1046)</f>
        <v>1638301</v>
      </c>
      <c r="N1046" s="469" t="n">
        <f aca="false">N1133-N981</f>
        <v>1</v>
      </c>
      <c r="O1046" s="472" t="n">
        <f aca="false">O1133-O981</f>
        <v>1</v>
      </c>
      <c r="P1046" s="402" t="n">
        <f aca="false">SUM(N1046:O1046)</f>
        <v>2</v>
      </c>
      <c r="Q1046" s="135" t="str">
        <f aca="false">IF(P591=P1046,"〇","×")</f>
        <v>〇</v>
      </c>
    </row>
    <row r="1047" s="135" customFormat="true" ht="20.1" hidden="false" customHeight="true" outlineLevel="0" collapsed="false">
      <c r="A1047" s="125" t="s">
        <v>169</v>
      </c>
      <c r="B1047" s="474" t="n">
        <f aca="false">B1134-B982</f>
        <v>827103</v>
      </c>
      <c r="C1047" s="402" t="n">
        <f aca="false">C1134-C982</f>
        <v>67785</v>
      </c>
      <c r="D1047" s="470" t="n">
        <f aca="false">D1134-D982</f>
        <v>1201647</v>
      </c>
      <c r="E1047" s="470" t="n">
        <f aca="false">E1134-E982</f>
        <v>67646</v>
      </c>
      <c r="F1047" s="248" t="n">
        <f aca="false">F1134-F982</f>
        <v>850</v>
      </c>
      <c r="G1047" s="402" t="n">
        <f aca="false">SUM(B1047:F1047)</f>
        <v>2165031</v>
      </c>
      <c r="H1047" s="473" t="n">
        <f aca="false">H1134-H982</f>
        <v>529193</v>
      </c>
      <c r="I1047" s="475" t="n">
        <f aca="false">I1134-I982</f>
        <v>537149</v>
      </c>
      <c r="J1047" s="248" t="n">
        <f aca="false">SUM(H1047:I1047)</f>
        <v>1066342</v>
      </c>
      <c r="K1047" s="476" t="n">
        <f aca="false">K1134-K982</f>
        <v>50793</v>
      </c>
      <c r="L1047" s="477" t="n">
        <f aca="false">L1134-L982</f>
        <v>50519</v>
      </c>
      <c r="M1047" s="248" t="n">
        <f aca="false">SUM(K1047:L1047)</f>
        <v>101312</v>
      </c>
      <c r="N1047" s="473" t="n">
        <f aca="false">N1134-N982</f>
        <v>1</v>
      </c>
      <c r="O1047" s="475" t="n">
        <f aca="false">O1134-O982</f>
        <v>1</v>
      </c>
      <c r="P1047" s="248" t="n">
        <f aca="false">SUM(N1047:O1047)</f>
        <v>2</v>
      </c>
      <c r="Q1047" s="135" t="str">
        <f aca="false">IF(P592=P1047,"〇","×")</f>
        <v>〇</v>
      </c>
    </row>
    <row r="1048" s="135" customFormat="true" ht="20.1" hidden="false" customHeight="true" outlineLevel="0" collapsed="false">
      <c r="A1048" s="125" t="s">
        <v>170</v>
      </c>
      <c r="B1048" s="474" t="n">
        <f aca="false">B1135-B983</f>
        <v>2737312</v>
      </c>
      <c r="C1048" s="402" t="n">
        <f aca="false">C1135-C983</f>
        <v>222371</v>
      </c>
      <c r="D1048" s="470" t="n">
        <f aca="false">D1135-D983</f>
        <v>3874237</v>
      </c>
      <c r="E1048" s="470" t="n">
        <f aca="false">E1135-E983</f>
        <v>215315</v>
      </c>
      <c r="F1048" s="248" t="n">
        <f aca="false">F1135-F983</f>
        <v>2810</v>
      </c>
      <c r="G1048" s="402" t="n">
        <f aca="false">SUM(B1048:F1048)</f>
        <v>7052045</v>
      </c>
      <c r="H1048" s="476" t="n">
        <f aca="false">H1135-H983</f>
        <v>1696843</v>
      </c>
      <c r="I1048" s="478" t="n">
        <f aca="false">I1135-I983</f>
        <v>1667794</v>
      </c>
      <c r="J1048" s="248" t="n">
        <f aca="false">SUM(H1048:I1048)</f>
        <v>3364637</v>
      </c>
      <c r="K1048" s="476" t="n">
        <f aca="false">K1135-K983</f>
        <v>100476</v>
      </c>
      <c r="L1048" s="478" t="n">
        <f aca="false">L1135-L983</f>
        <v>100967</v>
      </c>
      <c r="M1048" s="248" t="n">
        <f aca="false">SUM(K1048:L1048)</f>
        <v>201443</v>
      </c>
      <c r="N1048" s="476" t="n">
        <f aca="false">N1135-N983</f>
        <v>1</v>
      </c>
      <c r="O1048" s="478" t="n">
        <f aca="false">O1135-O983</f>
        <v>1</v>
      </c>
      <c r="P1048" s="248" t="n">
        <f aca="false">SUM(N1048:O1048)</f>
        <v>2</v>
      </c>
      <c r="Q1048" s="135" t="str">
        <f aca="false">IF(P593=P1048,"〇","×")</f>
        <v>〇</v>
      </c>
    </row>
    <row r="1049" s="135" customFormat="true" ht="20.1" hidden="false" customHeight="true" outlineLevel="0" collapsed="false">
      <c r="A1049" s="125" t="s">
        <v>171</v>
      </c>
      <c r="B1049" s="474" t="n">
        <f aca="false">B1136-B984</f>
        <v>93102</v>
      </c>
      <c r="C1049" s="402" t="n">
        <f aca="false">C1136-C984</f>
        <v>7632</v>
      </c>
      <c r="D1049" s="470" t="n">
        <f aca="false">D1136-D984</f>
        <v>135328</v>
      </c>
      <c r="E1049" s="470" t="n">
        <f aca="false">E1136-E984</f>
        <v>7632</v>
      </c>
      <c r="F1049" s="248" t="n">
        <f aca="false">F1136-F984</f>
        <v>96</v>
      </c>
      <c r="G1049" s="402" t="n">
        <f aca="false">SUM(B1049:F1049)</f>
        <v>243790</v>
      </c>
      <c r="H1049" s="474" t="n">
        <f aca="false">H1136-H984</f>
        <v>59445</v>
      </c>
      <c r="I1049" s="478" t="n">
        <f aca="false">I1136-I984</f>
        <v>60487</v>
      </c>
      <c r="J1049" s="248" t="n">
        <f aca="false">SUM(H1049:I1049)</f>
        <v>119932</v>
      </c>
      <c r="K1049" s="474" t="n">
        <f aca="false">K1136-K984</f>
        <v>5216</v>
      </c>
      <c r="L1049" s="478" t="n">
        <f aca="false">L1136-L984</f>
        <v>5218</v>
      </c>
      <c r="M1049" s="248" t="n">
        <f aca="false">SUM(K1049:L1049)</f>
        <v>10434</v>
      </c>
      <c r="N1049" s="474" t="n">
        <f aca="false">N1136-N984</f>
        <v>1</v>
      </c>
      <c r="O1049" s="478" t="n">
        <f aca="false">O1136-O984</f>
        <v>1</v>
      </c>
      <c r="P1049" s="248" t="n">
        <f aca="false">SUM(N1049:O1049)</f>
        <v>2</v>
      </c>
      <c r="Q1049" s="135" t="str">
        <f aca="false">IF(P594=P1049,"〇","×")</f>
        <v>〇</v>
      </c>
    </row>
    <row r="1050" s="135" customFormat="true" ht="20.1" hidden="false" customHeight="true" outlineLevel="0" collapsed="false">
      <c r="A1050" s="125" t="s">
        <v>172</v>
      </c>
      <c r="B1050" s="474" t="n">
        <f aca="false">B1137-B985</f>
        <v>1342083</v>
      </c>
      <c r="C1050" s="402" t="n">
        <f aca="false">C1137-C985</f>
        <v>110013</v>
      </c>
      <c r="D1050" s="470" t="n">
        <f aca="false">D1137-D985</f>
        <v>1914789</v>
      </c>
      <c r="E1050" s="470" t="n">
        <f aca="false">E1137-E985</f>
        <v>106666</v>
      </c>
      <c r="F1050" s="248" t="n">
        <f aca="false">F1137-F985</f>
        <v>1389</v>
      </c>
      <c r="G1050" s="402" t="n">
        <f aca="false">SUM(B1050:F1050)</f>
        <v>3474940</v>
      </c>
      <c r="H1050" s="473" t="n">
        <f aca="false">H1137-H985</f>
        <v>1226602</v>
      </c>
      <c r="I1050" s="475" t="n">
        <f aca="false">I1137-I985</f>
        <v>1224506</v>
      </c>
      <c r="J1050" s="248" t="n">
        <f aca="false">SUM(H1050:I1050)</f>
        <v>2451108</v>
      </c>
      <c r="K1050" s="474" t="n">
        <f aca="false">K1137-K985</f>
        <v>131803</v>
      </c>
      <c r="L1050" s="478" t="n">
        <f aca="false">L1137-L985</f>
        <v>131873</v>
      </c>
      <c r="M1050" s="248" t="n">
        <f aca="false">SUM(K1050:L1050)</f>
        <v>263676</v>
      </c>
      <c r="N1050" s="473" t="n">
        <f aca="false">N1137-N985</f>
        <v>1</v>
      </c>
      <c r="O1050" s="475" t="n">
        <f aca="false">O1137-O985</f>
        <v>1</v>
      </c>
      <c r="P1050" s="248" t="n">
        <f aca="false">SUM(N1050:O1050)</f>
        <v>2</v>
      </c>
      <c r="Q1050" s="135" t="str">
        <f aca="false">IF(P595=P1050,"〇","×")</f>
        <v>〇</v>
      </c>
    </row>
    <row r="1051" s="135" customFormat="true" ht="20.1" hidden="false" customHeight="true" outlineLevel="0" collapsed="false">
      <c r="A1051" s="125" t="s">
        <v>173</v>
      </c>
      <c r="B1051" s="474" t="n">
        <f aca="false">B1138-B986</f>
        <v>15646</v>
      </c>
      <c r="C1051" s="402" t="n">
        <f aca="false">C1138-C986</f>
        <v>1282</v>
      </c>
      <c r="D1051" s="470" t="n">
        <f aca="false">D1138-D986</f>
        <v>22742</v>
      </c>
      <c r="E1051" s="470" t="n">
        <f aca="false">E1138-E986</f>
        <v>1282</v>
      </c>
      <c r="F1051" s="248" t="n">
        <f aca="false">F1138-F986</f>
        <v>16</v>
      </c>
      <c r="G1051" s="402" t="n">
        <f aca="false">SUM(B1051:F1051)</f>
        <v>40968</v>
      </c>
      <c r="H1051" s="473" t="n">
        <f aca="false">H1138-H986</f>
        <v>10564</v>
      </c>
      <c r="I1051" s="475" t="n">
        <f aca="false">I1138-I986</f>
        <v>10748</v>
      </c>
      <c r="J1051" s="248" t="n">
        <f aca="false">SUM(H1051:I1051)</f>
        <v>21312</v>
      </c>
      <c r="K1051" s="474" t="n">
        <f aca="false">K1138-K986</f>
        <v>806</v>
      </c>
      <c r="L1051" s="478" t="n">
        <f aca="false">L1138-L986</f>
        <v>806</v>
      </c>
      <c r="M1051" s="248" t="n">
        <f aca="false">SUM(K1051:L1051)</f>
        <v>1612</v>
      </c>
      <c r="N1051" s="473" t="n">
        <f aca="false">N1138-N986</f>
        <v>1</v>
      </c>
      <c r="O1051" s="475" t="n">
        <f aca="false">O1138-O986</f>
        <v>1</v>
      </c>
      <c r="P1051" s="248" t="n">
        <f aca="false">SUM(N1051:O1051)</f>
        <v>2</v>
      </c>
      <c r="Q1051" s="135" t="str">
        <f aca="false">IF(P596=P1051,"〇","×")</f>
        <v>〇</v>
      </c>
    </row>
    <row r="1052" s="135" customFormat="true" ht="20.1" hidden="false" customHeight="true" outlineLevel="0" collapsed="false">
      <c r="A1052" s="125" t="s">
        <v>174</v>
      </c>
      <c r="B1052" s="474" t="n">
        <f aca="false">B1139-B987</f>
        <v>28961</v>
      </c>
      <c r="C1052" s="402" t="n">
        <f aca="false">C1139-C987</f>
        <v>2375</v>
      </c>
      <c r="D1052" s="470" t="n">
        <f aca="false">D1139-D987</f>
        <v>42094</v>
      </c>
      <c r="E1052" s="470" t="n">
        <f aca="false">E1139-E987</f>
        <v>2374</v>
      </c>
      <c r="F1052" s="248" t="n">
        <f aca="false">F1139-F987</f>
        <v>30</v>
      </c>
      <c r="G1052" s="246" t="n">
        <f aca="false">SUM(B1052:F1052)</f>
        <v>75834</v>
      </c>
      <c r="H1052" s="473" t="n">
        <f aca="false">H1139-H987</f>
        <v>19419</v>
      </c>
      <c r="I1052" s="475" t="n">
        <f aca="false">I1139-I987</f>
        <v>19761</v>
      </c>
      <c r="J1052" s="248" t="n">
        <f aca="false">SUM(H1052:I1052)</f>
        <v>39180</v>
      </c>
      <c r="K1052" s="473" t="n">
        <f aca="false">K1139-K987</f>
        <v>1546</v>
      </c>
      <c r="L1052" s="475" t="n">
        <f aca="false">L1139-L987</f>
        <v>1545</v>
      </c>
      <c r="M1052" s="248" t="n">
        <f aca="false">SUM(K1052:L1052)</f>
        <v>3091</v>
      </c>
      <c r="N1052" s="473" t="n">
        <f aca="false">N1139-N987</f>
        <v>1</v>
      </c>
      <c r="O1052" s="475" t="n">
        <f aca="false">O1139-O987</f>
        <v>1</v>
      </c>
      <c r="P1052" s="248" t="n">
        <f aca="false">SUM(N1052:O1052)</f>
        <v>2</v>
      </c>
      <c r="Q1052" s="135" t="str">
        <f aca="false">IF(P597=P1052,"〇","×")</f>
        <v>〇</v>
      </c>
    </row>
    <row r="1053" s="135" customFormat="true" ht="20.1" hidden="false" customHeight="true" outlineLevel="0" collapsed="false">
      <c r="A1053" s="125" t="s">
        <v>175</v>
      </c>
      <c r="B1053" s="474" t="n">
        <f aca="false">B1140-B988</f>
        <v>67435</v>
      </c>
      <c r="C1053" s="402" t="n">
        <f aca="false">C1140-C988</f>
        <v>5527</v>
      </c>
      <c r="D1053" s="470" t="n">
        <f aca="false">D1140-D988</f>
        <v>98021</v>
      </c>
      <c r="E1053" s="470" t="n">
        <f aca="false">E1140-E988</f>
        <v>5528</v>
      </c>
      <c r="F1053" s="248" t="n">
        <f aca="false">F1140-F988</f>
        <v>69</v>
      </c>
      <c r="G1053" s="402" t="n">
        <f aca="false">SUM(B1053:F1053)</f>
        <v>176580</v>
      </c>
      <c r="H1053" s="473" t="n">
        <f aca="false">H1140-H988</f>
        <v>42962</v>
      </c>
      <c r="I1053" s="475" t="n">
        <f aca="false">I1140-I988</f>
        <v>43720</v>
      </c>
      <c r="J1053" s="248" t="n">
        <f aca="false">SUM(H1053:I1053)</f>
        <v>86682</v>
      </c>
      <c r="K1053" s="473" t="n">
        <f aca="false">K1140-K988</f>
        <v>5397</v>
      </c>
      <c r="L1053" s="475" t="n">
        <f aca="false">L1140-L988</f>
        <v>5396</v>
      </c>
      <c r="M1053" s="248" t="n">
        <f aca="false">SUM(K1053:L1053)</f>
        <v>10793</v>
      </c>
      <c r="N1053" s="473" t="n">
        <f aca="false">N1140-N988</f>
        <v>1</v>
      </c>
      <c r="O1053" s="475" t="n">
        <f aca="false">O1140-O988</f>
        <v>1</v>
      </c>
      <c r="P1053" s="248" t="n">
        <f aca="false">SUM(N1053:O1053)</f>
        <v>2</v>
      </c>
      <c r="Q1053" s="135" t="str">
        <f aca="false">IF(P598=P1053,"〇","×")</f>
        <v>〇</v>
      </c>
    </row>
    <row r="1054" s="135" customFormat="true" ht="20.1" hidden="false" customHeight="true" outlineLevel="0" collapsed="false">
      <c r="A1054" s="125" t="s">
        <v>176</v>
      </c>
      <c r="B1054" s="474" t="n">
        <f aca="false">B1141-B989</f>
        <v>18116</v>
      </c>
      <c r="C1054" s="402" t="n">
        <f aca="false">C1141-C989</f>
        <v>1484</v>
      </c>
      <c r="D1054" s="470" t="n">
        <f aca="false">D1141-D989</f>
        <v>26335</v>
      </c>
      <c r="E1054" s="470" t="n">
        <f aca="false">E1141-E989</f>
        <v>1486</v>
      </c>
      <c r="F1054" s="248" t="n">
        <f aca="false">F1141-F989</f>
        <v>19</v>
      </c>
      <c r="G1054" s="402" t="n">
        <f aca="false">SUM(B1054:F1054)</f>
        <v>47440</v>
      </c>
      <c r="H1054" s="473" t="n">
        <f aca="false">H1141-H989</f>
        <v>17003</v>
      </c>
      <c r="I1054" s="475" t="n">
        <f aca="false">I1141-I989</f>
        <v>17298</v>
      </c>
      <c r="J1054" s="248" t="n">
        <f aca="false">SUM(H1054:I1054)</f>
        <v>34301</v>
      </c>
      <c r="K1054" s="473" t="n">
        <f aca="false">K1141-K989</f>
        <v>1786</v>
      </c>
      <c r="L1054" s="475" t="n">
        <f aca="false">L1141-L989</f>
        <v>1786</v>
      </c>
      <c r="M1054" s="248" t="n">
        <f aca="false">SUM(K1054:L1054)</f>
        <v>3572</v>
      </c>
      <c r="N1054" s="473" t="n">
        <f aca="false">N1141-N989</f>
        <v>1</v>
      </c>
      <c r="O1054" s="475" t="n">
        <f aca="false">O1141-O989</f>
        <v>1</v>
      </c>
      <c r="P1054" s="248" t="n">
        <f aca="false">SUM(N1054:O1054)</f>
        <v>2</v>
      </c>
      <c r="Q1054" s="135" t="str">
        <f aca="false">IF(P599=P1054,"〇","×")</f>
        <v>〇</v>
      </c>
    </row>
    <row r="1055" s="135" customFormat="true" ht="20.1" hidden="false" customHeight="true" outlineLevel="0" collapsed="false">
      <c r="A1055" s="125" t="s">
        <v>177</v>
      </c>
      <c r="B1055" s="474" t="n">
        <f aca="false">B1142-B990</f>
        <v>1294337</v>
      </c>
      <c r="C1055" s="402" t="n">
        <f aca="false">C1142-C990</f>
        <v>106073</v>
      </c>
      <c r="D1055" s="470" t="n">
        <f aca="false">D1142-D990</f>
        <v>1888287</v>
      </c>
      <c r="E1055" s="470" t="n">
        <f aca="false">E1142-E990</f>
        <v>106094</v>
      </c>
      <c r="F1055" s="248" t="n">
        <f aca="false">F1142-F990</f>
        <v>1342</v>
      </c>
      <c r="G1055" s="402" t="n">
        <f aca="false">SUM(B1055:F1055)</f>
        <v>3396133</v>
      </c>
      <c r="H1055" s="473" t="n">
        <f aca="false">H1142-H990</f>
        <v>823071</v>
      </c>
      <c r="I1055" s="475" t="n">
        <f aca="false">I1142-I990</f>
        <v>837732</v>
      </c>
      <c r="J1055" s="248" t="n">
        <f aca="false">SUM(H1055:I1055)</f>
        <v>1660803</v>
      </c>
      <c r="K1055" s="473" t="n">
        <f aca="false">K1142-K990</f>
        <v>74130</v>
      </c>
      <c r="L1055" s="475" t="n">
        <f aca="false">L1142-L990</f>
        <v>74122</v>
      </c>
      <c r="M1055" s="248" t="n">
        <f aca="false">SUM(K1055:L1055)</f>
        <v>148252</v>
      </c>
      <c r="N1055" s="473" t="n">
        <f aca="false">N1142-N990</f>
        <v>1</v>
      </c>
      <c r="O1055" s="475" t="n">
        <f aca="false">O1142-O990</f>
        <v>1</v>
      </c>
      <c r="P1055" s="248" t="n">
        <f aca="false">SUM(N1055:O1055)</f>
        <v>2</v>
      </c>
      <c r="Q1055" s="135" t="str">
        <f aca="false">IF(P600=P1055,"〇","×")</f>
        <v>〇</v>
      </c>
    </row>
    <row r="1056" s="135" customFormat="true" ht="19.5" hidden="false" customHeight="true" outlineLevel="0" collapsed="false">
      <c r="A1056" s="146" t="s">
        <v>495</v>
      </c>
      <c r="B1056" s="476" t="n">
        <f aca="false">B1143-B991</f>
        <v>2288</v>
      </c>
      <c r="C1056" s="246" t="n">
        <f aca="false">C1143-C991</f>
        <v>188</v>
      </c>
      <c r="D1056" s="476" t="n">
        <f aca="false">D1143-D991</f>
        <v>3325</v>
      </c>
      <c r="E1056" s="477" t="n">
        <f aca="false">E1143-E991</f>
        <v>188</v>
      </c>
      <c r="F1056" s="479" t="n">
        <f aca="false">F1143-F991</f>
        <v>3</v>
      </c>
      <c r="G1056" s="246" t="n">
        <f aca="false">SUM(B1056:F1056)</f>
        <v>5992</v>
      </c>
      <c r="H1056" s="480" t="n">
        <f aca="false">H1143-H991</f>
        <v>1376</v>
      </c>
      <c r="I1056" s="481" t="n">
        <f aca="false">I1143-I991</f>
        <v>1399</v>
      </c>
      <c r="J1056" s="248" t="n">
        <f aca="false">SUM(H1056:I1056)</f>
        <v>2775</v>
      </c>
      <c r="K1056" s="476" t="n">
        <f aca="false">K1143-K991</f>
        <v>198</v>
      </c>
      <c r="L1056" s="487" t="n">
        <f aca="false">L1143-L991</f>
        <v>198</v>
      </c>
      <c r="M1056" s="479" t="n">
        <f aca="false">SUM(K1056:L1056)</f>
        <v>396</v>
      </c>
      <c r="N1056" s="480" t="n">
        <f aca="false">N1143-N991</f>
        <v>1</v>
      </c>
      <c r="O1056" s="481" t="n">
        <f aca="false">O1143-O991</f>
        <v>1</v>
      </c>
      <c r="P1056" s="248" t="n">
        <f aca="false">SUM(N1056:O1056)</f>
        <v>2</v>
      </c>
      <c r="Q1056" s="135" t="str">
        <f aca="false">IF(P601=P1056,"〇","×")</f>
        <v>〇</v>
      </c>
    </row>
    <row r="1057" s="162" customFormat="true" ht="19.5" hidden="false" customHeight="true" outlineLevel="0" collapsed="false">
      <c r="A1057" s="151" t="s">
        <v>179</v>
      </c>
      <c r="B1057" s="476" t="n">
        <f aca="false">B1144-B992</f>
        <v>0</v>
      </c>
      <c r="C1057" s="402" t="n">
        <f aca="false">C1144-C992</f>
        <v>0</v>
      </c>
      <c r="D1057" s="474" t="n">
        <f aca="false">D1144-D992</f>
        <v>0</v>
      </c>
      <c r="E1057" s="485" t="n">
        <f aca="false">E1144-E992</f>
        <v>0</v>
      </c>
      <c r="F1057" s="255" t="n">
        <f aca="false">F1144-F992</f>
        <v>0</v>
      </c>
      <c r="G1057" s="517" t="n">
        <f aca="false">SUM(B1057:F1057)</f>
        <v>0</v>
      </c>
      <c r="H1057" s="473" t="n">
        <f aca="false">H1144-H992</f>
        <v>0</v>
      </c>
      <c r="I1057" s="475" t="n">
        <f aca="false">I1144-I992</f>
        <v>0</v>
      </c>
      <c r="J1057" s="248" t="n">
        <f aca="false">SUM(H1057:I1057)</f>
        <v>0</v>
      </c>
      <c r="K1057" s="473" t="n">
        <f aca="false">K1144-K992</f>
        <v>0</v>
      </c>
      <c r="L1057" s="475" t="n">
        <f aca="false">L1144-L992</f>
        <v>0</v>
      </c>
      <c r="M1057" s="248" t="n">
        <f aca="false">SUM(K1057:L1057)</f>
        <v>0</v>
      </c>
      <c r="N1057" s="473" t="n">
        <f aca="false">N1144-N992</f>
        <v>0</v>
      </c>
      <c r="O1057" s="475" t="n">
        <f aca="false">O1144-O992</f>
        <v>0</v>
      </c>
      <c r="P1057" s="248" t="n">
        <f aca="false">SUM(N1057:O1057)</f>
        <v>0</v>
      </c>
      <c r="Q1057" s="135" t="str">
        <f aca="false">IF(P602=P1057,"〇","×")</f>
        <v>×</v>
      </c>
    </row>
    <row r="1058" s="162" customFormat="true" ht="19.5" hidden="false" customHeight="true" outlineLevel="0" collapsed="false">
      <c r="A1058" s="163" t="s">
        <v>496</v>
      </c>
      <c r="B1058" s="474" t="n">
        <f aca="false">B1145-B993</f>
        <v>0</v>
      </c>
      <c r="C1058" s="402" t="n">
        <f aca="false">C1145-C993</f>
        <v>0</v>
      </c>
      <c r="D1058" s="474" t="n">
        <f aca="false">D1145-D993</f>
        <v>0</v>
      </c>
      <c r="E1058" s="487" t="n">
        <f aca="false">E1145-E993</f>
        <v>0</v>
      </c>
      <c r="F1058" s="479" t="n">
        <f aca="false">F1145-F993</f>
        <v>0</v>
      </c>
      <c r="G1058" s="168" t="n">
        <f aca="false">SUM(B1058:F1058)</f>
        <v>0</v>
      </c>
      <c r="H1058" s="473" t="n">
        <f aca="false">H1145-H993</f>
        <v>0</v>
      </c>
      <c r="I1058" s="475" t="n">
        <f aca="false">I1145-I993</f>
        <v>0</v>
      </c>
      <c r="J1058" s="248" t="n">
        <f aca="false">SUM(H1058:I1058)</f>
        <v>0</v>
      </c>
      <c r="K1058" s="473" t="n">
        <f aca="false">K1145-K993</f>
        <v>0</v>
      </c>
      <c r="L1058" s="475" t="n">
        <f aca="false">L1145-L993</f>
        <v>0</v>
      </c>
      <c r="M1058" s="475" t="n">
        <f aca="false">SUM(K1058:L1058)</f>
        <v>0</v>
      </c>
      <c r="N1058" s="473" t="n">
        <f aca="false">N1145-N993</f>
        <v>0</v>
      </c>
      <c r="O1058" s="475" t="n">
        <f aca="false">O1145-O993</f>
        <v>0</v>
      </c>
      <c r="P1058" s="248" t="n">
        <f aca="false">SUM(N1058:O1058)</f>
        <v>0</v>
      </c>
      <c r="Q1058" s="135" t="str">
        <f aca="false">IF(P603=P1058,"〇","×")</f>
        <v>〇</v>
      </c>
    </row>
    <row r="1059" s="162" customFormat="true" ht="19.5" hidden="false" customHeight="true" outlineLevel="0" collapsed="false">
      <c r="A1059" s="174" t="s">
        <v>496</v>
      </c>
      <c r="B1059" s="476" t="n">
        <f aca="false">B1146-B994</f>
        <v>0</v>
      </c>
      <c r="C1059" s="246" t="n">
        <f aca="false">C1146-C994</f>
        <v>0</v>
      </c>
      <c r="D1059" s="476" t="n">
        <f aca="false">D1146-D994</f>
        <v>0</v>
      </c>
      <c r="E1059" s="487" t="n">
        <f aca="false">E1146-E994</f>
        <v>0</v>
      </c>
      <c r="F1059" s="479" t="n">
        <f aca="false">F1146-F994</f>
        <v>0</v>
      </c>
      <c r="G1059" s="179" t="n">
        <f aca="false">SUM(B1059:F1059)</f>
        <v>0</v>
      </c>
      <c r="H1059" s="476" t="n">
        <f aca="false">H1146-H994</f>
        <v>0</v>
      </c>
      <c r="I1059" s="487" t="n">
        <f aca="false">I1146-I994</f>
        <v>0</v>
      </c>
      <c r="J1059" s="479" t="n">
        <f aca="false">SUM(H1059:I1059)</f>
        <v>0</v>
      </c>
      <c r="K1059" s="476" t="n">
        <f aca="false">K1146-K994</f>
        <v>0</v>
      </c>
      <c r="L1059" s="487" t="n">
        <f aca="false">L1146-L994</f>
        <v>0</v>
      </c>
      <c r="M1059" s="487" t="n">
        <f aca="false">SUM(K1059:L1059)</f>
        <v>0</v>
      </c>
      <c r="N1059" s="476" t="n">
        <f aca="false">N1146-N994</f>
        <v>0</v>
      </c>
      <c r="O1059" s="487" t="n">
        <f aca="false">O1146-O994</f>
        <v>0</v>
      </c>
      <c r="P1059" s="479" t="n">
        <f aca="false">SUM(N1059:O1059)</f>
        <v>0</v>
      </c>
      <c r="Q1059" s="135" t="str">
        <f aca="false">IF(P604=P1059,"〇","×")</f>
        <v>〇</v>
      </c>
    </row>
    <row r="1060" s="162" customFormat="true" ht="19.5" hidden="false" customHeight="true" outlineLevel="0" collapsed="false">
      <c r="A1060" s="174" t="s">
        <v>496</v>
      </c>
      <c r="B1060" s="474" t="n">
        <f aca="false">B1147-B995</f>
        <v>0</v>
      </c>
      <c r="C1060" s="402" t="n">
        <f aca="false">C1147-C995</f>
        <v>0</v>
      </c>
      <c r="D1060" s="474" t="n">
        <f aca="false">D1147-D995</f>
        <v>0</v>
      </c>
      <c r="E1060" s="488" t="n">
        <f aca="false">E1147-E995</f>
        <v>0</v>
      </c>
      <c r="F1060" s="248" t="n">
        <f aca="false">F1147-F995</f>
        <v>0</v>
      </c>
      <c r="G1060" s="168" t="n">
        <f aca="false">SUM(B1060:F1060)</f>
        <v>0</v>
      </c>
      <c r="H1060" s="474" t="n">
        <f aca="false">H1147-H995</f>
        <v>0</v>
      </c>
      <c r="I1060" s="488" t="n">
        <f aca="false">I1147-I995</f>
        <v>0</v>
      </c>
      <c r="J1060" s="248" t="n">
        <f aca="false">SUM(H1060:I1060)</f>
        <v>0</v>
      </c>
      <c r="K1060" s="474" t="n">
        <f aca="false">K1147-K995</f>
        <v>0</v>
      </c>
      <c r="L1060" s="488" t="n">
        <f aca="false">L1147-L995</f>
        <v>0</v>
      </c>
      <c r="M1060" s="488" t="n">
        <f aca="false">SUM(K1060:L1060)</f>
        <v>0</v>
      </c>
      <c r="N1060" s="474" t="n">
        <f aca="false">N1147-N995</f>
        <v>0</v>
      </c>
      <c r="O1060" s="488" t="n">
        <f aca="false">O1147-O995</f>
        <v>0</v>
      </c>
      <c r="P1060" s="248" t="n">
        <f aca="false">SUM(N1060:O1060)</f>
        <v>0</v>
      </c>
      <c r="Q1060" s="135" t="str">
        <f aca="false">IF(P605=P1060,"〇","×")</f>
        <v>〇</v>
      </c>
    </row>
    <row r="1061" s="162" customFormat="true" ht="19.5" hidden="false" customHeight="true" outlineLevel="0" collapsed="false">
      <c r="A1061" s="187" t="s">
        <v>496</v>
      </c>
      <c r="B1061" s="489" t="n">
        <f aca="false">B1148-B996</f>
        <v>0</v>
      </c>
      <c r="C1061" s="490" t="n">
        <f aca="false">C1148-C996</f>
        <v>0</v>
      </c>
      <c r="D1061" s="489" t="n">
        <f aca="false">D1148-D996</f>
        <v>0</v>
      </c>
      <c r="E1061" s="485" t="n">
        <f aca="false">E1148-E996</f>
        <v>0</v>
      </c>
      <c r="F1061" s="491" t="n">
        <f aca="false">F1148-F996</f>
        <v>0</v>
      </c>
      <c r="G1061" s="192" t="n">
        <f aca="false">SUM(B1061:F1061)</f>
        <v>0</v>
      </c>
      <c r="H1061" s="476" t="n">
        <f aca="false">H1148-H996</f>
        <v>0</v>
      </c>
      <c r="I1061" s="492" t="n">
        <f aca="false">I1148-I996</f>
        <v>0</v>
      </c>
      <c r="J1061" s="493" t="n">
        <f aca="false">SUM(H1061:I1061)</f>
        <v>0</v>
      </c>
      <c r="K1061" s="476" t="n">
        <f aca="false">K1148-K996</f>
        <v>0</v>
      </c>
      <c r="L1061" s="487" t="n">
        <f aca="false">L1148-L996</f>
        <v>0</v>
      </c>
      <c r="M1061" s="492" t="n">
        <f aca="false">SUM(K1061:L1061)</f>
        <v>0</v>
      </c>
      <c r="N1061" s="476" t="n">
        <f aca="false">N1148-N996</f>
        <v>0</v>
      </c>
      <c r="O1061" s="492" t="n">
        <f aca="false">O1148-O996</f>
        <v>0</v>
      </c>
      <c r="P1061" s="493" t="n">
        <f aca="false">SUM(N1061:O1061)</f>
        <v>0</v>
      </c>
      <c r="Q1061" s="135" t="str">
        <f aca="false">IF(P606=P1061,"〇","×")</f>
        <v>〇</v>
      </c>
    </row>
    <row r="1062" s="162" customFormat="true" ht="19.5" hidden="false" customHeight="true" outlineLevel="0" collapsed="false">
      <c r="A1062" s="196" t="s">
        <v>518</v>
      </c>
      <c r="B1062" s="197" t="n">
        <f aca="false">SUM(B1046:B1061)</f>
        <v>19214870</v>
      </c>
      <c r="C1062" s="198" t="n">
        <f aca="false">SUM(C1046:C1061)</f>
        <v>1572915</v>
      </c>
      <c r="D1062" s="197" t="n">
        <f aca="false">SUM(D1046:D1061)</f>
        <v>27360277</v>
      </c>
      <c r="E1062" s="199" t="n">
        <f aca="false">SUM(E1046:E1061)</f>
        <v>1513046</v>
      </c>
      <c r="F1062" s="200" t="n">
        <f aca="false">SUM(F1046:F1061)</f>
        <v>19664</v>
      </c>
      <c r="G1062" s="201" t="n">
        <f aca="false">SUM(B1062:F1062)</f>
        <v>49680772</v>
      </c>
      <c r="H1062" s="197" t="n">
        <f aca="false">SUM(H1046:H1061)</f>
        <v>14360728</v>
      </c>
      <c r="I1062" s="198" t="n">
        <f aca="false">SUM(I1046:I1061)</f>
        <v>14136426</v>
      </c>
      <c r="J1062" s="200" t="n">
        <f aca="false">SUM(H1062:I1062)</f>
        <v>28497154</v>
      </c>
      <c r="K1062" s="197" t="n">
        <f aca="false">SUM(K1046:K1061)</f>
        <v>1202802</v>
      </c>
      <c r="L1062" s="198" t="n">
        <f aca="false">SUM(L1046:L1061)</f>
        <v>1180080</v>
      </c>
      <c r="M1062" s="200" t="n">
        <f aca="false">SUM(K1062:L1062)</f>
        <v>2382882</v>
      </c>
      <c r="N1062" s="197" t="n">
        <f aca="false">SUM(N1046:N1061)</f>
        <v>11</v>
      </c>
      <c r="O1062" s="198" t="n">
        <f aca="false">SUM(O1046:O1061)</f>
        <v>11</v>
      </c>
      <c r="P1062" s="200" t="n">
        <f aca="false">SUM(N1062:O1062)</f>
        <v>22</v>
      </c>
      <c r="Q1062" s="135" t="str">
        <f aca="false">IF(P607=P1062,"〇","×")</f>
        <v>×</v>
      </c>
    </row>
    <row r="1063" s="135" customFormat="true" ht="20.1" hidden="false" customHeight="true" outlineLevel="0" collapsed="false">
      <c r="A1063" s="202" t="s">
        <v>180</v>
      </c>
      <c r="B1063" s="474" t="n">
        <f aca="false">B1150-B998</f>
        <v>0</v>
      </c>
      <c r="C1063" s="402" t="n">
        <f aca="false">C1150-C998</f>
        <v>0</v>
      </c>
      <c r="D1063" s="494" t="n">
        <f aca="false">D1150-D998</f>
        <v>0</v>
      </c>
      <c r="E1063" s="488" t="n">
        <f aca="false">E1150-E998</f>
        <v>0</v>
      </c>
      <c r="F1063" s="248" t="n">
        <f aca="false">F1150-F998</f>
        <v>0</v>
      </c>
      <c r="G1063" s="402" t="n">
        <f aca="false">SUM(B1063:F1063)</f>
        <v>0</v>
      </c>
      <c r="H1063" s="473" t="n">
        <f aca="false">H1150-H998</f>
        <v>0</v>
      </c>
      <c r="I1063" s="475" t="n">
        <f aca="false">I1150-I998</f>
        <v>0</v>
      </c>
      <c r="J1063" s="248" t="n">
        <f aca="false">SUM(H1063:I1063)</f>
        <v>0</v>
      </c>
      <c r="K1063" s="478" t="n">
        <f aca="false">K1150-K998</f>
        <v>0</v>
      </c>
      <c r="L1063" s="475" t="n">
        <f aca="false">L1150-L998</f>
        <v>0</v>
      </c>
      <c r="M1063" s="471" t="n">
        <f aca="false">SUM(K1063:L1063)</f>
        <v>0</v>
      </c>
      <c r="N1063" s="473" t="n">
        <f aca="false">N1150-N998</f>
        <v>0</v>
      </c>
      <c r="O1063" s="475" t="n">
        <f aca="false">O1150-O998</f>
        <v>0</v>
      </c>
      <c r="P1063" s="248" t="n">
        <f aca="false">SUM(N1063:O1063)</f>
        <v>0</v>
      </c>
      <c r="Q1063" s="135" t="str">
        <f aca="false">IF(P608=P1063,"〇","×")</f>
        <v>〇</v>
      </c>
    </row>
    <row r="1064" s="135" customFormat="true" ht="20.1" hidden="false" customHeight="true" outlineLevel="0" collapsed="false">
      <c r="A1064" s="125" t="s">
        <v>182</v>
      </c>
      <c r="B1064" s="474" t="n">
        <f aca="false">B1151-B999</f>
        <v>0</v>
      </c>
      <c r="C1064" s="402" t="n">
        <f aca="false">C1151-C999</f>
        <v>0</v>
      </c>
      <c r="D1064" s="489" t="n">
        <f aca="false">D1151-D999</f>
        <v>35318</v>
      </c>
      <c r="E1064" s="477" t="n">
        <f aca="false">E1151-E999</f>
        <v>2895</v>
      </c>
      <c r="F1064" s="248" t="n">
        <f aca="false">F1151-F999</f>
        <v>40</v>
      </c>
      <c r="G1064" s="402" t="n">
        <f aca="false">SUM(B1064:F1064)</f>
        <v>38253</v>
      </c>
      <c r="H1064" s="473" t="n">
        <f aca="false">H1151-H999</f>
        <v>0</v>
      </c>
      <c r="I1064" s="475" t="n">
        <f aca="false">I1151-I999</f>
        <v>23174</v>
      </c>
      <c r="J1064" s="248" t="n">
        <f aca="false">SUM(H1064:I1064)</f>
        <v>23174</v>
      </c>
      <c r="K1064" s="478" t="n">
        <f aca="false">K1151-K999</f>
        <v>0</v>
      </c>
      <c r="L1064" s="475" t="n">
        <f aca="false">L1151-L999</f>
        <v>2584</v>
      </c>
      <c r="M1064" s="248" t="n">
        <f aca="false">SUM(K1064:L1064)</f>
        <v>2584</v>
      </c>
      <c r="N1064" s="473" t="n">
        <f aca="false">N1151-N999</f>
        <v>0</v>
      </c>
      <c r="O1064" s="475" t="n">
        <f aca="false">O1151-O999</f>
        <v>1</v>
      </c>
      <c r="P1064" s="248" t="n">
        <f aca="false">SUM(N1064:O1064)</f>
        <v>1</v>
      </c>
      <c r="Q1064" s="135" t="str">
        <f aca="false">IF(P609=P1064,"〇","×")</f>
        <v>〇</v>
      </c>
    </row>
    <row r="1065" s="135" customFormat="true" ht="20.1" hidden="false" customHeight="true" outlineLevel="0" collapsed="false">
      <c r="A1065" s="125" t="s">
        <v>183</v>
      </c>
      <c r="B1065" s="474" t="n">
        <f aca="false">B1152-B1000</f>
        <v>0</v>
      </c>
      <c r="C1065" s="402" t="n">
        <f aca="false">C1152-C1000</f>
        <v>0</v>
      </c>
      <c r="D1065" s="476" t="n">
        <f aca="false">D1152-D1000</f>
        <v>98681</v>
      </c>
      <c r="E1065" s="478" t="n">
        <f aca="false">E1152-E1000</f>
        <v>8090</v>
      </c>
      <c r="F1065" s="248" t="n">
        <f aca="false">F1152-F1000</f>
        <v>101</v>
      </c>
      <c r="G1065" s="402" t="n">
        <f aca="false">SUM(B1065:F1065)</f>
        <v>106872</v>
      </c>
      <c r="H1065" s="473" t="n">
        <f aca="false">H1152-H1000</f>
        <v>0</v>
      </c>
      <c r="I1065" s="475" t="n">
        <f aca="false">I1152-I1000</f>
        <v>66823</v>
      </c>
      <c r="J1065" s="248" t="n">
        <f aca="false">SUM(H1065:I1065)</f>
        <v>66823</v>
      </c>
      <c r="K1065" s="478" t="n">
        <f aca="false">K1152-K1000</f>
        <v>0</v>
      </c>
      <c r="L1065" s="475" t="n">
        <f aca="false">L1152-L1000</f>
        <v>6661</v>
      </c>
      <c r="M1065" s="248" t="n">
        <f aca="false">SUM(K1065:L1065)</f>
        <v>6661</v>
      </c>
      <c r="N1065" s="473" t="n">
        <f aca="false">N1152-N1000</f>
        <v>0</v>
      </c>
      <c r="O1065" s="475" t="n">
        <f aca="false">O1152-O1000</f>
        <v>1</v>
      </c>
      <c r="P1065" s="248" t="n">
        <f aca="false">SUM(N1065:O1065)</f>
        <v>1</v>
      </c>
      <c r="Q1065" s="135" t="str">
        <f aca="false">IF(P610=P1065,"〇","×")</f>
        <v>〇</v>
      </c>
    </row>
    <row r="1066" s="135" customFormat="true" ht="20.1" hidden="false" customHeight="true" outlineLevel="0" collapsed="false">
      <c r="A1066" s="125" t="s">
        <v>184</v>
      </c>
      <c r="B1066" s="474" t="n">
        <f aca="false">B1153-B1001</f>
        <v>0</v>
      </c>
      <c r="C1066" s="402" t="n">
        <f aca="false">C1153-C1001</f>
        <v>0</v>
      </c>
      <c r="D1066" s="470" t="n">
        <f aca="false">D1153-D1001</f>
        <v>2562</v>
      </c>
      <c r="E1066" s="478" t="n">
        <f aca="false">E1153-E1001</f>
        <v>210</v>
      </c>
      <c r="F1066" s="248" t="n">
        <f aca="false">F1153-F1001</f>
        <v>3</v>
      </c>
      <c r="G1066" s="402" t="n">
        <f aca="false">SUM(B1066:F1066)</f>
        <v>2775</v>
      </c>
      <c r="H1066" s="473" t="n">
        <f aca="false">H1153-H1001</f>
        <v>0</v>
      </c>
      <c r="I1066" s="475" t="n">
        <f aca="false">I1153-I1001</f>
        <v>1543</v>
      </c>
      <c r="J1066" s="248" t="n">
        <f aca="false">SUM(H1066:I1066)</f>
        <v>1543</v>
      </c>
      <c r="K1066" s="478" t="n">
        <f aca="false">K1153-K1001</f>
        <v>0</v>
      </c>
      <c r="L1066" s="475" t="n">
        <f aca="false">L1153-L1001</f>
        <v>221</v>
      </c>
      <c r="M1066" s="248" t="n">
        <f aca="false">SUM(K1066:L1066)</f>
        <v>221</v>
      </c>
      <c r="N1066" s="473" t="n">
        <f aca="false">N1153-N1001</f>
        <v>0</v>
      </c>
      <c r="O1066" s="475" t="n">
        <f aca="false">O1153-O1001</f>
        <v>1</v>
      </c>
      <c r="P1066" s="248" t="n">
        <f aca="false">SUM(N1066:O1066)</f>
        <v>1</v>
      </c>
      <c r="Q1066" s="135" t="str">
        <f aca="false">IF(P611=P1066,"〇","×")</f>
        <v>〇</v>
      </c>
    </row>
    <row r="1067" s="135" customFormat="true" ht="20.1" hidden="false" customHeight="true" outlineLevel="0" collapsed="false">
      <c r="A1067" s="214" t="s">
        <v>185</v>
      </c>
      <c r="B1067" s="474" t="n">
        <f aca="false">B1154-B1002</f>
        <v>0</v>
      </c>
      <c r="C1067" s="402" t="n">
        <f aca="false">C1154-C1002</f>
        <v>0</v>
      </c>
      <c r="D1067" s="470" t="n">
        <f aca="false">D1154-D1002</f>
        <v>21915</v>
      </c>
      <c r="E1067" s="478" t="n">
        <f aca="false">E1154-E1002</f>
        <v>1796</v>
      </c>
      <c r="F1067" s="248" t="n">
        <f aca="false">F1154-F1002</f>
        <v>22</v>
      </c>
      <c r="G1067" s="402" t="n">
        <f aca="false">SUM(B1067:F1067)</f>
        <v>23733</v>
      </c>
      <c r="H1067" s="473" t="n">
        <f aca="false">H1154-H1002</f>
        <v>0</v>
      </c>
      <c r="I1067" s="475" t="n">
        <f aca="false">I1154-I1002</f>
        <v>13199</v>
      </c>
      <c r="J1067" s="248" t="n">
        <f aca="false">SUM(H1067:I1067)</f>
        <v>13199</v>
      </c>
      <c r="K1067" s="478" t="n">
        <f aca="false">K1154-K1002</f>
        <v>0</v>
      </c>
      <c r="L1067" s="475" t="n">
        <f aca="false">L1154-L1002</f>
        <v>1750</v>
      </c>
      <c r="M1067" s="248" t="n">
        <f aca="false">SUM(K1067:L1067)</f>
        <v>1750</v>
      </c>
      <c r="N1067" s="473" t="n">
        <f aca="false">N1154-N1002</f>
        <v>0</v>
      </c>
      <c r="O1067" s="475" t="n">
        <f aca="false">O1154-O1002</f>
        <v>1</v>
      </c>
      <c r="P1067" s="248" t="n">
        <f aca="false">SUM(N1067:O1067)</f>
        <v>1</v>
      </c>
      <c r="Q1067" s="135" t="str">
        <f aca="false">IF(P612=P1067,"〇","×")</f>
        <v>〇</v>
      </c>
    </row>
    <row r="1068" s="135" customFormat="true" ht="20.1" hidden="false" customHeight="true" outlineLevel="0" collapsed="false">
      <c r="A1068" s="146" t="s">
        <v>186</v>
      </c>
      <c r="B1068" s="474" t="n">
        <f aca="false">B1155-B1003</f>
        <v>0</v>
      </c>
      <c r="C1068" s="479" t="n">
        <f aca="false">C1155-C1003</f>
        <v>0</v>
      </c>
      <c r="D1068" s="470" t="n">
        <f aca="false">D1155-D1003</f>
        <v>4941</v>
      </c>
      <c r="E1068" s="478" t="n">
        <f aca="false">E1155-E1003</f>
        <v>405</v>
      </c>
      <c r="F1068" s="479" t="n">
        <f aca="false">F1155-F1003</f>
        <v>5</v>
      </c>
      <c r="G1068" s="402" t="n">
        <f aca="false">SUM(B1068:F1068)</f>
        <v>5351</v>
      </c>
      <c r="H1068" s="473" t="n">
        <f aca="false">H1155-H1003</f>
        <v>0</v>
      </c>
      <c r="I1068" s="481" t="n">
        <f aca="false">I1155-I1003</f>
        <v>2976</v>
      </c>
      <c r="J1068" s="248" t="n">
        <f aca="false">SUM(H1068:I1068)</f>
        <v>2976</v>
      </c>
      <c r="K1068" s="478" t="n">
        <f aca="false">K1155-K1003</f>
        <v>0</v>
      </c>
      <c r="L1068" s="481" t="n">
        <f aca="false">L1155-L1003</f>
        <v>426</v>
      </c>
      <c r="M1068" s="248" t="n">
        <f aca="false">SUM(K1068:L1068)</f>
        <v>426</v>
      </c>
      <c r="N1068" s="473" t="n">
        <f aca="false">N1155-N1003</f>
        <v>0</v>
      </c>
      <c r="O1068" s="481" t="n">
        <f aca="false">O1155-O1003</f>
        <v>1</v>
      </c>
      <c r="P1068" s="248" t="n">
        <f aca="false">SUM(N1068:O1068)</f>
        <v>1</v>
      </c>
      <c r="Q1068" s="135" t="str">
        <f aca="false">IF(P613=P1068,"〇","×")</f>
        <v>〇</v>
      </c>
    </row>
    <row r="1069" s="135" customFormat="true" ht="20.1" hidden="false" customHeight="true" outlineLevel="0" collapsed="false">
      <c r="A1069" s="146" t="s">
        <v>187</v>
      </c>
      <c r="B1069" s="474" t="n">
        <f aca="false">B1156-B1004</f>
        <v>0</v>
      </c>
      <c r="C1069" s="479" t="n">
        <f aca="false">C1156-C1004</f>
        <v>0</v>
      </c>
      <c r="D1069" s="476" t="n">
        <f aca="false">D1156-D1004</f>
        <v>2608</v>
      </c>
      <c r="E1069" s="478" t="n">
        <f aca="false">E1156-E1004</f>
        <v>214</v>
      </c>
      <c r="F1069" s="248" t="n">
        <f aca="false">F1156-F1004</f>
        <v>3</v>
      </c>
      <c r="G1069" s="402" t="n">
        <f aca="false">SUM(B1069:F1069)</f>
        <v>2825</v>
      </c>
      <c r="H1069" s="473" t="n">
        <f aca="false">H1156-H1004</f>
        <v>0</v>
      </c>
      <c r="I1069" s="475" t="n">
        <f aca="false">I1156-I1004</f>
        <v>1571</v>
      </c>
      <c r="J1069" s="248" t="n">
        <f aca="false">SUM(H1069:I1069)</f>
        <v>1571</v>
      </c>
      <c r="K1069" s="478" t="n">
        <f aca="false">K1156-K1004</f>
        <v>0</v>
      </c>
      <c r="L1069" s="475" t="n">
        <f aca="false">L1156-L1004</f>
        <v>225</v>
      </c>
      <c r="M1069" s="248" t="n">
        <f aca="false">SUM(K1069:L1069)</f>
        <v>225</v>
      </c>
      <c r="N1069" s="473" t="n">
        <f aca="false">N1156-N1004</f>
        <v>0</v>
      </c>
      <c r="O1069" s="475" t="n">
        <f aca="false">O1156-O1004</f>
        <v>1</v>
      </c>
      <c r="P1069" s="248" t="n">
        <f aca="false">SUM(N1069:O1069)</f>
        <v>1</v>
      </c>
      <c r="Q1069" s="135" t="str">
        <f aca="false">IF(P614=P1069,"〇","×")</f>
        <v>〇</v>
      </c>
    </row>
    <row r="1070" s="135" customFormat="true" ht="20.1" hidden="false" customHeight="true" outlineLevel="0" collapsed="false">
      <c r="A1070" s="217" t="s">
        <v>188</v>
      </c>
      <c r="B1070" s="474" t="n">
        <f aca="false">B1157-B1005</f>
        <v>0</v>
      </c>
      <c r="C1070" s="248" t="n">
        <f aca="false">C1157-C1005</f>
        <v>0</v>
      </c>
      <c r="D1070" s="474" t="n">
        <f aca="false">D1157-D1005</f>
        <v>6861</v>
      </c>
      <c r="E1070" s="478" t="n">
        <f aca="false">E1157-E1005</f>
        <v>563</v>
      </c>
      <c r="F1070" s="248" t="n">
        <f aca="false">F1157-F1005</f>
        <v>7</v>
      </c>
      <c r="G1070" s="402" t="n">
        <f aca="false">SUM(B1070:F1070)</f>
        <v>7431</v>
      </c>
      <c r="H1070" s="473" t="n">
        <f aca="false">H1157-H1005</f>
        <v>0</v>
      </c>
      <c r="I1070" s="475" t="n">
        <f aca="false">I1157-I1005</f>
        <v>4133</v>
      </c>
      <c r="J1070" s="248" t="n">
        <f aca="false">SUM(H1070:I1070)</f>
        <v>4133</v>
      </c>
      <c r="K1070" s="478" t="n">
        <f aca="false">K1157-K1005</f>
        <v>0</v>
      </c>
      <c r="L1070" s="475" t="n">
        <f aca="false">L1157-L1005</f>
        <v>380</v>
      </c>
      <c r="M1070" s="248" t="n">
        <f aca="false">SUM(K1070:L1070)</f>
        <v>380</v>
      </c>
      <c r="N1070" s="473" t="n">
        <f aca="false">N1157-N1005</f>
        <v>0</v>
      </c>
      <c r="O1070" s="475" t="n">
        <f aca="false">O1157-O1005</f>
        <v>1</v>
      </c>
      <c r="P1070" s="248" t="n">
        <f aca="false">SUM(N1070:O1070)</f>
        <v>1</v>
      </c>
      <c r="Q1070" s="135" t="str">
        <f aca="false">IF(P615=P1070,"〇","×")</f>
        <v>〇</v>
      </c>
    </row>
    <row r="1071" s="135" customFormat="true" ht="20.1" hidden="false" customHeight="true" outlineLevel="0" collapsed="false">
      <c r="A1071" s="146" t="s">
        <v>189</v>
      </c>
      <c r="B1071" s="476" t="n">
        <f aca="false">B1158-B1006</f>
        <v>20542</v>
      </c>
      <c r="C1071" s="248" t="n">
        <f aca="false">C1158-C1006</f>
        <v>1684</v>
      </c>
      <c r="D1071" s="474" t="n">
        <f aca="false">D1158-D1006</f>
        <v>20542</v>
      </c>
      <c r="E1071" s="478" t="n">
        <f aca="false">E1158-E1006</f>
        <v>1684</v>
      </c>
      <c r="F1071" s="248" t="n">
        <f aca="false">F1158-F1006</f>
        <v>21</v>
      </c>
      <c r="G1071" s="402" t="n">
        <f aca="false">SUM(B1071:F1071)</f>
        <v>44473</v>
      </c>
      <c r="H1071" s="473" t="n">
        <f aca="false">H1158-H1006</f>
        <v>12350</v>
      </c>
      <c r="I1071" s="475" t="n">
        <f aca="false">I1158-I1006</f>
        <v>12373</v>
      </c>
      <c r="J1071" s="248" t="n">
        <f aca="false">SUM(H1071:I1071)</f>
        <v>24723</v>
      </c>
      <c r="K1071" s="478" t="n">
        <f aca="false">K1158-K1006</f>
        <v>668</v>
      </c>
      <c r="L1071" s="475" t="n">
        <f aca="false">L1158-L1006</f>
        <v>668</v>
      </c>
      <c r="M1071" s="248" t="n">
        <f aca="false">SUM(K1071:L1071)</f>
        <v>1336</v>
      </c>
      <c r="N1071" s="473" t="n">
        <f aca="false">N1158-N1006</f>
        <v>1</v>
      </c>
      <c r="O1071" s="475" t="n">
        <f aca="false">O1158-O1006</f>
        <v>1</v>
      </c>
      <c r="P1071" s="248" t="n">
        <f aca="false">SUM(N1071:O1071)</f>
        <v>2</v>
      </c>
      <c r="Q1071" s="135" t="str">
        <f aca="false">IF(P616=P1071,"〇","×")</f>
        <v>〇</v>
      </c>
    </row>
    <row r="1072" s="135" customFormat="true" ht="20.1" hidden="false" customHeight="true" outlineLevel="0" collapsed="false">
      <c r="A1072" s="219" t="s">
        <v>190</v>
      </c>
      <c r="B1072" s="474" t="n">
        <f aca="false">B1159-B1007</f>
        <v>3157</v>
      </c>
      <c r="C1072" s="248" t="n">
        <f aca="false">C1159-C1007</f>
        <v>259</v>
      </c>
      <c r="D1072" s="474" t="n">
        <f aca="false">D1159-D1007</f>
        <v>3157</v>
      </c>
      <c r="E1072" s="478" t="n">
        <f aca="false">E1159-E1007</f>
        <v>259</v>
      </c>
      <c r="F1072" s="248" t="n">
        <f aca="false">F1159-F1007</f>
        <v>4</v>
      </c>
      <c r="G1072" s="246" t="n">
        <f aca="false">SUM(B1072:F1072)</f>
        <v>6836</v>
      </c>
      <c r="H1072" s="473" t="n">
        <f aca="false">H1159-H1007</f>
        <v>1898</v>
      </c>
      <c r="I1072" s="475" t="n">
        <f aca="false">I1159-I1007</f>
        <v>1902</v>
      </c>
      <c r="J1072" s="248" t="n">
        <f aca="false">SUM(H1072:I1072)</f>
        <v>3800</v>
      </c>
      <c r="K1072" s="478" t="n">
        <f aca="false">K1159-K1007</f>
        <v>0</v>
      </c>
      <c r="L1072" s="475" t="n">
        <f aca="false">L1159-L1007</f>
        <v>0</v>
      </c>
      <c r="M1072" s="248" t="n">
        <f aca="false">SUM(K1072:L1072)</f>
        <v>0</v>
      </c>
      <c r="N1072" s="473" t="n">
        <f aca="false">N1159-N1007</f>
        <v>1</v>
      </c>
      <c r="O1072" s="475" t="n">
        <f aca="false">O1159-O1007</f>
        <v>1</v>
      </c>
      <c r="P1072" s="248" t="n">
        <f aca="false">SUM(N1072:O1072)</f>
        <v>2</v>
      </c>
      <c r="Q1072" s="135" t="str">
        <f aca="false">IF(P617=P1072,"〇","×")</f>
        <v>〇</v>
      </c>
    </row>
    <row r="1073" s="135" customFormat="true" ht="20.1" hidden="false" customHeight="true" outlineLevel="0" collapsed="false">
      <c r="A1073" s="222" t="s">
        <v>191</v>
      </c>
      <c r="B1073" s="474" t="n">
        <f aca="false">B1160-B1008</f>
        <v>7320</v>
      </c>
      <c r="C1073" s="248" t="n">
        <f aca="false">C1160-C1008</f>
        <v>600</v>
      </c>
      <c r="D1073" s="474" t="n">
        <f aca="false">D1160-D1008</f>
        <v>7321</v>
      </c>
      <c r="E1073" s="478" t="n">
        <f aca="false">E1160-E1008</f>
        <v>601</v>
      </c>
      <c r="F1073" s="248" t="n">
        <f aca="false">F1160-F1008</f>
        <v>7</v>
      </c>
      <c r="G1073" s="402" t="n">
        <f aca="false">SUM(B1073:F1073)</f>
        <v>15849</v>
      </c>
      <c r="H1073" s="473" t="n">
        <f aca="false">H1160-H1008</f>
        <v>4402</v>
      </c>
      <c r="I1073" s="475" t="n">
        <f aca="false">I1160-I1008</f>
        <v>4409</v>
      </c>
      <c r="J1073" s="248" t="n">
        <f aca="false">SUM(H1073:I1073)</f>
        <v>8811</v>
      </c>
      <c r="K1073" s="478" t="n">
        <f aca="false">K1160-K1008</f>
        <v>324</v>
      </c>
      <c r="L1073" s="475" t="n">
        <f aca="false">L1160-L1008</f>
        <v>324</v>
      </c>
      <c r="M1073" s="248" t="n">
        <f aca="false">SUM(K1073:L1073)</f>
        <v>648</v>
      </c>
      <c r="N1073" s="473" t="n">
        <f aca="false">N1160-N1008</f>
        <v>1</v>
      </c>
      <c r="O1073" s="475" t="n">
        <f aca="false">O1160-O1008</f>
        <v>1</v>
      </c>
      <c r="P1073" s="248" t="n">
        <f aca="false">SUM(N1073:O1073)</f>
        <v>2</v>
      </c>
      <c r="Q1073" s="135" t="str">
        <f aca="false">IF(P618=P1073,"〇","×")</f>
        <v>〇</v>
      </c>
    </row>
    <row r="1074" s="135" customFormat="true" ht="20.1" hidden="false" customHeight="true" outlineLevel="0" collapsed="false">
      <c r="A1074" s="125" t="s">
        <v>192</v>
      </c>
      <c r="B1074" s="489" t="n">
        <f aca="false">B1161-B1009</f>
        <v>47212</v>
      </c>
      <c r="C1074" s="479" t="n">
        <f aca="false">C1161-C1009</f>
        <v>3868</v>
      </c>
      <c r="D1074" s="489" t="n">
        <f aca="false">D1161-D1009</f>
        <v>47214</v>
      </c>
      <c r="E1074" s="495" t="n">
        <f aca="false">E1161-E1009</f>
        <v>3870</v>
      </c>
      <c r="F1074" s="491" t="n">
        <f aca="false">F1161-F1009</f>
        <v>50</v>
      </c>
      <c r="G1074" s="402" t="n">
        <f aca="false">SUM(B1074:F1074)</f>
        <v>102214</v>
      </c>
      <c r="H1074" s="496" t="n">
        <f aca="false">H1161-H1009</f>
        <v>29266</v>
      </c>
      <c r="I1074" s="497" t="n">
        <f aca="false">I1161-I1009</f>
        <v>29320</v>
      </c>
      <c r="J1074" s="248" t="n">
        <f aca="false">SUM(H1074:I1074)</f>
        <v>58586</v>
      </c>
      <c r="K1074" s="495" t="n">
        <f aca="false">K1161-K1009</f>
        <v>2587</v>
      </c>
      <c r="L1074" s="497" t="n">
        <f aca="false">L1161-L1009</f>
        <v>2588</v>
      </c>
      <c r="M1074" s="248" t="n">
        <f aca="false">SUM(K1074:L1074)</f>
        <v>5175</v>
      </c>
      <c r="N1074" s="496" t="n">
        <f aca="false">N1161-N1009</f>
        <v>1</v>
      </c>
      <c r="O1074" s="497" t="n">
        <f aca="false">O1161-O1009</f>
        <v>1</v>
      </c>
      <c r="P1074" s="248" t="n">
        <f aca="false">SUM(N1074:O1074)</f>
        <v>2</v>
      </c>
      <c r="Q1074" s="135" t="str">
        <f aca="false">IF(P619=P1074,"〇","×")</f>
        <v>〇</v>
      </c>
    </row>
    <row r="1075" s="135" customFormat="true" ht="20.1" hidden="false" customHeight="true" outlineLevel="0" collapsed="false">
      <c r="A1075" s="125" t="s">
        <v>193</v>
      </c>
      <c r="B1075" s="476" t="n">
        <f aca="false">B1162-B1010</f>
        <v>0</v>
      </c>
      <c r="C1075" s="479" t="n">
        <f aca="false">C1162-C1010</f>
        <v>0</v>
      </c>
      <c r="D1075" s="476" t="n">
        <f aca="false">D1162-D1010</f>
        <v>31614</v>
      </c>
      <c r="E1075" s="498" t="n">
        <f aca="false">E1162-E1010</f>
        <v>2592</v>
      </c>
      <c r="F1075" s="479" t="n">
        <f aca="false">F1162-F1010</f>
        <v>34</v>
      </c>
      <c r="G1075" s="402" t="n">
        <f aca="false">SUM(B1075:F1075)</f>
        <v>34240</v>
      </c>
      <c r="H1075" s="480" t="n">
        <f aca="false">H1162-H1010</f>
        <v>0</v>
      </c>
      <c r="I1075" s="481" t="n">
        <f aca="false">I1162-I1010</f>
        <v>19042</v>
      </c>
      <c r="J1075" s="248" t="n">
        <f aca="false">SUM(H1075:I1075)</f>
        <v>19042</v>
      </c>
      <c r="K1075" s="498" t="n">
        <f aca="false">K1162-K1010</f>
        <v>0</v>
      </c>
      <c r="L1075" s="481" t="n">
        <f aca="false">L1162-L1010</f>
        <v>1434</v>
      </c>
      <c r="M1075" s="248" t="n">
        <f aca="false">SUM(K1075:L1075)</f>
        <v>1434</v>
      </c>
      <c r="N1075" s="480" t="n">
        <f aca="false">N1162-N1010</f>
        <v>0</v>
      </c>
      <c r="O1075" s="481" t="n">
        <f aca="false">O1162-O1010</f>
        <v>1</v>
      </c>
      <c r="P1075" s="248" t="n">
        <f aca="false">SUM(N1075:O1075)</f>
        <v>1</v>
      </c>
      <c r="Q1075" s="135" t="str">
        <f aca="false">IF(P620=P1075,"〇","×")</f>
        <v>〇</v>
      </c>
    </row>
    <row r="1076" s="135" customFormat="true" ht="20.1" hidden="false" customHeight="true" outlineLevel="0" collapsed="false">
      <c r="A1076" s="228" t="s">
        <v>194</v>
      </c>
      <c r="B1076" s="474" t="n">
        <f aca="false">B1163-B1011</f>
        <v>0</v>
      </c>
      <c r="C1076" s="248" t="n">
        <f aca="false">C1163-C1011</f>
        <v>0</v>
      </c>
      <c r="D1076" s="474" t="n">
        <f aca="false">D1163-D1011</f>
        <v>64508</v>
      </c>
      <c r="E1076" s="478" t="n">
        <f aca="false">E1163-E1011</f>
        <v>5287</v>
      </c>
      <c r="F1076" s="479" t="n">
        <f aca="false">F1163-F1011</f>
        <v>67</v>
      </c>
      <c r="G1076" s="402" t="n">
        <f aca="false">SUM(B1076:F1076)</f>
        <v>69862</v>
      </c>
      <c r="H1076" s="473" t="n">
        <f aca="false">H1163-H1011</f>
        <v>0</v>
      </c>
      <c r="I1076" s="481" t="n">
        <f aca="false">I1163-I1011</f>
        <v>38853</v>
      </c>
      <c r="J1076" s="248" t="n">
        <f aca="false">SUM(H1076:I1076)</f>
        <v>38853</v>
      </c>
      <c r="K1076" s="478" t="n">
        <f aca="false">K1163-K1011</f>
        <v>0</v>
      </c>
      <c r="L1076" s="481" t="n">
        <f aca="false">L1163-L1011</f>
        <v>5218</v>
      </c>
      <c r="M1076" s="248" t="n">
        <f aca="false">SUM(K1076:L1076)</f>
        <v>5218</v>
      </c>
      <c r="N1076" s="473" t="n">
        <f aca="false">N1163-N1011</f>
        <v>0</v>
      </c>
      <c r="O1076" s="481" t="n">
        <f aca="false">O1163-O1011</f>
        <v>1</v>
      </c>
      <c r="P1076" s="248" t="n">
        <f aca="false">SUM(N1076:O1076)</f>
        <v>1</v>
      </c>
      <c r="Q1076" s="135" t="str">
        <f aca="false">IF(P621=P1076,"〇","×")</f>
        <v>〇</v>
      </c>
    </row>
    <row r="1077" s="135" customFormat="true" ht="20.1" hidden="false" customHeight="true" outlineLevel="0" collapsed="false">
      <c r="A1077" s="229" t="s">
        <v>195</v>
      </c>
      <c r="B1077" s="474" t="n">
        <f aca="false">B1164-B1012</f>
        <v>0</v>
      </c>
      <c r="C1077" s="248" t="n">
        <f aca="false">C1164-C1012</f>
        <v>0</v>
      </c>
      <c r="D1077" s="474" t="n">
        <f aca="false">D1164-D1012</f>
        <v>0</v>
      </c>
      <c r="E1077" s="478" t="n">
        <f aca="false">E1164-E1012</f>
        <v>0</v>
      </c>
      <c r="F1077" s="479" t="n">
        <f aca="false">F1164-F1012</f>
        <v>0</v>
      </c>
      <c r="G1077" s="402" t="n">
        <f aca="false">SUM(B1077:F1077)</f>
        <v>0</v>
      </c>
      <c r="H1077" s="473" t="n">
        <f aca="false">H1164-H1012</f>
        <v>0</v>
      </c>
      <c r="I1077" s="481" t="n">
        <f aca="false">I1164-I1012</f>
        <v>0</v>
      </c>
      <c r="J1077" s="248" t="n">
        <f aca="false">SUM(H1077:I1077)</f>
        <v>0</v>
      </c>
      <c r="K1077" s="478" t="n">
        <f aca="false">K1164-K1012</f>
        <v>0</v>
      </c>
      <c r="L1077" s="481" t="n">
        <f aca="false">L1164-L1012</f>
        <v>0</v>
      </c>
      <c r="M1077" s="248" t="n">
        <f aca="false">SUM(K1077:L1077)</f>
        <v>0</v>
      </c>
      <c r="N1077" s="473" t="n">
        <f aca="false">N1164-N1012</f>
        <v>0</v>
      </c>
      <c r="O1077" s="481" t="n">
        <f aca="false">O1164-O1012</f>
        <v>0</v>
      </c>
      <c r="P1077" s="248" t="n">
        <f aca="false">SUM(N1077:O1077)</f>
        <v>0</v>
      </c>
      <c r="Q1077" s="135" t="str">
        <f aca="false">IF(P622=P1077,"〇","×")</f>
        <v>〇</v>
      </c>
    </row>
    <row r="1078" s="135" customFormat="true" ht="20.1" hidden="false" customHeight="true" outlineLevel="0" collapsed="false">
      <c r="A1078" s="125" t="s">
        <v>196</v>
      </c>
      <c r="B1078" s="474" t="n">
        <f aca="false">B1165-B1013</f>
        <v>0</v>
      </c>
      <c r="C1078" s="248" t="n">
        <f aca="false">C1165-C1013</f>
        <v>0</v>
      </c>
      <c r="D1078" s="474" t="n">
        <f aca="false">D1165-D1013</f>
        <v>22739</v>
      </c>
      <c r="E1078" s="478" t="n">
        <f aca="false">E1165-E1013</f>
        <v>1865</v>
      </c>
      <c r="F1078" s="479" t="n">
        <f aca="false">F1165-F1013</f>
        <v>23</v>
      </c>
      <c r="G1078" s="402" t="n">
        <f aca="false">SUM(B1078:F1078)</f>
        <v>24627</v>
      </c>
      <c r="H1078" s="473" t="n">
        <f aca="false">H1165-H1013</f>
        <v>0</v>
      </c>
      <c r="I1078" s="481" t="n">
        <f aca="false">I1165-I1013</f>
        <v>13695</v>
      </c>
      <c r="J1078" s="248" t="n">
        <f aca="false">SUM(H1078:I1078)</f>
        <v>13695</v>
      </c>
      <c r="K1078" s="478" t="n">
        <f aca="false">K1165-K1013</f>
        <v>0</v>
      </c>
      <c r="L1078" s="481" t="n">
        <f aca="false">L1165-L1013</f>
        <v>1965</v>
      </c>
      <c r="M1078" s="248" t="n">
        <f aca="false">SUM(K1078:L1078)</f>
        <v>1965</v>
      </c>
      <c r="N1078" s="473" t="n">
        <f aca="false">N1165-N1013</f>
        <v>0</v>
      </c>
      <c r="O1078" s="481" t="n">
        <f aca="false">O1165-O1013</f>
        <v>1</v>
      </c>
      <c r="P1078" s="248" t="n">
        <f aca="false">SUM(N1078:O1078)</f>
        <v>1</v>
      </c>
      <c r="Q1078" s="135" t="str">
        <f aca="false">IF(P623=P1078,"〇","×")</f>
        <v>〇</v>
      </c>
    </row>
    <row r="1079" s="135" customFormat="true" ht="20.1" hidden="false" customHeight="true" outlineLevel="0" collapsed="false">
      <c r="A1079" s="146" t="s">
        <v>197</v>
      </c>
      <c r="B1079" s="474" t="n">
        <f aca="false">B1166-B1014</f>
        <v>7778</v>
      </c>
      <c r="C1079" s="248" t="n">
        <f aca="false">C1166-C1014</f>
        <v>638</v>
      </c>
      <c r="D1079" s="474" t="n">
        <f aca="false">D1166-D1014</f>
        <v>7777</v>
      </c>
      <c r="E1079" s="478" t="n">
        <f aca="false">E1166-E1014</f>
        <v>638</v>
      </c>
      <c r="F1079" s="479" t="n">
        <f aca="false">F1166-F1014</f>
        <v>8</v>
      </c>
      <c r="G1079" s="402" t="n">
        <f aca="false">SUM(B1079:F1079)</f>
        <v>16839</v>
      </c>
      <c r="H1079" s="473" t="n">
        <f aca="false">H1166-H1014</f>
        <v>4675</v>
      </c>
      <c r="I1079" s="481" t="n">
        <f aca="false">I1166-I1014</f>
        <v>4685</v>
      </c>
      <c r="J1079" s="248" t="n">
        <f aca="false">SUM(H1079:I1079)</f>
        <v>9360</v>
      </c>
      <c r="K1079" s="478" t="n">
        <f aca="false">K1166-K1014</f>
        <v>466</v>
      </c>
      <c r="L1079" s="481" t="n">
        <f aca="false">L1166-L1014</f>
        <v>466</v>
      </c>
      <c r="M1079" s="248" t="n">
        <f aca="false">SUM(K1079:L1079)</f>
        <v>932</v>
      </c>
      <c r="N1079" s="473" t="n">
        <f aca="false">N1166-N1014</f>
        <v>1</v>
      </c>
      <c r="O1079" s="481" t="n">
        <f aca="false">O1166-O1014</f>
        <v>1</v>
      </c>
      <c r="P1079" s="248" t="n">
        <f aca="false">SUM(N1079:O1079)</f>
        <v>2</v>
      </c>
      <c r="Q1079" s="135" t="str">
        <f aca="false">IF(P624=P1079,"〇","×")</f>
        <v>〇</v>
      </c>
    </row>
    <row r="1080" s="135" customFormat="true" ht="20.1" hidden="false" customHeight="true" outlineLevel="0" collapsed="false">
      <c r="A1080" s="231" t="s">
        <v>219</v>
      </c>
      <c r="B1080" s="476" t="n">
        <f aca="false">B1167-B1015</f>
        <v>0</v>
      </c>
      <c r="C1080" s="479" t="n">
        <f aca="false">C1167-C1015</f>
        <v>0</v>
      </c>
      <c r="D1080" s="476" t="n">
        <f aca="false">D1167-D1015</f>
        <v>21640</v>
      </c>
      <c r="E1080" s="498" t="n">
        <f aca="false">E1167-E1015</f>
        <v>1774</v>
      </c>
      <c r="F1080" s="479" t="n">
        <f aca="false">F1167-F1015</f>
        <v>22</v>
      </c>
      <c r="G1080" s="402" t="n">
        <f aca="false">SUM(B1080:F1080)</f>
        <v>23436</v>
      </c>
      <c r="H1080" s="480" t="n">
        <f aca="false">H1167-H1015</f>
        <v>0</v>
      </c>
      <c r="I1080" s="481" t="n">
        <f aca="false">I1167-I1015</f>
        <v>14191</v>
      </c>
      <c r="J1080" s="248" t="n">
        <f aca="false">SUM(H1080:I1080)</f>
        <v>14191</v>
      </c>
      <c r="K1080" s="498" t="n">
        <f aca="false">K1167-K1015</f>
        <v>0</v>
      </c>
      <c r="L1080" s="481" t="n">
        <f aca="false">L1167-L1015</f>
        <v>1221</v>
      </c>
      <c r="M1080" s="248" t="n">
        <f aca="false">SUM(K1080:L1080)</f>
        <v>1221</v>
      </c>
      <c r="N1080" s="480" t="n">
        <f aca="false">N1167-N1015</f>
        <v>0</v>
      </c>
      <c r="O1080" s="481" t="n">
        <f aca="false">O1167-O1015</f>
        <v>1</v>
      </c>
      <c r="P1080" s="248" t="n">
        <f aca="false">SUM(N1080:O1080)</f>
        <v>1</v>
      </c>
      <c r="Q1080" s="135" t="str">
        <f aca="false">IF(P625=P1080,"〇","×")</f>
        <v>〇</v>
      </c>
    </row>
    <row r="1081" s="135" customFormat="true" ht="20.1" hidden="false" customHeight="true" outlineLevel="0" collapsed="false">
      <c r="A1081" s="146" t="s">
        <v>199</v>
      </c>
      <c r="B1081" s="474" t="n">
        <f aca="false">B1168-B1016</f>
        <v>2837</v>
      </c>
      <c r="C1081" s="248" t="n">
        <f aca="false">C1168-C1016</f>
        <v>233</v>
      </c>
      <c r="D1081" s="474" t="n">
        <f aca="false">D1168-D1016</f>
        <v>2836</v>
      </c>
      <c r="E1081" s="478" t="n">
        <f aca="false">E1168-E1016</f>
        <v>233</v>
      </c>
      <c r="F1081" s="248" t="n">
        <f aca="false">F1168-F1016</f>
        <v>3</v>
      </c>
      <c r="G1081" s="402" t="n">
        <f aca="false">SUM(B1081:F1081)</f>
        <v>6142</v>
      </c>
      <c r="H1081" s="473" t="n">
        <f aca="false">H1168-H1016</f>
        <v>1706</v>
      </c>
      <c r="I1081" s="475" t="n">
        <f aca="false">I1168-I1016</f>
        <v>1709</v>
      </c>
      <c r="J1081" s="248" t="n">
        <f aca="false">SUM(H1081:I1081)</f>
        <v>3415</v>
      </c>
      <c r="K1081" s="478" t="n">
        <f aca="false">K1168-K1016</f>
        <v>245</v>
      </c>
      <c r="L1081" s="475" t="n">
        <f aca="false">L1168-L1016</f>
        <v>245</v>
      </c>
      <c r="M1081" s="248" t="n">
        <f aca="false">SUM(K1081:L1081)</f>
        <v>490</v>
      </c>
      <c r="N1081" s="473" t="n">
        <f aca="false">N1168-N1016</f>
        <v>1</v>
      </c>
      <c r="O1081" s="475" t="n">
        <f aca="false">O1168-O1016</f>
        <v>1</v>
      </c>
      <c r="P1081" s="248" t="n">
        <f aca="false">SUM(N1081:O1081)</f>
        <v>2</v>
      </c>
      <c r="Q1081" s="135" t="str">
        <f aca="false">IF(P626=P1081,"〇","×")</f>
        <v>〇</v>
      </c>
    </row>
    <row r="1082" s="135" customFormat="true" ht="20.1" hidden="false" customHeight="true" outlineLevel="0" collapsed="false">
      <c r="A1082" s="214" t="s">
        <v>200</v>
      </c>
      <c r="B1082" s="476" t="n">
        <f aca="false">B1169-B1017</f>
        <v>1053</v>
      </c>
      <c r="C1082" s="248" t="n">
        <f aca="false">C1169-C1017</f>
        <v>87</v>
      </c>
      <c r="D1082" s="474" t="n">
        <f aca="false">D1169-D1017</f>
        <v>1052</v>
      </c>
      <c r="E1082" s="478" t="n">
        <f aca="false">E1169-E1017</f>
        <v>87</v>
      </c>
      <c r="F1082" s="248" t="n">
        <f aca="false">F1169-F1017</f>
        <v>1</v>
      </c>
      <c r="G1082" s="402" t="n">
        <f aca="false">SUM(B1082:F1082)</f>
        <v>2280</v>
      </c>
      <c r="H1082" s="473" t="n">
        <f aca="false">H1169-H1017</f>
        <v>3026</v>
      </c>
      <c r="I1082" s="475" t="n">
        <f aca="false">I1169-I1017</f>
        <v>3031</v>
      </c>
      <c r="J1082" s="248" t="n">
        <f aca="false">SUM(H1082:I1082)</f>
        <v>6057</v>
      </c>
      <c r="K1082" s="478" t="n">
        <f aca="false">K1169-K1017</f>
        <v>435</v>
      </c>
      <c r="L1082" s="475" t="n">
        <f aca="false">L1169-L1017</f>
        <v>435</v>
      </c>
      <c r="M1082" s="248" t="n">
        <f aca="false">SUM(K1082:L1082)</f>
        <v>870</v>
      </c>
      <c r="N1082" s="473" t="n">
        <f aca="false">N1169-N1017</f>
        <v>1</v>
      </c>
      <c r="O1082" s="475" t="n">
        <f aca="false">O1169-O1017</f>
        <v>1</v>
      </c>
      <c r="P1082" s="248" t="n">
        <f aca="false">SUM(N1082:O1082)</f>
        <v>2</v>
      </c>
      <c r="Q1082" s="135" t="str">
        <f aca="false">IF(P627=P1082,"〇","×")</f>
        <v>〇</v>
      </c>
    </row>
    <row r="1083" s="135" customFormat="true" ht="20.1" hidden="false" customHeight="true" outlineLevel="0" collapsed="false">
      <c r="A1083" s="214" t="s">
        <v>201</v>
      </c>
      <c r="B1083" s="474" t="n">
        <f aca="false">B1170-B1018</f>
        <v>1876</v>
      </c>
      <c r="C1083" s="248" t="n">
        <f aca="false">C1170-C1018</f>
        <v>154</v>
      </c>
      <c r="D1083" s="474" t="n">
        <f aca="false">D1170-D1018</f>
        <v>1876</v>
      </c>
      <c r="E1083" s="478" t="n">
        <f aca="false">E1170-E1018</f>
        <v>154</v>
      </c>
      <c r="F1083" s="248" t="n">
        <f aca="false">F1170-F1018</f>
        <v>2</v>
      </c>
      <c r="G1083" s="402" t="n">
        <f aca="false">SUM(B1083:F1083)</f>
        <v>4062</v>
      </c>
      <c r="H1083" s="473" t="n">
        <f aca="false">H1170-H1018</f>
        <v>1128</v>
      </c>
      <c r="I1083" s="475" t="n">
        <f aca="false">I1170-I1018</f>
        <v>1130</v>
      </c>
      <c r="J1083" s="248" t="n">
        <f aca="false">SUM(H1083:I1083)</f>
        <v>2258</v>
      </c>
      <c r="K1083" s="478" t="n">
        <f aca="false">K1170-K1018</f>
        <v>0</v>
      </c>
      <c r="L1083" s="475" t="n">
        <f aca="false">L1170-L1018</f>
        <v>0</v>
      </c>
      <c r="M1083" s="248" t="n">
        <f aca="false">SUM(K1083:L1083)</f>
        <v>0</v>
      </c>
      <c r="N1083" s="473" t="n">
        <f aca="false">N1170-N1018</f>
        <v>1</v>
      </c>
      <c r="O1083" s="475" t="n">
        <f aca="false">O1170-O1018</f>
        <v>1</v>
      </c>
      <c r="P1083" s="248" t="n">
        <f aca="false">SUM(N1083:O1083)</f>
        <v>2</v>
      </c>
      <c r="Q1083" s="135" t="str">
        <f aca="false">IF(P628=P1083,"〇","×")</f>
        <v>〇</v>
      </c>
    </row>
    <row r="1084" s="135" customFormat="true" ht="20.1" hidden="false" customHeight="true" outlineLevel="0" collapsed="false">
      <c r="A1084" s="146" t="s">
        <v>202</v>
      </c>
      <c r="B1084" s="474" t="n">
        <f aca="false">B1171-B1019</f>
        <v>66201</v>
      </c>
      <c r="C1084" s="248" t="n">
        <f aca="false">C1171-C1019</f>
        <v>5427</v>
      </c>
      <c r="D1084" s="474" t="n">
        <f aca="false">D1171-D1019</f>
        <v>66201</v>
      </c>
      <c r="E1084" s="478" t="n">
        <f aca="false">E1171-E1019</f>
        <v>5427</v>
      </c>
      <c r="F1084" s="248" t="n">
        <f aca="false">F1171-F1019</f>
        <v>71</v>
      </c>
      <c r="G1084" s="402" t="n">
        <f aca="false">SUM(B1084:F1084)</f>
        <v>143327</v>
      </c>
      <c r="H1084" s="473" t="n">
        <f aca="false">H1171-H1019</f>
        <v>39799</v>
      </c>
      <c r="I1084" s="475" t="n">
        <f aca="false">I1171-I1019</f>
        <v>39874</v>
      </c>
      <c r="J1084" s="248" t="n">
        <f aca="false">SUM(H1084:I1084)</f>
        <v>79673</v>
      </c>
      <c r="K1084" s="478" t="n">
        <f aca="false">K1171-K1019</f>
        <v>3369</v>
      </c>
      <c r="L1084" s="475" t="n">
        <f aca="false">L1171-L1019</f>
        <v>3369</v>
      </c>
      <c r="M1084" s="248" t="n">
        <f aca="false">SUM(K1084:L1084)</f>
        <v>6738</v>
      </c>
      <c r="N1084" s="473" t="n">
        <f aca="false">N1171-N1019</f>
        <v>1</v>
      </c>
      <c r="O1084" s="475" t="n">
        <f aca="false">O1171-O1019</f>
        <v>1</v>
      </c>
      <c r="P1084" s="248" t="n">
        <f aca="false">SUM(N1084:O1084)</f>
        <v>2</v>
      </c>
      <c r="Q1084" s="135" t="str">
        <f aca="false">IF(P629=P1084,"〇","×")</f>
        <v>〇</v>
      </c>
    </row>
    <row r="1085" s="135" customFormat="true" ht="20.1" hidden="false" customHeight="true" outlineLevel="0" collapsed="false">
      <c r="A1085" s="146" t="s">
        <v>203</v>
      </c>
      <c r="B1085" s="476" t="n">
        <f aca="false">B1172-B1020</f>
        <v>0</v>
      </c>
      <c r="C1085" s="479" t="n">
        <f aca="false">C1172-C1020</f>
        <v>0</v>
      </c>
      <c r="D1085" s="476" t="n">
        <f aca="false">D1172-D1020</f>
        <v>9653</v>
      </c>
      <c r="E1085" s="477" t="n">
        <f aca="false">E1172-E1020</f>
        <v>792</v>
      </c>
      <c r="F1085" s="479" t="n">
        <f aca="false">F1172-F1020</f>
        <v>10</v>
      </c>
      <c r="G1085" s="402" t="n">
        <f aca="false">SUM(B1085:F1085)</f>
        <v>10455</v>
      </c>
      <c r="H1085" s="476" t="n">
        <f aca="false">H1172-H1020</f>
        <v>0</v>
      </c>
      <c r="I1085" s="487" t="n">
        <f aca="false">I1172-I1020</f>
        <v>7853</v>
      </c>
      <c r="J1085" s="248" t="n">
        <f aca="false">SUM(H1085:I1085)</f>
        <v>7853</v>
      </c>
      <c r="K1085" s="476" t="n">
        <f aca="false">K1172-K1020</f>
        <v>0</v>
      </c>
      <c r="L1085" s="487" t="n">
        <f aca="false">L1172-L1020</f>
        <v>513</v>
      </c>
      <c r="M1085" s="248" t="n">
        <f aca="false">SUM(K1085:L1085)</f>
        <v>513</v>
      </c>
      <c r="N1085" s="476" t="n">
        <f aca="false">N1172-N1020</f>
        <v>0</v>
      </c>
      <c r="O1085" s="487" t="n">
        <f aca="false">O1172-O1020</f>
        <v>1</v>
      </c>
      <c r="P1085" s="248" t="n">
        <f aca="false">SUM(N1085:O1085)</f>
        <v>1</v>
      </c>
      <c r="Q1085" s="135" t="str">
        <f aca="false">IF(P630=P1085,"〇","×")</f>
        <v>〇</v>
      </c>
    </row>
    <row r="1086" s="135" customFormat="true" ht="20.1" hidden="false" customHeight="true" outlineLevel="0" collapsed="false">
      <c r="A1086" s="232" t="s">
        <v>204</v>
      </c>
      <c r="B1086" s="476" t="n">
        <f aca="false">B1173-B1021</f>
        <v>4948410</v>
      </c>
      <c r="C1086" s="479" t="n">
        <f aca="false">C1173-C1021</f>
        <v>405480</v>
      </c>
      <c r="D1086" s="476" t="n">
        <f aca="false">D1173-D1021</f>
        <v>7427028</v>
      </c>
      <c r="E1086" s="498" t="n">
        <f aca="false">E1173-E1021</f>
        <v>405480</v>
      </c>
      <c r="F1086" s="479" t="n">
        <f aca="false">F1173-F1021</f>
        <v>5605</v>
      </c>
      <c r="G1086" s="402" t="n">
        <f aca="false">SUM(B1086:F1086)</f>
        <v>13192003</v>
      </c>
      <c r="H1086" s="476" t="n">
        <f aca="false">H1173-H1021</f>
        <v>3319939</v>
      </c>
      <c r="I1086" s="481" t="n">
        <f aca="false">I1173-I1021</f>
        <v>3326581</v>
      </c>
      <c r="J1086" s="248" t="n">
        <f aca="false">SUM(H1086:I1086)</f>
        <v>6646520</v>
      </c>
      <c r="K1086" s="476" t="n">
        <f aca="false">K1173-K1021</f>
        <v>263744</v>
      </c>
      <c r="L1086" s="481" t="n">
        <f aca="false">L1173-L1021</f>
        <v>263744</v>
      </c>
      <c r="M1086" s="248" t="n">
        <f aca="false">SUM(K1086:L1086)</f>
        <v>527488</v>
      </c>
      <c r="N1086" s="476" t="n">
        <f aca="false">N1173-N1021</f>
        <v>1</v>
      </c>
      <c r="O1086" s="481" t="n">
        <f aca="false">O1173-O1021</f>
        <v>1</v>
      </c>
      <c r="P1086" s="248" t="n">
        <f aca="false">SUM(N1086:O1086)</f>
        <v>2</v>
      </c>
      <c r="Q1086" s="135" t="str">
        <f aca="false">IF(P631=P1086,"〇","×")</f>
        <v>〇</v>
      </c>
    </row>
    <row r="1087" s="135" customFormat="true" ht="20.1" hidden="false" customHeight="true" outlineLevel="0" collapsed="false">
      <c r="A1087" s="399" t="s">
        <v>205</v>
      </c>
      <c r="B1087" s="474" t="n">
        <f aca="false">B1174-B1022</f>
        <v>0</v>
      </c>
      <c r="C1087" s="479" t="n">
        <f aca="false">C1174-C1022</f>
        <v>0</v>
      </c>
      <c r="D1087" s="474" t="n">
        <f aca="false">D1174-D1022</f>
        <v>0</v>
      </c>
      <c r="E1087" s="478" t="n">
        <f aca="false">E1174-E1022</f>
        <v>0</v>
      </c>
      <c r="F1087" s="248" t="n">
        <f aca="false">F1174-F1022</f>
        <v>0</v>
      </c>
      <c r="G1087" s="402" t="n">
        <f aca="false">SUM(B1087:F1087)</f>
        <v>0</v>
      </c>
      <c r="H1087" s="473" t="n">
        <f aca="false">H1174-H1022</f>
        <v>3740</v>
      </c>
      <c r="I1087" s="475" t="n">
        <f aca="false">I1174-I1022</f>
        <v>3749</v>
      </c>
      <c r="J1087" s="248" t="n">
        <f aca="false">SUM(H1087:I1087)</f>
        <v>7489</v>
      </c>
      <c r="K1087" s="478" t="n">
        <f aca="false">K1174-K1022</f>
        <v>391</v>
      </c>
      <c r="L1087" s="475" t="n">
        <f aca="false">L1174-L1022</f>
        <v>392</v>
      </c>
      <c r="M1087" s="248" t="n">
        <f aca="false">SUM(K1087:L1087)</f>
        <v>783</v>
      </c>
      <c r="N1087" s="473" t="n">
        <f aca="false">N1174-N1022</f>
        <v>1</v>
      </c>
      <c r="O1087" s="475" t="n">
        <f aca="false">O1174-O1022</f>
        <v>1</v>
      </c>
      <c r="P1087" s="248" t="n">
        <f aca="false">SUM(N1087:O1087)</f>
        <v>2</v>
      </c>
      <c r="Q1087" s="135" t="str">
        <f aca="false">IF(P632=P1087,"〇","×")</f>
        <v>〇</v>
      </c>
    </row>
    <row r="1088" s="135" customFormat="true" ht="20.1" hidden="false" customHeight="true" outlineLevel="0" collapsed="false">
      <c r="A1088" s="236" t="s">
        <v>206</v>
      </c>
      <c r="B1088" s="476" t="n">
        <f aca="false">B1175-B1023</f>
        <v>0</v>
      </c>
      <c r="C1088" s="246" t="n">
        <f aca="false">C1175-C1023</f>
        <v>0</v>
      </c>
      <c r="D1088" s="476" t="n">
        <f aca="false">D1175-D1023</f>
        <v>0</v>
      </c>
      <c r="E1088" s="477" t="n">
        <f aca="false">E1175-E1023</f>
        <v>0</v>
      </c>
      <c r="F1088" s="479" t="n">
        <f aca="false">F1175-F1023</f>
        <v>0</v>
      </c>
      <c r="G1088" s="402" t="n">
        <f aca="false">SUM(B1088:F1088)</f>
        <v>0</v>
      </c>
      <c r="H1088" s="476" t="n">
        <f aca="false">H1175-H1023</f>
        <v>0</v>
      </c>
      <c r="I1088" s="487" t="n">
        <f aca="false">I1175-I1023</f>
        <v>0</v>
      </c>
      <c r="J1088" s="248" t="n">
        <f aca="false">SUM(H1088:I1088)</f>
        <v>0</v>
      </c>
      <c r="K1088" s="477" t="n">
        <f aca="false">K1175-K1023</f>
        <v>0</v>
      </c>
      <c r="L1088" s="487" t="n">
        <f aca="false">L1175-L1023</f>
        <v>0</v>
      </c>
      <c r="M1088" s="248" t="n">
        <f aca="false">SUM(K1088:L1088)</f>
        <v>0</v>
      </c>
      <c r="N1088" s="476" t="n">
        <f aca="false">N1175-N1023</f>
        <v>0</v>
      </c>
      <c r="O1088" s="487" t="n">
        <f aca="false">O1175-O1023</f>
        <v>0</v>
      </c>
      <c r="P1088" s="248" t="n">
        <f aca="false">SUM(N1088:O1088)</f>
        <v>0</v>
      </c>
      <c r="Q1088" s="135" t="str">
        <f aca="false">IF(P633=P1088,"〇","×")</f>
        <v>〇</v>
      </c>
    </row>
    <row r="1089" s="135" customFormat="true" ht="20.1" hidden="false" customHeight="true" outlineLevel="0" collapsed="false">
      <c r="A1089" s="236" t="s">
        <v>207</v>
      </c>
      <c r="B1089" s="476" t="n">
        <f aca="false">B1176-B1024</f>
        <v>0</v>
      </c>
      <c r="C1089" s="246" t="n">
        <f aca="false">C1176-C1024</f>
        <v>0</v>
      </c>
      <c r="D1089" s="476" t="n">
        <f aca="false">D1176-D1024</f>
        <v>0</v>
      </c>
      <c r="E1089" s="477" t="n">
        <f aca="false">E1176-E1024</f>
        <v>0</v>
      </c>
      <c r="F1089" s="479" t="n">
        <f aca="false">F1176-F1024</f>
        <v>0</v>
      </c>
      <c r="G1089" s="402" t="n">
        <f aca="false">SUM(B1089:F1089)</f>
        <v>0</v>
      </c>
      <c r="H1089" s="476" t="n">
        <f aca="false">H1176-H1024</f>
        <v>3906</v>
      </c>
      <c r="I1089" s="487" t="n">
        <f aca="false">I1176-I1024</f>
        <v>3913</v>
      </c>
      <c r="J1089" s="248" t="n">
        <f aca="false">SUM(H1089:I1089)</f>
        <v>7819</v>
      </c>
      <c r="K1089" s="477" t="n">
        <f aca="false">K1176-K1024</f>
        <v>561</v>
      </c>
      <c r="L1089" s="487" t="n">
        <f aca="false">L1176-L1024</f>
        <v>561</v>
      </c>
      <c r="M1089" s="248" t="n">
        <f aca="false">SUM(K1089:L1089)</f>
        <v>1122</v>
      </c>
      <c r="N1089" s="476" t="n">
        <f aca="false">N1176-N1024</f>
        <v>1</v>
      </c>
      <c r="O1089" s="487" t="n">
        <f aca="false">O1176-O1024</f>
        <v>1</v>
      </c>
      <c r="P1089" s="248" t="n">
        <f aca="false">SUM(N1089:O1089)</f>
        <v>2</v>
      </c>
      <c r="Q1089" s="135" t="str">
        <f aca="false">IF(P634=P1089,"〇","×")</f>
        <v>〇</v>
      </c>
    </row>
    <row r="1090" s="135" customFormat="true" ht="20.1" hidden="false" customHeight="true" outlineLevel="0" collapsed="false">
      <c r="A1090" s="174"/>
      <c r="B1090" s="476" t="n">
        <f aca="false">B1177-B1025</f>
        <v>0</v>
      </c>
      <c r="C1090" s="479" t="n">
        <f aca="false">C1177-C1025</f>
        <v>0</v>
      </c>
      <c r="D1090" s="477" t="n">
        <f aca="false">D1177-D1025</f>
        <v>0</v>
      </c>
      <c r="E1090" s="487" t="n">
        <f aca="false">E1177-E1025</f>
        <v>0</v>
      </c>
      <c r="F1090" s="479" t="n">
        <f aca="false">F1177-F1025</f>
        <v>0</v>
      </c>
      <c r="G1090" s="246" t="n">
        <f aca="false">SUM(B1090:F1090)</f>
        <v>0</v>
      </c>
      <c r="H1090" s="474" t="n">
        <f aca="false">H1177-H1025</f>
        <v>0</v>
      </c>
      <c r="I1090" s="487" t="n">
        <f aca="false">I1177-I1025</f>
        <v>0</v>
      </c>
      <c r="J1090" s="248" t="n">
        <f aca="false">SUM(H1090:I1090)</f>
        <v>0</v>
      </c>
      <c r="K1090" s="477" t="n">
        <f aca="false">K1177-K1025</f>
        <v>0</v>
      </c>
      <c r="L1090" s="487" t="n">
        <f aca="false">L1177-L1025</f>
        <v>0</v>
      </c>
      <c r="M1090" s="248" t="n">
        <f aca="false">SUM(K1090:L1090)</f>
        <v>0</v>
      </c>
      <c r="N1090" s="474" t="n">
        <f aca="false">N1177-N1025</f>
        <v>0</v>
      </c>
      <c r="O1090" s="487" t="n">
        <f aca="false">O1177-O1025</f>
        <v>0</v>
      </c>
      <c r="P1090" s="248" t="n">
        <f aca="false">SUM(N1090:O1090)</f>
        <v>0</v>
      </c>
      <c r="Q1090" s="135" t="str">
        <f aca="false">IF(P635=P1090,"〇","×")</f>
        <v>〇</v>
      </c>
    </row>
    <row r="1091" s="162" customFormat="true" ht="0.2" hidden="false" customHeight="true" outlineLevel="0" collapsed="false">
      <c r="A1091" s="174"/>
      <c r="B1091" s="182"/>
      <c r="C1091" s="181"/>
      <c r="D1091" s="245"/>
      <c r="E1091" s="183"/>
      <c r="F1091" s="181"/>
      <c r="G1091" s="246" t="n">
        <f aca="false">SUM(B1091:F1091)</f>
        <v>0</v>
      </c>
      <c r="H1091" s="185"/>
      <c r="I1091" s="183"/>
      <c r="J1091" s="248" t="n">
        <f aca="false">SUM(H1091:I1091)</f>
        <v>0</v>
      </c>
      <c r="K1091" s="245"/>
      <c r="L1091" s="183"/>
      <c r="M1091" s="248" t="n">
        <f aca="false">SUM(K1091:L1091)</f>
        <v>0</v>
      </c>
      <c r="N1091" s="185"/>
      <c r="O1091" s="183"/>
      <c r="P1091" s="248" t="n">
        <f aca="false">SUM(N1091:O1091)</f>
        <v>0</v>
      </c>
      <c r="Q1091" s="135" t="str">
        <f aca="false">IF(P636=P1091,"〇","×")</f>
        <v>〇</v>
      </c>
    </row>
    <row r="1092" s="162" customFormat="true" ht="0.2" hidden="false" customHeight="true" outlineLevel="0" collapsed="false">
      <c r="A1092" s="187"/>
      <c r="B1092" s="249"/>
      <c r="C1092" s="250"/>
      <c r="D1092" s="251"/>
      <c r="E1092" s="252"/>
      <c r="F1092" s="250"/>
      <c r="G1092" s="253"/>
      <c r="H1092" s="256"/>
      <c r="I1092" s="254"/>
      <c r="J1092" s="255"/>
      <c r="K1092" s="256"/>
      <c r="L1092" s="254"/>
      <c r="M1092" s="255"/>
      <c r="N1092" s="256"/>
      <c r="O1092" s="254"/>
      <c r="P1092" s="255"/>
      <c r="Q1092" s="135" t="str">
        <f aca="false">IF(P637=P1092,"〇","×")</f>
        <v>〇</v>
      </c>
    </row>
    <row r="1093" s="135" customFormat="true" ht="20.1" hidden="false" customHeight="true" outlineLevel="0" collapsed="false">
      <c r="A1093" s="196" t="s">
        <v>519</v>
      </c>
      <c r="B1093" s="197" t="n">
        <f aca="false">SUM(B1063:B1092)</f>
        <v>5106386</v>
      </c>
      <c r="C1093" s="200" t="n">
        <f aca="false">SUM(C1063:C1092)</f>
        <v>418430</v>
      </c>
      <c r="D1093" s="198" t="n">
        <f aca="false">SUM(D1063:D1092)</f>
        <v>7908044</v>
      </c>
      <c r="E1093" s="199" t="n">
        <f aca="false">SUM(E1063:E1092)</f>
        <v>444916</v>
      </c>
      <c r="F1093" s="200" t="n">
        <f aca="false">SUM(F1063:F1092)</f>
        <v>6109</v>
      </c>
      <c r="G1093" s="201" t="n">
        <f aca="false">SUM(B1093:F1093)</f>
        <v>13883885</v>
      </c>
      <c r="H1093" s="197" t="n">
        <f aca="false">SUM(H1063:H1092)</f>
        <v>3425835</v>
      </c>
      <c r="I1093" s="198" t="n">
        <f aca="false">SUM(I1063:I1092)</f>
        <v>3639729</v>
      </c>
      <c r="J1093" s="200" t="n">
        <f aca="false">SUM(H1093:I1093)</f>
        <v>7065564</v>
      </c>
      <c r="K1093" s="197" t="n">
        <f aca="false">SUM(K1063:K1092)</f>
        <v>272790</v>
      </c>
      <c r="L1093" s="198" t="n">
        <f aca="false">SUM(L1063:L1092)</f>
        <v>295390</v>
      </c>
      <c r="M1093" s="200" t="n">
        <f aca="false">SUM(K1093:L1093)</f>
        <v>568180</v>
      </c>
      <c r="N1093" s="197" t="n">
        <f aca="false">SUM(N1063:N1092)</f>
        <v>12</v>
      </c>
      <c r="O1093" s="198" t="n">
        <f aca="false">SUM(O1063:O1092)</f>
        <v>24</v>
      </c>
      <c r="P1093" s="200" t="n">
        <f aca="false">SUM(N1093:O1093)</f>
        <v>36</v>
      </c>
      <c r="Q1093" s="135" t="str">
        <f aca="false">IF(P638=P1093,"〇","×")</f>
        <v>〇</v>
      </c>
    </row>
    <row r="1094" s="162" customFormat="true" ht="0.2" hidden="false" customHeight="true" outlineLevel="0" collapsed="false">
      <c r="A1094" s="174" t="s">
        <v>496</v>
      </c>
      <c r="B1094" s="494" t="n">
        <f aca="false">B1181-B1029</f>
        <v>0</v>
      </c>
      <c r="C1094" s="255" t="n">
        <f aca="false">C1181-C1029</f>
        <v>0</v>
      </c>
      <c r="D1094" s="501" t="n">
        <f aca="false">D1181-D1029</f>
        <v>0</v>
      </c>
      <c r="E1094" s="502" t="n">
        <f aca="false">E1181-E1029</f>
        <v>0</v>
      </c>
      <c r="F1094" s="471" t="n">
        <f aca="false">F1181-F1029</f>
        <v>0</v>
      </c>
      <c r="G1094" s="260" t="n">
        <f aca="false">SUM(B1094:F1094)</f>
        <v>0</v>
      </c>
      <c r="H1094" s="503"/>
      <c r="I1094" s="504"/>
      <c r="J1094" s="505"/>
      <c r="K1094" s="506"/>
      <c r="L1094" s="507"/>
      <c r="M1094" s="508"/>
      <c r="N1094" s="503"/>
      <c r="O1094" s="504"/>
      <c r="P1094" s="505"/>
      <c r="Q1094" s="135" t="str">
        <f aca="false">IF(P639=P1094,"〇","×")</f>
        <v>〇</v>
      </c>
    </row>
    <row r="1095" s="162" customFormat="true" ht="0.2" hidden="false" customHeight="true" outlineLevel="0" collapsed="false">
      <c r="A1095" s="266" t="s">
        <v>496</v>
      </c>
      <c r="B1095" s="489" t="n">
        <f aca="false">B1182-B1030</f>
        <v>0</v>
      </c>
      <c r="C1095" s="491" t="n">
        <f aca="false">C1182-C1030</f>
        <v>0</v>
      </c>
      <c r="D1095" s="501" t="n">
        <f aca="false">D1182-D1030</f>
        <v>0</v>
      </c>
      <c r="E1095" s="502" t="n">
        <f aca="false">E1182-E1030</f>
        <v>0</v>
      </c>
      <c r="F1095" s="255" t="n">
        <f aca="false">F1182-F1030</f>
        <v>0</v>
      </c>
      <c r="G1095" s="253" t="n">
        <f aca="false">SUM(B1095:F1095)</f>
        <v>0</v>
      </c>
      <c r="H1095" s="509"/>
      <c r="I1095" s="510"/>
      <c r="J1095" s="511"/>
      <c r="K1095" s="512"/>
      <c r="L1095" s="513"/>
      <c r="M1095" s="514"/>
      <c r="N1095" s="509"/>
      <c r="O1095" s="510"/>
      <c r="P1095" s="511"/>
      <c r="Q1095" s="135" t="str">
        <f aca="false">IF(P640=P1095,"〇","×")</f>
        <v>〇</v>
      </c>
    </row>
    <row r="1096" s="135" customFormat="true" ht="20.1" hidden="false" customHeight="true" outlineLevel="0" collapsed="false">
      <c r="A1096" s="214" t="s">
        <v>208</v>
      </c>
      <c r="B1096" s="489" t="n">
        <f aca="false">B1183-B1031</f>
        <v>4941</v>
      </c>
      <c r="C1096" s="491" t="n">
        <f aca="false">C1183-C1031</f>
        <v>405</v>
      </c>
      <c r="D1096" s="477" t="n">
        <f aca="false">D1183-D1031</f>
        <v>4941</v>
      </c>
      <c r="E1096" s="487" t="n">
        <f aca="false">E1183-E1031</f>
        <v>405</v>
      </c>
      <c r="F1096" s="479" t="n">
        <f aca="false">F1183-F1031</f>
        <v>5</v>
      </c>
      <c r="G1096" s="246" t="n">
        <f aca="false">SUM(B1096:F1096)</f>
        <v>10697</v>
      </c>
      <c r="H1096" s="483" t="n">
        <f aca="false">H1183-H1031</f>
        <v>0</v>
      </c>
      <c r="I1096" s="483" t="n">
        <f aca="false">I1183-I1031</f>
        <v>0</v>
      </c>
      <c r="J1096" s="221" t="n">
        <f aca="false">SUM(H1096:I1096)</f>
        <v>0</v>
      </c>
      <c r="K1096" s="483" t="n">
        <f aca="false">K1183-K1031</f>
        <v>0</v>
      </c>
      <c r="L1096" s="483" t="n">
        <f aca="false">L1183-L1031</f>
        <v>0</v>
      </c>
      <c r="M1096" s="221" t="n">
        <f aca="false">SUM(K1096:L1096)</f>
        <v>0</v>
      </c>
      <c r="N1096" s="483" t="n">
        <f aca="false">N1183-N1031</f>
        <v>0</v>
      </c>
      <c r="O1096" s="483" t="n">
        <f aca="false">O1183-O1031</f>
        <v>0</v>
      </c>
      <c r="P1096" s="221" t="n">
        <f aca="false">SUM(N1096:O1096)</f>
        <v>0</v>
      </c>
      <c r="Q1096" s="135" t="str">
        <f aca="false">IF(P641=P1096,"〇","×")</f>
        <v>〇</v>
      </c>
    </row>
    <row r="1097" s="135" customFormat="true" ht="20.1" hidden="false" customHeight="true" outlineLevel="0" collapsed="false">
      <c r="A1097" s="214" t="s">
        <v>209</v>
      </c>
      <c r="B1097" s="489" t="n">
        <f aca="false">B1184-B1032</f>
        <v>3020</v>
      </c>
      <c r="C1097" s="491" t="n">
        <f aca="false">C1184-C1032</f>
        <v>248</v>
      </c>
      <c r="D1097" s="501" t="n">
        <f aca="false">D1184-D1032</f>
        <v>3020</v>
      </c>
      <c r="E1097" s="502" t="n">
        <f aca="false">E1184-E1032</f>
        <v>248</v>
      </c>
      <c r="F1097" s="255" t="n">
        <f aca="false">F1184-F1032</f>
        <v>3</v>
      </c>
      <c r="G1097" s="246" t="n">
        <f aca="false">SUM(B1097:F1097)</f>
        <v>6539</v>
      </c>
      <c r="H1097" s="515" t="n">
        <f aca="false">H1184-H1032</f>
        <v>0</v>
      </c>
      <c r="I1097" s="515" t="n">
        <f aca="false">I1184-I1032</f>
        <v>0</v>
      </c>
      <c r="J1097" s="278" t="n">
        <f aca="false">SUM(H1097:I1097)</f>
        <v>0</v>
      </c>
      <c r="K1097" s="515" t="n">
        <f aca="false">K1184-K1032</f>
        <v>0</v>
      </c>
      <c r="L1097" s="515" t="n">
        <f aca="false">L1184-L1032</f>
        <v>0</v>
      </c>
      <c r="M1097" s="278" t="n">
        <f aca="false">SUM(K1097:L1097)</f>
        <v>0</v>
      </c>
      <c r="N1097" s="515" t="n">
        <f aca="false">N1184-N1032</f>
        <v>0</v>
      </c>
      <c r="O1097" s="515" t="n">
        <f aca="false">O1184-O1032</f>
        <v>0</v>
      </c>
      <c r="P1097" s="278" t="n">
        <f aca="false">SUM(N1097:O1097)</f>
        <v>0</v>
      </c>
      <c r="Q1097" s="135" t="str">
        <f aca="false">IF(P642=P1097,"〇","×")</f>
        <v>〇</v>
      </c>
    </row>
    <row r="1098" s="135" customFormat="true" ht="20.1" hidden="false" customHeight="true" outlineLevel="0" collapsed="false">
      <c r="A1098" s="196" t="s">
        <v>520</v>
      </c>
      <c r="B1098" s="197" t="n">
        <f aca="false">SUM(B1094:B1097)</f>
        <v>7961</v>
      </c>
      <c r="C1098" s="200" t="n">
        <f aca="false">SUM(C1094:C1097)</f>
        <v>653</v>
      </c>
      <c r="D1098" s="198" t="n">
        <f aca="false">SUM(D1094:D1097)</f>
        <v>7961</v>
      </c>
      <c r="E1098" s="199" t="n">
        <f aca="false">SUM(E1094:E1097)</f>
        <v>653</v>
      </c>
      <c r="F1098" s="200" t="n">
        <f aca="false">SUM(F1094:F1097)</f>
        <v>8</v>
      </c>
      <c r="G1098" s="201" t="n">
        <f aca="false">SUM(B1098:F1098)</f>
        <v>17236</v>
      </c>
      <c r="H1098" s="281" t="n">
        <f aca="false">SUM(H1094:H1097)</f>
        <v>0</v>
      </c>
      <c r="I1098" s="282" t="n">
        <f aca="false">SUM(I1094:I1097)</f>
        <v>0</v>
      </c>
      <c r="J1098" s="283" t="n">
        <f aca="false">SUM(H1098:I1098)</f>
        <v>0</v>
      </c>
      <c r="K1098" s="281" t="n">
        <f aca="false">SUM(K1094:K1097)</f>
        <v>0</v>
      </c>
      <c r="L1098" s="282" t="n">
        <f aca="false">SUM(L1094:L1097)</f>
        <v>0</v>
      </c>
      <c r="M1098" s="283" t="n">
        <f aca="false">SUM(K1098:L1098)</f>
        <v>0</v>
      </c>
      <c r="N1098" s="281" t="n">
        <f aca="false">SUM(N1094:N1097)</f>
        <v>0</v>
      </c>
      <c r="O1098" s="282" t="n">
        <f aca="false">SUM(O1094:O1097)</f>
        <v>0</v>
      </c>
      <c r="P1098" s="283" t="n">
        <f aca="false">SUM(N1098:O1098)</f>
        <v>0</v>
      </c>
      <c r="Q1098" s="135" t="str">
        <f aca="false">IF(P643=P1098,"〇","×")</f>
        <v>〇</v>
      </c>
    </row>
    <row r="1099" s="135" customFormat="true" ht="20.1" hidden="false" customHeight="true" outlineLevel="0" collapsed="false">
      <c r="A1099" s="125" t="s">
        <v>210</v>
      </c>
      <c r="B1099" s="474" t="n">
        <f aca="false">B1186-B1034</f>
        <v>3386</v>
      </c>
      <c r="C1099" s="248" t="n">
        <f aca="false">C1186-C1034</f>
        <v>278</v>
      </c>
      <c r="D1099" s="470" t="n">
        <f aca="false">D1186-D1034</f>
        <v>3386</v>
      </c>
      <c r="E1099" s="488" t="n">
        <f aca="false">E1186-E1034</f>
        <v>278</v>
      </c>
      <c r="F1099" s="221" t="n">
        <f aca="false">F1186-F1034</f>
        <v>0</v>
      </c>
      <c r="G1099" s="402" t="n">
        <f aca="false">SUM(B1099:F1099)</f>
        <v>7328</v>
      </c>
      <c r="H1099" s="478" t="n">
        <f aca="false">H1186-H1034</f>
        <v>2035</v>
      </c>
      <c r="I1099" s="475" t="n">
        <f aca="false">I1186-I1034</f>
        <v>2039</v>
      </c>
      <c r="J1099" s="248" t="n">
        <f aca="false">SUM(H1099:I1099)</f>
        <v>4074</v>
      </c>
      <c r="K1099" s="478" t="n">
        <f aca="false">K1186-K1034</f>
        <v>293</v>
      </c>
      <c r="L1099" s="475" t="n">
        <f aca="false">L1186-L1034</f>
        <v>293</v>
      </c>
      <c r="M1099" s="248" t="n">
        <f aca="false">SUM(K1099:L1099)</f>
        <v>586</v>
      </c>
      <c r="N1099" s="478" t="n">
        <f aca="false">N1186-N1034</f>
        <v>1</v>
      </c>
      <c r="O1099" s="475" t="n">
        <f aca="false">O1186-O1034</f>
        <v>1</v>
      </c>
      <c r="P1099" s="248" t="n">
        <f aca="false">SUM(N1099:O1099)</f>
        <v>2</v>
      </c>
      <c r="Q1099" s="135" t="str">
        <f aca="false">IF(P644=P1099,"〇","×")</f>
        <v>〇</v>
      </c>
    </row>
    <row r="1100" s="135" customFormat="true" ht="20.1" hidden="false" customHeight="true" outlineLevel="0" collapsed="false">
      <c r="A1100" s="125" t="s">
        <v>211</v>
      </c>
      <c r="B1100" s="474" t="n">
        <f aca="false">B1187-B1035</f>
        <v>0</v>
      </c>
      <c r="C1100" s="402" t="n">
        <f aca="false">C1187-C1035</f>
        <v>0</v>
      </c>
      <c r="D1100" s="474" t="n">
        <f aca="false">D1187-D1035</f>
        <v>0</v>
      </c>
      <c r="E1100" s="488" t="n">
        <f aca="false">E1187-E1035</f>
        <v>0</v>
      </c>
      <c r="F1100" s="221" t="n">
        <f aca="false">F1187-F1035</f>
        <v>0</v>
      </c>
      <c r="G1100" s="402" t="n">
        <f aca="false">SUM(B1100:F1100)</f>
        <v>0</v>
      </c>
      <c r="H1100" s="478" t="n">
        <f aca="false">H1187-H1035</f>
        <v>0</v>
      </c>
      <c r="I1100" s="475" t="n">
        <f aca="false">I1187-I1035</f>
        <v>0</v>
      </c>
      <c r="J1100" s="248" t="n">
        <f aca="false">SUM(H1100:I1100)</f>
        <v>0</v>
      </c>
      <c r="K1100" s="473" t="n">
        <f aca="false">K1187-K1035</f>
        <v>0</v>
      </c>
      <c r="L1100" s="475" t="n">
        <f aca="false">L1187-L1035</f>
        <v>0</v>
      </c>
      <c r="M1100" s="248" t="n">
        <f aca="false">SUM(K1100:L1100)</f>
        <v>0</v>
      </c>
      <c r="N1100" s="478" t="n">
        <f aca="false">N1187-N1035</f>
        <v>0</v>
      </c>
      <c r="O1100" s="475" t="n">
        <f aca="false">O1187-O1035</f>
        <v>0</v>
      </c>
      <c r="P1100" s="248" t="n">
        <f aca="false">SUM(N1100:O1100)</f>
        <v>0</v>
      </c>
      <c r="Q1100" s="135" t="str">
        <f aca="false">IF(P645=P1100,"〇","×")</f>
        <v>〇</v>
      </c>
    </row>
    <row r="1101" s="135" customFormat="true" ht="20.1" hidden="false" customHeight="true" outlineLevel="0" collapsed="false">
      <c r="A1101" s="217" t="s">
        <v>212</v>
      </c>
      <c r="B1101" s="474" t="n">
        <f aca="false">B1188-B1036</f>
        <v>39299</v>
      </c>
      <c r="C1101" s="402" t="n">
        <f aca="false">C1188-C1036</f>
        <v>3221</v>
      </c>
      <c r="D1101" s="474" t="n">
        <f aca="false">D1188-D1036</f>
        <v>39300</v>
      </c>
      <c r="E1101" s="488" t="n">
        <f aca="false">E1188-E1036</f>
        <v>3221</v>
      </c>
      <c r="F1101" s="221" t="n">
        <f aca="false">F1188-F1036</f>
        <v>0</v>
      </c>
      <c r="G1101" s="402" t="n">
        <f aca="false">SUM(B1101:F1101)</f>
        <v>85041</v>
      </c>
      <c r="H1101" s="478" t="n">
        <f aca="false">H1188-H1036</f>
        <v>24287</v>
      </c>
      <c r="I1101" s="475" t="n">
        <f aca="false">I1188-I1036</f>
        <v>24331</v>
      </c>
      <c r="J1101" s="248" t="n">
        <f aca="false">SUM(H1101:I1101)</f>
        <v>48618</v>
      </c>
      <c r="K1101" s="473" t="n">
        <f aca="false">K1188-K1036</f>
        <v>3425</v>
      </c>
      <c r="L1101" s="475" t="n">
        <f aca="false">L1188-L1036</f>
        <v>3425</v>
      </c>
      <c r="M1101" s="248" t="n">
        <f aca="false">SUM(K1101:L1101)</f>
        <v>6850</v>
      </c>
      <c r="N1101" s="478" t="n">
        <f aca="false">N1188-N1036</f>
        <v>1</v>
      </c>
      <c r="O1101" s="475" t="n">
        <f aca="false">O1188-O1036</f>
        <v>1</v>
      </c>
      <c r="P1101" s="248" t="n">
        <f aca="false">SUM(N1101:O1101)</f>
        <v>2</v>
      </c>
      <c r="Q1101" s="135" t="str">
        <f aca="false">IF(P646=P1101,"〇","×")</f>
        <v>〇</v>
      </c>
    </row>
    <row r="1102" s="135" customFormat="true" ht="20.1" hidden="false" customHeight="true" outlineLevel="0" collapsed="false">
      <c r="A1102" s="217" t="s">
        <v>213</v>
      </c>
      <c r="B1102" s="516" t="n">
        <f aca="false">B1189-B1037</f>
        <v>0</v>
      </c>
      <c r="C1102" s="517" t="n">
        <f aca="false">C1189-C1037</f>
        <v>0</v>
      </c>
      <c r="D1102" s="516" t="n">
        <f aca="false">D1189-D1037</f>
        <v>0</v>
      </c>
      <c r="E1102" s="492" t="n">
        <f aca="false">E1189-E1037</f>
        <v>0</v>
      </c>
      <c r="F1102" s="296" t="n">
        <f aca="false">F1189-F1037</f>
        <v>0</v>
      </c>
      <c r="G1102" s="517" t="n">
        <f aca="false">SUM(B1102:F1102)</f>
        <v>0</v>
      </c>
      <c r="H1102" s="518" t="n">
        <f aca="false">H1189-H1037</f>
        <v>0</v>
      </c>
      <c r="I1102" s="519" t="n">
        <f aca="false">I1189-I1037</f>
        <v>0</v>
      </c>
      <c r="J1102" s="520" t="n">
        <f aca="false">SUM(H1102:I1102)</f>
        <v>0</v>
      </c>
      <c r="K1102" s="521" t="n">
        <f aca="false">K1189-K1037</f>
        <v>0</v>
      </c>
      <c r="L1102" s="519" t="n">
        <f aca="false">L1189-L1037</f>
        <v>0</v>
      </c>
      <c r="M1102" s="520" t="n">
        <f aca="false">SUM(K1102:L1102)</f>
        <v>0</v>
      </c>
      <c r="N1102" s="518" t="n">
        <f aca="false">N1189-N1037</f>
        <v>0</v>
      </c>
      <c r="O1102" s="519" t="n">
        <f aca="false">O1189-O1037</f>
        <v>0</v>
      </c>
      <c r="P1102" s="520" t="n">
        <f aca="false">SUM(N1102:O1102)</f>
        <v>0</v>
      </c>
      <c r="Q1102" s="135" t="str">
        <f aca="false">IF(P647=P1102,"〇","×")</f>
        <v>〇</v>
      </c>
    </row>
    <row r="1103" s="135" customFormat="true" ht="20.1" hidden="false" customHeight="true" outlineLevel="0" collapsed="false">
      <c r="A1103" s="196" t="s">
        <v>521</v>
      </c>
      <c r="B1103" s="197" t="n">
        <f aca="false">SUM(B1099:B1102)</f>
        <v>42685</v>
      </c>
      <c r="C1103" s="201" t="n">
        <f aca="false">SUM(C1099:C1102)</f>
        <v>3499</v>
      </c>
      <c r="D1103" s="197" t="n">
        <f aca="false">SUM(D1099:D1102)</f>
        <v>42686</v>
      </c>
      <c r="E1103" s="199" t="n">
        <f aca="false">SUM(E1099:E1102)</f>
        <v>3499</v>
      </c>
      <c r="F1103" s="283" t="n">
        <f aca="false">SUM(F1099:F1102)</f>
        <v>0</v>
      </c>
      <c r="G1103" s="201" t="n">
        <f aca="false">SUM(B1103:F1103)</f>
        <v>92369</v>
      </c>
      <c r="H1103" s="301" t="n">
        <f aca="false">SUM(H1099:H1102)</f>
        <v>26322</v>
      </c>
      <c r="I1103" s="199" t="n">
        <f aca="false">SUM(I1099:I1102)</f>
        <v>26370</v>
      </c>
      <c r="J1103" s="200" t="n">
        <f aca="false">SUM(H1103:I1103)</f>
        <v>52692</v>
      </c>
      <c r="K1103" s="197" t="n">
        <f aca="false">SUM(K1099:K1102)</f>
        <v>3718</v>
      </c>
      <c r="L1103" s="301" t="n">
        <f aca="false">SUM(L1099:L1102)</f>
        <v>3718</v>
      </c>
      <c r="M1103" s="200" t="n">
        <f aca="false">SUM(K1103:L1103)</f>
        <v>7436</v>
      </c>
      <c r="N1103" s="301" t="n">
        <f aca="false">SUM(N1099:N1102)</f>
        <v>2</v>
      </c>
      <c r="O1103" s="199" t="n">
        <f aca="false">SUM(O1099:O1102)</f>
        <v>2</v>
      </c>
      <c r="P1103" s="200" t="n">
        <f aca="false">SUM(N1103:O1103)</f>
        <v>4</v>
      </c>
      <c r="Q1103" s="135" t="str">
        <f aca="false">IF(P648=P1103,"〇","×")</f>
        <v>〇</v>
      </c>
    </row>
    <row r="1104" s="135" customFormat="true" ht="20.1" hidden="false" customHeight="true" outlineLevel="0" collapsed="false">
      <c r="A1104" s="522" t="s">
        <v>214</v>
      </c>
      <c r="B1104" s="281"/>
      <c r="C1104" s="523"/>
      <c r="D1104" s="524"/>
      <c r="E1104" s="525"/>
      <c r="F1104" s="296"/>
      <c r="G1104" s="293" t="n">
        <f aca="false">SUM(B1104:F1104)</f>
        <v>0</v>
      </c>
      <c r="H1104" s="526" t="n">
        <f aca="false">H1191-H1039</f>
        <v>0</v>
      </c>
      <c r="I1104" s="527" t="n">
        <f aca="false">I1191-I1039</f>
        <v>0</v>
      </c>
      <c r="J1104" s="296" t="n">
        <f aca="false">SUM(H1104:I1104)</f>
        <v>0</v>
      </c>
      <c r="K1104" s="526" t="n">
        <f aca="false">K1191-K1039</f>
        <v>0</v>
      </c>
      <c r="L1104" s="527" t="n">
        <f aca="false">L1191-L1039</f>
        <v>0</v>
      </c>
      <c r="M1104" s="296" t="n">
        <f aca="false">SUM(K1104:L1104)</f>
        <v>0</v>
      </c>
      <c r="N1104" s="526" t="n">
        <f aca="false">N1191-N1039</f>
        <v>0</v>
      </c>
      <c r="O1104" s="527" t="n">
        <f aca="false">O1191-O1039</f>
        <v>0</v>
      </c>
      <c r="P1104" s="296" t="n">
        <f aca="false">SUM(N1104:O1104)</f>
        <v>0</v>
      </c>
      <c r="Q1104" s="135" t="str">
        <f aca="false">IF(P649=P1104,"〇","×")</f>
        <v>〇</v>
      </c>
    </row>
    <row r="1105" s="135" customFormat="true" ht="30" hidden="false" customHeight="true" outlineLevel="0" collapsed="false">
      <c r="A1105" s="310" t="s">
        <v>499</v>
      </c>
      <c r="B1105" s="311" t="n">
        <f aca="false">SUM(+B1062+B1093+B1098+B1103+B1104)</f>
        <v>24371902</v>
      </c>
      <c r="C1105" s="528" t="n">
        <f aca="false">SUM(+C1062+C1093+C1098+C1103+C1104)</f>
        <v>1995497</v>
      </c>
      <c r="D1105" s="311" t="n">
        <f aca="false">SUM(+D1062+D1093+D1098+D1103+D1104)</f>
        <v>35318968</v>
      </c>
      <c r="E1105" s="313" t="n">
        <f aca="false">SUM(+E1062+E1093+E1098+E1103+E1104)</f>
        <v>1962114</v>
      </c>
      <c r="F1105" s="312" t="n">
        <f aca="false">SUM(+F1062+F1093+F1098+F1103+F1104)</f>
        <v>25781</v>
      </c>
      <c r="G1105" s="529" t="n">
        <f aca="false">SUM(B1105:F1105)</f>
        <v>63674262</v>
      </c>
      <c r="H1105" s="315" t="n">
        <f aca="false">SUM(+H1062+H1093+H1098+H1103+H1104)</f>
        <v>17812885</v>
      </c>
      <c r="I1105" s="315" t="n">
        <f aca="false">SUM(+I1062+I1093+I1098+I1103+I1104)</f>
        <v>17802525</v>
      </c>
      <c r="J1105" s="316" t="n">
        <f aca="false">SUM(H1105:I1105)</f>
        <v>35615410</v>
      </c>
      <c r="K1105" s="317" t="n">
        <f aca="false">SUM(+K1062+K1093+K1098+K1103+K1104)</f>
        <v>1479310</v>
      </c>
      <c r="L1105" s="315" t="n">
        <f aca="false">SUM(+L1062+L1093+L1098+L1103+L1104)</f>
        <v>1479188</v>
      </c>
      <c r="M1105" s="316" t="n">
        <f aca="false">SUM(K1105:L1105)</f>
        <v>2958498</v>
      </c>
      <c r="N1105" s="315" t="n">
        <f aca="false">SUM(+N1062+N1093+N1098+N1103+N1104)</f>
        <v>25</v>
      </c>
      <c r="O1105" s="315" t="n">
        <f aca="false">SUM(+O1062+O1093+O1098+O1103+O1104)</f>
        <v>37</v>
      </c>
      <c r="P1105" s="316" t="n">
        <f aca="false">SUM(N1105:O1105)</f>
        <v>62</v>
      </c>
      <c r="Q1105" s="135" t="str">
        <f aca="false">IF(P650=P1105,"〇","×")</f>
        <v>×</v>
      </c>
    </row>
    <row r="1106" s="341" customFormat="true" ht="34.5" hidden="false" customHeight="true" outlineLevel="0" collapsed="false">
      <c r="A1106" s="340"/>
      <c r="G1106" s="109"/>
      <c r="Q1106" s="341" t="str">
        <f aca="false">IF(P1041=P1106,"〇","×")</f>
        <v>〇</v>
      </c>
    </row>
    <row r="1107" s="322" customFormat="true" ht="45" hidden="false" customHeight="true" outlineLevel="0" collapsed="false">
      <c r="A1107" s="530"/>
      <c r="B1107" s="531" t="str">
        <f aca="false">B1042</f>
        <v>令和8年度</v>
      </c>
      <c r="C1107" s="531"/>
      <c r="D1107" s="532" t="s">
        <v>523</v>
      </c>
      <c r="E1107" s="532"/>
      <c r="F1107" s="532"/>
      <c r="G1107" s="532"/>
      <c r="H1107" s="533"/>
      <c r="I1107" s="533"/>
      <c r="J1107" s="533"/>
      <c r="K1107" s="533"/>
      <c r="L1107" s="533"/>
      <c r="M1107" s="533"/>
      <c r="N1107" s="533"/>
      <c r="O1107" s="533"/>
      <c r="P1107" s="533"/>
      <c r="Q1107" s="322" t="str">
        <f aca="false">IF(P1042=P1107,"〇","×")</f>
        <v>〇</v>
      </c>
    </row>
    <row r="1108" s="535" customFormat="true" ht="36.75" hidden="false" customHeight="true" outlineLevel="0" collapsed="false">
      <c r="A1108" s="114" t="s">
        <v>483</v>
      </c>
      <c r="B1108" s="114" t="s">
        <v>484</v>
      </c>
      <c r="C1108" s="114"/>
      <c r="D1108" s="114"/>
      <c r="E1108" s="114"/>
      <c r="F1108" s="114"/>
      <c r="G1108" s="114"/>
      <c r="H1108" s="534"/>
      <c r="I1108" s="534"/>
      <c r="J1108" s="534"/>
      <c r="K1108" s="534"/>
      <c r="L1108" s="534"/>
      <c r="M1108" s="534"/>
      <c r="N1108" s="534"/>
      <c r="O1108" s="534"/>
      <c r="P1108" s="534"/>
      <c r="Q1108" s="535" t="str">
        <f aca="false">IF(P1043=P1108,"〇","×")</f>
        <v>〇</v>
      </c>
    </row>
    <row r="1109" s="535" customFormat="true" ht="36.75" hidden="false" customHeight="true" outlineLevel="0" collapsed="false">
      <c r="A1109" s="114"/>
      <c r="B1109" s="536" t="s">
        <v>487</v>
      </c>
      <c r="C1109" s="536"/>
      <c r="D1109" s="114" t="s">
        <v>488</v>
      </c>
      <c r="E1109" s="114"/>
      <c r="F1109" s="114" t="s">
        <v>489</v>
      </c>
      <c r="G1109" s="114"/>
      <c r="H1109" s="537"/>
      <c r="I1109" s="538"/>
      <c r="J1109" s="539"/>
      <c r="K1109" s="538"/>
      <c r="L1109" s="538"/>
      <c r="M1109" s="538"/>
      <c r="N1109" s="538"/>
      <c r="O1109" s="538"/>
      <c r="P1109" s="538"/>
      <c r="Q1109" s="535" t="str">
        <f aca="false">IF(P1044=P1109,"〇","×")</f>
        <v>×</v>
      </c>
    </row>
    <row r="1110" s="535" customFormat="true" ht="36.75" hidden="false" customHeight="true" outlineLevel="0" collapsed="false">
      <c r="A1110" s="114"/>
      <c r="B1110" s="540"/>
      <c r="C1110" s="541"/>
      <c r="D1110" s="542" t="s">
        <v>524</v>
      </c>
      <c r="E1110" s="543" t="s">
        <v>525</v>
      </c>
      <c r="F1110" s="114"/>
      <c r="G1110" s="114"/>
      <c r="H1110" s="544"/>
      <c r="I1110" s="545"/>
      <c r="J1110" s="545"/>
      <c r="K1110" s="546"/>
      <c r="L1110" s="546"/>
      <c r="M1110" s="546"/>
      <c r="N1110" s="546"/>
      <c r="O1110" s="546"/>
      <c r="P1110" s="546"/>
      <c r="Q1110" s="535" t="str">
        <f aca="false">IF(P1045=P1110,"〇","×")</f>
        <v>〇</v>
      </c>
    </row>
    <row r="1111" s="535" customFormat="true" ht="36.75" hidden="false" customHeight="true" outlineLevel="0" collapsed="false">
      <c r="A1111" s="547" t="s">
        <v>166</v>
      </c>
      <c r="B1111" s="548"/>
      <c r="C1111" s="549"/>
      <c r="D1111" s="550" t="n">
        <v>240401556</v>
      </c>
      <c r="E1111" s="550" t="n">
        <v>39518064</v>
      </c>
      <c r="F1111" s="551" t="n">
        <f aca="false">SUM(D1111:E1111)</f>
        <v>279919620</v>
      </c>
      <c r="G1111" s="551"/>
      <c r="H1111" s="552"/>
      <c r="I1111" s="553"/>
      <c r="J1111" s="554"/>
      <c r="K1111" s="555"/>
      <c r="L1111" s="553"/>
      <c r="M1111" s="554"/>
      <c r="N1111" s="555"/>
      <c r="O1111" s="553"/>
      <c r="P1111" s="554"/>
      <c r="Q1111" s="535" t="str">
        <f aca="false">IF(P1046=P1111,"〇","×")</f>
        <v>×</v>
      </c>
    </row>
    <row r="1112" s="535" customFormat="true" ht="36.75" hidden="false" customHeight="true" outlineLevel="0" collapsed="false">
      <c r="A1112" s="547" t="s">
        <v>169</v>
      </c>
      <c r="B1112" s="548"/>
      <c r="C1112" s="549"/>
      <c r="D1112" s="556" t="n">
        <v>15939696</v>
      </c>
      <c r="E1112" s="557" t="n">
        <v>2620224</v>
      </c>
      <c r="F1112" s="551" t="n">
        <f aca="false">SUM(D1112:E1112)</f>
        <v>18559920</v>
      </c>
      <c r="G1112" s="551"/>
      <c r="H1112" s="552"/>
      <c r="I1112" s="553"/>
      <c r="J1112" s="554"/>
      <c r="K1112" s="558"/>
      <c r="L1112" s="559"/>
      <c r="M1112" s="554"/>
      <c r="N1112" s="558"/>
      <c r="O1112" s="559"/>
      <c r="P1112" s="554"/>
      <c r="Q1112" s="535" t="str">
        <f aca="false">IF(P1047=P1112,"〇","×")</f>
        <v>×</v>
      </c>
    </row>
    <row r="1113" s="535" customFormat="true" ht="36.75" hidden="false" customHeight="true" outlineLevel="0" collapsed="false">
      <c r="A1113" s="547" t="s">
        <v>170</v>
      </c>
      <c r="B1113" s="548"/>
      <c r="C1113" s="549"/>
      <c r="D1113" s="556" t="n">
        <v>53542872</v>
      </c>
      <c r="E1113" s="557" t="n">
        <v>8801568</v>
      </c>
      <c r="F1113" s="551" t="n">
        <f aca="false">SUM(D1113:E1113)</f>
        <v>62344440</v>
      </c>
      <c r="G1113" s="551"/>
      <c r="H1113" s="559"/>
      <c r="I1113" s="552"/>
      <c r="J1113" s="554"/>
      <c r="K1113" s="558"/>
      <c r="L1113" s="552"/>
      <c r="M1113" s="554"/>
      <c r="N1113" s="558"/>
      <c r="O1113" s="552"/>
      <c r="P1113" s="554"/>
      <c r="Q1113" s="535" t="str">
        <f aca="false">IF(P1048=P1113,"〇","×")</f>
        <v>×</v>
      </c>
    </row>
    <row r="1114" s="535" customFormat="true" ht="36.75" hidden="false" customHeight="true" outlineLevel="0" collapsed="false">
      <c r="A1114" s="547" t="s">
        <v>171</v>
      </c>
      <c r="B1114" s="548"/>
      <c r="C1114" s="549"/>
      <c r="D1114" s="556" t="n">
        <v>1754628</v>
      </c>
      <c r="E1114" s="557" t="n">
        <v>288432</v>
      </c>
      <c r="F1114" s="551" t="n">
        <f aca="false">SUM(D1114:E1114)</f>
        <v>2043060</v>
      </c>
      <c r="G1114" s="551"/>
      <c r="H1114" s="560"/>
      <c r="I1114" s="552"/>
      <c r="J1114" s="554"/>
      <c r="K1114" s="548"/>
      <c r="L1114" s="552"/>
      <c r="M1114" s="554"/>
      <c r="N1114" s="548"/>
      <c r="O1114" s="552"/>
      <c r="P1114" s="554"/>
      <c r="Q1114" s="535" t="str">
        <f aca="false">IF(P1049=P1114,"〇","×")</f>
        <v>×</v>
      </c>
    </row>
    <row r="1115" s="535" customFormat="true" ht="36.75" hidden="false" customHeight="true" outlineLevel="0" collapsed="false">
      <c r="A1115" s="547" t="s">
        <v>526</v>
      </c>
      <c r="B1115" s="548"/>
      <c r="C1115" s="549"/>
      <c r="D1115" s="556" t="n">
        <v>22817172</v>
      </c>
      <c r="E1115" s="557" t="n">
        <v>3750768</v>
      </c>
      <c r="F1115" s="551" t="n">
        <f aca="false">SUM(D1115:E1115)</f>
        <v>26567940</v>
      </c>
      <c r="G1115" s="551"/>
      <c r="H1115" s="560"/>
      <c r="I1115" s="552"/>
      <c r="J1115" s="554"/>
      <c r="K1115" s="548"/>
      <c r="L1115" s="552"/>
      <c r="M1115" s="554"/>
      <c r="N1115" s="548"/>
      <c r="O1115" s="552"/>
      <c r="P1115" s="554"/>
      <c r="Q1115" s="535" t="str">
        <f aca="false">IF(P1050=P1115,"〇","×")</f>
        <v>×</v>
      </c>
    </row>
    <row r="1116" s="535" customFormat="true" ht="36.75" hidden="false" customHeight="true" outlineLevel="0" collapsed="false">
      <c r="A1116" s="547" t="s">
        <v>173</v>
      </c>
      <c r="B1116" s="548"/>
      <c r="C1116" s="549"/>
      <c r="D1116" s="556" t="n">
        <v>312732</v>
      </c>
      <c r="E1116" s="557" t="n">
        <v>51408</v>
      </c>
      <c r="F1116" s="551" t="n">
        <f aca="false">SUM(D1116:E1116)</f>
        <v>364140</v>
      </c>
      <c r="G1116" s="551"/>
      <c r="H1116" s="552"/>
      <c r="I1116" s="553"/>
      <c r="J1116" s="554"/>
      <c r="K1116" s="548"/>
      <c r="L1116" s="552"/>
      <c r="M1116" s="554"/>
      <c r="N1116" s="548"/>
      <c r="O1116" s="552"/>
      <c r="P1116" s="554"/>
      <c r="Q1116" s="535" t="str">
        <f aca="false">IF(P1051=P1116,"〇","×")</f>
        <v>×</v>
      </c>
    </row>
    <row r="1117" s="535" customFormat="true" ht="36.75" hidden="false" customHeight="true" outlineLevel="0" collapsed="false">
      <c r="A1117" s="547" t="s">
        <v>174</v>
      </c>
      <c r="B1117" s="548"/>
      <c r="C1117" s="549"/>
      <c r="D1117" s="561" t="n">
        <v>572028</v>
      </c>
      <c r="E1117" s="561" t="n">
        <v>94032</v>
      </c>
      <c r="F1117" s="551" t="n">
        <f aca="false">SUM(D1117:E1117)</f>
        <v>666060</v>
      </c>
      <c r="G1117" s="551"/>
      <c r="H1117" s="552"/>
      <c r="I1117" s="553"/>
      <c r="J1117" s="554"/>
      <c r="K1117" s="555"/>
      <c r="L1117" s="553"/>
      <c r="M1117" s="554"/>
      <c r="N1117" s="555"/>
      <c r="O1117" s="553"/>
      <c r="P1117" s="554"/>
      <c r="Q1117" s="535" t="str">
        <f aca="false">IF(P1052=P1117,"〇","×")</f>
        <v>×</v>
      </c>
    </row>
    <row r="1118" s="535" customFormat="true" ht="36.75" hidden="false" customHeight="true" outlineLevel="0" collapsed="false">
      <c r="A1118" s="547" t="s">
        <v>175</v>
      </c>
      <c r="B1118" s="548"/>
      <c r="C1118" s="549"/>
      <c r="D1118" s="556" t="n">
        <v>1292976</v>
      </c>
      <c r="E1118" s="557" t="n">
        <v>212544</v>
      </c>
      <c r="F1118" s="551" t="n">
        <f aca="false">SUM(D1118:E1118)</f>
        <v>1505520</v>
      </c>
      <c r="G1118" s="551"/>
      <c r="H1118" s="552"/>
      <c r="I1118" s="553"/>
      <c r="J1118" s="554"/>
      <c r="K1118" s="555"/>
      <c r="L1118" s="553"/>
      <c r="M1118" s="554"/>
      <c r="N1118" s="555"/>
      <c r="O1118" s="553"/>
      <c r="P1118" s="554"/>
      <c r="Q1118" s="535" t="str">
        <f aca="false">IF(P1053=P1118,"〇","×")</f>
        <v>×</v>
      </c>
    </row>
    <row r="1119" s="535" customFormat="true" ht="36.75" hidden="false" customHeight="true" outlineLevel="0" collapsed="false">
      <c r="A1119" s="547" t="s">
        <v>176</v>
      </c>
      <c r="B1119" s="548"/>
      <c r="C1119" s="549"/>
      <c r="D1119" s="556" t="n">
        <v>392448</v>
      </c>
      <c r="E1119" s="557" t="n">
        <v>64512</v>
      </c>
      <c r="F1119" s="551" t="n">
        <f aca="false">SUM(D1119:E1119)</f>
        <v>456960</v>
      </c>
      <c r="G1119" s="551"/>
      <c r="H1119" s="552"/>
      <c r="I1119" s="553"/>
      <c r="J1119" s="554"/>
      <c r="K1119" s="555"/>
      <c r="L1119" s="553"/>
      <c r="M1119" s="554"/>
      <c r="N1119" s="555"/>
      <c r="O1119" s="553"/>
      <c r="P1119" s="554"/>
      <c r="Q1119" s="535" t="str">
        <f aca="false">IF(P1054=P1119,"〇","×")</f>
        <v>×</v>
      </c>
    </row>
    <row r="1120" s="535" customFormat="true" ht="36.75" hidden="false" customHeight="true" outlineLevel="0" collapsed="false">
      <c r="A1120" s="547" t="s">
        <v>177</v>
      </c>
      <c r="B1120" s="548"/>
      <c r="C1120" s="549"/>
      <c r="D1120" s="556" t="n">
        <v>21655596</v>
      </c>
      <c r="E1120" s="557" t="n">
        <v>3559824</v>
      </c>
      <c r="F1120" s="551" t="n">
        <f aca="false">SUM(D1120:E1120)</f>
        <v>25215420</v>
      </c>
      <c r="G1120" s="551"/>
      <c r="H1120" s="552"/>
      <c r="I1120" s="553"/>
      <c r="J1120" s="554"/>
      <c r="K1120" s="555"/>
      <c r="L1120" s="553"/>
      <c r="M1120" s="554"/>
      <c r="N1120" s="555"/>
      <c r="O1120" s="553"/>
      <c r="P1120" s="554"/>
      <c r="Q1120" s="535" t="str">
        <f aca="false">IF(P1055=P1120,"〇","×")</f>
        <v>×</v>
      </c>
    </row>
    <row r="1121" s="535" customFormat="true" ht="36.75" hidden="false" customHeight="true" outlineLevel="0" collapsed="false">
      <c r="A1121" s="562" t="s">
        <v>495</v>
      </c>
      <c r="B1121" s="548"/>
      <c r="C1121" s="549"/>
      <c r="D1121" s="556" t="n">
        <v>46428</v>
      </c>
      <c r="E1121" s="557" t="n">
        <v>7632</v>
      </c>
      <c r="F1121" s="551" t="n">
        <f aca="false">SUM(D1121:E1121)</f>
        <v>54060</v>
      </c>
      <c r="G1121" s="551"/>
      <c r="H1121" s="563"/>
      <c r="I1121" s="564"/>
      <c r="J1121" s="554"/>
      <c r="K1121" s="555"/>
      <c r="L1121" s="553"/>
      <c r="M1121" s="554"/>
      <c r="N1121" s="555"/>
      <c r="O1121" s="553"/>
      <c r="P1121" s="554"/>
      <c r="Q1121" s="535" t="str">
        <f aca="false">IF(P1056=P1121,"〇","×")</f>
        <v>×</v>
      </c>
    </row>
    <row r="1122" s="535" customFormat="true" ht="36.75" hidden="false" customHeight="true" outlineLevel="0" collapsed="false">
      <c r="A1122" s="565" t="s">
        <v>204</v>
      </c>
      <c r="B1122" s="548"/>
      <c r="C1122" s="549"/>
      <c r="D1122" s="556" t="n">
        <v>128251656</v>
      </c>
      <c r="E1122" s="557" t="n">
        <v>21082464</v>
      </c>
      <c r="F1122" s="551" t="n">
        <f aca="false">SUM(D1122:E1122)</f>
        <v>149334120</v>
      </c>
      <c r="G1122" s="551"/>
      <c r="H1122" s="559"/>
      <c r="I1122" s="564"/>
      <c r="J1122" s="554"/>
      <c r="K1122" s="558"/>
      <c r="L1122" s="564"/>
      <c r="M1122" s="554"/>
      <c r="N1122" s="558"/>
      <c r="O1122" s="564"/>
      <c r="P1122" s="554"/>
      <c r="Q1122" s="535" t="str">
        <f aca="false">IF(P1057=P1122,"〇","×")</f>
        <v>〇</v>
      </c>
    </row>
    <row r="1123" s="535" customFormat="true" ht="36.75" hidden="false" customHeight="true" outlineLevel="0" collapsed="false">
      <c r="A1123" s="566"/>
      <c r="B1123" s="548"/>
      <c r="C1123" s="567"/>
      <c r="D1123" s="568"/>
      <c r="E1123" s="569"/>
      <c r="F1123" s="570" t="n">
        <f aca="false">SUM(D1123:E1123)</f>
        <v>0</v>
      </c>
      <c r="G1123" s="570"/>
      <c r="H1123" s="552"/>
      <c r="I1123" s="553"/>
      <c r="J1123" s="554"/>
      <c r="K1123" s="552"/>
      <c r="L1123" s="553"/>
      <c r="M1123" s="554"/>
      <c r="N1123" s="552"/>
      <c r="O1123" s="553"/>
      <c r="P1123" s="554"/>
      <c r="Q1123" s="535" t="str">
        <f aca="false">IF(P1058=P1123,"〇","×")</f>
        <v>〇</v>
      </c>
    </row>
    <row r="1124" s="535" customFormat="true" ht="36.75" hidden="false" customHeight="true" outlineLevel="0" collapsed="false">
      <c r="A1124" s="566"/>
      <c r="B1124" s="558"/>
      <c r="C1124" s="571"/>
      <c r="D1124" s="568"/>
      <c r="E1124" s="569"/>
      <c r="F1124" s="570" t="n">
        <f aca="false">SUM(D1124:E1124)</f>
        <v>0</v>
      </c>
      <c r="G1124" s="570"/>
      <c r="H1124" s="559"/>
      <c r="I1124" s="572"/>
      <c r="J1124" s="554"/>
      <c r="K1124" s="559"/>
      <c r="L1124" s="572"/>
      <c r="M1124" s="554"/>
      <c r="N1124" s="559"/>
      <c r="O1124" s="572"/>
      <c r="P1124" s="554"/>
      <c r="Q1124" s="535" t="str">
        <f aca="false">IF(P1059=P1124,"〇","×")</f>
        <v>〇</v>
      </c>
    </row>
    <row r="1125" s="535" customFormat="true" ht="36.75" hidden="false" customHeight="true" outlineLevel="0" collapsed="false">
      <c r="A1125" s="573"/>
      <c r="B1125" s="548"/>
      <c r="C1125" s="549"/>
      <c r="D1125" s="568"/>
      <c r="E1125" s="569"/>
      <c r="F1125" s="570" t="n">
        <f aca="false">SUM(D1125:E1125)</f>
        <v>0</v>
      </c>
      <c r="G1125" s="570"/>
      <c r="H1125" s="560"/>
      <c r="I1125" s="574"/>
      <c r="J1125" s="554"/>
      <c r="K1125" s="560"/>
      <c r="L1125" s="574"/>
      <c r="M1125" s="554"/>
      <c r="N1125" s="560"/>
      <c r="O1125" s="574"/>
      <c r="P1125" s="554"/>
      <c r="Q1125" s="535" t="str">
        <f aca="false">IF(P1060=P1125,"〇","×")</f>
        <v>〇</v>
      </c>
    </row>
    <row r="1126" s="535" customFormat="true" ht="36.75" hidden="false" customHeight="true" outlineLevel="0" collapsed="false">
      <c r="A1126" s="573"/>
      <c r="B1126" s="558"/>
      <c r="C1126" s="567"/>
      <c r="D1126" s="575"/>
      <c r="E1126" s="576"/>
      <c r="F1126" s="570" t="n">
        <f aca="false">SUM(D1126:E1126)</f>
        <v>0</v>
      </c>
      <c r="G1126" s="570"/>
      <c r="H1126" s="560"/>
      <c r="I1126" s="572"/>
      <c r="J1126" s="554"/>
      <c r="K1126" s="559"/>
      <c r="L1126" s="572"/>
      <c r="M1126" s="554"/>
      <c r="N1126" s="559"/>
      <c r="O1126" s="572"/>
      <c r="P1126" s="554"/>
      <c r="Q1126" s="535" t="str">
        <f aca="false">IF(P1061=P1126,"〇","×")</f>
        <v>〇</v>
      </c>
    </row>
    <row r="1127" s="586" customFormat="true" ht="36.75" hidden="false" customHeight="true" outlineLevel="0" collapsed="false">
      <c r="A1127" s="577" t="s">
        <v>527</v>
      </c>
      <c r="B1127" s="578"/>
      <c r="C1127" s="579"/>
      <c r="D1127" s="580" t="n">
        <f aca="false">SUM(D1111:D1126)</f>
        <v>486979788</v>
      </c>
      <c r="E1127" s="581" t="n">
        <f aca="false">SUM(E1111:E1126)</f>
        <v>80051472</v>
      </c>
      <c r="F1127" s="582" t="n">
        <f aca="false">SUM(F1111:G1126)</f>
        <v>567031260</v>
      </c>
      <c r="G1127" s="582"/>
      <c r="H1127" s="583"/>
      <c r="I1127" s="584"/>
      <c r="J1127" s="585"/>
      <c r="K1127" s="578"/>
      <c r="L1127" s="583"/>
      <c r="M1127" s="585"/>
      <c r="N1127" s="578"/>
      <c r="O1127" s="583"/>
      <c r="P1127" s="585"/>
      <c r="Q1127" s="586" t="str">
        <f aca="false">IF(P1062=P1127,"〇","×")</f>
        <v>×</v>
      </c>
    </row>
    <row r="1128" s="341" customFormat="true" ht="18.75" hidden="false" customHeight="true" outlineLevel="0" collapsed="false">
      <c r="A1128" s="340"/>
      <c r="G1128" s="109"/>
      <c r="Q1128" s="341" t="str">
        <f aca="false">IF(P1063=P1128,"〇","×")</f>
        <v>〇</v>
      </c>
    </row>
    <row r="1129" s="322" customFormat="true" ht="30" hidden="false" customHeight="true" outlineLevel="0" collapsed="false">
      <c r="A1129" s="320"/>
      <c r="B1129" s="467" t="str">
        <f aca="false">B1107</f>
        <v>令和8年度</v>
      </c>
      <c r="C1129" s="467"/>
      <c r="D1129" s="468" t="s">
        <v>528</v>
      </c>
      <c r="E1129" s="468"/>
      <c r="F1129" s="468"/>
      <c r="G1129" s="468"/>
      <c r="H1129" s="467" t="str">
        <f aca="false">B1129</f>
        <v>令和8年度</v>
      </c>
      <c r="I1129" s="468" t="s">
        <v>528</v>
      </c>
      <c r="J1129" s="468"/>
      <c r="K1129" s="467" t="str">
        <f aca="false">B1129</f>
        <v>令和8年度</v>
      </c>
      <c r="L1129" s="468" t="s">
        <v>528</v>
      </c>
      <c r="M1129" s="468"/>
      <c r="N1129" s="467" t="str">
        <f aca="false">H1129</f>
        <v>令和8年度</v>
      </c>
      <c r="O1129" s="468" t="s">
        <v>528</v>
      </c>
      <c r="P1129" s="468"/>
      <c r="Q1129" s="322" t="str">
        <f aca="false">IF(P1064=P1129,"〇","×")</f>
        <v>×</v>
      </c>
    </row>
    <row r="1130" customFormat="false" ht="22.5" hidden="false" customHeight="true" outlineLevel="0" collapsed="false">
      <c r="A1130" s="114" t="s">
        <v>483</v>
      </c>
      <c r="B1130" s="114" t="s">
        <v>484</v>
      </c>
      <c r="C1130" s="114"/>
      <c r="D1130" s="114"/>
      <c r="E1130" s="114"/>
      <c r="F1130" s="114"/>
      <c r="G1130" s="114"/>
      <c r="H1130" s="116" t="s">
        <v>485</v>
      </c>
      <c r="I1130" s="116"/>
      <c r="J1130" s="116"/>
      <c r="K1130" s="116" t="s">
        <v>486</v>
      </c>
      <c r="L1130" s="116"/>
      <c r="M1130" s="116"/>
      <c r="N1130" s="116" t="str">
        <f aca="false">$N$3</f>
        <v>子ども・子育て支援納付金</v>
      </c>
      <c r="O1130" s="116"/>
      <c r="P1130" s="116"/>
      <c r="Q1130" s="105" t="str">
        <f aca="false">IF(P1065=P1130,"〇","×")</f>
        <v>×</v>
      </c>
    </row>
    <row r="1131" customFormat="false" ht="22.5" hidden="false" customHeight="true" outlineLevel="0" collapsed="false">
      <c r="A1131" s="114"/>
      <c r="B1131" s="117" t="s">
        <v>487</v>
      </c>
      <c r="C1131" s="117"/>
      <c r="D1131" s="117" t="s">
        <v>488</v>
      </c>
      <c r="E1131" s="117"/>
      <c r="F1131" s="117"/>
      <c r="G1131" s="117" t="s">
        <v>489</v>
      </c>
      <c r="H1131" s="121" t="s">
        <v>490</v>
      </c>
      <c r="I1131" s="119" t="s">
        <v>491</v>
      </c>
      <c r="J1131" s="587" t="s">
        <v>489</v>
      </c>
      <c r="K1131" s="121" t="s">
        <v>490</v>
      </c>
      <c r="L1131" s="119" t="s">
        <v>491</v>
      </c>
      <c r="M1131" s="120" t="s">
        <v>489</v>
      </c>
      <c r="N1131" s="121" t="s">
        <v>490</v>
      </c>
      <c r="O1131" s="119" t="s">
        <v>491</v>
      </c>
      <c r="P1131" s="120" t="s">
        <v>489</v>
      </c>
      <c r="Q1131" s="105" t="str">
        <f aca="false">IF(P1066=P1131,"〇","×")</f>
        <v>×</v>
      </c>
    </row>
    <row r="1132" customFormat="false" ht="22.5" hidden="false" customHeight="true" outlineLevel="0" collapsed="false">
      <c r="A1132" s="114"/>
      <c r="B1132" s="122" t="s">
        <v>492</v>
      </c>
      <c r="C1132" s="123" t="s">
        <v>493</v>
      </c>
      <c r="D1132" s="124" t="s">
        <v>492</v>
      </c>
      <c r="E1132" s="124" t="s">
        <v>494</v>
      </c>
      <c r="F1132" s="123" t="s">
        <v>93</v>
      </c>
      <c r="G1132" s="117"/>
      <c r="H1132" s="121"/>
      <c r="I1132" s="119"/>
      <c r="J1132" s="587"/>
      <c r="K1132" s="121"/>
      <c r="L1132" s="119"/>
      <c r="M1132" s="120"/>
      <c r="N1132" s="121"/>
      <c r="O1132" s="119"/>
      <c r="P1132" s="120"/>
      <c r="Q1132" s="105" t="str">
        <f aca="false">IF(P1067=P1132,"〇","×")</f>
        <v>×</v>
      </c>
    </row>
    <row r="1133" s="135" customFormat="true" ht="20.1" hidden="false" customHeight="true" outlineLevel="0" collapsed="false">
      <c r="A1133" s="125" t="s">
        <v>166</v>
      </c>
      <c r="B1133" s="385" t="n">
        <v>25576973</v>
      </c>
      <c r="C1133" s="386" t="n">
        <v>2096369</v>
      </c>
      <c r="D1133" s="387" t="n">
        <v>36306944</v>
      </c>
      <c r="E1133" s="387" t="n">
        <v>1997670</v>
      </c>
      <c r="F1133" s="388" t="n">
        <v>26080</v>
      </c>
      <c r="G1133" s="389" t="n">
        <f aca="false">SUM(B1133:F1133)</f>
        <v>66004036</v>
      </c>
      <c r="H1133" s="385" t="n">
        <v>19868499</v>
      </c>
      <c r="I1133" s="205" t="n">
        <v>19431664</v>
      </c>
      <c r="J1133" s="206" t="n">
        <f aca="false">SUM(H1133:I1133)</f>
        <v>39300163</v>
      </c>
      <c r="K1133" s="287" t="n">
        <v>1661302</v>
      </c>
      <c r="L1133" s="205" t="n">
        <v>1615299</v>
      </c>
      <c r="M1133" s="206" t="n">
        <f aca="false">SUM(K1133:L1133)</f>
        <v>3276601</v>
      </c>
      <c r="N1133" s="287" t="n">
        <v>2</v>
      </c>
      <c r="O1133" s="205" t="n">
        <v>2</v>
      </c>
      <c r="P1133" s="206" t="n">
        <f aca="false">SUM(N1133:O1133)</f>
        <v>4</v>
      </c>
      <c r="Q1133" s="135" t="str">
        <f aca="false">IF(P1068=P1133,"〇","×")</f>
        <v>×</v>
      </c>
    </row>
    <row r="1134" s="135" customFormat="true" ht="20.1" hidden="false" customHeight="true" outlineLevel="0" collapsed="false">
      <c r="A1134" s="125" t="s">
        <v>169</v>
      </c>
      <c r="B1134" s="203" t="n">
        <v>1654205</v>
      </c>
      <c r="C1134" s="204" t="n">
        <v>135569</v>
      </c>
      <c r="D1134" s="387" t="n">
        <v>2403294</v>
      </c>
      <c r="E1134" s="387" t="n">
        <v>135292</v>
      </c>
      <c r="F1134" s="237" t="n">
        <v>1700</v>
      </c>
      <c r="G1134" s="206" t="n">
        <f aca="false">SUM(B1134:F1134)</f>
        <v>4330060</v>
      </c>
      <c r="H1134" s="287" t="n">
        <v>1058386</v>
      </c>
      <c r="I1134" s="208" t="n">
        <v>1074298</v>
      </c>
      <c r="J1134" s="160" t="n">
        <f aca="false">SUM(H1134:I1134)</f>
        <v>2132684</v>
      </c>
      <c r="K1134" s="240" t="n">
        <v>101585</v>
      </c>
      <c r="L1134" s="238" t="n">
        <v>101038</v>
      </c>
      <c r="M1134" s="160" t="n">
        <f aca="false">SUM(K1134:L1134)</f>
        <v>202623</v>
      </c>
      <c r="N1134" s="240" t="n">
        <v>2</v>
      </c>
      <c r="O1134" s="238" t="n">
        <v>2</v>
      </c>
      <c r="P1134" s="160" t="n">
        <f aca="false">SUM(N1134:O1134)</f>
        <v>4</v>
      </c>
      <c r="Q1134" s="135" t="str">
        <f aca="false">IF(P1069=P1134,"〇","×")</f>
        <v>×</v>
      </c>
    </row>
    <row r="1135" s="135" customFormat="true" ht="20.1" hidden="false" customHeight="true" outlineLevel="0" collapsed="false">
      <c r="A1135" s="125" t="s">
        <v>170</v>
      </c>
      <c r="B1135" s="203" t="n">
        <v>5474624</v>
      </c>
      <c r="C1135" s="204" t="n">
        <v>444742</v>
      </c>
      <c r="D1135" s="387" t="n">
        <v>7748474</v>
      </c>
      <c r="E1135" s="387" t="n">
        <v>430629</v>
      </c>
      <c r="F1135" s="237" t="n">
        <v>5620</v>
      </c>
      <c r="G1135" s="206" t="n">
        <f aca="false">SUM(B1135:F1135)</f>
        <v>14104089</v>
      </c>
      <c r="H1135" s="240" t="n">
        <v>3393685</v>
      </c>
      <c r="I1135" s="207" t="n">
        <v>3335588</v>
      </c>
      <c r="J1135" s="160" t="n">
        <f aca="false">SUM(H1135:I1135)</f>
        <v>6729273</v>
      </c>
      <c r="K1135" s="240" t="n">
        <v>200951</v>
      </c>
      <c r="L1135" s="207" t="n">
        <v>201933</v>
      </c>
      <c r="M1135" s="160" t="n">
        <f aca="false">SUM(K1135:L1135)</f>
        <v>402884</v>
      </c>
      <c r="N1135" s="240" t="n">
        <v>2</v>
      </c>
      <c r="O1135" s="238" t="n">
        <v>2</v>
      </c>
      <c r="P1135" s="160" t="n">
        <f aca="false">SUM(N1135:O1135)</f>
        <v>4</v>
      </c>
      <c r="Q1135" s="135" t="str">
        <f aca="false">IF(P1070=P1135,"〇","×")</f>
        <v>×</v>
      </c>
    </row>
    <row r="1136" s="135" customFormat="true" ht="20.1" hidden="false" customHeight="true" outlineLevel="0" collapsed="false">
      <c r="A1136" s="125" t="s">
        <v>171</v>
      </c>
      <c r="B1136" s="203" t="n">
        <v>186203</v>
      </c>
      <c r="C1136" s="204" t="n">
        <v>15263</v>
      </c>
      <c r="D1136" s="387" t="n">
        <v>270656</v>
      </c>
      <c r="E1136" s="387" t="n">
        <v>15263</v>
      </c>
      <c r="F1136" s="237" t="n">
        <v>191</v>
      </c>
      <c r="G1136" s="206" t="n">
        <f aca="false">SUM(B1136:F1136)</f>
        <v>487576</v>
      </c>
      <c r="H1136" s="203" t="n">
        <v>118889</v>
      </c>
      <c r="I1136" s="207" t="n">
        <v>120973</v>
      </c>
      <c r="J1136" s="160" t="n">
        <f aca="false">SUM(H1136:I1136)</f>
        <v>239862</v>
      </c>
      <c r="K1136" s="203" t="n">
        <v>10431</v>
      </c>
      <c r="L1136" s="207" t="n">
        <v>10436</v>
      </c>
      <c r="M1136" s="160" t="n">
        <f aca="false">SUM(K1136:L1136)</f>
        <v>20867</v>
      </c>
      <c r="N1136" s="240" t="n">
        <v>2</v>
      </c>
      <c r="O1136" s="238" t="n">
        <v>2</v>
      </c>
      <c r="P1136" s="160" t="n">
        <f aca="false">SUM(N1136:O1136)</f>
        <v>4</v>
      </c>
      <c r="Q1136" s="135" t="str">
        <f aca="false">IF(P1071=P1136,"〇","×")</f>
        <v>×</v>
      </c>
    </row>
    <row r="1137" s="135" customFormat="true" ht="18.75" hidden="false" customHeight="true" outlineLevel="0" collapsed="false">
      <c r="A1137" s="125" t="s">
        <v>526</v>
      </c>
      <c r="B1137" s="203" t="n">
        <v>2684166</v>
      </c>
      <c r="C1137" s="204" t="n">
        <v>220026</v>
      </c>
      <c r="D1137" s="387" t="n">
        <v>3829578</v>
      </c>
      <c r="E1137" s="387" t="n">
        <v>213331</v>
      </c>
      <c r="F1137" s="237" t="n">
        <v>2778</v>
      </c>
      <c r="G1137" s="206" t="n">
        <f aca="false">SUM(B1137:F1137)</f>
        <v>6949879</v>
      </c>
      <c r="H1137" s="203" t="n">
        <v>2453204</v>
      </c>
      <c r="I1137" s="207" t="n">
        <v>2449011</v>
      </c>
      <c r="J1137" s="160" t="n">
        <f aca="false">SUM(H1137:I1137)</f>
        <v>4902215</v>
      </c>
      <c r="K1137" s="203" t="n">
        <v>263606</v>
      </c>
      <c r="L1137" s="207" t="n">
        <v>263746</v>
      </c>
      <c r="M1137" s="160" t="n">
        <f aca="false">SUM(K1137:L1137)</f>
        <v>527352</v>
      </c>
      <c r="N1137" s="240" t="n">
        <v>2</v>
      </c>
      <c r="O1137" s="238" t="n">
        <v>2</v>
      </c>
      <c r="P1137" s="160" t="n">
        <f aca="false">SUM(N1137:O1137)</f>
        <v>4</v>
      </c>
      <c r="Q1137" s="135" t="str">
        <f aca="false">IF(P1072=P1137,"〇","×")</f>
        <v>×</v>
      </c>
    </row>
    <row r="1138" s="135" customFormat="true" ht="20.1" hidden="false" customHeight="true" outlineLevel="0" collapsed="false">
      <c r="A1138" s="125" t="s">
        <v>173</v>
      </c>
      <c r="B1138" s="203" t="n">
        <v>31292</v>
      </c>
      <c r="C1138" s="204" t="n">
        <v>2564</v>
      </c>
      <c r="D1138" s="387" t="n">
        <v>45484</v>
      </c>
      <c r="E1138" s="387" t="n">
        <v>2564</v>
      </c>
      <c r="F1138" s="237" t="n">
        <v>32</v>
      </c>
      <c r="G1138" s="206" t="n">
        <f aca="false">SUM(B1138:F1138)</f>
        <v>81936</v>
      </c>
      <c r="H1138" s="287" t="n">
        <v>21128</v>
      </c>
      <c r="I1138" s="208" t="n">
        <v>21496</v>
      </c>
      <c r="J1138" s="160" t="n">
        <f aca="false">SUM(H1138:I1138)</f>
        <v>42624</v>
      </c>
      <c r="K1138" s="203" t="n">
        <v>1612</v>
      </c>
      <c r="L1138" s="207" t="n">
        <v>1612</v>
      </c>
      <c r="M1138" s="160" t="n">
        <f aca="false">SUM(K1138:L1138)</f>
        <v>3224</v>
      </c>
      <c r="N1138" s="240" t="n">
        <v>2</v>
      </c>
      <c r="O1138" s="238" t="n">
        <v>2</v>
      </c>
      <c r="P1138" s="160" t="n">
        <f aca="false">SUM(N1138:O1138)</f>
        <v>4</v>
      </c>
      <c r="Q1138" s="135" t="str">
        <f aca="false">IF(P1073=P1138,"〇","×")</f>
        <v>×</v>
      </c>
    </row>
    <row r="1139" s="135" customFormat="true" ht="20.1" hidden="false" customHeight="true" outlineLevel="0" collapsed="false">
      <c r="A1139" s="125" t="s">
        <v>174</v>
      </c>
      <c r="B1139" s="203" t="n">
        <v>57921</v>
      </c>
      <c r="C1139" s="204" t="n">
        <v>4749</v>
      </c>
      <c r="D1139" s="387" t="n">
        <v>84188</v>
      </c>
      <c r="E1139" s="387" t="n">
        <v>4747</v>
      </c>
      <c r="F1139" s="237" t="n">
        <v>59</v>
      </c>
      <c r="G1139" s="391" t="n">
        <f aca="false">SUM(B1139:F1139)</f>
        <v>151664</v>
      </c>
      <c r="H1139" s="287" t="n">
        <v>38837</v>
      </c>
      <c r="I1139" s="208" t="n">
        <v>39521</v>
      </c>
      <c r="J1139" s="160" t="n">
        <f aca="false">SUM(H1139:I1139)</f>
        <v>78358</v>
      </c>
      <c r="K1139" s="287" t="n">
        <v>3092</v>
      </c>
      <c r="L1139" s="208" t="n">
        <v>3089</v>
      </c>
      <c r="M1139" s="160" t="n">
        <f aca="false">SUM(K1139:L1139)</f>
        <v>6181</v>
      </c>
      <c r="N1139" s="240" t="n">
        <v>2</v>
      </c>
      <c r="O1139" s="238" t="n">
        <v>2</v>
      </c>
      <c r="P1139" s="160" t="n">
        <f aca="false">SUM(N1139:O1139)</f>
        <v>4</v>
      </c>
      <c r="Q1139" s="135" t="str">
        <f aca="false">IF(P1074=P1139,"〇","×")</f>
        <v>×</v>
      </c>
    </row>
    <row r="1140" s="135" customFormat="true" ht="20.1" hidden="false" customHeight="true" outlineLevel="0" collapsed="false">
      <c r="A1140" s="125" t="s">
        <v>175</v>
      </c>
      <c r="B1140" s="203" t="n">
        <v>134869</v>
      </c>
      <c r="C1140" s="204" t="n">
        <v>11053</v>
      </c>
      <c r="D1140" s="387" t="n">
        <v>196042</v>
      </c>
      <c r="E1140" s="387" t="n">
        <v>11055</v>
      </c>
      <c r="F1140" s="237" t="n">
        <v>138</v>
      </c>
      <c r="G1140" s="206" t="n">
        <f aca="false">SUM(B1140:F1140)</f>
        <v>353157</v>
      </c>
      <c r="H1140" s="287" t="n">
        <v>85923</v>
      </c>
      <c r="I1140" s="208" t="n">
        <v>87439</v>
      </c>
      <c r="J1140" s="160" t="n">
        <f aca="false">SUM(H1140:I1140)</f>
        <v>173362</v>
      </c>
      <c r="K1140" s="287" t="n">
        <v>10794</v>
      </c>
      <c r="L1140" s="208" t="n">
        <v>10791</v>
      </c>
      <c r="M1140" s="160" t="n">
        <f aca="false">SUM(K1140:L1140)</f>
        <v>21585</v>
      </c>
      <c r="N1140" s="240" t="n">
        <v>2</v>
      </c>
      <c r="O1140" s="238" t="n">
        <v>2</v>
      </c>
      <c r="P1140" s="160" t="n">
        <f aca="false">SUM(N1140:O1140)</f>
        <v>4</v>
      </c>
      <c r="Q1140" s="135" t="str">
        <f aca="false">IF(P1075=P1140,"〇","×")</f>
        <v>×</v>
      </c>
    </row>
    <row r="1141" s="135" customFormat="true" ht="20.1" hidden="false" customHeight="true" outlineLevel="0" collapsed="false">
      <c r="A1141" s="125" t="s">
        <v>176</v>
      </c>
      <c r="B1141" s="203" t="n">
        <v>36232</v>
      </c>
      <c r="C1141" s="204" t="n">
        <v>2968</v>
      </c>
      <c r="D1141" s="387" t="n">
        <v>52670</v>
      </c>
      <c r="E1141" s="387" t="n">
        <v>2971</v>
      </c>
      <c r="F1141" s="237" t="n">
        <v>37</v>
      </c>
      <c r="G1141" s="206" t="n">
        <f aca="false">SUM(B1141:F1141)</f>
        <v>94878</v>
      </c>
      <c r="H1141" s="287" t="n">
        <v>34005</v>
      </c>
      <c r="I1141" s="208" t="n">
        <v>34595</v>
      </c>
      <c r="J1141" s="160" t="n">
        <f aca="false">SUM(H1141:I1141)</f>
        <v>68600</v>
      </c>
      <c r="K1141" s="287" t="n">
        <v>3571</v>
      </c>
      <c r="L1141" s="208" t="n">
        <v>3571</v>
      </c>
      <c r="M1141" s="160" t="n">
        <f aca="false">SUM(K1141:L1141)</f>
        <v>7142</v>
      </c>
      <c r="N1141" s="240" t="n">
        <v>2</v>
      </c>
      <c r="O1141" s="238" t="n">
        <v>2</v>
      </c>
      <c r="P1141" s="160" t="n">
        <f aca="false">SUM(N1141:O1141)</f>
        <v>4</v>
      </c>
      <c r="Q1141" s="135" t="str">
        <f aca="false">IF(P1076=P1141,"〇","×")</f>
        <v>×</v>
      </c>
    </row>
    <row r="1142" s="135" customFormat="true" ht="20.1" hidden="false" customHeight="true" outlineLevel="0" collapsed="false">
      <c r="A1142" s="125" t="s">
        <v>177</v>
      </c>
      <c r="B1142" s="203" t="n">
        <v>2588673</v>
      </c>
      <c r="C1142" s="204" t="n">
        <v>212145</v>
      </c>
      <c r="D1142" s="387" t="n">
        <v>3776574</v>
      </c>
      <c r="E1142" s="387" t="n">
        <v>212188</v>
      </c>
      <c r="F1142" s="237" t="n">
        <v>2684</v>
      </c>
      <c r="G1142" s="206" t="n">
        <f aca="false">SUM(B1142:F1142)</f>
        <v>6792264</v>
      </c>
      <c r="H1142" s="287" t="n">
        <v>1646141</v>
      </c>
      <c r="I1142" s="208" t="n">
        <v>1675463</v>
      </c>
      <c r="J1142" s="160" t="n">
        <f aca="false">SUM(H1142:I1142)</f>
        <v>3321604</v>
      </c>
      <c r="K1142" s="287" t="n">
        <v>148259</v>
      </c>
      <c r="L1142" s="208" t="n">
        <v>148244</v>
      </c>
      <c r="M1142" s="160" t="n">
        <f aca="false">SUM(K1142:L1142)</f>
        <v>296503</v>
      </c>
      <c r="N1142" s="240" t="n">
        <v>2</v>
      </c>
      <c r="O1142" s="238" t="n">
        <v>2</v>
      </c>
      <c r="P1142" s="160" t="n">
        <f aca="false">SUM(N1142:O1142)</f>
        <v>4</v>
      </c>
      <c r="Q1142" s="135" t="str">
        <f aca="false">IF(P1077=P1142,"〇","×")</f>
        <v>×</v>
      </c>
    </row>
    <row r="1143" s="135" customFormat="true" ht="19.5" hidden="false" customHeight="true" outlineLevel="0" collapsed="false">
      <c r="A1143" s="146" t="s">
        <v>495</v>
      </c>
      <c r="B1143" s="240" t="n">
        <v>4575</v>
      </c>
      <c r="C1143" s="392" t="n">
        <v>375</v>
      </c>
      <c r="D1143" s="240" t="n">
        <v>6650</v>
      </c>
      <c r="E1143" s="238" t="n">
        <v>375</v>
      </c>
      <c r="F1143" s="393" t="n">
        <v>5</v>
      </c>
      <c r="G1143" s="391" t="n">
        <f aca="false">SUM(B1143:F1143)</f>
        <v>11980</v>
      </c>
      <c r="H1143" s="588" t="n">
        <v>2751</v>
      </c>
      <c r="I1143" s="395" t="n">
        <v>2798</v>
      </c>
      <c r="J1143" s="160" t="n">
        <f aca="false">SUM(H1143:I1143)</f>
        <v>5549</v>
      </c>
      <c r="K1143" s="287" t="n">
        <v>396</v>
      </c>
      <c r="L1143" s="208" t="n">
        <v>396</v>
      </c>
      <c r="M1143" s="160" t="n">
        <f aca="false">SUM(K1143:L1143)</f>
        <v>792</v>
      </c>
      <c r="N1143" s="240" t="n">
        <v>2</v>
      </c>
      <c r="O1143" s="238" t="n">
        <v>2</v>
      </c>
      <c r="P1143" s="160" t="n">
        <f aca="false">SUM(N1143:O1143)</f>
        <v>4</v>
      </c>
      <c r="Q1143" s="135" t="str">
        <f aca="false">IF(P1078=P1143,"〇","×")</f>
        <v>×</v>
      </c>
    </row>
    <row r="1144" s="162" customFormat="true" ht="19.5" hidden="false" customHeight="true" outlineLevel="0" collapsed="false">
      <c r="A1144" s="151" t="s">
        <v>179</v>
      </c>
      <c r="B1144" s="152" t="n">
        <v>0</v>
      </c>
      <c r="C1144" s="153" t="n">
        <v>0</v>
      </c>
      <c r="D1144" s="154"/>
      <c r="E1144" s="155"/>
      <c r="F1144" s="156" t="n">
        <v>0</v>
      </c>
      <c r="G1144" s="589" t="n">
        <f aca="false">SUM(B1144:F1144)</f>
        <v>0</v>
      </c>
      <c r="H1144" s="207" t="n">
        <v>0</v>
      </c>
      <c r="I1144" s="208" t="n">
        <v>0</v>
      </c>
      <c r="J1144" s="160" t="n">
        <f aca="false">SUM(H1144:I1144)</f>
        <v>0</v>
      </c>
      <c r="K1144" s="287" t="n">
        <v>0</v>
      </c>
      <c r="L1144" s="208" t="n">
        <v>0</v>
      </c>
      <c r="M1144" s="160" t="n">
        <f aca="false">SUM(K1144:L1144)</f>
        <v>0</v>
      </c>
      <c r="N1144" s="287" t="n">
        <v>0</v>
      </c>
      <c r="O1144" s="208" t="n">
        <v>0</v>
      </c>
      <c r="P1144" s="160" t="n">
        <f aca="false">SUM(N1144:O1144)</f>
        <v>0</v>
      </c>
      <c r="Q1144" s="162" t="str">
        <f aca="false">IF(P1079=P1144,"〇","×")</f>
        <v>×</v>
      </c>
    </row>
    <row r="1145" s="162" customFormat="true" ht="19.5" hidden="false" customHeight="true" outlineLevel="0" collapsed="false">
      <c r="A1145" s="163" t="s">
        <v>496</v>
      </c>
      <c r="B1145" s="164"/>
      <c r="C1145" s="165"/>
      <c r="D1145" s="164"/>
      <c r="E1145" s="166"/>
      <c r="F1145" s="167"/>
      <c r="G1145" s="168"/>
      <c r="H1145" s="419"/>
      <c r="I1145" s="170"/>
      <c r="J1145" s="171"/>
      <c r="K1145" s="172"/>
      <c r="L1145" s="173"/>
      <c r="M1145" s="173"/>
      <c r="N1145" s="172"/>
      <c r="O1145" s="173"/>
      <c r="P1145" s="173"/>
      <c r="Q1145" s="162" t="str">
        <f aca="false">IF(P1080=P1145,"〇","×")</f>
        <v>×</v>
      </c>
    </row>
    <row r="1146" s="162" customFormat="true" ht="19.5" hidden="false" customHeight="true" outlineLevel="0" collapsed="false">
      <c r="A1146" s="174" t="s">
        <v>496</v>
      </c>
      <c r="B1146" s="175"/>
      <c r="C1146" s="176"/>
      <c r="D1146" s="175"/>
      <c r="E1146" s="177"/>
      <c r="F1146" s="178"/>
      <c r="G1146" s="179"/>
      <c r="H1146" s="175"/>
      <c r="I1146" s="177"/>
      <c r="J1146" s="181"/>
      <c r="K1146" s="182"/>
      <c r="L1146" s="183"/>
      <c r="M1146" s="183"/>
      <c r="N1146" s="182"/>
      <c r="O1146" s="183"/>
      <c r="P1146" s="183"/>
      <c r="Q1146" s="162" t="str">
        <f aca="false">IF(P1081=P1146,"〇","×")</f>
        <v>×</v>
      </c>
    </row>
    <row r="1147" s="162" customFormat="true" ht="19.5" hidden="false" customHeight="true" outlineLevel="0" collapsed="false">
      <c r="A1147" s="174" t="s">
        <v>496</v>
      </c>
      <c r="B1147" s="164"/>
      <c r="C1147" s="165"/>
      <c r="D1147" s="164"/>
      <c r="E1147" s="166"/>
      <c r="F1147" s="167"/>
      <c r="G1147" s="168"/>
      <c r="H1147" s="164"/>
      <c r="I1147" s="166"/>
      <c r="J1147" s="171"/>
      <c r="K1147" s="185"/>
      <c r="L1147" s="186"/>
      <c r="M1147" s="186"/>
      <c r="N1147" s="185"/>
      <c r="O1147" s="186"/>
      <c r="P1147" s="186"/>
      <c r="Q1147" s="162" t="str">
        <f aca="false">IF(P1082=P1147,"〇","×")</f>
        <v>×</v>
      </c>
    </row>
    <row r="1148" s="162" customFormat="true" ht="19.5" hidden="false" customHeight="true" outlineLevel="0" collapsed="false">
      <c r="A1148" s="187" t="s">
        <v>496</v>
      </c>
      <c r="B1148" s="188"/>
      <c r="C1148" s="189"/>
      <c r="D1148" s="188"/>
      <c r="E1148" s="190"/>
      <c r="F1148" s="191"/>
      <c r="G1148" s="192"/>
      <c r="H1148" s="175"/>
      <c r="I1148" s="193"/>
      <c r="J1148" s="194"/>
      <c r="K1148" s="182"/>
      <c r="L1148" s="183"/>
      <c r="M1148" s="195"/>
      <c r="N1148" s="182"/>
      <c r="O1148" s="183"/>
      <c r="P1148" s="195"/>
      <c r="Q1148" s="162" t="str">
        <f aca="false">IF(P1083=P1148,"〇","×")</f>
        <v>×</v>
      </c>
    </row>
    <row r="1149" s="162" customFormat="true" ht="19.5" hidden="false" customHeight="true" outlineLevel="0" collapsed="false">
      <c r="A1149" s="196" t="s">
        <v>497</v>
      </c>
      <c r="B1149" s="197" t="n">
        <f aca="false">SUM(B1133:B1148)</f>
        <v>38429733</v>
      </c>
      <c r="C1149" s="198" t="n">
        <f aca="false">SUM(C1133:C1148)</f>
        <v>3145823</v>
      </c>
      <c r="D1149" s="197" t="n">
        <f aca="false">SUM(D1133:D1148)</f>
        <v>54720554</v>
      </c>
      <c r="E1149" s="199" t="n">
        <f aca="false">SUM(E1133:E1148)</f>
        <v>3026085</v>
      </c>
      <c r="F1149" s="200" t="n">
        <f aca="false">SUM(F1133:F1148)</f>
        <v>39324</v>
      </c>
      <c r="G1149" s="201" t="n">
        <f aca="false">SUM(B1149:F1149)</f>
        <v>99361519</v>
      </c>
      <c r="H1149" s="197" t="n">
        <f aca="false">SUM(H1133:H1148)</f>
        <v>28721448</v>
      </c>
      <c r="I1149" s="198" t="n">
        <f aca="false">SUM(I1133:I1148)</f>
        <v>28272846</v>
      </c>
      <c r="J1149" s="200" t="n">
        <f aca="false">SUM(H1149:I1149)</f>
        <v>56994294</v>
      </c>
      <c r="K1149" s="197" t="n">
        <f aca="false">SUM(K1133:K1148)</f>
        <v>2405599</v>
      </c>
      <c r="L1149" s="198" t="n">
        <f aca="false">SUM(L1133:L1148)</f>
        <v>2360155</v>
      </c>
      <c r="M1149" s="200" t="n">
        <f aca="false">SUM(K1149:L1149)</f>
        <v>4765754</v>
      </c>
      <c r="N1149" s="197" t="n">
        <f aca="false">SUM(N1133:N1148)</f>
        <v>22</v>
      </c>
      <c r="O1149" s="198" t="n">
        <f aca="false">SUM(O1133:O1148)</f>
        <v>22</v>
      </c>
      <c r="P1149" s="200" t="n">
        <f aca="false">SUM(N1149:O1149)</f>
        <v>44</v>
      </c>
      <c r="Q1149" s="162" t="str">
        <f aca="false">IF(P1084=P1149,"〇","×")</f>
        <v>×</v>
      </c>
    </row>
    <row r="1150" s="135" customFormat="true" ht="20.1" hidden="false" customHeight="true" outlineLevel="0" collapsed="false">
      <c r="A1150" s="202" t="s">
        <v>180</v>
      </c>
      <c r="B1150" s="324"/>
      <c r="C1150" s="325"/>
      <c r="D1150" s="458"/>
      <c r="E1150" s="459"/>
      <c r="F1150" s="333"/>
      <c r="G1150" s="327" t="n">
        <f aca="false">SUM(B1150:F1150)</f>
        <v>0</v>
      </c>
      <c r="H1150" s="590"/>
      <c r="I1150" s="329"/>
      <c r="J1150" s="330" t="n">
        <f aca="false">SUM(H1150:I1150)</f>
        <v>0</v>
      </c>
      <c r="K1150" s="328"/>
      <c r="L1150" s="329"/>
      <c r="M1150" s="331" t="n">
        <f aca="false">SUM(K1150:L1150)</f>
        <v>0</v>
      </c>
      <c r="N1150" s="328"/>
      <c r="O1150" s="329"/>
      <c r="P1150" s="331" t="n">
        <f aca="false">SUM(N1150:O1150)</f>
        <v>0</v>
      </c>
      <c r="Q1150" s="135" t="str">
        <f aca="false">IF(P1085=P1150,"〇","×")</f>
        <v>×</v>
      </c>
    </row>
    <row r="1151" s="135" customFormat="true" ht="20.1" hidden="false" customHeight="true" outlineLevel="0" collapsed="false">
      <c r="A1151" s="125" t="s">
        <v>182</v>
      </c>
      <c r="B1151" s="203" t="n">
        <v>0</v>
      </c>
      <c r="C1151" s="204" t="n">
        <v>0</v>
      </c>
      <c r="D1151" s="409" t="n">
        <v>70636</v>
      </c>
      <c r="E1151" s="238" t="n">
        <v>5789</v>
      </c>
      <c r="F1151" s="237" t="n">
        <v>79</v>
      </c>
      <c r="G1151" s="206" t="n">
        <f aca="false">SUM(B1151:F1151)</f>
        <v>76504</v>
      </c>
      <c r="H1151" s="287" t="n">
        <v>0</v>
      </c>
      <c r="I1151" s="208" t="n">
        <v>46348</v>
      </c>
      <c r="J1151" s="160" t="n">
        <f aca="false">SUM(H1151:I1151)</f>
        <v>46348</v>
      </c>
      <c r="K1151" s="207" t="n">
        <v>0</v>
      </c>
      <c r="L1151" s="208" t="n">
        <v>5167</v>
      </c>
      <c r="M1151" s="160" t="n">
        <f aca="false">SUM(K1151:L1151)</f>
        <v>5167</v>
      </c>
      <c r="N1151" s="207" t="n">
        <v>0</v>
      </c>
      <c r="O1151" s="208" t="n">
        <v>2</v>
      </c>
      <c r="P1151" s="160" t="n">
        <f aca="false">SUM(N1151:O1151)</f>
        <v>2</v>
      </c>
      <c r="Q1151" s="135" t="str">
        <f aca="false">IF(P1086=P1151,"〇","×")</f>
        <v>〇</v>
      </c>
    </row>
    <row r="1152" s="135" customFormat="true" ht="20.1" hidden="false" customHeight="true" outlineLevel="0" collapsed="false">
      <c r="A1152" s="125" t="s">
        <v>183</v>
      </c>
      <c r="B1152" s="211"/>
      <c r="C1152" s="212"/>
      <c r="D1152" s="240" t="n">
        <v>197362</v>
      </c>
      <c r="E1152" s="207" t="n">
        <v>16179</v>
      </c>
      <c r="F1152" s="237" t="n">
        <v>201</v>
      </c>
      <c r="G1152" s="206" t="n">
        <f aca="false">SUM(B1152:F1152)</f>
        <v>213742</v>
      </c>
      <c r="H1152" s="288"/>
      <c r="I1152" s="208" t="n">
        <v>133646</v>
      </c>
      <c r="J1152" s="160" t="n">
        <f aca="false">SUM(H1152:I1152)</f>
        <v>133646</v>
      </c>
      <c r="K1152" s="213"/>
      <c r="L1152" s="208" t="n">
        <v>13321</v>
      </c>
      <c r="M1152" s="160" t="n">
        <f aca="false">SUM(K1152:L1152)</f>
        <v>13321</v>
      </c>
      <c r="N1152" s="213"/>
      <c r="O1152" s="208" t="n">
        <v>2</v>
      </c>
      <c r="P1152" s="160" t="n">
        <f aca="false">SUM(N1152:O1152)</f>
        <v>2</v>
      </c>
      <c r="Q1152" s="135" t="str">
        <f aca="false">IF(P1087=P1152,"〇","×")</f>
        <v>〇</v>
      </c>
    </row>
    <row r="1153" s="135" customFormat="true" ht="20.1" hidden="false" customHeight="true" outlineLevel="0" collapsed="false">
      <c r="A1153" s="125" t="s">
        <v>184</v>
      </c>
      <c r="B1153" s="211"/>
      <c r="C1153" s="212"/>
      <c r="D1153" s="387" t="n">
        <v>5124</v>
      </c>
      <c r="E1153" s="207" t="n">
        <v>420</v>
      </c>
      <c r="F1153" s="237" t="n">
        <v>6</v>
      </c>
      <c r="G1153" s="206" t="n">
        <f aca="false">SUM(B1153:F1153)</f>
        <v>5550</v>
      </c>
      <c r="H1153" s="288"/>
      <c r="I1153" s="208" t="n">
        <v>3086</v>
      </c>
      <c r="J1153" s="160" t="n">
        <f aca="false">SUM(H1153:I1153)</f>
        <v>3086</v>
      </c>
      <c r="K1153" s="213"/>
      <c r="L1153" s="208" t="n">
        <v>442</v>
      </c>
      <c r="M1153" s="160" t="n">
        <f aca="false">SUM(K1153:L1153)</f>
        <v>442</v>
      </c>
      <c r="N1153" s="213"/>
      <c r="O1153" s="208" t="n">
        <v>2</v>
      </c>
      <c r="P1153" s="160" t="n">
        <f aca="false">SUM(N1153:O1153)</f>
        <v>2</v>
      </c>
      <c r="Q1153" s="135" t="str">
        <f aca="false">IF(P1088=P1153,"〇","×")</f>
        <v>×</v>
      </c>
    </row>
    <row r="1154" s="135" customFormat="true" ht="20.1" hidden="false" customHeight="true" outlineLevel="0" collapsed="false">
      <c r="A1154" s="214" t="s">
        <v>185</v>
      </c>
      <c r="B1154" s="211"/>
      <c r="C1154" s="212"/>
      <c r="D1154" s="387" t="n">
        <v>43829</v>
      </c>
      <c r="E1154" s="207" t="n">
        <v>3592</v>
      </c>
      <c r="F1154" s="237" t="n">
        <v>43</v>
      </c>
      <c r="G1154" s="206" t="n">
        <f aca="false">SUM(B1154:F1154)</f>
        <v>47464</v>
      </c>
      <c r="H1154" s="288"/>
      <c r="I1154" s="208" t="n">
        <v>26398</v>
      </c>
      <c r="J1154" s="160" t="n">
        <f aca="false">SUM(H1154:I1154)</f>
        <v>26398</v>
      </c>
      <c r="K1154" s="213"/>
      <c r="L1154" s="208" t="n">
        <v>3499</v>
      </c>
      <c r="M1154" s="160" t="n">
        <f aca="false">SUM(K1154:L1154)</f>
        <v>3499</v>
      </c>
      <c r="N1154" s="213"/>
      <c r="O1154" s="208" t="n">
        <v>2</v>
      </c>
      <c r="P1154" s="160" t="n">
        <f aca="false">SUM(N1154:O1154)</f>
        <v>2</v>
      </c>
      <c r="Q1154" s="135" t="str">
        <f aca="false">IF(P1089=P1154,"〇","×")</f>
        <v>〇</v>
      </c>
    </row>
    <row r="1155" s="135" customFormat="true" ht="20.1" hidden="false" customHeight="true" outlineLevel="0" collapsed="false">
      <c r="A1155" s="146" t="s">
        <v>186</v>
      </c>
      <c r="B1155" s="211"/>
      <c r="C1155" s="216"/>
      <c r="D1155" s="387" t="n">
        <v>9882</v>
      </c>
      <c r="E1155" s="207" t="n">
        <v>810</v>
      </c>
      <c r="F1155" s="393" t="n">
        <v>10</v>
      </c>
      <c r="G1155" s="206" t="n">
        <f aca="false">SUM(B1155:F1155)</f>
        <v>10702</v>
      </c>
      <c r="H1155" s="288"/>
      <c r="I1155" s="395" t="n">
        <v>5952</v>
      </c>
      <c r="J1155" s="160" t="n">
        <f aca="false">SUM(H1155:I1155)</f>
        <v>5952</v>
      </c>
      <c r="K1155" s="213"/>
      <c r="L1155" s="395" t="n">
        <v>852</v>
      </c>
      <c r="M1155" s="160" t="n">
        <f aca="false">SUM(K1155:L1155)</f>
        <v>852</v>
      </c>
      <c r="N1155" s="213"/>
      <c r="O1155" s="208" t="n">
        <v>2</v>
      </c>
      <c r="P1155" s="160" t="n">
        <f aca="false">SUM(N1155:O1155)</f>
        <v>2</v>
      </c>
      <c r="Q1155" s="135" t="str">
        <f aca="false">IF(P1090=P1155,"〇","×")</f>
        <v>×</v>
      </c>
    </row>
    <row r="1156" s="135" customFormat="true" ht="20.1" hidden="false" customHeight="true" outlineLevel="0" collapsed="false">
      <c r="A1156" s="146" t="s">
        <v>187</v>
      </c>
      <c r="B1156" s="211"/>
      <c r="C1156" s="216"/>
      <c r="D1156" s="240" t="n">
        <v>5216</v>
      </c>
      <c r="E1156" s="207" t="n">
        <v>427</v>
      </c>
      <c r="F1156" s="237" t="n">
        <v>6</v>
      </c>
      <c r="G1156" s="206" t="n">
        <f aca="false">SUM(B1156:F1156)</f>
        <v>5649</v>
      </c>
      <c r="H1156" s="288"/>
      <c r="I1156" s="208" t="n">
        <v>3142</v>
      </c>
      <c r="J1156" s="160" t="n">
        <f aca="false">SUM(H1156:I1156)</f>
        <v>3142</v>
      </c>
      <c r="K1156" s="213"/>
      <c r="L1156" s="208" t="n">
        <v>450</v>
      </c>
      <c r="M1156" s="160" t="n">
        <f aca="false">SUM(K1156:L1156)</f>
        <v>450</v>
      </c>
      <c r="N1156" s="213"/>
      <c r="O1156" s="208" t="n">
        <v>2</v>
      </c>
      <c r="P1156" s="160" t="n">
        <f aca="false">SUM(N1156:O1156)</f>
        <v>2</v>
      </c>
      <c r="Q1156" s="135" t="str">
        <f aca="false">IF(P1091=P1156,"〇","×")</f>
        <v>×</v>
      </c>
    </row>
    <row r="1157" s="135" customFormat="true" ht="20.1" hidden="false" customHeight="true" outlineLevel="0" collapsed="false">
      <c r="A1157" s="217" t="s">
        <v>188</v>
      </c>
      <c r="B1157" s="211"/>
      <c r="C1157" s="218"/>
      <c r="D1157" s="203" t="n">
        <v>13722</v>
      </c>
      <c r="E1157" s="207" t="n">
        <v>1126</v>
      </c>
      <c r="F1157" s="237" t="n">
        <v>14</v>
      </c>
      <c r="G1157" s="206" t="n">
        <f aca="false">SUM(B1157:F1157)</f>
        <v>14862</v>
      </c>
      <c r="H1157" s="288"/>
      <c r="I1157" s="208" t="n">
        <v>8266</v>
      </c>
      <c r="J1157" s="160" t="n">
        <f aca="false">SUM(H1157:I1157)</f>
        <v>8266</v>
      </c>
      <c r="K1157" s="213"/>
      <c r="L1157" s="208" t="n">
        <v>760</v>
      </c>
      <c r="M1157" s="160" t="n">
        <f aca="false">SUM(K1157:L1157)</f>
        <v>760</v>
      </c>
      <c r="N1157" s="213"/>
      <c r="O1157" s="208" t="n">
        <v>2</v>
      </c>
      <c r="P1157" s="160" t="n">
        <f aca="false">SUM(N1157:O1157)</f>
        <v>2</v>
      </c>
      <c r="Q1157" s="135" t="str">
        <f aca="false">IF(P1092=P1157,"〇","×")</f>
        <v>×</v>
      </c>
    </row>
    <row r="1158" s="135" customFormat="true" ht="20.1" hidden="false" customHeight="true" outlineLevel="0" collapsed="false">
      <c r="A1158" s="146" t="s">
        <v>189</v>
      </c>
      <c r="B1158" s="240" t="n">
        <v>41083</v>
      </c>
      <c r="C1158" s="237" t="n">
        <v>3367</v>
      </c>
      <c r="D1158" s="203" t="n">
        <v>41084</v>
      </c>
      <c r="E1158" s="207" t="n">
        <v>3367</v>
      </c>
      <c r="F1158" s="237" t="n">
        <v>41</v>
      </c>
      <c r="G1158" s="206" t="n">
        <f aca="false">SUM(B1158:F1158)</f>
        <v>88942</v>
      </c>
      <c r="H1158" s="287" t="n">
        <v>24700</v>
      </c>
      <c r="I1158" s="208" t="n">
        <v>24745</v>
      </c>
      <c r="J1158" s="160" t="n">
        <f aca="false">SUM(H1158:I1158)</f>
        <v>49445</v>
      </c>
      <c r="K1158" s="207" t="n">
        <v>1336</v>
      </c>
      <c r="L1158" s="208" t="n">
        <v>1335</v>
      </c>
      <c r="M1158" s="160" t="n">
        <f aca="false">SUM(K1158:L1158)</f>
        <v>2671</v>
      </c>
      <c r="N1158" s="207" t="n">
        <v>2</v>
      </c>
      <c r="O1158" s="208" t="n">
        <v>2</v>
      </c>
      <c r="P1158" s="160" t="n">
        <f aca="false">SUM(N1158:O1158)</f>
        <v>4</v>
      </c>
      <c r="Q1158" s="135" t="str">
        <f aca="false">IF(P1093=P1158,"〇","×")</f>
        <v>×</v>
      </c>
    </row>
    <row r="1159" s="135" customFormat="true" ht="20.1" hidden="false" customHeight="true" outlineLevel="0" collapsed="false">
      <c r="A1159" s="219" t="s">
        <v>190</v>
      </c>
      <c r="B1159" s="203" t="n">
        <v>6313</v>
      </c>
      <c r="C1159" s="237" t="n">
        <v>517</v>
      </c>
      <c r="D1159" s="203" t="n">
        <v>6314</v>
      </c>
      <c r="E1159" s="207" t="n">
        <v>517</v>
      </c>
      <c r="F1159" s="237" t="n">
        <v>7</v>
      </c>
      <c r="G1159" s="391" t="n">
        <f aca="false">SUM(B1159:F1159)</f>
        <v>13668</v>
      </c>
      <c r="H1159" s="287" t="n">
        <v>3795</v>
      </c>
      <c r="I1159" s="208" t="n">
        <v>3803</v>
      </c>
      <c r="J1159" s="160" t="n">
        <f aca="false">SUM(H1159:I1159)</f>
        <v>7598</v>
      </c>
      <c r="K1159" s="207" t="n">
        <v>0</v>
      </c>
      <c r="L1159" s="208" t="n">
        <v>0</v>
      </c>
      <c r="M1159" s="160" t="n">
        <f aca="false">SUM(K1159:L1159)</f>
        <v>0</v>
      </c>
      <c r="N1159" s="207" t="n">
        <v>2</v>
      </c>
      <c r="O1159" s="208" t="n">
        <v>2</v>
      </c>
      <c r="P1159" s="160" t="n">
        <f aca="false">SUM(N1159:O1159)</f>
        <v>4</v>
      </c>
      <c r="Q1159" s="135" t="str">
        <f aca="false">IF(P1094=P1159,"〇","×")</f>
        <v>×</v>
      </c>
    </row>
    <row r="1160" s="135" customFormat="true" ht="20.1" hidden="false" customHeight="true" outlineLevel="0" collapsed="false">
      <c r="A1160" s="222" t="s">
        <v>191</v>
      </c>
      <c r="B1160" s="203" t="n">
        <v>14639</v>
      </c>
      <c r="C1160" s="237" t="n">
        <v>1199</v>
      </c>
      <c r="D1160" s="203" t="n">
        <v>14641</v>
      </c>
      <c r="E1160" s="207" t="n">
        <v>1201</v>
      </c>
      <c r="F1160" s="237" t="n">
        <v>14</v>
      </c>
      <c r="G1160" s="206" t="n">
        <f aca="false">SUM(B1160:F1160)</f>
        <v>31694</v>
      </c>
      <c r="H1160" s="287" t="n">
        <v>8804</v>
      </c>
      <c r="I1160" s="208" t="n">
        <v>8817</v>
      </c>
      <c r="J1160" s="160" t="n">
        <f aca="false">SUM(H1160:I1160)</f>
        <v>17621</v>
      </c>
      <c r="K1160" s="207" t="n">
        <v>648</v>
      </c>
      <c r="L1160" s="208" t="n">
        <v>648</v>
      </c>
      <c r="M1160" s="160" t="n">
        <f aca="false">SUM(K1160:L1160)</f>
        <v>1296</v>
      </c>
      <c r="N1160" s="207" t="n">
        <v>2</v>
      </c>
      <c r="O1160" s="208" t="n">
        <v>2</v>
      </c>
      <c r="P1160" s="160" t="n">
        <f aca="false">SUM(N1160:O1160)</f>
        <v>4</v>
      </c>
      <c r="Q1160" s="135" t="str">
        <f aca="false">IF(P1095=P1160,"〇","×")</f>
        <v>×</v>
      </c>
    </row>
    <row r="1161" s="135" customFormat="true" ht="20.1" hidden="false" customHeight="true" outlineLevel="0" collapsed="false">
      <c r="A1161" s="125" t="s">
        <v>192</v>
      </c>
      <c r="B1161" s="409" t="n">
        <v>94423</v>
      </c>
      <c r="C1161" s="393" t="n">
        <v>7735</v>
      </c>
      <c r="D1161" s="409" t="n">
        <v>94428</v>
      </c>
      <c r="E1161" s="463" t="n">
        <v>7739</v>
      </c>
      <c r="F1161" s="410" t="n">
        <v>99</v>
      </c>
      <c r="G1161" s="206" t="n">
        <f aca="false">SUM(B1161:F1161)</f>
        <v>204424</v>
      </c>
      <c r="H1161" s="445" t="n">
        <v>58532</v>
      </c>
      <c r="I1161" s="446" t="n">
        <v>58639</v>
      </c>
      <c r="J1161" s="160" t="n">
        <f aca="false">SUM(H1161:I1161)</f>
        <v>117171</v>
      </c>
      <c r="K1161" s="463" t="n">
        <v>5174</v>
      </c>
      <c r="L1161" s="446" t="n">
        <v>5175</v>
      </c>
      <c r="M1161" s="160" t="n">
        <f aca="false">SUM(K1161:L1161)</f>
        <v>10349</v>
      </c>
      <c r="N1161" s="463" t="n">
        <v>2</v>
      </c>
      <c r="O1161" s="208" t="n">
        <v>2</v>
      </c>
      <c r="P1161" s="160" t="n">
        <f aca="false">SUM(N1161:O1161)</f>
        <v>4</v>
      </c>
      <c r="Q1161" s="135" t="str">
        <f aca="false">IF(P1096=P1161,"〇","×")</f>
        <v>×</v>
      </c>
    </row>
    <row r="1162" s="135" customFormat="true" ht="19.5" hidden="false" customHeight="true" outlineLevel="0" collapsed="false">
      <c r="A1162" s="125" t="s">
        <v>193</v>
      </c>
      <c r="B1162" s="226"/>
      <c r="C1162" s="216"/>
      <c r="D1162" s="240" t="n">
        <v>63227</v>
      </c>
      <c r="E1162" s="394" t="n">
        <v>5183</v>
      </c>
      <c r="F1162" s="393" t="n">
        <v>68</v>
      </c>
      <c r="G1162" s="206" t="n">
        <f aca="false">SUM(B1162:F1162)</f>
        <v>68478</v>
      </c>
      <c r="H1162" s="422"/>
      <c r="I1162" s="395" t="n">
        <v>38083</v>
      </c>
      <c r="J1162" s="160" t="n">
        <f aca="false">SUM(H1162:I1162)</f>
        <v>38083</v>
      </c>
      <c r="K1162" s="227"/>
      <c r="L1162" s="395" t="n">
        <v>2868</v>
      </c>
      <c r="M1162" s="160" t="n">
        <f aca="false">SUM(K1162:L1162)</f>
        <v>2868</v>
      </c>
      <c r="N1162" s="227"/>
      <c r="O1162" s="208" t="n">
        <v>2</v>
      </c>
      <c r="P1162" s="160" t="n">
        <f aca="false">SUM(N1162:O1162)</f>
        <v>2</v>
      </c>
      <c r="Q1162" s="135" t="str">
        <f aca="false">IF(P1097=P1162,"〇","×")</f>
        <v>×</v>
      </c>
    </row>
    <row r="1163" s="135" customFormat="true" ht="20.1" hidden="false" customHeight="true" outlineLevel="0" collapsed="false">
      <c r="A1163" s="228" t="s">
        <v>194</v>
      </c>
      <c r="B1163" s="211"/>
      <c r="C1163" s="218"/>
      <c r="D1163" s="203" t="n">
        <v>129016</v>
      </c>
      <c r="E1163" s="207" t="n">
        <v>10574</v>
      </c>
      <c r="F1163" s="393" t="n">
        <v>134</v>
      </c>
      <c r="G1163" s="206" t="n">
        <f aca="false">SUM(B1163:F1163)</f>
        <v>139724</v>
      </c>
      <c r="H1163" s="288"/>
      <c r="I1163" s="395" t="n">
        <v>77705</v>
      </c>
      <c r="J1163" s="160" t="n">
        <f aca="false">SUM(H1163:I1163)</f>
        <v>77705</v>
      </c>
      <c r="K1163" s="213"/>
      <c r="L1163" s="395" t="n">
        <v>10436</v>
      </c>
      <c r="M1163" s="160" t="n">
        <f aca="false">SUM(K1163:L1163)</f>
        <v>10436</v>
      </c>
      <c r="N1163" s="213"/>
      <c r="O1163" s="208" t="n">
        <v>2</v>
      </c>
      <c r="P1163" s="160" t="n">
        <f aca="false">SUM(N1163:O1163)</f>
        <v>2</v>
      </c>
      <c r="Q1163" s="135" t="str">
        <f aca="false">IF(P1098=P1163,"〇","×")</f>
        <v>×</v>
      </c>
    </row>
    <row r="1164" s="135" customFormat="true" ht="20.1" hidden="false" customHeight="true" outlineLevel="0" collapsed="false">
      <c r="A1164" s="229" t="s">
        <v>195</v>
      </c>
      <c r="B1164" s="211"/>
      <c r="C1164" s="218"/>
      <c r="D1164" s="203" t="n">
        <v>0</v>
      </c>
      <c r="E1164" s="207" t="n">
        <v>0</v>
      </c>
      <c r="F1164" s="393" t="n">
        <v>0</v>
      </c>
      <c r="G1164" s="206" t="n">
        <f aca="false">SUM(B1164:F1164)</f>
        <v>0</v>
      </c>
      <c r="H1164" s="288"/>
      <c r="I1164" s="395" t="n">
        <v>0</v>
      </c>
      <c r="J1164" s="160" t="n">
        <f aca="false">SUM(H1164:I1164)</f>
        <v>0</v>
      </c>
      <c r="K1164" s="213"/>
      <c r="L1164" s="395" t="n">
        <v>0</v>
      </c>
      <c r="M1164" s="160" t="n">
        <f aca="false">SUM(K1164:L1164)</f>
        <v>0</v>
      </c>
      <c r="N1164" s="213"/>
      <c r="O1164" s="395" t="n">
        <v>0</v>
      </c>
      <c r="P1164" s="160" t="n">
        <f aca="false">SUM(N1164:O1164)</f>
        <v>0</v>
      </c>
      <c r="Q1164" s="135" t="str">
        <f aca="false">IF(P1099=P1164,"〇","×")</f>
        <v>×</v>
      </c>
    </row>
    <row r="1165" s="135" customFormat="true" ht="20.1" hidden="false" customHeight="true" outlineLevel="0" collapsed="false">
      <c r="A1165" s="125" t="s">
        <v>196</v>
      </c>
      <c r="B1165" s="211"/>
      <c r="C1165" s="218"/>
      <c r="D1165" s="203" t="n">
        <v>45478</v>
      </c>
      <c r="E1165" s="207" t="n">
        <v>3729</v>
      </c>
      <c r="F1165" s="393" t="n">
        <v>46</v>
      </c>
      <c r="G1165" s="206" t="n">
        <f aca="false">SUM(B1165:F1165)</f>
        <v>49253</v>
      </c>
      <c r="H1165" s="288"/>
      <c r="I1165" s="395" t="n">
        <v>27389</v>
      </c>
      <c r="J1165" s="160" t="n">
        <f aca="false">SUM(H1165:I1165)</f>
        <v>27389</v>
      </c>
      <c r="K1165" s="213"/>
      <c r="L1165" s="395" t="n">
        <v>3929</v>
      </c>
      <c r="M1165" s="160" t="n">
        <f aca="false">SUM(K1165:L1165)</f>
        <v>3929</v>
      </c>
      <c r="N1165" s="213"/>
      <c r="O1165" s="395" t="n">
        <v>2</v>
      </c>
      <c r="P1165" s="160" t="n">
        <f aca="false">SUM(N1165:O1165)</f>
        <v>2</v>
      </c>
      <c r="Q1165" s="135" t="str">
        <f aca="false">IF(P1100=P1165,"〇","×")</f>
        <v>×</v>
      </c>
    </row>
    <row r="1166" s="135" customFormat="true" ht="20.1" hidden="false" customHeight="true" outlineLevel="0" collapsed="false">
      <c r="A1166" s="146" t="s">
        <v>197</v>
      </c>
      <c r="B1166" s="203" t="n">
        <v>15556</v>
      </c>
      <c r="C1166" s="237" t="n">
        <v>1276</v>
      </c>
      <c r="D1166" s="203" t="n">
        <v>15554</v>
      </c>
      <c r="E1166" s="207" t="n">
        <v>1276</v>
      </c>
      <c r="F1166" s="393" t="n">
        <v>16</v>
      </c>
      <c r="G1166" s="206" t="n">
        <f aca="false">SUM(B1166:F1166)</f>
        <v>33678</v>
      </c>
      <c r="H1166" s="287" t="n">
        <v>9350</v>
      </c>
      <c r="I1166" s="395" t="n">
        <v>9370</v>
      </c>
      <c r="J1166" s="160" t="n">
        <f aca="false">SUM(H1166:I1166)</f>
        <v>18720</v>
      </c>
      <c r="K1166" s="207" t="n">
        <v>932</v>
      </c>
      <c r="L1166" s="395" t="n">
        <v>932</v>
      </c>
      <c r="M1166" s="160" t="n">
        <f aca="false">SUM(K1166:L1166)</f>
        <v>1864</v>
      </c>
      <c r="N1166" s="207" t="n">
        <v>2</v>
      </c>
      <c r="O1166" s="395" t="n">
        <v>2</v>
      </c>
      <c r="P1166" s="160" t="n">
        <f aca="false">SUM(N1166:O1166)</f>
        <v>4</v>
      </c>
      <c r="Q1166" s="135" t="str">
        <f aca="false">IF(P1101=P1166,"〇","×")</f>
        <v>×</v>
      </c>
    </row>
    <row r="1167" s="135" customFormat="true" ht="20.1" hidden="false" customHeight="true" outlineLevel="0" collapsed="false">
      <c r="A1167" s="231" t="s">
        <v>219</v>
      </c>
      <c r="B1167" s="226"/>
      <c r="C1167" s="216"/>
      <c r="D1167" s="240" t="n">
        <v>43280</v>
      </c>
      <c r="E1167" s="394" t="n">
        <v>3547</v>
      </c>
      <c r="F1167" s="393" t="n">
        <v>44</v>
      </c>
      <c r="G1167" s="206" t="n">
        <f aca="false">SUM(B1167:F1167)</f>
        <v>46871</v>
      </c>
      <c r="H1167" s="422"/>
      <c r="I1167" s="395" t="n">
        <v>28382</v>
      </c>
      <c r="J1167" s="160" t="n">
        <f aca="false">SUM(H1167:I1167)</f>
        <v>28382</v>
      </c>
      <c r="K1167" s="227"/>
      <c r="L1167" s="395" t="n">
        <v>2441</v>
      </c>
      <c r="M1167" s="160" t="n">
        <f aca="false">SUM(K1167:L1167)</f>
        <v>2441</v>
      </c>
      <c r="N1167" s="227"/>
      <c r="O1167" s="395" t="n">
        <v>2</v>
      </c>
      <c r="P1167" s="160" t="n">
        <f aca="false">SUM(N1167:O1167)</f>
        <v>2</v>
      </c>
      <c r="Q1167" s="135" t="str">
        <f aca="false">IF(P1102=P1167,"〇","×")</f>
        <v>×</v>
      </c>
    </row>
    <row r="1168" s="135" customFormat="true" ht="20.1" hidden="false" customHeight="true" outlineLevel="0" collapsed="false">
      <c r="A1168" s="146" t="s">
        <v>199</v>
      </c>
      <c r="B1168" s="203" t="n">
        <v>5674</v>
      </c>
      <c r="C1168" s="237" t="n">
        <v>466</v>
      </c>
      <c r="D1168" s="203" t="n">
        <v>5672</v>
      </c>
      <c r="E1168" s="207" t="n">
        <v>466</v>
      </c>
      <c r="F1168" s="237" t="n">
        <v>6</v>
      </c>
      <c r="G1168" s="206" t="n">
        <f aca="false">SUM(B1168:F1168)</f>
        <v>12284</v>
      </c>
      <c r="H1168" s="287" t="n">
        <v>3412</v>
      </c>
      <c r="I1168" s="208" t="n">
        <v>3418</v>
      </c>
      <c r="J1168" s="160" t="n">
        <f aca="false">SUM(H1168:I1168)</f>
        <v>6830</v>
      </c>
      <c r="K1168" s="207" t="n">
        <v>490</v>
      </c>
      <c r="L1168" s="208" t="n">
        <v>490</v>
      </c>
      <c r="M1168" s="160" t="n">
        <f aca="false">SUM(K1168:L1168)</f>
        <v>980</v>
      </c>
      <c r="N1168" s="207" t="n">
        <v>2</v>
      </c>
      <c r="O1168" s="395" t="n">
        <v>2</v>
      </c>
      <c r="P1168" s="160" t="n">
        <f aca="false">SUM(N1168:O1168)</f>
        <v>4</v>
      </c>
      <c r="Q1168" s="135" t="str">
        <f aca="false">IF(P1103=P1168,"〇","×")</f>
        <v>〇</v>
      </c>
    </row>
    <row r="1169" s="135" customFormat="true" ht="20.1" hidden="false" customHeight="true" outlineLevel="0" collapsed="false">
      <c r="A1169" s="214" t="s">
        <v>200</v>
      </c>
      <c r="B1169" s="240" t="n">
        <v>2105</v>
      </c>
      <c r="C1169" s="237" t="n">
        <v>173</v>
      </c>
      <c r="D1169" s="203" t="n">
        <v>2104</v>
      </c>
      <c r="E1169" s="207" t="n">
        <v>173</v>
      </c>
      <c r="F1169" s="237" t="n">
        <v>2</v>
      </c>
      <c r="G1169" s="206" t="n">
        <f aca="false">SUM(B1169:F1169)</f>
        <v>4557</v>
      </c>
      <c r="H1169" s="287" t="n">
        <v>6052</v>
      </c>
      <c r="I1169" s="208" t="n">
        <v>6062</v>
      </c>
      <c r="J1169" s="160" t="n">
        <f aca="false">SUM(H1169:I1169)</f>
        <v>12114</v>
      </c>
      <c r="K1169" s="207" t="n">
        <v>869</v>
      </c>
      <c r="L1169" s="208" t="n">
        <v>869</v>
      </c>
      <c r="M1169" s="160" t="n">
        <f aca="false">SUM(K1169:L1169)</f>
        <v>1738</v>
      </c>
      <c r="N1169" s="207" t="n">
        <v>2</v>
      </c>
      <c r="O1169" s="395" t="n">
        <v>2</v>
      </c>
      <c r="P1169" s="160" t="n">
        <f aca="false">SUM(N1169:O1169)</f>
        <v>4</v>
      </c>
      <c r="Q1169" s="135" t="str">
        <f aca="false">IF(P1104=P1169,"〇","×")</f>
        <v>×</v>
      </c>
    </row>
    <row r="1170" s="135" customFormat="true" ht="20.1" hidden="false" customHeight="true" outlineLevel="0" collapsed="false">
      <c r="A1170" s="214" t="s">
        <v>201</v>
      </c>
      <c r="B1170" s="203" t="n">
        <v>3751</v>
      </c>
      <c r="C1170" s="237" t="n">
        <v>307</v>
      </c>
      <c r="D1170" s="203" t="n">
        <v>3752</v>
      </c>
      <c r="E1170" s="207" t="n">
        <v>307</v>
      </c>
      <c r="F1170" s="237" t="n">
        <v>4</v>
      </c>
      <c r="G1170" s="206" t="n">
        <f aca="false">SUM(B1170:F1170)</f>
        <v>8121</v>
      </c>
      <c r="H1170" s="287" t="n">
        <v>2256</v>
      </c>
      <c r="I1170" s="208" t="n">
        <v>2260</v>
      </c>
      <c r="J1170" s="160" t="n">
        <f aca="false">SUM(H1170:I1170)</f>
        <v>4516</v>
      </c>
      <c r="K1170" s="207" t="n">
        <v>0</v>
      </c>
      <c r="L1170" s="208" t="n">
        <v>0</v>
      </c>
      <c r="M1170" s="160" t="n">
        <f aca="false">SUM(K1170:L1170)</f>
        <v>0</v>
      </c>
      <c r="N1170" s="207" t="n">
        <v>2</v>
      </c>
      <c r="O1170" s="208" t="n">
        <v>2</v>
      </c>
      <c r="P1170" s="160" t="n">
        <f aca="false">SUM(N1170:O1170)</f>
        <v>4</v>
      </c>
      <c r="Q1170" s="135" t="str">
        <f aca="false">IF(P1105=P1170,"〇","×")</f>
        <v>×</v>
      </c>
    </row>
    <row r="1171" s="135" customFormat="true" ht="20.1" hidden="false" customHeight="true" outlineLevel="0" collapsed="false">
      <c r="A1171" s="146" t="s">
        <v>202</v>
      </c>
      <c r="B1171" s="203" t="n">
        <v>132401</v>
      </c>
      <c r="C1171" s="237" t="n">
        <v>10853</v>
      </c>
      <c r="D1171" s="203" t="n">
        <v>132401</v>
      </c>
      <c r="E1171" s="207" t="n">
        <v>10853</v>
      </c>
      <c r="F1171" s="237" t="n">
        <v>142</v>
      </c>
      <c r="G1171" s="206" t="n">
        <f aca="false">SUM(B1171:F1171)</f>
        <v>286650</v>
      </c>
      <c r="H1171" s="287" t="n">
        <v>79598</v>
      </c>
      <c r="I1171" s="208" t="n">
        <v>79748</v>
      </c>
      <c r="J1171" s="160" t="n">
        <f aca="false">SUM(H1171:I1171)</f>
        <v>159346</v>
      </c>
      <c r="K1171" s="207" t="n">
        <v>6737</v>
      </c>
      <c r="L1171" s="208" t="n">
        <v>6738</v>
      </c>
      <c r="M1171" s="160" t="n">
        <f aca="false">SUM(K1171:L1171)</f>
        <v>13475</v>
      </c>
      <c r="N1171" s="207" t="n">
        <v>2</v>
      </c>
      <c r="O1171" s="208" t="n">
        <v>2</v>
      </c>
      <c r="P1171" s="160" t="n">
        <f aca="false">SUM(N1171:O1171)</f>
        <v>4</v>
      </c>
      <c r="Q1171" s="135" t="str">
        <f aca="false">IF(P1106=P1171,"〇","×")</f>
        <v>×</v>
      </c>
    </row>
    <row r="1172" s="135" customFormat="true" ht="20.1" hidden="false" customHeight="true" outlineLevel="0" collapsed="false">
      <c r="A1172" s="146" t="s">
        <v>203</v>
      </c>
      <c r="B1172" s="226"/>
      <c r="C1172" s="216"/>
      <c r="D1172" s="240" t="n">
        <v>19305</v>
      </c>
      <c r="E1172" s="238" t="n">
        <v>1583</v>
      </c>
      <c r="F1172" s="393" t="n">
        <v>20</v>
      </c>
      <c r="G1172" s="206" t="n">
        <f aca="false">SUM(B1172:F1172)</f>
        <v>20908</v>
      </c>
      <c r="H1172" s="227"/>
      <c r="I1172" s="239" t="n">
        <v>15706</v>
      </c>
      <c r="J1172" s="160" t="n">
        <f aca="false">SUM(H1172:I1172)</f>
        <v>15706</v>
      </c>
      <c r="K1172" s="226"/>
      <c r="L1172" s="239" t="n">
        <v>1026</v>
      </c>
      <c r="M1172" s="160" t="n">
        <f aca="false">SUM(K1172:L1172)</f>
        <v>1026</v>
      </c>
      <c r="N1172" s="226"/>
      <c r="O1172" s="239" t="n">
        <v>2</v>
      </c>
      <c r="P1172" s="160" t="n">
        <f aca="false">SUM(N1172:O1172)</f>
        <v>2</v>
      </c>
      <c r="Q1172" s="135" t="str">
        <f aca="false">IF(P1107=P1172,"〇","×")</f>
        <v>×</v>
      </c>
    </row>
    <row r="1173" s="135" customFormat="true" ht="20.1" hidden="false" customHeight="true" outlineLevel="0" collapsed="false">
      <c r="A1173" s="232" t="s">
        <v>204</v>
      </c>
      <c r="B1173" s="240" t="n">
        <v>9896820</v>
      </c>
      <c r="C1173" s="393" t="n">
        <v>810960</v>
      </c>
      <c r="D1173" s="240" t="n">
        <v>14854056</v>
      </c>
      <c r="E1173" s="394" t="n">
        <v>810959</v>
      </c>
      <c r="F1173" s="393" t="n">
        <v>11210</v>
      </c>
      <c r="G1173" s="206" t="n">
        <f aca="false">SUM(B1173:F1173)</f>
        <v>26384005</v>
      </c>
      <c r="H1173" s="240" t="n">
        <v>6639878</v>
      </c>
      <c r="I1173" s="395" t="n">
        <v>6653161</v>
      </c>
      <c r="J1173" s="160" t="n">
        <f aca="false">SUM(H1173:I1173)</f>
        <v>13293039</v>
      </c>
      <c r="K1173" s="240" t="n">
        <v>527487</v>
      </c>
      <c r="L1173" s="395" t="n">
        <v>527487</v>
      </c>
      <c r="M1173" s="160" t="n">
        <f aca="false">SUM(K1173:L1173)</f>
        <v>1054974</v>
      </c>
      <c r="N1173" s="240" t="n">
        <v>2</v>
      </c>
      <c r="O1173" s="395" t="n">
        <v>2</v>
      </c>
      <c r="P1173" s="160" t="n">
        <f aca="false">SUM(N1173:O1173)</f>
        <v>4</v>
      </c>
      <c r="Q1173" s="135" t="str">
        <f aca="false">IF(P1108=P1173,"〇","×")</f>
        <v>×</v>
      </c>
    </row>
    <row r="1174" s="135" customFormat="true" ht="20.1" hidden="false" customHeight="true" outlineLevel="0" collapsed="false">
      <c r="A1174" s="399" t="s">
        <v>205</v>
      </c>
      <c r="B1174" s="152"/>
      <c r="C1174" s="156"/>
      <c r="D1174" s="152"/>
      <c r="E1174" s="234"/>
      <c r="F1174" s="156"/>
      <c r="G1174" s="235" t="n">
        <f aca="false">SUM(B1174:F1174)</f>
        <v>0</v>
      </c>
      <c r="H1174" s="240" t="n">
        <v>7480</v>
      </c>
      <c r="I1174" s="395" t="n">
        <v>7498</v>
      </c>
      <c r="J1174" s="160" t="n">
        <f aca="false">SUM(H1174:I1174)</f>
        <v>14978</v>
      </c>
      <c r="K1174" s="240" t="n">
        <v>782</v>
      </c>
      <c r="L1174" s="395" t="n">
        <v>783</v>
      </c>
      <c r="M1174" s="160" t="n">
        <f aca="false">SUM(K1174:L1174)</f>
        <v>1565</v>
      </c>
      <c r="N1174" s="240" t="n">
        <v>2</v>
      </c>
      <c r="O1174" s="395" t="n">
        <v>2</v>
      </c>
      <c r="P1174" s="160" t="n">
        <f aca="false">SUM(N1174:O1174)</f>
        <v>4</v>
      </c>
      <c r="Q1174" s="135" t="str">
        <f aca="false">IF(P1109=P1174,"〇","×")</f>
        <v>×</v>
      </c>
    </row>
    <row r="1175" s="135" customFormat="true" ht="20.1" hidden="false" customHeight="true" outlineLevel="0" collapsed="false">
      <c r="A1175" s="236" t="s">
        <v>206</v>
      </c>
      <c r="B1175" s="336"/>
      <c r="C1175" s="355"/>
      <c r="D1175" s="336"/>
      <c r="E1175" s="334"/>
      <c r="F1175" s="356"/>
      <c r="G1175" s="327" t="n">
        <f aca="false">SUM(B1175:F1175)</f>
        <v>0</v>
      </c>
      <c r="H1175" s="336"/>
      <c r="I1175" s="335"/>
      <c r="J1175" s="330" t="n">
        <f aca="false">SUM(H1175:I1175)</f>
        <v>0</v>
      </c>
      <c r="K1175" s="334"/>
      <c r="L1175" s="335"/>
      <c r="M1175" s="330" t="n">
        <f aca="false">SUM(K1175:L1175)</f>
        <v>0</v>
      </c>
      <c r="N1175" s="336"/>
      <c r="O1175" s="591"/>
      <c r="P1175" s="330" t="n">
        <f aca="false">SUM(N1175:O1175)</f>
        <v>0</v>
      </c>
      <c r="Q1175" s="135" t="str">
        <f aca="false">IF(P1110=P1175,"〇","×")</f>
        <v>〇</v>
      </c>
    </row>
    <row r="1176" s="135" customFormat="true" ht="20.1" hidden="false" customHeight="true" outlineLevel="0" collapsed="false">
      <c r="A1176" s="236" t="s">
        <v>207</v>
      </c>
      <c r="B1176" s="240"/>
      <c r="C1176" s="392"/>
      <c r="D1176" s="240"/>
      <c r="E1176" s="238"/>
      <c r="F1176" s="393"/>
      <c r="G1176" s="206" t="n">
        <f aca="false">SUM(B1176:F1176)</f>
        <v>0</v>
      </c>
      <c r="H1176" s="240" t="n">
        <v>7812</v>
      </c>
      <c r="I1176" s="239" t="n">
        <v>7825</v>
      </c>
      <c r="J1176" s="160" t="n">
        <f aca="false">SUM(H1176:I1176)</f>
        <v>15637</v>
      </c>
      <c r="K1176" s="238" t="n">
        <v>1122</v>
      </c>
      <c r="L1176" s="239" t="n">
        <v>1122</v>
      </c>
      <c r="M1176" s="160" t="n">
        <f aca="false">SUM(K1176:L1176)</f>
        <v>2244</v>
      </c>
      <c r="N1176" s="240" t="n">
        <v>2</v>
      </c>
      <c r="O1176" s="395" t="n">
        <v>2</v>
      </c>
      <c r="P1176" s="160" t="n">
        <f aca="false">SUM(N1176:O1176)</f>
        <v>4</v>
      </c>
      <c r="Q1176" s="135" t="str">
        <f aca="false">IF(P1111=P1176,"〇","×")</f>
        <v>×</v>
      </c>
    </row>
    <row r="1177" s="135" customFormat="true" ht="20.1" hidden="false" customHeight="true" outlineLevel="0" collapsed="false">
      <c r="A1177" s="174"/>
      <c r="B1177" s="182"/>
      <c r="C1177" s="181"/>
      <c r="D1177" s="245"/>
      <c r="E1177" s="183"/>
      <c r="F1177" s="181"/>
      <c r="G1177" s="246" t="n">
        <f aca="false">SUM(B1177:F1177)</f>
        <v>0</v>
      </c>
      <c r="H1177" s="185"/>
      <c r="I1177" s="183"/>
      <c r="J1177" s="248" t="n">
        <f aca="false">SUM(H1177:I1177)</f>
        <v>0</v>
      </c>
      <c r="K1177" s="245"/>
      <c r="L1177" s="183"/>
      <c r="M1177" s="248" t="n">
        <f aca="false">SUM(K1177:L1177)</f>
        <v>0</v>
      </c>
      <c r="N1177" s="245"/>
      <c r="O1177" s="183"/>
      <c r="P1177" s="248" t="n">
        <f aca="false">SUM(N1177:O1177)</f>
        <v>0</v>
      </c>
      <c r="Q1177" s="135" t="str">
        <f aca="false">IF(P1112=P1177,"〇","×")</f>
        <v>〇</v>
      </c>
    </row>
    <row r="1178" s="162" customFormat="true" ht="0.2" hidden="false" customHeight="true" outlineLevel="0" collapsed="false">
      <c r="A1178" s="174"/>
      <c r="B1178" s="182"/>
      <c r="C1178" s="181"/>
      <c r="D1178" s="245"/>
      <c r="E1178" s="183"/>
      <c r="F1178" s="181"/>
      <c r="G1178" s="246" t="n">
        <f aca="false">SUM(B1178:F1178)</f>
        <v>0</v>
      </c>
      <c r="H1178" s="185"/>
      <c r="I1178" s="183"/>
      <c r="J1178" s="248" t="n">
        <f aca="false">SUM(H1178:I1178)</f>
        <v>0</v>
      </c>
      <c r="K1178" s="245"/>
      <c r="L1178" s="183"/>
      <c r="M1178" s="248" t="n">
        <f aca="false">SUM(K1178:L1178)</f>
        <v>0</v>
      </c>
      <c r="N1178" s="245"/>
      <c r="O1178" s="183"/>
      <c r="P1178" s="248" t="n">
        <f aca="false">SUM(N1178:O1178)</f>
        <v>0</v>
      </c>
      <c r="Q1178" s="162" t="str">
        <f aca="false">IF(P1113=P1178,"〇","×")</f>
        <v>〇</v>
      </c>
    </row>
    <row r="1179" s="162" customFormat="true" ht="0.2" hidden="false" customHeight="true" outlineLevel="0" collapsed="false">
      <c r="A1179" s="187"/>
      <c r="B1179" s="249"/>
      <c r="C1179" s="250"/>
      <c r="D1179" s="251"/>
      <c r="E1179" s="252"/>
      <c r="F1179" s="250"/>
      <c r="G1179" s="253"/>
      <c r="H1179" s="256"/>
      <c r="I1179" s="254"/>
      <c r="J1179" s="255"/>
      <c r="K1179" s="256"/>
      <c r="L1179" s="254"/>
      <c r="M1179" s="255"/>
      <c r="N1179" s="256"/>
      <c r="O1179" s="254"/>
      <c r="P1179" s="255"/>
      <c r="Q1179" s="162" t="str">
        <f aca="false">IF(P1114=P1179,"〇","×")</f>
        <v>〇</v>
      </c>
    </row>
    <row r="1180" s="135" customFormat="true" ht="20.1" hidden="false" customHeight="true" outlineLevel="0" collapsed="false">
      <c r="A1180" s="196" t="s">
        <v>497</v>
      </c>
      <c r="B1180" s="197" t="n">
        <f aca="false">SUM(B1150:B1179)</f>
        <v>10212765</v>
      </c>
      <c r="C1180" s="200" t="n">
        <f aca="false">SUM(C1150:C1179)</f>
        <v>836853</v>
      </c>
      <c r="D1180" s="198" t="n">
        <f aca="false">SUM(D1150:D1179)</f>
        <v>15816083</v>
      </c>
      <c r="E1180" s="199" t="n">
        <f aca="false">SUM(E1150:E1179)</f>
        <v>889817</v>
      </c>
      <c r="F1180" s="200" t="n">
        <f aca="false">SUM(F1150:F1179)</f>
        <v>12212</v>
      </c>
      <c r="G1180" s="201" t="n">
        <f aca="false">SUM(B1180:F1180)</f>
        <v>27767730</v>
      </c>
      <c r="H1180" s="197" t="n">
        <f aca="false">SUM(H1150:H1178)</f>
        <v>6851669</v>
      </c>
      <c r="I1180" s="198" t="n">
        <f aca="false">SUM(I1150:I1178)</f>
        <v>7279449</v>
      </c>
      <c r="J1180" s="200" t="n">
        <f aca="false">SUM(H1180:I1180)</f>
        <v>14131118</v>
      </c>
      <c r="K1180" s="197" t="n">
        <f aca="false">SUM(K1150:K1178)</f>
        <v>545577</v>
      </c>
      <c r="L1180" s="198" t="n">
        <f aca="false">SUM(L1150:L1178)</f>
        <v>590770</v>
      </c>
      <c r="M1180" s="200" t="n">
        <f aca="false">SUM(K1180:L1180)</f>
        <v>1136347</v>
      </c>
      <c r="N1180" s="197" t="n">
        <f aca="false">SUM(N1150:N1178)</f>
        <v>24</v>
      </c>
      <c r="O1180" s="198" t="n">
        <f aca="false">SUM(O1150:O1178)</f>
        <v>48</v>
      </c>
      <c r="P1180" s="200" t="n">
        <f aca="false">SUM(N1180:O1180)</f>
        <v>72</v>
      </c>
      <c r="Q1180" s="135" t="str">
        <f aca="false">IF(P1115=P1180,"〇","×")</f>
        <v>×</v>
      </c>
    </row>
    <row r="1181" s="162" customFormat="true" ht="0.2" hidden="false" customHeight="true" outlineLevel="0" collapsed="false">
      <c r="A1181" s="174" t="s">
        <v>496</v>
      </c>
      <c r="B1181" s="256"/>
      <c r="C1181" s="257"/>
      <c r="D1181" s="254"/>
      <c r="E1181" s="258"/>
      <c r="F1181" s="259"/>
      <c r="G1181" s="260"/>
      <c r="H1181" s="423"/>
      <c r="I1181" s="261"/>
      <c r="J1181" s="262"/>
      <c r="K1181" s="263"/>
      <c r="L1181" s="264"/>
      <c r="M1181" s="265"/>
      <c r="N1181" s="263"/>
      <c r="O1181" s="264"/>
      <c r="P1181" s="265"/>
      <c r="Q1181" s="162" t="str">
        <f aca="false">IF(P1116=P1181,"〇","×")</f>
        <v>〇</v>
      </c>
    </row>
    <row r="1182" s="162" customFormat="true" ht="0.2" hidden="false" customHeight="true" outlineLevel="0" collapsed="false">
      <c r="A1182" s="266" t="s">
        <v>496</v>
      </c>
      <c r="B1182" s="267"/>
      <c r="C1182" s="268"/>
      <c r="D1182" s="254"/>
      <c r="E1182" s="258"/>
      <c r="F1182" s="257"/>
      <c r="G1182" s="253"/>
      <c r="H1182" s="424"/>
      <c r="I1182" s="269"/>
      <c r="J1182" s="270"/>
      <c r="K1182" s="271"/>
      <c r="L1182" s="272"/>
      <c r="M1182" s="273"/>
      <c r="N1182" s="271"/>
      <c r="O1182" s="272"/>
      <c r="P1182" s="273"/>
      <c r="Q1182" s="162" t="str">
        <f aca="false">IF(P1117=P1182,"〇","×")</f>
        <v>〇</v>
      </c>
    </row>
    <row r="1183" s="135" customFormat="true" ht="20.1" hidden="false" customHeight="true" outlineLevel="0" collapsed="false">
      <c r="A1183" s="214" t="s">
        <v>208</v>
      </c>
      <c r="B1183" s="409" t="n">
        <v>9882</v>
      </c>
      <c r="C1183" s="410" t="n">
        <v>810</v>
      </c>
      <c r="D1183" s="238" t="n">
        <v>9882</v>
      </c>
      <c r="E1183" s="239" t="n">
        <v>810</v>
      </c>
      <c r="F1183" s="393" t="n">
        <v>10</v>
      </c>
      <c r="G1183" s="391" t="n">
        <f aca="false">SUM(B1183:F1183)</f>
        <v>21394</v>
      </c>
      <c r="H1183" s="155"/>
      <c r="I1183" s="155"/>
      <c r="J1183" s="221" t="n">
        <f aca="false">SUM(H1183:I1183)</f>
        <v>0</v>
      </c>
      <c r="K1183" s="155"/>
      <c r="L1183" s="155"/>
      <c r="M1183" s="221" t="n">
        <f aca="false">SUM(K1183:L1183)</f>
        <v>0</v>
      </c>
      <c r="N1183" s="155"/>
      <c r="O1183" s="155"/>
      <c r="P1183" s="221" t="n">
        <f aca="false">SUM(N1183:O1183)</f>
        <v>0</v>
      </c>
      <c r="Q1183" s="135" t="str">
        <f aca="false">IF(P1118=P1183,"〇","×")</f>
        <v>〇</v>
      </c>
    </row>
    <row r="1184" s="135" customFormat="true" ht="20.1" hidden="false" customHeight="true" outlineLevel="0" collapsed="false">
      <c r="A1184" s="214" t="s">
        <v>209</v>
      </c>
      <c r="B1184" s="409" t="n">
        <v>6039</v>
      </c>
      <c r="C1184" s="410" t="n">
        <v>495</v>
      </c>
      <c r="D1184" s="425" t="n">
        <v>6039</v>
      </c>
      <c r="E1184" s="426" t="n">
        <v>495</v>
      </c>
      <c r="F1184" s="427" t="n">
        <v>6</v>
      </c>
      <c r="G1184" s="391" t="n">
        <f aca="false">SUM(B1184:F1184)</f>
        <v>13074</v>
      </c>
      <c r="H1184" s="277"/>
      <c r="I1184" s="277"/>
      <c r="J1184" s="278" t="n">
        <f aca="false">SUM(H1184:I1184)</f>
        <v>0</v>
      </c>
      <c r="K1184" s="277"/>
      <c r="L1184" s="277"/>
      <c r="M1184" s="278" t="n">
        <f aca="false">SUM(K1184:L1184)</f>
        <v>0</v>
      </c>
      <c r="N1184" s="277"/>
      <c r="O1184" s="277"/>
      <c r="P1184" s="278" t="n">
        <f aca="false">SUM(N1184:O1184)</f>
        <v>0</v>
      </c>
      <c r="Q1184" s="135" t="str">
        <f aca="false">IF(P1119=P1184,"〇","×")</f>
        <v>〇</v>
      </c>
    </row>
    <row r="1185" s="135" customFormat="true" ht="20.1" hidden="false" customHeight="true" outlineLevel="0" collapsed="false">
      <c r="A1185" s="196" t="s">
        <v>497</v>
      </c>
      <c r="B1185" s="197" t="n">
        <f aca="false">SUM(B1181:B1184)</f>
        <v>15921</v>
      </c>
      <c r="C1185" s="200" t="n">
        <f aca="false">SUM(C1181:C1184)</f>
        <v>1305</v>
      </c>
      <c r="D1185" s="198" t="n">
        <f aca="false">SUM(D1181:D1184)</f>
        <v>15921</v>
      </c>
      <c r="E1185" s="199" t="n">
        <f aca="false">SUM(E1181:E1184)</f>
        <v>1305</v>
      </c>
      <c r="F1185" s="200" t="n">
        <f aca="false">SUM(F1181:F1184)</f>
        <v>16</v>
      </c>
      <c r="G1185" s="201" t="n">
        <f aca="false">SUM(B1185:F1185)</f>
        <v>34468</v>
      </c>
      <c r="H1185" s="281" t="n">
        <f aca="false">SUM(H1181:H1184)</f>
        <v>0</v>
      </c>
      <c r="I1185" s="282" t="n">
        <f aca="false">SUM(I1181:I1184)</f>
        <v>0</v>
      </c>
      <c r="J1185" s="283" t="n">
        <f aca="false">SUM(H1185:I1185)</f>
        <v>0</v>
      </c>
      <c r="K1185" s="281" t="n">
        <f aca="false">SUM(K1181:K1184)</f>
        <v>0</v>
      </c>
      <c r="L1185" s="282" t="n">
        <f aca="false">SUM(L1181:L1184)</f>
        <v>0</v>
      </c>
      <c r="M1185" s="283" t="n">
        <f aca="false">SUM(K1185:L1185)</f>
        <v>0</v>
      </c>
      <c r="N1185" s="281" t="n">
        <f aca="false">SUM(N1181:N1184)</f>
        <v>0</v>
      </c>
      <c r="O1185" s="282" t="n">
        <f aca="false">SUM(O1181:O1184)</f>
        <v>0</v>
      </c>
      <c r="P1185" s="283" t="n">
        <f aca="false">SUM(N1185:O1185)</f>
        <v>0</v>
      </c>
      <c r="Q1185" s="135" t="str">
        <f aca="false">IF(P1120=P1185,"〇","×")</f>
        <v>〇</v>
      </c>
    </row>
    <row r="1186" s="135" customFormat="true" ht="20.1" hidden="false" customHeight="true" outlineLevel="0" collapsed="false">
      <c r="A1186" s="125" t="s">
        <v>210</v>
      </c>
      <c r="B1186" s="203" t="n">
        <v>6771</v>
      </c>
      <c r="C1186" s="237" t="n">
        <v>555</v>
      </c>
      <c r="D1186" s="387" t="n">
        <v>6771</v>
      </c>
      <c r="E1186" s="440" t="n">
        <v>555</v>
      </c>
      <c r="F1186" s="337"/>
      <c r="G1186" s="206" t="n">
        <f aca="false">SUM(B1186:F1186)</f>
        <v>14652</v>
      </c>
      <c r="H1186" s="207" t="n">
        <v>4070</v>
      </c>
      <c r="I1186" s="208" t="n">
        <v>4078</v>
      </c>
      <c r="J1186" s="160" t="n">
        <f aca="false">SUM(H1186:I1186)</f>
        <v>8148</v>
      </c>
      <c r="K1186" s="207" t="n">
        <v>585</v>
      </c>
      <c r="L1186" s="208" t="n">
        <v>585</v>
      </c>
      <c r="M1186" s="160" t="n">
        <f aca="false">SUM(K1186:L1186)</f>
        <v>1170</v>
      </c>
      <c r="N1186" s="207" t="n">
        <v>2</v>
      </c>
      <c r="O1186" s="208" t="n">
        <v>2</v>
      </c>
      <c r="P1186" s="160" t="n">
        <f aca="false">SUM(N1186:O1186)</f>
        <v>4</v>
      </c>
      <c r="Q1186" s="135" t="str">
        <f aca="false">IF(P1121=P1186,"〇","×")</f>
        <v>×</v>
      </c>
    </row>
    <row r="1187" s="135" customFormat="true" ht="20.1" hidden="false" customHeight="true" outlineLevel="0" collapsed="false">
      <c r="A1187" s="125" t="s">
        <v>211</v>
      </c>
      <c r="B1187" s="203"/>
      <c r="C1187" s="204"/>
      <c r="D1187" s="203"/>
      <c r="E1187" s="440"/>
      <c r="F1187" s="337"/>
      <c r="G1187" s="206" t="n">
        <f aca="false">SUM(B1187:F1187)</f>
        <v>0</v>
      </c>
      <c r="H1187" s="207"/>
      <c r="I1187" s="208"/>
      <c r="J1187" s="160" t="n">
        <f aca="false">SUM(H1187:I1187)</f>
        <v>0</v>
      </c>
      <c r="K1187" s="287"/>
      <c r="L1187" s="208"/>
      <c r="M1187" s="160" t="n">
        <f aca="false">SUM(K1187:L1187)</f>
        <v>0</v>
      </c>
      <c r="N1187" s="287"/>
      <c r="O1187" s="208"/>
      <c r="P1187" s="160" t="n">
        <f aca="false">SUM(N1187:O1187)</f>
        <v>0</v>
      </c>
      <c r="Q1187" s="135" t="str">
        <f aca="false">IF(P1122=P1187,"〇","×")</f>
        <v>〇</v>
      </c>
    </row>
    <row r="1188" s="135" customFormat="true" ht="20.1" hidden="false" customHeight="true" outlineLevel="0" collapsed="false">
      <c r="A1188" s="217" t="s">
        <v>212</v>
      </c>
      <c r="B1188" s="203" t="n">
        <v>78598</v>
      </c>
      <c r="C1188" s="204" t="n">
        <v>6442</v>
      </c>
      <c r="D1188" s="203" t="n">
        <v>78599</v>
      </c>
      <c r="E1188" s="440" t="n">
        <v>6442</v>
      </c>
      <c r="F1188" s="337"/>
      <c r="G1188" s="206" t="n">
        <f aca="false">SUM(B1188:F1188)</f>
        <v>170081</v>
      </c>
      <c r="H1188" s="207" t="n">
        <v>48574</v>
      </c>
      <c r="I1188" s="208" t="n">
        <v>48662</v>
      </c>
      <c r="J1188" s="160" t="n">
        <f aca="false">SUM(H1188:I1188)</f>
        <v>97236</v>
      </c>
      <c r="K1188" s="287" t="n">
        <v>6850</v>
      </c>
      <c r="L1188" s="208" t="n">
        <v>6849</v>
      </c>
      <c r="M1188" s="160" t="n">
        <f aca="false">SUM(K1188:L1188)</f>
        <v>13699</v>
      </c>
      <c r="N1188" s="287" t="n">
        <v>2</v>
      </c>
      <c r="O1188" s="208" t="n">
        <v>2</v>
      </c>
      <c r="P1188" s="160" t="n">
        <f aca="false">SUM(N1188:O1188)</f>
        <v>4</v>
      </c>
      <c r="Q1188" s="135" t="str">
        <f aca="false">IF(P1123=P1188,"〇","×")</f>
        <v>×</v>
      </c>
    </row>
    <row r="1189" s="135" customFormat="true" ht="20.1" hidden="false" customHeight="true" outlineLevel="0" collapsed="false">
      <c r="A1189" s="217" t="s">
        <v>213</v>
      </c>
      <c r="B1189" s="592"/>
      <c r="C1189" s="593"/>
      <c r="D1189" s="592"/>
      <c r="E1189" s="195"/>
      <c r="F1189" s="292"/>
      <c r="G1189" s="517" t="n">
        <f aca="false">SUM(B1189:F1189)</f>
        <v>0</v>
      </c>
      <c r="H1189" s="594"/>
      <c r="I1189" s="595"/>
      <c r="J1189" s="520" t="n">
        <f aca="false">SUM(H1189:I1189)</f>
        <v>0</v>
      </c>
      <c r="K1189" s="596"/>
      <c r="L1189" s="595"/>
      <c r="M1189" s="520" t="n">
        <f aca="false">SUM(K1189:L1189)</f>
        <v>0</v>
      </c>
      <c r="N1189" s="596"/>
      <c r="O1189" s="595"/>
      <c r="P1189" s="520" t="n">
        <f aca="false">SUM(N1189:O1189)</f>
        <v>0</v>
      </c>
      <c r="Q1189" s="135" t="str">
        <f aca="false">IF(P1124=P1189,"〇","×")</f>
        <v>〇</v>
      </c>
    </row>
    <row r="1190" s="135" customFormat="true" ht="20.1" hidden="false" customHeight="true" outlineLevel="0" collapsed="false">
      <c r="A1190" s="196" t="s">
        <v>497</v>
      </c>
      <c r="B1190" s="197" t="n">
        <f aca="false">SUM(B1186:B1189)</f>
        <v>85369</v>
      </c>
      <c r="C1190" s="201" t="n">
        <f aca="false">SUM(C1186:C1189)</f>
        <v>6997</v>
      </c>
      <c r="D1190" s="197" t="n">
        <f aca="false">SUM(D1186:D1189)</f>
        <v>85370</v>
      </c>
      <c r="E1190" s="199" t="n">
        <f aca="false">SUM(E1186:E1189)</f>
        <v>6997</v>
      </c>
      <c r="F1190" s="200" t="n">
        <f aca="false">SUM(F1186:F1189)</f>
        <v>0</v>
      </c>
      <c r="G1190" s="201" t="n">
        <f aca="false">SUM(B1190:F1190)</f>
        <v>184733</v>
      </c>
      <c r="H1190" s="301" t="n">
        <f aca="false">SUM(H1186:H1189)</f>
        <v>52644</v>
      </c>
      <c r="I1190" s="199" t="n">
        <f aca="false">SUM(I1186:I1189)</f>
        <v>52740</v>
      </c>
      <c r="J1190" s="200" t="n">
        <f aca="false">SUM(H1190:I1190)</f>
        <v>105384</v>
      </c>
      <c r="K1190" s="197" t="n">
        <f aca="false">SUM(K1186:K1189)</f>
        <v>7435</v>
      </c>
      <c r="L1190" s="301" t="n">
        <f aca="false">SUM(L1186:L1189)</f>
        <v>7434</v>
      </c>
      <c r="M1190" s="200" t="n">
        <f aca="false">SUM(K1190:L1190)</f>
        <v>14869</v>
      </c>
      <c r="N1190" s="197" t="n">
        <f aca="false">SUM(N1186:N1189)</f>
        <v>4</v>
      </c>
      <c r="O1190" s="301" t="n">
        <f aca="false">SUM(O1186:O1189)</f>
        <v>4</v>
      </c>
      <c r="P1190" s="200" t="n">
        <f aca="false">SUM(N1190:O1190)</f>
        <v>8</v>
      </c>
      <c r="Q1190" s="135" t="str">
        <f aca="false">IF(P1125=P1190,"〇","×")</f>
        <v>×</v>
      </c>
    </row>
    <row r="1191" s="135" customFormat="true" ht="20.1" hidden="false" customHeight="true" outlineLevel="0" collapsed="false">
      <c r="A1191" s="302" t="s">
        <v>214</v>
      </c>
      <c r="B1191" s="303"/>
      <c r="C1191" s="304"/>
      <c r="D1191" s="305"/>
      <c r="E1191" s="306"/>
      <c r="F1191" s="292"/>
      <c r="G1191" s="293"/>
      <c r="H1191" s="338"/>
      <c r="I1191" s="339"/>
      <c r="J1191" s="296" t="n">
        <f aca="false">SUM(H1191:I1191)</f>
        <v>0</v>
      </c>
      <c r="K1191" s="338"/>
      <c r="L1191" s="339"/>
      <c r="M1191" s="296" t="n">
        <f aca="false">SUM(K1191:L1191)</f>
        <v>0</v>
      </c>
      <c r="N1191" s="338"/>
      <c r="O1191" s="339"/>
      <c r="P1191" s="296" t="n">
        <f aca="false">SUM(N1191:O1191)</f>
        <v>0</v>
      </c>
      <c r="Q1191" s="135" t="str">
        <f aca="false">IF(P1126=P1191,"〇","×")</f>
        <v>〇</v>
      </c>
    </row>
    <row r="1192" s="135" customFormat="true" ht="30" hidden="false" customHeight="true" outlineLevel="0" collapsed="false">
      <c r="A1192" s="310" t="s">
        <v>499</v>
      </c>
      <c r="B1192" s="311" t="n">
        <f aca="false">SUM(+B1149+B1180+B1185+B1190+B1191)</f>
        <v>48743788</v>
      </c>
      <c r="C1192" s="528" t="n">
        <f aca="false">SUM(+C1149+C1180+C1185+C1190+C1191)</f>
        <v>3990978</v>
      </c>
      <c r="D1192" s="311" t="n">
        <f aca="false">SUM(+D1149+D1180+D1185+D1190+D1191)</f>
        <v>70637928</v>
      </c>
      <c r="E1192" s="313" t="n">
        <f aca="false">SUM(+E1149+E1180+E1185+E1190+E1191)</f>
        <v>3924204</v>
      </c>
      <c r="F1192" s="312" t="n">
        <f aca="false">SUM(+F1149+F1180+F1185+F1190+F1191)</f>
        <v>51552</v>
      </c>
      <c r="G1192" s="529" t="n">
        <f aca="false">SUM(B1192:F1192)</f>
        <v>127348450</v>
      </c>
      <c r="H1192" s="315" t="n">
        <f aca="false">SUM(+H1149+H1180+H1185+H1190+H1191)</f>
        <v>35625761</v>
      </c>
      <c r="I1192" s="315" t="n">
        <f aca="false">SUM(+I1149+I1180+I1185+I1190+I1191)</f>
        <v>35605035</v>
      </c>
      <c r="J1192" s="316" t="n">
        <f aca="false">SUM(H1192:I1192)</f>
        <v>71230796</v>
      </c>
      <c r="K1192" s="317" t="n">
        <f aca="false">SUM(+K1149+K1180+K1185+K1190+K1191)</f>
        <v>2958611</v>
      </c>
      <c r="L1192" s="315" t="n">
        <f aca="false">SUM(+L1149+L1180+L1185+L1190+L1191)</f>
        <v>2958359</v>
      </c>
      <c r="M1192" s="316" t="n">
        <f aca="false">SUM(K1192:L1192)</f>
        <v>5916970</v>
      </c>
      <c r="N1192" s="317" t="n">
        <f aca="false">SUM(+N1149+N1180+N1185+N1190+N1191)</f>
        <v>50</v>
      </c>
      <c r="O1192" s="315" t="n">
        <f aca="false">SUM(+O1149+O1180+O1185+O1190+O1191)</f>
        <v>74</v>
      </c>
      <c r="P1192" s="316" t="n">
        <f aca="false">SUM(N1192:O1192)</f>
        <v>124</v>
      </c>
      <c r="Q1192" s="135" t="str">
        <f aca="false">IF(P1127=P1192,"〇","×")</f>
        <v>×</v>
      </c>
    </row>
    <row r="1193" s="106" customFormat="true" ht="37.5" hidden="false" customHeight="true" outlineLevel="0" collapsed="false">
      <c r="A1193" s="597" t="s">
        <v>529</v>
      </c>
      <c r="Q1193" s="106" t="str">
        <f aca="false">IF(P1128=P1193,"〇","×")</f>
        <v>〇</v>
      </c>
    </row>
    <row r="1194" s="606" customFormat="true" ht="38.25" hidden="false" customHeight="true" outlineLevel="0" collapsed="false">
      <c r="A1194" s="598" t="str">
        <f aca="false">B1129</f>
        <v>令和8年度</v>
      </c>
      <c r="B1194" s="599" t="s">
        <v>530</v>
      </c>
      <c r="C1194" s="600" t="n">
        <v>2.1</v>
      </c>
      <c r="D1194" s="601" t="s">
        <v>531</v>
      </c>
      <c r="E1194" s="600" t="n">
        <v>2.1</v>
      </c>
      <c r="F1194" s="602"/>
      <c r="G1194" s="603"/>
      <c r="H1194" s="604"/>
      <c r="I1194" s="604"/>
      <c r="J1194" s="604"/>
      <c r="K1194" s="604"/>
      <c r="L1194" s="604"/>
      <c r="M1194" s="604"/>
      <c r="N1194" s="604"/>
      <c r="O1194" s="604"/>
      <c r="P1194" s="604"/>
      <c r="Q1194" s="605" t="str">
        <f aca="false">IF(P1129=P1194,"〇","×")</f>
        <v>〇</v>
      </c>
      <c r="R1194" s="605"/>
      <c r="S1194" s="605"/>
    </row>
    <row r="1195" customFormat="false" ht="17.25" hidden="false" customHeight="false" outlineLevel="0" collapsed="false">
      <c r="H1195" s="108"/>
      <c r="I1195" s="108"/>
      <c r="J1195" s="108"/>
      <c r="K1195" s="108"/>
      <c r="L1195" s="108"/>
      <c r="M1195" s="108"/>
      <c r="N1195" s="108"/>
      <c r="O1195" s="108"/>
      <c r="P1195" s="108"/>
      <c r="Q1195" s="108" t="str">
        <f aca="false">IF(P1130=P1195,"〇","×")</f>
        <v>〇</v>
      </c>
      <c r="R1195" s="108"/>
      <c r="S1195" s="108"/>
    </row>
    <row r="1196" customFormat="false" ht="17.25" hidden="false" customHeight="false" outlineLevel="0" collapsed="false">
      <c r="Q1196" s="105" t="str">
        <f aca="false">IF(P1131=P1196,"〇","×")</f>
        <v>×</v>
      </c>
    </row>
  </sheetData>
  <mergeCells count="411">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07:C1107"/>
    <mergeCell ref="D1107:G1107"/>
    <mergeCell ref="H1107:J1107"/>
    <mergeCell ref="K1107:M1107"/>
    <mergeCell ref="N1107:P1107"/>
    <mergeCell ref="A1108:A1110"/>
    <mergeCell ref="B1108:G1108"/>
    <mergeCell ref="H1108:J1108"/>
    <mergeCell ref="K1108:M1108"/>
    <mergeCell ref="N1108:P1108"/>
    <mergeCell ref="B1109:C1109"/>
    <mergeCell ref="D1109:E1109"/>
    <mergeCell ref="F1109:G1110"/>
    <mergeCell ref="F1111:G1111"/>
    <mergeCell ref="F1112:G1112"/>
    <mergeCell ref="F1113:G1113"/>
    <mergeCell ref="F1114:G1114"/>
    <mergeCell ref="F1115:G1115"/>
    <mergeCell ref="F1116:G1116"/>
    <mergeCell ref="F1117:G1117"/>
    <mergeCell ref="F1118:G1118"/>
    <mergeCell ref="F1119:G1119"/>
    <mergeCell ref="F1120:G1120"/>
    <mergeCell ref="F1121:G1121"/>
    <mergeCell ref="F1122:G1122"/>
    <mergeCell ref="F1123:G1123"/>
    <mergeCell ref="F1124:G1124"/>
    <mergeCell ref="F1125:G1125"/>
    <mergeCell ref="F1126:G1126"/>
    <mergeCell ref="F1127:G1127"/>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conditionalFormatting sqref="B6:P16 H17:P17 B18:P24 D25:G30 I25:J30 L25:M30 O25:P30 B31:P31 B32:J32 N32:P32 B33:P34 D35:G38 I35:J38 L35:M38 O35:P38 B39:P39 D40:G40 I40:J40 L40:M40 O40:P40 B41:P44 D45:G45 I45:J45 L45:M45 O45:P45 B46:P46 H47:P47 B48:P49 D50:G50 I50:J50 L50:M50 O50:P50 B51:P55 B56:G58 B59:E59 G59:P59 K60:M60 B61:E61 G61:P61 B63:P63 H64 J64:K64 M64:N64 P64">
    <cfRule type="expression" priority="2" aboveAverage="0" equalAverage="0" bottom="0" percent="0" rank="0" text="" dxfId="24">
      <formula>INDEX($R$1:$R$1200,ROW())="未受領"</formula>
    </cfRule>
    <cfRule type="expression" priority="3" aboveAverage="0" equalAverage="0" bottom="0" percent="0" rank="0" text="" dxfId="25">
      <formula>INDEX($R$1:$R$1200,ROW())="受領済"</formula>
    </cfRule>
    <cfRule type="expression" priority="4" aboveAverage="0" equalAverage="0" bottom="0" percent="0" rank="0" text="" dxfId="26">
      <formula>INDEX($R$1:$R$1200,ROW())="入金確認済"</formula>
    </cfRule>
    <cfRule type="expression" priority="5" aboveAverage="0" equalAverage="0" bottom="0" percent="0" rank="0" text="" dxfId="26">
      <formula>INDEX($R$1:$R$1200,ROW())="起票済"</formula>
    </cfRule>
  </conditionalFormatting>
  <conditionalFormatting sqref="B71:P81 H82:P82 B83:P89 D90:G95 I90:J95 L90:M95 O90:P95 B96:P99 D100:G103 I100:J103 L100:M103 O100:P103 B104:P104 D105:G105 I105:J105 L105:M105 O105:P105 B106:P109 D110:G110 I110:J110 L110:M110 O110:P110 B111:P111 H112:P112 B113:P120 B121:G123 B124:E126 G124:P126 B128:P128 H129 J129:K129 M129:N129 P129">
    <cfRule type="expression" priority="6" aboveAverage="0" equalAverage="0" bottom="0" percent="0" rank="0" text="" dxfId="24">
      <formula>INDEX($R$1:$R$1200,ROW())="未受領"</formula>
    </cfRule>
    <cfRule type="expression" priority="7" aboveAverage="0" equalAverage="0" bottom="0" percent="0" rank="0" text="" dxfId="25">
      <formula>INDEX($R$1:$R$1200,ROW())="受領済"</formula>
    </cfRule>
    <cfRule type="expression" priority="8" aboveAverage="0" equalAverage="0" bottom="0" percent="0" rank="0" text="" dxfId="26">
      <formula>INDEX($R$1:$R$1200,ROW())="入金確認済"</formula>
    </cfRule>
    <cfRule type="expression" priority="9" aboveAverage="0" equalAverage="0" bottom="0" percent="0" rank="0" text="" dxfId="26">
      <formula>INDEX($R$1:$R$1200,ROW())="起票済"</formula>
    </cfRule>
  </conditionalFormatting>
  <conditionalFormatting sqref="B136:P146 H147:P147 B148:P154 D155:G160 I155:J160 L155:M160 O155:P160 B161:P164 D165:G168 I165:J168 L165:M168 O165:P168 B169:P169 D170:G170 I170:J170 L170:M170 O170:P170 B171:P174 D175:G175 I175:J175 L175:M175 O175:P175 B176:P176 D177:P177 B178:P185 B186:G188 B189:E192 G189:P192 B193:P193 H194 J194:K194 M194:N194 P194">
    <cfRule type="expression" priority="10" aboveAverage="0" equalAverage="0" bottom="0" percent="0" rank="0" text="" dxfId="24">
      <formula>INDEX($R$1:$R$1200,ROW())="未受領"</formula>
    </cfRule>
    <cfRule type="expression" priority="11" aboveAverage="0" equalAverage="0" bottom="0" percent="0" rank="0" text="" dxfId="25">
      <formula>INDEX($R$1:$R$1200,ROW())="受領済"</formula>
    </cfRule>
    <cfRule type="expression" priority="12" aboveAverage="0" equalAverage="0" bottom="0" percent="0" rank="0" text="" dxfId="26">
      <formula>INDEX($R$1:$R$1200,ROW())="入金確認済"</formula>
    </cfRule>
    <cfRule type="expression" priority="13" aboveAverage="0" equalAverage="0" bottom="0" percent="0" rank="0" text="" dxfId="26">
      <formula>INDEX($R$1:$R$1200,ROW())="起票済"</formula>
    </cfRule>
  </conditionalFormatting>
  <conditionalFormatting sqref="B201:P211 H212:P212 B213:P219 D220:G225 I220:J225 L220:M225 O220:P225 B226:P229 D230:G233 I230:J233 L230:M233 O230:P233 B234:P234 D235:G235 I235:J235 L235:M235 O235:P235 B236:P239 D240:G240 I240:J240 L240:M240 O240:P240 B241:P241 H242:P242 B243:P250 B251:G253 B254:E257 G254:P257 B258:P258">
    <cfRule type="expression" priority="14" aboveAverage="0" equalAverage="0" bottom="0" percent="0" rank="0" text="" dxfId="24">
      <formula>INDEX($R$1:$R$1200,ROW())="未受領"</formula>
    </cfRule>
    <cfRule type="expression" priority="15" aboveAverage="0" equalAverage="0" bottom="0" percent="0" rank="0" text="" dxfId="25">
      <formula>INDEX($R$1:$R$1200,ROW())="受領済"</formula>
    </cfRule>
    <cfRule type="expression" priority="16" aboveAverage="0" equalAverage="0" bottom="0" percent="0" rank="0" text="" dxfId="26">
      <formula>INDEX($R$1:$R$1200,ROW())="入金確認済"</formula>
    </cfRule>
    <cfRule type="expression" priority="17" aboveAverage="0" equalAverage="0" bottom="0" percent="0" rank="0" text="" dxfId="26">
      <formula>INDEX($R$1:$R$1200,ROW())="起票済"</formula>
    </cfRule>
  </conditionalFormatting>
  <conditionalFormatting sqref="B266:P276 H277:P277 B278:P284 D285:G290 I285:J290 L285:M290 O285:P290 B291:P294 D295:G298 I295:J298 L295:M298 O295:P298 B299:P299 D300:G300 I300:J300 L300:M300 O300:P300 B301:P304 D305:G305 I305:J305 L305:M305 O305:P305 B306:P306 H307:P307 B308:P315 B316:G318 B319:E322 G319:P322 B323:P323 H324 J324:K324 M324:N324 P324">
    <cfRule type="expression" priority="18" aboveAverage="0" equalAverage="0" bottom="0" percent="0" rank="0" text="" dxfId="24">
      <formula>INDEX($R$1:$R$1200,ROW())="未受領"</formula>
    </cfRule>
    <cfRule type="expression" priority="19" aboveAverage="0" equalAverage="0" bottom="0" percent="0" rank="0" text="" dxfId="25">
      <formula>INDEX($R$1:$R$1200,ROW())="受領済"</formula>
    </cfRule>
    <cfRule type="expression" priority="20" aboveAverage="0" equalAverage="0" bottom="0" percent="0" rank="0" text="" dxfId="26">
      <formula>INDEX($R$1:$R$1200,ROW())="入金確認済"</formula>
    </cfRule>
    <cfRule type="expression" priority="21" aboveAverage="0" equalAverage="0" bottom="0" percent="0" rank="0" text="" dxfId="26">
      <formula>INDEX($R$1:$R$1200,ROW())="起票済"</formula>
    </cfRule>
  </conditionalFormatting>
  <conditionalFormatting sqref="B331:P341 H342:P342 B343:P349 D350:G355 I350:J355 L350:M355 O350:P355 B356:P359 D360:G363 I360:J363 L360:M363 O360:P363 B364:P364 D365:G365 I365:J365 L365:M365 O365:P365 B366:P369 D370:G370 I370:J370 L370:M370 O370:P370 B371:P371 H372:P372 B373:P380 B381:G383 B384:E387 G384:P387 B388:P388 H389 J389:K389 M389:N389 P389">
    <cfRule type="expression" priority="22" aboveAverage="0" equalAverage="0" bottom="0" percent="0" rank="0" text="" dxfId="24">
      <formula>INDEX($R$1:$R$1200,ROW())="未受領"</formula>
    </cfRule>
    <cfRule type="expression" priority="23" aboveAverage="0" equalAverage="0" bottom="0" percent="0" rank="0" text="" dxfId="25">
      <formula>INDEX($R$1:$R$1200,ROW())="受領済"</formula>
    </cfRule>
    <cfRule type="expression" priority="24" aboveAverage="0" equalAverage="0" bottom="0" percent="0" rank="0" text="" dxfId="26">
      <formula>INDEX($R$1:$R$1200,ROW())="入金確認済"</formula>
    </cfRule>
    <cfRule type="expression" priority="25" aboveAverage="0" equalAverage="0" bottom="0" percent="0" rank="0" text="" dxfId="26">
      <formula>INDEX($R$1:$R$1200,ROW())="起票済"</formula>
    </cfRule>
  </conditionalFormatting>
  <conditionalFormatting sqref="B396:P406 H407:P407 B408:P414 D415:G420 I415:J420 L415:M420 O415:P420 B421:P424 D425:G428 I425:J428 L425:M428 O425:P428 B429:P429 D430:G430 I430:J430 L430:M430 O430:P430 B431:P434 D435:G435 I435:J435 L435:M435 O435:P435 B436:P436 H437:P437 B438:P445 B446:G448 B449:E452 G449:P452 B453:P453 H454 J454:K454 M454:N454 P454">
    <cfRule type="expression" priority="26" aboveAverage="0" equalAverage="0" bottom="0" percent="0" rank="0" text="" dxfId="24">
      <formula>INDEX($R$1:$R$1200,ROW())="未受領"</formula>
    </cfRule>
    <cfRule type="expression" priority="27" aboveAverage="0" equalAverage="0" bottom="0" percent="0" rank="0" text="" dxfId="25">
      <formula>INDEX($R$1:$R$1200,ROW())="受領済"</formula>
    </cfRule>
    <cfRule type="expression" priority="28" aboveAverage="0" equalAverage="0" bottom="0" percent="0" rank="0" text="" dxfId="26">
      <formula>INDEX($R$1:$R$1200,ROW())="入金確認済"</formula>
    </cfRule>
    <cfRule type="expression" priority="29" aboveAverage="0" equalAverage="0" bottom="0" percent="0" rank="0" text="" dxfId="26">
      <formula>INDEX($R$1:$R$1200,ROW())="起票済"</formula>
    </cfRule>
  </conditionalFormatting>
  <conditionalFormatting sqref="B461:P471 H472:P472 B473:P479 D480:G485 I480:J485 L480:M485 O480:P485 B486:P489 D490:G493 I490:J493 L490:M493 O490:P493 B494:P494 D495:G495 I495:J495 L495:M495 O495:P495 B496:P499 B500:G500 I500:J500 L500:M500 O500:P500 B501:P501 H502:P502 B503:P510 B511:G513 B514:E517 G514:P517 B518:P518 H519 J519:K519 M519:N519 P519">
    <cfRule type="expression" priority="30" aboveAverage="0" equalAverage="0" bottom="0" percent="0" rank="0" text="" dxfId="24">
      <formula>INDEX($R$1:$R$1200,ROW())="未受領"</formula>
    </cfRule>
    <cfRule type="expression" priority="31" aboveAverage="0" equalAverage="0" bottom="0" percent="0" rank="0" text="" dxfId="25">
      <formula>INDEX($R$1:$R$1200,ROW())="受領済"</formula>
    </cfRule>
    <cfRule type="expression" priority="32" aboveAverage="0" equalAverage="0" bottom="0" percent="0" rank="0" text="" dxfId="26">
      <formula>INDEX($R$1:$R$1200,ROW())="入金確認済"</formula>
    </cfRule>
    <cfRule type="expression" priority="33" aboveAverage="0" equalAverage="0" bottom="0" percent="0" rank="0" text="" dxfId="26">
      <formula>INDEX($R$1:$R$1200,ROW())="起票済"</formula>
    </cfRule>
  </conditionalFormatting>
  <conditionalFormatting sqref="B526:P536 H537:P537 B538:P544 D545:G550 I545:J550 L545:M550 O545:P550 B551:P554 D555:G558 I555:J558 L555:M558 O555:P558 B559:P559 D560:G560 I560:J560 L560:M560 O560:P560 B561:P564 D565:G565 I565:J565 L565:M565 O565:P565 B566:P566 H567:P567 B568:P575 B576:G578 B579:E582 G579:P582 B583:P583 H584 J584:K584 M584:N584 P584">
    <cfRule type="expression" priority="34" aboveAverage="0" equalAverage="0" bottom="0" percent="0" rank="0" text="" dxfId="24">
      <formula>INDEX($R$1:$R$1200,ROW())="未受領"</formula>
    </cfRule>
    <cfRule type="expression" priority="35" aboveAverage="0" equalAverage="0" bottom="0" percent="0" rank="0" text="" dxfId="25">
      <formula>INDEX($R$1:$R$1200,ROW())="受領済"</formula>
    </cfRule>
    <cfRule type="expression" priority="36" aboveAverage="0" equalAverage="0" bottom="0" percent="0" rank="0" text="" dxfId="26">
      <formula>INDEX($R$1:$R$1200,ROW())="入金確認済"</formula>
    </cfRule>
    <cfRule type="expression" priority="37" aboveAverage="0" equalAverage="0" bottom="0" percent="0" rank="0" text="" dxfId="26">
      <formula>INDEX($R$1:$R$1200,ROW())="起票済"</formula>
    </cfRule>
  </conditionalFormatting>
  <conditionalFormatting sqref="B591:P601 H602:P602 B603:P609 D610:G615 I610:J615 L610:M615 O610:P615 B616:P619 D620:G623 I620:J623 L620:M623 O620:P623 B624:P624 D625:G625 I625:J625 L625:M625 O625:P625 B626:P629 D630:G630 I630:J630 L630:M630 O630:P630 B631:P631 H632:P632 B633:P640 B641:G643 B644:E647 G644:P647 B648:P648">
    <cfRule type="expression" priority="38" aboveAverage="0" equalAverage="0" bottom="0" percent="0" rank="0" text="" dxfId="24">
      <formula>INDEX($R$1:$R$1200,ROW())="未受領"</formula>
    </cfRule>
    <cfRule type="expression" priority="39" aboveAverage="0" equalAverage="0" bottom="0" percent="0" rank="0" text="" dxfId="25">
      <formula>INDEX($R$1:$R$1200,ROW())="受領済"</formula>
    </cfRule>
    <cfRule type="expression" priority="40" aboveAverage="0" equalAverage="0" bottom="0" percent="0" rank="0" text="" dxfId="26">
      <formula>INDEX($R$1:$R$1200,ROW())="入金確認済"</formula>
    </cfRule>
    <cfRule type="expression" priority="41" aboveAverage="0" equalAverage="0" bottom="0" percent="0" rank="0" text="" dxfId="26">
      <formula>INDEX($R$1:$R$1200,ROW())="起票済"</formula>
    </cfRule>
  </conditionalFormatting>
  <conditionalFormatting sqref="B656:P666 H667:P667 B668:P674 D675:G680 I675:J680 L675:M680 O675:P680 B681:P684 D685:G688 I685:J688 L685:M688 O685:P688 B689:P689 D690:G690 I690:J690 L690:M690 O690:P690 B691:P694 D695:G695 I695:J695 L695:M695 O695:P695 B696:P696 H697:P697 B698:P705 B706:G708 B709:E712 G709:P712 B713:P713 H714 J714:K714 M714:N714 P714">
    <cfRule type="expression" priority="42" aboveAverage="0" equalAverage="0" bottom="0" percent="0" rank="0" text="" dxfId="24">
      <formula>INDEX($R$1:$R$1200,ROW())="未受領"</formula>
    </cfRule>
    <cfRule type="expression" priority="43" aboveAverage="0" equalAverage="0" bottom="0" percent="0" rank="0" text="" dxfId="25">
      <formula>INDEX($R$1:$R$1200,ROW())="受領済"</formula>
    </cfRule>
    <cfRule type="expression" priority="44" aboveAverage="0" equalAverage="0" bottom="0" percent="0" rank="0" text="" dxfId="26">
      <formula>INDEX($R$1:$R$1200,ROW())="入金確認済"</formula>
    </cfRule>
    <cfRule type="expression" priority="45" aboveAverage="0" equalAverage="0" bottom="0" percent="0" rank="0" text="" dxfId="26">
      <formula>INDEX($R$1:$R$1200,ROW())="起票済"</formula>
    </cfRule>
  </conditionalFormatting>
  <conditionalFormatting sqref="B721:P731 H732:P732 B733:P739 D740:G745 I740:J745 L740:M745 O740:P745 B746:P749 D750:G753 I750:J753 L750:M753 O750:P753 B754:P754 D755:G755 I755:J755 L755:M755 O755:P755 B756:P759 D760:G760 I760:J760 L760:M760 O760:P760 B761:P761 H762:P762 B763:P770 B771:G773 B774:E777 G774:P777 B778:P778 H779 J779:K779 M779:N779 P779">
    <cfRule type="expression" priority="46" aboveAverage="0" equalAverage="0" bottom="0" percent="0" rank="0" text="" dxfId="24">
      <formula>INDEX($R$1:$R$1200,ROW())="未受領"</formula>
    </cfRule>
    <cfRule type="expression" priority="47" aboveAverage="0" equalAverage="0" bottom="0" percent="0" rank="0" text="" dxfId="25">
      <formula>INDEX($R$1:$R$1200,ROW())="受領済"</formula>
    </cfRule>
    <cfRule type="expression" priority="48" aboveAverage="0" equalAverage="0" bottom="0" percent="0" rank="0" text="" dxfId="26">
      <formula>INDEX($R$1:$R$1200,ROW())="入金確認済"</formula>
    </cfRule>
    <cfRule type="expression" priority="49" aboveAverage="0" equalAverage="0" bottom="0" percent="0" rank="0" text="" dxfId="26">
      <formula>INDEX($R$1:$R$1200,ROW())="起票済"</formula>
    </cfRule>
  </conditionalFormatting>
  <conditionalFormatting sqref="B786:P796 H797:P797 B798:P804 D805:G810 I805:J810 L805:M810 O805:P810 B811:P814 D815:G818 I815:J818 L815:M818 O815:P818 B819:P819 D820:G820 I820:J820 L820:M820 O820:P820 B821:P824 D825:G825 I825:J825 L825:M825 O825:P825 B826:P826 H827:P827 B828:P835 B836:G838 B839:E842 G839:P842 B843:P843 H844 J844:K844 M844:N844 P844">
    <cfRule type="expression" priority="50" aboveAverage="0" equalAverage="0" bottom="0" percent="0" rank="0" text="" dxfId="24">
      <formula>INDEX($R$1:$R$1200,ROW())="未受領"</formula>
    </cfRule>
    <cfRule type="expression" priority="51" aboveAverage="0" equalAverage="0" bottom="0" percent="0" rank="0" text="" dxfId="25">
      <formula>INDEX($R$1:$R$1200,ROW())="受領済"</formula>
    </cfRule>
    <cfRule type="expression" priority="52" aboveAverage="0" equalAverage="0" bottom="0" percent="0" rank="0" text="" dxfId="26">
      <formula>INDEX($R$1:$R$1200,ROW())="入金確認済"</formula>
    </cfRule>
    <cfRule type="expression" priority="53" aboveAverage="0" equalAverage="0" bottom="0" percent="0" rank="0" text="" dxfId="26">
      <formula>INDEX($R$1:$R$1200,ROW())="起票済"</formula>
    </cfRule>
  </conditionalFormatting>
  <conditionalFormatting sqref="B851:P861 H862:P862 B863:P869 D870:G875 I870:J875 L870:M875 O870:P875 B876:P877 D878:G878 B879:P879 D880:G883 I880:J883 L880:M883 O880:P883 B884:P884 D885:G885 I885:J885 L885:M885 O885:P885 B886:P886 B889:P889 D890:G890 I890:J890 L890:M890 O890:P890 B891:P891 H892:P892 B893:P900 B901:H901 J901:K901 M901:N901 P901 B902:G903 B904:E907 G904:P907 B908:P908">
    <cfRule type="expression" priority="54" aboveAverage="0" equalAverage="0" bottom="0" percent="0" rank="0" text="" dxfId="24">
      <formula>INDEX($R$1:$R$1200,ROW())="未受領"</formula>
    </cfRule>
    <cfRule type="expression" priority="55" aboveAverage="0" equalAverage="0" bottom="0" percent="0" rank="0" text="" dxfId="25">
      <formula>INDEX($R$1:$R$1200,ROW())="受領済"</formula>
    </cfRule>
    <cfRule type="expression" priority="56" aboveAverage="0" equalAverage="0" bottom="0" percent="0" rank="0" text="" dxfId="26">
      <formula>INDEX($R$1:$R$1200,ROW())="入金確認済"</formula>
    </cfRule>
    <cfRule type="expression" priority="57" aboveAverage="0" equalAverage="0" bottom="0" percent="0" rank="0" text="" dxfId="26">
      <formula>INDEX($R$1:$R$1200,ROW())="起票済"</formula>
    </cfRule>
  </conditionalFormatting>
  <conditionalFormatting sqref="B916:P926 H927:P927 B928:P934 D935:G940 I935:J940 L935:M940 O935:P940 B941:P944 D945:G948 I945:J948 L945:M948 O945:P948 B949:P949 D950:G950 I950:J950 L950:M950 O950:P950 B951:P954 D955:G955 I955:J955 L955:M955 O955:P955 B956:P956 H957:P957 B958:P965 B966:H966 J966:K966 M966:N966 P966 B967:G968 B969:E972 G969:P972 B973:P973 H974 J974:K974 M974:N974 P974">
    <cfRule type="expression" priority="58" aboveAverage="0" equalAverage="0" bottom="0" percent="0" rank="0" text="" dxfId="24">
      <formula>INDEX($R$1:$R$1200,ROW())="未受領"</formula>
    </cfRule>
    <cfRule type="expression" priority="59" aboveAverage="0" equalAverage="0" bottom="0" percent="0" rank="0" text="" dxfId="25">
      <formula>INDEX($R$1:$R$1200,ROW())="受領済"</formula>
    </cfRule>
    <cfRule type="expression" priority="60" aboveAverage="0" equalAverage="0" bottom="0" percent="0" rank="0" text="" dxfId="26">
      <formula>INDEX($R$1:$R$1200,ROW())="入金確認済"</formula>
    </cfRule>
    <cfRule type="expression" priority="61" aboveAverage="0" equalAverage="0" bottom="0" percent="0" rank="0" text="" dxfId="26">
      <formula>INDEX($R$1:$R$1200,ROW())="起票済"</formula>
    </cfRule>
  </conditionalFormatting>
  <printOptions headings="false" gridLines="false" gridLinesSet="true" horizontalCentered="true" verticalCentered="false"/>
  <pageMargins left="0.196527777777778" right="0.196527777777778" top="0.39375" bottom="0.196527777777778" header="0.511811023622047" footer="0.511811023622047"/>
  <pageSetup paperSize="9" scale="67" fitToWidth="1" fitToHeight="1" pageOrder="downThenOver" orientation="portrait" blackAndWhite="false" draft="false" cellComments="none" horizontalDpi="300" verticalDpi="300" copies="1"/>
  <headerFooter differentFirst="false" differentOddEven="false">
    <oddHeader/>
    <oddFooter/>
  </headerFooter>
  <rowBreaks count="18" manualBreakCount="18">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brk id="1127" man="true" max="16383" min="0"/>
  </rowBreaks>
  <colBreaks count="3" manualBreakCount="3">
    <brk id="7" man="true" max="65535" min="0"/>
    <brk id="10" man="true" max="65535" min="0"/>
    <brk id="13" man="true" max="65535" min="0"/>
  </colBreaks>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9296875" defaultRowHeight="17.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Q1192"/>
  <sheetViews>
    <sheetView showFormulas="false" showGridLines="false" showRowColHeaders="true" showZeros="true" rightToLeft="false" tabSelected="false" showOutlineSymbols="true" defaultGridColor="true" view="normal" topLeftCell="A939" colorId="64" zoomScale="85" zoomScaleNormal="85" zoomScalePageLayoutView="80" workbookViewId="0">
      <pane xSplit="1" ySplit="0" topLeftCell="B939" activePane="topRight" state="frozen"/>
      <selection pane="topLeft" activeCell="A939" activeCellId="0" sqref="A939"/>
      <selection pane="topRight" activeCell="E960" activeCellId="0" sqref="E960"/>
    </sheetView>
  </sheetViews>
  <sheetFormatPr defaultColWidth="8.79296875" defaultRowHeight="17.25" zeroHeight="false" outlineLevelRow="0" outlineLevelCol="0"/>
  <cols>
    <col collapsed="false" customWidth="true" hidden="false" outlineLevel="0" max="1" min="1" style="607" width="17.19"/>
    <col collapsed="false" customWidth="true" hidden="false" outlineLevel="0" max="6" min="2" style="607" width="12.99"/>
    <col collapsed="false" customWidth="true" hidden="false" outlineLevel="0" max="7" min="7" style="607" width="14.29"/>
    <col collapsed="false" customWidth="true" hidden="false" outlineLevel="0" max="16" min="8" style="607" width="20.69"/>
  </cols>
  <sheetData>
    <row r="1" customFormat="false" ht="18.75" hidden="false" customHeight="true" outlineLevel="0" collapsed="false">
      <c r="A1" s="608"/>
      <c r="B1" s="108"/>
      <c r="C1" s="108"/>
      <c r="D1" s="108"/>
      <c r="E1" s="108"/>
      <c r="F1" s="108"/>
      <c r="G1" s="108"/>
      <c r="H1" s="108"/>
      <c r="I1" s="108"/>
      <c r="J1" s="108"/>
      <c r="K1" s="108"/>
      <c r="L1" s="108"/>
      <c r="M1" s="108"/>
      <c r="N1" s="108"/>
      <c r="O1" s="108"/>
      <c r="P1" s="108"/>
      <c r="Q1" s="609"/>
    </row>
    <row r="2" customFormat="false" ht="30" hidden="false" customHeight="true" outlineLevel="0" collapsed="false">
      <c r="A2" s="610"/>
      <c r="B2" s="416" t="n">
        <f aca="false">'☆掛負収入'!B2</f>
        <v>46113</v>
      </c>
      <c r="C2" s="416" t="n">
        <f aca="false">'☆掛負収入'!C2</f>
        <v>0</v>
      </c>
      <c r="D2" s="416" t="n">
        <f aca="false">'☆掛負収入'!D2</f>
        <v>0</v>
      </c>
      <c r="E2" s="416" t="n">
        <f aca="false">'☆掛負収入'!E2</f>
        <v>0</v>
      </c>
      <c r="F2" s="416" t="n">
        <f aca="false">'☆掛負収入'!F2</f>
        <v>0</v>
      </c>
      <c r="G2" s="416" t="n">
        <f aca="false">'☆掛負収入'!G2</f>
        <v>0</v>
      </c>
      <c r="H2" s="416" t="n">
        <f aca="false">'☆掛負収入'!H2</f>
        <v>46113</v>
      </c>
      <c r="I2" s="416" t="n">
        <f aca="false">'☆掛負収入'!I2</f>
        <v>0</v>
      </c>
      <c r="J2" s="416" t="n">
        <f aca="false">'☆掛負収入'!J2</f>
        <v>0</v>
      </c>
      <c r="K2" s="416" t="n">
        <f aca="false">'☆掛負収入'!K2</f>
        <v>46113</v>
      </c>
      <c r="L2" s="416" t="n">
        <f aca="false">'☆掛負収入'!L2</f>
        <v>0</v>
      </c>
      <c r="M2" s="416" t="n">
        <f aca="false">'☆掛負収入'!M2</f>
        <v>0</v>
      </c>
      <c r="N2" s="416" t="n">
        <f aca="false">'☆掛負収入'!N2</f>
        <v>46113</v>
      </c>
      <c r="O2" s="416" t="n">
        <f aca="false">'☆掛負収入'!O2</f>
        <v>0</v>
      </c>
      <c r="P2" s="416" t="n">
        <f aca="false">'☆掛負収入'!P2</f>
        <v>0</v>
      </c>
      <c r="Q2" s="609"/>
    </row>
    <row r="3" customFormat="false" ht="22.5" hidden="false" customHeight="true" outlineLevel="0" collapsed="false">
      <c r="A3" s="114" t="str">
        <f aca="false">'☆掛負収入'!A3</f>
        <v>区　　分</v>
      </c>
      <c r="B3" s="114" t="str">
        <f aca="false">'☆掛負収入'!B3</f>
        <v>長　期　経　理</v>
      </c>
      <c r="C3" s="114" t="n">
        <f aca="false">'☆掛負収入'!C3</f>
        <v>0</v>
      </c>
      <c r="D3" s="114" t="n">
        <f aca="false">'☆掛負収入'!D3</f>
        <v>0</v>
      </c>
      <c r="E3" s="114" t="n">
        <f aca="false">'☆掛負収入'!E3</f>
        <v>0</v>
      </c>
      <c r="F3" s="114" t="n">
        <f aca="false">'☆掛負収入'!F3</f>
        <v>0</v>
      </c>
      <c r="G3" s="114" t="n">
        <f aca="false">'☆掛負収入'!G3</f>
        <v>0</v>
      </c>
      <c r="H3" s="116" t="str">
        <f aca="false">'☆掛負収入'!H3</f>
        <v>短　期　経　理</v>
      </c>
      <c r="I3" s="116" t="n">
        <f aca="false">'☆掛負収入'!I3</f>
        <v>0</v>
      </c>
      <c r="J3" s="116" t="n">
        <f aca="false">'☆掛負収入'!J3</f>
        <v>0</v>
      </c>
      <c r="K3" s="116" t="str">
        <f aca="false">'☆掛負収入'!K3</f>
        <v>介　護　納　付　金</v>
      </c>
      <c r="L3" s="116" t="n">
        <f aca="false">'☆掛負収入'!L3</f>
        <v>0</v>
      </c>
      <c r="M3" s="116" t="n">
        <f aca="false">'☆掛負収入'!M3</f>
        <v>0</v>
      </c>
      <c r="N3" s="116" t="str">
        <f aca="false">'☆掛負収入'!N3</f>
        <v>子ども・子育て支援納付金</v>
      </c>
      <c r="O3" s="116" t="n">
        <f aca="false">'☆掛負収入'!O3</f>
        <v>0</v>
      </c>
      <c r="P3" s="116" t="n">
        <f aca="false">'☆掛負収入'!P3</f>
        <v>0</v>
      </c>
    </row>
    <row r="4" customFormat="false" ht="22.5" hidden="false" customHeight="true" outlineLevel="0" collapsed="false">
      <c r="A4" s="114" t="n">
        <f aca="false">'☆掛負収入'!A4</f>
        <v>0</v>
      </c>
      <c r="B4" s="117" t="str">
        <f aca="false">'☆掛負収入'!B4</f>
        <v>組合員負担分</v>
      </c>
      <c r="C4" s="117" t="n">
        <f aca="false">'☆掛負収入'!C4</f>
        <v>0</v>
      </c>
      <c r="D4" s="117" t="str">
        <f aca="false">'☆掛負収入'!D4</f>
        <v>事業主負担分</v>
      </c>
      <c r="E4" s="117" t="n">
        <f aca="false">'☆掛負収入'!E4</f>
        <v>0</v>
      </c>
      <c r="F4" s="117" t="n">
        <f aca="false">'☆掛負収入'!F4</f>
        <v>0</v>
      </c>
      <c r="G4" s="611" t="str">
        <f aca="false">'☆掛負収入'!G4</f>
        <v>計</v>
      </c>
      <c r="H4" s="121" t="str">
        <f aca="false">'☆掛負収入'!H4</f>
        <v>掛　金</v>
      </c>
      <c r="I4" s="119" t="str">
        <f aca="false">'☆掛負収入'!I4</f>
        <v>負担金</v>
      </c>
      <c r="J4" s="120" t="str">
        <f aca="false">'☆掛負収入'!J4</f>
        <v>計</v>
      </c>
      <c r="K4" s="121" t="str">
        <f aca="false">'☆掛負収入'!K4</f>
        <v>掛　金</v>
      </c>
      <c r="L4" s="119" t="str">
        <f aca="false">'☆掛負収入'!L4</f>
        <v>負担金</v>
      </c>
      <c r="M4" s="120" t="str">
        <f aca="false">'☆掛負収入'!M4</f>
        <v>計</v>
      </c>
      <c r="N4" s="121" t="str">
        <f aca="false">'☆掛負収入'!N4</f>
        <v>掛　金</v>
      </c>
      <c r="O4" s="119" t="str">
        <f aca="false">'☆掛負収入'!O4</f>
        <v>負担金</v>
      </c>
      <c r="P4" s="120" t="str">
        <f aca="false">'☆掛負収入'!P4</f>
        <v>計</v>
      </c>
    </row>
    <row r="5" customFormat="false" ht="22.5" hidden="false" customHeight="true" outlineLevel="0" collapsed="false">
      <c r="A5" s="114" t="n">
        <f aca="false">'☆掛負収入'!A5</f>
        <v>0</v>
      </c>
      <c r="B5" s="612" t="str">
        <f aca="false">'☆掛負収入'!B5</f>
        <v>厚生年金保険料</v>
      </c>
      <c r="C5" s="613" t="str">
        <f aca="false">'☆掛負収入'!C5</f>
        <v>退職等年金掛金</v>
      </c>
      <c r="D5" s="614" t="str">
        <f aca="false">'☆掛負収入'!D5</f>
        <v>厚生年金保険料</v>
      </c>
      <c r="E5" s="614" t="str">
        <f aca="false">'☆掛負収入'!E5</f>
        <v>退職等年金負担金</v>
      </c>
      <c r="F5" s="615" t="str">
        <f aca="false">'☆掛負収入'!F5</f>
        <v>経過的長期</v>
      </c>
      <c r="G5" s="611" t="n">
        <f aca="false">'☆掛負収入'!G5</f>
        <v>0</v>
      </c>
      <c r="H5" s="121" t="n">
        <f aca="false">'☆掛負収入'!H5</f>
        <v>0</v>
      </c>
      <c r="I5" s="119" t="n">
        <f aca="false">'☆掛負収入'!I5</f>
        <v>0</v>
      </c>
      <c r="J5" s="120" t="n">
        <f aca="false">'☆掛負収入'!J5</f>
        <v>0</v>
      </c>
      <c r="K5" s="121" t="n">
        <f aca="false">'☆掛負収入'!K5</f>
        <v>0</v>
      </c>
      <c r="L5" s="119" t="n">
        <f aca="false">'☆掛負収入'!L5</f>
        <v>0</v>
      </c>
      <c r="M5" s="120" t="n">
        <f aca="false">'☆掛負収入'!M5</f>
        <v>0</v>
      </c>
      <c r="N5" s="121" t="n">
        <f aca="false">'☆掛負収入'!N5</f>
        <v>0</v>
      </c>
      <c r="O5" s="119" t="n">
        <f aca="false">'☆掛負収入'!O5</f>
        <v>0</v>
      </c>
      <c r="P5" s="120" t="n">
        <f aca="false">'☆掛負収入'!P5</f>
        <v>0</v>
      </c>
    </row>
    <row r="6" customFormat="false" ht="18.75" hidden="false" customHeight="true" outlineLevel="0" collapsed="false">
      <c r="A6" s="125" t="str">
        <f aca="false">'☆掛負収入'!A6</f>
        <v>市長部局</v>
      </c>
      <c r="B6" s="616"/>
      <c r="C6" s="389"/>
      <c r="D6" s="617"/>
      <c r="E6" s="617"/>
      <c r="F6" s="209"/>
      <c r="G6" s="389"/>
      <c r="H6" s="616"/>
      <c r="I6" s="618"/>
      <c r="J6" s="206"/>
      <c r="K6" s="619"/>
      <c r="L6" s="618"/>
      <c r="M6" s="206"/>
      <c r="N6" s="619"/>
      <c r="O6" s="618"/>
      <c r="P6" s="206"/>
    </row>
    <row r="7" customFormat="false" ht="18.75" hidden="false" customHeight="true" outlineLevel="0" collapsed="false">
      <c r="A7" s="125" t="str">
        <f aca="false">'☆掛負収入'!A7</f>
        <v>下水道局</v>
      </c>
      <c r="B7" s="431"/>
      <c r="C7" s="206"/>
      <c r="D7" s="617"/>
      <c r="E7" s="617"/>
      <c r="F7" s="160"/>
      <c r="G7" s="206"/>
      <c r="H7" s="619"/>
      <c r="I7" s="449"/>
      <c r="J7" s="160"/>
      <c r="K7" s="620"/>
      <c r="L7" s="621"/>
      <c r="M7" s="160"/>
      <c r="N7" s="620"/>
      <c r="O7" s="621"/>
      <c r="P7" s="160"/>
    </row>
    <row r="8" customFormat="false" ht="18.75" hidden="false" customHeight="true" outlineLevel="0" collapsed="false">
      <c r="A8" s="125" t="str">
        <f aca="false">'☆掛負収入'!A8</f>
        <v>消防局</v>
      </c>
      <c r="B8" s="431"/>
      <c r="C8" s="206"/>
      <c r="D8" s="617"/>
      <c r="E8" s="617"/>
      <c r="F8" s="160"/>
      <c r="G8" s="206"/>
      <c r="H8" s="620"/>
      <c r="I8" s="464"/>
      <c r="J8" s="160"/>
      <c r="K8" s="620"/>
      <c r="L8" s="464"/>
      <c r="M8" s="160"/>
      <c r="N8" s="620"/>
      <c r="O8" s="464"/>
      <c r="P8" s="160"/>
    </row>
    <row r="9" customFormat="false" ht="18.75" hidden="false" customHeight="true" outlineLevel="0" collapsed="false">
      <c r="A9" s="125" t="str">
        <f aca="false">'☆掛負収入'!A9</f>
        <v>議会事務局</v>
      </c>
      <c r="B9" s="431"/>
      <c r="C9" s="206"/>
      <c r="D9" s="617"/>
      <c r="E9" s="617"/>
      <c r="F9" s="160"/>
      <c r="G9" s="206"/>
      <c r="H9" s="431"/>
      <c r="I9" s="464"/>
      <c r="J9" s="160"/>
      <c r="K9" s="431"/>
      <c r="L9" s="464"/>
      <c r="M9" s="160"/>
      <c r="N9" s="431"/>
      <c r="O9" s="464"/>
      <c r="P9" s="160"/>
    </row>
    <row r="10" customFormat="false" ht="18.75" hidden="false" customHeight="true" outlineLevel="0" collapsed="false">
      <c r="A10" s="125" t="str">
        <f aca="false">'☆掛負収入'!A10</f>
        <v>教育委員会（総務課）</v>
      </c>
      <c r="B10" s="431"/>
      <c r="C10" s="206"/>
      <c r="D10" s="617"/>
      <c r="E10" s="617"/>
      <c r="F10" s="160"/>
      <c r="G10" s="206"/>
      <c r="H10" s="431"/>
      <c r="I10" s="464"/>
      <c r="J10" s="160"/>
      <c r="K10" s="431"/>
      <c r="L10" s="464"/>
      <c r="M10" s="160"/>
      <c r="N10" s="431"/>
      <c r="O10" s="464"/>
      <c r="P10" s="160"/>
    </row>
    <row r="11" customFormat="false" ht="18.75" hidden="false" customHeight="true" outlineLevel="0" collapsed="false">
      <c r="A11" s="125" t="str">
        <f aca="false">'☆掛負収入'!A11</f>
        <v>選挙管理委員会</v>
      </c>
      <c r="B11" s="431"/>
      <c r="C11" s="206"/>
      <c r="D11" s="617"/>
      <c r="E11" s="617"/>
      <c r="F11" s="160"/>
      <c r="G11" s="206"/>
      <c r="H11" s="619"/>
      <c r="I11" s="449"/>
      <c r="J11" s="160"/>
      <c r="K11" s="431"/>
      <c r="L11" s="464"/>
      <c r="M11" s="160"/>
      <c r="N11" s="431"/>
      <c r="O11" s="464"/>
      <c r="P11" s="160"/>
    </row>
    <row r="12" customFormat="false" ht="18.75" hidden="false" customHeight="true" outlineLevel="0" collapsed="false">
      <c r="A12" s="125" t="str">
        <f aca="false">'☆掛負収入'!A12</f>
        <v>人事委員会</v>
      </c>
      <c r="B12" s="431"/>
      <c r="C12" s="206"/>
      <c r="D12" s="617"/>
      <c r="E12" s="617"/>
      <c r="F12" s="160"/>
      <c r="G12" s="206"/>
      <c r="H12" s="619"/>
      <c r="I12" s="449"/>
      <c r="J12" s="160"/>
      <c r="K12" s="619"/>
      <c r="L12" s="449"/>
      <c r="M12" s="160"/>
      <c r="N12" s="619"/>
      <c r="O12" s="449"/>
      <c r="P12" s="160"/>
    </row>
    <row r="13" customFormat="false" ht="18.75" hidden="false" customHeight="true" outlineLevel="0" collapsed="false">
      <c r="A13" s="125" t="str">
        <f aca="false">'☆掛負収入'!A13</f>
        <v>監査事務局</v>
      </c>
      <c r="B13" s="431"/>
      <c r="C13" s="206"/>
      <c r="D13" s="617"/>
      <c r="E13" s="617"/>
      <c r="F13" s="160"/>
      <c r="G13" s="206"/>
      <c r="H13" s="619"/>
      <c r="I13" s="449"/>
      <c r="J13" s="160"/>
      <c r="K13" s="619"/>
      <c r="L13" s="449"/>
      <c r="M13" s="160"/>
      <c r="N13" s="619"/>
      <c r="O13" s="449"/>
      <c r="P13" s="160"/>
    </row>
    <row r="14" customFormat="false" ht="18.75" hidden="false" customHeight="true" outlineLevel="0" collapsed="false">
      <c r="A14" s="125" t="str">
        <f aca="false">'☆掛負収入'!A14</f>
        <v>農業委員会</v>
      </c>
      <c r="B14" s="431"/>
      <c r="C14" s="206"/>
      <c r="D14" s="617"/>
      <c r="E14" s="617"/>
      <c r="F14" s="160"/>
      <c r="G14" s="206"/>
      <c r="H14" s="619"/>
      <c r="I14" s="449"/>
      <c r="J14" s="160"/>
      <c r="K14" s="619"/>
      <c r="L14" s="449"/>
      <c r="M14" s="160"/>
      <c r="N14" s="619"/>
      <c r="O14" s="449"/>
      <c r="P14" s="160"/>
    </row>
    <row r="15" customFormat="false" ht="18.75" hidden="false" customHeight="true" outlineLevel="0" collapsed="false">
      <c r="A15" s="125" t="str">
        <f aca="false">'☆掛負収入'!A15</f>
        <v>水道局</v>
      </c>
      <c r="B15" s="431"/>
      <c r="C15" s="206"/>
      <c r="D15" s="617"/>
      <c r="E15" s="617"/>
      <c r="F15" s="160"/>
      <c r="G15" s="206"/>
      <c r="H15" s="619"/>
      <c r="I15" s="449"/>
      <c r="J15" s="160"/>
      <c r="K15" s="619"/>
      <c r="L15" s="449"/>
      <c r="M15" s="160"/>
      <c r="N15" s="619"/>
      <c r="O15" s="449"/>
      <c r="P15" s="160"/>
    </row>
    <row r="16" customFormat="false" ht="18.75" hidden="false" customHeight="true" outlineLevel="0" collapsed="false">
      <c r="A16" s="146" t="str">
        <f aca="false">'☆掛負収入'!A16</f>
        <v>医療政策課(安芸市民)</v>
      </c>
      <c r="B16" s="620"/>
      <c r="C16" s="391"/>
      <c r="D16" s="620"/>
      <c r="E16" s="621"/>
      <c r="F16" s="418"/>
      <c r="G16" s="206"/>
      <c r="H16" s="622"/>
      <c r="I16" s="432"/>
      <c r="J16" s="160"/>
      <c r="K16" s="619"/>
      <c r="L16" s="449"/>
      <c r="M16" s="160"/>
      <c r="N16" s="619"/>
      <c r="O16" s="449"/>
      <c r="P16" s="160"/>
    </row>
    <row r="17" customFormat="false" ht="18.75" hidden="false" customHeight="true" outlineLevel="0" collapsed="false">
      <c r="A17" s="146" t="str">
        <f aca="false">'☆掛負収入'!A17</f>
        <v>教育委員会（教育給与課）</v>
      </c>
      <c r="B17" s="620"/>
      <c r="C17" s="206"/>
      <c r="D17" s="431"/>
      <c r="E17" s="623"/>
      <c r="F17" s="309"/>
      <c r="G17" s="206"/>
      <c r="H17" s="619"/>
      <c r="I17" s="449"/>
      <c r="J17" s="160"/>
      <c r="K17" s="619"/>
      <c r="L17" s="449"/>
      <c r="M17" s="160"/>
      <c r="N17" s="619"/>
      <c r="O17" s="449"/>
      <c r="P17" s="160"/>
    </row>
    <row r="18" customFormat="false" ht="18.75" hidden="true" customHeight="true" outlineLevel="0" collapsed="false">
      <c r="A18" s="624" t="str">
        <f aca="false">'☆掛負収入'!A18</f>
        <v>　</v>
      </c>
      <c r="B18" s="625"/>
      <c r="C18" s="235"/>
      <c r="D18" s="625"/>
      <c r="E18" s="626"/>
      <c r="F18" s="221"/>
      <c r="G18" s="206"/>
      <c r="H18" s="627"/>
      <c r="I18" s="628"/>
      <c r="J18" s="160"/>
      <c r="K18" s="627"/>
      <c r="L18" s="628"/>
      <c r="M18" s="160"/>
      <c r="N18" s="627"/>
      <c r="O18" s="628"/>
      <c r="P18" s="160"/>
    </row>
    <row r="19" customFormat="false" ht="18.75" hidden="true" customHeight="true" outlineLevel="0" collapsed="false">
      <c r="A19" s="629" t="str">
        <f aca="false">'☆掛負収入'!A19</f>
        <v>　</v>
      </c>
      <c r="B19" s="482"/>
      <c r="C19" s="157"/>
      <c r="D19" s="482"/>
      <c r="E19" s="483"/>
      <c r="F19" s="484"/>
      <c r="G19" s="206"/>
      <c r="H19" s="482"/>
      <c r="I19" s="483"/>
      <c r="J19" s="160"/>
      <c r="K19" s="482"/>
      <c r="L19" s="483"/>
      <c r="M19" s="160"/>
      <c r="N19" s="482"/>
      <c r="O19" s="483"/>
      <c r="P19" s="160"/>
    </row>
    <row r="20" customFormat="false" ht="18.75" hidden="true" customHeight="true" outlineLevel="0" collapsed="false">
      <c r="A20" s="629" t="str">
        <f aca="false">'☆掛負収入'!A20</f>
        <v>　</v>
      </c>
      <c r="B20" s="625"/>
      <c r="C20" s="235"/>
      <c r="D20" s="625"/>
      <c r="E20" s="626"/>
      <c r="F20" s="221"/>
      <c r="G20" s="206"/>
      <c r="H20" s="625"/>
      <c r="I20" s="626"/>
      <c r="J20" s="160"/>
      <c r="K20" s="625"/>
      <c r="L20" s="626"/>
      <c r="M20" s="160"/>
      <c r="N20" s="625"/>
      <c r="O20" s="626"/>
      <c r="P20" s="160"/>
    </row>
    <row r="21" customFormat="false" ht="18.75" hidden="true" customHeight="true" outlineLevel="0" collapsed="false">
      <c r="A21" s="630" t="str">
        <f aca="false">'☆掛負収入'!A21</f>
        <v>　</v>
      </c>
      <c r="B21" s="631"/>
      <c r="C21" s="632"/>
      <c r="D21" s="631"/>
      <c r="E21" s="515"/>
      <c r="F21" s="633"/>
      <c r="G21" s="206"/>
      <c r="H21" s="482"/>
      <c r="I21" s="634"/>
      <c r="J21" s="160"/>
      <c r="K21" s="482"/>
      <c r="L21" s="483"/>
      <c r="M21" s="160"/>
      <c r="N21" s="482"/>
      <c r="O21" s="483"/>
      <c r="P21" s="160"/>
    </row>
    <row r="22" customFormat="false" ht="18.75" hidden="false" customHeight="true" outlineLevel="0" collapsed="false">
      <c r="A22" s="196" t="str">
        <f aca="false">'☆掛負収入'!A22</f>
        <v>小　計</v>
      </c>
      <c r="B22" s="429"/>
      <c r="C22" s="199"/>
      <c r="D22" s="429"/>
      <c r="E22" s="199"/>
      <c r="F22" s="200"/>
      <c r="G22" s="201"/>
      <c r="H22" s="429"/>
      <c r="I22" s="199"/>
      <c r="J22" s="198"/>
      <c r="K22" s="429"/>
      <c r="L22" s="199"/>
      <c r="M22" s="201"/>
      <c r="N22" s="429"/>
      <c r="O22" s="199"/>
      <c r="P22" s="201"/>
    </row>
    <row r="23" customFormat="false" ht="18.75" hidden="false" customHeight="true" outlineLevel="0" collapsed="false">
      <c r="A23" s="635" t="str">
        <f aca="false">'☆掛負収入'!A23</f>
        <v>地方税共同機構</v>
      </c>
      <c r="B23" s="469" t="n">
        <f aca="false">'☆掛負収入'!B23</f>
        <v>0</v>
      </c>
      <c r="C23" s="260" t="n">
        <f aca="false">'☆掛負収入'!C23</f>
        <v>0</v>
      </c>
      <c r="D23" s="636" t="n">
        <f aca="false">'☆掛負収入'!D23</f>
        <v>0</v>
      </c>
      <c r="E23" s="472" t="n">
        <f aca="false">'☆掛負収入'!E23</f>
        <v>0</v>
      </c>
      <c r="F23" s="471" t="n">
        <f aca="false">'☆掛負収入'!F23</f>
        <v>0</v>
      </c>
      <c r="G23" s="206" t="n">
        <f aca="false">SUM(B23:F23)</f>
        <v>0</v>
      </c>
      <c r="H23" s="619" t="n">
        <f aca="false">'☆掛負収入'!H23</f>
        <v>0</v>
      </c>
      <c r="I23" s="449" t="n">
        <f aca="false">'☆掛負収入'!I23</f>
        <v>0</v>
      </c>
      <c r="J23" s="160" t="n">
        <f aca="false">SUM(H23:I23)</f>
        <v>0</v>
      </c>
      <c r="K23" s="464" t="n">
        <f aca="false">'☆掛負収入'!K23</f>
        <v>0</v>
      </c>
      <c r="L23" s="449" t="n">
        <f aca="false">'☆掛負収入'!L23</f>
        <v>0</v>
      </c>
      <c r="M23" s="160" t="n">
        <f aca="false">SUM(K23:L23)</f>
        <v>0</v>
      </c>
      <c r="N23" s="464" t="n">
        <f aca="false">'☆掛負収入'!N23</f>
        <v>0</v>
      </c>
      <c r="O23" s="449" t="n">
        <f aca="false">'☆掛負収入'!O23</f>
        <v>0</v>
      </c>
      <c r="P23" s="160" t="n">
        <f aca="false">SUM(N23:O23)</f>
        <v>0</v>
      </c>
    </row>
    <row r="24" customFormat="false" ht="18.75" hidden="false" customHeight="true" outlineLevel="0" collapsed="false">
      <c r="A24" s="366" t="str">
        <f aca="false">'☆掛負収入'!A24</f>
        <v>平和文化センター</v>
      </c>
      <c r="B24" s="474" t="n">
        <f aca="false">'☆掛負収入'!B24</f>
        <v>0</v>
      </c>
      <c r="C24" s="402" t="n">
        <f aca="false">'☆掛負収入'!C24</f>
        <v>0</v>
      </c>
      <c r="D24" s="489" t="n">
        <f aca="false">'☆掛負収入'!D24</f>
        <v>765855</v>
      </c>
      <c r="E24" s="477" t="n">
        <f aca="false">'☆掛負収入'!E24</f>
        <v>62775</v>
      </c>
      <c r="F24" s="248" t="n">
        <f aca="false">'☆掛負収入'!F24</f>
        <v>789</v>
      </c>
      <c r="G24" s="206" t="n">
        <f aca="false">SUM(B24:F24)</f>
        <v>829419</v>
      </c>
      <c r="H24" s="619" t="n">
        <f aca="false">'☆掛負収入'!H24</f>
        <v>0</v>
      </c>
      <c r="I24" s="449" t="n">
        <f aca="false">'☆掛負収入'!I24</f>
        <v>441236</v>
      </c>
      <c r="J24" s="160" t="n">
        <f aca="false">SUM(H24:I24)</f>
        <v>441236</v>
      </c>
      <c r="K24" s="464" t="n">
        <f aca="false">'☆掛負収入'!K24</f>
        <v>0</v>
      </c>
      <c r="L24" s="449" t="n">
        <f aca="false">'☆掛負収入'!L24</f>
        <v>54826</v>
      </c>
      <c r="M24" s="160" t="n">
        <f aca="false">SUM(K24:L24)</f>
        <v>54826</v>
      </c>
      <c r="N24" s="464" t="n">
        <f aca="false">'☆掛負収入'!N24</f>
        <v>0</v>
      </c>
      <c r="O24" s="449" t="n">
        <f aca="false">'☆掛負収入'!O24</f>
        <v>9775</v>
      </c>
      <c r="P24" s="160" t="n">
        <f aca="false">SUM(N24:O24)</f>
        <v>9775</v>
      </c>
    </row>
    <row r="25" customFormat="false" ht="18.75" hidden="false" customHeight="true" outlineLevel="0" collapsed="false">
      <c r="A25" s="366" t="str">
        <f aca="false">'☆掛負収入'!A25</f>
        <v>社会福祉事業団</v>
      </c>
      <c r="B25" s="625"/>
      <c r="C25" s="235"/>
      <c r="D25" s="476" t="n">
        <f aca="false">'☆掛負収入'!D25</f>
        <v>2045940</v>
      </c>
      <c r="E25" s="478" t="n">
        <f aca="false">'☆掛負収入'!E25</f>
        <v>167700</v>
      </c>
      <c r="F25" s="248" t="n">
        <f aca="false">'☆掛負収入'!F25</f>
        <v>1993</v>
      </c>
      <c r="G25" s="206" t="n">
        <f aca="false">SUM(B25:F25)</f>
        <v>2215633</v>
      </c>
      <c r="H25" s="627"/>
      <c r="I25" s="449" t="n">
        <f aca="false">'☆掛負収入'!I25</f>
        <v>1308159</v>
      </c>
      <c r="J25" s="160" t="n">
        <f aca="false">SUM(H25:I25)</f>
        <v>1308159</v>
      </c>
      <c r="K25" s="637"/>
      <c r="L25" s="449" t="n">
        <f aca="false">'☆掛負収入'!L25</f>
        <v>141726</v>
      </c>
      <c r="M25" s="160" t="n">
        <f aca="false">SUM(K25:L25)</f>
        <v>141726</v>
      </c>
      <c r="N25" s="637"/>
      <c r="O25" s="449" t="n">
        <f aca="false">'☆掛負収入'!O25</f>
        <v>28976</v>
      </c>
      <c r="P25" s="160" t="n">
        <f aca="false">SUM(N25:O25)</f>
        <v>28976</v>
      </c>
    </row>
    <row r="26" customFormat="false" ht="18.75" hidden="false" customHeight="true" outlineLevel="0" collapsed="false">
      <c r="A26" s="366" t="str">
        <f aca="false">'☆掛負収入'!A26</f>
        <v>原爆障害対策協議会</v>
      </c>
      <c r="B26" s="625"/>
      <c r="C26" s="235"/>
      <c r="D26" s="474" t="n">
        <f aca="false">'☆掛負収入'!D26</f>
        <v>59475</v>
      </c>
      <c r="E26" s="478" t="n">
        <f aca="false">'☆掛負収入'!E26</f>
        <v>4875</v>
      </c>
      <c r="F26" s="248" t="n">
        <f aca="false">'☆掛負収入'!F26</f>
        <v>56</v>
      </c>
      <c r="G26" s="206" t="n">
        <f aca="false">SUM(B26:F26)</f>
        <v>64406</v>
      </c>
      <c r="H26" s="627"/>
      <c r="I26" s="449" t="n">
        <f aca="false">'☆掛負収入'!I26</f>
        <v>36856</v>
      </c>
      <c r="J26" s="160" t="n">
        <f aca="false">SUM(H26:I26)</f>
        <v>36856</v>
      </c>
      <c r="K26" s="637"/>
      <c r="L26" s="449" t="n">
        <f aca="false">'☆掛負収入'!L26</f>
        <v>5609</v>
      </c>
      <c r="M26" s="160" t="n">
        <f aca="false">SUM(K26:L26)</f>
        <v>5609</v>
      </c>
      <c r="N26" s="637"/>
      <c r="O26" s="449" t="n">
        <f aca="false">'☆掛負収入'!O26</f>
        <v>816</v>
      </c>
      <c r="P26" s="160" t="n">
        <f aca="false">SUM(N26:O26)</f>
        <v>816</v>
      </c>
    </row>
    <row r="27" customFormat="false" ht="18.75" hidden="false" customHeight="true" outlineLevel="0" collapsed="false">
      <c r="A27" s="367" t="str">
        <f aca="false">'☆掛負収入'!A27</f>
        <v>産業振興センター</v>
      </c>
      <c r="B27" s="625"/>
      <c r="C27" s="235"/>
      <c r="D27" s="474" t="n">
        <f aca="false">'☆掛負収入'!D27</f>
        <v>417240</v>
      </c>
      <c r="E27" s="478" t="n">
        <f aca="false">'☆掛負収入'!E27</f>
        <v>34200</v>
      </c>
      <c r="F27" s="248" t="n">
        <f aca="false">'☆掛負収入'!F27</f>
        <v>395</v>
      </c>
      <c r="G27" s="206" t="n">
        <f aca="false">SUM(B27:F27)</f>
        <v>451835</v>
      </c>
      <c r="H27" s="627"/>
      <c r="I27" s="449" t="n">
        <f aca="false">'☆掛負収入'!I27</f>
        <v>236708</v>
      </c>
      <c r="J27" s="160" t="n">
        <f aca="false">SUM(H27:I27)</f>
        <v>236708</v>
      </c>
      <c r="K27" s="637"/>
      <c r="L27" s="449" t="n">
        <f aca="false">'☆掛負収入'!L27</f>
        <v>30968</v>
      </c>
      <c r="M27" s="160" t="n">
        <f aca="false">SUM(K27:L27)</f>
        <v>30968</v>
      </c>
      <c r="N27" s="637"/>
      <c r="O27" s="449" t="n">
        <f aca="false">'☆掛負収入'!O27</f>
        <v>5243</v>
      </c>
      <c r="P27" s="160" t="n">
        <f aca="false">SUM(N27:O27)</f>
        <v>5243</v>
      </c>
    </row>
    <row r="28" customFormat="false" ht="18.75" hidden="false" customHeight="true" outlineLevel="0" collapsed="false">
      <c r="A28" s="368" t="str">
        <f aca="false">'☆掛負収入'!A28</f>
        <v>ひろしま産業振興</v>
      </c>
      <c r="B28" s="625"/>
      <c r="C28" s="484"/>
      <c r="D28" s="474" t="n">
        <f aca="false">'☆掛負収入'!D28</f>
        <v>40260</v>
      </c>
      <c r="E28" s="478" t="n">
        <f aca="false">'☆掛負収入'!E28</f>
        <v>3300</v>
      </c>
      <c r="F28" s="479" t="n">
        <f aca="false">'☆掛負収入'!F28</f>
        <v>38</v>
      </c>
      <c r="G28" s="206" t="n">
        <f aca="false">SUM(B28:F28)</f>
        <v>43598</v>
      </c>
      <c r="H28" s="627"/>
      <c r="I28" s="432" t="n">
        <f aca="false">'☆掛負収入'!I28</f>
        <v>22840</v>
      </c>
      <c r="J28" s="160" t="n">
        <f aca="false">SUM(H28:I28)</f>
        <v>22840</v>
      </c>
      <c r="K28" s="637"/>
      <c r="L28" s="432" t="n">
        <f aca="false">'☆掛負収入'!L28</f>
        <v>3476</v>
      </c>
      <c r="M28" s="160" t="n">
        <f aca="false">SUM(K28:L28)</f>
        <v>3476</v>
      </c>
      <c r="N28" s="637"/>
      <c r="O28" s="432" t="n">
        <f aca="false">'☆掛負収入'!O28</f>
        <v>506</v>
      </c>
      <c r="P28" s="160" t="n">
        <f aca="false">SUM(N28:O28)</f>
        <v>506</v>
      </c>
    </row>
    <row r="29" customFormat="false" ht="18.75" hidden="false" customHeight="true" outlineLevel="0" collapsed="false">
      <c r="A29" s="368" t="str">
        <f aca="false">'☆掛負収入'!A29</f>
        <v>都市整備公社　市</v>
      </c>
      <c r="B29" s="625"/>
      <c r="C29" s="484"/>
      <c r="D29" s="476" t="n">
        <f aca="false">'☆掛負収入'!D29</f>
        <v>0</v>
      </c>
      <c r="E29" s="478" t="n">
        <f aca="false">'☆掛負収入'!E29</f>
        <v>0</v>
      </c>
      <c r="F29" s="248" t="n">
        <f aca="false">'☆掛負収入'!F29</f>
        <v>0</v>
      </c>
      <c r="G29" s="206" t="n">
        <f aca="false">SUM(B29:F29)</f>
        <v>0</v>
      </c>
      <c r="H29" s="627"/>
      <c r="I29" s="449" t="n">
        <f aca="false">'☆掛負収入'!I29</f>
        <v>0</v>
      </c>
      <c r="J29" s="160" t="n">
        <f aca="false">SUM(H29:I29)</f>
        <v>0</v>
      </c>
      <c r="K29" s="637"/>
      <c r="L29" s="449" t="n">
        <f aca="false">'☆掛負収入'!L29</f>
        <v>0</v>
      </c>
      <c r="M29" s="160" t="n">
        <f aca="false">SUM(K29:L29)</f>
        <v>0</v>
      </c>
      <c r="N29" s="637"/>
      <c r="O29" s="449" t="n">
        <f aca="false">'☆掛負収入'!O29</f>
        <v>0</v>
      </c>
      <c r="P29" s="160" t="n">
        <f aca="false">SUM(N29:O29)</f>
        <v>0</v>
      </c>
    </row>
    <row r="30" customFormat="false" ht="18.75" hidden="false" customHeight="true" outlineLevel="0" collapsed="false">
      <c r="A30" s="369"/>
      <c r="B30" s="625"/>
      <c r="C30" s="221"/>
      <c r="D30" s="474"/>
      <c r="E30" s="478"/>
      <c r="F30" s="248"/>
      <c r="G30" s="206"/>
      <c r="H30" s="627"/>
      <c r="I30" s="449"/>
      <c r="J30" s="160"/>
      <c r="K30" s="637"/>
      <c r="L30" s="449"/>
      <c r="M30" s="160" t="n">
        <f aca="false">SUM(K30:L30)</f>
        <v>0</v>
      </c>
      <c r="N30" s="637"/>
      <c r="O30" s="449"/>
      <c r="P30" s="160" t="n">
        <f aca="false">SUM(N30:O30)</f>
        <v>0</v>
      </c>
    </row>
    <row r="31" customFormat="false" ht="18.75" hidden="false" customHeight="true" outlineLevel="0" collapsed="false">
      <c r="A31" s="366" t="str">
        <f aca="false">'☆掛負収入'!A31</f>
        <v>日本下水道事業団</v>
      </c>
      <c r="B31" s="476" t="n">
        <f aca="false">'☆掛負収入'!B31</f>
        <v>235155</v>
      </c>
      <c r="C31" s="248" t="n">
        <f aca="false">'☆掛負収入'!C31</f>
        <v>19275</v>
      </c>
      <c r="D31" s="474" t="n">
        <f aca="false">'☆掛負収入'!D31</f>
        <v>235155</v>
      </c>
      <c r="E31" s="478" t="n">
        <f aca="false">'☆掛負収入'!E31</f>
        <v>19275</v>
      </c>
      <c r="F31" s="248" t="n">
        <f aca="false">'☆掛負収入'!F31</f>
        <v>223</v>
      </c>
      <c r="G31" s="206" t="n">
        <f aca="false">SUM(B31:F31)</f>
        <v>509083</v>
      </c>
      <c r="H31" s="619" t="n">
        <f aca="false">'☆掛負収入'!H31</f>
        <v>134834</v>
      </c>
      <c r="I31" s="449" t="n">
        <f aca="false">'☆掛負収入'!I31</f>
        <v>134966</v>
      </c>
      <c r="J31" s="160" t="n">
        <f aca="false">SUM(H31:I31)</f>
        <v>269800</v>
      </c>
      <c r="K31" s="464" t="n">
        <f aca="false">'☆掛負収入'!K31</f>
        <v>10270</v>
      </c>
      <c r="L31" s="449" t="n">
        <f aca="false">'☆掛負収入'!L31</f>
        <v>10270</v>
      </c>
      <c r="M31" s="160" t="n">
        <f aca="false">SUM(K31:L31)</f>
        <v>20540</v>
      </c>
      <c r="N31" s="464" t="n">
        <f aca="false">'☆掛負収入'!N31</f>
        <v>2989</v>
      </c>
      <c r="O31" s="449" t="n">
        <f aca="false">'☆掛負収入'!O31</f>
        <v>2990</v>
      </c>
      <c r="P31" s="160" t="n">
        <f aca="false">SUM(N31:O31)</f>
        <v>5979</v>
      </c>
    </row>
    <row r="32" customFormat="false" ht="18.75" hidden="false" customHeight="true" outlineLevel="0" collapsed="false">
      <c r="A32" s="366" t="str">
        <f aca="false">'☆掛負収入'!A32</f>
        <v>地方公務員災害補償基金本部</v>
      </c>
      <c r="B32" s="625"/>
      <c r="C32" s="221"/>
      <c r="D32" s="474" t="n">
        <f aca="false">'☆掛負収入'!D32</f>
        <v>40260</v>
      </c>
      <c r="E32" s="478" t="n">
        <f aca="false">'☆掛負収入'!E32</f>
        <v>3300</v>
      </c>
      <c r="F32" s="248" t="n">
        <f aca="false">'☆掛負収入'!F32</f>
        <v>38</v>
      </c>
      <c r="G32" s="206" t="n">
        <f aca="false">SUM(B32:F32)</f>
        <v>43598</v>
      </c>
      <c r="H32" s="627"/>
      <c r="I32" s="449" t="n">
        <f aca="false">'☆掛負収入'!I32</f>
        <v>22840</v>
      </c>
      <c r="J32" s="160" t="n">
        <f aca="false">SUM(H32:I32)</f>
        <v>22840</v>
      </c>
      <c r="K32" s="637"/>
      <c r="L32" s="449" t="n">
        <f aca="false">'☆掛負収入'!L32</f>
        <v>0</v>
      </c>
      <c r="M32" s="160" t="n">
        <f aca="false">SUM(K32:L32)</f>
        <v>0</v>
      </c>
      <c r="N32" s="637"/>
      <c r="O32" s="449" t="n">
        <f aca="false">'☆掛負収入'!O32</f>
        <v>506</v>
      </c>
      <c r="P32" s="160" t="n">
        <f aca="false">SUM(N32:O32)</f>
        <v>506</v>
      </c>
    </row>
    <row r="33" customFormat="false" ht="18.75" hidden="false" customHeight="true" outlineLevel="0" collapsed="false">
      <c r="A33" s="370"/>
      <c r="B33" s="474"/>
      <c r="C33" s="248"/>
      <c r="D33" s="474"/>
      <c r="E33" s="478"/>
      <c r="F33" s="248"/>
      <c r="G33" s="206"/>
      <c r="H33" s="619"/>
      <c r="I33" s="449"/>
      <c r="J33" s="160"/>
      <c r="K33" s="464"/>
      <c r="L33" s="449"/>
      <c r="M33" s="160" t="n">
        <f aca="false">SUM(K33:L33)</f>
        <v>0</v>
      </c>
      <c r="N33" s="464"/>
      <c r="O33" s="449"/>
      <c r="P33" s="160" t="n">
        <f aca="false">SUM(N33:O33)</f>
        <v>0</v>
      </c>
    </row>
    <row r="34" customFormat="false" ht="18.75" hidden="false" customHeight="true" outlineLevel="0" collapsed="false">
      <c r="A34" s="366" t="str">
        <f aca="false">'☆掛負収入'!A34</f>
        <v>高速道路公社</v>
      </c>
      <c r="B34" s="489" t="n">
        <f aca="false">'☆掛負収入'!B34</f>
        <v>784155</v>
      </c>
      <c r="C34" s="479" t="n">
        <f aca="false">'☆掛負収入'!C34</f>
        <v>64275</v>
      </c>
      <c r="D34" s="489" t="n">
        <f aca="false">'☆掛負収入'!D34</f>
        <v>784155</v>
      </c>
      <c r="E34" s="495" t="n">
        <f aca="false">'☆掛負収入'!E34</f>
        <v>64275</v>
      </c>
      <c r="F34" s="491" t="n">
        <f aca="false">'☆掛負収入'!F34</f>
        <v>804</v>
      </c>
      <c r="G34" s="206" t="n">
        <f aca="false">SUM(B34:F34)</f>
        <v>1697664</v>
      </c>
      <c r="H34" s="638" t="n">
        <f aca="false">'☆掛負収入'!H34</f>
        <v>444434</v>
      </c>
      <c r="I34" s="639" t="n">
        <f aca="false">'☆掛負収入'!I34</f>
        <v>444868</v>
      </c>
      <c r="J34" s="160" t="n">
        <f aca="false">SUM(H34:I34)</f>
        <v>889302</v>
      </c>
      <c r="K34" s="640" t="n">
        <f aca="false">'☆掛負収入'!K34</f>
        <v>39342</v>
      </c>
      <c r="L34" s="639" t="n">
        <f aca="false">'☆掛負収入'!L34</f>
        <v>39342</v>
      </c>
      <c r="M34" s="160" t="n">
        <f aca="false">SUM(K34:L34)</f>
        <v>78684</v>
      </c>
      <c r="N34" s="640" t="n">
        <f aca="false">'☆掛負収入'!N34</f>
        <v>9851</v>
      </c>
      <c r="O34" s="639" t="n">
        <f aca="false">'☆掛負収入'!O34</f>
        <v>9855</v>
      </c>
      <c r="P34" s="160" t="n">
        <f aca="false">SUM(N34:O34)</f>
        <v>19706</v>
      </c>
    </row>
    <row r="35" customFormat="false" ht="18.75" hidden="false" customHeight="true" outlineLevel="0" collapsed="false">
      <c r="A35" s="366" t="str">
        <f aca="false">'☆掛負収入'!A35</f>
        <v>農林水産振興センタ</v>
      </c>
      <c r="B35" s="482"/>
      <c r="C35" s="484"/>
      <c r="D35" s="476" t="n">
        <f aca="false">'☆掛負収入'!D35</f>
        <v>602070</v>
      </c>
      <c r="E35" s="498" t="n">
        <f aca="false">'☆掛負収入'!E35</f>
        <v>49350</v>
      </c>
      <c r="F35" s="479" t="n">
        <f aca="false">'☆掛負収入'!F35</f>
        <v>598</v>
      </c>
      <c r="G35" s="206" t="n">
        <f aca="false">SUM(B35:F35)</f>
        <v>652018</v>
      </c>
      <c r="H35" s="641"/>
      <c r="I35" s="432" t="n">
        <f aca="false">'☆掛負収入'!I35</f>
        <v>341582</v>
      </c>
      <c r="J35" s="160" t="n">
        <f aca="false">SUM(H35:I35)</f>
        <v>341582</v>
      </c>
      <c r="K35" s="642"/>
      <c r="L35" s="432" t="n">
        <f aca="false">'☆掛負収入'!L35</f>
        <v>28203</v>
      </c>
      <c r="M35" s="160" t="n">
        <f aca="false">SUM(K35:L35)</f>
        <v>28203</v>
      </c>
      <c r="N35" s="642"/>
      <c r="O35" s="432" t="n">
        <f aca="false">'☆掛負収入'!O35</f>
        <v>7565</v>
      </c>
      <c r="P35" s="160" t="n">
        <f aca="false">SUM(N35:O35)</f>
        <v>7565</v>
      </c>
    </row>
    <row r="36" customFormat="false" ht="18.75" hidden="false" customHeight="true" outlineLevel="0" collapsed="false">
      <c r="A36" s="371" t="str">
        <f aca="false">'☆掛負収入'!A36</f>
        <v>文化財団　市長部局</v>
      </c>
      <c r="B36" s="625"/>
      <c r="C36" s="221"/>
      <c r="D36" s="474" t="n">
        <f aca="false">'☆掛負収入'!D36</f>
        <v>1056825</v>
      </c>
      <c r="E36" s="478" t="n">
        <f aca="false">'☆掛負収入'!E36</f>
        <v>86625</v>
      </c>
      <c r="F36" s="479" t="n">
        <f aca="false">'☆掛負収入'!F36</f>
        <v>1000</v>
      </c>
      <c r="G36" s="206" t="n">
        <f aca="false">SUM(B36:F36)</f>
        <v>1144450</v>
      </c>
      <c r="H36" s="627"/>
      <c r="I36" s="432" t="n">
        <f aca="false">'☆掛負収入'!I36</f>
        <v>602672</v>
      </c>
      <c r="J36" s="160" t="n">
        <f aca="false">SUM(H36:I36)</f>
        <v>602672</v>
      </c>
      <c r="K36" s="637"/>
      <c r="L36" s="432" t="n">
        <f aca="false">'☆掛負収入'!L36</f>
        <v>86347</v>
      </c>
      <c r="M36" s="160" t="n">
        <f aca="false">SUM(K36:L36)</f>
        <v>86347</v>
      </c>
      <c r="N36" s="637"/>
      <c r="O36" s="432" t="n">
        <f aca="false">'☆掛負収入'!O36</f>
        <v>13350</v>
      </c>
      <c r="P36" s="160" t="n">
        <f aca="false">SUM(N36:O36)</f>
        <v>13350</v>
      </c>
    </row>
    <row r="37" customFormat="false" ht="18.75" hidden="false" customHeight="true" outlineLevel="0" collapsed="false">
      <c r="A37" s="372"/>
      <c r="B37" s="625"/>
      <c r="C37" s="221"/>
      <c r="D37" s="474"/>
      <c r="E37" s="478"/>
      <c r="F37" s="479"/>
      <c r="G37" s="206"/>
      <c r="H37" s="627"/>
      <c r="I37" s="432"/>
      <c r="J37" s="160"/>
      <c r="K37" s="637"/>
      <c r="L37" s="432"/>
      <c r="M37" s="160" t="n">
        <f aca="false">SUM(K37:L37)</f>
        <v>0</v>
      </c>
      <c r="N37" s="637"/>
      <c r="O37" s="432"/>
      <c r="P37" s="160" t="n">
        <f aca="false">SUM(N37:O37)</f>
        <v>0</v>
      </c>
    </row>
    <row r="38" customFormat="false" ht="18.75" hidden="false" customHeight="true" outlineLevel="0" collapsed="false">
      <c r="A38" s="366" t="str">
        <f aca="false">'☆掛負収入'!A38</f>
        <v>みどり生きもの協会</v>
      </c>
      <c r="B38" s="625"/>
      <c r="C38" s="221"/>
      <c r="D38" s="474" t="n">
        <f aca="false">'☆掛負収入'!D38</f>
        <v>405345</v>
      </c>
      <c r="E38" s="478" t="n">
        <f aca="false">'☆掛負収入'!E38</f>
        <v>33225</v>
      </c>
      <c r="F38" s="479" t="n">
        <f aca="false">'☆掛負収入'!F38</f>
        <v>383</v>
      </c>
      <c r="G38" s="206" t="n">
        <f aca="false">SUM(B38:F38)</f>
        <v>438953</v>
      </c>
      <c r="H38" s="627"/>
      <c r="I38" s="432" t="n">
        <f aca="false">'☆掛負収入'!I38</f>
        <v>229959</v>
      </c>
      <c r="J38" s="160" t="n">
        <f aca="false">SUM(H38:I38)</f>
        <v>229959</v>
      </c>
      <c r="K38" s="637"/>
      <c r="L38" s="432" t="n">
        <f aca="false">'☆掛負収入'!L38</f>
        <v>34997</v>
      </c>
      <c r="M38" s="160" t="n">
        <f aca="false">SUM(K38:L38)</f>
        <v>34997</v>
      </c>
      <c r="N38" s="637"/>
      <c r="O38" s="432" t="n">
        <f aca="false">'☆掛負収入'!O38</f>
        <v>5093</v>
      </c>
      <c r="P38" s="160" t="n">
        <f aca="false">SUM(N38:O38)</f>
        <v>5093</v>
      </c>
    </row>
    <row r="39" customFormat="false" ht="18.75" hidden="false" customHeight="true" outlineLevel="0" collapsed="false">
      <c r="A39" s="368" t="str">
        <f aca="false">'☆掛負収入'!A39</f>
        <v>県下水道公社</v>
      </c>
      <c r="B39" s="474" t="n">
        <f aca="false">'☆掛負収入'!B39</f>
        <v>148230</v>
      </c>
      <c r="C39" s="248" t="n">
        <f aca="false">'☆掛負収入'!C39</f>
        <v>12150</v>
      </c>
      <c r="D39" s="474" t="n">
        <f aca="false">'☆掛負収入'!D39</f>
        <v>148230</v>
      </c>
      <c r="E39" s="478" t="n">
        <f aca="false">'☆掛負収入'!E39</f>
        <v>12150</v>
      </c>
      <c r="F39" s="479" t="n">
        <f aca="false">'☆掛負収入'!F39</f>
        <v>140</v>
      </c>
      <c r="G39" s="206" t="n">
        <f aca="false">SUM(B39:F39)</f>
        <v>320900</v>
      </c>
      <c r="H39" s="619" t="n">
        <f aca="false">'☆掛負収入'!H39</f>
        <v>87123</v>
      </c>
      <c r="I39" s="432" t="n">
        <f aca="false">'☆掛負収入'!I39</f>
        <v>87208</v>
      </c>
      <c r="J39" s="160" t="n">
        <f aca="false">SUM(H39:I39)</f>
        <v>174331</v>
      </c>
      <c r="K39" s="464" t="n">
        <f aca="false">'☆掛負収入'!K39</f>
        <v>10033</v>
      </c>
      <c r="L39" s="432" t="n">
        <f aca="false">'☆掛負収入'!L39</f>
        <v>10033</v>
      </c>
      <c r="M39" s="160" t="n">
        <f aca="false">SUM(K39:L39)</f>
        <v>20066</v>
      </c>
      <c r="N39" s="464" t="n">
        <f aca="false">'☆掛負収入'!N39</f>
        <v>1931</v>
      </c>
      <c r="O39" s="432" t="n">
        <f aca="false">'☆掛負収入'!O39</f>
        <v>1932</v>
      </c>
      <c r="P39" s="160" t="n">
        <f aca="false">SUM(N39:O39)</f>
        <v>3863</v>
      </c>
    </row>
    <row r="40" customFormat="false" ht="18.75" hidden="false" customHeight="true" outlineLevel="0" collapsed="false">
      <c r="A40" s="368" t="str">
        <f aca="false">'☆掛負収入'!A40</f>
        <v>バス協調・共創
プラットフォーム</v>
      </c>
      <c r="B40" s="482"/>
      <c r="C40" s="484"/>
      <c r="D40" s="476" t="n">
        <f aca="false">'☆掛負収入'!D40</f>
        <v>455670</v>
      </c>
      <c r="E40" s="498" t="n">
        <f aca="false">'☆掛負収入'!E40</f>
        <v>37350</v>
      </c>
      <c r="F40" s="479" t="n">
        <f aca="false">'☆掛負収入'!F40</f>
        <v>432</v>
      </c>
      <c r="G40" s="206" t="n">
        <f aca="false">SUM(B40:F40)</f>
        <v>493452</v>
      </c>
      <c r="H40" s="641"/>
      <c r="I40" s="432" t="n">
        <f aca="false">'☆掛負収入'!I40</f>
        <v>263702</v>
      </c>
      <c r="J40" s="160" t="n">
        <f aca="false">SUM(H40:I40)</f>
        <v>263702</v>
      </c>
      <c r="K40" s="642"/>
      <c r="L40" s="432" t="n">
        <f aca="false">'☆掛負収入'!L40</f>
        <v>21093</v>
      </c>
      <c r="M40" s="160" t="n">
        <f aca="false">SUM(K40:L40)</f>
        <v>21093</v>
      </c>
      <c r="N40" s="642"/>
      <c r="O40" s="432" t="n">
        <f aca="false">'☆掛負収入'!O40</f>
        <v>5842</v>
      </c>
      <c r="P40" s="160" t="n">
        <f aca="false">SUM(N40:O40)</f>
        <v>5842</v>
      </c>
    </row>
    <row r="41" customFormat="false" ht="18.75" hidden="false" customHeight="true" outlineLevel="0" collapsed="false">
      <c r="A41" s="367" t="str">
        <f aca="false">'☆掛負収入'!A41</f>
        <v>広島県市長会</v>
      </c>
      <c r="B41" s="474" t="n">
        <f aca="false">'☆掛負収入'!B41</f>
        <v>56730</v>
      </c>
      <c r="C41" s="248" t="n">
        <f aca="false">'☆掛負収入'!C41</f>
        <v>4650</v>
      </c>
      <c r="D41" s="474" t="n">
        <f aca="false">'☆掛負収入'!D41</f>
        <v>56730</v>
      </c>
      <c r="E41" s="478" t="n">
        <f aca="false">'☆掛負収入'!E41</f>
        <v>4650</v>
      </c>
      <c r="F41" s="248" t="n">
        <f aca="false">'☆掛負収入'!F41</f>
        <v>53</v>
      </c>
      <c r="G41" s="206" t="n">
        <f aca="false">SUM(B41:F41)</f>
        <v>122813</v>
      </c>
      <c r="H41" s="619" t="n">
        <f aca="false">'☆掛負収入'!H41</f>
        <v>32153</v>
      </c>
      <c r="I41" s="449" t="n">
        <f aca="false">'☆掛負収入'!I41</f>
        <v>32184</v>
      </c>
      <c r="J41" s="160" t="n">
        <f aca="false">SUM(H41:I41)</f>
        <v>64337</v>
      </c>
      <c r="K41" s="464" t="n">
        <f aca="false">'☆掛負収入'!K41</f>
        <v>4898</v>
      </c>
      <c r="L41" s="449" t="n">
        <f aca="false">'☆掛負収入'!L41</f>
        <v>4898</v>
      </c>
      <c r="M41" s="160" t="n">
        <f aca="false">SUM(K41:L41)</f>
        <v>9796</v>
      </c>
      <c r="N41" s="464" t="n">
        <f aca="false">'☆掛負収入'!N41</f>
        <v>713</v>
      </c>
      <c r="O41" s="449" t="n">
        <f aca="false">'☆掛負収入'!O41</f>
        <v>713</v>
      </c>
      <c r="P41" s="160" t="n">
        <f aca="false">SUM(N41:O41)</f>
        <v>1426</v>
      </c>
    </row>
    <row r="42" customFormat="false" ht="18.75" hidden="false" customHeight="true" outlineLevel="0" collapsed="false">
      <c r="A42" s="367" t="str">
        <f aca="false">'☆掛負収入'!A42</f>
        <v>全国市町村研修財団</v>
      </c>
      <c r="B42" s="476" t="n">
        <f aca="false">'☆掛負収入'!B42</f>
        <v>59475</v>
      </c>
      <c r="C42" s="248" t="n">
        <f aca="false">'☆掛負収入'!C42</f>
        <v>4875</v>
      </c>
      <c r="D42" s="474" t="n">
        <f aca="false">'☆掛負収入'!D42</f>
        <v>59475</v>
      </c>
      <c r="E42" s="478" t="n">
        <f aca="false">'☆掛負収入'!E42</f>
        <v>4875</v>
      </c>
      <c r="F42" s="248" t="n">
        <f aca="false">'☆掛負収入'!F42</f>
        <v>56</v>
      </c>
      <c r="G42" s="206" t="n">
        <f aca="false">SUM(B42:F42)</f>
        <v>128756</v>
      </c>
      <c r="H42" s="619" t="n">
        <f aca="false">'☆掛負収入'!H42</f>
        <v>38895</v>
      </c>
      <c r="I42" s="449" t="n">
        <f aca="false">'☆掛負収入'!I42</f>
        <v>38932</v>
      </c>
      <c r="J42" s="160" t="n">
        <f aca="false">SUM(H42:I42)</f>
        <v>77827</v>
      </c>
      <c r="K42" s="464" t="n">
        <f aca="false">'☆掛負収入'!K42</f>
        <v>5925</v>
      </c>
      <c r="L42" s="449" t="n">
        <f aca="false">'☆掛負収入'!L42</f>
        <v>5925</v>
      </c>
      <c r="M42" s="160" t="n">
        <f aca="false">SUM(K42:L42)</f>
        <v>11850</v>
      </c>
      <c r="N42" s="464" t="n">
        <f aca="false">'☆掛負収入'!N42</f>
        <v>862</v>
      </c>
      <c r="O42" s="449" t="n">
        <f aca="false">'☆掛負収入'!O42</f>
        <v>862</v>
      </c>
      <c r="P42" s="160" t="n">
        <f aca="false">SUM(N42:O42)</f>
        <v>1724</v>
      </c>
    </row>
    <row r="43" customFormat="false" ht="18.75" hidden="false" customHeight="true" outlineLevel="0" collapsed="false">
      <c r="A43" s="367" t="str">
        <f aca="false">'☆掛負収入'!A43</f>
        <v>都市再生機構</v>
      </c>
      <c r="B43" s="474" t="n">
        <f aca="false">'☆掛負収入'!B43</f>
        <v>37515</v>
      </c>
      <c r="C43" s="248" t="n">
        <f aca="false">'☆掛負収入'!C43</f>
        <v>3075</v>
      </c>
      <c r="D43" s="474" t="n">
        <f aca="false">'☆掛負収入'!D43</f>
        <v>37515</v>
      </c>
      <c r="E43" s="478" t="n">
        <f aca="false">'☆掛負収入'!E43</f>
        <v>3075</v>
      </c>
      <c r="F43" s="248" t="n">
        <f aca="false">'☆掛負収入'!F43</f>
        <v>35</v>
      </c>
      <c r="G43" s="206" t="n">
        <f aca="false">SUM(B43:F43)</f>
        <v>81215</v>
      </c>
      <c r="H43" s="619" t="n">
        <f aca="false">'☆掛負収入'!H43</f>
        <v>21262</v>
      </c>
      <c r="I43" s="449" t="n">
        <f aca="false">'☆掛負収入'!I43</f>
        <v>21283</v>
      </c>
      <c r="J43" s="160" t="n">
        <f aca="false">SUM(H43:I43)</f>
        <v>42545</v>
      </c>
      <c r="K43" s="464" t="n">
        <f aca="false">'☆掛負収入'!K43</f>
        <v>0</v>
      </c>
      <c r="L43" s="449" t="n">
        <f aca="false">'☆掛負収入'!L43</f>
        <v>0</v>
      </c>
      <c r="M43" s="160" t="n">
        <f aca="false">SUM(K43:L43)</f>
        <v>0</v>
      </c>
      <c r="N43" s="464" t="n">
        <f aca="false">'☆掛負収入'!N43</f>
        <v>471</v>
      </c>
      <c r="O43" s="449" t="n">
        <f aca="false">'☆掛負収入'!O43</f>
        <v>471</v>
      </c>
      <c r="P43" s="160" t="n">
        <f aca="false">SUM(N43:O43)</f>
        <v>942</v>
      </c>
    </row>
    <row r="44" customFormat="false" ht="18.75" hidden="false" customHeight="true" outlineLevel="0" collapsed="false">
      <c r="A44" s="368" t="str">
        <f aca="false">'☆掛負収入'!A44</f>
        <v>広島市立大学</v>
      </c>
      <c r="B44" s="474" t="n">
        <f aca="false">'☆掛負収入'!B44</f>
        <v>1201395</v>
      </c>
      <c r="C44" s="248" t="n">
        <f aca="false">'☆掛負収入'!C44</f>
        <v>98475</v>
      </c>
      <c r="D44" s="474" t="n">
        <f aca="false">'☆掛負収入'!D44</f>
        <v>1201395</v>
      </c>
      <c r="E44" s="478" t="n">
        <f aca="false">'☆掛負収入'!E44</f>
        <v>98475</v>
      </c>
      <c r="F44" s="248" t="n">
        <f aca="false">'☆掛負収入'!F44</f>
        <v>1208</v>
      </c>
      <c r="G44" s="206" t="n">
        <f aca="false">SUM(B44:F44)</f>
        <v>2600948</v>
      </c>
      <c r="H44" s="619" t="n">
        <f aca="false">'☆掛負収入'!H44</f>
        <v>690245</v>
      </c>
      <c r="I44" s="449" t="n">
        <f aca="false">'☆掛負収入'!I44</f>
        <v>690961</v>
      </c>
      <c r="J44" s="160" t="n">
        <f aca="false">SUM(H44:I44)</f>
        <v>1381206</v>
      </c>
      <c r="K44" s="464" t="n">
        <f aca="false">'☆掛負収入'!K44</f>
        <v>79632</v>
      </c>
      <c r="L44" s="449" t="n">
        <f aca="false">'☆掛負収入'!L44</f>
        <v>79632</v>
      </c>
      <c r="M44" s="160" t="n">
        <f aca="false">SUM(K44:L44)</f>
        <v>159264</v>
      </c>
      <c r="N44" s="464" t="n">
        <f aca="false">'☆掛負収入'!N44</f>
        <v>15300</v>
      </c>
      <c r="O44" s="449" t="n">
        <f aca="false">'☆掛負収入'!O44</f>
        <v>15306</v>
      </c>
      <c r="P44" s="160" t="n">
        <f aca="false">SUM(N44:O44)</f>
        <v>30606</v>
      </c>
    </row>
    <row r="45" customFormat="false" ht="18.75" hidden="false" customHeight="true" outlineLevel="0" collapsed="false">
      <c r="A45" s="368" t="str">
        <f aca="false">'☆掛負収入'!A45</f>
        <v>社会福祉協議会</v>
      </c>
      <c r="B45" s="474" t="n">
        <f aca="false">'☆掛負収入'!B45</f>
        <v>0</v>
      </c>
      <c r="C45" s="248" t="n">
        <f aca="false">'☆掛負収入'!C45</f>
        <v>0</v>
      </c>
      <c r="D45" s="474" t="n">
        <f aca="false">'☆掛負収入'!D45</f>
        <v>242475</v>
      </c>
      <c r="E45" s="478" t="n">
        <f aca="false">'☆掛負収入'!E45</f>
        <v>19875</v>
      </c>
      <c r="F45" s="248" t="n">
        <f aca="false">'☆掛負収入'!F45</f>
        <v>230</v>
      </c>
      <c r="G45" s="206" t="n">
        <f aca="false">SUM(B45:F45)</f>
        <v>262580</v>
      </c>
      <c r="H45" s="619" t="n">
        <f aca="false">'☆掛負収入'!H45</f>
        <v>0</v>
      </c>
      <c r="I45" s="449" t="n">
        <f aca="false">'☆掛負収入'!I45</f>
        <v>140676</v>
      </c>
      <c r="J45" s="160" t="n">
        <f aca="false">SUM(H45:I45)</f>
        <v>140676</v>
      </c>
      <c r="K45" s="464" t="n">
        <f aca="false">'☆掛負収入'!K45</f>
        <v>0</v>
      </c>
      <c r="L45" s="449" t="n">
        <f aca="false">'☆掛負収入'!L45</f>
        <v>10507</v>
      </c>
      <c r="M45" s="160" t="n">
        <f aca="false">SUM(K45:L45)</f>
        <v>10507</v>
      </c>
      <c r="N45" s="464" t="n">
        <f aca="false">'☆掛負収入'!N45</f>
        <v>0</v>
      </c>
      <c r="O45" s="449" t="n">
        <f aca="false">'☆掛負収入'!O45</f>
        <v>3116</v>
      </c>
      <c r="P45" s="160" t="n">
        <f aca="false">SUM(N45:O45)</f>
        <v>3116</v>
      </c>
    </row>
    <row r="46" customFormat="false" ht="18.75" hidden="false" customHeight="true" outlineLevel="0" collapsed="false">
      <c r="A46" s="643" t="s">
        <v>532</v>
      </c>
      <c r="B46" s="476" t="n">
        <f aca="false">'☆掛負収入'!B48</f>
        <v>0</v>
      </c>
      <c r="C46" s="479" t="n">
        <f aca="false">'☆掛負収入'!C48</f>
        <v>0</v>
      </c>
      <c r="D46" s="476" t="n">
        <f aca="false">'☆掛負収入'!D48</f>
        <v>0</v>
      </c>
      <c r="E46" s="487" t="n">
        <f aca="false">'☆掛負収入'!E48</f>
        <v>0</v>
      </c>
      <c r="F46" s="479" t="n">
        <f aca="false">'☆掛負収入'!F48</f>
        <v>0</v>
      </c>
      <c r="G46" s="621" t="n">
        <f aca="false">SUM(B46:F46)</f>
        <v>0</v>
      </c>
      <c r="H46" s="487" t="n">
        <f aca="false">'☆掛負収入'!H48</f>
        <v>0</v>
      </c>
      <c r="I46" s="487" t="n">
        <f aca="false">'☆掛負収入'!I48</f>
        <v>0</v>
      </c>
      <c r="J46" s="160" t="n">
        <f aca="false">SUM(H46:I46)</f>
        <v>0</v>
      </c>
      <c r="K46" s="487" t="n">
        <f aca="false">'☆掛負収入'!K48</f>
        <v>0</v>
      </c>
      <c r="L46" s="487" t="n">
        <f aca="false">'☆掛負収入'!L48</f>
        <v>0</v>
      </c>
      <c r="M46" s="160" t="n">
        <f aca="false">SUM(K46:L46)</f>
        <v>0</v>
      </c>
      <c r="N46" s="487" t="n">
        <f aca="false">'☆掛負収入'!N48</f>
        <v>0</v>
      </c>
      <c r="O46" s="487" t="n">
        <f aca="false">'☆掛負収入'!O48</f>
        <v>0</v>
      </c>
      <c r="P46" s="160" t="n">
        <f aca="false">SUM(N46:O46)</f>
        <v>0</v>
      </c>
    </row>
    <row r="47" customFormat="false" ht="18.75" hidden="false" customHeight="true" outlineLevel="0" collapsed="false">
      <c r="A47" s="368" t="str">
        <f aca="false">'☆掛負収入'!A49</f>
        <v>全国市長会</v>
      </c>
      <c r="B47" s="476" t="n">
        <f aca="false">'☆掛負収入'!B49</f>
        <v>118950</v>
      </c>
      <c r="C47" s="479" t="n">
        <f aca="false">'☆掛負収入'!C49</f>
        <v>9750</v>
      </c>
      <c r="D47" s="476" t="n">
        <f aca="false">'☆掛負収入'!D49</f>
        <v>118950</v>
      </c>
      <c r="E47" s="487" t="n">
        <f aca="false">'☆掛負収入'!E49</f>
        <v>9750</v>
      </c>
      <c r="F47" s="479" t="n">
        <f aca="false">'☆掛負収入'!F49</f>
        <v>112</v>
      </c>
      <c r="G47" s="621" t="n">
        <f aca="false">SUM(B47:F47)</f>
        <v>257512</v>
      </c>
      <c r="H47" s="487" t="n">
        <f aca="false">'☆掛負収入'!H49</f>
        <v>81938</v>
      </c>
      <c r="I47" s="487" t="n">
        <f aca="false">'☆掛負収入'!I49</f>
        <v>82017</v>
      </c>
      <c r="J47" s="160" t="n">
        <f aca="false">SUM(H47:I47)</f>
        <v>163955</v>
      </c>
      <c r="K47" s="487" t="n">
        <f aca="false">'☆掛負収入'!K49</f>
        <v>12482</v>
      </c>
      <c r="L47" s="487" t="n">
        <f aca="false">'☆掛負収入'!L49</f>
        <v>12482</v>
      </c>
      <c r="M47" s="160" t="n">
        <f aca="false">SUM(K47:L47)</f>
        <v>24964</v>
      </c>
      <c r="N47" s="487" t="n">
        <f aca="false">'☆掛負収入'!N49</f>
        <v>1816</v>
      </c>
      <c r="O47" s="487" t="n">
        <f aca="false">'☆掛負収入'!O49</f>
        <v>1817</v>
      </c>
      <c r="P47" s="160" t="n">
        <f aca="false">SUM(N47:O47)</f>
        <v>3633</v>
      </c>
    </row>
    <row r="48" customFormat="false" ht="18.75" hidden="true" customHeight="true" outlineLevel="0" collapsed="false">
      <c r="A48" s="368"/>
      <c r="B48" s="474"/>
      <c r="C48" s="248"/>
      <c r="D48" s="474"/>
      <c r="E48" s="478"/>
      <c r="F48" s="248"/>
      <c r="G48" s="206"/>
      <c r="H48" s="619"/>
      <c r="I48" s="449"/>
      <c r="J48" s="160"/>
      <c r="K48" s="464"/>
      <c r="L48" s="449"/>
      <c r="M48" s="160"/>
      <c r="N48" s="464"/>
      <c r="O48" s="449"/>
      <c r="P48" s="160"/>
    </row>
    <row r="49" customFormat="false" ht="18.75" hidden="true" customHeight="true" outlineLevel="0" collapsed="false">
      <c r="A49" s="368"/>
      <c r="B49" s="620"/>
      <c r="C49" s="391"/>
      <c r="D49" s="620"/>
      <c r="E49" s="621"/>
      <c r="F49" s="418"/>
      <c r="G49" s="206"/>
      <c r="H49" s="620"/>
      <c r="I49" s="465"/>
      <c r="J49" s="160"/>
      <c r="K49" s="621"/>
      <c r="L49" s="465"/>
      <c r="M49" s="160"/>
      <c r="N49" s="621"/>
      <c r="O49" s="465"/>
      <c r="P49" s="160"/>
    </row>
    <row r="50" customFormat="false" ht="18.75" hidden="true" customHeight="true" outlineLevel="0" collapsed="false">
      <c r="A50" s="368"/>
      <c r="B50" s="431"/>
      <c r="C50" s="206"/>
      <c r="D50" s="431"/>
      <c r="E50" s="617"/>
      <c r="F50" s="160"/>
      <c r="G50" s="206"/>
      <c r="H50" s="431"/>
      <c r="I50" s="644"/>
      <c r="J50" s="160"/>
      <c r="K50" s="617"/>
      <c r="L50" s="644"/>
      <c r="M50" s="160"/>
      <c r="N50" s="617"/>
      <c r="O50" s="644"/>
      <c r="P50" s="160"/>
    </row>
    <row r="51" customFormat="false" ht="11.25" hidden="true" customHeight="true" outlineLevel="0" collapsed="false">
      <c r="A51" s="369"/>
      <c r="B51" s="620"/>
      <c r="C51" s="418"/>
      <c r="D51" s="620"/>
      <c r="E51" s="465"/>
      <c r="F51" s="418"/>
      <c r="G51" s="391"/>
      <c r="H51" s="431"/>
      <c r="I51" s="465"/>
      <c r="J51" s="160"/>
      <c r="K51" s="621"/>
      <c r="L51" s="465"/>
      <c r="M51" s="160"/>
      <c r="N51" s="621"/>
      <c r="O51" s="465"/>
      <c r="P51" s="160"/>
    </row>
    <row r="52" customFormat="false" ht="14.25" hidden="false" customHeight="true" outlineLevel="0" collapsed="false">
      <c r="A52" s="645"/>
      <c r="B52" s="524"/>
      <c r="C52" s="296"/>
      <c r="D52" s="524"/>
      <c r="E52" s="525"/>
      <c r="F52" s="296"/>
      <c r="G52" s="646"/>
      <c r="H52" s="647"/>
      <c r="I52" s="648"/>
      <c r="J52" s="160" t="n">
        <f aca="false">SUM(H52:I52)</f>
        <v>0</v>
      </c>
      <c r="K52" s="647"/>
      <c r="L52" s="648"/>
      <c r="M52" s="160" t="n">
        <f aca="false">SUM(K52:L52)</f>
        <v>0</v>
      </c>
      <c r="N52" s="647"/>
      <c r="O52" s="648"/>
      <c r="P52" s="160" t="n">
        <f aca="false">SUM(N52:O52)</f>
        <v>0</v>
      </c>
    </row>
    <row r="53" customFormat="false" ht="18.75" hidden="false" customHeight="true" outlineLevel="0" collapsed="false">
      <c r="A53" s="196" t="str">
        <f aca="false">'☆掛負収入'!A53</f>
        <v>小　計</v>
      </c>
      <c r="B53" s="429" t="n">
        <f aca="false">SUM(B23:B52)</f>
        <v>2641605</v>
      </c>
      <c r="C53" s="200" t="n">
        <f aca="false">SUM(C23:C52)</f>
        <v>216525</v>
      </c>
      <c r="D53" s="197" t="n">
        <f aca="false">SUM(D23:D52)</f>
        <v>8773020</v>
      </c>
      <c r="E53" s="301" t="n">
        <f aca="false">SUM(E23:E52)</f>
        <v>719100</v>
      </c>
      <c r="F53" s="200" t="n">
        <f aca="false">SUM(F23:F52)</f>
        <v>8583</v>
      </c>
      <c r="G53" s="201" t="n">
        <f aca="false">SUM(B53:F53)</f>
        <v>12358833</v>
      </c>
      <c r="H53" s="429" t="n">
        <f aca="false">SUM(H23:H52)</f>
        <v>1530884</v>
      </c>
      <c r="I53" s="199" t="n">
        <f aca="false">SUM(I23:I52)</f>
        <v>5179649</v>
      </c>
      <c r="J53" s="200" t="n">
        <f aca="false">SUM(H53:I53)</f>
        <v>6710533</v>
      </c>
      <c r="K53" s="429" t="n">
        <f aca="false">SUM(K23:K52)</f>
        <v>162582</v>
      </c>
      <c r="L53" s="199" t="n">
        <f aca="false">SUM(L23:L52)</f>
        <v>580334</v>
      </c>
      <c r="M53" s="201" t="n">
        <f aca="false">SUM(K53:L53)</f>
        <v>742916</v>
      </c>
      <c r="N53" s="429" t="n">
        <f aca="false">SUM(N23:N52)</f>
        <v>33933</v>
      </c>
      <c r="O53" s="199" t="n">
        <f aca="false">SUM(O23:O52)</f>
        <v>114734</v>
      </c>
      <c r="P53" s="201" t="n">
        <f aca="false">SUM(N53:O53)</f>
        <v>148667</v>
      </c>
    </row>
    <row r="54" customFormat="false" ht="18.75" hidden="true" customHeight="true" outlineLevel="0" collapsed="false">
      <c r="A54" s="629"/>
      <c r="B54" s="647"/>
      <c r="C54" s="278"/>
      <c r="D54" s="648"/>
      <c r="E54" s="649"/>
      <c r="F54" s="650"/>
      <c r="G54" s="651"/>
      <c r="H54" s="652"/>
      <c r="I54" s="653"/>
      <c r="J54" s="654"/>
      <c r="K54" s="655"/>
      <c r="L54" s="656"/>
      <c r="M54" s="657"/>
      <c r="N54" s="655"/>
      <c r="O54" s="656"/>
      <c r="P54" s="657"/>
    </row>
    <row r="55" customFormat="false" ht="18.75" hidden="true" customHeight="true" outlineLevel="0" collapsed="false">
      <c r="A55" s="658"/>
      <c r="B55" s="631"/>
      <c r="C55" s="633"/>
      <c r="D55" s="648"/>
      <c r="E55" s="649"/>
      <c r="F55" s="278"/>
      <c r="G55" s="646"/>
      <c r="H55" s="659"/>
      <c r="I55" s="660"/>
      <c r="J55" s="408"/>
      <c r="K55" s="661"/>
      <c r="L55" s="662"/>
      <c r="M55" s="663"/>
      <c r="N55" s="661"/>
      <c r="O55" s="662"/>
      <c r="P55" s="663"/>
    </row>
    <row r="56" customFormat="false" ht="18.75" hidden="false" customHeight="true" outlineLevel="0" collapsed="false">
      <c r="A56" s="664" t="str">
        <f aca="false">'☆掛負収入'!A56</f>
        <v>高速交通（株）</v>
      </c>
      <c r="B56" s="469" t="n">
        <f aca="false">'☆掛負収入'!B56</f>
        <v>145485</v>
      </c>
      <c r="C56" s="471" t="n">
        <f aca="false">'☆掛負収入'!C56</f>
        <v>11925</v>
      </c>
      <c r="D56" s="469" t="n">
        <f aca="false">'☆掛負収入'!D56</f>
        <v>145485</v>
      </c>
      <c r="E56" s="472" t="n">
        <f aca="false">'☆掛負収入'!E56</f>
        <v>11925</v>
      </c>
      <c r="F56" s="471" t="n">
        <f aca="false">'☆掛負収入'!F56</f>
        <v>138</v>
      </c>
      <c r="G56" s="389" t="n">
        <f aca="false">SUM(B56:F56)</f>
        <v>314958</v>
      </c>
      <c r="H56" s="665"/>
      <c r="I56" s="665"/>
      <c r="J56" s="665"/>
      <c r="K56" s="665"/>
      <c r="L56" s="665"/>
      <c r="M56" s="665"/>
      <c r="N56" s="665"/>
      <c r="O56" s="665"/>
      <c r="P56" s="665"/>
    </row>
    <row r="57" customFormat="false" ht="18" hidden="false" customHeight="true" outlineLevel="0" collapsed="false">
      <c r="A57" s="666" t="s">
        <v>209</v>
      </c>
      <c r="B57" s="667" t="n">
        <f aca="false">'☆掛負収入'!B57</f>
        <v>45750</v>
      </c>
      <c r="C57" s="493" t="n">
        <f aca="false">'☆掛負収入'!C57</f>
        <v>3750</v>
      </c>
      <c r="D57" s="667" t="n">
        <f aca="false">'☆掛負収入'!D57</f>
        <v>45750</v>
      </c>
      <c r="E57" s="492" t="n">
        <f aca="false">'☆掛負収入'!E57</f>
        <v>3750</v>
      </c>
      <c r="F57" s="493" t="n">
        <f aca="false">'☆掛負収入'!F57</f>
        <v>43</v>
      </c>
      <c r="G57" s="668" t="n">
        <f aca="false">SUM(B57:F57)</f>
        <v>99043</v>
      </c>
      <c r="H57" s="665"/>
      <c r="I57" s="665"/>
      <c r="J57" s="665"/>
      <c r="K57" s="665"/>
      <c r="L57" s="665"/>
      <c r="M57" s="665"/>
      <c r="N57" s="665"/>
      <c r="O57" s="665"/>
      <c r="P57" s="665"/>
    </row>
    <row r="58" customFormat="false" ht="18.75" hidden="false" customHeight="true" outlineLevel="0" collapsed="false">
      <c r="A58" s="669" t="str">
        <f aca="false">'☆掛負収入'!A58</f>
        <v>小　計</v>
      </c>
      <c r="B58" s="279" t="n">
        <f aca="false">SUM(B56:B57)</f>
        <v>191235</v>
      </c>
      <c r="C58" s="280" t="n">
        <f aca="false">SUM(C54:C57)</f>
        <v>15675</v>
      </c>
      <c r="D58" s="670" t="n">
        <f aca="false">SUM(D54:D57)</f>
        <v>191235</v>
      </c>
      <c r="E58" s="671" t="n">
        <f aca="false">SUM(E54:E57)</f>
        <v>15675</v>
      </c>
      <c r="F58" s="672" t="n">
        <f aca="false">SUM(F54:F57)</f>
        <v>181</v>
      </c>
      <c r="G58" s="280" t="n">
        <f aca="false">SUM(B58:F58)</f>
        <v>414001</v>
      </c>
      <c r="H58" s="665"/>
      <c r="I58" s="665"/>
      <c r="J58" s="665"/>
      <c r="K58" s="665"/>
      <c r="L58" s="665"/>
      <c r="M58" s="665"/>
      <c r="N58" s="665"/>
      <c r="O58" s="665"/>
      <c r="P58" s="665"/>
    </row>
    <row r="59" customFormat="false" ht="18.75" hidden="false" customHeight="true" outlineLevel="0" collapsed="false">
      <c r="A59" s="125" t="str">
        <f aca="false">'☆掛負収入'!A59</f>
        <v>市職員労働組合</v>
      </c>
      <c r="B59" s="474" t="n">
        <f aca="false">'☆掛負収入'!B59</f>
        <v>29280</v>
      </c>
      <c r="C59" s="248" t="n">
        <f aca="false">'☆掛負収入'!C59</f>
        <v>2400</v>
      </c>
      <c r="D59" s="470" t="n">
        <f aca="false">'☆掛負収入'!D59</f>
        <v>29280</v>
      </c>
      <c r="E59" s="488" t="n">
        <f aca="false">'☆掛負収入'!E59</f>
        <v>2400</v>
      </c>
      <c r="F59" s="221"/>
      <c r="G59" s="206" t="n">
        <f aca="false">SUM(B59:F59)</f>
        <v>63360</v>
      </c>
      <c r="H59" s="619" t="n">
        <f aca="false">'☆掛負収入'!H59</f>
        <v>16595</v>
      </c>
      <c r="I59" s="449" t="n">
        <f aca="false">'☆掛負収入'!I59</f>
        <v>16611</v>
      </c>
      <c r="J59" s="160" t="n">
        <f aca="false">SUM(H59:I59)</f>
        <v>33206</v>
      </c>
      <c r="K59" s="476" t="n">
        <f aca="false">'☆掛負収入'!K59</f>
        <v>2528</v>
      </c>
      <c r="L59" s="487" t="n">
        <f aca="false">'☆掛負収入'!L59</f>
        <v>2528</v>
      </c>
      <c r="M59" s="471" t="n">
        <f aca="false">SUM(K59:L59)</f>
        <v>5056</v>
      </c>
      <c r="N59" s="476" t="n">
        <f aca="false">'☆掛負収入'!N59</f>
        <v>368</v>
      </c>
      <c r="O59" s="487" t="n">
        <f aca="false">'☆掛負収入'!O59</f>
        <v>368</v>
      </c>
      <c r="P59" s="471" t="n">
        <f aca="false">SUM(N59:O59)</f>
        <v>736</v>
      </c>
    </row>
    <row r="60" customFormat="false" ht="18.75" hidden="false" customHeight="true" outlineLevel="0" collapsed="false">
      <c r="A60" s="125" t="str">
        <f aca="false">'☆掛負収入'!A60</f>
        <v>自治労労働組合</v>
      </c>
      <c r="B60" s="474" t="n">
        <f aca="false">'☆掛負収入'!B60</f>
        <v>0</v>
      </c>
      <c r="C60" s="402" t="n">
        <f aca="false">'☆掛負収入'!C60</f>
        <v>0</v>
      </c>
      <c r="D60" s="474" t="n">
        <f aca="false">'☆掛負収入'!D60</f>
        <v>0</v>
      </c>
      <c r="E60" s="488" t="n">
        <f aca="false">'☆掛負収入'!E60</f>
        <v>0</v>
      </c>
      <c r="F60" s="221"/>
      <c r="G60" s="206" t="n">
        <f aca="false">SUM(B60:F60)</f>
        <v>0</v>
      </c>
      <c r="H60" s="619" t="n">
        <f aca="false">'☆掛負収入'!H60</f>
        <v>0</v>
      </c>
      <c r="I60" s="449" t="n">
        <f aca="false">'☆掛負収入'!I60</f>
        <v>0</v>
      </c>
      <c r="J60" s="160" t="n">
        <f aca="false">SUM(H60:I60)</f>
        <v>0</v>
      </c>
      <c r="K60" s="619" t="n">
        <f aca="false">'☆掛負収入'!K60</f>
        <v>0</v>
      </c>
      <c r="L60" s="449" t="n">
        <f aca="false">'☆掛負収入'!L60</f>
        <v>0</v>
      </c>
      <c r="M60" s="160" t="n">
        <f aca="false">SUM(K60:L60)</f>
        <v>0</v>
      </c>
      <c r="N60" s="619" t="n">
        <f aca="false">'☆掛負収入'!N60</f>
        <v>0</v>
      </c>
      <c r="O60" s="449" t="n">
        <f aca="false">'☆掛負収入'!O60</f>
        <v>0</v>
      </c>
      <c r="P60" s="160" t="n">
        <f aca="false">SUM(N60:O60)</f>
        <v>0</v>
      </c>
    </row>
    <row r="61" customFormat="false" ht="18.75" hidden="false" customHeight="true" outlineLevel="0" collapsed="false">
      <c r="A61" s="125" t="str">
        <f aca="false">'☆掛負収入'!A61</f>
        <v>病院労働組合</v>
      </c>
      <c r="B61" s="431"/>
      <c r="C61" s="206"/>
      <c r="D61" s="431"/>
      <c r="E61" s="644"/>
      <c r="F61" s="221"/>
      <c r="G61" s="206" t="n">
        <f aca="false">SUM(B61:F61)</f>
        <v>0</v>
      </c>
      <c r="H61" s="619"/>
      <c r="I61" s="449"/>
      <c r="J61" s="160" t="n">
        <f aca="false">SUM(H61:I61)</f>
        <v>0</v>
      </c>
      <c r="K61" s="619"/>
      <c r="L61" s="449"/>
      <c r="M61" s="160" t="n">
        <f aca="false">SUM(K61:L61)</f>
        <v>0</v>
      </c>
      <c r="N61" s="619"/>
      <c r="O61" s="449"/>
      <c r="P61" s="160" t="n">
        <f aca="false">SUM(N61:O61)</f>
        <v>0</v>
      </c>
    </row>
    <row r="62" customFormat="false" ht="18.75" hidden="false" customHeight="true" outlineLevel="0" collapsed="false">
      <c r="A62" s="302" t="str">
        <f aca="false">'☆掛負収入'!A62</f>
        <v>水道労働組合</v>
      </c>
      <c r="B62" s="673"/>
      <c r="C62" s="444"/>
      <c r="D62" s="673"/>
      <c r="E62" s="623"/>
      <c r="F62" s="296"/>
      <c r="G62" s="206" t="n">
        <f aca="false">SUM(B62:F62)</f>
        <v>0</v>
      </c>
      <c r="H62" s="674"/>
      <c r="I62" s="675"/>
      <c r="J62" s="160" t="n">
        <f aca="false">SUM(H62:I62)</f>
        <v>0</v>
      </c>
      <c r="K62" s="676"/>
      <c r="L62" s="677"/>
      <c r="M62" s="160" t="n">
        <f aca="false">SUM(K62:L62)</f>
        <v>0</v>
      </c>
      <c r="N62" s="676"/>
      <c r="O62" s="677"/>
      <c r="P62" s="160" t="n">
        <f aca="false">SUM(N62:O62)</f>
        <v>0</v>
      </c>
    </row>
    <row r="63" customFormat="false" ht="18.75" hidden="false" customHeight="true" outlineLevel="0" collapsed="false">
      <c r="A63" s="196" t="str">
        <f aca="false">'☆掛負収入'!A63</f>
        <v>小　計</v>
      </c>
      <c r="B63" s="429" t="n">
        <f aca="false">SUM(B59:B62)</f>
        <v>29280</v>
      </c>
      <c r="C63" s="200" t="n">
        <f aca="false">SUM(C59:C62)</f>
        <v>2400</v>
      </c>
      <c r="D63" s="429" t="n">
        <f aca="false">SUM(D59:D62)</f>
        <v>29280</v>
      </c>
      <c r="E63" s="199" t="n">
        <f aca="false">SUM(E59:E62)</f>
        <v>2400</v>
      </c>
      <c r="F63" s="198" t="n">
        <f aca="false">SUM(F59:F62)</f>
        <v>0</v>
      </c>
      <c r="G63" s="197" t="n">
        <f aca="false">SUM(B63:F63)</f>
        <v>63360</v>
      </c>
      <c r="H63" s="429" t="n">
        <f aca="false">SUM(H59:H62)</f>
        <v>16595</v>
      </c>
      <c r="I63" s="199" t="n">
        <f aca="false">SUM(I59:I62)</f>
        <v>16611</v>
      </c>
      <c r="J63" s="200" t="n">
        <f aca="false">SUM(H63:I63)</f>
        <v>33206</v>
      </c>
      <c r="K63" s="197" t="n">
        <f aca="false">SUM(K59:K62)</f>
        <v>2528</v>
      </c>
      <c r="L63" s="198" t="n">
        <f aca="false">SUM(L59:L62)</f>
        <v>2528</v>
      </c>
      <c r="M63" s="200" t="n">
        <f aca="false">SUM(K63:L63)</f>
        <v>5056</v>
      </c>
      <c r="N63" s="197" t="n">
        <f aca="false">SUM(N59:N62)</f>
        <v>368</v>
      </c>
      <c r="O63" s="198" t="n">
        <f aca="false">SUM(O59:O62)</f>
        <v>368</v>
      </c>
      <c r="P63" s="200" t="n">
        <f aca="false">SUM(N63:O63)</f>
        <v>736</v>
      </c>
    </row>
    <row r="64" customFormat="false" ht="18.75" hidden="false" customHeight="true" outlineLevel="0" collapsed="false">
      <c r="A64" s="302" t="str">
        <f aca="false">'☆掛負収入'!A64</f>
        <v>任意継続組合員</v>
      </c>
      <c r="B64" s="303"/>
      <c r="C64" s="304"/>
      <c r="D64" s="305"/>
      <c r="E64" s="306"/>
      <c r="F64" s="292"/>
      <c r="G64" s="293"/>
      <c r="H64" s="678"/>
      <c r="I64" s="282"/>
      <c r="J64" s="283"/>
      <c r="K64" s="524"/>
      <c r="L64" s="679"/>
      <c r="M64" s="292"/>
      <c r="N64" s="524"/>
      <c r="O64" s="679"/>
      <c r="P64" s="292"/>
    </row>
    <row r="65" customFormat="false" ht="30" hidden="false" customHeight="true" outlineLevel="0" collapsed="false">
      <c r="A65" s="680" t="str">
        <f aca="false">'☆掛負収入'!A65</f>
        <v>総　　計</v>
      </c>
      <c r="B65" s="429" t="n">
        <f aca="false">SUM(B22+B53+B58+B63)</f>
        <v>2862120</v>
      </c>
      <c r="C65" s="200" t="n">
        <f aca="false">SUM(C22+C53+C58+C63)</f>
        <v>234600</v>
      </c>
      <c r="D65" s="681" t="n">
        <f aca="false">SUM(D22+D53+D58+D63)</f>
        <v>8993535</v>
      </c>
      <c r="E65" s="199" t="n">
        <f aca="false">SUM(E22+E53+E58+E63)</f>
        <v>737175</v>
      </c>
      <c r="F65" s="201" t="n">
        <f aca="false">SUM(F22+F53+F58+F63)</f>
        <v>8764</v>
      </c>
      <c r="G65" s="197" t="n">
        <f aca="false">SUM(B65:F65)</f>
        <v>12836194</v>
      </c>
      <c r="H65" s="682" t="n">
        <f aca="false">SUM(H22+H53+H58+H63+H64)</f>
        <v>1547479</v>
      </c>
      <c r="I65" s="683" t="n">
        <f aca="false">SUM(I22+I53+I58+I63+I64)</f>
        <v>5196260</v>
      </c>
      <c r="J65" s="684" t="n">
        <f aca="false">SUM(H65:I65)</f>
        <v>6743739</v>
      </c>
      <c r="K65" s="685" t="n">
        <f aca="false">K22+K53+K58+K63+K64</f>
        <v>165110</v>
      </c>
      <c r="L65" s="686" t="n">
        <f aca="false">L22+L53+L58+L63</f>
        <v>582862</v>
      </c>
      <c r="M65" s="684" t="n">
        <f aca="false">SUM(K65:L65)</f>
        <v>747972</v>
      </c>
      <c r="N65" s="685" t="n">
        <f aca="false">N22+N53+N58+N63+N64</f>
        <v>34301</v>
      </c>
      <c r="O65" s="686" t="n">
        <f aca="false">O22+O53+O58+O63</f>
        <v>115102</v>
      </c>
      <c r="P65" s="684" t="n">
        <f aca="false">SUM(N65:O65)</f>
        <v>149403</v>
      </c>
    </row>
    <row r="66" customFormat="false" ht="18.75" hidden="false" customHeight="true" outlineLevel="0" collapsed="false">
      <c r="A66" s="340"/>
      <c r="B66" s="341"/>
      <c r="C66" s="341"/>
      <c r="D66" s="341"/>
      <c r="E66" s="341"/>
      <c r="F66" s="341"/>
      <c r="G66" s="341"/>
      <c r="H66" s="341"/>
      <c r="I66" s="341"/>
      <c r="J66" s="341"/>
      <c r="K66" s="341"/>
      <c r="L66" s="341"/>
      <c r="M66" s="341"/>
      <c r="N66" s="341"/>
      <c r="O66" s="341"/>
      <c r="P66" s="341"/>
    </row>
    <row r="67" customFormat="false" ht="30" hidden="false" customHeight="true" outlineLevel="0" collapsed="false">
      <c r="A67" s="320"/>
      <c r="B67" s="416" t="n">
        <f aca="false">'☆掛負収入'!B67</f>
        <v>46173</v>
      </c>
      <c r="C67" s="416" t="n">
        <f aca="false">'☆掛負収入'!C67</f>
        <v>0</v>
      </c>
      <c r="D67" s="416" t="n">
        <f aca="false">'☆掛負収入'!D67</f>
        <v>0</v>
      </c>
      <c r="E67" s="416" t="n">
        <f aca="false">'☆掛負収入'!E67</f>
        <v>0</v>
      </c>
      <c r="F67" s="416" t="n">
        <f aca="false">'☆掛負収入'!F67</f>
        <v>0</v>
      </c>
      <c r="G67" s="416" t="n">
        <f aca="false">'☆掛負収入'!G67</f>
        <v>0</v>
      </c>
      <c r="H67" s="687" t="n">
        <f aca="false">'☆掛負収入'!H67</f>
        <v>46173</v>
      </c>
      <c r="I67" s="687" t="n">
        <f aca="false">'☆掛負収入'!I67</f>
        <v>0</v>
      </c>
      <c r="J67" s="687" t="n">
        <f aca="false">'☆掛負収入'!J67</f>
        <v>0</v>
      </c>
      <c r="K67" s="687" t="n">
        <f aca="false">'☆掛負収入'!K67</f>
        <v>46173</v>
      </c>
      <c r="L67" s="687" t="n">
        <f aca="false">'☆掛負収入'!L67</f>
        <v>0</v>
      </c>
      <c r="M67" s="687" t="n">
        <f aca="false">'☆掛負収入'!M67</f>
        <v>0</v>
      </c>
      <c r="N67" s="687" t="n">
        <f aca="false">'☆掛負収入'!N67</f>
        <v>46173</v>
      </c>
      <c r="O67" s="687" t="n">
        <f aca="false">'☆掛負収入'!O67</f>
        <v>0</v>
      </c>
      <c r="P67" s="687" t="n">
        <f aca="false">'☆掛負収入'!P67</f>
        <v>0</v>
      </c>
    </row>
    <row r="68" customFormat="false" ht="22.5" hidden="false" customHeight="true" outlineLevel="0" collapsed="false">
      <c r="A68" s="114" t="str">
        <f aca="false">'☆掛負収入'!A68</f>
        <v>区　　分</v>
      </c>
      <c r="B68" s="114" t="str">
        <f aca="false">'☆掛負収入'!B68</f>
        <v>長　期　経　理</v>
      </c>
      <c r="C68" s="114" t="n">
        <f aca="false">'☆掛負収入'!C68</f>
        <v>0</v>
      </c>
      <c r="D68" s="114" t="n">
        <f aca="false">'☆掛負収入'!D68</f>
        <v>0</v>
      </c>
      <c r="E68" s="114" t="n">
        <f aca="false">'☆掛負収入'!E68</f>
        <v>0</v>
      </c>
      <c r="F68" s="114" t="n">
        <f aca="false">'☆掛負収入'!F68</f>
        <v>0</v>
      </c>
      <c r="G68" s="114" t="n">
        <f aca="false">'☆掛負収入'!G68</f>
        <v>0</v>
      </c>
      <c r="H68" s="116" t="str">
        <f aca="false">'☆掛負収入'!H68</f>
        <v>短　期　経　理</v>
      </c>
      <c r="I68" s="116" t="n">
        <f aca="false">'☆掛負収入'!I68</f>
        <v>0</v>
      </c>
      <c r="J68" s="116" t="n">
        <f aca="false">'☆掛負収入'!J68</f>
        <v>0</v>
      </c>
      <c r="K68" s="116" t="str">
        <f aca="false">'☆掛負収入'!K68</f>
        <v>介　護　納　付　金</v>
      </c>
      <c r="L68" s="116" t="n">
        <f aca="false">'☆掛負収入'!L68</f>
        <v>0</v>
      </c>
      <c r="M68" s="116" t="n">
        <f aca="false">'☆掛負収入'!M68</f>
        <v>0</v>
      </c>
      <c r="N68" s="116" t="str">
        <f aca="false">'☆掛負収入'!N68</f>
        <v>子ども・子育て支援納付金</v>
      </c>
      <c r="O68" s="116" t="n">
        <f aca="false">'☆掛負収入'!O68</f>
        <v>0</v>
      </c>
      <c r="P68" s="116" t="n">
        <f aca="false">'☆掛負収入'!P68</f>
        <v>0</v>
      </c>
    </row>
    <row r="69" customFormat="false" ht="22.5" hidden="false" customHeight="true" outlineLevel="0" collapsed="false">
      <c r="A69" s="114" t="n">
        <f aca="false">'☆掛負収入'!A69</f>
        <v>0</v>
      </c>
      <c r="B69" s="117" t="str">
        <f aca="false">'☆掛負収入'!B69</f>
        <v>組合員負担分</v>
      </c>
      <c r="C69" s="117" t="n">
        <f aca="false">'☆掛負収入'!C69</f>
        <v>0</v>
      </c>
      <c r="D69" s="117" t="str">
        <f aca="false">'☆掛負収入'!D69</f>
        <v>事業主負担分</v>
      </c>
      <c r="E69" s="117" t="n">
        <f aca="false">'☆掛負収入'!E69</f>
        <v>0</v>
      </c>
      <c r="F69" s="117" t="n">
        <f aca="false">'☆掛負収入'!F69</f>
        <v>0</v>
      </c>
      <c r="G69" s="611" t="str">
        <f aca="false">'☆掛負収入'!G69</f>
        <v>計</v>
      </c>
      <c r="H69" s="121" t="str">
        <f aca="false">'☆掛負収入'!H69</f>
        <v>掛　金</v>
      </c>
      <c r="I69" s="119" t="str">
        <f aca="false">'☆掛負収入'!I69</f>
        <v>負担金</v>
      </c>
      <c r="J69" s="120" t="str">
        <f aca="false">'☆掛負収入'!J69</f>
        <v>計</v>
      </c>
      <c r="K69" s="121" t="str">
        <f aca="false">'☆掛負収入'!K69</f>
        <v>掛　金</v>
      </c>
      <c r="L69" s="119" t="str">
        <f aca="false">'☆掛負収入'!L69</f>
        <v>負担金</v>
      </c>
      <c r="M69" s="120" t="str">
        <f aca="false">'☆掛負収入'!M69</f>
        <v>計</v>
      </c>
      <c r="N69" s="121" t="str">
        <f aca="false">'☆掛負収入'!N69</f>
        <v>掛　金</v>
      </c>
      <c r="O69" s="119" t="str">
        <f aca="false">'☆掛負収入'!O69</f>
        <v>負担金</v>
      </c>
      <c r="P69" s="120" t="str">
        <f aca="false">'☆掛負収入'!P69</f>
        <v>計</v>
      </c>
    </row>
    <row r="70" customFormat="false" ht="22.5" hidden="false" customHeight="true" outlineLevel="0" collapsed="false">
      <c r="A70" s="114" t="n">
        <f aca="false">'☆掛負収入'!A70</f>
        <v>0</v>
      </c>
      <c r="B70" s="612" t="str">
        <f aca="false">'☆掛負収入'!B70</f>
        <v>厚生年金保険料</v>
      </c>
      <c r="C70" s="613" t="str">
        <f aca="false">'☆掛負収入'!C70</f>
        <v>退職等年金掛金</v>
      </c>
      <c r="D70" s="614" t="str">
        <f aca="false">'☆掛負収入'!D70</f>
        <v>厚生年金保険料</v>
      </c>
      <c r="E70" s="614" t="str">
        <f aca="false">'☆掛負収入'!E70</f>
        <v>退職等年金負担金</v>
      </c>
      <c r="F70" s="615" t="str">
        <f aca="false">'☆掛負収入'!F70</f>
        <v>経過的長期</v>
      </c>
      <c r="G70" s="611" t="n">
        <f aca="false">'☆掛負収入'!G70</f>
        <v>0</v>
      </c>
      <c r="H70" s="121" t="n">
        <f aca="false">'☆掛負収入'!H70</f>
        <v>0</v>
      </c>
      <c r="I70" s="119" t="n">
        <f aca="false">'☆掛負収入'!I70</f>
        <v>0</v>
      </c>
      <c r="J70" s="120" t="n">
        <f aca="false">'☆掛負収入'!J70</f>
        <v>0</v>
      </c>
      <c r="K70" s="121" t="n">
        <f aca="false">'☆掛負収入'!K70</f>
        <v>0</v>
      </c>
      <c r="L70" s="119" t="n">
        <f aca="false">'☆掛負収入'!L70</f>
        <v>0</v>
      </c>
      <c r="M70" s="120" t="n">
        <f aca="false">'☆掛負収入'!M70</f>
        <v>0</v>
      </c>
      <c r="N70" s="121" t="n">
        <f aca="false">'☆掛負収入'!N70</f>
        <v>0</v>
      </c>
      <c r="O70" s="119" t="n">
        <f aca="false">'☆掛負収入'!O70</f>
        <v>0</v>
      </c>
      <c r="P70" s="120" t="n">
        <f aca="false">'☆掛負収入'!P70</f>
        <v>0</v>
      </c>
    </row>
    <row r="71" customFormat="false" ht="18.75" hidden="false" customHeight="true" outlineLevel="0" collapsed="false">
      <c r="A71" s="125" t="str">
        <f aca="false">'☆掛負収入'!A71</f>
        <v>市長部局</v>
      </c>
      <c r="B71" s="616"/>
      <c r="C71" s="389"/>
      <c r="D71" s="617"/>
      <c r="E71" s="617"/>
      <c r="F71" s="209"/>
      <c r="G71" s="389"/>
      <c r="H71" s="616"/>
      <c r="I71" s="618"/>
      <c r="J71" s="389"/>
      <c r="K71" s="688"/>
      <c r="L71" s="618"/>
      <c r="M71" s="389"/>
      <c r="N71" s="688"/>
      <c r="O71" s="618"/>
      <c r="P71" s="389"/>
    </row>
    <row r="72" customFormat="false" ht="18.75" hidden="false" customHeight="true" outlineLevel="0" collapsed="false">
      <c r="A72" s="125" t="str">
        <f aca="false">'☆掛負収入'!A72</f>
        <v>下水道局</v>
      </c>
      <c r="B72" s="431"/>
      <c r="C72" s="206"/>
      <c r="D72" s="617"/>
      <c r="E72" s="617"/>
      <c r="F72" s="160"/>
      <c r="G72" s="206"/>
      <c r="H72" s="619"/>
      <c r="I72" s="449"/>
      <c r="J72" s="160"/>
      <c r="K72" s="620"/>
      <c r="L72" s="621"/>
      <c r="M72" s="160"/>
      <c r="N72" s="620"/>
      <c r="O72" s="621"/>
      <c r="P72" s="160"/>
    </row>
    <row r="73" customFormat="false" ht="18.75" hidden="false" customHeight="true" outlineLevel="0" collapsed="false">
      <c r="A73" s="125" t="str">
        <f aca="false">'☆掛負収入'!A73</f>
        <v>消防局</v>
      </c>
      <c r="B73" s="431"/>
      <c r="C73" s="206"/>
      <c r="D73" s="617"/>
      <c r="E73" s="617"/>
      <c r="F73" s="160"/>
      <c r="G73" s="206"/>
      <c r="H73" s="619"/>
      <c r="I73" s="449"/>
      <c r="J73" s="160"/>
      <c r="K73" s="620"/>
      <c r="L73" s="621"/>
      <c r="M73" s="160"/>
      <c r="N73" s="620"/>
      <c r="O73" s="621"/>
      <c r="P73" s="160"/>
    </row>
    <row r="74" customFormat="false" ht="18.75" hidden="false" customHeight="true" outlineLevel="0" collapsed="false">
      <c r="A74" s="125" t="str">
        <f aca="false">'☆掛負収入'!A74</f>
        <v>議会事務局</v>
      </c>
      <c r="B74" s="431"/>
      <c r="C74" s="206"/>
      <c r="D74" s="617"/>
      <c r="E74" s="617"/>
      <c r="F74" s="160"/>
      <c r="G74" s="206"/>
      <c r="H74" s="431"/>
      <c r="I74" s="464"/>
      <c r="J74" s="160"/>
      <c r="K74" s="431"/>
      <c r="L74" s="464"/>
      <c r="M74" s="160"/>
      <c r="N74" s="431"/>
      <c r="O74" s="464"/>
      <c r="P74" s="160"/>
    </row>
    <row r="75" customFormat="false" ht="18.75" hidden="false" customHeight="true" outlineLevel="0" collapsed="false">
      <c r="A75" s="125" t="str">
        <f aca="false">'☆掛負収入'!A75</f>
        <v>教育委員会（総務課）</v>
      </c>
      <c r="B75" s="431"/>
      <c r="C75" s="206"/>
      <c r="D75" s="617"/>
      <c r="E75" s="617"/>
      <c r="F75" s="160"/>
      <c r="G75" s="206"/>
      <c r="H75" s="431"/>
      <c r="I75" s="464"/>
      <c r="J75" s="160"/>
      <c r="K75" s="431"/>
      <c r="L75" s="464"/>
      <c r="M75" s="160"/>
      <c r="N75" s="431"/>
      <c r="O75" s="464"/>
      <c r="P75" s="160"/>
    </row>
    <row r="76" customFormat="false" ht="18.75" hidden="false" customHeight="true" outlineLevel="0" collapsed="false">
      <c r="A76" s="125" t="str">
        <f aca="false">'☆掛負収入'!A76</f>
        <v>選挙管理委員会</v>
      </c>
      <c r="B76" s="431"/>
      <c r="C76" s="206"/>
      <c r="D76" s="617"/>
      <c r="E76" s="617"/>
      <c r="F76" s="160"/>
      <c r="G76" s="206"/>
      <c r="H76" s="619"/>
      <c r="I76" s="449"/>
      <c r="J76" s="160"/>
      <c r="K76" s="431"/>
      <c r="L76" s="464"/>
      <c r="M76" s="160"/>
      <c r="N76" s="431"/>
      <c r="O76" s="464"/>
      <c r="P76" s="160"/>
    </row>
    <row r="77" customFormat="false" ht="18.75" hidden="false" customHeight="true" outlineLevel="0" collapsed="false">
      <c r="A77" s="125" t="str">
        <f aca="false">'☆掛負収入'!A77</f>
        <v>人事委員会</v>
      </c>
      <c r="B77" s="431"/>
      <c r="C77" s="206"/>
      <c r="D77" s="617"/>
      <c r="E77" s="617"/>
      <c r="F77" s="160"/>
      <c r="G77" s="206"/>
      <c r="H77" s="619"/>
      <c r="I77" s="449"/>
      <c r="J77" s="160"/>
      <c r="K77" s="619"/>
      <c r="L77" s="449"/>
      <c r="M77" s="160"/>
      <c r="N77" s="619"/>
      <c r="O77" s="449"/>
      <c r="P77" s="160"/>
    </row>
    <row r="78" customFormat="false" ht="18.75" hidden="false" customHeight="true" outlineLevel="0" collapsed="false">
      <c r="A78" s="125" t="str">
        <f aca="false">'☆掛負収入'!A78</f>
        <v>監査事務局</v>
      </c>
      <c r="B78" s="431"/>
      <c r="C78" s="206"/>
      <c r="D78" s="617"/>
      <c r="E78" s="617"/>
      <c r="F78" s="160"/>
      <c r="G78" s="206"/>
      <c r="H78" s="619"/>
      <c r="I78" s="449"/>
      <c r="J78" s="160"/>
      <c r="K78" s="619"/>
      <c r="L78" s="449"/>
      <c r="M78" s="160"/>
      <c r="N78" s="619"/>
      <c r="O78" s="449"/>
      <c r="P78" s="160"/>
    </row>
    <row r="79" customFormat="false" ht="18.75" hidden="false" customHeight="true" outlineLevel="0" collapsed="false">
      <c r="A79" s="125" t="str">
        <f aca="false">'☆掛負収入'!A79</f>
        <v>農業委員会</v>
      </c>
      <c r="B79" s="431"/>
      <c r="C79" s="206"/>
      <c r="D79" s="617"/>
      <c r="E79" s="617"/>
      <c r="F79" s="160"/>
      <c r="G79" s="206"/>
      <c r="H79" s="619"/>
      <c r="I79" s="449"/>
      <c r="J79" s="160"/>
      <c r="K79" s="619"/>
      <c r="L79" s="449"/>
      <c r="M79" s="160"/>
      <c r="N79" s="619"/>
      <c r="O79" s="449"/>
      <c r="P79" s="160"/>
    </row>
    <row r="80" customFormat="false" ht="18.75" hidden="false" customHeight="true" outlineLevel="0" collapsed="false">
      <c r="A80" s="125" t="str">
        <f aca="false">'☆掛負収入'!A80</f>
        <v>水道局</v>
      </c>
      <c r="B80" s="431"/>
      <c r="C80" s="206"/>
      <c r="D80" s="617"/>
      <c r="E80" s="617"/>
      <c r="F80" s="160"/>
      <c r="G80" s="206"/>
      <c r="H80" s="619"/>
      <c r="I80" s="449"/>
      <c r="J80" s="160"/>
      <c r="K80" s="619"/>
      <c r="L80" s="449"/>
      <c r="M80" s="160"/>
      <c r="N80" s="619"/>
      <c r="O80" s="449"/>
      <c r="P80" s="160"/>
    </row>
    <row r="81" customFormat="false" ht="18.75" hidden="false" customHeight="true" outlineLevel="0" collapsed="false">
      <c r="A81" s="146" t="str">
        <f aca="false">'☆掛負収入'!A81</f>
        <v>医療政策課(安芸市民)</v>
      </c>
      <c r="B81" s="620"/>
      <c r="C81" s="391"/>
      <c r="D81" s="620"/>
      <c r="E81" s="621"/>
      <c r="F81" s="418"/>
      <c r="G81" s="206"/>
      <c r="H81" s="622"/>
      <c r="I81" s="432"/>
      <c r="J81" s="160"/>
      <c r="K81" s="619"/>
      <c r="L81" s="449"/>
      <c r="M81" s="160"/>
      <c r="N81" s="619"/>
      <c r="O81" s="449"/>
      <c r="P81" s="160"/>
    </row>
    <row r="82" customFormat="false" ht="18.75" hidden="false" customHeight="true" outlineLevel="0" collapsed="false">
      <c r="A82" s="146" t="str">
        <f aca="false">'☆掛負収入'!A82</f>
        <v>教育委員会（教育給与課）</v>
      </c>
      <c r="B82" s="620"/>
      <c r="C82" s="206"/>
      <c r="D82" s="431"/>
      <c r="E82" s="623"/>
      <c r="F82" s="309"/>
      <c r="G82" s="206"/>
      <c r="H82" s="619"/>
      <c r="I82" s="449"/>
      <c r="J82" s="160"/>
      <c r="K82" s="619"/>
      <c r="L82" s="449"/>
      <c r="M82" s="160"/>
      <c r="N82" s="619"/>
      <c r="O82" s="449"/>
      <c r="P82" s="160"/>
    </row>
    <row r="83" customFormat="false" ht="18.75" hidden="true" customHeight="true" outlineLevel="0" collapsed="false">
      <c r="A83" s="624"/>
      <c r="B83" s="625"/>
      <c r="C83" s="235"/>
      <c r="D83" s="625"/>
      <c r="E83" s="626"/>
      <c r="F83" s="626"/>
      <c r="G83" s="285"/>
      <c r="H83" s="627"/>
      <c r="I83" s="628"/>
      <c r="J83" s="221"/>
      <c r="K83" s="627"/>
      <c r="L83" s="628"/>
      <c r="M83" s="337"/>
      <c r="N83" s="627"/>
      <c r="O83" s="628"/>
      <c r="P83" s="337"/>
    </row>
    <row r="84" customFormat="false" ht="18.75" hidden="true" customHeight="true" outlineLevel="0" collapsed="false">
      <c r="A84" s="629"/>
      <c r="B84" s="482"/>
      <c r="C84" s="157"/>
      <c r="D84" s="482"/>
      <c r="E84" s="483"/>
      <c r="F84" s="483"/>
      <c r="G84" s="466"/>
      <c r="H84" s="482"/>
      <c r="I84" s="483"/>
      <c r="J84" s="484"/>
      <c r="K84" s="482"/>
      <c r="L84" s="483"/>
      <c r="M84" s="156"/>
      <c r="N84" s="482"/>
      <c r="O84" s="483"/>
      <c r="P84" s="156"/>
    </row>
    <row r="85" customFormat="false" ht="18.75" hidden="true" customHeight="true" outlineLevel="0" collapsed="false">
      <c r="A85" s="629"/>
      <c r="B85" s="625"/>
      <c r="C85" s="235"/>
      <c r="D85" s="625"/>
      <c r="E85" s="626"/>
      <c r="F85" s="626"/>
      <c r="G85" s="285"/>
      <c r="H85" s="625"/>
      <c r="I85" s="626"/>
      <c r="J85" s="221"/>
      <c r="K85" s="625"/>
      <c r="L85" s="626"/>
      <c r="M85" s="337"/>
      <c r="N85" s="625"/>
      <c r="O85" s="626"/>
      <c r="P85" s="337"/>
    </row>
    <row r="86" customFormat="false" ht="18.75" hidden="true" customHeight="true" outlineLevel="0" collapsed="false">
      <c r="A86" s="630"/>
      <c r="B86" s="631"/>
      <c r="C86" s="632"/>
      <c r="D86" s="631"/>
      <c r="E86" s="515"/>
      <c r="F86" s="515"/>
      <c r="G86" s="689"/>
      <c r="H86" s="482"/>
      <c r="I86" s="634"/>
      <c r="J86" s="690"/>
      <c r="K86" s="482"/>
      <c r="L86" s="483"/>
      <c r="M86" s="156"/>
      <c r="N86" s="482"/>
      <c r="O86" s="483"/>
      <c r="P86" s="156"/>
    </row>
    <row r="87" customFormat="false" ht="18.75" hidden="false" customHeight="true" outlineLevel="0" collapsed="false">
      <c r="A87" s="196" t="str">
        <f aca="false">'☆掛負収入'!A87</f>
        <v>小　計</v>
      </c>
      <c r="B87" s="429"/>
      <c r="C87" s="199"/>
      <c r="D87" s="429"/>
      <c r="E87" s="199"/>
      <c r="F87" s="200"/>
      <c r="G87" s="201"/>
      <c r="H87" s="429"/>
      <c r="I87" s="199"/>
      <c r="J87" s="201"/>
      <c r="K87" s="429"/>
      <c r="L87" s="199"/>
      <c r="M87" s="201"/>
      <c r="N87" s="429"/>
      <c r="O87" s="199"/>
      <c r="P87" s="201"/>
    </row>
    <row r="88" customFormat="false" ht="18.75" hidden="false" customHeight="true" outlineLevel="0" collapsed="false">
      <c r="A88" s="635" t="str">
        <f aca="false">'☆掛負収入'!A88</f>
        <v>地方税共同機構</v>
      </c>
      <c r="B88" s="469" t="n">
        <f aca="false">'☆掛負収入'!B88</f>
        <v>0</v>
      </c>
      <c r="C88" s="260" t="n">
        <f aca="false">'☆掛負収入'!C88</f>
        <v>0</v>
      </c>
      <c r="D88" s="501" t="n">
        <f aca="false">'☆掛負収入'!D88</f>
        <v>0</v>
      </c>
      <c r="E88" s="488" t="n">
        <f aca="false">'☆掛負収入'!E88</f>
        <v>0</v>
      </c>
      <c r="F88" s="475" t="n">
        <f aca="false">'☆掛負収入'!F88</f>
        <v>0</v>
      </c>
      <c r="G88" s="691" t="n">
        <f aca="false">SUM(B88:F88)</f>
        <v>0</v>
      </c>
      <c r="H88" s="619" t="n">
        <f aca="false">'☆掛負収入'!H88</f>
        <v>0</v>
      </c>
      <c r="I88" s="449" t="n">
        <f aca="false">'☆掛負収入'!I88</f>
        <v>0</v>
      </c>
      <c r="J88" s="160" t="n">
        <f aca="false">SUM(H88:I88)</f>
        <v>0</v>
      </c>
      <c r="K88" s="619" t="n">
        <f aca="false">'☆掛負収入'!K88</f>
        <v>0</v>
      </c>
      <c r="L88" s="449" t="n">
        <f aca="false">'☆掛負収入'!L88</f>
        <v>0</v>
      </c>
      <c r="M88" s="160" t="n">
        <f aca="false">SUM(K88:L88)</f>
        <v>0</v>
      </c>
      <c r="N88" s="619" t="n">
        <f aca="false">'☆掛負収入'!N88</f>
        <v>0</v>
      </c>
      <c r="O88" s="449" t="n">
        <f aca="false">'☆掛負収入'!O88</f>
        <v>0</v>
      </c>
      <c r="P88" s="160" t="n">
        <f aca="false">SUM(N88:O88)</f>
        <v>0</v>
      </c>
    </row>
    <row r="89" customFormat="false" ht="18.75" hidden="false" customHeight="true" outlineLevel="0" collapsed="false">
      <c r="A89" s="366" t="str">
        <f aca="false">'☆掛負収入'!A89</f>
        <v>平和文化センター</v>
      </c>
      <c r="B89" s="474" t="n">
        <f aca="false">'☆掛負収入'!B89</f>
        <v>0</v>
      </c>
      <c r="C89" s="402" t="n">
        <f aca="false">'☆掛負収入'!C89</f>
        <v>0</v>
      </c>
      <c r="D89" s="692" t="n">
        <f aca="false">'☆掛負収入'!D89</f>
        <v>765855</v>
      </c>
      <c r="E89" s="477" t="n">
        <f aca="false">'☆掛負収入'!E89</f>
        <v>62775</v>
      </c>
      <c r="F89" s="475" t="n">
        <f aca="false">'☆掛負収入'!F89</f>
        <v>789</v>
      </c>
      <c r="G89" s="693" t="n">
        <f aca="false">SUM(B89:F89)</f>
        <v>829419</v>
      </c>
      <c r="H89" s="619" t="n">
        <f aca="false">'☆掛負収入'!H89</f>
        <v>0</v>
      </c>
      <c r="I89" s="449" t="n">
        <f aca="false">'☆掛負収入'!I89</f>
        <v>441236</v>
      </c>
      <c r="J89" s="160" t="n">
        <f aca="false">SUM(H89:I89)</f>
        <v>441236</v>
      </c>
      <c r="K89" s="619" t="n">
        <f aca="false">'☆掛負収入'!K89</f>
        <v>0</v>
      </c>
      <c r="L89" s="449" t="n">
        <f aca="false">'☆掛負収入'!L89</f>
        <v>54826</v>
      </c>
      <c r="M89" s="160" t="n">
        <f aca="false">SUM(K89:L89)</f>
        <v>54826</v>
      </c>
      <c r="N89" s="619" t="n">
        <f aca="false">'☆掛負収入'!N89</f>
        <v>0</v>
      </c>
      <c r="O89" s="449" t="n">
        <f aca="false">'☆掛負収入'!O89</f>
        <v>9775</v>
      </c>
      <c r="P89" s="160" t="n">
        <f aca="false">SUM(N89:O89)</f>
        <v>9775</v>
      </c>
    </row>
    <row r="90" customFormat="false" ht="18.75" hidden="false" customHeight="true" outlineLevel="0" collapsed="false">
      <c r="A90" s="366" t="str">
        <f aca="false">'☆掛負収入'!A90</f>
        <v>社会福祉事業団</v>
      </c>
      <c r="B90" s="625"/>
      <c r="C90" s="235"/>
      <c r="D90" s="477" t="n">
        <f aca="false">'☆掛負収入'!D90</f>
        <v>2020320</v>
      </c>
      <c r="E90" s="478" t="n">
        <f aca="false">'☆掛負収入'!E90</f>
        <v>165600</v>
      </c>
      <c r="F90" s="475" t="n">
        <f aca="false">'☆掛負収入'!F90</f>
        <v>1999</v>
      </c>
      <c r="G90" s="693" t="n">
        <f aca="false">SUM(B90:F90)</f>
        <v>2187919</v>
      </c>
      <c r="H90" s="627"/>
      <c r="I90" s="449" t="n">
        <f aca="false">'☆掛負収入'!I90</f>
        <v>1298833</v>
      </c>
      <c r="J90" s="160" t="n">
        <f aca="false">SUM(H90:I90)</f>
        <v>1298833</v>
      </c>
      <c r="K90" s="627"/>
      <c r="L90" s="449" t="n">
        <f aca="false">'☆掛負収入'!L90</f>
        <v>141726</v>
      </c>
      <c r="M90" s="160" t="n">
        <f aca="false">SUM(K90:L90)</f>
        <v>141726</v>
      </c>
      <c r="N90" s="627"/>
      <c r="O90" s="449" t="n">
        <f aca="false">'☆掛負収入'!O90</f>
        <v>28771</v>
      </c>
      <c r="P90" s="160" t="n">
        <f aca="false">SUM(N90:O90)</f>
        <v>28771</v>
      </c>
    </row>
    <row r="91" customFormat="false" ht="18.75" hidden="false" customHeight="true" outlineLevel="0" collapsed="false">
      <c r="A91" s="366" t="str">
        <f aca="false">'☆掛負収入'!A91</f>
        <v>原爆障害対策協議会</v>
      </c>
      <c r="B91" s="625"/>
      <c r="C91" s="235"/>
      <c r="D91" s="470" t="n">
        <f aca="false">'☆掛負収入'!D91</f>
        <v>59475</v>
      </c>
      <c r="E91" s="478" t="n">
        <f aca="false">'☆掛負収入'!E91</f>
        <v>4875</v>
      </c>
      <c r="F91" s="475" t="n">
        <f aca="false">'☆掛負収入'!F91</f>
        <v>56</v>
      </c>
      <c r="G91" s="693" t="n">
        <f aca="false">SUM(B91:F91)</f>
        <v>64406</v>
      </c>
      <c r="H91" s="627"/>
      <c r="I91" s="449" t="n">
        <f aca="false">'☆掛負収入'!I91</f>
        <v>36856</v>
      </c>
      <c r="J91" s="160" t="n">
        <f aca="false">SUM(H91:I91)</f>
        <v>36856</v>
      </c>
      <c r="K91" s="627"/>
      <c r="L91" s="449" t="n">
        <f aca="false">'☆掛負収入'!L91</f>
        <v>5609</v>
      </c>
      <c r="M91" s="160" t="n">
        <f aca="false">SUM(K91:L91)</f>
        <v>5609</v>
      </c>
      <c r="N91" s="627"/>
      <c r="O91" s="449" t="n">
        <f aca="false">'☆掛負収入'!O91</f>
        <v>816</v>
      </c>
      <c r="P91" s="160" t="n">
        <f aca="false">SUM(N91:O91)</f>
        <v>816</v>
      </c>
    </row>
    <row r="92" customFormat="false" ht="18.75" hidden="false" customHeight="true" outlineLevel="0" collapsed="false">
      <c r="A92" s="367" t="str">
        <f aca="false">'☆掛負収入'!A92</f>
        <v>産業振興センター</v>
      </c>
      <c r="B92" s="625"/>
      <c r="C92" s="235"/>
      <c r="D92" s="470" t="n">
        <f aca="false">'☆掛負収入'!D92</f>
        <v>417240</v>
      </c>
      <c r="E92" s="478" t="n">
        <f aca="false">'☆掛負収入'!E92</f>
        <v>34200</v>
      </c>
      <c r="F92" s="475" t="n">
        <f aca="false">'☆掛負収入'!F92</f>
        <v>395</v>
      </c>
      <c r="G92" s="693" t="n">
        <f aca="false">SUM(B92:F92)</f>
        <v>451835</v>
      </c>
      <c r="H92" s="627"/>
      <c r="I92" s="449" t="n">
        <f aca="false">'☆掛負収入'!I92</f>
        <v>236708</v>
      </c>
      <c r="J92" s="160" t="n">
        <f aca="false">SUM(H92:I92)</f>
        <v>236708</v>
      </c>
      <c r="K92" s="627"/>
      <c r="L92" s="449" t="n">
        <f aca="false">'☆掛負収入'!L92</f>
        <v>30968</v>
      </c>
      <c r="M92" s="160" t="n">
        <f aca="false">SUM(K92:L92)</f>
        <v>30968</v>
      </c>
      <c r="N92" s="627"/>
      <c r="O92" s="449" t="n">
        <f aca="false">'☆掛負収入'!O92</f>
        <v>5243</v>
      </c>
      <c r="P92" s="160" t="n">
        <f aca="false">SUM(N92:O92)</f>
        <v>5243</v>
      </c>
    </row>
    <row r="93" customFormat="false" ht="18.75" hidden="false" customHeight="true" outlineLevel="0" collapsed="false">
      <c r="A93" s="368" t="str">
        <f aca="false">'☆掛負収入'!A93</f>
        <v>ひろしま産業振興</v>
      </c>
      <c r="B93" s="625"/>
      <c r="C93" s="484"/>
      <c r="D93" s="470" t="n">
        <f aca="false">'☆掛負収入'!D93</f>
        <v>40260</v>
      </c>
      <c r="E93" s="478" t="n">
        <f aca="false">'☆掛負収入'!E93</f>
        <v>3300</v>
      </c>
      <c r="F93" s="481" t="n">
        <f aca="false">'☆掛負収入'!F93</f>
        <v>38</v>
      </c>
      <c r="G93" s="693" t="n">
        <f aca="false">SUM(B93:F93)</f>
        <v>43598</v>
      </c>
      <c r="H93" s="627"/>
      <c r="I93" s="432" t="n">
        <f aca="false">'☆掛負収入'!I93</f>
        <v>22840</v>
      </c>
      <c r="J93" s="160" t="n">
        <f aca="false">SUM(H93:I93)</f>
        <v>22840</v>
      </c>
      <c r="K93" s="627"/>
      <c r="L93" s="432" t="n">
        <f aca="false">'☆掛負収入'!L93</f>
        <v>3476</v>
      </c>
      <c r="M93" s="160" t="n">
        <f aca="false">SUM(K93:L93)</f>
        <v>3476</v>
      </c>
      <c r="N93" s="627"/>
      <c r="O93" s="432" t="n">
        <f aca="false">'☆掛負収入'!O93</f>
        <v>506</v>
      </c>
      <c r="P93" s="160" t="n">
        <f aca="false">SUM(N93:O93)</f>
        <v>506</v>
      </c>
    </row>
    <row r="94" customFormat="false" ht="18.75" hidden="false" customHeight="true" outlineLevel="0" collapsed="false">
      <c r="A94" s="368" t="str">
        <f aca="false">'☆掛負収入'!A94</f>
        <v>都市整備公社　市</v>
      </c>
      <c r="B94" s="625"/>
      <c r="C94" s="484"/>
      <c r="D94" s="477" t="n">
        <f aca="false">'☆掛負収入'!D94</f>
        <v>0</v>
      </c>
      <c r="E94" s="478" t="n">
        <f aca="false">'☆掛負収入'!E94</f>
        <v>0</v>
      </c>
      <c r="F94" s="475" t="n">
        <f aca="false">'☆掛負収入'!F94</f>
        <v>0</v>
      </c>
      <c r="G94" s="693" t="n">
        <f aca="false">SUM(B94:F94)</f>
        <v>0</v>
      </c>
      <c r="H94" s="627"/>
      <c r="I94" s="449" t="n">
        <f aca="false">'☆掛負収入'!I94</f>
        <v>0</v>
      </c>
      <c r="J94" s="160" t="n">
        <f aca="false">SUM(H94:I94)</f>
        <v>0</v>
      </c>
      <c r="K94" s="627"/>
      <c r="L94" s="449" t="n">
        <f aca="false">'☆掛負収入'!L94</f>
        <v>0</v>
      </c>
      <c r="M94" s="160" t="n">
        <f aca="false">SUM(K94:L94)</f>
        <v>0</v>
      </c>
      <c r="N94" s="627"/>
      <c r="O94" s="449" t="n">
        <f aca="false">'☆掛負収入'!O94</f>
        <v>0</v>
      </c>
      <c r="P94" s="160" t="n">
        <f aca="false">SUM(N94:O94)</f>
        <v>0</v>
      </c>
    </row>
    <row r="95" customFormat="false" ht="18.75" hidden="false" customHeight="true" outlineLevel="0" collapsed="false">
      <c r="A95" s="369"/>
      <c r="B95" s="625"/>
      <c r="C95" s="221"/>
      <c r="D95" s="470"/>
      <c r="E95" s="478"/>
      <c r="F95" s="475"/>
      <c r="G95" s="693"/>
      <c r="H95" s="627"/>
      <c r="I95" s="449"/>
      <c r="J95" s="160"/>
      <c r="K95" s="627"/>
      <c r="L95" s="449"/>
      <c r="M95" s="160" t="n">
        <f aca="false">SUM(K95:L95)</f>
        <v>0</v>
      </c>
      <c r="N95" s="627"/>
      <c r="O95" s="449"/>
      <c r="P95" s="160" t="n">
        <f aca="false">SUM(N95:O95)</f>
        <v>0</v>
      </c>
    </row>
    <row r="96" customFormat="false" ht="18.75" hidden="false" customHeight="true" outlineLevel="0" collapsed="false">
      <c r="A96" s="368" t="str">
        <f aca="false">'☆掛負収入'!A96</f>
        <v>日本下水道事業団</v>
      </c>
      <c r="B96" s="476" t="n">
        <f aca="false">'☆掛負収入'!B96</f>
        <v>237900</v>
      </c>
      <c r="C96" s="248" t="n">
        <f aca="false">'☆掛負収入'!C96</f>
        <v>19500</v>
      </c>
      <c r="D96" s="470" t="n">
        <f aca="false">'☆掛負収入'!D96</f>
        <v>237900</v>
      </c>
      <c r="E96" s="478" t="n">
        <f aca="false">'☆掛負収入'!E96</f>
        <v>19500</v>
      </c>
      <c r="F96" s="475" t="n">
        <f aca="false">'☆掛負収入'!F96</f>
        <v>225</v>
      </c>
      <c r="G96" s="693" t="n">
        <f aca="false">SUM(B96:F96)</f>
        <v>515025</v>
      </c>
      <c r="H96" s="619" t="n">
        <f aca="false">'☆掛負収入'!H96</f>
        <v>137945</v>
      </c>
      <c r="I96" s="449" t="n">
        <f aca="false">'☆掛負収入'!I96</f>
        <v>138080</v>
      </c>
      <c r="J96" s="160" t="n">
        <f aca="false">SUM(H96:I96)</f>
        <v>276025</v>
      </c>
      <c r="K96" s="619" t="n">
        <f aca="false">'☆掛負収入'!K96</f>
        <v>10744</v>
      </c>
      <c r="L96" s="449" t="n">
        <f aca="false">'☆掛負収入'!L96</f>
        <v>10744</v>
      </c>
      <c r="M96" s="160" t="n">
        <f aca="false">SUM(K96:L96)</f>
        <v>21488</v>
      </c>
      <c r="N96" s="619" t="n">
        <f aca="false">'☆掛負収入'!N96</f>
        <v>3058</v>
      </c>
      <c r="O96" s="449" t="n">
        <f aca="false">'☆掛負収入'!O96</f>
        <v>3059</v>
      </c>
      <c r="P96" s="160" t="n">
        <f aca="false">SUM(N96:O96)</f>
        <v>6117</v>
      </c>
    </row>
    <row r="97" customFormat="false" ht="18.75" hidden="false" customHeight="true" outlineLevel="0" collapsed="false">
      <c r="A97" s="366" t="str">
        <f aca="false">'☆掛負収入'!A97</f>
        <v>地方公務員災害補償基金本部</v>
      </c>
      <c r="B97" s="625"/>
      <c r="C97" s="221"/>
      <c r="D97" s="470" t="n">
        <f aca="false">'☆掛負収入'!D97</f>
        <v>40260</v>
      </c>
      <c r="E97" s="478" t="n">
        <f aca="false">'☆掛負収入'!E97</f>
        <v>3300</v>
      </c>
      <c r="F97" s="475" t="n">
        <f aca="false">'☆掛負収入'!F97</f>
        <v>38</v>
      </c>
      <c r="G97" s="693" t="n">
        <f aca="false">SUM(B97:F97)</f>
        <v>43598</v>
      </c>
      <c r="H97" s="627"/>
      <c r="I97" s="449" t="n">
        <f aca="false">'☆掛負収入'!I97</f>
        <v>22840</v>
      </c>
      <c r="J97" s="160" t="n">
        <f aca="false">SUM(H97:I97)</f>
        <v>22840</v>
      </c>
      <c r="K97" s="627"/>
      <c r="L97" s="449" t="n">
        <f aca="false">'☆掛負収入'!L97</f>
        <v>0</v>
      </c>
      <c r="M97" s="160" t="n">
        <f aca="false">SUM(K97:L97)</f>
        <v>0</v>
      </c>
      <c r="N97" s="627"/>
      <c r="O97" s="449" t="n">
        <f aca="false">'☆掛負収入'!O97</f>
        <v>506</v>
      </c>
      <c r="P97" s="160" t="n">
        <f aca="false">SUM(N97:O97)</f>
        <v>506</v>
      </c>
    </row>
    <row r="98" customFormat="false" ht="18.75" hidden="false" customHeight="true" outlineLevel="0" collapsed="false">
      <c r="A98" s="370"/>
      <c r="B98" s="474"/>
      <c r="C98" s="248"/>
      <c r="D98" s="470"/>
      <c r="E98" s="478"/>
      <c r="F98" s="475"/>
      <c r="G98" s="693"/>
      <c r="H98" s="619"/>
      <c r="I98" s="449"/>
      <c r="J98" s="160"/>
      <c r="K98" s="619"/>
      <c r="L98" s="449"/>
      <c r="M98" s="160" t="n">
        <f aca="false">SUM(K98:L98)</f>
        <v>0</v>
      </c>
      <c r="N98" s="619"/>
      <c r="O98" s="449"/>
      <c r="P98" s="160" t="n">
        <f aca="false">SUM(N98:O98)</f>
        <v>0</v>
      </c>
    </row>
    <row r="99" customFormat="false" ht="18.75" hidden="false" customHeight="true" outlineLevel="0" collapsed="false">
      <c r="A99" s="366" t="str">
        <f aca="false">'☆掛負収入'!A99</f>
        <v>高速道路公社</v>
      </c>
      <c r="B99" s="489" t="n">
        <f aca="false">'☆掛負収入'!B99</f>
        <v>746640</v>
      </c>
      <c r="C99" s="479" t="n">
        <f aca="false">'☆掛負収入'!C99</f>
        <v>61200</v>
      </c>
      <c r="D99" s="692" t="n">
        <f aca="false">'☆掛負収入'!D99</f>
        <v>784155</v>
      </c>
      <c r="E99" s="495" t="n">
        <f aca="false">'☆掛負収入'!E99</f>
        <v>64275</v>
      </c>
      <c r="F99" s="497" t="n">
        <f aca="false">'☆掛負収入'!F99</f>
        <v>804</v>
      </c>
      <c r="G99" s="693" t="n">
        <f aca="false">SUM(B99:F99)</f>
        <v>1657074</v>
      </c>
      <c r="H99" s="638" t="n">
        <f aca="false">'☆掛負収入'!H99</f>
        <v>423172</v>
      </c>
      <c r="I99" s="639" t="n">
        <f aca="false">'☆掛負収入'!I99</f>
        <v>444868</v>
      </c>
      <c r="J99" s="160" t="n">
        <f aca="false">SUM(H99:I99)</f>
        <v>868040</v>
      </c>
      <c r="K99" s="638" t="n">
        <f aca="false">'☆掛負収入'!K99</f>
        <v>39342</v>
      </c>
      <c r="L99" s="639" t="n">
        <f aca="false">'☆掛負収入'!L99</f>
        <v>39342</v>
      </c>
      <c r="M99" s="160" t="n">
        <f aca="false">SUM(K99:L99)</f>
        <v>78684</v>
      </c>
      <c r="N99" s="638" t="n">
        <f aca="false">'☆掛負収入'!N99</f>
        <v>9380</v>
      </c>
      <c r="O99" s="639" t="n">
        <f aca="false">'☆掛負収入'!O99</f>
        <v>9855</v>
      </c>
      <c r="P99" s="160" t="n">
        <f aca="false">SUM(N99:O99)</f>
        <v>19235</v>
      </c>
    </row>
    <row r="100" customFormat="false" ht="18.75" hidden="false" customHeight="true" outlineLevel="0" collapsed="false">
      <c r="A100" s="366" t="str">
        <f aca="false">'☆掛負収入'!A100</f>
        <v>農林水産振興センタ</v>
      </c>
      <c r="B100" s="482"/>
      <c r="C100" s="484"/>
      <c r="D100" s="477" t="n">
        <f aca="false">'☆掛負収入'!D100</f>
        <v>607560</v>
      </c>
      <c r="E100" s="498" t="n">
        <f aca="false">'☆掛負収入'!E100</f>
        <v>49800</v>
      </c>
      <c r="F100" s="481" t="n">
        <f aca="false">'☆掛負収入'!F100</f>
        <v>603</v>
      </c>
      <c r="G100" s="693" t="n">
        <f aca="false">SUM(B100:F100)</f>
        <v>657963</v>
      </c>
      <c r="H100" s="641"/>
      <c r="I100" s="432" t="n">
        <f aca="false">'☆掛負収入'!I100</f>
        <v>344697</v>
      </c>
      <c r="J100" s="160" t="n">
        <f aca="false">SUM(H100:I100)</f>
        <v>344697</v>
      </c>
      <c r="K100" s="641"/>
      <c r="L100" s="432" t="n">
        <f aca="false">'☆掛負収入'!L100</f>
        <v>28203</v>
      </c>
      <c r="M100" s="160" t="n">
        <f aca="false">SUM(K100:L100)</f>
        <v>28203</v>
      </c>
      <c r="N100" s="641"/>
      <c r="O100" s="432" t="n">
        <f aca="false">'☆掛負収入'!O100</f>
        <v>7634</v>
      </c>
      <c r="P100" s="160" t="n">
        <f aca="false">SUM(N100:O100)</f>
        <v>7634</v>
      </c>
    </row>
    <row r="101" customFormat="false" ht="18.75" hidden="false" customHeight="true" outlineLevel="0" collapsed="false">
      <c r="A101" s="371" t="str">
        <f aca="false">'☆掛負収入'!A101</f>
        <v>文化財団　市長部局</v>
      </c>
      <c r="B101" s="625"/>
      <c r="C101" s="221"/>
      <c r="D101" s="470" t="n">
        <f aca="false">'☆掛負収入'!D101</f>
        <v>1056825</v>
      </c>
      <c r="E101" s="478" t="n">
        <f aca="false">'☆掛負収入'!E101</f>
        <v>86625</v>
      </c>
      <c r="F101" s="481" t="n">
        <f aca="false">'☆掛負収入'!F101</f>
        <v>1000</v>
      </c>
      <c r="G101" s="693" t="n">
        <f aca="false">SUM(B101:F101)</f>
        <v>1144450</v>
      </c>
      <c r="H101" s="627"/>
      <c r="I101" s="432" t="n">
        <f aca="false">'☆掛負収入'!I101</f>
        <v>602672</v>
      </c>
      <c r="J101" s="160" t="n">
        <f aca="false">SUM(H101:I101)</f>
        <v>602672</v>
      </c>
      <c r="K101" s="627"/>
      <c r="L101" s="432" t="n">
        <f aca="false">'☆掛負収入'!L101</f>
        <v>86347</v>
      </c>
      <c r="M101" s="160" t="n">
        <f aca="false">SUM(K101:L101)</f>
        <v>86347</v>
      </c>
      <c r="N101" s="627"/>
      <c r="O101" s="432" t="n">
        <f aca="false">'☆掛負収入'!O101</f>
        <v>13350</v>
      </c>
      <c r="P101" s="160" t="n">
        <f aca="false">SUM(N101:O101)</f>
        <v>13350</v>
      </c>
    </row>
    <row r="102" customFormat="false" ht="18.75" hidden="false" customHeight="true" outlineLevel="0" collapsed="false">
      <c r="A102" s="372"/>
      <c r="B102" s="625"/>
      <c r="C102" s="221"/>
      <c r="D102" s="470"/>
      <c r="E102" s="478"/>
      <c r="F102" s="481"/>
      <c r="G102" s="693"/>
      <c r="H102" s="627"/>
      <c r="I102" s="432"/>
      <c r="J102" s="160"/>
      <c r="K102" s="627"/>
      <c r="L102" s="432"/>
      <c r="M102" s="160" t="n">
        <f aca="false">SUM(K102:L102)</f>
        <v>0</v>
      </c>
      <c r="N102" s="627"/>
      <c r="O102" s="432"/>
      <c r="P102" s="160" t="n">
        <f aca="false">SUM(N102:O102)</f>
        <v>0</v>
      </c>
    </row>
    <row r="103" customFormat="false" ht="18.75" hidden="false" customHeight="true" outlineLevel="0" collapsed="false">
      <c r="A103" s="366" t="str">
        <f aca="false">'☆掛負収入'!A103</f>
        <v>みどり生きもの協会</v>
      </c>
      <c r="B103" s="625"/>
      <c r="C103" s="221"/>
      <c r="D103" s="470" t="n">
        <f aca="false">'☆掛負収入'!D103</f>
        <v>405345</v>
      </c>
      <c r="E103" s="478" t="n">
        <f aca="false">'☆掛負収入'!E103</f>
        <v>33225</v>
      </c>
      <c r="F103" s="481" t="n">
        <f aca="false">'☆掛負収入'!F103</f>
        <v>383</v>
      </c>
      <c r="G103" s="693" t="n">
        <f aca="false">SUM(B103:F103)</f>
        <v>438953</v>
      </c>
      <c r="H103" s="627"/>
      <c r="I103" s="432" t="n">
        <f aca="false">'☆掛負収入'!I103</f>
        <v>229959</v>
      </c>
      <c r="J103" s="160" t="n">
        <f aca="false">SUM(H103:I103)</f>
        <v>229959</v>
      </c>
      <c r="K103" s="627"/>
      <c r="L103" s="432" t="n">
        <f aca="false">'☆掛負収入'!L103</f>
        <v>34997</v>
      </c>
      <c r="M103" s="160" t="n">
        <f aca="false">SUM(K103:L103)</f>
        <v>34997</v>
      </c>
      <c r="N103" s="627"/>
      <c r="O103" s="432" t="n">
        <f aca="false">'☆掛負収入'!O103</f>
        <v>5093</v>
      </c>
      <c r="P103" s="160" t="n">
        <f aca="false">SUM(N103:O103)</f>
        <v>5093</v>
      </c>
    </row>
    <row r="104" customFormat="false" ht="18.75" hidden="false" customHeight="true" outlineLevel="0" collapsed="false">
      <c r="A104" s="368" t="str">
        <f aca="false">'☆掛負収入'!A104</f>
        <v>県下水道公社</v>
      </c>
      <c r="B104" s="474" t="n">
        <f aca="false">'☆掛負収入'!B104</f>
        <v>148230</v>
      </c>
      <c r="C104" s="248" t="n">
        <f aca="false">'☆掛負収入'!C104</f>
        <v>12150</v>
      </c>
      <c r="D104" s="470" t="n">
        <f aca="false">'☆掛負収入'!D104</f>
        <v>148230</v>
      </c>
      <c r="E104" s="478" t="n">
        <f aca="false">'☆掛負収入'!E104</f>
        <v>12150</v>
      </c>
      <c r="F104" s="481" t="n">
        <f aca="false">'☆掛負収入'!F104</f>
        <v>140</v>
      </c>
      <c r="G104" s="693" t="n">
        <f aca="false">SUM(B104:F104)</f>
        <v>320900</v>
      </c>
      <c r="H104" s="619" t="n">
        <f aca="false">'☆掛負収入'!H104</f>
        <v>87123</v>
      </c>
      <c r="I104" s="432" t="n">
        <f aca="false">'☆掛負収入'!I104</f>
        <v>87208</v>
      </c>
      <c r="J104" s="160" t="n">
        <f aca="false">SUM(H104:I104)</f>
        <v>174331</v>
      </c>
      <c r="K104" s="619" t="n">
        <f aca="false">'☆掛負収入'!K104</f>
        <v>10033</v>
      </c>
      <c r="L104" s="432" t="n">
        <f aca="false">'☆掛負収入'!L104</f>
        <v>10033</v>
      </c>
      <c r="M104" s="160" t="n">
        <f aca="false">SUM(K104:L104)</f>
        <v>20066</v>
      </c>
      <c r="N104" s="619" t="n">
        <f aca="false">'☆掛負収入'!N104</f>
        <v>1931</v>
      </c>
      <c r="O104" s="432" t="n">
        <f aca="false">'☆掛負収入'!O104</f>
        <v>1932</v>
      </c>
      <c r="P104" s="160" t="n">
        <f aca="false">SUM(N104:O104)</f>
        <v>3863</v>
      </c>
    </row>
    <row r="105" customFormat="false" ht="18.75" hidden="false" customHeight="true" outlineLevel="0" collapsed="false">
      <c r="A105" s="368" t="str">
        <f aca="false">'☆掛負収入'!A105</f>
        <v>バス協調・共創
プラットフォーム</v>
      </c>
      <c r="B105" s="482"/>
      <c r="C105" s="484"/>
      <c r="D105" s="477" t="n">
        <f aca="false">'☆掛負収入'!D105</f>
        <v>455670</v>
      </c>
      <c r="E105" s="498" t="n">
        <f aca="false">'☆掛負収入'!E105</f>
        <v>37350</v>
      </c>
      <c r="F105" s="481" t="n">
        <f aca="false">'☆掛負収入'!F105</f>
        <v>432</v>
      </c>
      <c r="G105" s="693" t="n">
        <f aca="false">SUM(B105:F105)</f>
        <v>493452</v>
      </c>
      <c r="H105" s="641"/>
      <c r="I105" s="432" t="n">
        <f aca="false">'☆掛負収入'!I105</f>
        <v>263702</v>
      </c>
      <c r="J105" s="160" t="n">
        <f aca="false">SUM(H105:I105)</f>
        <v>263702</v>
      </c>
      <c r="K105" s="641"/>
      <c r="L105" s="432" t="n">
        <f aca="false">'☆掛負収入'!L105</f>
        <v>21093</v>
      </c>
      <c r="M105" s="160" t="n">
        <f aca="false">SUM(K105:L105)</f>
        <v>21093</v>
      </c>
      <c r="N105" s="641"/>
      <c r="O105" s="432" t="n">
        <f aca="false">'☆掛負収入'!O105</f>
        <v>5842</v>
      </c>
      <c r="P105" s="160" t="n">
        <f aca="false">SUM(N105:O105)</f>
        <v>5842</v>
      </c>
    </row>
    <row r="106" customFormat="false" ht="18.75" hidden="false" customHeight="true" outlineLevel="0" collapsed="false">
      <c r="A106" s="368" t="str">
        <f aca="false">'☆掛負収入'!A106</f>
        <v>広島県市長会</v>
      </c>
      <c r="B106" s="474" t="n">
        <f aca="false">'☆掛負収入'!B106</f>
        <v>56730</v>
      </c>
      <c r="C106" s="248" t="n">
        <f aca="false">'☆掛負収入'!C106</f>
        <v>4650</v>
      </c>
      <c r="D106" s="470" t="n">
        <f aca="false">'☆掛負収入'!D106</f>
        <v>56730</v>
      </c>
      <c r="E106" s="478" t="n">
        <f aca="false">'☆掛負収入'!E106</f>
        <v>4650</v>
      </c>
      <c r="F106" s="475" t="n">
        <f aca="false">'☆掛負収入'!F106</f>
        <v>53</v>
      </c>
      <c r="G106" s="693" t="n">
        <f aca="false">SUM(B106:F106)</f>
        <v>122813</v>
      </c>
      <c r="H106" s="619" t="n">
        <f aca="false">'☆掛負収入'!H106</f>
        <v>32153</v>
      </c>
      <c r="I106" s="449" t="n">
        <f aca="false">'☆掛負収入'!I106</f>
        <v>32184</v>
      </c>
      <c r="J106" s="160" t="n">
        <f aca="false">SUM(H106:I106)</f>
        <v>64337</v>
      </c>
      <c r="K106" s="619" t="n">
        <f aca="false">'☆掛負収入'!K106</f>
        <v>4898</v>
      </c>
      <c r="L106" s="449" t="n">
        <f aca="false">'☆掛負収入'!L106</f>
        <v>4898</v>
      </c>
      <c r="M106" s="160" t="n">
        <f aca="false">SUM(K106:L106)</f>
        <v>9796</v>
      </c>
      <c r="N106" s="619" t="n">
        <f aca="false">'☆掛負収入'!N106</f>
        <v>713</v>
      </c>
      <c r="O106" s="449" t="n">
        <f aca="false">'☆掛負収入'!O106</f>
        <v>713</v>
      </c>
      <c r="P106" s="160" t="n">
        <f aca="false">SUM(N106:O106)</f>
        <v>1426</v>
      </c>
    </row>
    <row r="107" customFormat="false" ht="18.75" hidden="false" customHeight="true" outlineLevel="0" collapsed="false">
      <c r="A107" s="367" t="str">
        <f aca="false">'☆掛負収入'!A107</f>
        <v>全国市町村研修財団</v>
      </c>
      <c r="B107" s="476" t="n">
        <f aca="false">'☆掛負収入'!B107</f>
        <v>59475</v>
      </c>
      <c r="C107" s="248" t="n">
        <f aca="false">'☆掛負収入'!C107</f>
        <v>4875</v>
      </c>
      <c r="D107" s="470" t="n">
        <f aca="false">'☆掛負収入'!D107</f>
        <v>59475</v>
      </c>
      <c r="E107" s="478" t="n">
        <f aca="false">'☆掛負収入'!E107</f>
        <v>4875</v>
      </c>
      <c r="F107" s="475" t="n">
        <f aca="false">'☆掛負収入'!F107</f>
        <v>56</v>
      </c>
      <c r="G107" s="693" t="n">
        <f aca="false">SUM(B107:F107)</f>
        <v>128756</v>
      </c>
      <c r="H107" s="619" t="n">
        <f aca="false">'☆掛負収入'!H107</f>
        <v>38895</v>
      </c>
      <c r="I107" s="449" t="n">
        <f aca="false">'☆掛負収入'!I107</f>
        <v>38932</v>
      </c>
      <c r="J107" s="160" t="n">
        <f aca="false">SUM(H107:I107)</f>
        <v>77827</v>
      </c>
      <c r="K107" s="619" t="n">
        <f aca="false">'☆掛負収入'!K107</f>
        <v>5925</v>
      </c>
      <c r="L107" s="449" t="n">
        <f aca="false">'☆掛負収入'!L107</f>
        <v>5925</v>
      </c>
      <c r="M107" s="160" t="n">
        <f aca="false">SUM(K107:L107)</f>
        <v>11850</v>
      </c>
      <c r="N107" s="619" t="n">
        <f aca="false">'☆掛負収入'!N107</f>
        <v>862</v>
      </c>
      <c r="O107" s="449" t="n">
        <f aca="false">'☆掛負収入'!O107</f>
        <v>862</v>
      </c>
      <c r="P107" s="160" t="n">
        <f aca="false">SUM(N107:O107)</f>
        <v>1724</v>
      </c>
    </row>
    <row r="108" customFormat="false" ht="18.75" hidden="false" customHeight="true" outlineLevel="0" collapsed="false">
      <c r="A108" s="367" t="str">
        <f aca="false">'☆掛負収入'!A108</f>
        <v>都市再生機構</v>
      </c>
      <c r="B108" s="474" t="n">
        <f aca="false">'☆掛負収入'!B108</f>
        <v>37515</v>
      </c>
      <c r="C108" s="248" t="n">
        <f aca="false">'☆掛負収入'!C108</f>
        <v>3075</v>
      </c>
      <c r="D108" s="470" t="n">
        <f aca="false">'☆掛負収入'!D108</f>
        <v>37515</v>
      </c>
      <c r="E108" s="478" t="n">
        <f aca="false">'☆掛負収入'!E108</f>
        <v>3075</v>
      </c>
      <c r="F108" s="475" t="n">
        <f aca="false">'☆掛負収入'!F108</f>
        <v>35</v>
      </c>
      <c r="G108" s="693" t="n">
        <f aca="false">SUM(B108:F108)</f>
        <v>81215</v>
      </c>
      <c r="H108" s="619" t="n">
        <f aca="false">'☆掛負収入'!H108</f>
        <v>21262</v>
      </c>
      <c r="I108" s="449" t="n">
        <f aca="false">'☆掛負収入'!I108</f>
        <v>21283</v>
      </c>
      <c r="J108" s="160" t="n">
        <f aca="false">SUM(H108:I108)</f>
        <v>42545</v>
      </c>
      <c r="K108" s="619" t="n">
        <f aca="false">'☆掛負収入'!K108</f>
        <v>0</v>
      </c>
      <c r="L108" s="449" t="n">
        <f aca="false">'☆掛負収入'!L108</f>
        <v>0</v>
      </c>
      <c r="M108" s="160" t="n">
        <f aca="false">SUM(K108:L108)</f>
        <v>0</v>
      </c>
      <c r="N108" s="619" t="n">
        <f aca="false">'☆掛負収入'!N108</f>
        <v>471</v>
      </c>
      <c r="O108" s="449" t="n">
        <f aca="false">'☆掛負収入'!O108</f>
        <v>471</v>
      </c>
      <c r="P108" s="160" t="n">
        <f aca="false">SUM(N108:O108)</f>
        <v>942</v>
      </c>
    </row>
    <row r="109" customFormat="false" ht="18.75" hidden="false" customHeight="true" outlineLevel="0" collapsed="false">
      <c r="A109" s="368" t="str">
        <f aca="false">'☆掛負収入'!A109</f>
        <v>広島市立大学</v>
      </c>
      <c r="B109" s="431" t="n">
        <f aca="false">'☆掛負収入'!B109</f>
        <v>1201395</v>
      </c>
      <c r="C109" s="160" t="n">
        <f aca="false">'☆掛負収入'!C109</f>
        <v>98475</v>
      </c>
      <c r="D109" s="617" t="n">
        <f aca="false">'☆掛負収入'!D109</f>
        <v>1201395</v>
      </c>
      <c r="E109" s="464" t="n">
        <f aca="false">'☆掛負収入'!E109</f>
        <v>98475</v>
      </c>
      <c r="F109" s="475" t="n">
        <f aca="false">'☆掛負収入'!F109</f>
        <v>1208</v>
      </c>
      <c r="G109" s="693" t="n">
        <f aca="false">SUM(B109:F109)</f>
        <v>2600948</v>
      </c>
      <c r="H109" s="619" t="n">
        <f aca="false">'☆掛負収入'!H109</f>
        <v>690245</v>
      </c>
      <c r="I109" s="449" t="n">
        <f aca="false">'☆掛負収入'!I109</f>
        <v>690961</v>
      </c>
      <c r="J109" s="160" t="n">
        <f aca="false">SUM(H109:I109)</f>
        <v>1381206</v>
      </c>
      <c r="K109" s="619" t="n">
        <f aca="false">'☆掛負収入'!K109</f>
        <v>79632</v>
      </c>
      <c r="L109" s="449" t="n">
        <f aca="false">'☆掛負収入'!L109</f>
        <v>79632</v>
      </c>
      <c r="M109" s="160" t="n">
        <f aca="false">SUM(K109:L109)</f>
        <v>159264</v>
      </c>
      <c r="N109" s="619" t="n">
        <f aca="false">'☆掛負収入'!N109</f>
        <v>15300</v>
      </c>
      <c r="O109" s="449" t="n">
        <f aca="false">'☆掛負収入'!O109</f>
        <v>15306</v>
      </c>
      <c r="P109" s="160" t="n">
        <f aca="false">SUM(N109:O109)</f>
        <v>30606</v>
      </c>
    </row>
    <row r="110" customFormat="false" ht="18.75" hidden="false" customHeight="true" outlineLevel="0" collapsed="false">
      <c r="A110" s="368" t="str">
        <f aca="false">'☆掛負収入'!A110</f>
        <v>社会福祉協議会</v>
      </c>
      <c r="B110" s="431" t="n">
        <f aca="false">'☆掛負収入'!B110</f>
        <v>0</v>
      </c>
      <c r="C110" s="160" t="n">
        <f aca="false">'☆掛負収入'!C110</f>
        <v>0</v>
      </c>
      <c r="D110" s="617" t="n">
        <f aca="false">'☆掛負収入'!D110</f>
        <v>242475</v>
      </c>
      <c r="E110" s="464" t="n">
        <f aca="false">'☆掛負収入'!E110</f>
        <v>19875</v>
      </c>
      <c r="F110" s="475" t="n">
        <f aca="false">'☆掛負収入'!F110</f>
        <v>230</v>
      </c>
      <c r="G110" s="693" t="n">
        <f aca="false">SUM(B110:F110)</f>
        <v>262580</v>
      </c>
      <c r="H110" s="619" t="n">
        <f aca="false">'☆掛負収入'!H110</f>
        <v>0</v>
      </c>
      <c r="I110" s="449" t="n">
        <f aca="false">'☆掛負収入'!I110</f>
        <v>140676</v>
      </c>
      <c r="J110" s="160" t="n">
        <f aca="false">SUM(H110:I110)</f>
        <v>140676</v>
      </c>
      <c r="K110" s="619" t="n">
        <f aca="false">'☆掛負収入'!K110</f>
        <v>0</v>
      </c>
      <c r="L110" s="449" t="n">
        <f aca="false">'☆掛負収入'!L110</f>
        <v>10507</v>
      </c>
      <c r="M110" s="160" t="n">
        <f aca="false">SUM(K110:L110)</f>
        <v>10507</v>
      </c>
      <c r="N110" s="619" t="n">
        <f aca="false">'☆掛負収入'!N110</f>
        <v>0</v>
      </c>
      <c r="O110" s="449" t="n">
        <f aca="false">'☆掛負収入'!O110</f>
        <v>3116</v>
      </c>
      <c r="P110" s="160" t="n">
        <f aca="false">SUM(N110:O110)</f>
        <v>3116</v>
      </c>
    </row>
    <row r="111" customFormat="false" ht="18.75" hidden="false" customHeight="true" outlineLevel="0" collapsed="false">
      <c r="A111" s="371" t="s">
        <v>532</v>
      </c>
      <c r="B111" s="620" t="n">
        <f aca="false">'☆掛負収入'!B113</f>
        <v>0</v>
      </c>
      <c r="C111" s="418" t="n">
        <f aca="false">'☆掛負収入'!C113</f>
        <v>0</v>
      </c>
      <c r="D111" s="621" t="n">
        <f aca="false">'☆掛負収入'!D113</f>
        <v>0</v>
      </c>
      <c r="E111" s="465" t="n">
        <f aca="false">'☆掛負収入'!E113</f>
        <v>0</v>
      </c>
      <c r="F111" s="432" t="n">
        <f aca="false">'☆掛負収入'!F113</f>
        <v>0</v>
      </c>
      <c r="G111" s="693" t="n">
        <f aca="false">SUM(B111:F111)</f>
        <v>0</v>
      </c>
      <c r="H111" s="622" t="n">
        <f aca="false">'☆掛負収入'!H113</f>
        <v>0</v>
      </c>
      <c r="I111" s="432" t="n">
        <f aca="false">'☆掛負収入'!I113</f>
        <v>0</v>
      </c>
      <c r="J111" s="160" t="n">
        <f aca="false">SUM(H111:I111)</f>
        <v>0</v>
      </c>
      <c r="K111" s="622" t="n">
        <f aca="false">'☆掛負収入'!K113</f>
        <v>0</v>
      </c>
      <c r="L111" s="432" t="n">
        <f aca="false">'☆掛負収入'!L113</f>
        <v>0</v>
      </c>
      <c r="M111" s="160" t="n">
        <f aca="false">SUM(K111:L111)</f>
        <v>0</v>
      </c>
      <c r="N111" s="622" t="n">
        <f aca="false">'☆掛負収入'!N113</f>
        <v>0</v>
      </c>
      <c r="O111" s="432" t="n">
        <f aca="false">'☆掛負収入'!O113</f>
        <v>0</v>
      </c>
      <c r="P111" s="160" t="n">
        <f aca="false">SUM(N111:O111)</f>
        <v>0</v>
      </c>
    </row>
    <row r="112" customFormat="false" ht="18.75" hidden="false" customHeight="true" outlineLevel="0" collapsed="false">
      <c r="A112" s="368" t="str">
        <f aca="false">'☆掛負収入'!A114</f>
        <v>全国市長会</v>
      </c>
      <c r="B112" s="620" t="n">
        <f aca="false">'☆掛負収入'!B114</f>
        <v>118950</v>
      </c>
      <c r="C112" s="418" t="n">
        <f aca="false">'☆掛負収入'!C114</f>
        <v>9750</v>
      </c>
      <c r="D112" s="621" t="n">
        <f aca="false">'☆掛負収入'!D114</f>
        <v>118950</v>
      </c>
      <c r="E112" s="465" t="n">
        <f aca="false">'☆掛負収入'!E114</f>
        <v>9750</v>
      </c>
      <c r="F112" s="432" t="n">
        <f aca="false">'☆掛負収入'!F114</f>
        <v>112</v>
      </c>
      <c r="G112" s="693" t="n">
        <f aca="false">SUM(B112:F112)</f>
        <v>257512</v>
      </c>
      <c r="H112" s="622" t="n">
        <f aca="false">'☆掛負収入'!H114</f>
        <v>87124</v>
      </c>
      <c r="I112" s="432" t="n">
        <f aca="false">'☆掛負収入'!I114</f>
        <v>87209</v>
      </c>
      <c r="J112" s="160" t="n">
        <f aca="false">SUM(H112:I112)</f>
        <v>174333</v>
      </c>
      <c r="K112" s="622" t="n">
        <f aca="false">'☆掛負収入'!K114</f>
        <v>13272</v>
      </c>
      <c r="L112" s="432" t="n">
        <f aca="false">'☆掛負収入'!L114</f>
        <v>13272</v>
      </c>
      <c r="M112" s="160" t="n">
        <f aca="false">SUM(K112:L112)</f>
        <v>26544</v>
      </c>
      <c r="N112" s="622" t="n">
        <f aca="false">'☆掛負収入'!N114</f>
        <v>1932</v>
      </c>
      <c r="O112" s="432" t="n">
        <f aca="false">'☆掛負収入'!O114</f>
        <v>1931</v>
      </c>
      <c r="P112" s="160" t="n">
        <f aca="false">SUM(N112:O112)</f>
        <v>3863</v>
      </c>
    </row>
    <row r="113" customFormat="false" ht="18.75" hidden="false" customHeight="true" outlineLevel="0" collapsed="false">
      <c r="A113" s="694"/>
      <c r="B113" s="431"/>
      <c r="C113" s="418"/>
      <c r="D113" s="617"/>
      <c r="E113" s="464"/>
      <c r="F113" s="449"/>
      <c r="G113" s="693"/>
      <c r="H113" s="619"/>
      <c r="I113" s="449"/>
      <c r="J113" s="160"/>
      <c r="K113" s="619"/>
      <c r="L113" s="449"/>
      <c r="M113" s="160"/>
      <c r="N113" s="619"/>
      <c r="O113" s="449"/>
      <c r="P113" s="160"/>
    </row>
    <row r="114" customFormat="false" ht="18.75" hidden="false" customHeight="true" outlineLevel="0" collapsed="false">
      <c r="A114" s="694"/>
      <c r="B114" s="620"/>
      <c r="C114" s="391"/>
      <c r="D114" s="621"/>
      <c r="E114" s="621"/>
      <c r="F114" s="432"/>
      <c r="G114" s="693"/>
      <c r="H114" s="620"/>
      <c r="I114" s="465"/>
      <c r="J114" s="160"/>
      <c r="K114" s="620"/>
      <c r="L114" s="465"/>
      <c r="M114" s="160"/>
      <c r="N114" s="620"/>
      <c r="O114" s="465"/>
      <c r="P114" s="160"/>
    </row>
    <row r="115" customFormat="false" ht="18.75" hidden="false" customHeight="true" outlineLevel="0" collapsed="false">
      <c r="A115" s="369"/>
      <c r="B115" s="431"/>
      <c r="C115" s="206"/>
      <c r="D115" s="617"/>
      <c r="E115" s="617"/>
      <c r="F115" s="449"/>
      <c r="G115" s="693"/>
      <c r="H115" s="431"/>
      <c r="I115" s="644"/>
      <c r="J115" s="160"/>
      <c r="K115" s="431"/>
      <c r="L115" s="644"/>
      <c r="M115" s="160"/>
      <c r="N115" s="431"/>
      <c r="O115" s="644"/>
      <c r="P115" s="160"/>
    </row>
    <row r="116" customFormat="false" ht="18.75" hidden="false" customHeight="true" outlineLevel="0" collapsed="false">
      <c r="A116" s="369"/>
      <c r="B116" s="620"/>
      <c r="C116" s="418"/>
      <c r="D116" s="621"/>
      <c r="E116" s="465"/>
      <c r="F116" s="432"/>
      <c r="G116" s="417"/>
      <c r="H116" s="431"/>
      <c r="I116" s="465"/>
      <c r="J116" s="160"/>
      <c r="K116" s="620"/>
      <c r="L116" s="465"/>
      <c r="M116" s="160"/>
      <c r="N116" s="620"/>
      <c r="O116" s="465"/>
      <c r="P116" s="418"/>
    </row>
    <row r="117" customFormat="false" ht="17.25" hidden="false" customHeight="true" outlineLevel="0" collapsed="false">
      <c r="A117" s="645"/>
      <c r="B117" s="524"/>
      <c r="C117" s="296"/>
      <c r="D117" s="648"/>
      <c r="E117" s="649"/>
      <c r="F117" s="695"/>
      <c r="G117" s="696"/>
      <c r="H117" s="524"/>
      <c r="I117" s="697"/>
      <c r="J117" s="293" t="n">
        <f aca="false">SUM(H117:I117)</f>
        <v>0</v>
      </c>
      <c r="K117" s="524"/>
      <c r="L117" s="697"/>
      <c r="M117" s="698" t="n">
        <f aca="false">SUM(K117:L117)</f>
        <v>0</v>
      </c>
      <c r="N117" s="524"/>
      <c r="O117" s="697"/>
      <c r="P117" s="698" t="n">
        <f aca="false">SUM(N117:O117)</f>
        <v>0</v>
      </c>
    </row>
    <row r="118" customFormat="false" ht="18.75" hidden="false" customHeight="true" outlineLevel="0" collapsed="false">
      <c r="A118" s="196" t="str">
        <f aca="false">'☆掛負収入'!A118</f>
        <v>小　計</v>
      </c>
      <c r="B118" s="429" t="n">
        <f aca="false">SUM(B88:B117)</f>
        <v>2606835</v>
      </c>
      <c r="C118" s="200" t="n">
        <f aca="false">SUM(C88:C117)</f>
        <v>213675</v>
      </c>
      <c r="D118" s="429" t="n">
        <f aca="false">SUM(D88:D117)</f>
        <v>8755635</v>
      </c>
      <c r="E118" s="301" t="n">
        <f aca="false">SUM(E88:E117)</f>
        <v>717675</v>
      </c>
      <c r="F118" s="200" t="n">
        <f aca="false">SUM(F88:F117)</f>
        <v>8596</v>
      </c>
      <c r="G118" s="201" t="n">
        <f aca="false">SUM(B118:F118)</f>
        <v>12302416</v>
      </c>
      <c r="H118" s="429" t="n">
        <f aca="false">SUM(H88:H117)</f>
        <v>1517919</v>
      </c>
      <c r="I118" s="199" t="n">
        <f aca="false">SUM(I88:I117)</f>
        <v>5181744</v>
      </c>
      <c r="J118" s="200" t="n">
        <f aca="false">SUM(H118:I118)</f>
        <v>6699663</v>
      </c>
      <c r="K118" s="429" t="n">
        <f aca="false">SUM(K88:K117)</f>
        <v>163846</v>
      </c>
      <c r="L118" s="199" t="n">
        <f aca="false">SUM(L88:L117)</f>
        <v>581598</v>
      </c>
      <c r="M118" s="201" t="n">
        <f aca="false">SUM(K118:L118)</f>
        <v>745444</v>
      </c>
      <c r="N118" s="301" t="n">
        <f aca="false">SUM(N88:N117)</f>
        <v>33647</v>
      </c>
      <c r="O118" s="199" t="n">
        <f aca="false">SUM(O88:O117)</f>
        <v>114781</v>
      </c>
      <c r="P118" s="201" t="n">
        <f aca="false">SUM(N118:O118)</f>
        <v>148428</v>
      </c>
    </row>
    <row r="119" customFormat="false" ht="18.75" hidden="false" customHeight="true" outlineLevel="0" collapsed="false">
      <c r="A119" s="699"/>
      <c r="B119" s="700"/>
      <c r="C119" s="701"/>
      <c r="D119" s="702"/>
      <c r="E119" s="703"/>
      <c r="F119" s="650"/>
      <c r="G119" s="704"/>
      <c r="H119" s="652"/>
      <c r="I119" s="653"/>
      <c r="J119" s="654"/>
      <c r="K119" s="655"/>
      <c r="L119" s="656"/>
      <c r="M119" s="657"/>
      <c r="N119" s="656"/>
      <c r="O119" s="656"/>
      <c r="P119" s="657"/>
    </row>
    <row r="120" customFormat="false" ht="18.75" hidden="false" customHeight="true" outlineLevel="0" collapsed="false">
      <c r="A120" s="705"/>
      <c r="B120" s="631"/>
      <c r="C120" s="633"/>
      <c r="D120" s="647"/>
      <c r="E120" s="649"/>
      <c r="F120" s="278"/>
      <c r="G120" s="706"/>
      <c r="H120" s="659"/>
      <c r="I120" s="660"/>
      <c r="J120" s="408"/>
      <c r="K120" s="661"/>
      <c r="L120" s="662"/>
      <c r="M120" s="663"/>
      <c r="N120" s="662"/>
      <c r="O120" s="662"/>
      <c r="P120" s="663"/>
    </row>
    <row r="121" customFormat="false" ht="18.75" hidden="false" customHeight="true" outlineLevel="0" collapsed="false">
      <c r="A121" s="707" t="str">
        <f aca="false">'☆掛負収入'!A121</f>
        <v>高速交通（株）</v>
      </c>
      <c r="B121" s="489" t="n">
        <f aca="false">'☆掛負収入'!B121</f>
        <v>145485</v>
      </c>
      <c r="C121" s="491" t="n">
        <f aca="false">'☆掛負収入'!C121</f>
        <v>11925</v>
      </c>
      <c r="D121" s="476" t="n">
        <f aca="false">'☆掛負収入'!D121</f>
        <v>145485</v>
      </c>
      <c r="E121" s="487" t="n">
        <f aca="false">'☆掛負収入'!E121</f>
        <v>11925</v>
      </c>
      <c r="F121" s="479" t="n">
        <f aca="false">'☆掛負収入'!F121</f>
        <v>138</v>
      </c>
      <c r="G121" s="417" t="n">
        <f aca="false">SUM(B121:F121)</f>
        <v>314958</v>
      </c>
      <c r="H121" s="708"/>
      <c r="I121" s="708"/>
      <c r="J121" s="708"/>
      <c r="K121" s="708"/>
      <c r="L121" s="708"/>
      <c r="M121" s="708"/>
      <c r="N121" s="709"/>
      <c r="O121" s="709"/>
      <c r="P121" s="709"/>
    </row>
    <row r="122" customFormat="false" ht="18.75" hidden="false" customHeight="true" outlineLevel="0" collapsed="false">
      <c r="A122" s="666" t="s">
        <v>209</v>
      </c>
      <c r="B122" s="667" t="n">
        <f aca="false">'☆掛負収入'!B122</f>
        <v>45750</v>
      </c>
      <c r="C122" s="493" t="n">
        <f aca="false">'☆掛負収入'!C122</f>
        <v>3750</v>
      </c>
      <c r="D122" s="667" t="n">
        <f aca="false">'☆掛負収入'!D122</f>
        <v>45750</v>
      </c>
      <c r="E122" s="492" t="n">
        <f aca="false">'☆掛負収入'!E122</f>
        <v>3750</v>
      </c>
      <c r="F122" s="493" t="n">
        <f aca="false">'☆掛負収入'!F122</f>
        <v>43</v>
      </c>
      <c r="G122" s="417" t="n">
        <f aca="false">SUM(B122:F122)</f>
        <v>99043</v>
      </c>
      <c r="H122" s="708"/>
      <c r="I122" s="708"/>
      <c r="J122" s="708"/>
      <c r="K122" s="708"/>
      <c r="L122" s="708"/>
      <c r="M122" s="708"/>
      <c r="N122" s="709"/>
      <c r="O122" s="709"/>
      <c r="P122" s="709"/>
    </row>
    <row r="123" customFormat="false" ht="18.75" hidden="false" customHeight="true" outlineLevel="0" collapsed="false">
      <c r="A123" s="710" t="str">
        <f aca="false">'☆掛負収入'!A123</f>
        <v>小　計</v>
      </c>
      <c r="B123" s="279" t="n">
        <f aca="false">SUM(B119:B122)</f>
        <v>191235</v>
      </c>
      <c r="C123" s="280" t="n">
        <f aca="false">SUM(C119:C122)</f>
        <v>15675</v>
      </c>
      <c r="D123" s="670" t="n">
        <f aca="false">SUM(D119:D122)</f>
        <v>191235</v>
      </c>
      <c r="E123" s="671" t="n">
        <f aca="false">SUM(E119:E122)</f>
        <v>15675</v>
      </c>
      <c r="F123" s="672" t="n">
        <f aca="false">SUM(F119:F122)</f>
        <v>181</v>
      </c>
      <c r="G123" s="200" t="n">
        <f aca="false">SUM(B123:F123)</f>
        <v>414001</v>
      </c>
      <c r="H123" s="708"/>
      <c r="I123" s="708"/>
      <c r="J123" s="708"/>
      <c r="K123" s="708"/>
      <c r="L123" s="708"/>
      <c r="M123" s="708"/>
      <c r="N123" s="709"/>
      <c r="O123" s="709"/>
      <c r="P123" s="709"/>
    </row>
    <row r="124" customFormat="false" ht="18.75" hidden="false" customHeight="true" outlineLevel="0" collapsed="false">
      <c r="A124" s="125" t="str">
        <f aca="false">'☆掛負収入'!A124</f>
        <v>市職員労働組合</v>
      </c>
      <c r="B124" s="474" t="n">
        <f aca="false">'☆掛負収入'!B124</f>
        <v>29280</v>
      </c>
      <c r="C124" s="248" t="n">
        <f aca="false">'☆掛負収入'!C124</f>
        <v>2400</v>
      </c>
      <c r="D124" s="470" t="n">
        <f aca="false">'☆掛負収入'!D124</f>
        <v>29280</v>
      </c>
      <c r="E124" s="488" t="n">
        <f aca="false">'☆掛負収入'!E124</f>
        <v>2400</v>
      </c>
      <c r="F124" s="221"/>
      <c r="G124" s="206" t="n">
        <f aca="false">SUM(B124:F124)</f>
        <v>63360</v>
      </c>
      <c r="H124" s="619" t="n">
        <f aca="false">'☆掛負収入'!H124</f>
        <v>16595</v>
      </c>
      <c r="I124" s="449" t="n">
        <f aca="false">'☆掛負収入'!I124</f>
        <v>16611</v>
      </c>
      <c r="J124" s="160" t="n">
        <f aca="false">SUM(H124:I124)</f>
        <v>33206</v>
      </c>
      <c r="K124" s="476" t="n">
        <f aca="false">'☆掛負収入'!K124</f>
        <v>2528</v>
      </c>
      <c r="L124" s="487" t="n">
        <f aca="false">'☆掛負収入'!L124</f>
        <v>2528</v>
      </c>
      <c r="M124" s="471" t="n">
        <f aca="false">SUM(K124:L124)</f>
        <v>5056</v>
      </c>
      <c r="N124" s="477" t="n">
        <f aca="false">'☆掛負収入'!N124</f>
        <v>368</v>
      </c>
      <c r="O124" s="487" t="n">
        <f aca="false">'☆掛負収入'!O124</f>
        <v>368</v>
      </c>
      <c r="P124" s="471" t="n">
        <f aca="false">SUM(N124:O124)</f>
        <v>736</v>
      </c>
    </row>
    <row r="125" customFormat="false" ht="18.75" hidden="false" customHeight="true" outlineLevel="0" collapsed="false">
      <c r="A125" s="125" t="str">
        <f aca="false">'☆掛負収入'!A125</f>
        <v>自治労労働組合</v>
      </c>
      <c r="B125" s="474" t="n">
        <f aca="false">'☆掛負収入'!B125</f>
        <v>0</v>
      </c>
      <c r="C125" s="402" t="n">
        <f aca="false">'☆掛負収入'!C125</f>
        <v>0</v>
      </c>
      <c r="D125" s="474" t="n">
        <f aca="false">'☆掛負収入'!D125</f>
        <v>0</v>
      </c>
      <c r="E125" s="488" t="n">
        <f aca="false">'☆掛負収入'!E125</f>
        <v>0</v>
      </c>
      <c r="F125" s="221"/>
      <c r="G125" s="206" t="n">
        <f aca="false">SUM(B125:F125)</f>
        <v>0</v>
      </c>
      <c r="H125" s="619" t="n">
        <f aca="false">'☆掛負収入'!H125</f>
        <v>0</v>
      </c>
      <c r="I125" s="449" t="n">
        <f aca="false">'☆掛負収入'!I125</f>
        <v>0</v>
      </c>
      <c r="J125" s="160" t="n">
        <f aca="false">SUM(H125:I125)</f>
        <v>0</v>
      </c>
      <c r="K125" s="619" t="n">
        <f aca="false">'☆掛負収入'!K125</f>
        <v>0</v>
      </c>
      <c r="L125" s="449" t="n">
        <f aca="false">'☆掛負収入'!L125</f>
        <v>0</v>
      </c>
      <c r="M125" s="160" t="n">
        <f aca="false">SUM(K125:L125)</f>
        <v>0</v>
      </c>
      <c r="N125" s="464" t="n">
        <f aca="false">'☆掛負収入'!N125</f>
        <v>0</v>
      </c>
      <c r="O125" s="449" t="n">
        <f aca="false">'☆掛負収入'!O125</f>
        <v>0</v>
      </c>
      <c r="P125" s="160" t="n">
        <f aca="false">SUM(N125:O125)</f>
        <v>0</v>
      </c>
    </row>
    <row r="126" customFormat="false" ht="18.75" hidden="false" customHeight="true" outlineLevel="0" collapsed="false">
      <c r="A126" s="125" t="str">
        <f aca="false">'☆掛負収入'!A126</f>
        <v>病院労働組合</v>
      </c>
      <c r="B126" s="431"/>
      <c r="C126" s="206"/>
      <c r="D126" s="431"/>
      <c r="E126" s="644"/>
      <c r="F126" s="221"/>
      <c r="G126" s="206" t="n">
        <f aca="false">SUM(B126:F126)</f>
        <v>0</v>
      </c>
      <c r="H126" s="619"/>
      <c r="I126" s="449"/>
      <c r="J126" s="160" t="n">
        <f aca="false">SUM(H126:I126)</f>
        <v>0</v>
      </c>
      <c r="K126" s="619"/>
      <c r="L126" s="449"/>
      <c r="M126" s="160" t="n">
        <f aca="false">SUM(K126:L126)</f>
        <v>0</v>
      </c>
      <c r="N126" s="464"/>
      <c r="O126" s="449"/>
      <c r="P126" s="160" t="n">
        <f aca="false">SUM(N126:O126)</f>
        <v>0</v>
      </c>
    </row>
    <row r="127" customFormat="false" ht="18.75" hidden="false" customHeight="true" outlineLevel="0" collapsed="false">
      <c r="A127" s="302" t="str">
        <f aca="false">'☆掛負収入'!A127</f>
        <v>水道労働組合</v>
      </c>
      <c r="B127" s="673"/>
      <c r="C127" s="444"/>
      <c r="D127" s="673"/>
      <c r="E127" s="623"/>
      <c r="F127" s="296"/>
      <c r="G127" s="206" t="n">
        <f aca="false">SUM(B127:F127)</f>
        <v>0</v>
      </c>
      <c r="H127" s="674"/>
      <c r="I127" s="675"/>
      <c r="J127" s="160" t="n">
        <f aca="false">SUM(H127:I127)</f>
        <v>0</v>
      </c>
      <c r="K127" s="676"/>
      <c r="L127" s="677"/>
      <c r="M127" s="160" t="n">
        <f aca="false">SUM(K127:L127)</f>
        <v>0</v>
      </c>
      <c r="N127" s="711"/>
      <c r="O127" s="677"/>
      <c r="P127" s="160" t="n">
        <f aca="false">SUM(N127:O127)</f>
        <v>0</v>
      </c>
    </row>
    <row r="128" customFormat="false" ht="18.75" hidden="false" customHeight="true" outlineLevel="0" collapsed="false">
      <c r="A128" s="196" t="str">
        <f aca="false">'☆掛負収入'!A128</f>
        <v>小　計</v>
      </c>
      <c r="B128" s="429" t="n">
        <f aca="false">SUM(B124:B127)</f>
        <v>29280</v>
      </c>
      <c r="C128" s="200" t="n">
        <f aca="false">SUM(C124:C127)</f>
        <v>2400</v>
      </c>
      <c r="D128" s="429" t="n">
        <f aca="false">SUM(D124:D127)</f>
        <v>29280</v>
      </c>
      <c r="E128" s="199" t="n">
        <f aca="false">SUM(E124:E127)</f>
        <v>2400</v>
      </c>
      <c r="F128" s="198" t="n">
        <f aca="false">SUM(F124:F127)</f>
        <v>0</v>
      </c>
      <c r="G128" s="197" t="n">
        <f aca="false">SUM(B128:F128)</f>
        <v>63360</v>
      </c>
      <c r="H128" s="429" t="n">
        <f aca="false">SUM(H124:H127)</f>
        <v>16595</v>
      </c>
      <c r="I128" s="199" t="n">
        <f aca="false">SUM(I124:I127)</f>
        <v>16611</v>
      </c>
      <c r="J128" s="200" t="n">
        <f aca="false">SUM(H128:I128)</f>
        <v>33206</v>
      </c>
      <c r="K128" s="197" t="n">
        <f aca="false">SUM(K124:K127)</f>
        <v>2528</v>
      </c>
      <c r="L128" s="198" t="n">
        <f aca="false">SUM(L124:L127)</f>
        <v>2528</v>
      </c>
      <c r="M128" s="200" t="n">
        <f aca="false">SUM(K128:L128)</f>
        <v>5056</v>
      </c>
      <c r="N128" s="198" t="n">
        <f aca="false">SUM(N124:N127)</f>
        <v>368</v>
      </c>
      <c r="O128" s="198" t="n">
        <f aca="false">SUM(O124:O127)</f>
        <v>368</v>
      </c>
      <c r="P128" s="200" t="n">
        <f aca="false">SUM(N128:O128)</f>
        <v>736</v>
      </c>
    </row>
    <row r="129" customFormat="false" ht="18.75" hidden="false" customHeight="true" outlineLevel="0" collapsed="false">
      <c r="A129" s="302" t="str">
        <f aca="false">'☆掛負収入'!A129</f>
        <v>任意継続組合員</v>
      </c>
      <c r="B129" s="281"/>
      <c r="C129" s="523"/>
      <c r="D129" s="524"/>
      <c r="E129" s="525"/>
      <c r="F129" s="296"/>
      <c r="G129" s="293"/>
      <c r="H129" s="678"/>
      <c r="I129" s="282"/>
      <c r="J129" s="283"/>
      <c r="K129" s="524"/>
      <c r="L129" s="679"/>
      <c r="M129" s="292"/>
      <c r="N129" s="697"/>
      <c r="O129" s="679"/>
      <c r="P129" s="292"/>
    </row>
    <row r="130" customFormat="false" ht="30" hidden="false" customHeight="true" outlineLevel="0" collapsed="false">
      <c r="A130" s="680" t="str">
        <f aca="false">'☆掛負収入'!A130</f>
        <v>総　　計</v>
      </c>
      <c r="B130" s="429" t="n">
        <f aca="false">SUM(B87+B118+B123+B128)</f>
        <v>2827350</v>
      </c>
      <c r="C130" s="200" t="n">
        <f aca="false">SUM(C87+C118+C123+C128)</f>
        <v>231750</v>
      </c>
      <c r="D130" s="681" t="n">
        <f aca="false">SUM(D87+D118+D123+D128)</f>
        <v>8976150</v>
      </c>
      <c r="E130" s="199" t="n">
        <f aca="false">SUM(E87+E118+E123+E128)</f>
        <v>735750</v>
      </c>
      <c r="F130" s="201" t="n">
        <f aca="false">SUM(F87+F118+F123+F128)</f>
        <v>8777</v>
      </c>
      <c r="G130" s="197" t="n">
        <f aca="false">SUM(B130:F130)</f>
        <v>12779777</v>
      </c>
      <c r="H130" s="682" t="n">
        <f aca="false">SUM(H87+H118+H123+H128+H129)</f>
        <v>1534514</v>
      </c>
      <c r="I130" s="683" t="n">
        <f aca="false">SUM(I87+I118+I123+I128+I129)</f>
        <v>5198355</v>
      </c>
      <c r="J130" s="684" t="n">
        <f aca="false">SUM(H130:I130)</f>
        <v>6732869</v>
      </c>
      <c r="K130" s="685" t="n">
        <f aca="false">K87+K118+K123+K128+K129</f>
        <v>166374</v>
      </c>
      <c r="L130" s="686" t="n">
        <f aca="false">L87+L118+L123+L128</f>
        <v>584126</v>
      </c>
      <c r="M130" s="684" t="n">
        <f aca="false">SUM(K130:L130)</f>
        <v>750500</v>
      </c>
      <c r="N130" s="686" t="n">
        <f aca="false">N87+N118+N123+N128+N129</f>
        <v>34015</v>
      </c>
      <c r="O130" s="686" t="n">
        <f aca="false">O87+O118+O123+O128</f>
        <v>115149</v>
      </c>
      <c r="P130" s="684" t="n">
        <f aca="false">SUM(N130:O130)</f>
        <v>149164</v>
      </c>
    </row>
    <row r="131" customFormat="false" ht="18.75" hidden="false" customHeight="true" outlineLevel="0" collapsed="false">
      <c r="A131" s="340"/>
      <c r="B131" s="341"/>
      <c r="C131" s="341"/>
      <c r="D131" s="341"/>
      <c r="E131" s="341"/>
      <c r="F131" s="341"/>
      <c r="G131" s="341"/>
      <c r="H131" s="341"/>
      <c r="I131" s="341"/>
      <c r="J131" s="341"/>
      <c r="K131" s="341"/>
      <c r="L131" s="341"/>
      <c r="M131" s="341"/>
      <c r="N131" s="341"/>
      <c r="O131" s="341"/>
      <c r="P131" s="341"/>
    </row>
    <row r="132" customFormat="false" ht="30" hidden="false" customHeight="true" outlineLevel="0" collapsed="false">
      <c r="A132" s="320"/>
      <c r="B132" s="416" t="n">
        <f aca="false">'☆掛負収入'!B132</f>
        <v>46203</v>
      </c>
      <c r="C132" s="416" t="n">
        <f aca="false">'☆掛負収入'!C132</f>
        <v>0</v>
      </c>
      <c r="D132" s="416" t="n">
        <f aca="false">'☆掛負収入'!D132</f>
        <v>0</v>
      </c>
      <c r="E132" s="416" t="n">
        <f aca="false">'☆掛負収入'!E132</f>
        <v>0</v>
      </c>
      <c r="F132" s="416" t="n">
        <f aca="false">'☆掛負収入'!F132</f>
        <v>0</v>
      </c>
      <c r="G132" s="416" t="n">
        <f aca="false">'☆掛負収入'!G132</f>
        <v>0</v>
      </c>
      <c r="H132" s="687" t="n">
        <f aca="false">'☆掛負収入'!H132</f>
        <v>46203</v>
      </c>
      <c r="I132" s="687" t="n">
        <f aca="false">'☆掛負収入'!I132</f>
        <v>0</v>
      </c>
      <c r="J132" s="687" t="n">
        <f aca="false">'☆掛負収入'!J132</f>
        <v>0</v>
      </c>
      <c r="K132" s="687" t="n">
        <f aca="false">'☆掛負収入'!K132</f>
        <v>46203</v>
      </c>
      <c r="L132" s="687" t="n">
        <f aca="false">'☆掛負収入'!L132</f>
        <v>0</v>
      </c>
      <c r="M132" s="687" t="n">
        <f aca="false">'☆掛負収入'!M132</f>
        <v>0</v>
      </c>
      <c r="N132" s="687" t="n">
        <f aca="false">'☆掛負収入'!N132</f>
        <v>46203</v>
      </c>
      <c r="O132" s="687" t="n">
        <f aca="false">'☆掛負収入'!O132</f>
        <v>0</v>
      </c>
      <c r="P132" s="687" t="n">
        <f aca="false">'☆掛負収入'!P132</f>
        <v>0</v>
      </c>
    </row>
    <row r="133" customFormat="false" ht="22.5" hidden="false" customHeight="true" outlineLevel="0" collapsed="false">
      <c r="A133" s="114" t="str">
        <f aca="false">'☆掛負収入'!A133</f>
        <v>区　　分</v>
      </c>
      <c r="B133" s="114" t="str">
        <f aca="false">'☆掛負収入'!B133</f>
        <v>長　期　経　理</v>
      </c>
      <c r="C133" s="114" t="n">
        <f aca="false">'☆掛負収入'!C133</f>
        <v>0</v>
      </c>
      <c r="D133" s="114" t="n">
        <f aca="false">'☆掛負収入'!D133</f>
        <v>0</v>
      </c>
      <c r="E133" s="114" t="n">
        <f aca="false">'☆掛負収入'!E133</f>
        <v>0</v>
      </c>
      <c r="F133" s="114" t="n">
        <f aca="false">'☆掛負収入'!F133</f>
        <v>0</v>
      </c>
      <c r="G133" s="114" t="n">
        <f aca="false">'☆掛負収入'!G133</f>
        <v>0</v>
      </c>
      <c r="H133" s="116" t="str">
        <f aca="false">'☆掛負収入'!H133</f>
        <v>短　期　経　理</v>
      </c>
      <c r="I133" s="116" t="n">
        <f aca="false">'☆掛負収入'!I133</f>
        <v>0</v>
      </c>
      <c r="J133" s="116" t="n">
        <f aca="false">'☆掛負収入'!J133</f>
        <v>0</v>
      </c>
      <c r="K133" s="116" t="str">
        <f aca="false">'☆掛負収入'!K133</f>
        <v>介　護　納　付　金</v>
      </c>
      <c r="L133" s="116" t="n">
        <f aca="false">'☆掛負収入'!L133</f>
        <v>0</v>
      </c>
      <c r="M133" s="116" t="n">
        <f aca="false">'☆掛負収入'!M133</f>
        <v>0</v>
      </c>
      <c r="N133" s="115" t="str">
        <f aca="false">'☆掛負収入'!N133</f>
        <v>子ども・子育て支援納付金</v>
      </c>
      <c r="O133" s="115" t="n">
        <f aca="false">'☆掛負収入'!O133</f>
        <v>0</v>
      </c>
      <c r="P133" s="115" t="n">
        <f aca="false">'☆掛負収入'!P133</f>
        <v>0</v>
      </c>
    </row>
    <row r="134" customFormat="false" ht="22.5" hidden="false" customHeight="true" outlineLevel="0" collapsed="false">
      <c r="A134" s="114" t="n">
        <f aca="false">'☆掛負収入'!A134</f>
        <v>0</v>
      </c>
      <c r="B134" s="117" t="str">
        <f aca="false">'☆掛負収入'!B134</f>
        <v>組合員負担分</v>
      </c>
      <c r="C134" s="117" t="n">
        <f aca="false">'☆掛負収入'!C134</f>
        <v>0</v>
      </c>
      <c r="D134" s="117" t="str">
        <f aca="false">'☆掛負収入'!D134</f>
        <v>事業主負担分</v>
      </c>
      <c r="E134" s="117" t="n">
        <f aca="false">'☆掛負収入'!E134</f>
        <v>0</v>
      </c>
      <c r="F134" s="117" t="n">
        <f aca="false">'☆掛負収入'!F134</f>
        <v>0</v>
      </c>
      <c r="G134" s="611" t="str">
        <f aca="false">'☆掛負収入'!G134</f>
        <v>計</v>
      </c>
      <c r="H134" s="121" t="str">
        <f aca="false">'☆掛負収入'!H134</f>
        <v>掛　金</v>
      </c>
      <c r="I134" s="119" t="str">
        <f aca="false">'☆掛負収入'!I134</f>
        <v>負担金</v>
      </c>
      <c r="J134" s="120" t="str">
        <f aca="false">'☆掛負収入'!J134</f>
        <v>計</v>
      </c>
      <c r="K134" s="121" t="str">
        <f aca="false">'☆掛負収入'!K134</f>
        <v>掛　金</v>
      </c>
      <c r="L134" s="119" t="str">
        <f aca="false">'☆掛負収入'!L134</f>
        <v>負担金</v>
      </c>
      <c r="M134" s="120" t="str">
        <f aca="false">'☆掛負収入'!M134</f>
        <v>計</v>
      </c>
      <c r="N134" s="118" t="str">
        <f aca="false">'☆掛負収入'!N134</f>
        <v>掛　金</v>
      </c>
      <c r="O134" s="119" t="str">
        <f aca="false">'☆掛負収入'!O134</f>
        <v>負担金</v>
      </c>
      <c r="P134" s="120" t="str">
        <f aca="false">'☆掛負収入'!P134</f>
        <v>計</v>
      </c>
    </row>
    <row r="135" customFormat="false" ht="22.5" hidden="false" customHeight="true" outlineLevel="0" collapsed="false">
      <c r="A135" s="114" t="n">
        <f aca="false">'☆掛負収入'!A135</f>
        <v>0</v>
      </c>
      <c r="B135" s="612" t="str">
        <f aca="false">'☆掛負収入'!B135</f>
        <v>厚生年金保険料</v>
      </c>
      <c r="C135" s="613" t="str">
        <f aca="false">'☆掛負収入'!C135</f>
        <v>退職等年金掛金</v>
      </c>
      <c r="D135" s="614" t="str">
        <f aca="false">'☆掛負収入'!D135</f>
        <v>厚生年金保険料</v>
      </c>
      <c r="E135" s="614" t="str">
        <f aca="false">'☆掛負収入'!E135</f>
        <v>退職等年金負担金</v>
      </c>
      <c r="F135" s="615" t="str">
        <f aca="false">'☆掛負収入'!F135</f>
        <v>経過的長期</v>
      </c>
      <c r="G135" s="611" t="n">
        <f aca="false">'☆掛負収入'!G135</f>
        <v>0</v>
      </c>
      <c r="H135" s="121" t="n">
        <f aca="false">'☆掛負収入'!H135</f>
        <v>0</v>
      </c>
      <c r="I135" s="119" t="n">
        <f aca="false">'☆掛負収入'!I135</f>
        <v>0</v>
      </c>
      <c r="J135" s="120" t="n">
        <f aca="false">'☆掛負収入'!J135</f>
        <v>0</v>
      </c>
      <c r="K135" s="121" t="n">
        <f aca="false">'☆掛負収入'!K135</f>
        <v>0</v>
      </c>
      <c r="L135" s="119" t="n">
        <f aca="false">'☆掛負収入'!L135</f>
        <v>0</v>
      </c>
      <c r="M135" s="120" t="n">
        <f aca="false">'☆掛負収入'!M135</f>
        <v>0</v>
      </c>
      <c r="N135" s="118" t="n">
        <f aca="false">'☆掛負収入'!N135</f>
        <v>0</v>
      </c>
      <c r="O135" s="119" t="n">
        <f aca="false">'☆掛負収入'!O135</f>
        <v>0</v>
      </c>
      <c r="P135" s="120" t="n">
        <f aca="false">'☆掛負収入'!P135</f>
        <v>0</v>
      </c>
    </row>
    <row r="136" customFormat="false" ht="18.75" hidden="false" customHeight="true" outlineLevel="0" collapsed="false">
      <c r="A136" s="125" t="str">
        <f aca="false">'☆掛負収入'!A136</f>
        <v>市長部局</v>
      </c>
      <c r="B136" s="616"/>
      <c r="C136" s="389"/>
      <c r="D136" s="617"/>
      <c r="E136" s="617"/>
      <c r="F136" s="209"/>
      <c r="G136" s="389"/>
      <c r="H136" s="616"/>
      <c r="I136" s="618"/>
      <c r="J136" s="206"/>
      <c r="K136" s="619"/>
      <c r="L136" s="618"/>
      <c r="M136" s="206"/>
      <c r="N136" s="464"/>
      <c r="O136" s="618"/>
      <c r="P136" s="206"/>
    </row>
    <row r="137" customFormat="false" ht="18.75" hidden="false" customHeight="true" outlineLevel="0" collapsed="false">
      <c r="A137" s="125" t="str">
        <f aca="false">'☆掛負収入'!A137</f>
        <v>下水道局</v>
      </c>
      <c r="B137" s="431"/>
      <c r="C137" s="206"/>
      <c r="D137" s="617"/>
      <c r="E137" s="617"/>
      <c r="F137" s="160"/>
      <c r="G137" s="206"/>
      <c r="H137" s="619"/>
      <c r="I137" s="449"/>
      <c r="J137" s="160"/>
      <c r="K137" s="620"/>
      <c r="L137" s="621"/>
      <c r="M137" s="160"/>
      <c r="N137" s="621"/>
      <c r="O137" s="621"/>
      <c r="P137" s="160"/>
    </row>
    <row r="138" customFormat="false" ht="18.75" hidden="false" customHeight="true" outlineLevel="0" collapsed="false">
      <c r="A138" s="125" t="str">
        <f aca="false">'☆掛負収入'!A138</f>
        <v>消防局</v>
      </c>
      <c r="B138" s="431"/>
      <c r="C138" s="206"/>
      <c r="D138" s="617"/>
      <c r="E138" s="617"/>
      <c r="F138" s="160"/>
      <c r="G138" s="206"/>
      <c r="H138" s="620"/>
      <c r="I138" s="464"/>
      <c r="J138" s="160"/>
      <c r="K138" s="620"/>
      <c r="L138" s="464"/>
      <c r="M138" s="160"/>
      <c r="N138" s="621"/>
      <c r="O138" s="464"/>
      <c r="P138" s="160"/>
    </row>
    <row r="139" customFormat="false" ht="18.75" hidden="false" customHeight="true" outlineLevel="0" collapsed="false">
      <c r="A139" s="125" t="str">
        <f aca="false">'☆掛負収入'!A139</f>
        <v>議会事務局</v>
      </c>
      <c r="B139" s="431"/>
      <c r="C139" s="206"/>
      <c r="D139" s="617"/>
      <c r="E139" s="617"/>
      <c r="F139" s="160"/>
      <c r="G139" s="206"/>
      <c r="H139" s="431"/>
      <c r="I139" s="464"/>
      <c r="J139" s="160"/>
      <c r="K139" s="431"/>
      <c r="L139" s="464"/>
      <c r="M139" s="160"/>
      <c r="N139" s="617"/>
      <c r="O139" s="464"/>
      <c r="P139" s="160"/>
    </row>
    <row r="140" customFormat="false" ht="18.75" hidden="false" customHeight="true" outlineLevel="0" collapsed="false">
      <c r="A140" s="125" t="str">
        <f aca="false">'☆掛負収入'!A140</f>
        <v>教育委員会（総務課）</v>
      </c>
      <c r="B140" s="431"/>
      <c r="C140" s="206"/>
      <c r="D140" s="617"/>
      <c r="E140" s="617"/>
      <c r="F140" s="160"/>
      <c r="G140" s="206"/>
      <c r="H140" s="431"/>
      <c r="I140" s="464"/>
      <c r="J140" s="160"/>
      <c r="K140" s="431"/>
      <c r="L140" s="464"/>
      <c r="M140" s="160"/>
      <c r="N140" s="617"/>
      <c r="O140" s="464"/>
      <c r="P140" s="160"/>
    </row>
    <row r="141" customFormat="false" ht="18.75" hidden="false" customHeight="true" outlineLevel="0" collapsed="false">
      <c r="A141" s="125" t="str">
        <f aca="false">'☆掛負収入'!A141</f>
        <v>選挙管理委員会</v>
      </c>
      <c r="B141" s="431"/>
      <c r="C141" s="206"/>
      <c r="D141" s="617"/>
      <c r="E141" s="617"/>
      <c r="F141" s="160"/>
      <c r="G141" s="206"/>
      <c r="H141" s="619"/>
      <c r="I141" s="449"/>
      <c r="J141" s="160"/>
      <c r="K141" s="431"/>
      <c r="L141" s="464"/>
      <c r="M141" s="160"/>
      <c r="N141" s="617"/>
      <c r="O141" s="464"/>
      <c r="P141" s="160"/>
    </row>
    <row r="142" customFormat="false" ht="18.75" hidden="false" customHeight="true" outlineLevel="0" collapsed="false">
      <c r="A142" s="125" t="str">
        <f aca="false">'☆掛負収入'!A142</f>
        <v>人事委員会</v>
      </c>
      <c r="B142" s="431"/>
      <c r="C142" s="206"/>
      <c r="D142" s="617"/>
      <c r="E142" s="617"/>
      <c r="F142" s="160"/>
      <c r="G142" s="206"/>
      <c r="H142" s="619"/>
      <c r="I142" s="449"/>
      <c r="J142" s="160"/>
      <c r="K142" s="619"/>
      <c r="L142" s="449"/>
      <c r="M142" s="160"/>
      <c r="N142" s="464"/>
      <c r="O142" s="449"/>
      <c r="P142" s="160"/>
    </row>
    <row r="143" customFormat="false" ht="18.75" hidden="false" customHeight="true" outlineLevel="0" collapsed="false">
      <c r="A143" s="125" t="str">
        <f aca="false">'☆掛負収入'!A143</f>
        <v>監査事務局</v>
      </c>
      <c r="B143" s="431"/>
      <c r="C143" s="206"/>
      <c r="D143" s="617"/>
      <c r="E143" s="617"/>
      <c r="F143" s="160"/>
      <c r="G143" s="206"/>
      <c r="H143" s="619"/>
      <c r="I143" s="449"/>
      <c r="J143" s="160"/>
      <c r="K143" s="619"/>
      <c r="L143" s="449"/>
      <c r="M143" s="160"/>
      <c r="N143" s="464"/>
      <c r="O143" s="449"/>
      <c r="P143" s="160"/>
    </row>
    <row r="144" customFormat="false" ht="18.75" hidden="false" customHeight="true" outlineLevel="0" collapsed="false">
      <c r="A144" s="125" t="str">
        <f aca="false">'☆掛負収入'!A144</f>
        <v>農業委員会</v>
      </c>
      <c r="B144" s="431"/>
      <c r="C144" s="206"/>
      <c r="D144" s="617"/>
      <c r="E144" s="617"/>
      <c r="F144" s="160"/>
      <c r="G144" s="206"/>
      <c r="H144" s="619"/>
      <c r="I144" s="449"/>
      <c r="J144" s="160"/>
      <c r="K144" s="619"/>
      <c r="L144" s="449"/>
      <c r="M144" s="160"/>
      <c r="N144" s="464"/>
      <c r="O144" s="449"/>
      <c r="P144" s="160"/>
    </row>
    <row r="145" customFormat="false" ht="18.75" hidden="false" customHeight="true" outlineLevel="0" collapsed="false">
      <c r="A145" s="125" t="str">
        <f aca="false">'☆掛負収入'!A145</f>
        <v>水道局</v>
      </c>
      <c r="B145" s="431"/>
      <c r="C145" s="206"/>
      <c r="D145" s="617"/>
      <c r="E145" s="617"/>
      <c r="F145" s="160"/>
      <c r="G145" s="206"/>
      <c r="H145" s="619"/>
      <c r="I145" s="449"/>
      <c r="J145" s="160"/>
      <c r="K145" s="619"/>
      <c r="L145" s="449"/>
      <c r="M145" s="160"/>
      <c r="N145" s="464"/>
      <c r="O145" s="449"/>
      <c r="P145" s="160"/>
    </row>
    <row r="146" customFormat="false" ht="18.75" hidden="false" customHeight="true" outlineLevel="0" collapsed="false">
      <c r="A146" s="146" t="str">
        <f aca="false">'☆掛負収入'!A146</f>
        <v>医療政策課(安芸市民)</v>
      </c>
      <c r="B146" s="620"/>
      <c r="C146" s="391"/>
      <c r="D146" s="620"/>
      <c r="E146" s="621"/>
      <c r="F146" s="418"/>
      <c r="G146" s="206"/>
      <c r="H146" s="622"/>
      <c r="I146" s="432"/>
      <c r="J146" s="160"/>
      <c r="K146" s="619"/>
      <c r="L146" s="449"/>
      <c r="M146" s="160"/>
      <c r="N146" s="464"/>
      <c r="O146" s="449"/>
      <c r="P146" s="160"/>
    </row>
    <row r="147" customFormat="false" ht="18.75" hidden="false" customHeight="true" outlineLevel="0" collapsed="false">
      <c r="A147" s="146" t="str">
        <f aca="false">'☆掛負収入'!A147</f>
        <v>教育委員会（教育給与課）</v>
      </c>
      <c r="B147" s="620"/>
      <c r="C147" s="206"/>
      <c r="D147" s="431"/>
      <c r="E147" s="623"/>
      <c r="F147" s="309"/>
      <c r="G147" s="206"/>
      <c r="H147" s="619"/>
      <c r="I147" s="449"/>
      <c r="J147" s="160"/>
      <c r="K147" s="619"/>
      <c r="L147" s="449"/>
      <c r="M147" s="160"/>
      <c r="N147" s="464"/>
      <c r="O147" s="449"/>
      <c r="P147" s="160"/>
    </row>
    <row r="148" customFormat="false" ht="18.75" hidden="true" customHeight="true" outlineLevel="0" collapsed="false">
      <c r="A148" s="624"/>
      <c r="B148" s="625"/>
      <c r="C148" s="235"/>
      <c r="D148" s="625"/>
      <c r="E148" s="626"/>
      <c r="F148" s="221"/>
      <c r="G148" s="712"/>
      <c r="H148" s="627"/>
      <c r="I148" s="628"/>
      <c r="J148" s="221"/>
      <c r="K148" s="627"/>
      <c r="L148" s="628"/>
      <c r="M148" s="337"/>
      <c r="N148" s="637"/>
      <c r="O148" s="628"/>
      <c r="P148" s="337"/>
    </row>
    <row r="149" customFormat="false" ht="18.75" hidden="true" customHeight="true" outlineLevel="0" collapsed="false">
      <c r="A149" s="629"/>
      <c r="B149" s="482"/>
      <c r="C149" s="157"/>
      <c r="D149" s="482"/>
      <c r="E149" s="483"/>
      <c r="F149" s="484"/>
      <c r="G149" s="460"/>
      <c r="H149" s="482"/>
      <c r="I149" s="483"/>
      <c r="J149" s="484"/>
      <c r="K149" s="482"/>
      <c r="L149" s="483"/>
      <c r="M149" s="156"/>
      <c r="N149" s="589"/>
      <c r="O149" s="483"/>
      <c r="P149" s="156"/>
    </row>
    <row r="150" customFormat="false" ht="18.75" hidden="true" customHeight="true" outlineLevel="0" collapsed="false">
      <c r="A150" s="629"/>
      <c r="B150" s="625"/>
      <c r="C150" s="235"/>
      <c r="D150" s="625"/>
      <c r="E150" s="626"/>
      <c r="F150" s="221"/>
      <c r="G150" s="712"/>
      <c r="H150" s="625"/>
      <c r="I150" s="626"/>
      <c r="J150" s="221"/>
      <c r="K150" s="625"/>
      <c r="L150" s="626"/>
      <c r="M150" s="337"/>
      <c r="N150" s="713"/>
      <c r="O150" s="626"/>
      <c r="P150" s="337"/>
    </row>
    <row r="151" customFormat="false" ht="18.75" hidden="true" customHeight="true" outlineLevel="0" collapsed="false">
      <c r="A151" s="630"/>
      <c r="B151" s="631"/>
      <c r="C151" s="632"/>
      <c r="D151" s="631"/>
      <c r="E151" s="515"/>
      <c r="F151" s="633"/>
      <c r="G151" s="714"/>
      <c r="H151" s="482"/>
      <c r="I151" s="634"/>
      <c r="J151" s="690"/>
      <c r="K151" s="482"/>
      <c r="L151" s="483"/>
      <c r="M151" s="156"/>
      <c r="N151" s="589"/>
      <c r="O151" s="483"/>
      <c r="P151" s="156"/>
    </row>
    <row r="152" customFormat="false" ht="18.75" hidden="false" customHeight="true" outlineLevel="0" collapsed="false">
      <c r="A152" s="196" t="str">
        <f aca="false">'☆掛負収入'!A152</f>
        <v>小　計</v>
      </c>
      <c r="B152" s="429"/>
      <c r="C152" s="199"/>
      <c r="D152" s="429"/>
      <c r="E152" s="199"/>
      <c r="F152" s="200"/>
      <c r="G152" s="201"/>
      <c r="H152" s="429"/>
      <c r="I152" s="199"/>
      <c r="J152" s="201"/>
      <c r="K152" s="429"/>
      <c r="L152" s="199"/>
      <c r="M152" s="201"/>
      <c r="N152" s="301"/>
      <c r="O152" s="199"/>
      <c r="P152" s="201"/>
    </row>
    <row r="153" customFormat="false" ht="18.75" hidden="false" customHeight="true" outlineLevel="0" collapsed="false">
      <c r="A153" s="635" t="str">
        <f aca="false">'☆掛負収入'!A153</f>
        <v>地方税共同機構</v>
      </c>
      <c r="B153" s="469" t="n">
        <f aca="false">'☆掛負収入'!B153</f>
        <v>0</v>
      </c>
      <c r="C153" s="260" t="n">
        <f aca="false">'☆掛負収入'!C153</f>
        <v>0</v>
      </c>
      <c r="D153" s="636" t="n">
        <f aca="false">'☆掛負収入'!D153</f>
        <v>0</v>
      </c>
      <c r="E153" s="472" t="n">
        <f aca="false">'☆掛負収入'!E153</f>
        <v>0</v>
      </c>
      <c r="F153" s="471" t="n">
        <f aca="false">'☆掛負収入'!F153</f>
        <v>0</v>
      </c>
      <c r="G153" s="206" t="n">
        <f aca="false">SUM(B153:F153)</f>
        <v>0</v>
      </c>
      <c r="H153" s="619" t="n">
        <f aca="false">'☆掛負収入'!H153</f>
        <v>0</v>
      </c>
      <c r="I153" s="449" t="n">
        <f aca="false">'☆掛負収入'!I153</f>
        <v>0</v>
      </c>
      <c r="J153" s="160" t="n">
        <f aca="false">SUM(H153:I153)</f>
        <v>0</v>
      </c>
      <c r="K153" s="619" t="n">
        <f aca="false">'☆掛負収入'!K153</f>
        <v>0</v>
      </c>
      <c r="L153" s="449" t="n">
        <f aca="false">'☆掛負収入'!L153</f>
        <v>0</v>
      </c>
      <c r="M153" s="160" t="n">
        <f aca="false">SUM(K153:L153)</f>
        <v>0</v>
      </c>
      <c r="N153" s="464" t="n">
        <f aca="false">'☆掛負収入'!N153</f>
        <v>0</v>
      </c>
      <c r="O153" s="449" t="n">
        <f aca="false">'☆掛負収入'!O153</f>
        <v>0</v>
      </c>
      <c r="P153" s="160" t="n">
        <f aca="false">SUM(N153:O153)</f>
        <v>0</v>
      </c>
    </row>
    <row r="154" customFormat="false" ht="18.75" hidden="false" customHeight="true" outlineLevel="0" collapsed="false">
      <c r="A154" s="366" t="str">
        <f aca="false">'☆掛負収入'!A154</f>
        <v>平和文化センター</v>
      </c>
      <c r="B154" s="474" t="n">
        <f aca="false">'☆掛負収入'!B154</f>
        <v>0</v>
      </c>
      <c r="C154" s="402" t="n">
        <f aca="false">'☆掛負収入'!C154</f>
        <v>0</v>
      </c>
      <c r="D154" s="489" t="n">
        <f aca="false">'☆掛負収入'!D154</f>
        <v>765855</v>
      </c>
      <c r="E154" s="477" t="n">
        <f aca="false">'☆掛負収入'!E154</f>
        <v>62775</v>
      </c>
      <c r="F154" s="248" t="n">
        <f aca="false">'☆掛負収入'!F154</f>
        <v>789</v>
      </c>
      <c r="G154" s="206" t="n">
        <f aca="false">SUM(B154:F154)</f>
        <v>829419</v>
      </c>
      <c r="H154" s="619" t="n">
        <f aca="false">'☆掛負収入'!H154</f>
        <v>0</v>
      </c>
      <c r="I154" s="449" t="n">
        <f aca="false">'☆掛負収入'!I154</f>
        <v>441236</v>
      </c>
      <c r="J154" s="160" t="n">
        <f aca="false">SUM(H154:I154)</f>
        <v>441236</v>
      </c>
      <c r="K154" s="619" t="n">
        <f aca="false">'☆掛負収入'!K154</f>
        <v>0</v>
      </c>
      <c r="L154" s="449" t="n">
        <f aca="false">'☆掛負収入'!L154</f>
        <v>54826</v>
      </c>
      <c r="M154" s="160" t="n">
        <f aca="false">SUM(K154:L154)</f>
        <v>54826</v>
      </c>
      <c r="N154" s="464" t="n">
        <f aca="false">'☆掛負収入'!N154</f>
        <v>0</v>
      </c>
      <c r="O154" s="449" t="n">
        <f aca="false">'☆掛負収入'!O154</f>
        <v>9775</v>
      </c>
      <c r="P154" s="160" t="n">
        <f aca="false">SUM(N154:O154)</f>
        <v>9775</v>
      </c>
    </row>
    <row r="155" customFormat="false" ht="18.75" hidden="false" customHeight="true" outlineLevel="0" collapsed="false">
      <c r="A155" s="366" t="str">
        <f aca="false">'☆掛負収入'!A155</f>
        <v>社会福祉事業団</v>
      </c>
      <c r="B155" s="625"/>
      <c r="C155" s="235"/>
      <c r="D155" s="476" t="n">
        <f aca="false">'☆掛負収入'!D155</f>
        <v>1990125</v>
      </c>
      <c r="E155" s="478" t="n">
        <f aca="false">'☆掛負収入'!E155</f>
        <v>163125</v>
      </c>
      <c r="F155" s="248" t="n">
        <f aca="false">'☆掛負収入'!F155</f>
        <v>1996</v>
      </c>
      <c r="G155" s="206" t="n">
        <f aca="false">SUM(B155:F155)</f>
        <v>2155246</v>
      </c>
      <c r="H155" s="627"/>
      <c r="I155" s="449" t="n">
        <f aca="false">'☆掛負収入'!I155</f>
        <v>1279122</v>
      </c>
      <c r="J155" s="160" t="n">
        <f aca="false">SUM(H155:I155)</f>
        <v>1279122</v>
      </c>
      <c r="K155" s="627"/>
      <c r="L155" s="449" t="n">
        <f aca="false">'☆掛負収入'!L155</f>
        <v>141726</v>
      </c>
      <c r="M155" s="160" t="n">
        <f aca="false">SUM(K155:L155)</f>
        <v>141726</v>
      </c>
      <c r="N155" s="637"/>
      <c r="O155" s="449" t="n">
        <f aca="false">'☆掛負収入'!O155</f>
        <v>28333</v>
      </c>
      <c r="P155" s="160" t="n">
        <f aca="false">SUM(N155:O155)</f>
        <v>28333</v>
      </c>
    </row>
    <row r="156" customFormat="false" ht="18.75" hidden="false" customHeight="true" outlineLevel="0" collapsed="false">
      <c r="A156" s="366" t="str">
        <f aca="false">'☆掛負収入'!A156</f>
        <v>原爆障害対策協議会</v>
      </c>
      <c r="B156" s="625"/>
      <c r="C156" s="235"/>
      <c r="D156" s="474" t="n">
        <f aca="false">'☆掛負収入'!D156</f>
        <v>59475</v>
      </c>
      <c r="E156" s="478" t="n">
        <f aca="false">'☆掛負収入'!E156</f>
        <v>4875</v>
      </c>
      <c r="F156" s="248" t="n">
        <f aca="false">'☆掛負収入'!F156</f>
        <v>56</v>
      </c>
      <c r="G156" s="206" t="n">
        <f aca="false">SUM(B156:F156)</f>
        <v>64406</v>
      </c>
      <c r="H156" s="627"/>
      <c r="I156" s="449" t="n">
        <f aca="false">'☆掛負収入'!I156</f>
        <v>36856</v>
      </c>
      <c r="J156" s="160" t="n">
        <f aca="false">SUM(H156:I156)</f>
        <v>36856</v>
      </c>
      <c r="K156" s="627"/>
      <c r="L156" s="449" t="n">
        <f aca="false">'☆掛負収入'!L156</f>
        <v>5609</v>
      </c>
      <c r="M156" s="160" t="n">
        <f aca="false">SUM(K156:L156)</f>
        <v>5609</v>
      </c>
      <c r="N156" s="637"/>
      <c r="O156" s="449" t="n">
        <f aca="false">'☆掛負収入'!O156</f>
        <v>816</v>
      </c>
      <c r="P156" s="160" t="n">
        <f aca="false">SUM(N156:O156)</f>
        <v>816</v>
      </c>
    </row>
    <row r="157" customFormat="false" ht="18.75" hidden="false" customHeight="true" outlineLevel="0" collapsed="false">
      <c r="A157" s="367" t="str">
        <f aca="false">'☆掛負収入'!A157</f>
        <v>産業振興センター</v>
      </c>
      <c r="B157" s="625"/>
      <c r="C157" s="235"/>
      <c r="D157" s="474" t="n">
        <f aca="false">'☆掛負収入'!D157</f>
        <v>368745</v>
      </c>
      <c r="E157" s="478" t="n">
        <f aca="false">'☆掛負収入'!E157</f>
        <v>30225</v>
      </c>
      <c r="F157" s="248" t="n">
        <f aca="false">'☆掛負収入'!F157</f>
        <v>395</v>
      </c>
      <c r="G157" s="206" t="n">
        <f aca="false">SUM(B157:F157)</f>
        <v>399365</v>
      </c>
      <c r="H157" s="627"/>
      <c r="I157" s="449" t="n">
        <f aca="false">'☆掛負収入'!I157</f>
        <v>209223</v>
      </c>
      <c r="J157" s="160" t="n">
        <f aca="false">SUM(H157:I157)</f>
        <v>209223</v>
      </c>
      <c r="K157" s="627"/>
      <c r="L157" s="449" t="n">
        <f aca="false">'☆掛負収入'!L157</f>
        <v>26781</v>
      </c>
      <c r="M157" s="160" t="n">
        <f aca="false">SUM(K157:L157)</f>
        <v>26781</v>
      </c>
      <c r="N157" s="637"/>
      <c r="O157" s="449" t="n">
        <f aca="false">'☆掛負収入'!O157</f>
        <v>4634</v>
      </c>
      <c r="P157" s="160" t="n">
        <f aca="false">SUM(N157:O157)</f>
        <v>4634</v>
      </c>
    </row>
    <row r="158" customFormat="false" ht="18.75" hidden="false" customHeight="true" outlineLevel="0" collapsed="false">
      <c r="A158" s="368" t="str">
        <f aca="false">'☆掛負収入'!A158</f>
        <v>ひろしま産業振興</v>
      </c>
      <c r="B158" s="625"/>
      <c r="C158" s="484"/>
      <c r="D158" s="474" t="n">
        <f aca="false">'☆掛負収入'!D158</f>
        <v>40260</v>
      </c>
      <c r="E158" s="478" t="n">
        <f aca="false">'☆掛負収入'!E158</f>
        <v>3300</v>
      </c>
      <c r="F158" s="479" t="n">
        <f aca="false">'☆掛負収入'!F158</f>
        <v>38</v>
      </c>
      <c r="G158" s="206" t="n">
        <f aca="false">SUM(B158:F158)</f>
        <v>43598</v>
      </c>
      <c r="H158" s="627"/>
      <c r="I158" s="432" t="n">
        <f aca="false">'☆掛負収入'!I158</f>
        <v>22840</v>
      </c>
      <c r="J158" s="160" t="n">
        <f aca="false">SUM(H158:I158)</f>
        <v>22840</v>
      </c>
      <c r="K158" s="627"/>
      <c r="L158" s="432" t="n">
        <f aca="false">'☆掛負収入'!L158</f>
        <v>3476</v>
      </c>
      <c r="M158" s="160" t="n">
        <f aca="false">SUM(K158:L158)</f>
        <v>3476</v>
      </c>
      <c r="N158" s="637"/>
      <c r="O158" s="432" t="n">
        <f aca="false">'☆掛負収入'!O158</f>
        <v>506</v>
      </c>
      <c r="P158" s="160" t="n">
        <f aca="false">SUM(N158:O158)</f>
        <v>506</v>
      </c>
    </row>
    <row r="159" customFormat="false" ht="18.75" hidden="false" customHeight="true" outlineLevel="0" collapsed="false">
      <c r="A159" s="368" t="str">
        <f aca="false">'☆掛負収入'!A159</f>
        <v>都市整備公社　市</v>
      </c>
      <c r="B159" s="625"/>
      <c r="C159" s="484"/>
      <c r="D159" s="476" t="n">
        <f aca="false">'☆掛負収入'!D159</f>
        <v>0</v>
      </c>
      <c r="E159" s="478" t="n">
        <f aca="false">'☆掛負収入'!E159</f>
        <v>0</v>
      </c>
      <c r="F159" s="248" t="n">
        <f aca="false">'☆掛負収入'!F159</f>
        <v>0</v>
      </c>
      <c r="G159" s="206" t="n">
        <f aca="false">SUM(B159:F159)</f>
        <v>0</v>
      </c>
      <c r="H159" s="627"/>
      <c r="I159" s="449" t="n">
        <f aca="false">'☆掛負収入'!I159</f>
        <v>0</v>
      </c>
      <c r="J159" s="160" t="n">
        <f aca="false">SUM(H159:I159)</f>
        <v>0</v>
      </c>
      <c r="K159" s="627"/>
      <c r="L159" s="449" t="n">
        <f aca="false">'☆掛負収入'!L159</f>
        <v>0</v>
      </c>
      <c r="M159" s="160" t="n">
        <f aca="false">SUM(K159:L159)</f>
        <v>0</v>
      </c>
      <c r="N159" s="637"/>
      <c r="O159" s="449" t="n">
        <f aca="false">'☆掛負収入'!O159</f>
        <v>0</v>
      </c>
      <c r="P159" s="160" t="n">
        <f aca="false">SUM(N159:O159)</f>
        <v>0</v>
      </c>
    </row>
    <row r="160" customFormat="false" ht="18.75" hidden="false" customHeight="true" outlineLevel="0" collapsed="false">
      <c r="A160" s="369"/>
      <c r="B160" s="625"/>
      <c r="C160" s="221"/>
      <c r="D160" s="474"/>
      <c r="E160" s="478"/>
      <c r="F160" s="248"/>
      <c r="G160" s="206"/>
      <c r="H160" s="627"/>
      <c r="I160" s="449"/>
      <c r="J160" s="160"/>
      <c r="K160" s="627"/>
      <c r="L160" s="449"/>
      <c r="M160" s="160" t="n">
        <f aca="false">SUM(K160:L160)</f>
        <v>0</v>
      </c>
      <c r="N160" s="637"/>
      <c r="O160" s="449"/>
      <c r="P160" s="160" t="n">
        <f aca="false">SUM(N160:O160)</f>
        <v>0</v>
      </c>
    </row>
    <row r="161" customFormat="false" ht="18.75" hidden="false" customHeight="true" outlineLevel="0" collapsed="false">
      <c r="A161" s="368" t="str">
        <f aca="false">'☆掛負収入'!A161</f>
        <v>日本下水道事業団</v>
      </c>
      <c r="B161" s="476" t="n">
        <f aca="false">'☆掛負収入'!B161</f>
        <v>237900</v>
      </c>
      <c r="C161" s="248" t="n">
        <f aca="false">'☆掛負収入'!C161</f>
        <v>19500</v>
      </c>
      <c r="D161" s="474" t="n">
        <f aca="false">'☆掛負収入'!D161</f>
        <v>237900</v>
      </c>
      <c r="E161" s="478" t="n">
        <f aca="false">'☆掛負収入'!E161</f>
        <v>19500</v>
      </c>
      <c r="F161" s="248" t="n">
        <f aca="false">'☆掛負収入'!F161</f>
        <v>225</v>
      </c>
      <c r="G161" s="206" t="n">
        <f aca="false">SUM(B161:F161)</f>
        <v>515025</v>
      </c>
      <c r="H161" s="619" t="n">
        <f aca="false">'☆掛負収入'!H161</f>
        <v>137945</v>
      </c>
      <c r="I161" s="449" t="n">
        <f aca="false">'☆掛負収入'!I161</f>
        <v>138080</v>
      </c>
      <c r="J161" s="160" t="n">
        <f aca="false">SUM(H161:I161)</f>
        <v>276025</v>
      </c>
      <c r="K161" s="619" t="n">
        <f aca="false">'☆掛負収入'!K161</f>
        <v>10744</v>
      </c>
      <c r="L161" s="449" t="n">
        <f aca="false">'☆掛負収入'!L161</f>
        <v>10744</v>
      </c>
      <c r="M161" s="160" t="n">
        <f aca="false">SUM(K161:L161)</f>
        <v>21488</v>
      </c>
      <c r="N161" s="464" t="n">
        <f aca="false">'☆掛負収入'!N161</f>
        <v>3058</v>
      </c>
      <c r="O161" s="449" t="n">
        <f aca="false">'☆掛負収入'!O161</f>
        <v>3059</v>
      </c>
      <c r="P161" s="160" t="n">
        <f aca="false">SUM(N161:O161)</f>
        <v>6117</v>
      </c>
    </row>
    <row r="162" customFormat="false" ht="18.75" hidden="false" customHeight="true" outlineLevel="0" collapsed="false">
      <c r="A162" s="366" t="str">
        <f aca="false">'☆掛負収入'!A162</f>
        <v>地方公務員災害補償基金本部</v>
      </c>
      <c r="B162" s="476" t="n">
        <f aca="false">'☆掛負収入'!B162</f>
        <v>40260</v>
      </c>
      <c r="C162" s="248" t="n">
        <f aca="false">'☆掛負収入'!C162</f>
        <v>3300</v>
      </c>
      <c r="D162" s="474" t="n">
        <f aca="false">'☆掛負収入'!D162</f>
        <v>40260</v>
      </c>
      <c r="E162" s="478" t="n">
        <f aca="false">'☆掛負収入'!E162</f>
        <v>3300</v>
      </c>
      <c r="F162" s="248" t="n">
        <f aca="false">'☆掛負収入'!F162</f>
        <v>38</v>
      </c>
      <c r="G162" s="206" t="n">
        <f aca="false">SUM(B162:F162)</f>
        <v>87158</v>
      </c>
      <c r="H162" s="619" t="n">
        <f aca="false">'☆掛負収入'!H162</f>
        <v>22818</v>
      </c>
      <c r="I162" s="449" t="n">
        <f aca="false">'☆掛負収入'!I162</f>
        <v>22840</v>
      </c>
      <c r="J162" s="160" t="n">
        <f aca="false">SUM(H162:I162)</f>
        <v>45658</v>
      </c>
      <c r="K162" s="619" t="n">
        <f aca="false">'☆掛負収入'!K162</f>
        <v>0</v>
      </c>
      <c r="L162" s="449" t="n">
        <f aca="false">'☆掛負収入'!L162</f>
        <v>0</v>
      </c>
      <c r="M162" s="160" t="n">
        <f aca="false">SUM(K162:L162)</f>
        <v>0</v>
      </c>
      <c r="N162" s="464" t="n">
        <f aca="false">'☆掛負収入'!N162</f>
        <v>506</v>
      </c>
      <c r="O162" s="449" t="n">
        <f aca="false">'☆掛負収入'!O162</f>
        <v>506</v>
      </c>
      <c r="P162" s="160" t="n">
        <f aca="false">SUM(N162:O162)</f>
        <v>1012</v>
      </c>
    </row>
    <row r="163" customFormat="false" ht="18.75" hidden="false" customHeight="true" outlineLevel="0" collapsed="false">
      <c r="A163" s="370"/>
      <c r="B163" s="474"/>
      <c r="C163" s="248"/>
      <c r="D163" s="474"/>
      <c r="E163" s="478"/>
      <c r="F163" s="248"/>
      <c r="G163" s="206"/>
      <c r="H163" s="619"/>
      <c r="I163" s="449"/>
      <c r="J163" s="160"/>
      <c r="K163" s="619"/>
      <c r="L163" s="449"/>
      <c r="M163" s="160" t="n">
        <f aca="false">SUM(K163:L163)</f>
        <v>0</v>
      </c>
      <c r="N163" s="464"/>
      <c r="O163" s="449"/>
      <c r="P163" s="160" t="n">
        <f aca="false">SUM(N163:O163)</f>
        <v>0</v>
      </c>
    </row>
    <row r="164" customFormat="false" ht="18.75" hidden="false" customHeight="true" outlineLevel="0" collapsed="false">
      <c r="A164" s="366" t="str">
        <f aca="false">'☆掛負収入'!A164</f>
        <v>高速道路公社</v>
      </c>
      <c r="B164" s="489" t="n">
        <f aca="false">'☆掛負収入'!B164</f>
        <v>746640</v>
      </c>
      <c r="C164" s="479" t="n">
        <f aca="false">'☆掛負収入'!C164</f>
        <v>61200</v>
      </c>
      <c r="D164" s="489" t="n">
        <f aca="false">'☆掛負収入'!D164</f>
        <v>718038</v>
      </c>
      <c r="E164" s="495" t="n">
        <f aca="false">'☆掛負収入'!E164</f>
        <v>58125</v>
      </c>
      <c r="F164" s="491" t="n">
        <f aca="false">'☆掛負収入'!F164</f>
        <v>684</v>
      </c>
      <c r="G164" s="206" t="n">
        <f aca="false">SUM(B164:F164)</f>
        <v>1584687</v>
      </c>
      <c r="H164" s="638" t="n">
        <f aca="false">'☆掛負収入'!H164</f>
        <v>423172</v>
      </c>
      <c r="I164" s="639" t="n">
        <f aca="false">'☆掛負収入'!I164</f>
        <v>393389</v>
      </c>
      <c r="J164" s="160" t="n">
        <f aca="false">SUM(H164:I164)</f>
        <v>816561</v>
      </c>
      <c r="K164" s="638" t="n">
        <f aca="false">'☆掛負収入'!K164</f>
        <v>39342</v>
      </c>
      <c r="L164" s="639" t="n">
        <f aca="false">'☆掛負収入'!L164</f>
        <v>39342</v>
      </c>
      <c r="M164" s="160" t="n">
        <f aca="false">SUM(K164:L164)</f>
        <v>78684</v>
      </c>
      <c r="N164" s="640" t="n">
        <f aca="false">'☆掛負収入'!N164</f>
        <v>9380</v>
      </c>
      <c r="O164" s="639" t="n">
        <f aca="false">'☆掛負収入'!O164</f>
        <v>8913</v>
      </c>
      <c r="P164" s="160" t="n">
        <f aca="false">SUM(N164:O164)</f>
        <v>18293</v>
      </c>
    </row>
    <row r="165" customFormat="false" ht="18.75" hidden="false" customHeight="true" outlineLevel="0" collapsed="false">
      <c r="A165" s="366" t="str">
        <f aca="false">'☆掛負収入'!A165</f>
        <v>農林水産振興センタ</v>
      </c>
      <c r="B165" s="482"/>
      <c r="C165" s="484"/>
      <c r="D165" s="476" t="n">
        <f aca="false">'☆掛負収入'!D165</f>
        <v>607560</v>
      </c>
      <c r="E165" s="498" t="n">
        <f aca="false">'☆掛負収入'!E165</f>
        <v>49800</v>
      </c>
      <c r="F165" s="479" t="n">
        <f aca="false">'☆掛負収入'!F165</f>
        <v>603</v>
      </c>
      <c r="G165" s="206" t="n">
        <f aca="false">SUM(B165:F165)</f>
        <v>657963</v>
      </c>
      <c r="H165" s="641"/>
      <c r="I165" s="432" t="n">
        <f aca="false">'☆掛負収入'!I165</f>
        <v>344697</v>
      </c>
      <c r="J165" s="160" t="n">
        <f aca="false">SUM(H165:I165)</f>
        <v>344697</v>
      </c>
      <c r="K165" s="641"/>
      <c r="L165" s="432" t="n">
        <f aca="false">'☆掛負収入'!L165</f>
        <v>28203</v>
      </c>
      <c r="M165" s="160" t="n">
        <f aca="false">SUM(K165:L165)</f>
        <v>28203</v>
      </c>
      <c r="N165" s="642"/>
      <c r="O165" s="432" t="n">
        <f aca="false">'☆掛負収入'!O165</f>
        <v>7634</v>
      </c>
      <c r="P165" s="160" t="n">
        <f aca="false">SUM(N165:O165)</f>
        <v>7634</v>
      </c>
    </row>
    <row r="166" customFormat="false" ht="18.75" hidden="false" customHeight="true" outlineLevel="0" collapsed="false">
      <c r="A166" s="371" t="str">
        <f aca="false">'☆掛負収入'!A166</f>
        <v>文化財団　市長部局</v>
      </c>
      <c r="B166" s="625"/>
      <c r="C166" s="221"/>
      <c r="D166" s="474" t="n">
        <f aca="false">'☆掛負収入'!D166</f>
        <v>1056825</v>
      </c>
      <c r="E166" s="478" t="n">
        <f aca="false">'☆掛負収入'!E166</f>
        <v>86625</v>
      </c>
      <c r="F166" s="479" t="n">
        <f aca="false">'☆掛負収入'!F166</f>
        <v>1000</v>
      </c>
      <c r="G166" s="206" t="n">
        <f aca="false">SUM(B166:F166)</f>
        <v>1144450</v>
      </c>
      <c r="H166" s="627"/>
      <c r="I166" s="432" t="n">
        <f aca="false">'☆掛負収入'!I166</f>
        <v>602672</v>
      </c>
      <c r="J166" s="160" t="n">
        <f aca="false">SUM(H166:I166)</f>
        <v>602672</v>
      </c>
      <c r="K166" s="627"/>
      <c r="L166" s="432" t="n">
        <f aca="false">'☆掛負収入'!L166</f>
        <v>86347</v>
      </c>
      <c r="M166" s="160" t="n">
        <f aca="false">SUM(K166:L166)</f>
        <v>86347</v>
      </c>
      <c r="N166" s="637"/>
      <c r="O166" s="432" t="n">
        <f aca="false">'☆掛負収入'!O166</f>
        <v>13350</v>
      </c>
      <c r="P166" s="160" t="n">
        <f aca="false">SUM(N166:O166)</f>
        <v>13350</v>
      </c>
    </row>
    <row r="167" customFormat="false" ht="18.75" hidden="false" customHeight="true" outlineLevel="0" collapsed="false">
      <c r="A167" s="372"/>
      <c r="B167" s="625"/>
      <c r="C167" s="221"/>
      <c r="D167" s="474"/>
      <c r="E167" s="478"/>
      <c r="F167" s="479"/>
      <c r="G167" s="206"/>
      <c r="H167" s="627"/>
      <c r="I167" s="432"/>
      <c r="J167" s="160"/>
      <c r="K167" s="627"/>
      <c r="L167" s="432"/>
      <c r="M167" s="160" t="n">
        <f aca="false">SUM(K167:L167)</f>
        <v>0</v>
      </c>
      <c r="N167" s="637"/>
      <c r="O167" s="432"/>
      <c r="P167" s="160" t="n">
        <f aca="false">SUM(N167:O167)</f>
        <v>0</v>
      </c>
    </row>
    <row r="168" customFormat="false" ht="18.75" hidden="false" customHeight="true" outlineLevel="0" collapsed="false">
      <c r="A168" s="366" t="str">
        <f aca="false">'☆掛負収入'!A168</f>
        <v>みどり生きもの協会</v>
      </c>
      <c r="B168" s="625"/>
      <c r="C168" s="221"/>
      <c r="D168" s="474" t="n">
        <f aca="false">'☆掛負収入'!D168</f>
        <v>405345</v>
      </c>
      <c r="E168" s="478" t="n">
        <f aca="false">'☆掛負収入'!E168</f>
        <v>33225</v>
      </c>
      <c r="F168" s="479" t="n">
        <f aca="false">'☆掛負収入'!F168</f>
        <v>383</v>
      </c>
      <c r="G168" s="206" t="n">
        <f aca="false">SUM(B168:F168)</f>
        <v>438953</v>
      </c>
      <c r="H168" s="627"/>
      <c r="I168" s="432" t="n">
        <f aca="false">'☆掛負収入'!I168</f>
        <v>229959</v>
      </c>
      <c r="J168" s="160" t="n">
        <f aca="false">SUM(H168:I168)</f>
        <v>229959</v>
      </c>
      <c r="K168" s="627"/>
      <c r="L168" s="432" t="n">
        <f aca="false">'☆掛負収入'!L168</f>
        <v>34997</v>
      </c>
      <c r="M168" s="160" t="n">
        <f aca="false">SUM(K168:L168)</f>
        <v>34997</v>
      </c>
      <c r="N168" s="637"/>
      <c r="O168" s="432" t="n">
        <f aca="false">'☆掛負収入'!O168</f>
        <v>5093</v>
      </c>
      <c r="P168" s="160" t="n">
        <f aca="false">SUM(N168:O168)</f>
        <v>5093</v>
      </c>
    </row>
    <row r="169" customFormat="false" ht="18.75" hidden="false" customHeight="true" outlineLevel="0" collapsed="false">
      <c r="A169" s="368" t="str">
        <f aca="false">'☆掛負収入'!A169</f>
        <v>県下水道公社</v>
      </c>
      <c r="B169" s="474" t="n">
        <f aca="false">'☆掛負収入'!B169</f>
        <v>148230</v>
      </c>
      <c r="C169" s="248" t="n">
        <f aca="false">'☆掛負収入'!C169</f>
        <v>12150</v>
      </c>
      <c r="D169" s="474" t="n">
        <f aca="false">'☆掛負収入'!D169</f>
        <v>148230</v>
      </c>
      <c r="E169" s="478" t="n">
        <f aca="false">'☆掛負収入'!E169</f>
        <v>12150</v>
      </c>
      <c r="F169" s="479" t="n">
        <f aca="false">'☆掛負収入'!F169</f>
        <v>140</v>
      </c>
      <c r="G169" s="206" t="n">
        <f aca="false">SUM(B169:F169)</f>
        <v>320900</v>
      </c>
      <c r="H169" s="619" t="n">
        <f aca="false">'☆掛負収入'!H169</f>
        <v>87123</v>
      </c>
      <c r="I169" s="432" t="n">
        <f aca="false">'☆掛負収入'!I169</f>
        <v>87208</v>
      </c>
      <c r="J169" s="160" t="n">
        <f aca="false">SUM(H169:I169)</f>
        <v>174331</v>
      </c>
      <c r="K169" s="619" t="n">
        <f aca="false">'☆掛負収入'!K169</f>
        <v>10033</v>
      </c>
      <c r="L169" s="432" t="n">
        <f aca="false">'☆掛負収入'!L169</f>
        <v>10033</v>
      </c>
      <c r="M169" s="160" t="n">
        <f aca="false">SUM(K169:L169)</f>
        <v>20066</v>
      </c>
      <c r="N169" s="464" t="n">
        <f aca="false">'☆掛負収入'!N169</f>
        <v>1931</v>
      </c>
      <c r="O169" s="432" t="n">
        <f aca="false">'☆掛負収入'!O169</f>
        <v>1932</v>
      </c>
      <c r="P169" s="160" t="n">
        <f aca="false">SUM(N169:O169)</f>
        <v>3863</v>
      </c>
    </row>
    <row r="170" customFormat="false" ht="18.75" hidden="false" customHeight="true" outlineLevel="0" collapsed="false">
      <c r="A170" s="368" t="str">
        <f aca="false">'☆掛負収入'!A170</f>
        <v>バス協調・共創
プラットフォーム</v>
      </c>
      <c r="B170" s="482"/>
      <c r="C170" s="484"/>
      <c r="D170" s="476" t="n">
        <f aca="false">'☆掛負収入'!D170</f>
        <v>455670</v>
      </c>
      <c r="E170" s="498" t="n">
        <f aca="false">'☆掛負収入'!E170</f>
        <v>37350</v>
      </c>
      <c r="F170" s="479" t="n">
        <f aca="false">'☆掛負収入'!F170</f>
        <v>432</v>
      </c>
      <c r="G170" s="206" t="n">
        <f aca="false">SUM(B170:F170)</f>
        <v>493452</v>
      </c>
      <c r="H170" s="641"/>
      <c r="I170" s="432" t="n">
        <f aca="false">'☆掛負収入'!I170</f>
        <v>263702</v>
      </c>
      <c r="J170" s="160" t="n">
        <f aca="false">SUM(H170:I170)</f>
        <v>263702</v>
      </c>
      <c r="K170" s="641"/>
      <c r="L170" s="432" t="n">
        <f aca="false">'☆掛負収入'!L170</f>
        <v>21093</v>
      </c>
      <c r="M170" s="160" t="n">
        <f aca="false">SUM(K170:L170)</f>
        <v>21093</v>
      </c>
      <c r="N170" s="642"/>
      <c r="O170" s="432" t="n">
        <f aca="false">'☆掛負収入'!O170</f>
        <v>5842</v>
      </c>
      <c r="P170" s="160" t="n">
        <f aca="false">SUM(N170:O170)</f>
        <v>5842</v>
      </c>
    </row>
    <row r="171" customFormat="false" ht="18.75" hidden="false" customHeight="true" outlineLevel="0" collapsed="false">
      <c r="A171" s="368" t="str">
        <f aca="false">'☆掛負収入'!A171</f>
        <v>広島県市長会</v>
      </c>
      <c r="B171" s="474" t="n">
        <f aca="false">'☆掛負収入'!B171</f>
        <v>56730</v>
      </c>
      <c r="C171" s="248" t="n">
        <f aca="false">'☆掛負収入'!C171</f>
        <v>4650</v>
      </c>
      <c r="D171" s="474" t="n">
        <f aca="false">'☆掛負収入'!D171</f>
        <v>56730</v>
      </c>
      <c r="E171" s="478" t="n">
        <f aca="false">'☆掛負収入'!E171</f>
        <v>4650</v>
      </c>
      <c r="F171" s="248" t="n">
        <f aca="false">'☆掛負収入'!F171</f>
        <v>53</v>
      </c>
      <c r="G171" s="206" t="n">
        <f aca="false">SUM(B171:F171)</f>
        <v>122813</v>
      </c>
      <c r="H171" s="619" t="n">
        <f aca="false">'☆掛負収入'!H171</f>
        <v>32153</v>
      </c>
      <c r="I171" s="449" t="n">
        <f aca="false">'☆掛負収入'!I171</f>
        <v>32184</v>
      </c>
      <c r="J171" s="160" t="n">
        <f aca="false">SUM(H171:I171)</f>
        <v>64337</v>
      </c>
      <c r="K171" s="619" t="n">
        <f aca="false">'☆掛負収入'!K171</f>
        <v>4898</v>
      </c>
      <c r="L171" s="449" t="n">
        <f aca="false">'☆掛負収入'!L171</f>
        <v>4898</v>
      </c>
      <c r="M171" s="160" t="n">
        <f aca="false">SUM(K171:L171)</f>
        <v>9796</v>
      </c>
      <c r="N171" s="464" t="n">
        <f aca="false">'☆掛負収入'!N171</f>
        <v>713</v>
      </c>
      <c r="O171" s="449" t="n">
        <f aca="false">'☆掛負収入'!O171</f>
        <v>713</v>
      </c>
      <c r="P171" s="160" t="n">
        <f aca="false">SUM(N171:O171)</f>
        <v>1426</v>
      </c>
    </row>
    <row r="172" customFormat="false" ht="18.75" hidden="false" customHeight="true" outlineLevel="0" collapsed="false">
      <c r="A172" s="367" t="str">
        <f aca="false">'☆掛負収入'!A172</f>
        <v>全国市町村研修財団</v>
      </c>
      <c r="B172" s="476" t="n">
        <f aca="false">'☆掛負収入'!B172</f>
        <v>59475</v>
      </c>
      <c r="C172" s="248" t="n">
        <f aca="false">'☆掛負収入'!C172</f>
        <v>4875</v>
      </c>
      <c r="D172" s="474" t="n">
        <f aca="false">'☆掛負収入'!D172</f>
        <v>59475</v>
      </c>
      <c r="E172" s="478" t="n">
        <f aca="false">'☆掛負収入'!E172</f>
        <v>4875</v>
      </c>
      <c r="F172" s="248" t="n">
        <f aca="false">'☆掛負収入'!F172</f>
        <v>56</v>
      </c>
      <c r="G172" s="206" t="n">
        <f aca="false">SUM(B172:F172)</f>
        <v>128756</v>
      </c>
      <c r="H172" s="619" t="n">
        <f aca="false">'☆掛負収入'!H172</f>
        <v>38895</v>
      </c>
      <c r="I172" s="449" t="n">
        <f aca="false">'☆掛負収入'!I172</f>
        <v>38932</v>
      </c>
      <c r="J172" s="160" t="n">
        <f aca="false">SUM(H172:I172)</f>
        <v>77827</v>
      </c>
      <c r="K172" s="619" t="n">
        <f aca="false">'☆掛負収入'!K172</f>
        <v>5925</v>
      </c>
      <c r="L172" s="449" t="n">
        <f aca="false">'☆掛負収入'!L172</f>
        <v>5925</v>
      </c>
      <c r="M172" s="160" t="n">
        <f aca="false">SUM(K172:L172)</f>
        <v>11850</v>
      </c>
      <c r="N172" s="464" t="n">
        <f aca="false">'☆掛負収入'!N172</f>
        <v>862</v>
      </c>
      <c r="O172" s="449" t="n">
        <f aca="false">'☆掛負収入'!O172</f>
        <v>862</v>
      </c>
      <c r="P172" s="160" t="n">
        <f aca="false">SUM(N172:O172)</f>
        <v>1724</v>
      </c>
    </row>
    <row r="173" customFormat="false" ht="18.75" hidden="false" customHeight="true" outlineLevel="0" collapsed="false">
      <c r="A173" s="367" t="str">
        <f aca="false">'☆掛負収入'!A173</f>
        <v>都市再生機構</v>
      </c>
      <c r="B173" s="474" t="n">
        <f aca="false">'☆掛負収入'!B173</f>
        <v>37515</v>
      </c>
      <c r="C173" s="248" t="n">
        <f aca="false">'☆掛負収入'!C173</f>
        <v>3075</v>
      </c>
      <c r="D173" s="474" t="n">
        <f aca="false">'☆掛負収入'!D173</f>
        <v>37515</v>
      </c>
      <c r="E173" s="478" t="n">
        <f aca="false">'☆掛負収入'!E173</f>
        <v>3075</v>
      </c>
      <c r="F173" s="248" t="n">
        <f aca="false">'☆掛負収入'!F173</f>
        <v>35</v>
      </c>
      <c r="G173" s="206" t="n">
        <f aca="false">SUM(B173:F173)</f>
        <v>81215</v>
      </c>
      <c r="H173" s="619" t="n">
        <f aca="false">'☆掛負収入'!H173</f>
        <v>21262</v>
      </c>
      <c r="I173" s="449" t="n">
        <f aca="false">'☆掛負収入'!I173</f>
        <v>21283</v>
      </c>
      <c r="J173" s="160" t="n">
        <f aca="false">SUM(H173:I173)</f>
        <v>42545</v>
      </c>
      <c r="K173" s="619" t="n">
        <f aca="false">'☆掛負収入'!K173</f>
        <v>0</v>
      </c>
      <c r="L173" s="449" t="n">
        <f aca="false">'☆掛負収入'!L173</f>
        <v>0</v>
      </c>
      <c r="M173" s="160" t="n">
        <f aca="false">SUM(K173:L173)</f>
        <v>0</v>
      </c>
      <c r="N173" s="464" t="n">
        <f aca="false">'☆掛負収入'!N173</f>
        <v>471</v>
      </c>
      <c r="O173" s="449" t="n">
        <f aca="false">'☆掛負収入'!O173</f>
        <v>471</v>
      </c>
      <c r="P173" s="160" t="n">
        <f aca="false">SUM(N173:O173)</f>
        <v>942</v>
      </c>
    </row>
    <row r="174" customFormat="false" ht="18.75" hidden="false" customHeight="true" outlineLevel="0" collapsed="false">
      <c r="A174" s="368" t="str">
        <f aca="false">'☆掛負収入'!A174</f>
        <v>広島市立大学</v>
      </c>
      <c r="B174" s="431" t="n">
        <f aca="false">'☆掛負収入'!B174</f>
        <v>1201395</v>
      </c>
      <c r="C174" s="160" t="n">
        <f aca="false">'☆掛負収入'!C174</f>
        <v>98475</v>
      </c>
      <c r="D174" s="431" t="n">
        <f aca="false">'☆掛負収入'!D174</f>
        <v>1201395</v>
      </c>
      <c r="E174" s="464" t="n">
        <f aca="false">'☆掛負収入'!E174</f>
        <v>98475</v>
      </c>
      <c r="F174" s="248" t="n">
        <f aca="false">'☆掛負収入'!F174</f>
        <v>1208</v>
      </c>
      <c r="G174" s="206" t="n">
        <f aca="false">SUM(B174:F174)</f>
        <v>2600948</v>
      </c>
      <c r="H174" s="619" t="n">
        <f aca="false">'☆掛負収入'!H174</f>
        <v>690245</v>
      </c>
      <c r="I174" s="449" t="n">
        <f aca="false">'☆掛負収入'!I174</f>
        <v>690961</v>
      </c>
      <c r="J174" s="160" t="n">
        <f aca="false">SUM(H174:I174)</f>
        <v>1381206</v>
      </c>
      <c r="K174" s="619" t="n">
        <f aca="false">'☆掛負収入'!K174</f>
        <v>79632</v>
      </c>
      <c r="L174" s="449" t="n">
        <f aca="false">'☆掛負収入'!L174</f>
        <v>79632</v>
      </c>
      <c r="M174" s="160" t="n">
        <f aca="false">SUM(K174:L174)</f>
        <v>159264</v>
      </c>
      <c r="N174" s="464" t="n">
        <f aca="false">'☆掛負収入'!N174</f>
        <v>15300</v>
      </c>
      <c r="O174" s="449" t="n">
        <f aca="false">'☆掛負収入'!O174</f>
        <v>15306</v>
      </c>
      <c r="P174" s="160" t="n">
        <f aca="false">SUM(N174:O174)</f>
        <v>30606</v>
      </c>
    </row>
    <row r="175" customFormat="false" ht="18.75" hidden="false" customHeight="true" outlineLevel="0" collapsed="false">
      <c r="A175" s="368" t="str">
        <f aca="false">'☆掛負収入'!A175</f>
        <v>社会福祉協議会</v>
      </c>
      <c r="B175" s="431" t="n">
        <f aca="false">'☆掛負収入'!B175</f>
        <v>0</v>
      </c>
      <c r="C175" s="160" t="n">
        <f aca="false">'☆掛負収入'!C175</f>
        <v>0</v>
      </c>
      <c r="D175" s="431" t="n">
        <f aca="false">'☆掛負収入'!D175</f>
        <v>242475</v>
      </c>
      <c r="E175" s="464" t="n">
        <f aca="false">'☆掛負収入'!E175</f>
        <v>19875</v>
      </c>
      <c r="F175" s="248" t="n">
        <f aca="false">'☆掛負収入'!F175</f>
        <v>230</v>
      </c>
      <c r="G175" s="206" t="n">
        <f aca="false">SUM(B175:F175)</f>
        <v>262580</v>
      </c>
      <c r="H175" s="619" t="n">
        <f aca="false">'☆掛負収入'!H175</f>
        <v>0</v>
      </c>
      <c r="I175" s="449" t="n">
        <f aca="false">'☆掛負収入'!I175</f>
        <v>140676</v>
      </c>
      <c r="J175" s="160" t="n">
        <f aca="false">SUM(H175:I175)</f>
        <v>140676</v>
      </c>
      <c r="K175" s="619" t="n">
        <f aca="false">'☆掛負収入'!K175</f>
        <v>0</v>
      </c>
      <c r="L175" s="449" t="n">
        <f aca="false">'☆掛負収入'!L175</f>
        <v>10507</v>
      </c>
      <c r="M175" s="160" t="n">
        <f aca="false">SUM(K175:L175)</f>
        <v>10507</v>
      </c>
      <c r="N175" s="464" t="n">
        <f aca="false">'☆掛負収入'!N175</f>
        <v>0</v>
      </c>
      <c r="O175" s="449" t="n">
        <f aca="false">'☆掛負収入'!O175</f>
        <v>3116</v>
      </c>
      <c r="P175" s="160" t="n">
        <f aca="false">SUM(N175:O175)</f>
        <v>3116</v>
      </c>
    </row>
    <row r="176" customFormat="false" ht="18.75" hidden="false" customHeight="true" outlineLevel="0" collapsed="false">
      <c r="A176" s="371" t="s">
        <v>532</v>
      </c>
      <c r="B176" s="620" t="n">
        <f aca="false">'☆掛負収入'!B178</f>
        <v>0</v>
      </c>
      <c r="C176" s="418" t="n">
        <f aca="false">'☆掛負収入'!C178</f>
        <v>0</v>
      </c>
      <c r="D176" s="620" t="n">
        <f aca="false">'☆掛負収入'!D178</f>
        <v>0</v>
      </c>
      <c r="E176" s="465" t="n">
        <f aca="false">'☆掛負収入'!E178</f>
        <v>0</v>
      </c>
      <c r="F176" s="418" t="n">
        <f aca="false">'☆掛負収入'!F178</f>
        <v>0</v>
      </c>
      <c r="G176" s="206" t="n">
        <f aca="false">SUM(B176:F176)</f>
        <v>0</v>
      </c>
      <c r="H176" s="620" t="n">
        <f aca="false">'☆掛負収入'!H178</f>
        <v>0</v>
      </c>
      <c r="I176" s="465" t="n">
        <f aca="false">'☆掛負収入'!I178</f>
        <v>0</v>
      </c>
      <c r="J176" s="206" t="n">
        <f aca="false">SUM(H176:I176)</f>
        <v>0</v>
      </c>
      <c r="K176" s="620" t="n">
        <f aca="false">'☆掛負収入'!K178</f>
        <v>0</v>
      </c>
      <c r="L176" s="465" t="n">
        <f aca="false">'☆掛負収入'!L178</f>
        <v>0</v>
      </c>
      <c r="M176" s="160" t="n">
        <f aca="false">SUM(K176:L176)</f>
        <v>0</v>
      </c>
      <c r="N176" s="621" t="n">
        <f aca="false">'☆掛負収入'!N178</f>
        <v>0</v>
      </c>
      <c r="O176" s="465" t="n">
        <f aca="false">'☆掛負収入'!O178</f>
        <v>0</v>
      </c>
      <c r="P176" s="160" t="n">
        <f aca="false">SUM(N176:O176)</f>
        <v>0</v>
      </c>
    </row>
    <row r="177" customFormat="false" ht="18.75" hidden="false" customHeight="true" outlineLevel="0" collapsed="false">
      <c r="A177" s="368" t="str">
        <f aca="false">'☆掛負収入'!A179</f>
        <v>全国市長会</v>
      </c>
      <c r="B177" s="620" t="n">
        <f aca="false">'☆掛負収入'!B179</f>
        <v>118950</v>
      </c>
      <c r="C177" s="418" t="n">
        <f aca="false">'☆掛負収入'!C179</f>
        <v>9750</v>
      </c>
      <c r="D177" s="620" t="n">
        <f aca="false">'☆掛負収入'!D179</f>
        <v>118950</v>
      </c>
      <c r="E177" s="465" t="n">
        <f aca="false">'☆掛負収入'!E179</f>
        <v>9750</v>
      </c>
      <c r="F177" s="418" t="n">
        <f aca="false">'☆掛負収入'!F179</f>
        <v>112</v>
      </c>
      <c r="G177" s="206" t="n">
        <f aca="false">SUM(B177:F177)</f>
        <v>257512</v>
      </c>
      <c r="H177" s="620" t="n">
        <f aca="false">'☆掛負収入'!H179</f>
        <v>84531</v>
      </c>
      <c r="I177" s="465" t="n">
        <f aca="false">'☆掛負収入'!I179</f>
        <v>84613</v>
      </c>
      <c r="J177" s="206" t="n">
        <f aca="false">SUM(H177:I177)</f>
        <v>169144</v>
      </c>
      <c r="K177" s="620" t="n">
        <f aca="false">'☆掛負収入'!K179</f>
        <v>12877</v>
      </c>
      <c r="L177" s="465" t="n">
        <f aca="false">'☆掛負収入'!L179</f>
        <v>12877</v>
      </c>
      <c r="M177" s="160" t="n">
        <f aca="false">SUM(K177:L177)</f>
        <v>25754</v>
      </c>
      <c r="N177" s="621" t="n">
        <f aca="false">'☆掛負収入'!N179</f>
        <v>1874</v>
      </c>
      <c r="O177" s="465" t="n">
        <f aca="false">'☆掛負収入'!O179</f>
        <v>1874</v>
      </c>
      <c r="P177" s="160" t="n">
        <f aca="false">SUM(N177:O177)</f>
        <v>3748</v>
      </c>
    </row>
    <row r="178" customFormat="false" ht="18.75" hidden="false" customHeight="true" outlineLevel="0" collapsed="false">
      <c r="A178" s="694"/>
      <c r="B178" s="431"/>
      <c r="C178" s="418"/>
      <c r="D178" s="431"/>
      <c r="E178" s="464"/>
      <c r="F178" s="160"/>
      <c r="G178" s="206"/>
      <c r="H178" s="619"/>
      <c r="I178" s="449"/>
      <c r="J178" s="160"/>
      <c r="K178" s="619"/>
      <c r="L178" s="449"/>
      <c r="M178" s="160"/>
      <c r="N178" s="464"/>
      <c r="O178" s="449"/>
      <c r="P178" s="160"/>
    </row>
    <row r="179" customFormat="false" ht="18.75" hidden="false" customHeight="true" outlineLevel="0" collapsed="false">
      <c r="A179" s="694"/>
      <c r="B179" s="620"/>
      <c r="C179" s="391"/>
      <c r="D179" s="620"/>
      <c r="E179" s="621"/>
      <c r="F179" s="418"/>
      <c r="G179" s="206"/>
      <c r="H179" s="620"/>
      <c r="I179" s="465"/>
      <c r="J179" s="160"/>
      <c r="K179" s="620"/>
      <c r="L179" s="465"/>
      <c r="M179" s="160"/>
      <c r="N179" s="621"/>
      <c r="O179" s="465"/>
      <c r="P179" s="160"/>
    </row>
    <row r="180" customFormat="false" ht="18.75" hidden="false" customHeight="true" outlineLevel="0" collapsed="false">
      <c r="A180" s="369"/>
      <c r="B180" s="431"/>
      <c r="C180" s="206"/>
      <c r="D180" s="431"/>
      <c r="E180" s="617"/>
      <c r="F180" s="160"/>
      <c r="G180" s="206"/>
      <c r="H180" s="431"/>
      <c r="I180" s="644"/>
      <c r="J180" s="160"/>
      <c r="K180" s="431"/>
      <c r="L180" s="644"/>
      <c r="M180" s="160"/>
      <c r="N180" s="617"/>
      <c r="O180" s="644"/>
      <c r="P180" s="160"/>
    </row>
    <row r="181" customFormat="false" ht="18.75" hidden="false" customHeight="true" outlineLevel="0" collapsed="false">
      <c r="A181" s="369"/>
      <c r="B181" s="620"/>
      <c r="C181" s="418"/>
      <c r="D181" s="620"/>
      <c r="E181" s="465"/>
      <c r="F181" s="418"/>
      <c r="G181" s="391"/>
      <c r="H181" s="431"/>
      <c r="I181" s="465"/>
      <c r="J181" s="160"/>
      <c r="K181" s="620"/>
      <c r="L181" s="465"/>
      <c r="M181" s="160"/>
      <c r="N181" s="621"/>
      <c r="O181" s="465"/>
      <c r="P181" s="160"/>
    </row>
    <row r="182" customFormat="false" ht="18.75" hidden="false" customHeight="true" outlineLevel="0" collapsed="false">
      <c r="A182" s="645"/>
      <c r="B182" s="524"/>
      <c r="C182" s="296"/>
      <c r="D182" s="524"/>
      <c r="E182" s="525"/>
      <c r="F182" s="296"/>
      <c r="G182" s="646"/>
      <c r="H182" s="647"/>
      <c r="I182" s="648"/>
      <c r="J182" s="646" t="n">
        <f aca="false">SUM(H182:I182)</f>
        <v>0</v>
      </c>
      <c r="K182" s="524"/>
      <c r="L182" s="697"/>
      <c r="M182" s="698" t="n">
        <f aca="false">SUM(K182:L182)</f>
        <v>0</v>
      </c>
      <c r="N182" s="648"/>
      <c r="O182" s="648"/>
      <c r="P182" s="715" t="n">
        <f aca="false">SUM(N182:O182)</f>
        <v>0</v>
      </c>
    </row>
    <row r="183" customFormat="false" ht="18.75" hidden="false" customHeight="true" outlineLevel="0" collapsed="false">
      <c r="A183" s="196" t="str">
        <f aca="false">'☆掛負収入'!A183</f>
        <v>小　計</v>
      </c>
      <c r="B183" s="429" t="n">
        <f aca="false">SUM(B153:B182)</f>
        <v>2647095</v>
      </c>
      <c r="C183" s="200" t="n">
        <f aca="false">SUM(C153:C182)</f>
        <v>216975</v>
      </c>
      <c r="D183" s="429" t="n">
        <f aca="false">SUM(D153:D182)</f>
        <v>8610828</v>
      </c>
      <c r="E183" s="301" t="n">
        <f aca="false">SUM(E153:E182)</f>
        <v>705075</v>
      </c>
      <c r="F183" s="200" t="n">
        <f aca="false">SUM(F153:F182)</f>
        <v>8473</v>
      </c>
      <c r="G183" s="201" t="n">
        <f aca="false">SUM(B183:F183)</f>
        <v>12188446</v>
      </c>
      <c r="H183" s="429" t="n">
        <f aca="false">SUM(H153:H182)</f>
        <v>1538144</v>
      </c>
      <c r="I183" s="199" t="n">
        <f aca="false">SUM(I153:I182)</f>
        <v>5080473</v>
      </c>
      <c r="J183" s="200" t="n">
        <f aca="false">SUM(H183:I183)</f>
        <v>6618617</v>
      </c>
      <c r="K183" s="429" t="n">
        <f aca="false">SUM(K153:K182)</f>
        <v>163451</v>
      </c>
      <c r="L183" s="199" t="n">
        <f aca="false">SUM(L153:L182)</f>
        <v>577016</v>
      </c>
      <c r="M183" s="201" t="n">
        <f aca="false">SUM(K183:L183)</f>
        <v>740467</v>
      </c>
      <c r="N183" s="429" t="n">
        <f aca="false">SUM(N153:N182)</f>
        <v>34095</v>
      </c>
      <c r="O183" s="199" t="n">
        <f aca="false">SUM(O153:O182)</f>
        <v>112735</v>
      </c>
      <c r="P183" s="201" t="n">
        <f aca="false">SUM(N183:O183)</f>
        <v>146830</v>
      </c>
    </row>
    <row r="184" customFormat="false" ht="18.75" hidden="true" customHeight="true" outlineLevel="0" collapsed="false">
      <c r="A184" s="629"/>
      <c r="B184" s="647"/>
      <c r="C184" s="278"/>
      <c r="D184" s="648"/>
      <c r="E184" s="649"/>
      <c r="F184" s="650"/>
      <c r="G184" s="651"/>
      <c r="H184" s="652"/>
      <c r="I184" s="653"/>
      <c r="J184" s="654"/>
      <c r="K184" s="655"/>
      <c r="L184" s="656"/>
      <c r="M184" s="657"/>
      <c r="N184" s="655"/>
      <c r="O184" s="656"/>
      <c r="P184" s="657"/>
    </row>
    <row r="185" customFormat="false" ht="18.75" hidden="true" customHeight="true" outlineLevel="0" collapsed="false">
      <c r="A185" s="658"/>
      <c r="B185" s="631"/>
      <c r="C185" s="633"/>
      <c r="D185" s="648"/>
      <c r="E185" s="649"/>
      <c r="F185" s="278"/>
      <c r="G185" s="646"/>
      <c r="H185" s="659"/>
      <c r="I185" s="660"/>
      <c r="J185" s="408"/>
      <c r="K185" s="661"/>
      <c r="L185" s="662"/>
      <c r="M185" s="663"/>
      <c r="N185" s="661"/>
      <c r="O185" s="662"/>
      <c r="P185" s="663"/>
    </row>
    <row r="186" customFormat="false" ht="18.75" hidden="false" customHeight="true" outlineLevel="0" collapsed="false">
      <c r="A186" s="214" t="str">
        <f aca="false">'☆掛負収入'!A186</f>
        <v>高速交通（株）</v>
      </c>
      <c r="B186" s="636" t="n">
        <f aca="false">'☆掛負収入'!B186</f>
        <v>145485</v>
      </c>
      <c r="C186" s="716" t="n">
        <f aca="false">'☆掛負収入'!C186</f>
        <v>11925</v>
      </c>
      <c r="D186" s="717" t="n">
        <f aca="false">'☆掛負収入'!D186</f>
        <v>145485</v>
      </c>
      <c r="E186" s="472" t="n">
        <f aca="false">'☆掛負収入'!E186</f>
        <v>11925</v>
      </c>
      <c r="F186" s="471" t="n">
        <f aca="false">'☆掛負収入'!F186</f>
        <v>138</v>
      </c>
      <c r="G186" s="391" t="n">
        <f aca="false">SUM(B186:F186)</f>
        <v>314958</v>
      </c>
      <c r="H186" s="665"/>
      <c r="I186" s="665"/>
      <c r="J186" s="665"/>
      <c r="K186" s="665"/>
      <c r="L186" s="665"/>
      <c r="M186" s="665"/>
      <c r="N186" s="665"/>
      <c r="O186" s="665"/>
      <c r="P186" s="665"/>
    </row>
    <row r="187" customFormat="false" ht="18.75" hidden="false" customHeight="true" outlineLevel="0" collapsed="false">
      <c r="A187" s="666" t="s">
        <v>209</v>
      </c>
      <c r="B187" s="667" t="n">
        <f aca="false">'☆掛負収入'!B187</f>
        <v>45750</v>
      </c>
      <c r="C187" s="718" t="n">
        <f aca="false">'☆掛負収入'!C187</f>
        <v>3750</v>
      </c>
      <c r="D187" s="667" t="n">
        <f aca="false">'☆掛負収入'!D187</f>
        <v>45750</v>
      </c>
      <c r="E187" s="492" t="n">
        <f aca="false">'☆掛負収入'!E187</f>
        <v>3750</v>
      </c>
      <c r="F187" s="719" t="n">
        <f aca="false">'☆掛負収入'!F187</f>
        <v>43</v>
      </c>
      <c r="G187" s="391" t="n">
        <f aca="false">SUM(B187:F187)</f>
        <v>99043</v>
      </c>
      <c r="H187" s="665"/>
      <c r="I187" s="665"/>
      <c r="J187" s="665"/>
      <c r="K187" s="665"/>
      <c r="L187" s="665"/>
      <c r="M187" s="665"/>
      <c r="N187" s="665"/>
      <c r="O187" s="665"/>
      <c r="P187" s="665"/>
    </row>
    <row r="188" customFormat="false" ht="18.75" hidden="false" customHeight="true" outlineLevel="0" collapsed="false">
      <c r="A188" s="196" t="str">
        <f aca="false">'☆掛負収入'!A188</f>
        <v>小　計</v>
      </c>
      <c r="B188" s="197" t="n">
        <f aca="false">SUM(B186:B187)</f>
        <v>191235</v>
      </c>
      <c r="C188" s="200" t="n">
        <f aca="false">SUM(C184:C187)</f>
        <v>15675</v>
      </c>
      <c r="D188" s="681" t="n">
        <f aca="false">SUM(D184:D187)</f>
        <v>191235</v>
      </c>
      <c r="E188" s="199" t="n">
        <f aca="false">SUM(E184:E187)</f>
        <v>15675</v>
      </c>
      <c r="F188" s="201" t="n">
        <f aca="false">SUM(F184:F187)</f>
        <v>181</v>
      </c>
      <c r="G188" s="200" t="n">
        <f aca="false">SUM(B188:F188)</f>
        <v>414001</v>
      </c>
      <c r="H188" s="665"/>
      <c r="I188" s="665"/>
      <c r="J188" s="665"/>
      <c r="K188" s="665"/>
      <c r="L188" s="665"/>
      <c r="M188" s="665"/>
      <c r="N188" s="665"/>
      <c r="O188" s="665"/>
      <c r="P188" s="665"/>
    </row>
    <row r="189" customFormat="false" ht="18.75" hidden="false" customHeight="true" outlineLevel="0" collapsed="false">
      <c r="A189" s="125" t="str">
        <f aca="false">'☆掛負収入'!A189</f>
        <v>市職員労働組合</v>
      </c>
      <c r="B189" s="474" t="n">
        <f aca="false">'☆掛負収入'!B189</f>
        <v>29280</v>
      </c>
      <c r="C189" s="248" t="n">
        <f aca="false">'☆掛負収入'!C189</f>
        <v>2400</v>
      </c>
      <c r="D189" s="470" t="n">
        <f aca="false">'☆掛負収入'!D189</f>
        <v>29280</v>
      </c>
      <c r="E189" s="488" t="n">
        <f aca="false">'☆掛負収入'!E189</f>
        <v>2400</v>
      </c>
      <c r="F189" s="221"/>
      <c r="G189" s="206" t="n">
        <f aca="false">SUM(B189:F189)</f>
        <v>63360</v>
      </c>
      <c r="H189" s="619" t="n">
        <f aca="false">'☆掛負収入'!H189</f>
        <v>16595</v>
      </c>
      <c r="I189" s="449" t="n">
        <f aca="false">'☆掛負収入'!I189</f>
        <v>17907</v>
      </c>
      <c r="J189" s="160" t="n">
        <f aca="false">SUM(H189:I189)</f>
        <v>34502</v>
      </c>
      <c r="K189" s="476" t="n">
        <f aca="false">'☆掛負収入'!K189</f>
        <v>2528</v>
      </c>
      <c r="L189" s="487" t="n">
        <f aca="false">'☆掛負収入'!L189</f>
        <v>2528</v>
      </c>
      <c r="M189" s="471" t="n">
        <f aca="false">SUM(K189:L189)</f>
        <v>5056</v>
      </c>
      <c r="N189" s="476" t="n">
        <f aca="false">'☆掛負収入'!N189</f>
        <v>368</v>
      </c>
      <c r="O189" s="487" t="n">
        <f aca="false">'☆掛負収入'!O189</f>
        <v>368</v>
      </c>
      <c r="P189" s="471" t="n">
        <f aca="false">SUM(N189:O189)</f>
        <v>736</v>
      </c>
    </row>
    <row r="190" customFormat="false" ht="18.75" hidden="false" customHeight="true" outlineLevel="0" collapsed="false">
      <c r="A190" s="125" t="str">
        <f aca="false">'☆掛負収入'!A190</f>
        <v>自治労労働組合</v>
      </c>
      <c r="B190" s="474" t="n">
        <f aca="false">'☆掛負収入'!B190</f>
        <v>0</v>
      </c>
      <c r="C190" s="402" t="n">
        <f aca="false">'☆掛負収入'!C190</f>
        <v>0</v>
      </c>
      <c r="D190" s="474" t="n">
        <f aca="false">'☆掛負収入'!D190</f>
        <v>0</v>
      </c>
      <c r="E190" s="488" t="n">
        <f aca="false">'☆掛負収入'!E190</f>
        <v>0</v>
      </c>
      <c r="F190" s="221"/>
      <c r="G190" s="206" t="n">
        <f aca="false">SUM(B190:F190)</f>
        <v>0</v>
      </c>
      <c r="H190" s="619" t="n">
        <f aca="false">'☆掛負収入'!H190</f>
        <v>0</v>
      </c>
      <c r="I190" s="449" t="n">
        <f aca="false">'☆掛負収入'!I190</f>
        <v>0</v>
      </c>
      <c r="J190" s="160" t="n">
        <f aca="false">SUM(H190:I190)</f>
        <v>0</v>
      </c>
      <c r="K190" s="619" t="n">
        <f aca="false">'☆掛負収入'!K190</f>
        <v>0</v>
      </c>
      <c r="L190" s="449" t="n">
        <f aca="false">'☆掛負収入'!L190</f>
        <v>0</v>
      </c>
      <c r="M190" s="160" t="n">
        <f aca="false">SUM(K190:L190)</f>
        <v>0</v>
      </c>
      <c r="N190" s="619" t="n">
        <f aca="false">'☆掛負収入'!N190</f>
        <v>0</v>
      </c>
      <c r="O190" s="449" t="n">
        <f aca="false">'☆掛負収入'!O190</f>
        <v>0</v>
      </c>
      <c r="P190" s="160" t="n">
        <f aca="false">SUM(N190:O190)</f>
        <v>0</v>
      </c>
    </row>
    <row r="191" customFormat="false" ht="18.75" hidden="false" customHeight="true" outlineLevel="0" collapsed="false">
      <c r="A191" s="125" t="str">
        <f aca="false">'☆掛負収入'!A191</f>
        <v>病院労働組合</v>
      </c>
      <c r="B191" s="431"/>
      <c r="C191" s="206"/>
      <c r="D191" s="431"/>
      <c r="E191" s="644"/>
      <c r="F191" s="221"/>
      <c r="G191" s="206" t="n">
        <f aca="false">SUM(B191:F191)</f>
        <v>0</v>
      </c>
      <c r="H191" s="619"/>
      <c r="I191" s="449"/>
      <c r="J191" s="160" t="n">
        <f aca="false">SUM(H191:I191)</f>
        <v>0</v>
      </c>
      <c r="K191" s="619"/>
      <c r="L191" s="449"/>
      <c r="M191" s="160" t="n">
        <f aca="false">SUM(K191:L191)</f>
        <v>0</v>
      </c>
      <c r="N191" s="619"/>
      <c r="O191" s="449"/>
      <c r="P191" s="160" t="n">
        <f aca="false">SUM(N191:O191)</f>
        <v>0</v>
      </c>
    </row>
    <row r="192" customFormat="false" ht="18.75" hidden="false" customHeight="true" outlineLevel="0" collapsed="false">
      <c r="A192" s="302" t="str">
        <f aca="false">'☆掛負収入'!A192</f>
        <v>水道労働組合</v>
      </c>
      <c r="B192" s="673"/>
      <c r="C192" s="444"/>
      <c r="D192" s="673"/>
      <c r="E192" s="623"/>
      <c r="F192" s="296"/>
      <c r="G192" s="206" t="n">
        <f aca="false">SUM(B192:F192)</f>
        <v>0</v>
      </c>
      <c r="H192" s="674"/>
      <c r="I192" s="675"/>
      <c r="J192" s="160" t="n">
        <f aca="false">SUM(H192:I192)</f>
        <v>0</v>
      </c>
      <c r="K192" s="676"/>
      <c r="L192" s="677"/>
      <c r="M192" s="160" t="n">
        <f aca="false">SUM(K192:L192)</f>
        <v>0</v>
      </c>
      <c r="N192" s="676"/>
      <c r="O192" s="677"/>
      <c r="P192" s="160" t="n">
        <f aca="false">SUM(N192:O192)</f>
        <v>0</v>
      </c>
    </row>
    <row r="193" customFormat="false" ht="18.75" hidden="false" customHeight="true" outlineLevel="0" collapsed="false">
      <c r="A193" s="196" t="str">
        <f aca="false">'☆掛負収入'!A193</f>
        <v>小　計</v>
      </c>
      <c r="B193" s="429" t="n">
        <f aca="false">SUM(B189:B192)</f>
        <v>29280</v>
      </c>
      <c r="C193" s="200" t="n">
        <f aca="false">SUM(C189:C192)</f>
        <v>2400</v>
      </c>
      <c r="D193" s="429" t="n">
        <f aca="false">SUM(D189:D192)</f>
        <v>29280</v>
      </c>
      <c r="E193" s="199" t="n">
        <f aca="false">SUM(E189:E192)</f>
        <v>2400</v>
      </c>
      <c r="F193" s="198" t="n">
        <f aca="false">SUM(F189:F192)</f>
        <v>0</v>
      </c>
      <c r="G193" s="197" t="n">
        <f aca="false">SUM(B193:F193)</f>
        <v>63360</v>
      </c>
      <c r="H193" s="429" t="n">
        <f aca="false">SUM(H189:H192)</f>
        <v>16595</v>
      </c>
      <c r="I193" s="199" t="n">
        <f aca="false">SUM(I189:I192)</f>
        <v>17907</v>
      </c>
      <c r="J193" s="200" t="n">
        <f aca="false">SUM(H193:I193)</f>
        <v>34502</v>
      </c>
      <c r="K193" s="197" t="n">
        <f aca="false">SUM(K189:K192)</f>
        <v>2528</v>
      </c>
      <c r="L193" s="198" t="n">
        <f aca="false">SUM(L189:L192)</f>
        <v>2528</v>
      </c>
      <c r="M193" s="200" t="n">
        <f aca="false">SUM(K193:L193)</f>
        <v>5056</v>
      </c>
      <c r="N193" s="197" t="n">
        <f aca="false">SUM(N189:N192)</f>
        <v>368</v>
      </c>
      <c r="O193" s="198" t="n">
        <f aca="false">SUM(O189:O192)</f>
        <v>368</v>
      </c>
      <c r="P193" s="200" t="n">
        <f aca="false">SUM(N193:O193)</f>
        <v>736</v>
      </c>
    </row>
    <row r="194" customFormat="false" ht="18.75" hidden="false" customHeight="true" outlineLevel="0" collapsed="false">
      <c r="A194" s="302" t="str">
        <f aca="false">'☆掛負収入'!A194</f>
        <v>任意継続組合員</v>
      </c>
      <c r="B194" s="281"/>
      <c r="C194" s="523"/>
      <c r="D194" s="524"/>
      <c r="E194" s="525"/>
      <c r="F194" s="296"/>
      <c r="G194" s="293"/>
      <c r="H194" s="678"/>
      <c r="I194" s="282"/>
      <c r="J194" s="283"/>
      <c r="K194" s="524"/>
      <c r="L194" s="679"/>
      <c r="M194" s="292"/>
      <c r="N194" s="524"/>
      <c r="O194" s="679"/>
      <c r="P194" s="292"/>
    </row>
    <row r="195" customFormat="false" ht="30" hidden="false" customHeight="true" outlineLevel="0" collapsed="false">
      <c r="A195" s="680" t="str">
        <f aca="false">'☆掛負収入'!A195</f>
        <v>総　　計</v>
      </c>
      <c r="B195" s="429" t="n">
        <f aca="false">SUM(B152+B183+B188+B193)</f>
        <v>2867610</v>
      </c>
      <c r="C195" s="200" t="n">
        <f aca="false">SUM(C152+C183+C188+C193)</f>
        <v>235050</v>
      </c>
      <c r="D195" s="681" t="n">
        <f aca="false">SUM(D152+D183+D188+D193)</f>
        <v>8831343</v>
      </c>
      <c r="E195" s="199" t="n">
        <f aca="false">SUM(E152+E183+E188+E193)</f>
        <v>723150</v>
      </c>
      <c r="F195" s="201" t="n">
        <f aca="false">SUM(F152+F183+F188+F193)</f>
        <v>8654</v>
      </c>
      <c r="G195" s="197" t="n">
        <f aca="false">SUM(B195:F195)</f>
        <v>12665807</v>
      </c>
      <c r="H195" s="429" t="n">
        <f aca="false">SUM(H152+H183+H188+H193+H194)</f>
        <v>1554739</v>
      </c>
      <c r="I195" s="199" t="n">
        <f aca="false">SUM(I152+I183+I188+I193+I194)</f>
        <v>5098380</v>
      </c>
      <c r="J195" s="200" t="n">
        <f aca="false">SUM(H195:I195)</f>
        <v>6653119</v>
      </c>
      <c r="K195" s="197" t="n">
        <f aca="false">K152+K183+K188+K193+K194</f>
        <v>165979</v>
      </c>
      <c r="L195" s="198" t="n">
        <f aca="false">L152+L183+L188+L193</f>
        <v>579544</v>
      </c>
      <c r="M195" s="200" t="n">
        <f aca="false">SUM(K195:L195)</f>
        <v>745523</v>
      </c>
      <c r="N195" s="197" t="n">
        <f aca="false">N152+N183+N188+N193+N194</f>
        <v>34463</v>
      </c>
      <c r="O195" s="198" t="n">
        <f aca="false">O152+O183+O188+O193</f>
        <v>113103</v>
      </c>
      <c r="P195" s="200" t="n">
        <f aca="false">SUM(N195:O195)</f>
        <v>147566</v>
      </c>
    </row>
    <row r="196" customFormat="false" ht="18.75" hidden="false" customHeight="true" outlineLevel="0" collapsed="false">
      <c r="A196" s="340"/>
      <c r="B196" s="341"/>
      <c r="C196" s="341"/>
      <c r="D196" s="341"/>
      <c r="E196" s="341"/>
      <c r="F196" s="341"/>
      <c r="G196" s="341"/>
      <c r="H196" s="341"/>
      <c r="I196" s="341"/>
      <c r="J196" s="341"/>
      <c r="K196" s="341"/>
      <c r="L196" s="341"/>
      <c r="M196" s="341"/>
      <c r="N196" s="341"/>
      <c r="O196" s="341"/>
      <c r="P196" s="341"/>
    </row>
    <row r="197" customFormat="false" ht="30" hidden="false" customHeight="true" outlineLevel="0" collapsed="false">
      <c r="A197" s="360"/>
      <c r="B197" s="430" t="n">
        <f aca="false">'☆掛負収入'!B197</f>
        <v>46203</v>
      </c>
      <c r="C197" s="430" t="n">
        <f aca="false">'☆掛負収入'!C197</f>
        <v>0</v>
      </c>
      <c r="D197" s="430" t="n">
        <f aca="false">'☆掛負収入'!D197</f>
        <v>0</v>
      </c>
      <c r="E197" s="430" t="n">
        <f aca="false">'☆掛負収入'!E197</f>
        <v>0</v>
      </c>
      <c r="F197" s="430" t="n">
        <f aca="false">'☆掛負収入'!F197</f>
        <v>0</v>
      </c>
      <c r="G197" s="430" t="n">
        <f aca="false">'☆掛負収入'!G197</f>
        <v>0</v>
      </c>
      <c r="H197" s="430" t="n">
        <f aca="false">'☆掛負収入'!H197</f>
        <v>46203</v>
      </c>
      <c r="I197" s="430" t="n">
        <f aca="false">'☆掛負収入'!I197</f>
        <v>0</v>
      </c>
      <c r="J197" s="430" t="n">
        <f aca="false">'☆掛負収入'!J197</f>
        <v>0</v>
      </c>
      <c r="K197" s="720" t="n">
        <f aca="false">'☆掛負収入'!K197</f>
        <v>46203</v>
      </c>
      <c r="L197" s="720" t="n">
        <f aca="false">'☆掛負収入'!L197</f>
        <v>0</v>
      </c>
      <c r="M197" s="720" t="n">
        <f aca="false">'☆掛負収入'!M197</f>
        <v>0</v>
      </c>
      <c r="N197" s="720" t="n">
        <f aca="false">'☆掛負収入'!N197</f>
        <v>46203</v>
      </c>
      <c r="O197" s="720" t="n">
        <f aca="false">'☆掛負収入'!O197</f>
        <v>0</v>
      </c>
      <c r="P197" s="720" t="n">
        <f aca="false">'☆掛負収入'!P197</f>
        <v>0</v>
      </c>
    </row>
    <row r="198" customFormat="false" ht="22.5" hidden="false" customHeight="true" outlineLevel="0" collapsed="false">
      <c r="A198" s="114" t="str">
        <f aca="false">'☆掛負収入'!A198</f>
        <v>区　　分</v>
      </c>
      <c r="B198" s="114" t="str">
        <f aca="false">'☆掛負収入'!B198</f>
        <v>長　期　経　理</v>
      </c>
      <c r="C198" s="114" t="n">
        <f aca="false">'☆掛負収入'!C198</f>
        <v>0</v>
      </c>
      <c r="D198" s="114" t="n">
        <f aca="false">'☆掛負収入'!D198</f>
        <v>0</v>
      </c>
      <c r="E198" s="114" t="n">
        <f aca="false">'☆掛負収入'!E198</f>
        <v>0</v>
      </c>
      <c r="F198" s="114" t="n">
        <f aca="false">'☆掛負収入'!F198</f>
        <v>0</v>
      </c>
      <c r="G198" s="114" t="n">
        <f aca="false">'☆掛負収入'!G198</f>
        <v>0</v>
      </c>
      <c r="H198" s="116" t="str">
        <f aca="false">'☆掛負収入'!H198</f>
        <v>短　期　経　理</v>
      </c>
      <c r="I198" s="116" t="n">
        <f aca="false">'☆掛負収入'!I198</f>
        <v>0</v>
      </c>
      <c r="J198" s="116" t="n">
        <f aca="false">'☆掛負収入'!J198</f>
        <v>0</v>
      </c>
      <c r="K198" s="116" t="str">
        <f aca="false">'☆掛負収入'!K198</f>
        <v>介　護　納　付　金</v>
      </c>
      <c r="L198" s="116" t="n">
        <f aca="false">'☆掛負収入'!L198</f>
        <v>0</v>
      </c>
      <c r="M198" s="116" t="n">
        <f aca="false">'☆掛負収入'!M198</f>
        <v>0</v>
      </c>
      <c r="N198" s="116" t="str">
        <f aca="false">'☆掛負収入'!N198</f>
        <v>子ども・子育て支援納付金</v>
      </c>
      <c r="O198" s="116" t="n">
        <f aca="false">'☆掛負収入'!O198</f>
        <v>0</v>
      </c>
      <c r="P198" s="116" t="n">
        <f aca="false">'☆掛負収入'!P198</f>
        <v>0</v>
      </c>
    </row>
    <row r="199" customFormat="false" ht="22.5" hidden="false" customHeight="true" outlineLevel="0" collapsed="false">
      <c r="A199" s="114" t="n">
        <f aca="false">'☆掛負収入'!A199</f>
        <v>0</v>
      </c>
      <c r="B199" s="117" t="str">
        <f aca="false">'☆掛負収入'!B199</f>
        <v>組合員負担分</v>
      </c>
      <c r="C199" s="117" t="n">
        <f aca="false">'☆掛負収入'!C199</f>
        <v>0</v>
      </c>
      <c r="D199" s="117" t="str">
        <f aca="false">'☆掛負収入'!D199</f>
        <v>事業主負担分</v>
      </c>
      <c r="E199" s="117" t="n">
        <f aca="false">'☆掛負収入'!E199</f>
        <v>0</v>
      </c>
      <c r="F199" s="117" t="n">
        <f aca="false">'☆掛負収入'!F199</f>
        <v>0</v>
      </c>
      <c r="G199" s="611" t="str">
        <f aca="false">'☆掛負収入'!G199</f>
        <v>計</v>
      </c>
      <c r="H199" s="121" t="str">
        <f aca="false">'☆掛負収入'!H199</f>
        <v>掛　金</v>
      </c>
      <c r="I199" s="119" t="str">
        <f aca="false">'☆掛負収入'!I199</f>
        <v>負担金</v>
      </c>
      <c r="J199" s="120" t="str">
        <f aca="false">'☆掛負収入'!J199</f>
        <v>計</v>
      </c>
      <c r="K199" s="121" t="str">
        <f aca="false">'☆掛負収入'!K199</f>
        <v>掛　金</v>
      </c>
      <c r="L199" s="119" t="str">
        <f aca="false">'☆掛負収入'!L199</f>
        <v>負担金</v>
      </c>
      <c r="M199" s="120" t="str">
        <f aca="false">'☆掛負収入'!M199</f>
        <v>計</v>
      </c>
      <c r="N199" s="121" t="str">
        <f aca="false">'☆掛負収入'!N199</f>
        <v>掛　金</v>
      </c>
      <c r="O199" s="119" t="str">
        <f aca="false">'☆掛負収入'!O199</f>
        <v>負担金</v>
      </c>
      <c r="P199" s="120" t="str">
        <f aca="false">'☆掛負収入'!P199</f>
        <v>計</v>
      </c>
    </row>
    <row r="200" customFormat="false" ht="22.5" hidden="false" customHeight="true" outlineLevel="0" collapsed="false">
      <c r="A200" s="114" t="n">
        <f aca="false">'☆掛負収入'!A200</f>
        <v>0</v>
      </c>
      <c r="B200" s="612" t="str">
        <f aca="false">'☆掛負収入'!B200</f>
        <v>厚生年金保険料</v>
      </c>
      <c r="C200" s="613" t="str">
        <f aca="false">'☆掛負収入'!C200</f>
        <v>退職等年金掛金</v>
      </c>
      <c r="D200" s="614" t="str">
        <f aca="false">'☆掛負収入'!D200</f>
        <v>厚生年金保険料</v>
      </c>
      <c r="E200" s="614" t="str">
        <f aca="false">'☆掛負収入'!E200</f>
        <v>退職等年金負担金</v>
      </c>
      <c r="F200" s="615" t="str">
        <f aca="false">'☆掛負収入'!F200</f>
        <v>経過的長期</v>
      </c>
      <c r="G200" s="611" t="n">
        <f aca="false">'☆掛負収入'!G200</f>
        <v>0</v>
      </c>
      <c r="H200" s="121" t="n">
        <f aca="false">'☆掛負収入'!H200</f>
        <v>0</v>
      </c>
      <c r="I200" s="119" t="n">
        <f aca="false">'☆掛負収入'!I200</f>
        <v>0</v>
      </c>
      <c r="J200" s="120" t="n">
        <f aca="false">'☆掛負収入'!J200</f>
        <v>0</v>
      </c>
      <c r="K200" s="121" t="n">
        <f aca="false">'☆掛負収入'!K200</f>
        <v>0</v>
      </c>
      <c r="L200" s="119" t="n">
        <f aca="false">'☆掛負収入'!L200</f>
        <v>0</v>
      </c>
      <c r="M200" s="120" t="n">
        <f aca="false">'☆掛負収入'!M200</f>
        <v>0</v>
      </c>
      <c r="N200" s="121" t="n">
        <f aca="false">'☆掛負収入'!N200</f>
        <v>0</v>
      </c>
      <c r="O200" s="119" t="n">
        <f aca="false">'☆掛負収入'!O200</f>
        <v>0</v>
      </c>
      <c r="P200" s="120" t="n">
        <f aca="false">'☆掛負収入'!P200</f>
        <v>0</v>
      </c>
    </row>
    <row r="201" customFormat="false" ht="18.75" hidden="false" customHeight="true" outlineLevel="0" collapsed="false">
      <c r="A201" s="125" t="str">
        <f aca="false">'☆掛負収入'!A201</f>
        <v>市長部局</v>
      </c>
      <c r="B201" s="616"/>
      <c r="C201" s="389"/>
      <c r="D201" s="617"/>
      <c r="E201" s="617"/>
      <c r="F201" s="209"/>
      <c r="G201" s="389"/>
      <c r="H201" s="616"/>
      <c r="I201" s="618"/>
      <c r="J201" s="206"/>
      <c r="K201" s="619"/>
      <c r="L201" s="618"/>
      <c r="M201" s="206"/>
      <c r="N201" s="619"/>
      <c r="O201" s="618"/>
      <c r="P201" s="206"/>
    </row>
    <row r="202" customFormat="false" ht="18.75" hidden="false" customHeight="true" outlineLevel="0" collapsed="false">
      <c r="A202" s="125" t="str">
        <f aca="false">'☆掛負収入'!A202</f>
        <v>下水道局</v>
      </c>
      <c r="B202" s="431"/>
      <c r="C202" s="206"/>
      <c r="D202" s="617"/>
      <c r="E202" s="617"/>
      <c r="F202" s="160"/>
      <c r="G202" s="206"/>
      <c r="H202" s="619"/>
      <c r="I202" s="449"/>
      <c r="J202" s="160"/>
      <c r="K202" s="620"/>
      <c r="L202" s="621"/>
      <c r="M202" s="160"/>
      <c r="N202" s="620"/>
      <c r="O202" s="621"/>
      <c r="P202" s="160"/>
    </row>
    <row r="203" customFormat="false" ht="18.75" hidden="false" customHeight="true" outlineLevel="0" collapsed="false">
      <c r="A203" s="125" t="str">
        <f aca="false">'☆掛負収入'!A203</f>
        <v>消防局</v>
      </c>
      <c r="B203" s="431"/>
      <c r="C203" s="206"/>
      <c r="D203" s="617"/>
      <c r="E203" s="617"/>
      <c r="F203" s="160"/>
      <c r="G203" s="206"/>
      <c r="H203" s="620"/>
      <c r="I203" s="464"/>
      <c r="J203" s="160"/>
      <c r="K203" s="620"/>
      <c r="L203" s="464"/>
      <c r="M203" s="160"/>
      <c r="N203" s="620"/>
      <c r="O203" s="464"/>
      <c r="P203" s="160"/>
    </row>
    <row r="204" customFormat="false" ht="18.75" hidden="false" customHeight="true" outlineLevel="0" collapsed="false">
      <c r="A204" s="125" t="str">
        <f aca="false">'☆掛負収入'!A204</f>
        <v>議会事務局</v>
      </c>
      <c r="B204" s="431"/>
      <c r="C204" s="206"/>
      <c r="D204" s="617"/>
      <c r="E204" s="617"/>
      <c r="F204" s="160"/>
      <c r="G204" s="206"/>
      <c r="H204" s="431"/>
      <c r="I204" s="464"/>
      <c r="J204" s="160"/>
      <c r="K204" s="431"/>
      <c r="L204" s="464"/>
      <c r="M204" s="160"/>
      <c r="N204" s="431"/>
      <c r="O204" s="464"/>
      <c r="P204" s="160"/>
    </row>
    <row r="205" customFormat="false" ht="18.75" hidden="false" customHeight="true" outlineLevel="0" collapsed="false">
      <c r="A205" s="125" t="str">
        <f aca="false">'☆掛負収入'!A205</f>
        <v>教育委員会（総務課）</v>
      </c>
      <c r="B205" s="431"/>
      <c r="C205" s="206"/>
      <c r="D205" s="617"/>
      <c r="E205" s="617"/>
      <c r="F205" s="160"/>
      <c r="G205" s="206"/>
      <c r="H205" s="431"/>
      <c r="I205" s="464"/>
      <c r="J205" s="160"/>
      <c r="K205" s="431"/>
      <c r="L205" s="464"/>
      <c r="M205" s="160"/>
      <c r="N205" s="431"/>
      <c r="O205" s="464"/>
      <c r="P205" s="160"/>
    </row>
    <row r="206" customFormat="false" ht="18.75" hidden="false" customHeight="true" outlineLevel="0" collapsed="false">
      <c r="A206" s="125" t="str">
        <f aca="false">'☆掛負収入'!A206</f>
        <v>選挙管理委員会</v>
      </c>
      <c r="B206" s="431"/>
      <c r="C206" s="206"/>
      <c r="D206" s="617"/>
      <c r="E206" s="617"/>
      <c r="F206" s="160"/>
      <c r="G206" s="206"/>
      <c r="H206" s="619"/>
      <c r="I206" s="449"/>
      <c r="J206" s="160"/>
      <c r="K206" s="431"/>
      <c r="L206" s="464"/>
      <c r="M206" s="160"/>
      <c r="N206" s="431"/>
      <c r="O206" s="464"/>
      <c r="P206" s="160"/>
    </row>
    <row r="207" customFormat="false" ht="18.75" hidden="false" customHeight="true" outlineLevel="0" collapsed="false">
      <c r="A207" s="125" t="str">
        <f aca="false">'☆掛負収入'!A207</f>
        <v>人事委員会</v>
      </c>
      <c r="B207" s="431"/>
      <c r="C207" s="206"/>
      <c r="D207" s="617"/>
      <c r="E207" s="617"/>
      <c r="F207" s="160"/>
      <c r="G207" s="206"/>
      <c r="H207" s="619"/>
      <c r="I207" s="449"/>
      <c r="J207" s="160"/>
      <c r="K207" s="619"/>
      <c r="L207" s="449"/>
      <c r="M207" s="160"/>
      <c r="N207" s="619"/>
      <c r="O207" s="449"/>
      <c r="P207" s="160"/>
    </row>
    <row r="208" customFormat="false" ht="18.75" hidden="false" customHeight="true" outlineLevel="0" collapsed="false">
      <c r="A208" s="125" t="str">
        <f aca="false">'☆掛負収入'!A208</f>
        <v>監査事務局</v>
      </c>
      <c r="B208" s="431"/>
      <c r="C208" s="206"/>
      <c r="D208" s="617"/>
      <c r="E208" s="617"/>
      <c r="F208" s="160"/>
      <c r="G208" s="206"/>
      <c r="H208" s="619"/>
      <c r="I208" s="449"/>
      <c r="J208" s="160"/>
      <c r="K208" s="619"/>
      <c r="L208" s="449"/>
      <c r="M208" s="160"/>
      <c r="N208" s="619"/>
      <c r="O208" s="449"/>
      <c r="P208" s="160"/>
    </row>
    <row r="209" customFormat="false" ht="18.75" hidden="false" customHeight="true" outlineLevel="0" collapsed="false">
      <c r="A209" s="125" t="str">
        <f aca="false">'☆掛負収入'!A209</f>
        <v>農業委員会</v>
      </c>
      <c r="B209" s="431"/>
      <c r="C209" s="206"/>
      <c r="D209" s="617"/>
      <c r="E209" s="617"/>
      <c r="F209" s="160"/>
      <c r="G209" s="206"/>
      <c r="H209" s="619"/>
      <c r="I209" s="449"/>
      <c r="J209" s="160"/>
      <c r="K209" s="619"/>
      <c r="L209" s="449"/>
      <c r="M209" s="160"/>
      <c r="N209" s="619"/>
      <c r="O209" s="449"/>
      <c r="P209" s="160"/>
    </row>
    <row r="210" customFormat="false" ht="18.75" hidden="false" customHeight="true" outlineLevel="0" collapsed="false">
      <c r="A210" s="125" t="str">
        <f aca="false">'☆掛負収入'!A210</f>
        <v>水道局</v>
      </c>
      <c r="B210" s="431"/>
      <c r="C210" s="206"/>
      <c r="D210" s="617"/>
      <c r="E210" s="617"/>
      <c r="F210" s="160"/>
      <c r="G210" s="206"/>
      <c r="H210" s="619"/>
      <c r="I210" s="449"/>
      <c r="J210" s="160"/>
      <c r="K210" s="619"/>
      <c r="L210" s="449"/>
      <c r="M210" s="160"/>
      <c r="N210" s="619"/>
      <c r="O210" s="449"/>
      <c r="P210" s="160"/>
    </row>
    <row r="211" customFormat="false" ht="18.75" hidden="false" customHeight="true" outlineLevel="0" collapsed="false">
      <c r="A211" s="146" t="str">
        <f aca="false">'☆掛負収入'!A211</f>
        <v>医療政策課(安芸市民)</v>
      </c>
      <c r="B211" s="620"/>
      <c r="C211" s="391"/>
      <c r="D211" s="620"/>
      <c r="E211" s="621"/>
      <c r="F211" s="418"/>
      <c r="G211" s="206"/>
      <c r="H211" s="622"/>
      <c r="I211" s="432"/>
      <c r="J211" s="160"/>
      <c r="K211" s="619"/>
      <c r="L211" s="449"/>
      <c r="M211" s="160"/>
      <c r="N211" s="619"/>
      <c r="O211" s="449"/>
      <c r="P211" s="160"/>
    </row>
    <row r="212" customFormat="false" ht="18.75" hidden="false" customHeight="true" outlineLevel="0" collapsed="false">
      <c r="A212" s="146" t="str">
        <f aca="false">'☆掛負収入'!A212</f>
        <v>教育委員会（教育給与課）</v>
      </c>
      <c r="B212" s="620"/>
      <c r="C212" s="206"/>
      <c r="D212" s="431"/>
      <c r="E212" s="623"/>
      <c r="F212" s="309"/>
      <c r="G212" s="206"/>
      <c r="H212" s="619"/>
      <c r="I212" s="449"/>
      <c r="J212" s="160"/>
      <c r="K212" s="619"/>
      <c r="L212" s="449"/>
      <c r="M212" s="160"/>
      <c r="N212" s="619"/>
      <c r="O212" s="449"/>
      <c r="P212" s="160"/>
    </row>
    <row r="213" customFormat="false" ht="18.75" hidden="true" customHeight="true" outlineLevel="0" collapsed="false">
      <c r="A213" s="624"/>
      <c r="B213" s="625"/>
      <c r="C213" s="235"/>
      <c r="D213" s="625"/>
      <c r="E213" s="626"/>
      <c r="F213" s="221"/>
      <c r="G213" s="712"/>
      <c r="H213" s="627"/>
      <c r="I213" s="628"/>
      <c r="J213" s="628"/>
      <c r="K213" s="627"/>
      <c r="L213" s="628"/>
      <c r="M213" s="337"/>
      <c r="N213" s="627"/>
      <c r="O213" s="628"/>
      <c r="P213" s="337"/>
    </row>
    <row r="214" customFormat="false" ht="18.75" hidden="true" customHeight="true" outlineLevel="0" collapsed="false">
      <c r="A214" s="629"/>
      <c r="B214" s="482"/>
      <c r="C214" s="157"/>
      <c r="D214" s="482"/>
      <c r="E214" s="483"/>
      <c r="F214" s="484"/>
      <c r="G214" s="460"/>
      <c r="H214" s="482"/>
      <c r="I214" s="483"/>
      <c r="J214" s="483"/>
      <c r="K214" s="482"/>
      <c r="L214" s="483"/>
      <c r="M214" s="156"/>
      <c r="N214" s="482"/>
      <c r="O214" s="483"/>
      <c r="P214" s="156"/>
    </row>
    <row r="215" customFormat="false" ht="18.75" hidden="true" customHeight="true" outlineLevel="0" collapsed="false">
      <c r="A215" s="629"/>
      <c r="B215" s="625"/>
      <c r="C215" s="235"/>
      <c r="D215" s="625"/>
      <c r="E215" s="626"/>
      <c r="F215" s="221"/>
      <c r="G215" s="712"/>
      <c r="H215" s="625"/>
      <c r="I215" s="626"/>
      <c r="J215" s="626"/>
      <c r="K215" s="625"/>
      <c r="L215" s="626"/>
      <c r="M215" s="337"/>
      <c r="N215" s="625"/>
      <c r="O215" s="626"/>
      <c r="P215" s="337"/>
    </row>
    <row r="216" customFormat="false" ht="18.75" hidden="true" customHeight="true" outlineLevel="0" collapsed="false">
      <c r="A216" s="630"/>
      <c r="B216" s="631"/>
      <c r="C216" s="632"/>
      <c r="D216" s="631"/>
      <c r="E216" s="515"/>
      <c r="F216" s="633"/>
      <c r="G216" s="714"/>
      <c r="H216" s="482"/>
      <c r="I216" s="634"/>
      <c r="J216" s="634"/>
      <c r="K216" s="482"/>
      <c r="L216" s="483"/>
      <c r="M216" s="156"/>
      <c r="N216" s="482"/>
      <c r="O216" s="483"/>
      <c r="P216" s="156"/>
    </row>
    <row r="217" customFormat="false" ht="18.75" hidden="false" customHeight="true" outlineLevel="0" collapsed="false">
      <c r="A217" s="196" t="str">
        <f aca="false">'☆掛負収入'!A217</f>
        <v>小　計</v>
      </c>
      <c r="B217" s="429"/>
      <c r="C217" s="199"/>
      <c r="D217" s="429"/>
      <c r="E217" s="199"/>
      <c r="F217" s="200"/>
      <c r="G217" s="201"/>
      <c r="H217" s="429"/>
      <c r="I217" s="199"/>
      <c r="J217" s="198"/>
      <c r="K217" s="429"/>
      <c r="L217" s="199"/>
      <c r="M217" s="201"/>
      <c r="N217" s="429"/>
      <c r="O217" s="199"/>
      <c r="P217" s="201"/>
    </row>
    <row r="218" customFormat="false" ht="18.75" hidden="false" customHeight="true" outlineLevel="0" collapsed="false">
      <c r="A218" s="202" t="str">
        <f aca="false">'☆掛負収入'!A218</f>
        <v>地方税共同機構</v>
      </c>
      <c r="B218" s="469" t="n">
        <f aca="false">'☆掛負収入'!B218</f>
        <v>0</v>
      </c>
      <c r="C218" s="260" t="n">
        <f aca="false">'☆掛負収入'!C218</f>
        <v>0</v>
      </c>
      <c r="D218" s="636" t="n">
        <f aca="false">'☆掛負収入'!D218</f>
        <v>0</v>
      </c>
      <c r="E218" s="472" t="n">
        <f aca="false">'☆掛負収入'!E218</f>
        <v>0</v>
      </c>
      <c r="F218" s="471" t="n">
        <f aca="false">'☆掛負収入'!F218</f>
        <v>0</v>
      </c>
      <c r="G218" s="206" t="n">
        <f aca="false">SUM(B218:F218)</f>
        <v>0</v>
      </c>
      <c r="H218" s="619" t="n">
        <f aca="false">'☆掛負収入'!H218</f>
        <v>0</v>
      </c>
      <c r="I218" s="449" t="n">
        <f aca="false">'☆掛負収入'!I218</f>
        <v>0</v>
      </c>
      <c r="J218" s="160" t="n">
        <f aca="false">SUM(H218:I218)</f>
        <v>0</v>
      </c>
      <c r="K218" s="464" t="n">
        <f aca="false">'☆掛負収入'!K218</f>
        <v>0</v>
      </c>
      <c r="L218" s="449" t="n">
        <f aca="false">'☆掛負収入'!L218</f>
        <v>0</v>
      </c>
      <c r="M218" s="160" t="n">
        <f aca="false">SUM(K218:L218)</f>
        <v>0</v>
      </c>
      <c r="N218" s="464" t="n">
        <f aca="false">'☆掛負収入'!N218</f>
        <v>0</v>
      </c>
      <c r="O218" s="449" t="n">
        <f aca="false">'☆掛負収入'!O218</f>
        <v>0</v>
      </c>
      <c r="P218" s="160" t="n">
        <f aca="false">SUM(N218:O218)</f>
        <v>0</v>
      </c>
    </row>
    <row r="219" customFormat="false" ht="18.75" hidden="false" customHeight="true" outlineLevel="0" collapsed="false">
      <c r="A219" s="125" t="str">
        <f aca="false">'☆掛負収入'!A219</f>
        <v>平和文化センター</v>
      </c>
      <c r="B219" s="474" t="n">
        <f aca="false">'☆掛負収入'!B219</f>
        <v>0</v>
      </c>
      <c r="C219" s="402" t="n">
        <f aca="false">'☆掛負収入'!C219</f>
        <v>0</v>
      </c>
      <c r="D219" s="489" t="n">
        <f aca="false">'☆掛負収入'!D219</f>
        <v>1500878</v>
      </c>
      <c r="E219" s="477" t="n">
        <f aca="false">'☆掛負収入'!E219</f>
        <v>123022</v>
      </c>
      <c r="F219" s="248" t="n">
        <f aca="false">'☆掛負収入'!F219</f>
        <v>1425</v>
      </c>
      <c r="G219" s="206" t="n">
        <f aca="false">SUM(B219:F219)</f>
        <v>1625325</v>
      </c>
      <c r="H219" s="619" t="n">
        <f aca="false">'☆掛負収入'!H219</f>
        <v>0</v>
      </c>
      <c r="I219" s="449" t="n">
        <f aca="false">'☆掛負収入'!I219</f>
        <v>851479</v>
      </c>
      <c r="J219" s="160" t="n">
        <f aca="false">SUM(H219:I219)</f>
        <v>851479</v>
      </c>
      <c r="K219" s="464" t="n">
        <f aca="false">'☆掛負収入'!K219</f>
        <v>0</v>
      </c>
      <c r="L219" s="449" t="n">
        <f aca="false">'☆掛負収入'!L219</f>
        <v>108719</v>
      </c>
      <c r="M219" s="160" t="n">
        <f aca="false">SUM(K219:L219)</f>
        <v>108719</v>
      </c>
      <c r="N219" s="464" t="n">
        <f aca="false">'☆掛負収入'!N219</f>
        <v>0</v>
      </c>
      <c r="O219" s="449" t="n">
        <f aca="false">'☆掛負収入'!O219</f>
        <v>18863</v>
      </c>
      <c r="P219" s="160" t="n">
        <f aca="false">SUM(N219:O219)</f>
        <v>18863</v>
      </c>
    </row>
    <row r="220" customFormat="false" ht="18.75" hidden="false" customHeight="true" outlineLevel="0" collapsed="false">
      <c r="A220" s="125" t="str">
        <f aca="false">'☆掛負収入'!A220</f>
        <v>社会福祉事業団</v>
      </c>
      <c r="B220" s="625"/>
      <c r="C220" s="235"/>
      <c r="D220" s="476" t="n">
        <f aca="false">'☆掛負収入'!D220</f>
        <v>4100217</v>
      </c>
      <c r="E220" s="478" t="n">
        <f aca="false">'☆掛負収入'!E220</f>
        <v>336079</v>
      </c>
      <c r="F220" s="248" t="n">
        <f aca="false">'☆掛負収入'!F220</f>
        <v>4035</v>
      </c>
      <c r="G220" s="206" t="n">
        <f aca="false">SUM(B220:F220)</f>
        <v>4440331</v>
      </c>
      <c r="H220" s="627"/>
      <c r="I220" s="449" t="n">
        <f aca="false">'☆掛負収入'!I220</f>
        <v>2386276</v>
      </c>
      <c r="J220" s="160" t="n">
        <f aca="false">SUM(H220:I220)</f>
        <v>2386276</v>
      </c>
      <c r="K220" s="637"/>
      <c r="L220" s="449" t="n">
        <f aca="false">'☆掛負収入'!L220</f>
        <v>271657</v>
      </c>
      <c r="M220" s="160" t="n">
        <f aca="false">SUM(K220:L220)</f>
        <v>271657</v>
      </c>
      <c r="N220" s="637"/>
      <c r="O220" s="449" t="n">
        <f aca="false">'☆掛負収入'!O220</f>
        <v>52855</v>
      </c>
      <c r="P220" s="160" t="n">
        <f aca="false">SUM(N220:O220)</f>
        <v>52855</v>
      </c>
    </row>
    <row r="221" customFormat="false" ht="18.75" hidden="false" customHeight="true" outlineLevel="0" collapsed="false">
      <c r="A221" s="125" t="str">
        <f aca="false">'☆掛負収入'!A221</f>
        <v>原爆障害対策協議会</v>
      </c>
      <c r="B221" s="625"/>
      <c r="C221" s="235"/>
      <c r="D221" s="474" t="n">
        <f aca="false">'☆掛負収入'!D221</f>
        <v>100467</v>
      </c>
      <c r="E221" s="478" t="n">
        <f aca="false">'☆掛負収入'!E221</f>
        <v>8235</v>
      </c>
      <c r="F221" s="248" t="n">
        <f aca="false">'☆掛負収入'!F221</f>
        <v>95</v>
      </c>
      <c r="G221" s="206" t="n">
        <f aca="false">SUM(B221:F221)</f>
        <v>108797</v>
      </c>
      <c r="H221" s="627"/>
      <c r="I221" s="449" t="n">
        <f aca="false">'☆掛負収入'!I221</f>
        <v>56997</v>
      </c>
      <c r="J221" s="160" t="n">
        <f aca="false">SUM(H221:I221)</f>
        <v>56997</v>
      </c>
      <c r="K221" s="637"/>
      <c r="L221" s="449" t="n">
        <f aca="false">'☆掛負収入'!L221</f>
        <v>8674</v>
      </c>
      <c r="M221" s="160" t="n">
        <f aca="false">SUM(K221:L221)</f>
        <v>8674</v>
      </c>
      <c r="N221" s="637"/>
      <c r="O221" s="449" t="n">
        <f aca="false">'☆掛負収入'!O221</f>
        <v>1262</v>
      </c>
      <c r="P221" s="160" t="n">
        <f aca="false">SUM(N221:O221)</f>
        <v>1262</v>
      </c>
    </row>
    <row r="222" customFormat="false" ht="18.75" hidden="false" customHeight="true" outlineLevel="0" collapsed="false">
      <c r="A222" s="214" t="str">
        <f aca="false">'☆掛負収入'!A222</f>
        <v>産業振興センター</v>
      </c>
      <c r="B222" s="625"/>
      <c r="C222" s="235"/>
      <c r="D222" s="474" t="n">
        <f aca="false">'☆掛負収入'!D222</f>
        <v>761008</v>
      </c>
      <c r="E222" s="478" t="n">
        <f aca="false">'☆掛負収入'!E222</f>
        <v>62378</v>
      </c>
      <c r="F222" s="248" t="n">
        <f aca="false">'☆掛負収入'!F222</f>
        <v>817</v>
      </c>
      <c r="G222" s="206" t="n">
        <f aca="false">SUM(B222:F222)</f>
        <v>824203</v>
      </c>
      <c r="H222" s="627"/>
      <c r="I222" s="449" t="n">
        <f aca="false">'☆掛負収入'!I222</f>
        <v>431790</v>
      </c>
      <c r="J222" s="160" t="n">
        <f aca="false">SUM(H222:I222)</f>
        <v>431790</v>
      </c>
      <c r="K222" s="637"/>
      <c r="L222" s="449" t="n">
        <f aca="false">'☆掛負収入'!L222</f>
        <v>55725</v>
      </c>
      <c r="M222" s="160" t="n">
        <f aca="false">SUM(K222:L222)</f>
        <v>55725</v>
      </c>
      <c r="N222" s="637"/>
      <c r="O222" s="449" t="n">
        <f aca="false">'☆掛負収入'!O222</f>
        <v>9563</v>
      </c>
      <c r="P222" s="160" t="n">
        <f aca="false">SUM(N222:O222)</f>
        <v>9563</v>
      </c>
    </row>
    <row r="223" customFormat="false" ht="18.75" hidden="false" customHeight="true" outlineLevel="0" collapsed="false">
      <c r="A223" s="146" t="str">
        <f aca="false">'☆掛負収入'!A223</f>
        <v>ひろしま産業振興</v>
      </c>
      <c r="B223" s="625"/>
      <c r="C223" s="484"/>
      <c r="D223" s="474" t="n">
        <f aca="false">'☆掛負収入'!D223</f>
        <v>97264</v>
      </c>
      <c r="E223" s="478" t="n">
        <f aca="false">'☆掛負収入'!E223</f>
        <v>7972</v>
      </c>
      <c r="F223" s="479" t="n">
        <f aca="false">'☆掛負収入'!F223</f>
        <v>92</v>
      </c>
      <c r="G223" s="206" t="n">
        <f aca="false">SUM(B223:F223)</f>
        <v>105328</v>
      </c>
      <c r="H223" s="627"/>
      <c r="I223" s="432" t="n">
        <f aca="false">'☆掛負収入'!I223</f>
        <v>55180</v>
      </c>
      <c r="J223" s="160" t="n">
        <f aca="false">SUM(H223:I223)</f>
        <v>55180</v>
      </c>
      <c r="K223" s="637"/>
      <c r="L223" s="432" t="n">
        <f aca="false">'☆掛負収入'!L223</f>
        <v>8397</v>
      </c>
      <c r="M223" s="160" t="n">
        <f aca="false">SUM(K223:L223)</f>
        <v>8397</v>
      </c>
      <c r="N223" s="637"/>
      <c r="O223" s="432" t="n">
        <f aca="false">'☆掛負収入'!O223</f>
        <v>1222</v>
      </c>
      <c r="P223" s="160" t="n">
        <f aca="false">SUM(N223:O223)</f>
        <v>1222</v>
      </c>
    </row>
    <row r="224" customFormat="false" ht="18.75" hidden="false" customHeight="true" outlineLevel="0" collapsed="false">
      <c r="A224" s="146" t="str">
        <f aca="false">'☆掛負収入'!A224</f>
        <v>都市整備公社　市</v>
      </c>
      <c r="B224" s="625"/>
      <c r="C224" s="484"/>
      <c r="D224" s="476" t="n">
        <f aca="false">'☆掛負収入'!D224</f>
        <v>0</v>
      </c>
      <c r="E224" s="478" t="n">
        <f aca="false">'☆掛負収入'!E224</f>
        <v>0</v>
      </c>
      <c r="F224" s="248" t="n">
        <f aca="false">'☆掛負収入'!F224</f>
        <v>0</v>
      </c>
      <c r="G224" s="206" t="n">
        <f aca="false">SUM(B224:F224)</f>
        <v>0</v>
      </c>
      <c r="H224" s="627"/>
      <c r="I224" s="449" t="n">
        <f aca="false">'☆掛負収入'!I224</f>
        <v>0</v>
      </c>
      <c r="J224" s="160" t="n">
        <f aca="false">SUM(H224:I224)</f>
        <v>0</v>
      </c>
      <c r="K224" s="637"/>
      <c r="L224" s="449" t="n">
        <f aca="false">'☆掛負収入'!L224</f>
        <v>0</v>
      </c>
      <c r="M224" s="160" t="n">
        <f aca="false">SUM(K224:L224)</f>
        <v>0</v>
      </c>
      <c r="N224" s="637"/>
      <c r="O224" s="449" t="n">
        <f aca="false">'☆掛負収入'!O224</f>
        <v>0</v>
      </c>
      <c r="P224" s="160" t="n">
        <f aca="false">SUM(N224:O224)</f>
        <v>0</v>
      </c>
    </row>
    <row r="225" customFormat="false" ht="18.75" hidden="false" customHeight="true" outlineLevel="0" collapsed="false">
      <c r="A225" s="217"/>
      <c r="B225" s="625"/>
      <c r="C225" s="221"/>
      <c r="D225" s="474"/>
      <c r="E225" s="478"/>
      <c r="F225" s="248"/>
      <c r="G225" s="206"/>
      <c r="H225" s="627"/>
      <c r="I225" s="449"/>
      <c r="J225" s="160"/>
      <c r="K225" s="637"/>
      <c r="L225" s="449"/>
      <c r="M225" s="160" t="n">
        <f aca="false">SUM(K225:L225)</f>
        <v>0</v>
      </c>
      <c r="N225" s="637"/>
      <c r="O225" s="449"/>
      <c r="P225" s="160" t="n">
        <f aca="false">SUM(N225:O225)</f>
        <v>0</v>
      </c>
    </row>
    <row r="226" customFormat="false" ht="18.75" hidden="false" customHeight="true" outlineLevel="0" collapsed="false">
      <c r="A226" s="146" t="str">
        <f aca="false">'☆掛負収入'!A226</f>
        <v>日本下水道事業団</v>
      </c>
      <c r="B226" s="476" t="n">
        <f aca="false">'☆掛負収入'!B226</f>
        <v>472780</v>
      </c>
      <c r="C226" s="248" t="n">
        <f aca="false">'☆掛負収入'!C226</f>
        <v>38752</v>
      </c>
      <c r="D226" s="474" t="n">
        <f aca="false">'☆掛負収入'!D226</f>
        <v>472781</v>
      </c>
      <c r="E226" s="478" t="n">
        <f aca="false">'☆掛負収入'!E226</f>
        <v>38752</v>
      </c>
      <c r="F226" s="248" t="n">
        <f aca="false">'☆掛負収入'!F226</f>
        <v>449</v>
      </c>
      <c r="G226" s="206" t="n">
        <f aca="false">SUM(B226:F226)</f>
        <v>1023514</v>
      </c>
      <c r="H226" s="619" t="n">
        <f aca="false">'☆掛負収入'!H226</f>
        <v>267959</v>
      </c>
      <c r="I226" s="449" t="n">
        <f aca="false">'☆掛負収入'!I226</f>
        <v>268218</v>
      </c>
      <c r="J226" s="160" t="n">
        <f aca="false">SUM(H226:I226)</f>
        <v>536177</v>
      </c>
      <c r="K226" s="464" t="n">
        <f aca="false">'☆掛負収入'!K226</f>
        <v>19702</v>
      </c>
      <c r="L226" s="449" t="n">
        <f aca="false">'☆掛負収入'!L226</f>
        <v>19702</v>
      </c>
      <c r="M226" s="160" t="n">
        <f aca="false">SUM(K226:L226)</f>
        <v>39404</v>
      </c>
      <c r="N226" s="464" t="n">
        <f aca="false">'☆掛負収入'!N226</f>
        <v>5940</v>
      </c>
      <c r="O226" s="449" t="n">
        <f aca="false">'☆掛負収入'!O226</f>
        <v>5942</v>
      </c>
      <c r="P226" s="160" t="n">
        <f aca="false">SUM(N226:O226)</f>
        <v>11882</v>
      </c>
    </row>
    <row r="227" customFormat="false" ht="18.75" hidden="false" customHeight="true" outlineLevel="0" collapsed="false">
      <c r="A227" s="125" t="str">
        <f aca="false">'☆掛負収入'!A227</f>
        <v>地方公務員災害補償基金本部</v>
      </c>
      <c r="B227" s="476" t="n">
        <f aca="false">'☆掛負収入'!B227</f>
        <v>73474</v>
      </c>
      <c r="C227" s="248" t="n">
        <f aca="false">'☆掛負収入'!C227</f>
        <v>6022</v>
      </c>
      <c r="D227" s="474" t="n">
        <f aca="false">'☆掛負収入'!D227</f>
        <v>73475</v>
      </c>
      <c r="E227" s="478" t="n">
        <f aca="false">'☆掛負収入'!E227</f>
        <v>6022</v>
      </c>
      <c r="F227" s="248" t="n">
        <f aca="false">'☆掛負収入'!F227</f>
        <v>69</v>
      </c>
      <c r="G227" s="206" t="n">
        <f aca="false">SUM(B227:F227)</f>
        <v>159062</v>
      </c>
      <c r="H227" s="619" t="n">
        <f aca="false">'☆掛負収入'!H227</f>
        <v>41643</v>
      </c>
      <c r="I227" s="449" t="n">
        <f aca="false">'☆掛負収入'!I227</f>
        <v>41683</v>
      </c>
      <c r="J227" s="160" t="n">
        <f aca="false">SUM(H227:I227)</f>
        <v>83326</v>
      </c>
      <c r="K227" s="464" t="n">
        <f aca="false">'☆掛負収入'!K227</f>
        <v>0</v>
      </c>
      <c r="L227" s="449" t="n">
        <f aca="false">'☆掛負収入'!L227</f>
        <v>0</v>
      </c>
      <c r="M227" s="160" t="n">
        <f aca="false">SUM(K227:L227)</f>
        <v>0</v>
      </c>
      <c r="N227" s="464" t="n">
        <f aca="false">'☆掛負収入'!N227</f>
        <v>923</v>
      </c>
      <c r="O227" s="449" t="n">
        <f aca="false">'☆掛負収入'!O227</f>
        <v>923</v>
      </c>
      <c r="P227" s="160" t="n">
        <f aca="false">SUM(N227:O227)</f>
        <v>1846</v>
      </c>
    </row>
    <row r="228" customFormat="false" ht="18.75" hidden="false" customHeight="true" outlineLevel="0" collapsed="false">
      <c r="A228" s="222"/>
      <c r="B228" s="474"/>
      <c r="C228" s="248"/>
      <c r="D228" s="474"/>
      <c r="E228" s="478"/>
      <c r="F228" s="248"/>
      <c r="G228" s="206"/>
      <c r="H228" s="619"/>
      <c r="I228" s="449"/>
      <c r="J228" s="160"/>
      <c r="K228" s="464"/>
      <c r="L228" s="449"/>
      <c r="M228" s="160" t="n">
        <f aca="false">SUM(K228:L228)</f>
        <v>0</v>
      </c>
      <c r="N228" s="464"/>
      <c r="O228" s="449"/>
      <c r="P228" s="160" t="n">
        <f aca="false">SUM(N228:O228)</f>
        <v>0</v>
      </c>
    </row>
    <row r="229" customFormat="false" ht="18.75" hidden="false" customHeight="true" outlineLevel="0" collapsed="false">
      <c r="A229" s="125" t="str">
        <f aca="false">'☆掛負収入'!A229</f>
        <v>高速道路公社</v>
      </c>
      <c r="B229" s="489" t="n">
        <f aca="false">'☆掛負収入'!B229</f>
        <v>1493001</v>
      </c>
      <c r="C229" s="479" t="n">
        <f aca="false">'☆掛負収入'!C229</f>
        <v>122373</v>
      </c>
      <c r="D229" s="489" t="n">
        <f aca="false">'☆掛負収入'!D229</f>
        <v>1493006</v>
      </c>
      <c r="E229" s="495" t="n">
        <f aca="false">'☆掛負収入'!E229</f>
        <v>122378</v>
      </c>
      <c r="F229" s="491" t="n">
        <f aca="false">'☆掛負収入'!F229</f>
        <v>1474</v>
      </c>
      <c r="G229" s="206" t="n">
        <f aca="false">SUM(B229:F229)</f>
        <v>3232232</v>
      </c>
      <c r="H229" s="638" t="n">
        <f aca="false">'☆掛負収入'!H229</f>
        <v>846191</v>
      </c>
      <c r="I229" s="639" t="n">
        <f aca="false">'☆掛負収入'!I229</f>
        <v>847048</v>
      </c>
      <c r="J229" s="160" t="n">
        <f aca="false">SUM(H229:I229)</f>
        <v>1693239</v>
      </c>
      <c r="K229" s="640" t="n">
        <f aca="false">'☆掛負収入'!K229</f>
        <v>85096</v>
      </c>
      <c r="L229" s="639" t="n">
        <f aca="false">'☆掛負収入'!L229</f>
        <v>85098</v>
      </c>
      <c r="M229" s="160" t="n">
        <f aca="false">SUM(K229:L229)</f>
        <v>170194</v>
      </c>
      <c r="N229" s="640" t="n">
        <f aca="false">'☆掛負収入'!N229</f>
        <v>18756</v>
      </c>
      <c r="O229" s="639" t="n">
        <f aca="false">'☆掛負収入'!O229</f>
        <v>18765</v>
      </c>
      <c r="P229" s="160" t="n">
        <f aca="false">SUM(N229:O229)</f>
        <v>37521</v>
      </c>
    </row>
    <row r="230" customFormat="false" ht="18.75" hidden="false" customHeight="true" outlineLevel="0" collapsed="false">
      <c r="A230" s="125" t="str">
        <f aca="false">'☆掛負収入'!A230</f>
        <v>農林水産振興センタ</v>
      </c>
      <c r="B230" s="482"/>
      <c r="C230" s="484"/>
      <c r="D230" s="476" t="n">
        <f aca="false">'☆掛負収入'!D230</f>
        <v>1167447</v>
      </c>
      <c r="E230" s="498" t="n">
        <f aca="false">'☆掛負収入'!E230</f>
        <v>95691</v>
      </c>
      <c r="F230" s="479" t="n">
        <f aca="false">'☆掛負収入'!F230</f>
        <v>1105</v>
      </c>
      <c r="G230" s="206" t="n">
        <f aca="false">SUM(B230:F230)</f>
        <v>1264243</v>
      </c>
      <c r="H230" s="641"/>
      <c r="I230" s="432" t="n">
        <f aca="false">'☆掛負収入'!I230</f>
        <v>662316</v>
      </c>
      <c r="J230" s="160" t="n">
        <f aca="false">SUM(H230:I230)</f>
        <v>662316</v>
      </c>
      <c r="K230" s="642"/>
      <c r="L230" s="432" t="n">
        <f aca="false">'☆掛負収入'!L230</f>
        <v>56658</v>
      </c>
      <c r="M230" s="160" t="n">
        <f aca="false">SUM(K230:L230)</f>
        <v>56658</v>
      </c>
      <c r="N230" s="642"/>
      <c r="O230" s="432" t="n">
        <f aca="false">'☆掛負収入'!O230</f>
        <v>14669</v>
      </c>
      <c r="P230" s="160" t="n">
        <f aca="false">SUM(N230:O230)</f>
        <v>14669</v>
      </c>
    </row>
    <row r="231" customFormat="false" ht="18.75" hidden="false" customHeight="true" outlineLevel="0" collapsed="false">
      <c r="A231" s="228" t="str">
        <f aca="false">'☆掛負収入'!A231</f>
        <v>文化財団　市長部局</v>
      </c>
      <c r="B231" s="625"/>
      <c r="C231" s="221"/>
      <c r="D231" s="474" t="n">
        <f aca="false">'☆掛負収入'!D231</f>
        <v>2185941</v>
      </c>
      <c r="E231" s="478" t="n">
        <f aca="false">'☆掛負収入'!E231</f>
        <v>179172</v>
      </c>
      <c r="F231" s="479" t="n">
        <f aca="false">'☆掛負収入'!F231</f>
        <v>2073</v>
      </c>
      <c r="G231" s="206" t="n">
        <f aca="false">SUM(B231:F231)</f>
        <v>2367186</v>
      </c>
      <c r="H231" s="627"/>
      <c r="I231" s="432" t="n">
        <f aca="false">'☆掛負収入'!I231</f>
        <v>1240127</v>
      </c>
      <c r="J231" s="160" t="n">
        <f aca="false">SUM(H231:I231)</f>
        <v>1240127</v>
      </c>
      <c r="K231" s="637"/>
      <c r="L231" s="432" t="n">
        <f aca="false">'☆掛負収入'!L231</f>
        <v>181974</v>
      </c>
      <c r="M231" s="160" t="n">
        <f aca="false">SUM(K231:L231)</f>
        <v>181974</v>
      </c>
      <c r="N231" s="637"/>
      <c r="O231" s="432" t="n">
        <f aca="false">'☆掛負収入'!O231</f>
        <v>27471</v>
      </c>
      <c r="P231" s="160" t="n">
        <f aca="false">SUM(N231:O231)</f>
        <v>27471</v>
      </c>
    </row>
    <row r="232" customFormat="false" ht="18.75" hidden="false" customHeight="true" outlineLevel="0" collapsed="false">
      <c r="A232" s="229"/>
      <c r="B232" s="625"/>
      <c r="C232" s="221"/>
      <c r="D232" s="474"/>
      <c r="E232" s="478"/>
      <c r="F232" s="479"/>
      <c r="G232" s="206"/>
      <c r="H232" s="627"/>
      <c r="I232" s="432"/>
      <c r="J232" s="160"/>
      <c r="K232" s="637"/>
      <c r="L232" s="432"/>
      <c r="M232" s="160" t="n">
        <f aca="false">SUM(K232:L232)</f>
        <v>0</v>
      </c>
      <c r="N232" s="637"/>
      <c r="O232" s="432"/>
      <c r="P232" s="160" t="n">
        <f aca="false">SUM(N232:O232)</f>
        <v>0</v>
      </c>
    </row>
    <row r="233" customFormat="false" ht="18.75" hidden="false" customHeight="true" outlineLevel="0" collapsed="false">
      <c r="A233" s="125" t="str">
        <f aca="false">'☆掛負収入'!A233</f>
        <v>みどり生きもの協会</v>
      </c>
      <c r="B233" s="625"/>
      <c r="C233" s="221"/>
      <c r="D233" s="474" t="n">
        <f aca="false">'☆掛負収入'!D233</f>
        <v>917199</v>
      </c>
      <c r="E233" s="478" t="n">
        <f aca="false">'☆掛負収入'!E233</f>
        <v>75179</v>
      </c>
      <c r="F233" s="479" t="n">
        <f aca="false">'☆掛負収入'!F233</f>
        <v>869</v>
      </c>
      <c r="G233" s="206" t="n">
        <f aca="false">SUM(B233:F233)</f>
        <v>993247</v>
      </c>
      <c r="H233" s="627"/>
      <c r="I233" s="432" t="n">
        <f aca="false">'☆掛負収入'!I233</f>
        <v>520344</v>
      </c>
      <c r="J233" s="160" t="n">
        <f aca="false">SUM(H233:I233)</f>
        <v>520344</v>
      </c>
      <c r="K233" s="637"/>
      <c r="L233" s="432" t="n">
        <f aca="false">'☆掛負収入'!L233</f>
        <v>79187</v>
      </c>
      <c r="M233" s="160" t="n">
        <f aca="false">SUM(K233:L233)</f>
        <v>79187</v>
      </c>
      <c r="N233" s="637"/>
      <c r="O233" s="432" t="n">
        <f aca="false">'☆掛負収入'!O233</f>
        <v>11526</v>
      </c>
      <c r="P233" s="160" t="n">
        <f aca="false">SUM(N233:O233)</f>
        <v>11526</v>
      </c>
    </row>
    <row r="234" customFormat="false" ht="18.75" hidden="false" customHeight="true" outlineLevel="0" collapsed="false">
      <c r="A234" s="146" t="str">
        <f aca="false">'☆掛負収入'!A234</f>
        <v>県下水道公社</v>
      </c>
      <c r="B234" s="474" t="n">
        <f aca="false">'☆掛負収入'!B234</f>
        <v>295178</v>
      </c>
      <c r="C234" s="248" t="n">
        <f aca="false">'☆掛負収入'!C234</f>
        <v>24194</v>
      </c>
      <c r="D234" s="474" t="n">
        <f aca="false">'☆掛負収入'!D234</f>
        <v>295180</v>
      </c>
      <c r="E234" s="478" t="n">
        <f aca="false">'☆掛負収入'!E234</f>
        <v>24195</v>
      </c>
      <c r="F234" s="479" t="n">
        <f aca="false">'☆掛負収入'!F234</f>
        <v>280</v>
      </c>
      <c r="G234" s="206" t="n">
        <f aca="false">SUM(B234:F234)</f>
        <v>639027</v>
      </c>
      <c r="H234" s="619" t="n">
        <f aca="false">'☆掛負収入'!H234</f>
        <v>167299</v>
      </c>
      <c r="I234" s="432" t="n">
        <f aca="false">'☆掛負収入'!I234</f>
        <v>167461</v>
      </c>
      <c r="J234" s="160" t="n">
        <f aca="false">SUM(H234:I234)</f>
        <v>334760</v>
      </c>
      <c r="K234" s="464" t="n">
        <f aca="false">'☆掛負収入'!K234</f>
        <v>18983</v>
      </c>
      <c r="L234" s="432" t="n">
        <f aca="false">'☆掛負収入'!L234</f>
        <v>18983</v>
      </c>
      <c r="M234" s="160" t="n">
        <f aca="false">SUM(K234:L234)</f>
        <v>37966</v>
      </c>
      <c r="N234" s="464" t="n">
        <f aca="false">'☆掛負収入'!N234</f>
        <v>3709</v>
      </c>
      <c r="O234" s="432" t="n">
        <f aca="false">'☆掛負収入'!O234</f>
        <v>3709</v>
      </c>
      <c r="P234" s="160" t="n">
        <f aca="false">SUM(N234:O234)</f>
        <v>7418</v>
      </c>
    </row>
    <row r="235" customFormat="false" ht="18.75" hidden="false" customHeight="true" outlineLevel="0" collapsed="false">
      <c r="A235" s="146" t="str">
        <f aca="false">'☆掛負収入'!A235</f>
        <v>バス協調・共創
プラットフォーム</v>
      </c>
      <c r="B235" s="482"/>
      <c r="C235" s="484"/>
      <c r="D235" s="476" t="n">
        <f aca="false">'☆掛負収入'!D235</f>
        <v>866873</v>
      </c>
      <c r="E235" s="498" t="n">
        <f aca="false">'☆掛負収入'!E235</f>
        <v>71055</v>
      </c>
      <c r="F235" s="479" t="n">
        <f aca="false">'☆掛負収入'!F235</f>
        <v>823</v>
      </c>
      <c r="G235" s="206" t="n">
        <f aca="false">SUM(B235:F235)</f>
        <v>938751</v>
      </c>
      <c r="H235" s="641"/>
      <c r="I235" s="432" t="n">
        <f aca="false">'☆掛負収入'!I235</f>
        <v>491795</v>
      </c>
      <c r="J235" s="160" t="n">
        <f aca="false">SUM(H235:I235)</f>
        <v>491795</v>
      </c>
      <c r="K235" s="642"/>
      <c r="L235" s="432" t="n">
        <f aca="false">'☆掛負収入'!L235</f>
        <v>42612</v>
      </c>
      <c r="M235" s="160" t="n">
        <f aca="false">SUM(K235:L235)</f>
        <v>42612</v>
      </c>
      <c r="N235" s="642"/>
      <c r="O235" s="432" t="n">
        <f aca="false">'☆掛負収入'!O235</f>
        <v>10895</v>
      </c>
      <c r="P235" s="160" t="n">
        <f aca="false">SUM(N235:O235)</f>
        <v>10895</v>
      </c>
    </row>
    <row r="236" customFormat="false" ht="18.75" hidden="false" customHeight="true" outlineLevel="0" collapsed="false">
      <c r="A236" s="146" t="str">
        <f aca="false">'☆掛負収入'!A236</f>
        <v>広島県市長会</v>
      </c>
      <c r="B236" s="474" t="n">
        <f aca="false">'☆掛負収入'!B236</f>
        <v>118309</v>
      </c>
      <c r="C236" s="248" t="n">
        <f aca="false">'☆掛負収入'!C236</f>
        <v>9697</v>
      </c>
      <c r="D236" s="474" t="n">
        <f aca="false">'☆掛負収入'!D236</f>
        <v>118310</v>
      </c>
      <c r="E236" s="478" t="n">
        <f aca="false">'☆掛負収入'!E236</f>
        <v>9697</v>
      </c>
      <c r="F236" s="248" t="n">
        <f aca="false">'☆掛負収入'!F236</f>
        <v>112</v>
      </c>
      <c r="G236" s="206" t="n">
        <f aca="false">SUM(B236:F236)</f>
        <v>256125</v>
      </c>
      <c r="H236" s="619" t="n">
        <f aca="false">'☆掛負収入'!H236</f>
        <v>67054</v>
      </c>
      <c r="I236" s="449" t="n">
        <f aca="false">'☆掛負収入'!I236</f>
        <v>67119</v>
      </c>
      <c r="J236" s="160" t="n">
        <f aca="false">SUM(H236:I236)</f>
        <v>134173</v>
      </c>
      <c r="K236" s="464" t="n">
        <f aca="false">'☆掛負収入'!K236</f>
        <v>10214</v>
      </c>
      <c r="L236" s="449" t="n">
        <f aca="false">'☆掛負収入'!L236</f>
        <v>10214</v>
      </c>
      <c r="M236" s="160" t="n">
        <f aca="false">SUM(K236:L236)</f>
        <v>20428</v>
      </c>
      <c r="N236" s="464" t="n">
        <f aca="false">'☆掛負収入'!N236</f>
        <v>1486</v>
      </c>
      <c r="O236" s="449" t="n">
        <f aca="false">'☆掛負収入'!O236</f>
        <v>1486</v>
      </c>
      <c r="P236" s="160" t="n">
        <f aca="false">SUM(N236:O236)</f>
        <v>2972</v>
      </c>
    </row>
    <row r="237" customFormat="false" ht="18.75" hidden="false" customHeight="true" outlineLevel="0" collapsed="false">
      <c r="A237" s="214" t="str">
        <f aca="false">'☆掛負収入'!A237</f>
        <v>全国市町村研修財団</v>
      </c>
      <c r="B237" s="476" t="n">
        <f aca="false">'☆掛負収入'!B237</f>
        <v>137250</v>
      </c>
      <c r="C237" s="248" t="n">
        <f aca="false">'☆掛負収入'!C237</f>
        <v>11250</v>
      </c>
      <c r="D237" s="474" t="n">
        <f aca="false">'☆掛負収入'!D237</f>
        <v>137250</v>
      </c>
      <c r="E237" s="478" t="n">
        <f aca="false">'☆掛負収入'!E237</f>
        <v>11250</v>
      </c>
      <c r="F237" s="248" t="n">
        <f aca="false">'☆掛負収入'!F237</f>
        <v>130</v>
      </c>
      <c r="G237" s="206" t="n">
        <f aca="false">SUM(B237:F237)</f>
        <v>297130</v>
      </c>
      <c r="H237" s="619" t="n">
        <f aca="false">'☆掛負収入'!H237</f>
        <v>82872</v>
      </c>
      <c r="I237" s="449" t="n">
        <f aca="false">'☆掛負収入'!I237</f>
        <v>82952</v>
      </c>
      <c r="J237" s="160" t="n">
        <f aca="false">SUM(H237:I237)</f>
        <v>165824</v>
      </c>
      <c r="K237" s="464" t="n">
        <f aca="false">'☆掛負収入'!K237</f>
        <v>12624</v>
      </c>
      <c r="L237" s="449" t="n">
        <f aca="false">'☆掛負収入'!L237</f>
        <v>12624</v>
      </c>
      <c r="M237" s="160" t="n">
        <f aca="false">SUM(K237:L237)</f>
        <v>25248</v>
      </c>
      <c r="N237" s="464" t="n">
        <f aca="false">'☆掛負収入'!N237</f>
        <v>1837</v>
      </c>
      <c r="O237" s="449" t="n">
        <f aca="false">'☆掛負収入'!O237</f>
        <v>1837</v>
      </c>
      <c r="P237" s="160" t="n">
        <f aca="false">SUM(N237:O237)</f>
        <v>3674</v>
      </c>
    </row>
    <row r="238" customFormat="false" ht="18.75" hidden="false" customHeight="true" outlineLevel="0" collapsed="false">
      <c r="A238" s="214" t="str">
        <f aca="false">'☆掛負収入'!A238</f>
        <v>都市再生機構</v>
      </c>
      <c r="B238" s="474" t="n">
        <f aca="false">'☆掛負収入'!B238</f>
        <v>97264</v>
      </c>
      <c r="C238" s="248" t="n">
        <f aca="false">'☆掛負収入'!C238</f>
        <v>7972</v>
      </c>
      <c r="D238" s="474" t="n">
        <f aca="false">'☆掛負収入'!D238</f>
        <v>97265</v>
      </c>
      <c r="E238" s="478" t="n">
        <f aca="false">'☆掛負収入'!E238</f>
        <v>7972</v>
      </c>
      <c r="F238" s="248" t="n">
        <f aca="false">'☆掛負収入'!F238</f>
        <v>92</v>
      </c>
      <c r="G238" s="206" t="n">
        <f aca="false">SUM(B238:F238)</f>
        <v>210565</v>
      </c>
      <c r="H238" s="619" t="n">
        <f aca="false">'☆掛負収入'!H238</f>
        <v>55127</v>
      </c>
      <c r="I238" s="449" t="n">
        <f aca="false">'☆掛負収入'!I238</f>
        <v>55180</v>
      </c>
      <c r="J238" s="160" t="n">
        <f aca="false">SUM(H238:I238)</f>
        <v>110307</v>
      </c>
      <c r="K238" s="464" t="n">
        <f aca="false">'☆掛負収入'!K238</f>
        <v>0</v>
      </c>
      <c r="L238" s="449" t="n">
        <f aca="false">'☆掛負収入'!L238</f>
        <v>0</v>
      </c>
      <c r="M238" s="160" t="n">
        <f aca="false">SUM(K238:L238)</f>
        <v>0</v>
      </c>
      <c r="N238" s="464" t="n">
        <f aca="false">'☆掛負収入'!N238</f>
        <v>1222</v>
      </c>
      <c r="O238" s="449" t="n">
        <f aca="false">'☆掛負収入'!O238</f>
        <v>1222</v>
      </c>
      <c r="P238" s="160" t="n">
        <f aca="false">SUM(N238:O238)</f>
        <v>2444</v>
      </c>
    </row>
    <row r="239" customFormat="false" ht="18.75" hidden="false" customHeight="true" outlineLevel="0" collapsed="false">
      <c r="A239" s="146" t="str">
        <f aca="false">'☆掛負収入'!A239</f>
        <v>広島市立大学</v>
      </c>
      <c r="B239" s="431" t="n">
        <f aca="false">'☆掛負収入'!B239</f>
        <v>2344680</v>
      </c>
      <c r="C239" s="160" t="n">
        <f aca="false">'☆掛負収入'!C239</f>
        <v>192180</v>
      </c>
      <c r="D239" s="431" t="n">
        <f aca="false">'☆掛負収入'!D239</f>
        <v>2352564</v>
      </c>
      <c r="E239" s="464" t="n">
        <f aca="false">'☆掛負収入'!E239</f>
        <v>192510</v>
      </c>
      <c r="F239" s="248" t="n">
        <f aca="false">'☆掛負収入'!F239</f>
        <v>2230</v>
      </c>
      <c r="G239" s="206" t="n">
        <f aca="false">SUM(B239:F239)</f>
        <v>5084164</v>
      </c>
      <c r="H239" s="619" t="n">
        <f aca="false">'☆掛負収入'!H239</f>
        <v>1331127</v>
      </c>
      <c r="I239" s="449" t="n">
        <f aca="false">'☆掛負収入'!I239</f>
        <v>1332425</v>
      </c>
      <c r="J239" s="160" t="n">
        <f aca="false">SUM(H239:I239)</f>
        <v>2663552</v>
      </c>
      <c r="K239" s="464" t="n">
        <f aca="false">'☆掛負収入'!K239</f>
        <v>158559</v>
      </c>
      <c r="L239" s="449" t="n">
        <f aca="false">'☆掛負収入'!L239</f>
        <v>158568</v>
      </c>
      <c r="M239" s="160" t="n">
        <f aca="false">SUM(K239:L239)</f>
        <v>317127</v>
      </c>
      <c r="N239" s="464" t="n">
        <f aca="false">'☆掛負収入'!N239</f>
        <v>29507</v>
      </c>
      <c r="O239" s="449" t="n">
        <f aca="false">'☆掛負収入'!O239</f>
        <v>29518</v>
      </c>
      <c r="P239" s="160" t="n">
        <f aca="false">SUM(N239:O239)</f>
        <v>59025</v>
      </c>
    </row>
    <row r="240" customFormat="false" ht="18.75" hidden="false" customHeight="true" outlineLevel="0" collapsed="false">
      <c r="A240" s="146" t="str">
        <f aca="false">'☆掛負収入'!A240</f>
        <v>社会福祉協議会</v>
      </c>
      <c r="B240" s="431" t="n">
        <f aca="false">'☆掛負収入'!B240</f>
        <v>0</v>
      </c>
      <c r="C240" s="160" t="n">
        <f aca="false">'☆掛負収入'!C240</f>
        <v>0</v>
      </c>
      <c r="D240" s="431" t="n">
        <f aca="false">'☆掛負収入'!D240</f>
        <v>463724</v>
      </c>
      <c r="E240" s="464" t="n">
        <f aca="false">'☆掛負収入'!E240</f>
        <v>38010</v>
      </c>
      <c r="F240" s="248" t="n">
        <f aca="false">'☆掛負収入'!F240</f>
        <v>440</v>
      </c>
      <c r="G240" s="206" t="n">
        <f aca="false">SUM(B240:F240)</f>
        <v>502174</v>
      </c>
      <c r="H240" s="619" t="n">
        <f aca="false">'☆掛負収入'!H240</f>
        <v>0</v>
      </c>
      <c r="I240" s="449" t="n">
        <f aca="false">'☆掛負収入'!I240</f>
        <v>277095</v>
      </c>
      <c r="J240" s="160" t="n">
        <f aca="false">SUM(H240:I240)</f>
        <v>277095</v>
      </c>
      <c r="K240" s="464" t="n">
        <f aca="false">'☆掛負収入'!K240</f>
        <v>0</v>
      </c>
      <c r="L240" s="449" t="n">
        <f aca="false">'☆掛負収入'!L240</f>
        <v>22649</v>
      </c>
      <c r="M240" s="160" t="n">
        <f aca="false">SUM(K240:L240)</f>
        <v>22649</v>
      </c>
      <c r="N240" s="464" t="n">
        <f aca="false">'☆掛負収入'!N240</f>
        <v>0</v>
      </c>
      <c r="O240" s="449" t="n">
        <f aca="false">'☆掛負収入'!O240</f>
        <v>6138</v>
      </c>
      <c r="P240" s="160" t="n">
        <f aca="false">SUM(N240:O240)</f>
        <v>6138</v>
      </c>
    </row>
    <row r="241" customFormat="false" ht="18.75" hidden="false" customHeight="true" outlineLevel="0" collapsed="false">
      <c r="A241" s="228" t="s">
        <v>532</v>
      </c>
      <c r="B241" s="620" t="n">
        <f aca="false">'☆掛負収入'!B243</f>
        <v>0</v>
      </c>
      <c r="C241" s="206" t="n">
        <f aca="false">'☆掛負収入'!C243</f>
        <v>0</v>
      </c>
      <c r="D241" s="620" t="n">
        <f aca="false">'☆掛負収入'!D243</f>
        <v>0</v>
      </c>
      <c r="E241" s="465" t="n">
        <f aca="false">'☆掛負収入'!E243</f>
        <v>0</v>
      </c>
      <c r="F241" s="206" t="n">
        <f aca="false">'☆掛負収入'!F243</f>
        <v>0</v>
      </c>
      <c r="G241" s="206" t="n">
        <f aca="false">SUM(B241:F241)</f>
        <v>0</v>
      </c>
      <c r="H241" s="620" t="n">
        <f aca="false">'☆掛負収入'!H243</f>
        <v>0</v>
      </c>
      <c r="I241" s="465" t="n">
        <f aca="false">'☆掛負収入'!I243</f>
        <v>0</v>
      </c>
      <c r="J241" s="160" t="n">
        <f aca="false">SUM(H241:I241)</f>
        <v>0</v>
      </c>
      <c r="K241" s="620" t="n">
        <f aca="false">'☆掛負収入'!K243</f>
        <v>0</v>
      </c>
      <c r="L241" s="465" t="n">
        <f aca="false">'☆掛負収入'!L243</f>
        <v>0</v>
      </c>
      <c r="M241" s="160" t="n">
        <f aca="false">SUM(K241:L241)</f>
        <v>0</v>
      </c>
      <c r="N241" s="620" t="n">
        <f aca="false">'☆掛負収入'!N243</f>
        <v>0</v>
      </c>
      <c r="O241" s="465" t="n">
        <f aca="false">'☆掛負収入'!O243</f>
        <v>0</v>
      </c>
      <c r="P241" s="160" t="n">
        <f aca="false">SUM(N241:O241)</f>
        <v>0</v>
      </c>
    </row>
    <row r="242" customFormat="false" ht="18.75" hidden="false" customHeight="true" outlineLevel="0" collapsed="false">
      <c r="A242" s="146" t="str">
        <f aca="false">'☆掛負収入'!A244</f>
        <v>全国市長会</v>
      </c>
      <c r="B242" s="620" t="n">
        <f aca="false">'☆掛負収入'!B244</f>
        <v>274500</v>
      </c>
      <c r="C242" s="206" t="n">
        <f aca="false">'☆掛負収入'!C244</f>
        <v>22500</v>
      </c>
      <c r="D242" s="620" t="n">
        <f aca="false">'☆掛負収入'!D244</f>
        <v>274500</v>
      </c>
      <c r="E242" s="465" t="n">
        <f aca="false">'☆掛負収入'!E244</f>
        <v>22500</v>
      </c>
      <c r="F242" s="206" t="n">
        <f aca="false">'☆掛負収入'!F244</f>
        <v>260</v>
      </c>
      <c r="G242" s="206" t="n">
        <f aca="false">SUM(B242:F242)</f>
        <v>594260</v>
      </c>
      <c r="H242" s="620" t="n">
        <f aca="false">'☆掛負収入'!H244</f>
        <v>207958</v>
      </c>
      <c r="I242" s="465" t="n">
        <f aca="false">'☆掛負収入'!I244</f>
        <v>208159</v>
      </c>
      <c r="J242" s="160" t="n">
        <f aca="false">SUM(H242:I242)</f>
        <v>416117</v>
      </c>
      <c r="K242" s="620" t="n">
        <f aca="false">'☆掛負収入'!K244</f>
        <v>31678</v>
      </c>
      <c r="L242" s="465" t="n">
        <f aca="false">'☆掛負収入'!L244</f>
        <v>31679</v>
      </c>
      <c r="M242" s="160" t="n">
        <f aca="false">SUM(K242:L242)</f>
        <v>63357</v>
      </c>
      <c r="N242" s="620" t="n">
        <f aca="false">'☆掛負収入'!N244</f>
        <v>4610</v>
      </c>
      <c r="O242" s="465" t="n">
        <f aca="false">'☆掛負収入'!O244</f>
        <v>4611</v>
      </c>
      <c r="P242" s="160" t="n">
        <f aca="false">SUM(N242:O242)</f>
        <v>9221</v>
      </c>
    </row>
    <row r="243" customFormat="false" ht="18.75" hidden="false" customHeight="true" outlineLevel="0" collapsed="false">
      <c r="A243" s="233"/>
      <c r="B243" s="431"/>
      <c r="C243" s="418"/>
      <c r="D243" s="431"/>
      <c r="E243" s="464"/>
      <c r="F243" s="160"/>
      <c r="G243" s="206"/>
      <c r="H243" s="619"/>
      <c r="I243" s="449"/>
      <c r="J243" s="160"/>
      <c r="K243" s="464"/>
      <c r="L243" s="449"/>
      <c r="M243" s="160"/>
      <c r="N243" s="464"/>
      <c r="O243" s="449"/>
      <c r="P243" s="160"/>
    </row>
    <row r="244" customFormat="false" ht="18.75" hidden="false" customHeight="true" outlineLevel="0" collapsed="false">
      <c r="A244" s="233"/>
      <c r="B244" s="620"/>
      <c r="C244" s="391"/>
      <c r="D244" s="620"/>
      <c r="E244" s="621"/>
      <c r="F244" s="418"/>
      <c r="G244" s="206"/>
      <c r="H244" s="620"/>
      <c r="I244" s="465"/>
      <c r="J244" s="160"/>
      <c r="K244" s="621"/>
      <c r="L244" s="465"/>
      <c r="M244" s="160"/>
      <c r="N244" s="621"/>
      <c r="O244" s="465"/>
      <c r="P244" s="160"/>
    </row>
    <row r="245" customFormat="false" ht="18.75" hidden="false" customHeight="true" outlineLevel="0" collapsed="false">
      <c r="A245" s="217"/>
      <c r="B245" s="431"/>
      <c r="C245" s="206"/>
      <c r="D245" s="431"/>
      <c r="E245" s="617"/>
      <c r="F245" s="160"/>
      <c r="G245" s="206"/>
      <c r="H245" s="431"/>
      <c r="I245" s="644"/>
      <c r="J245" s="160"/>
      <c r="K245" s="617"/>
      <c r="L245" s="644"/>
      <c r="M245" s="160"/>
      <c r="N245" s="617"/>
      <c r="O245" s="644"/>
      <c r="P245" s="160"/>
    </row>
    <row r="246" customFormat="false" ht="18.75" hidden="false" customHeight="true" outlineLevel="0" collapsed="false">
      <c r="A246" s="217"/>
      <c r="B246" s="620"/>
      <c r="C246" s="418"/>
      <c r="D246" s="620"/>
      <c r="E246" s="465"/>
      <c r="F246" s="418"/>
      <c r="G246" s="391"/>
      <c r="H246" s="431"/>
      <c r="I246" s="465"/>
      <c r="J246" s="160"/>
      <c r="K246" s="621"/>
      <c r="L246" s="465"/>
      <c r="M246" s="160"/>
      <c r="N246" s="621"/>
      <c r="O246" s="465"/>
      <c r="P246" s="160"/>
    </row>
    <row r="247" customFormat="false" ht="18.75" hidden="false" customHeight="true" outlineLevel="0" collapsed="false">
      <c r="A247" s="630"/>
      <c r="B247" s="524"/>
      <c r="C247" s="296"/>
      <c r="D247" s="524"/>
      <c r="E247" s="525"/>
      <c r="F247" s="296"/>
      <c r="G247" s="646"/>
      <c r="H247" s="647"/>
      <c r="I247" s="648"/>
      <c r="J247" s="648" t="n">
        <f aca="false">SUM(H247:I247)</f>
        <v>0</v>
      </c>
      <c r="K247" s="647"/>
      <c r="L247" s="648"/>
      <c r="M247" s="715" t="n">
        <f aca="false">SUM(K247:L247)</f>
        <v>0</v>
      </c>
      <c r="N247" s="647"/>
      <c r="O247" s="648"/>
      <c r="P247" s="715" t="n">
        <f aca="false">SUM(N247:O247)</f>
        <v>0</v>
      </c>
    </row>
    <row r="248" customFormat="false" ht="18.75" hidden="false" customHeight="true" outlineLevel="0" collapsed="false">
      <c r="A248" s="196" t="str">
        <f aca="false">'☆掛負収入'!A248</f>
        <v>小　計</v>
      </c>
      <c r="B248" s="429" t="n">
        <f aca="false">SUM(B218:B247)</f>
        <v>5306436</v>
      </c>
      <c r="C248" s="200" t="n">
        <f aca="false">SUM(C218:C247)</f>
        <v>434940</v>
      </c>
      <c r="D248" s="429" t="n">
        <f aca="false">SUM(D218:D247)</f>
        <v>17475349</v>
      </c>
      <c r="E248" s="301" t="n">
        <f aca="false">SUM(E218:E247)</f>
        <v>1432069</v>
      </c>
      <c r="F248" s="200" t="n">
        <f aca="false">SUM(F218:F247)</f>
        <v>16870</v>
      </c>
      <c r="G248" s="201" t="n">
        <f aca="false">SUM(B248:F248)</f>
        <v>24665664</v>
      </c>
      <c r="H248" s="429" t="n">
        <f aca="false">SUM(H218:H247)</f>
        <v>3067230</v>
      </c>
      <c r="I248" s="199" t="n">
        <f aca="false">SUM(I218:I247)</f>
        <v>10043644</v>
      </c>
      <c r="J248" s="200" t="n">
        <f aca="false">SUM(H248:I248)</f>
        <v>13110874</v>
      </c>
      <c r="K248" s="429" t="n">
        <f aca="false">SUM(K218:K247)</f>
        <v>336856</v>
      </c>
      <c r="L248" s="199" t="n">
        <f aca="false">SUM(L218:L247)</f>
        <v>1173120</v>
      </c>
      <c r="M248" s="201" t="n">
        <f aca="false">SUM(K248:L248)</f>
        <v>1509976</v>
      </c>
      <c r="N248" s="429" t="n">
        <f aca="false">SUM(N218:N247)</f>
        <v>67990</v>
      </c>
      <c r="O248" s="199" t="n">
        <f aca="false">SUM(O218:O247)</f>
        <v>222477</v>
      </c>
      <c r="P248" s="201" t="n">
        <f aca="false">SUM(N248:O248)</f>
        <v>290467</v>
      </c>
    </row>
    <row r="249" customFormat="false" ht="18.75" hidden="true" customHeight="true" outlineLevel="0" collapsed="false">
      <c r="A249" s="629"/>
      <c r="B249" s="647"/>
      <c r="C249" s="278"/>
      <c r="D249" s="648"/>
      <c r="E249" s="649"/>
      <c r="F249" s="650"/>
      <c r="G249" s="651"/>
      <c r="H249" s="652"/>
      <c r="I249" s="653"/>
      <c r="J249" s="654"/>
      <c r="K249" s="655"/>
      <c r="L249" s="656"/>
      <c r="M249" s="657"/>
      <c r="N249" s="655"/>
      <c r="O249" s="656"/>
      <c r="P249" s="657"/>
    </row>
    <row r="250" customFormat="false" ht="18.75" hidden="true" customHeight="true" outlineLevel="0" collapsed="false">
      <c r="A250" s="658"/>
      <c r="B250" s="631"/>
      <c r="C250" s="633"/>
      <c r="D250" s="648"/>
      <c r="E250" s="649"/>
      <c r="F250" s="278"/>
      <c r="G250" s="646"/>
      <c r="H250" s="659"/>
      <c r="I250" s="660"/>
      <c r="J250" s="408"/>
      <c r="K250" s="661"/>
      <c r="L250" s="662"/>
      <c r="M250" s="663"/>
      <c r="N250" s="661"/>
      <c r="O250" s="662"/>
      <c r="P250" s="663"/>
    </row>
    <row r="251" customFormat="false" ht="18.75" hidden="false" customHeight="true" outlineLevel="0" collapsed="false">
      <c r="A251" s="214" t="str">
        <f aca="false">'☆掛負収入'!A251</f>
        <v>高速交通（株）</v>
      </c>
      <c r="B251" s="489" t="n">
        <f aca="false">'☆掛負収入'!B251</f>
        <v>305244</v>
      </c>
      <c r="C251" s="491" t="n">
        <f aca="false">'☆掛負収入'!C251</f>
        <v>25020</v>
      </c>
      <c r="D251" s="469" t="n">
        <f aca="false">'☆掛負収入'!D251</f>
        <v>305244</v>
      </c>
      <c r="E251" s="472" t="n">
        <f aca="false">'☆掛負収入'!E251</f>
        <v>25020</v>
      </c>
      <c r="F251" s="471" t="n">
        <f aca="false">'☆掛負収入'!F251</f>
        <v>289</v>
      </c>
      <c r="G251" s="391" t="n">
        <f aca="false">SUM(B251:F251)</f>
        <v>660817</v>
      </c>
      <c r="H251" s="665"/>
      <c r="I251" s="665"/>
      <c r="J251" s="665"/>
      <c r="K251" s="665"/>
      <c r="L251" s="665"/>
      <c r="M251" s="665"/>
      <c r="N251" s="665"/>
      <c r="O251" s="665"/>
      <c r="P251" s="665"/>
    </row>
    <row r="252" customFormat="false" ht="18.75" hidden="false" customHeight="true" outlineLevel="0" collapsed="false">
      <c r="A252" s="666" t="s">
        <v>209</v>
      </c>
      <c r="B252" s="667" t="n">
        <f aca="false">'☆掛負収入'!B252</f>
        <v>120871</v>
      </c>
      <c r="C252" s="692" t="n">
        <f aca="false">'☆掛負収入'!C252</f>
        <v>9907</v>
      </c>
      <c r="D252" s="667" t="n">
        <f aca="false">'☆掛負収入'!D252</f>
        <v>120872</v>
      </c>
      <c r="E252" s="492" t="n">
        <f aca="false">'☆掛負収入'!E252</f>
        <v>9907</v>
      </c>
      <c r="F252" s="719" t="n">
        <f aca="false">'☆掛負収入'!F252</f>
        <v>114</v>
      </c>
      <c r="G252" s="391" t="n">
        <f aca="false">SUM(B252:F252)</f>
        <v>261671</v>
      </c>
      <c r="H252" s="665"/>
      <c r="I252" s="665"/>
      <c r="J252" s="665"/>
      <c r="K252" s="665"/>
      <c r="L252" s="665"/>
      <c r="M252" s="665"/>
      <c r="N252" s="665"/>
      <c r="O252" s="665"/>
      <c r="P252" s="665"/>
    </row>
    <row r="253" customFormat="false" ht="18.75" hidden="false" customHeight="true" outlineLevel="0" collapsed="false">
      <c r="A253" s="196" t="str">
        <f aca="false">'☆掛負収入'!A253</f>
        <v>小　計</v>
      </c>
      <c r="B253" s="197" t="n">
        <f aca="false">SUM(B251:B252)</f>
        <v>426115</v>
      </c>
      <c r="C253" s="200" t="n">
        <f aca="false">SUM(C249:C252)</f>
        <v>34927</v>
      </c>
      <c r="D253" s="681" t="n">
        <f aca="false">SUM(D249:D252)</f>
        <v>426116</v>
      </c>
      <c r="E253" s="199" t="n">
        <f aca="false">SUM(E249:E252)</f>
        <v>34927</v>
      </c>
      <c r="F253" s="200" t="n">
        <f aca="false">SUM(F249:F252)</f>
        <v>403</v>
      </c>
      <c r="G253" s="201" t="n">
        <f aca="false">SUM(B253:F253)</f>
        <v>922488</v>
      </c>
      <c r="H253" s="665"/>
      <c r="I253" s="665"/>
      <c r="J253" s="665"/>
      <c r="K253" s="665"/>
      <c r="L253" s="665"/>
      <c r="M253" s="665"/>
      <c r="N253" s="665"/>
      <c r="O253" s="665"/>
      <c r="P253" s="665"/>
    </row>
    <row r="254" customFormat="false" ht="18.75" hidden="false" customHeight="true" outlineLevel="0" collapsed="false">
      <c r="A254" s="125" t="str">
        <f aca="false">'☆掛負収入'!A254</f>
        <v>市職員労働組合</v>
      </c>
      <c r="B254" s="474" t="n">
        <f aca="false">'☆掛負収入'!B254</f>
        <v>31384</v>
      </c>
      <c r="C254" s="248" t="n">
        <f aca="false">'☆掛負収入'!C254</f>
        <v>2572</v>
      </c>
      <c r="D254" s="470" t="n">
        <f aca="false">'☆掛負収入'!D254</f>
        <v>31385</v>
      </c>
      <c r="E254" s="488" t="n">
        <f aca="false">'☆掛負収入'!E254</f>
        <v>2572</v>
      </c>
      <c r="F254" s="221"/>
      <c r="G254" s="206" t="n">
        <f aca="false">SUM(B254:F254)</f>
        <v>67913</v>
      </c>
      <c r="H254" s="619" t="n">
        <f aca="false">'☆掛負収入'!H254</f>
        <v>17787</v>
      </c>
      <c r="I254" s="449" t="n">
        <f aca="false">'☆掛負収入'!I254</f>
        <v>17805</v>
      </c>
      <c r="J254" s="160" t="n">
        <f aca="false">SUM(H254:I254)</f>
        <v>35592</v>
      </c>
      <c r="K254" s="476" t="n">
        <f aca="false">'☆掛負収入'!K254</f>
        <v>2709</v>
      </c>
      <c r="L254" s="487" t="n">
        <f aca="false">'☆掛負収入'!L254</f>
        <v>2709</v>
      </c>
      <c r="M254" s="471" t="n">
        <f aca="false">SUM(K254:L254)</f>
        <v>5418</v>
      </c>
      <c r="N254" s="476" t="n">
        <f aca="false">'☆掛負収入'!N254</f>
        <v>394</v>
      </c>
      <c r="O254" s="487" t="n">
        <f aca="false">'☆掛負収入'!O254</f>
        <v>394</v>
      </c>
      <c r="P254" s="471" t="n">
        <f aca="false">SUM(N254:O254)</f>
        <v>788</v>
      </c>
    </row>
    <row r="255" customFormat="false" ht="18.75" hidden="false" customHeight="true" outlineLevel="0" collapsed="false">
      <c r="A255" s="125" t="str">
        <f aca="false">'☆掛負収入'!A255</f>
        <v>自治労労働組合</v>
      </c>
      <c r="B255" s="474" t="n">
        <f aca="false">'☆掛負収入'!B255</f>
        <v>0</v>
      </c>
      <c r="C255" s="402" t="n">
        <f aca="false">'☆掛負収入'!C255</f>
        <v>0</v>
      </c>
      <c r="D255" s="474" t="n">
        <f aca="false">'☆掛負収入'!D255</f>
        <v>0</v>
      </c>
      <c r="E255" s="488" t="n">
        <f aca="false">'☆掛負収入'!E255</f>
        <v>0</v>
      </c>
      <c r="F255" s="221"/>
      <c r="G255" s="206" t="n">
        <f aca="false">SUM(B255:F255)</f>
        <v>0</v>
      </c>
      <c r="H255" s="619" t="n">
        <f aca="false">'☆掛負収入'!H255</f>
        <v>0</v>
      </c>
      <c r="I255" s="449" t="n">
        <f aca="false">'☆掛負収入'!I255</f>
        <v>0</v>
      </c>
      <c r="J255" s="160" t="n">
        <f aca="false">SUM(H255:I255)</f>
        <v>0</v>
      </c>
      <c r="K255" s="619" t="n">
        <f aca="false">'☆掛負収入'!K255</f>
        <v>0</v>
      </c>
      <c r="L255" s="449" t="n">
        <f aca="false">'☆掛負収入'!L255</f>
        <v>0</v>
      </c>
      <c r="M255" s="160" t="n">
        <f aca="false">SUM(K255:L255)</f>
        <v>0</v>
      </c>
      <c r="N255" s="619" t="n">
        <f aca="false">'☆掛負収入'!N255</f>
        <v>0</v>
      </c>
      <c r="O255" s="449" t="n">
        <f aca="false">'☆掛負収入'!O255</f>
        <v>0</v>
      </c>
      <c r="P255" s="160" t="n">
        <f aca="false">SUM(N255:O255)</f>
        <v>0</v>
      </c>
    </row>
    <row r="256" customFormat="false" ht="18.75" hidden="false" customHeight="true" outlineLevel="0" collapsed="false">
      <c r="A256" s="125" t="str">
        <f aca="false">'☆掛負収入'!A256</f>
        <v>病院労働組合</v>
      </c>
      <c r="B256" s="431"/>
      <c r="C256" s="206"/>
      <c r="D256" s="431"/>
      <c r="E256" s="644"/>
      <c r="F256" s="221"/>
      <c r="G256" s="206" t="n">
        <f aca="false">SUM(B256:F256)</f>
        <v>0</v>
      </c>
      <c r="H256" s="619"/>
      <c r="I256" s="449"/>
      <c r="J256" s="160" t="n">
        <f aca="false">SUM(H256:I256)</f>
        <v>0</v>
      </c>
      <c r="K256" s="619"/>
      <c r="L256" s="449"/>
      <c r="M256" s="160" t="n">
        <f aca="false">SUM(K256:L256)</f>
        <v>0</v>
      </c>
      <c r="N256" s="619"/>
      <c r="O256" s="449"/>
      <c r="P256" s="160" t="n">
        <f aca="false">SUM(N256:O256)</f>
        <v>0</v>
      </c>
    </row>
    <row r="257" customFormat="false" ht="18.75" hidden="false" customHeight="true" outlineLevel="0" collapsed="false">
      <c r="A257" s="302" t="str">
        <f aca="false">'☆掛負収入'!A257</f>
        <v>水道労働組合</v>
      </c>
      <c r="B257" s="673"/>
      <c r="C257" s="444"/>
      <c r="D257" s="673"/>
      <c r="E257" s="623"/>
      <c r="F257" s="296"/>
      <c r="G257" s="206" t="n">
        <f aca="false">SUM(B257:F257)</f>
        <v>0</v>
      </c>
      <c r="H257" s="674"/>
      <c r="I257" s="675"/>
      <c r="J257" s="160" t="n">
        <f aca="false">SUM(H257:I257)</f>
        <v>0</v>
      </c>
      <c r="K257" s="676"/>
      <c r="L257" s="677"/>
      <c r="M257" s="160" t="n">
        <f aca="false">SUM(K257:L257)</f>
        <v>0</v>
      </c>
      <c r="N257" s="676"/>
      <c r="O257" s="677"/>
      <c r="P257" s="160" t="n">
        <f aca="false">SUM(N257:O257)</f>
        <v>0</v>
      </c>
    </row>
    <row r="258" customFormat="false" ht="18.75" hidden="false" customHeight="true" outlineLevel="0" collapsed="false">
      <c r="A258" s="196" t="str">
        <f aca="false">'☆掛負収入'!A258</f>
        <v>小　計</v>
      </c>
      <c r="B258" s="429" t="n">
        <f aca="false">SUM(B254:B257)</f>
        <v>31384</v>
      </c>
      <c r="C258" s="200" t="n">
        <f aca="false">SUM(C254:C257)</f>
        <v>2572</v>
      </c>
      <c r="D258" s="429" t="n">
        <f aca="false">SUM(D254:D257)</f>
        <v>31385</v>
      </c>
      <c r="E258" s="199" t="n">
        <f aca="false">SUM(E254:E257)</f>
        <v>2572</v>
      </c>
      <c r="F258" s="198" t="n">
        <f aca="false">SUM(F254:F257)</f>
        <v>0</v>
      </c>
      <c r="G258" s="197" t="n">
        <f aca="false">SUM(B258:F258)</f>
        <v>67913</v>
      </c>
      <c r="H258" s="429" t="n">
        <f aca="false">SUM(H254:H257)</f>
        <v>17787</v>
      </c>
      <c r="I258" s="199" t="n">
        <f aca="false">SUM(I254:I257)</f>
        <v>17805</v>
      </c>
      <c r="J258" s="200" t="n">
        <f aca="false">SUM(H258:I258)</f>
        <v>35592</v>
      </c>
      <c r="K258" s="197" t="n">
        <f aca="false">SUM(K254:K257)</f>
        <v>2709</v>
      </c>
      <c r="L258" s="198" t="n">
        <f aca="false">SUM(L254:L257)</f>
        <v>2709</v>
      </c>
      <c r="M258" s="200" t="n">
        <f aca="false">SUM(K258:L258)</f>
        <v>5418</v>
      </c>
      <c r="N258" s="197" t="n">
        <f aca="false">SUM(N254:N257)</f>
        <v>394</v>
      </c>
      <c r="O258" s="198" t="n">
        <f aca="false">SUM(O254:O257)</f>
        <v>394</v>
      </c>
      <c r="P258" s="200" t="n">
        <f aca="false">SUM(N258:O258)</f>
        <v>788</v>
      </c>
    </row>
    <row r="259" customFormat="false" ht="18.75" hidden="false" customHeight="true" outlineLevel="0" collapsed="false">
      <c r="A259" s="302" t="str">
        <f aca="false">'☆掛負収入'!A259</f>
        <v>任意継続組合員</v>
      </c>
      <c r="B259" s="281"/>
      <c r="C259" s="523"/>
      <c r="D259" s="524"/>
      <c r="E259" s="525"/>
      <c r="F259" s="296"/>
      <c r="G259" s="293"/>
      <c r="H259" s="678"/>
      <c r="I259" s="282"/>
      <c r="J259" s="283"/>
      <c r="K259" s="524"/>
      <c r="L259" s="679"/>
      <c r="M259" s="292"/>
      <c r="N259" s="524"/>
      <c r="O259" s="679"/>
      <c r="P259" s="292"/>
    </row>
    <row r="260" customFormat="false" ht="30" hidden="false" customHeight="true" outlineLevel="0" collapsed="false">
      <c r="A260" s="680" t="str">
        <f aca="false">'☆掛負収入'!A260</f>
        <v>総　　計</v>
      </c>
      <c r="B260" s="429" t="n">
        <f aca="false">SUM(B217+B248+B253+B258)</f>
        <v>5763935</v>
      </c>
      <c r="C260" s="200" t="n">
        <f aca="false">SUM(C217+C248+C253+C258)</f>
        <v>472439</v>
      </c>
      <c r="D260" s="681" t="n">
        <f aca="false">SUM(D217+D248+D253+D258)</f>
        <v>17932850</v>
      </c>
      <c r="E260" s="199" t="n">
        <f aca="false">SUM(E217+E248+E253+E258)</f>
        <v>1469568</v>
      </c>
      <c r="F260" s="201" t="n">
        <f aca="false">SUM(F217+F248+F253+F258)</f>
        <v>17273</v>
      </c>
      <c r="G260" s="197" t="n">
        <f aca="false">SUM(B260:F260)</f>
        <v>25656065</v>
      </c>
      <c r="H260" s="429" t="n">
        <f aca="false">SUM(H217+H248+H253+H258+H259)</f>
        <v>3085017</v>
      </c>
      <c r="I260" s="199" t="n">
        <f aca="false">SUM(I217+I248+I253+I258+I259)</f>
        <v>10061449</v>
      </c>
      <c r="J260" s="200" t="n">
        <f aca="false">SUM(H260:I260)</f>
        <v>13146466</v>
      </c>
      <c r="K260" s="197" t="n">
        <f aca="false">K217+K248+K253+K258+K259</f>
        <v>339565</v>
      </c>
      <c r="L260" s="198" t="n">
        <f aca="false">L217+L248+L253+L258</f>
        <v>1175829</v>
      </c>
      <c r="M260" s="200" t="n">
        <f aca="false">SUM(K260:L260)</f>
        <v>1515394</v>
      </c>
      <c r="N260" s="197" t="n">
        <f aca="false">N217+N248+N253+N258+N259</f>
        <v>68384</v>
      </c>
      <c r="O260" s="198" t="n">
        <f aca="false">O217+O248+O253+O258</f>
        <v>222871</v>
      </c>
      <c r="P260" s="200" t="n">
        <f aca="false">SUM(N260:O260)</f>
        <v>291255</v>
      </c>
    </row>
    <row r="261" customFormat="false" ht="18.75" hidden="false" customHeight="true" outlineLevel="0" collapsed="false">
      <c r="A261" s="340"/>
      <c r="B261" s="341"/>
      <c r="C261" s="341"/>
      <c r="D261" s="341"/>
      <c r="E261" s="341"/>
      <c r="F261" s="341"/>
      <c r="G261" s="341"/>
      <c r="H261" s="341"/>
      <c r="I261" s="341"/>
      <c r="J261" s="341"/>
      <c r="K261" s="341"/>
      <c r="L261" s="341"/>
      <c r="M261" s="341"/>
      <c r="N261" s="341"/>
      <c r="O261" s="341"/>
      <c r="P261" s="341"/>
    </row>
    <row r="262" customFormat="false" ht="30" hidden="false" customHeight="true" outlineLevel="0" collapsed="false">
      <c r="A262" s="320"/>
      <c r="B262" s="416" t="n">
        <f aca="false">'☆掛負収入'!B262</f>
        <v>46234</v>
      </c>
      <c r="C262" s="416" t="n">
        <f aca="false">'☆掛負収入'!C262</f>
        <v>0</v>
      </c>
      <c r="D262" s="416" t="n">
        <f aca="false">'☆掛負収入'!D262</f>
        <v>0</v>
      </c>
      <c r="E262" s="416" t="n">
        <f aca="false">'☆掛負収入'!E262</f>
        <v>0</v>
      </c>
      <c r="F262" s="416" t="n">
        <f aca="false">'☆掛負収入'!F262</f>
        <v>0</v>
      </c>
      <c r="G262" s="416" t="n">
        <f aca="false">'☆掛負収入'!G262</f>
        <v>0</v>
      </c>
      <c r="H262" s="416" t="n">
        <f aca="false">'☆掛負収入'!H262</f>
        <v>46234</v>
      </c>
      <c r="I262" s="416" t="n">
        <f aca="false">'☆掛負収入'!I262</f>
        <v>0</v>
      </c>
      <c r="J262" s="416" t="n">
        <f aca="false">'☆掛負収入'!J262</f>
        <v>0</v>
      </c>
      <c r="K262" s="416" t="n">
        <f aca="false">'☆掛負収入'!K262</f>
        <v>46234</v>
      </c>
      <c r="L262" s="416" t="n">
        <f aca="false">'☆掛負収入'!L262</f>
        <v>0</v>
      </c>
      <c r="M262" s="416" t="n">
        <f aca="false">'☆掛負収入'!M262</f>
        <v>0</v>
      </c>
      <c r="N262" s="416" t="n">
        <f aca="false">'☆掛負収入'!N262</f>
        <v>46234</v>
      </c>
      <c r="O262" s="416" t="n">
        <f aca="false">'☆掛負収入'!O262</f>
        <v>0</v>
      </c>
      <c r="P262" s="416" t="n">
        <f aca="false">'☆掛負収入'!P262</f>
        <v>0</v>
      </c>
    </row>
    <row r="263" customFormat="false" ht="22.5" hidden="false" customHeight="true" outlineLevel="0" collapsed="false">
      <c r="A263" s="114" t="str">
        <f aca="false">'☆掛負収入'!A263</f>
        <v>区　　分</v>
      </c>
      <c r="B263" s="114" t="str">
        <f aca="false">'☆掛負収入'!B263</f>
        <v>長　期　経　理</v>
      </c>
      <c r="C263" s="114" t="n">
        <f aca="false">'☆掛負収入'!C263</f>
        <v>0</v>
      </c>
      <c r="D263" s="114" t="n">
        <f aca="false">'☆掛負収入'!D263</f>
        <v>0</v>
      </c>
      <c r="E263" s="114" t="n">
        <f aca="false">'☆掛負収入'!E263</f>
        <v>0</v>
      </c>
      <c r="F263" s="114" t="n">
        <f aca="false">'☆掛負収入'!F263</f>
        <v>0</v>
      </c>
      <c r="G263" s="114" t="n">
        <f aca="false">'☆掛負収入'!G263</f>
        <v>0</v>
      </c>
      <c r="H263" s="116" t="str">
        <f aca="false">'☆掛負収入'!H263</f>
        <v>短　期　経　理</v>
      </c>
      <c r="I263" s="116" t="n">
        <f aca="false">'☆掛負収入'!I263</f>
        <v>0</v>
      </c>
      <c r="J263" s="116" t="n">
        <f aca="false">'☆掛負収入'!J263</f>
        <v>0</v>
      </c>
      <c r="K263" s="116" t="str">
        <f aca="false">'☆掛負収入'!K263</f>
        <v>介　護　納　付　金</v>
      </c>
      <c r="L263" s="116" t="n">
        <f aca="false">'☆掛負収入'!L263</f>
        <v>0</v>
      </c>
      <c r="M263" s="116" t="n">
        <f aca="false">'☆掛負収入'!M263</f>
        <v>0</v>
      </c>
      <c r="N263" s="116" t="str">
        <f aca="false">'☆掛負収入'!N263</f>
        <v>子ども・子育て支援納付金</v>
      </c>
      <c r="O263" s="116" t="n">
        <f aca="false">'☆掛負収入'!O263</f>
        <v>0</v>
      </c>
      <c r="P263" s="116" t="n">
        <f aca="false">'☆掛負収入'!P263</f>
        <v>0</v>
      </c>
    </row>
    <row r="264" customFormat="false" ht="22.5" hidden="false" customHeight="true" outlineLevel="0" collapsed="false">
      <c r="A264" s="114" t="n">
        <f aca="false">'☆掛負収入'!A264</f>
        <v>0</v>
      </c>
      <c r="B264" s="117" t="str">
        <f aca="false">'☆掛負収入'!B264</f>
        <v>組合員負担分</v>
      </c>
      <c r="C264" s="117" t="n">
        <f aca="false">'☆掛負収入'!C264</f>
        <v>0</v>
      </c>
      <c r="D264" s="117" t="str">
        <f aca="false">'☆掛負収入'!D264</f>
        <v>事業主負担分</v>
      </c>
      <c r="E264" s="117" t="n">
        <f aca="false">'☆掛負収入'!E264</f>
        <v>0</v>
      </c>
      <c r="F264" s="117" t="n">
        <f aca="false">'☆掛負収入'!F264</f>
        <v>0</v>
      </c>
      <c r="G264" s="611" t="str">
        <f aca="false">'☆掛負収入'!G264</f>
        <v>計</v>
      </c>
      <c r="H264" s="121" t="str">
        <f aca="false">'☆掛負収入'!H264</f>
        <v>掛　金</v>
      </c>
      <c r="I264" s="119" t="str">
        <f aca="false">'☆掛負収入'!I264</f>
        <v>負担金</v>
      </c>
      <c r="J264" s="120" t="str">
        <f aca="false">'☆掛負収入'!J264</f>
        <v>計</v>
      </c>
      <c r="K264" s="121" t="str">
        <f aca="false">'☆掛負収入'!K264</f>
        <v>掛　金</v>
      </c>
      <c r="L264" s="119" t="str">
        <f aca="false">'☆掛負収入'!L264</f>
        <v>負担金</v>
      </c>
      <c r="M264" s="120" t="str">
        <f aca="false">'☆掛負収入'!M264</f>
        <v>計</v>
      </c>
      <c r="N264" s="121" t="str">
        <f aca="false">'☆掛負収入'!N264</f>
        <v>掛　金</v>
      </c>
      <c r="O264" s="119" t="str">
        <f aca="false">'☆掛負収入'!O264</f>
        <v>負担金</v>
      </c>
      <c r="P264" s="120" t="str">
        <f aca="false">'☆掛負収入'!P264</f>
        <v>計</v>
      </c>
    </row>
    <row r="265" customFormat="false" ht="22.5" hidden="false" customHeight="true" outlineLevel="0" collapsed="false">
      <c r="A265" s="114" t="n">
        <f aca="false">'☆掛負収入'!A265</f>
        <v>0</v>
      </c>
      <c r="B265" s="612" t="str">
        <f aca="false">'☆掛負収入'!B265</f>
        <v>厚生年金保険料</v>
      </c>
      <c r="C265" s="613" t="str">
        <f aca="false">'☆掛負収入'!C265</f>
        <v>退職等年金掛金</v>
      </c>
      <c r="D265" s="614" t="str">
        <f aca="false">'☆掛負収入'!D265</f>
        <v>厚生年金保険料</v>
      </c>
      <c r="E265" s="614" t="str">
        <f aca="false">'☆掛負収入'!E265</f>
        <v>退職等年金負担金</v>
      </c>
      <c r="F265" s="615" t="str">
        <f aca="false">'☆掛負収入'!F265</f>
        <v>経過的長期</v>
      </c>
      <c r="G265" s="611" t="n">
        <f aca="false">'☆掛負収入'!G265</f>
        <v>0</v>
      </c>
      <c r="H265" s="121" t="n">
        <f aca="false">'☆掛負収入'!H265</f>
        <v>0</v>
      </c>
      <c r="I265" s="119" t="n">
        <f aca="false">'☆掛負収入'!I265</f>
        <v>0</v>
      </c>
      <c r="J265" s="120" t="n">
        <f aca="false">'☆掛負収入'!J265</f>
        <v>0</v>
      </c>
      <c r="K265" s="121" t="n">
        <f aca="false">'☆掛負収入'!K265</f>
        <v>0</v>
      </c>
      <c r="L265" s="119" t="n">
        <f aca="false">'☆掛負収入'!L265</f>
        <v>0</v>
      </c>
      <c r="M265" s="120" t="n">
        <f aca="false">'☆掛負収入'!M265</f>
        <v>0</v>
      </c>
      <c r="N265" s="121" t="n">
        <f aca="false">'☆掛負収入'!N265</f>
        <v>0</v>
      </c>
      <c r="O265" s="119" t="n">
        <f aca="false">'☆掛負収入'!O265</f>
        <v>0</v>
      </c>
      <c r="P265" s="120" t="n">
        <f aca="false">'☆掛負収入'!P265</f>
        <v>0</v>
      </c>
    </row>
    <row r="266" customFormat="false" ht="18.75" hidden="false" customHeight="true" outlineLevel="0" collapsed="false">
      <c r="A266" s="125" t="str">
        <f aca="false">'☆掛負収入'!A266</f>
        <v>市長部局</v>
      </c>
      <c r="B266" s="616"/>
      <c r="C266" s="389"/>
      <c r="D266" s="617"/>
      <c r="E266" s="617"/>
      <c r="F266" s="209"/>
      <c r="G266" s="389"/>
      <c r="H266" s="616"/>
      <c r="I266" s="618"/>
      <c r="J266" s="206"/>
      <c r="K266" s="619"/>
      <c r="L266" s="618"/>
      <c r="M266" s="206"/>
      <c r="N266" s="619"/>
      <c r="O266" s="618"/>
      <c r="P266" s="206"/>
    </row>
    <row r="267" customFormat="false" ht="18.75" hidden="false" customHeight="true" outlineLevel="0" collapsed="false">
      <c r="A267" s="125" t="str">
        <f aca="false">'☆掛負収入'!A267</f>
        <v>下水道局</v>
      </c>
      <c r="B267" s="431"/>
      <c r="C267" s="206"/>
      <c r="D267" s="617"/>
      <c r="E267" s="617"/>
      <c r="F267" s="160"/>
      <c r="G267" s="206"/>
      <c r="H267" s="619"/>
      <c r="I267" s="449"/>
      <c r="J267" s="160"/>
      <c r="K267" s="620"/>
      <c r="L267" s="621"/>
      <c r="M267" s="160"/>
      <c r="N267" s="620"/>
      <c r="O267" s="621"/>
      <c r="P267" s="160"/>
    </row>
    <row r="268" customFormat="false" ht="18.75" hidden="false" customHeight="true" outlineLevel="0" collapsed="false">
      <c r="A268" s="125" t="str">
        <f aca="false">'☆掛負収入'!A268</f>
        <v>消防局</v>
      </c>
      <c r="B268" s="431"/>
      <c r="C268" s="206"/>
      <c r="D268" s="617"/>
      <c r="E268" s="617"/>
      <c r="F268" s="160"/>
      <c r="G268" s="206"/>
      <c r="H268" s="620"/>
      <c r="I268" s="464"/>
      <c r="J268" s="160"/>
      <c r="K268" s="620"/>
      <c r="L268" s="464"/>
      <c r="M268" s="160"/>
      <c r="N268" s="620"/>
      <c r="O268" s="464"/>
      <c r="P268" s="160"/>
    </row>
    <row r="269" customFormat="false" ht="18.75" hidden="false" customHeight="true" outlineLevel="0" collapsed="false">
      <c r="A269" s="125" t="str">
        <f aca="false">'☆掛負収入'!A269</f>
        <v>議会事務局</v>
      </c>
      <c r="B269" s="431"/>
      <c r="C269" s="206"/>
      <c r="D269" s="617"/>
      <c r="E269" s="617"/>
      <c r="F269" s="160"/>
      <c r="G269" s="206"/>
      <c r="H269" s="431"/>
      <c r="I269" s="464"/>
      <c r="J269" s="160"/>
      <c r="K269" s="431"/>
      <c r="L269" s="464"/>
      <c r="M269" s="160"/>
      <c r="N269" s="431"/>
      <c r="O269" s="464"/>
      <c r="P269" s="160"/>
    </row>
    <row r="270" customFormat="false" ht="18.75" hidden="false" customHeight="true" outlineLevel="0" collapsed="false">
      <c r="A270" s="125" t="str">
        <f aca="false">'☆掛負収入'!A270</f>
        <v>教育委員会（総務課）</v>
      </c>
      <c r="B270" s="431"/>
      <c r="C270" s="206"/>
      <c r="D270" s="617"/>
      <c r="E270" s="617"/>
      <c r="F270" s="160"/>
      <c r="G270" s="206"/>
      <c r="H270" s="431"/>
      <c r="I270" s="464"/>
      <c r="J270" s="160"/>
      <c r="K270" s="431"/>
      <c r="L270" s="464"/>
      <c r="M270" s="160"/>
      <c r="N270" s="431"/>
      <c r="O270" s="464"/>
      <c r="P270" s="160"/>
    </row>
    <row r="271" customFormat="false" ht="18.75" hidden="false" customHeight="true" outlineLevel="0" collapsed="false">
      <c r="A271" s="125" t="str">
        <f aca="false">'☆掛負収入'!A271</f>
        <v>選挙管理委員会</v>
      </c>
      <c r="B271" s="431"/>
      <c r="C271" s="206"/>
      <c r="D271" s="617"/>
      <c r="E271" s="617"/>
      <c r="F271" s="160"/>
      <c r="G271" s="206"/>
      <c r="H271" s="619"/>
      <c r="I271" s="449"/>
      <c r="J271" s="160"/>
      <c r="K271" s="431"/>
      <c r="L271" s="464"/>
      <c r="M271" s="160"/>
      <c r="N271" s="431"/>
      <c r="O271" s="464"/>
      <c r="P271" s="160"/>
    </row>
    <row r="272" customFormat="false" ht="18.75" hidden="false" customHeight="true" outlineLevel="0" collapsed="false">
      <c r="A272" s="125" t="str">
        <f aca="false">'☆掛負収入'!A272</f>
        <v>人事委員会</v>
      </c>
      <c r="B272" s="431"/>
      <c r="C272" s="206"/>
      <c r="D272" s="617"/>
      <c r="E272" s="617"/>
      <c r="F272" s="160"/>
      <c r="G272" s="206"/>
      <c r="H272" s="619"/>
      <c r="I272" s="449"/>
      <c r="J272" s="160"/>
      <c r="K272" s="619"/>
      <c r="L272" s="449"/>
      <c r="M272" s="160"/>
      <c r="N272" s="619"/>
      <c r="O272" s="449"/>
      <c r="P272" s="160"/>
    </row>
    <row r="273" customFormat="false" ht="18.75" hidden="false" customHeight="true" outlineLevel="0" collapsed="false">
      <c r="A273" s="125" t="str">
        <f aca="false">'☆掛負収入'!A273</f>
        <v>監査事務局</v>
      </c>
      <c r="B273" s="431"/>
      <c r="C273" s="206"/>
      <c r="D273" s="617"/>
      <c r="E273" s="617"/>
      <c r="F273" s="160"/>
      <c r="G273" s="206"/>
      <c r="H273" s="619"/>
      <c r="I273" s="449"/>
      <c r="J273" s="160"/>
      <c r="K273" s="619"/>
      <c r="L273" s="449"/>
      <c r="M273" s="160"/>
      <c r="N273" s="619"/>
      <c r="O273" s="449"/>
      <c r="P273" s="160"/>
    </row>
    <row r="274" customFormat="false" ht="18.75" hidden="false" customHeight="true" outlineLevel="0" collapsed="false">
      <c r="A274" s="125" t="str">
        <f aca="false">'☆掛負収入'!A274</f>
        <v>農業委員会</v>
      </c>
      <c r="B274" s="431"/>
      <c r="C274" s="206"/>
      <c r="D274" s="617"/>
      <c r="E274" s="617"/>
      <c r="F274" s="160"/>
      <c r="G274" s="206"/>
      <c r="H274" s="619"/>
      <c r="I274" s="449"/>
      <c r="J274" s="160"/>
      <c r="K274" s="619"/>
      <c r="L274" s="449"/>
      <c r="M274" s="160"/>
      <c r="N274" s="619"/>
      <c r="O274" s="449"/>
      <c r="P274" s="160"/>
    </row>
    <row r="275" customFormat="false" ht="18.75" hidden="false" customHeight="true" outlineLevel="0" collapsed="false">
      <c r="A275" s="125" t="str">
        <f aca="false">'☆掛負収入'!A275</f>
        <v>水道局</v>
      </c>
      <c r="B275" s="431"/>
      <c r="C275" s="206"/>
      <c r="D275" s="617"/>
      <c r="E275" s="617"/>
      <c r="F275" s="160"/>
      <c r="G275" s="206"/>
      <c r="H275" s="619"/>
      <c r="I275" s="449"/>
      <c r="J275" s="160"/>
      <c r="K275" s="619"/>
      <c r="L275" s="449"/>
      <c r="M275" s="160"/>
      <c r="N275" s="619"/>
      <c r="O275" s="449"/>
      <c r="P275" s="160"/>
    </row>
    <row r="276" customFormat="false" ht="18.75" hidden="false" customHeight="true" outlineLevel="0" collapsed="false">
      <c r="A276" s="146" t="str">
        <f aca="false">'☆掛負収入'!A276</f>
        <v>医療政策課(安芸市民)</v>
      </c>
      <c r="B276" s="620"/>
      <c r="C276" s="391"/>
      <c r="D276" s="620"/>
      <c r="E276" s="621"/>
      <c r="F276" s="418"/>
      <c r="G276" s="206"/>
      <c r="H276" s="622"/>
      <c r="I276" s="432"/>
      <c r="J276" s="160"/>
      <c r="K276" s="619"/>
      <c r="L276" s="449"/>
      <c r="M276" s="160"/>
      <c r="N276" s="619"/>
      <c r="O276" s="449"/>
      <c r="P276" s="160"/>
    </row>
    <row r="277" customFormat="false" ht="18.75" hidden="false" customHeight="true" outlineLevel="0" collapsed="false">
      <c r="A277" s="146" t="str">
        <f aca="false">'☆掛負収入'!A277</f>
        <v>教育委員会（教育給与課）</v>
      </c>
      <c r="B277" s="620"/>
      <c r="C277" s="206"/>
      <c r="D277" s="431"/>
      <c r="E277" s="623"/>
      <c r="F277" s="309"/>
      <c r="G277" s="206"/>
      <c r="H277" s="619"/>
      <c r="I277" s="449"/>
      <c r="J277" s="160"/>
      <c r="K277" s="619"/>
      <c r="L277" s="449"/>
      <c r="M277" s="160"/>
      <c r="N277" s="619"/>
      <c r="O277" s="449"/>
      <c r="P277" s="160"/>
    </row>
    <row r="278" customFormat="false" ht="18.75" hidden="true" customHeight="true" outlineLevel="0" collapsed="false">
      <c r="A278" s="624"/>
      <c r="B278" s="625"/>
      <c r="C278" s="235"/>
      <c r="D278" s="625"/>
      <c r="E278" s="626"/>
      <c r="F278" s="221"/>
      <c r="G278" s="712"/>
      <c r="H278" s="627"/>
      <c r="I278" s="628"/>
      <c r="J278" s="628"/>
      <c r="K278" s="627"/>
      <c r="L278" s="628"/>
      <c r="M278" s="220"/>
      <c r="N278" s="627"/>
      <c r="O278" s="628"/>
      <c r="P278" s="220"/>
    </row>
    <row r="279" customFormat="false" ht="18.75" hidden="true" customHeight="true" outlineLevel="0" collapsed="false">
      <c r="A279" s="629"/>
      <c r="B279" s="482"/>
      <c r="C279" s="157"/>
      <c r="D279" s="482"/>
      <c r="E279" s="483"/>
      <c r="F279" s="484"/>
      <c r="G279" s="460"/>
      <c r="H279" s="482"/>
      <c r="I279" s="483"/>
      <c r="J279" s="483"/>
      <c r="K279" s="482"/>
      <c r="L279" s="483"/>
      <c r="M279" s="155"/>
      <c r="N279" s="482"/>
      <c r="O279" s="483"/>
      <c r="P279" s="155"/>
    </row>
    <row r="280" customFormat="false" ht="18.75" hidden="true" customHeight="true" outlineLevel="0" collapsed="false">
      <c r="A280" s="629"/>
      <c r="B280" s="625"/>
      <c r="C280" s="235"/>
      <c r="D280" s="625"/>
      <c r="E280" s="626"/>
      <c r="F280" s="221"/>
      <c r="G280" s="712"/>
      <c r="H280" s="625"/>
      <c r="I280" s="626"/>
      <c r="J280" s="626"/>
      <c r="K280" s="625"/>
      <c r="L280" s="626"/>
      <c r="M280" s="721"/>
      <c r="N280" s="625"/>
      <c r="O280" s="626"/>
      <c r="P280" s="721"/>
    </row>
    <row r="281" customFormat="false" ht="18.75" hidden="true" customHeight="true" outlineLevel="0" collapsed="false">
      <c r="A281" s="630"/>
      <c r="B281" s="631"/>
      <c r="C281" s="632"/>
      <c r="D281" s="631"/>
      <c r="E281" s="515"/>
      <c r="F281" s="633"/>
      <c r="G281" s="714"/>
      <c r="H281" s="482"/>
      <c r="I281" s="634"/>
      <c r="J281" s="634"/>
      <c r="K281" s="482"/>
      <c r="L281" s="483"/>
      <c r="M281" s="155"/>
      <c r="N281" s="482"/>
      <c r="O281" s="483"/>
      <c r="P281" s="155"/>
    </row>
    <row r="282" customFormat="false" ht="18.75" hidden="false" customHeight="true" outlineLevel="0" collapsed="false">
      <c r="A282" s="196" t="str">
        <f aca="false">'☆掛負収入'!A282</f>
        <v>小　計</v>
      </c>
      <c r="B282" s="429"/>
      <c r="C282" s="199"/>
      <c r="D282" s="429"/>
      <c r="E282" s="199"/>
      <c r="F282" s="200"/>
      <c r="G282" s="201"/>
      <c r="H282" s="429"/>
      <c r="I282" s="199"/>
      <c r="J282" s="198"/>
      <c r="K282" s="429"/>
      <c r="L282" s="199"/>
      <c r="M282" s="198"/>
      <c r="N282" s="429"/>
      <c r="O282" s="199"/>
      <c r="P282" s="198"/>
    </row>
    <row r="283" customFormat="false" ht="18.75" hidden="false" customHeight="true" outlineLevel="0" collapsed="false">
      <c r="A283" s="202" t="str">
        <f aca="false">'☆掛負収入'!A283</f>
        <v>地方税共同機構</v>
      </c>
      <c r="B283" s="474" t="n">
        <f aca="false">'☆掛負収入'!B283</f>
        <v>0</v>
      </c>
      <c r="C283" s="402" t="n">
        <f aca="false">'☆掛負収入'!C283</f>
        <v>0</v>
      </c>
      <c r="D283" s="494" t="n">
        <f aca="false">'☆掛負収入'!D283</f>
        <v>0</v>
      </c>
      <c r="E283" s="488" t="n">
        <f aca="false">'☆掛負収入'!E283</f>
        <v>0</v>
      </c>
      <c r="F283" s="248" t="n">
        <f aca="false">'☆掛負収入'!F283</f>
        <v>0</v>
      </c>
      <c r="G283" s="206" t="n">
        <f aca="false">SUM(B283:F283)</f>
        <v>0</v>
      </c>
      <c r="H283" s="619" t="n">
        <f aca="false">'☆掛負収入'!H283</f>
        <v>0</v>
      </c>
      <c r="I283" s="449" t="n">
        <f aca="false">'☆掛負収入'!I283</f>
        <v>0</v>
      </c>
      <c r="J283" s="160" t="n">
        <f aca="false">SUM(H283:I283)</f>
        <v>0</v>
      </c>
      <c r="K283" s="464" t="n">
        <f aca="false">'☆掛負収入'!K283</f>
        <v>0</v>
      </c>
      <c r="L283" s="449" t="n">
        <f aca="false">'☆掛負収入'!L283</f>
        <v>0</v>
      </c>
      <c r="M283" s="160" t="n">
        <f aca="false">SUM(K283:L283)</f>
        <v>0</v>
      </c>
      <c r="N283" s="464" t="n">
        <f aca="false">'☆掛負収入'!N283</f>
        <v>0</v>
      </c>
      <c r="O283" s="449" t="n">
        <f aca="false">'☆掛負収入'!O283</f>
        <v>0</v>
      </c>
      <c r="P283" s="160" t="n">
        <f aca="false">SUM(N283:O283)</f>
        <v>0</v>
      </c>
    </row>
    <row r="284" customFormat="false" ht="18.75" hidden="false" customHeight="true" outlineLevel="0" collapsed="false">
      <c r="A284" s="125" t="str">
        <f aca="false">'☆掛負収入'!A284</f>
        <v>平和文化センター</v>
      </c>
      <c r="B284" s="474" t="n">
        <f aca="false">'☆掛負収入'!B284</f>
        <v>0</v>
      </c>
      <c r="C284" s="402" t="n">
        <f aca="false">'☆掛負収入'!C284</f>
        <v>0</v>
      </c>
      <c r="D284" s="489" t="n">
        <f aca="false">'☆掛負収入'!D284</f>
        <v>807030</v>
      </c>
      <c r="E284" s="477" t="n">
        <f aca="false">'☆掛負収入'!E284</f>
        <v>66150</v>
      </c>
      <c r="F284" s="248" t="n">
        <f aca="false">'☆掛負収入'!F284</f>
        <v>829</v>
      </c>
      <c r="G284" s="206" t="n">
        <f aca="false">SUM(B284:F284)</f>
        <v>874009</v>
      </c>
      <c r="H284" s="619" t="n">
        <f aca="false">'☆掛負収入'!H284</f>
        <v>0</v>
      </c>
      <c r="I284" s="449" t="n">
        <f aca="false">'☆掛負収入'!I284</f>
        <v>462519</v>
      </c>
      <c r="J284" s="160" t="n">
        <f aca="false">SUM(H284:I284)</f>
        <v>462519</v>
      </c>
      <c r="K284" s="464" t="n">
        <f aca="false">'☆掛負収入'!K284</f>
        <v>0</v>
      </c>
      <c r="L284" s="449" t="n">
        <f aca="false">'☆掛負収入'!L284</f>
        <v>57354</v>
      </c>
      <c r="M284" s="160" t="n">
        <f aca="false">SUM(K284:L284)</f>
        <v>57354</v>
      </c>
      <c r="N284" s="464" t="n">
        <f aca="false">'☆掛負収入'!N284</f>
        <v>0</v>
      </c>
      <c r="O284" s="449" t="n">
        <f aca="false">'☆掛負収入'!O284</f>
        <v>10246</v>
      </c>
      <c r="P284" s="160" t="n">
        <f aca="false">SUM(N284:O284)</f>
        <v>10246</v>
      </c>
    </row>
    <row r="285" customFormat="false" ht="18.75" hidden="false" customHeight="true" outlineLevel="0" collapsed="false">
      <c r="A285" s="125" t="str">
        <f aca="false">'☆掛負収入'!A285</f>
        <v>社会福祉事業団</v>
      </c>
      <c r="B285" s="625"/>
      <c r="C285" s="235"/>
      <c r="D285" s="476" t="n">
        <f aca="false">'☆掛負収入'!D285</f>
        <v>2034960</v>
      </c>
      <c r="E285" s="478" t="n">
        <f aca="false">'☆掛負収入'!E285</f>
        <v>166800</v>
      </c>
      <c r="F285" s="248" t="n">
        <f aca="false">'☆掛負収入'!F285</f>
        <v>2038</v>
      </c>
      <c r="G285" s="206" t="n">
        <f aca="false">SUM(B285:F285)</f>
        <v>2203798</v>
      </c>
      <c r="H285" s="627"/>
      <c r="I285" s="449" t="n">
        <f aca="false">'☆掛負収入'!I285</f>
        <v>1310786</v>
      </c>
      <c r="J285" s="160" t="n">
        <f aca="false">SUM(H285:I285)</f>
        <v>1310786</v>
      </c>
      <c r="K285" s="637"/>
      <c r="L285" s="449" t="n">
        <f aca="false">'☆掛負収入'!L285</f>
        <v>143859</v>
      </c>
      <c r="M285" s="160" t="n">
        <f aca="false">SUM(K285:L285)</f>
        <v>143859</v>
      </c>
      <c r="N285" s="637"/>
      <c r="O285" s="449" t="n">
        <f aca="false">'☆掛負収入'!O285</f>
        <v>29034</v>
      </c>
      <c r="P285" s="160" t="n">
        <f aca="false">SUM(N285:O285)</f>
        <v>29034</v>
      </c>
    </row>
    <row r="286" customFormat="false" ht="18.75" hidden="false" customHeight="true" outlineLevel="0" collapsed="false">
      <c r="A286" s="125" t="str">
        <f aca="false">'☆掛負収入'!A286</f>
        <v>原爆障害対策協議会</v>
      </c>
      <c r="B286" s="625"/>
      <c r="C286" s="235"/>
      <c r="D286" s="474" t="n">
        <f aca="false">'☆掛負収入'!D286</f>
        <v>59475</v>
      </c>
      <c r="E286" s="478" t="n">
        <f aca="false">'☆掛負収入'!E286</f>
        <v>4875</v>
      </c>
      <c r="F286" s="248" t="n">
        <f aca="false">'☆掛負収入'!F286</f>
        <v>56</v>
      </c>
      <c r="G286" s="206" t="n">
        <f aca="false">SUM(B286:F286)</f>
        <v>64406</v>
      </c>
      <c r="H286" s="627"/>
      <c r="I286" s="449" t="n">
        <f aca="false">'☆掛負収入'!I286</f>
        <v>36856</v>
      </c>
      <c r="J286" s="160" t="n">
        <f aca="false">SUM(H286:I286)</f>
        <v>36856</v>
      </c>
      <c r="K286" s="637"/>
      <c r="L286" s="449" t="n">
        <f aca="false">'☆掛負収入'!L286</f>
        <v>5609</v>
      </c>
      <c r="M286" s="160" t="n">
        <f aca="false">SUM(K286:L286)</f>
        <v>5609</v>
      </c>
      <c r="N286" s="637"/>
      <c r="O286" s="449" t="n">
        <f aca="false">'☆掛負収入'!O286</f>
        <v>816</v>
      </c>
      <c r="P286" s="160" t="n">
        <f aca="false">SUM(N286:O286)</f>
        <v>816</v>
      </c>
    </row>
    <row r="287" customFormat="false" ht="18.75" hidden="false" customHeight="true" outlineLevel="0" collapsed="false">
      <c r="A287" s="214" t="str">
        <f aca="false">'☆掛負収入'!A287</f>
        <v>産業振興センター</v>
      </c>
      <c r="B287" s="625"/>
      <c r="C287" s="235"/>
      <c r="D287" s="474" t="n">
        <f aca="false">'☆掛負収入'!D287</f>
        <v>368745</v>
      </c>
      <c r="E287" s="478" t="n">
        <f aca="false">'☆掛負収入'!E287</f>
        <v>30225</v>
      </c>
      <c r="F287" s="248" t="n">
        <f aca="false">'☆掛負収入'!F287</f>
        <v>395</v>
      </c>
      <c r="G287" s="206" t="n">
        <f aca="false">SUM(B287:F287)</f>
        <v>399365</v>
      </c>
      <c r="H287" s="627"/>
      <c r="I287" s="449" t="n">
        <f aca="false">'☆掛負収入'!I287</f>
        <v>209223</v>
      </c>
      <c r="J287" s="160" t="n">
        <f aca="false">SUM(H287:I287)</f>
        <v>209223</v>
      </c>
      <c r="K287" s="637"/>
      <c r="L287" s="449" t="n">
        <f aca="false">'☆掛負収入'!L287</f>
        <v>26781</v>
      </c>
      <c r="M287" s="160" t="n">
        <f aca="false">SUM(K287:L287)</f>
        <v>26781</v>
      </c>
      <c r="N287" s="637"/>
      <c r="O287" s="449" t="n">
        <f aca="false">'☆掛負収入'!O287</f>
        <v>4634</v>
      </c>
      <c r="P287" s="160" t="n">
        <f aca="false">SUM(N287:O287)</f>
        <v>4634</v>
      </c>
    </row>
    <row r="288" customFormat="false" ht="18.75" hidden="false" customHeight="true" outlineLevel="0" collapsed="false">
      <c r="A288" s="146" t="str">
        <f aca="false">'☆掛負収入'!A288</f>
        <v>ひろしま産業振興</v>
      </c>
      <c r="B288" s="625"/>
      <c r="C288" s="484"/>
      <c r="D288" s="474" t="n">
        <f aca="false">'☆掛負収入'!D288</f>
        <v>45750</v>
      </c>
      <c r="E288" s="478" t="n">
        <f aca="false">'☆掛負収入'!E288</f>
        <v>3750</v>
      </c>
      <c r="F288" s="479" t="n">
        <f aca="false">'☆掛負収入'!F288</f>
        <v>43</v>
      </c>
      <c r="G288" s="206" t="n">
        <f aca="false">SUM(B288:F288)</f>
        <v>49543</v>
      </c>
      <c r="H288" s="627"/>
      <c r="I288" s="432" t="n">
        <f aca="false">'☆掛負収入'!I288</f>
        <v>25955</v>
      </c>
      <c r="J288" s="160" t="n">
        <f aca="false">SUM(H288:I288)</f>
        <v>25955</v>
      </c>
      <c r="K288" s="637"/>
      <c r="L288" s="432" t="n">
        <f aca="false">'☆掛負収入'!L288</f>
        <v>3950</v>
      </c>
      <c r="M288" s="160" t="n">
        <f aca="false">SUM(K288:L288)</f>
        <v>3950</v>
      </c>
      <c r="N288" s="637"/>
      <c r="O288" s="432" t="n">
        <f aca="false">'☆掛負収入'!O288</f>
        <v>575</v>
      </c>
      <c r="P288" s="160" t="n">
        <f aca="false">SUM(N288:O288)</f>
        <v>575</v>
      </c>
    </row>
    <row r="289" customFormat="false" ht="18.75" hidden="false" customHeight="true" outlineLevel="0" collapsed="false">
      <c r="A289" s="146" t="str">
        <f aca="false">'☆掛負収入'!A289</f>
        <v>都市整備公社　市</v>
      </c>
      <c r="B289" s="625"/>
      <c r="C289" s="484"/>
      <c r="D289" s="476" t="n">
        <f aca="false">'☆掛負収入'!D289</f>
        <v>0</v>
      </c>
      <c r="E289" s="478" t="n">
        <f aca="false">'☆掛負収入'!E289</f>
        <v>0</v>
      </c>
      <c r="F289" s="248" t="n">
        <f aca="false">'☆掛負収入'!F289</f>
        <v>0</v>
      </c>
      <c r="G289" s="206" t="n">
        <f aca="false">SUM(B289:F289)</f>
        <v>0</v>
      </c>
      <c r="H289" s="627"/>
      <c r="I289" s="449" t="n">
        <f aca="false">'☆掛負収入'!I289</f>
        <v>0</v>
      </c>
      <c r="J289" s="160" t="n">
        <f aca="false">SUM(H289:I289)</f>
        <v>0</v>
      </c>
      <c r="K289" s="637"/>
      <c r="L289" s="449" t="n">
        <f aca="false">'☆掛負収入'!L289</f>
        <v>0</v>
      </c>
      <c r="M289" s="160" t="n">
        <f aca="false">SUM(K289:L289)</f>
        <v>0</v>
      </c>
      <c r="N289" s="637"/>
      <c r="O289" s="449" t="n">
        <f aca="false">'☆掛負収入'!O289</f>
        <v>0</v>
      </c>
      <c r="P289" s="160" t="n">
        <f aca="false">SUM(N289:O289)</f>
        <v>0</v>
      </c>
    </row>
    <row r="290" customFormat="false" ht="18.75" hidden="false" customHeight="true" outlineLevel="0" collapsed="false">
      <c r="A290" s="217"/>
      <c r="B290" s="625"/>
      <c r="C290" s="221"/>
      <c r="D290" s="474"/>
      <c r="E290" s="478"/>
      <c r="F290" s="248"/>
      <c r="G290" s="206"/>
      <c r="H290" s="627"/>
      <c r="I290" s="449"/>
      <c r="J290" s="160"/>
      <c r="K290" s="637"/>
      <c r="L290" s="449"/>
      <c r="M290" s="160" t="n">
        <f aca="false">SUM(K290:L290)</f>
        <v>0</v>
      </c>
      <c r="N290" s="637"/>
      <c r="O290" s="449"/>
      <c r="P290" s="160" t="n">
        <f aca="false">SUM(N290:O290)</f>
        <v>0</v>
      </c>
    </row>
    <row r="291" customFormat="false" ht="18.75" hidden="false" customHeight="true" outlineLevel="0" collapsed="false">
      <c r="A291" s="146" t="str">
        <f aca="false">'☆掛負収入'!A291</f>
        <v>日本下水道事業団</v>
      </c>
      <c r="B291" s="476" t="n">
        <f aca="false">'☆掛負収入'!B291</f>
        <v>241560</v>
      </c>
      <c r="C291" s="248" t="n">
        <f aca="false">'☆掛負収入'!C291</f>
        <v>19800</v>
      </c>
      <c r="D291" s="474" t="n">
        <f aca="false">'☆掛負収入'!D291</f>
        <v>241560</v>
      </c>
      <c r="E291" s="478" t="n">
        <f aca="false">'☆掛負収入'!E291</f>
        <v>19800</v>
      </c>
      <c r="F291" s="248" t="n">
        <f aca="false">'☆掛負収入'!F291</f>
        <v>229</v>
      </c>
      <c r="G291" s="206" t="n">
        <f aca="false">SUM(B291:F291)</f>
        <v>522949</v>
      </c>
      <c r="H291" s="619" t="n">
        <f aca="false">'☆掛負収入'!H291</f>
        <v>140019</v>
      </c>
      <c r="I291" s="449" t="n">
        <f aca="false">'☆掛負収入'!I291</f>
        <v>140157</v>
      </c>
      <c r="J291" s="160" t="n">
        <f aca="false">SUM(H291:I291)</f>
        <v>280176</v>
      </c>
      <c r="K291" s="464" t="n">
        <f aca="false">'☆掛負収入'!K291</f>
        <v>10744</v>
      </c>
      <c r="L291" s="449" t="n">
        <f aca="false">'☆掛負収入'!L291</f>
        <v>10744</v>
      </c>
      <c r="M291" s="160" t="n">
        <f aca="false">SUM(K291:L291)</f>
        <v>21488</v>
      </c>
      <c r="N291" s="464" t="n">
        <f aca="false">'☆掛負収入'!N291</f>
        <v>3104</v>
      </c>
      <c r="O291" s="449" t="n">
        <f aca="false">'☆掛負収入'!O291</f>
        <v>3105</v>
      </c>
      <c r="P291" s="160" t="n">
        <f aca="false">SUM(N291:O291)</f>
        <v>6209</v>
      </c>
    </row>
    <row r="292" customFormat="false" ht="18.75" hidden="false" customHeight="true" outlineLevel="0" collapsed="false">
      <c r="A292" s="125" t="str">
        <f aca="false">'☆掛負収入'!A292</f>
        <v>地方公務員災害補償基金本部</v>
      </c>
      <c r="B292" s="476" t="n">
        <f aca="false">'☆掛負収入'!B292</f>
        <v>40260</v>
      </c>
      <c r="C292" s="248" t="n">
        <f aca="false">'☆掛負収入'!C292</f>
        <v>3300</v>
      </c>
      <c r="D292" s="474" t="n">
        <f aca="false">'☆掛負収入'!D292</f>
        <v>40260</v>
      </c>
      <c r="E292" s="478" t="n">
        <f aca="false">'☆掛負収入'!E292</f>
        <v>3300</v>
      </c>
      <c r="F292" s="248" t="n">
        <f aca="false">'☆掛負収入'!F292</f>
        <v>38</v>
      </c>
      <c r="G292" s="206" t="n">
        <f aca="false">SUM(B292:F292)</f>
        <v>87158</v>
      </c>
      <c r="H292" s="619" t="n">
        <f aca="false">'☆掛負収入'!H292</f>
        <v>22818</v>
      </c>
      <c r="I292" s="449" t="n">
        <f aca="false">'☆掛負収入'!I292</f>
        <v>22840</v>
      </c>
      <c r="J292" s="160" t="n">
        <f aca="false">SUM(H292:I292)</f>
        <v>45658</v>
      </c>
      <c r="K292" s="464" t="n">
        <f aca="false">'☆掛負収入'!K292</f>
        <v>0</v>
      </c>
      <c r="L292" s="449" t="n">
        <f aca="false">'☆掛負収入'!L292</f>
        <v>0</v>
      </c>
      <c r="M292" s="160" t="n">
        <f aca="false">SUM(K292:L292)</f>
        <v>0</v>
      </c>
      <c r="N292" s="464" t="n">
        <f aca="false">'☆掛負収入'!N292</f>
        <v>506</v>
      </c>
      <c r="O292" s="449" t="n">
        <f aca="false">'☆掛負収入'!O292</f>
        <v>506</v>
      </c>
      <c r="P292" s="160" t="n">
        <f aca="false">SUM(N292:O292)</f>
        <v>1012</v>
      </c>
    </row>
    <row r="293" customFormat="false" ht="18.75" hidden="false" customHeight="true" outlineLevel="0" collapsed="false">
      <c r="A293" s="222"/>
      <c r="B293" s="474"/>
      <c r="C293" s="248"/>
      <c r="D293" s="474"/>
      <c r="E293" s="478"/>
      <c r="F293" s="248"/>
      <c r="G293" s="206"/>
      <c r="H293" s="619"/>
      <c r="I293" s="449"/>
      <c r="J293" s="160"/>
      <c r="K293" s="464"/>
      <c r="L293" s="449"/>
      <c r="M293" s="160" t="n">
        <f aca="false">SUM(K293:L293)</f>
        <v>0</v>
      </c>
      <c r="N293" s="464"/>
      <c r="O293" s="449"/>
      <c r="P293" s="160" t="n">
        <f aca="false">SUM(N293:O293)</f>
        <v>0</v>
      </c>
    </row>
    <row r="294" customFormat="false" ht="18.75" hidden="false" customHeight="true" outlineLevel="0" collapsed="false">
      <c r="A294" s="125" t="str">
        <f aca="false">'☆掛負収入'!A294</f>
        <v>高速道路公社</v>
      </c>
      <c r="B294" s="489" t="n">
        <f aca="false">'☆掛負収入'!B294</f>
        <v>755790</v>
      </c>
      <c r="C294" s="479" t="n">
        <f aca="false">'☆掛負収入'!C294</f>
        <v>61950</v>
      </c>
      <c r="D294" s="489" t="n">
        <f aca="false">'☆掛負収入'!D294</f>
        <v>746877</v>
      </c>
      <c r="E294" s="495" t="n">
        <f aca="false">'☆掛負収入'!E294</f>
        <v>61950</v>
      </c>
      <c r="F294" s="491" t="n">
        <f aca="false">'☆掛負収入'!F294</f>
        <v>753</v>
      </c>
      <c r="G294" s="206" t="n">
        <f aca="false">SUM(B294:F294)</f>
        <v>1627320</v>
      </c>
      <c r="H294" s="638" t="n">
        <f aca="false">'☆掛負収入'!H294</f>
        <v>428357</v>
      </c>
      <c r="I294" s="639" t="n">
        <f aca="false">'☆掛負収入'!I294</f>
        <v>437689</v>
      </c>
      <c r="J294" s="160" t="n">
        <f aca="false">SUM(H294:I294)</f>
        <v>866046</v>
      </c>
      <c r="K294" s="640" t="n">
        <f aca="false">'☆掛負収入'!K294</f>
        <v>39816</v>
      </c>
      <c r="L294" s="639" t="n">
        <f aca="false">'☆掛負収入'!L294</f>
        <v>39816</v>
      </c>
      <c r="M294" s="160" t="n">
        <f aca="false">SUM(K294:L294)</f>
        <v>79632</v>
      </c>
      <c r="N294" s="640" t="n">
        <f aca="false">'☆掛負収入'!N294</f>
        <v>9495</v>
      </c>
      <c r="O294" s="639" t="n">
        <f aca="false">'☆掛負収入'!O294</f>
        <v>9499</v>
      </c>
      <c r="P294" s="160" t="n">
        <f aca="false">SUM(N294:O294)</f>
        <v>18994</v>
      </c>
    </row>
    <row r="295" customFormat="false" ht="18.75" hidden="false" customHeight="true" outlineLevel="0" collapsed="false">
      <c r="A295" s="125" t="str">
        <f aca="false">'☆掛負収入'!A295</f>
        <v>農林水産振興センタ</v>
      </c>
      <c r="B295" s="482"/>
      <c r="C295" s="484"/>
      <c r="D295" s="476" t="n">
        <f aca="false">'☆掛負収入'!D295</f>
        <v>582855</v>
      </c>
      <c r="E295" s="498" t="n">
        <f aca="false">'☆掛負収入'!E295</f>
        <v>47775</v>
      </c>
      <c r="F295" s="479" t="n">
        <f aca="false">'☆掛負収入'!F295</f>
        <v>579</v>
      </c>
      <c r="G295" s="206" t="n">
        <f aca="false">SUM(B295:F295)</f>
        <v>631209</v>
      </c>
      <c r="H295" s="641"/>
      <c r="I295" s="432" t="n">
        <f aca="false">'☆掛負収入'!I295</f>
        <v>330681</v>
      </c>
      <c r="J295" s="160" t="n">
        <f aca="false">SUM(H295:I295)</f>
        <v>330681</v>
      </c>
      <c r="K295" s="642"/>
      <c r="L295" s="432" t="n">
        <f aca="false">'☆掛負収入'!L295</f>
        <v>28203</v>
      </c>
      <c r="M295" s="160" t="n">
        <f aca="false">SUM(K295:L295)</f>
        <v>28203</v>
      </c>
      <c r="N295" s="642"/>
      <c r="O295" s="432" t="n">
        <f aca="false">'☆掛負収入'!O295</f>
        <v>7324</v>
      </c>
      <c r="P295" s="160" t="n">
        <f aca="false">SUM(N295:O295)</f>
        <v>7324</v>
      </c>
    </row>
    <row r="296" customFormat="false" ht="18.75" hidden="false" customHeight="true" outlineLevel="0" collapsed="false">
      <c r="A296" s="228" t="str">
        <f aca="false">'☆掛負収入'!A296</f>
        <v>文化財団　市長部局</v>
      </c>
      <c r="B296" s="625"/>
      <c r="C296" s="221"/>
      <c r="D296" s="474" t="n">
        <f aca="false">'☆掛負収入'!D296</f>
        <v>1056825</v>
      </c>
      <c r="E296" s="478" t="n">
        <f aca="false">'☆掛負収入'!E296</f>
        <v>86625</v>
      </c>
      <c r="F296" s="479" t="n">
        <f aca="false">'☆掛負収入'!F296</f>
        <v>1000</v>
      </c>
      <c r="G296" s="206" t="n">
        <f aca="false">SUM(B296:F296)</f>
        <v>1144450</v>
      </c>
      <c r="H296" s="627"/>
      <c r="I296" s="432" t="n">
        <f aca="false">'☆掛負収入'!I296</f>
        <v>606306</v>
      </c>
      <c r="J296" s="160" t="n">
        <f aca="false">SUM(H296:I296)</f>
        <v>606306</v>
      </c>
      <c r="K296" s="637"/>
      <c r="L296" s="432" t="n">
        <f aca="false">'☆掛負収入'!L296</f>
        <v>86900</v>
      </c>
      <c r="M296" s="160" t="n">
        <f aca="false">SUM(K296:L296)</f>
        <v>86900</v>
      </c>
      <c r="N296" s="637"/>
      <c r="O296" s="432" t="n">
        <f aca="false">'☆掛負収入'!O296</f>
        <v>13430</v>
      </c>
      <c r="P296" s="160" t="n">
        <f aca="false">SUM(N296:O296)</f>
        <v>13430</v>
      </c>
    </row>
    <row r="297" customFormat="false" ht="18.75" hidden="false" customHeight="true" outlineLevel="0" collapsed="false">
      <c r="A297" s="229"/>
      <c r="B297" s="625"/>
      <c r="C297" s="221"/>
      <c r="D297" s="474"/>
      <c r="E297" s="478"/>
      <c r="F297" s="479"/>
      <c r="G297" s="206"/>
      <c r="H297" s="627"/>
      <c r="I297" s="432"/>
      <c r="J297" s="160"/>
      <c r="K297" s="637"/>
      <c r="L297" s="432"/>
      <c r="M297" s="160" t="n">
        <f aca="false">SUM(K297:L297)</f>
        <v>0</v>
      </c>
      <c r="N297" s="637"/>
      <c r="O297" s="432"/>
      <c r="P297" s="160" t="n">
        <f aca="false">SUM(N297:O297)</f>
        <v>0</v>
      </c>
    </row>
    <row r="298" customFormat="false" ht="18.75" hidden="false" customHeight="true" outlineLevel="0" collapsed="false">
      <c r="A298" s="125" t="str">
        <f aca="false">'☆掛負収入'!A298</f>
        <v>みどり生きもの協会</v>
      </c>
      <c r="B298" s="625"/>
      <c r="C298" s="221"/>
      <c r="D298" s="474" t="n">
        <f aca="false">'☆掛負収入'!D298</f>
        <v>405345</v>
      </c>
      <c r="E298" s="478" t="n">
        <f aca="false">'☆掛負収入'!E298</f>
        <v>33225</v>
      </c>
      <c r="F298" s="479" t="n">
        <f aca="false">'☆掛負収入'!F298</f>
        <v>383</v>
      </c>
      <c r="G298" s="206" t="n">
        <f aca="false">SUM(B298:F298)</f>
        <v>438953</v>
      </c>
      <c r="H298" s="627"/>
      <c r="I298" s="432" t="n">
        <f aca="false">'☆掛負収入'!I298</f>
        <v>229960</v>
      </c>
      <c r="J298" s="160" t="n">
        <f aca="false">SUM(H298:I298)</f>
        <v>229960</v>
      </c>
      <c r="K298" s="637"/>
      <c r="L298" s="432" t="n">
        <f aca="false">'☆掛負収入'!L298</f>
        <v>34997</v>
      </c>
      <c r="M298" s="160" t="n">
        <f aca="false">SUM(K298:L298)</f>
        <v>34997</v>
      </c>
      <c r="N298" s="637"/>
      <c r="O298" s="432" t="n">
        <f aca="false">'☆掛負収入'!O298</f>
        <v>5093</v>
      </c>
      <c r="P298" s="160" t="n">
        <f aca="false">SUM(N298:O298)</f>
        <v>5093</v>
      </c>
    </row>
    <row r="299" customFormat="false" ht="18.75" hidden="false" customHeight="true" outlineLevel="0" collapsed="false">
      <c r="A299" s="146" t="str">
        <f aca="false">'☆掛負収入'!A299</f>
        <v>県下水道公社</v>
      </c>
      <c r="B299" s="474" t="n">
        <f aca="false">'☆掛負収入'!B299</f>
        <v>148230</v>
      </c>
      <c r="C299" s="248" t="n">
        <f aca="false">'☆掛負収入'!C299</f>
        <v>12150</v>
      </c>
      <c r="D299" s="474" t="n">
        <f aca="false">'☆掛負収入'!D299</f>
        <v>148230</v>
      </c>
      <c r="E299" s="478" t="n">
        <f aca="false">'☆掛負収入'!E299</f>
        <v>12150</v>
      </c>
      <c r="F299" s="479" t="n">
        <f aca="false">'☆掛負収入'!F299</f>
        <v>140</v>
      </c>
      <c r="G299" s="206" t="n">
        <f aca="false">SUM(B299:F299)</f>
        <v>320900</v>
      </c>
      <c r="H299" s="619" t="n">
        <f aca="false">'☆掛負収入'!H299</f>
        <v>87123</v>
      </c>
      <c r="I299" s="432" t="n">
        <f aca="false">'☆掛負収入'!I299</f>
        <v>87208</v>
      </c>
      <c r="J299" s="160" t="n">
        <f aca="false">SUM(H299:I299)</f>
        <v>174331</v>
      </c>
      <c r="K299" s="464" t="n">
        <f aca="false">'☆掛負収入'!K299</f>
        <v>10033</v>
      </c>
      <c r="L299" s="432" t="n">
        <f aca="false">'☆掛負収入'!L299</f>
        <v>10033</v>
      </c>
      <c r="M299" s="160" t="n">
        <f aca="false">SUM(K299:L299)</f>
        <v>20066</v>
      </c>
      <c r="N299" s="464" t="n">
        <f aca="false">'☆掛負収入'!N299</f>
        <v>1931</v>
      </c>
      <c r="O299" s="432" t="n">
        <f aca="false">'☆掛負収入'!O299</f>
        <v>1932</v>
      </c>
      <c r="P299" s="160" t="n">
        <f aca="false">SUM(N299:O299)</f>
        <v>3863</v>
      </c>
    </row>
    <row r="300" customFormat="false" ht="18.75" hidden="false" customHeight="true" outlineLevel="0" collapsed="false">
      <c r="A300" s="146" t="str">
        <f aca="false">'☆掛負収入'!A300</f>
        <v>バス協調・共創
プラットフォーム</v>
      </c>
      <c r="B300" s="482"/>
      <c r="C300" s="484"/>
      <c r="D300" s="476" t="n">
        <f aca="false">'☆掛負収入'!D300</f>
        <v>455670</v>
      </c>
      <c r="E300" s="498" t="n">
        <f aca="false">'☆掛負収入'!E300</f>
        <v>37350</v>
      </c>
      <c r="F300" s="479" t="n">
        <f aca="false">'☆掛負収入'!F300</f>
        <v>432</v>
      </c>
      <c r="G300" s="206" t="n">
        <f aca="false">SUM(B300:F300)</f>
        <v>493452</v>
      </c>
      <c r="H300" s="641"/>
      <c r="I300" s="432" t="n">
        <f aca="false">'☆掛負収入'!I300</f>
        <v>267855</v>
      </c>
      <c r="J300" s="160" t="n">
        <f aca="false">SUM(H300:I300)</f>
        <v>267855</v>
      </c>
      <c r="K300" s="642"/>
      <c r="L300" s="432" t="n">
        <f aca="false">'☆掛負収入'!L300</f>
        <v>21725</v>
      </c>
      <c r="M300" s="160" t="n">
        <f aca="false">SUM(K300:L300)</f>
        <v>21725</v>
      </c>
      <c r="N300" s="642"/>
      <c r="O300" s="432" t="n">
        <f aca="false">'☆掛負収入'!O300</f>
        <v>5934</v>
      </c>
      <c r="P300" s="160" t="n">
        <f aca="false">SUM(N300:O300)</f>
        <v>5934</v>
      </c>
    </row>
    <row r="301" customFormat="false" ht="18.75" hidden="false" customHeight="true" outlineLevel="0" collapsed="false">
      <c r="A301" s="146" t="str">
        <f aca="false">'☆掛負収入'!A301</f>
        <v>広島県市長会</v>
      </c>
      <c r="B301" s="474" t="n">
        <f aca="false">'☆掛負収入'!B301</f>
        <v>56730</v>
      </c>
      <c r="C301" s="248" t="n">
        <f aca="false">'☆掛負収入'!C301</f>
        <v>4650</v>
      </c>
      <c r="D301" s="474" t="n">
        <f aca="false">'☆掛負収入'!D301</f>
        <v>56730</v>
      </c>
      <c r="E301" s="478" t="n">
        <f aca="false">'☆掛負収入'!E301</f>
        <v>4650</v>
      </c>
      <c r="F301" s="248" t="n">
        <f aca="false">'☆掛負収入'!F301</f>
        <v>53</v>
      </c>
      <c r="G301" s="206" t="n">
        <f aca="false">SUM(B301:F301)</f>
        <v>122813</v>
      </c>
      <c r="H301" s="619" t="n">
        <f aca="false">'☆掛負収入'!H301</f>
        <v>32153</v>
      </c>
      <c r="I301" s="449" t="n">
        <f aca="false">'☆掛負収入'!I301</f>
        <v>32184</v>
      </c>
      <c r="J301" s="160" t="n">
        <f aca="false">SUM(H301:I301)</f>
        <v>64337</v>
      </c>
      <c r="K301" s="464" t="n">
        <f aca="false">'☆掛負収入'!K301</f>
        <v>4898</v>
      </c>
      <c r="L301" s="449" t="n">
        <f aca="false">'☆掛負収入'!L301</f>
        <v>4898</v>
      </c>
      <c r="M301" s="160" t="n">
        <f aca="false">SUM(K301:L301)</f>
        <v>9796</v>
      </c>
      <c r="N301" s="464" t="n">
        <f aca="false">'☆掛負収入'!N301</f>
        <v>713</v>
      </c>
      <c r="O301" s="449" t="n">
        <f aca="false">'☆掛負収入'!O301</f>
        <v>713</v>
      </c>
      <c r="P301" s="160" t="n">
        <f aca="false">SUM(N301:O301)</f>
        <v>1426</v>
      </c>
    </row>
    <row r="302" customFormat="false" ht="18.75" hidden="false" customHeight="true" outlineLevel="0" collapsed="false">
      <c r="A302" s="214" t="str">
        <f aca="false">'☆掛負収入'!A302</f>
        <v>全国市町村研修財団</v>
      </c>
      <c r="B302" s="476" t="n">
        <f aca="false">'☆掛負収入'!B302</f>
        <v>59475</v>
      </c>
      <c r="C302" s="248" t="n">
        <f aca="false">'☆掛負収入'!C302</f>
        <v>4875</v>
      </c>
      <c r="D302" s="474" t="n">
        <f aca="false">'☆掛負収入'!D302</f>
        <v>59475</v>
      </c>
      <c r="E302" s="478" t="n">
        <f aca="false">'☆掛負収入'!E302</f>
        <v>4875</v>
      </c>
      <c r="F302" s="248" t="n">
        <f aca="false">'☆掛負収入'!F302</f>
        <v>56</v>
      </c>
      <c r="G302" s="206" t="n">
        <f aca="false">SUM(B302:F302)</f>
        <v>128756</v>
      </c>
      <c r="H302" s="619" t="n">
        <f aca="false">'☆掛負収入'!H302</f>
        <v>38895</v>
      </c>
      <c r="I302" s="449" t="n">
        <f aca="false">'☆掛負収入'!I302</f>
        <v>38932</v>
      </c>
      <c r="J302" s="160" t="n">
        <f aca="false">SUM(H302:I302)</f>
        <v>77827</v>
      </c>
      <c r="K302" s="464" t="n">
        <f aca="false">'☆掛負収入'!K302</f>
        <v>5925</v>
      </c>
      <c r="L302" s="449" t="n">
        <f aca="false">'☆掛負収入'!L302</f>
        <v>5925</v>
      </c>
      <c r="M302" s="160" t="n">
        <f aca="false">SUM(K302:L302)</f>
        <v>11850</v>
      </c>
      <c r="N302" s="464" t="n">
        <f aca="false">'☆掛負収入'!N302</f>
        <v>862</v>
      </c>
      <c r="O302" s="449" t="n">
        <f aca="false">'☆掛負収入'!O302</f>
        <v>862</v>
      </c>
      <c r="P302" s="160" t="n">
        <f aca="false">SUM(N302:O302)</f>
        <v>1724</v>
      </c>
    </row>
    <row r="303" customFormat="false" ht="18.75" hidden="false" customHeight="true" outlineLevel="0" collapsed="false">
      <c r="A303" s="214" t="str">
        <f aca="false">'☆掛負収入'!A303</f>
        <v>都市再生機構</v>
      </c>
      <c r="B303" s="474" t="n">
        <f aca="false">'☆掛負収入'!B303</f>
        <v>45750</v>
      </c>
      <c r="C303" s="248" t="n">
        <f aca="false">'☆掛負収入'!C303</f>
        <v>3750</v>
      </c>
      <c r="D303" s="474" t="n">
        <f aca="false">'☆掛負収入'!D303</f>
        <v>45750</v>
      </c>
      <c r="E303" s="478" t="n">
        <f aca="false">'☆掛負収入'!E303</f>
        <v>3750</v>
      </c>
      <c r="F303" s="248" t="n">
        <f aca="false">'☆掛負収入'!F303</f>
        <v>43</v>
      </c>
      <c r="G303" s="206" t="n">
        <f aca="false">SUM(B303:F303)</f>
        <v>99043</v>
      </c>
      <c r="H303" s="619" t="n">
        <f aca="false">'☆掛負収入'!H303</f>
        <v>25930</v>
      </c>
      <c r="I303" s="449" t="n">
        <f aca="false">'☆掛負収入'!I303</f>
        <v>25955</v>
      </c>
      <c r="J303" s="160" t="n">
        <f aca="false">SUM(H303:I303)</f>
        <v>51885</v>
      </c>
      <c r="K303" s="464" t="n">
        <f aca="false">'☆掛負収入'!K303</f>
        <v>0</v>
      </c>
      <c r="L303" s="449" t="n">
        <f aca="false">'☆掛負収入'!L303</f>
        <v>0</v>
      </c>
      <c r="M303" s="160" t="n">
        <f aca="false">SUM(K303:L303)</f>
        <v>0</v>
      </c>
      <c r="N303" s="464" t="n">
        <f aca="false">'☆掛負収入'!N303</f>
        <v>575</v>
      </c>
      <c r="O303" s="449" t="n">
        <f aca="false">'☆掛負収入'!O303</f>
        <v>575</v>
      </c>
      <c r="P303" s="160" t="n">
        <f aca="false">SUM(N303:O303)</f>
        <v>1150</v>
      </c>
    </row>
    <row r="304" customFormat="false" ht="18.75" hidden="false" customHeight="true" outlineLevel="0" collapsed="false">
      <c r="A304" s="146" t="str">
        <f aca="false">'☆掛負収入'!A304</f>
        <v>広島市立大学</v>
      </c>
      <c r="B304" s="431" t="n">
        <f aca="false">'☆掛負収入'!B304</f>
        <v>1231590</v>
      </c>
      <c r="C304" s="160" t="n">
        <f aca="false">'☆掛負収入'!C304</f>
        <v>100950</v>
      </c>
      <c r="D304" s="431" t="n">
        <f aca="false">'☆掛負収入'!D304</f>
        <v>1231590</v>
      </c>
      <c r="E304" s="464" t="n">
        <f aca="false">'☆掛負収入'!E304</f>
        <v>100950</v>
      </c>
      <c r="F304" s="248" t="n">
        <f aca="false">'☆掛負収入'!F304</f>
        <v>1237</v>
      </c>
      <c r="G304" s="206" t="n">
        <f aca="false">SUM(B304:F304)</f>
        <v>2666317</v>
      </c>
      <c r="H304" s="619" t="n">
        <f aca="false">'☆掛負収入'!H304</f>
        <v>708914</v>
      </c>
      <c r="I304" s="449" t="n">
        <f aca="false">'☆掛負収入'!I304</f>
        <v>709649</v>
      </c>
      <c r="J304" s="160" t="n">
        <f aca="false">SUM(H304:I304)</f>
        <v>1418563</v>
      </c>
      <c r="K304" s="464" t="n">
        <f aca="false">'☆掛負収入'!K304</f>
        <v>82002</v>
      </c>
      <c r="L304" s="449" t="n">
        <f aca="false">'☆掛負収入'!L304</f>
        <v>82002</v>
      </c>
      <c r="M304" s="160" t="n">
        <f aca="false">SUM(K304:L304)</f>
        <v>164004</v>
      </c>
      <c r="N304" s="464" t="n">
        <f aca="false">'☆掛負収入'!N304</f>
        <v>15716</v>
      </c>
      <c r="O304" s="449" t="n">
        <f aca="false">'☆掛負収入'!O304</f>
        <v>15720</v>
      </c>
      <c r="P304" s="160" t="n">
        <f aca="false">SUM(N304:O304)</f>
        <v>31436</v>
      </c>
    </row>
    <row r="305" customFormat="false" ht="18.75" hidden="false" customHeight="true" outlineLevel="0" collapsed="false">
      <c r="A305" s="146" t="str">
        <f aca="false">'☆掛負収入'!A305</f>
        <v>社会福祉協議会</v>
      </c>
      <c r="B305" s="431" t="n">
        <f aca="false">'☆掛負収入'!B305</f>
        <v>0</v>
      </c>
      <c r="C305" s="160" t="n">
        <f aca="false">'☆掛負収入'!C305</f>
        <v>0</v>
      </c>
      <c r="D305" s="431" t="n">
        <f aca="false">'☆掛負収入'!D305</f>
        <v>256200</v>
      </c>
      <c r="E305" s="464" t="n">
        <f aca="false">'☆掛負収入'!E305</f>
        <v>21000</v>
      </c>
      <c r="F305" s="248" t="n">
        <f aca="false">'☆掛負収入'!F305</f>
        <v>243</v>
      </c>
      <c r="G305" s="206" t="n">
        <f aca="false">SUM(B305:F305)</f>
        <v>277443</v>
      </c>
      <c r="H305" s="619" t="n">
        <f aca="false">'☆掛負収入'!H305</f>
        <v>0</v>
      </c>
      <c r="I305" s="449" t="n">
        <f aca="false">'☆掛負収入'!I305</f>
        <v>148462</v>
      </c>
      <c r="J305" s="160" t="n">
        <f aca="false">SUM(H305:I305)</f>
        <v>148462</v>
      </c>
      <c r="K305" s="464" t="n">
        <f aca="false">'☆掛負収入'!K305</f>
        <v>0</v>
      </c>
      <c r="L305" s="449" t="n">
        <f aca="false">'☆掛負収入'!L305</f>
        <v>10507</v>
      </c>
      <c r="M305" s="160" t="n">
        <f aca="false">SUM(K305:L305)</f>
        <v>10507</v>
      </c>
      <c r="N305" s="464" t="n">
        <f aca="false">'☆掛負収入'!N305</f>
        <v>0</v>
      </c>
      <c r="O305" s="449" t="n">
        <f aca="false">'☆掛負収入'!O305</f>
        <v>3289</v>
      </c>
      <c r="P305" s="160" t="n">
        <f aca="false">SUM(N305:O305)</f>
        <v>3289</v>
      </c>
    </row>
    <row r="306" customFormat="false" ht="18.75" hidden="false" customHeight="true" outlineLevel="0" collapsed="false">
      <c r="A306" s="228" t="s">
        <v>532</v>
      </c>
      <c r="B306" s="620" t="n">
        <f aca="false">'☆掛負収入'!B308</f>
        <v>0</v>
      </c>
      <c r="C306" s="617" t="n">
        <f aca="false">'☆掛負収入'!C308</f>
        <v>0</v>
      </c>
      <c r="D306" s="620" t="n">
        <f aca="false">'☆掛負収入'!D308</f>
        <v>0</v>
      </c>
      <c r="E306" s="465" t="n">
        <f aca="false">'☆掛負収入'!E308</f>
        <v>0</v>
      </c>
      <c r="F306" s="206" t="n">
        <f aca="false">'☆掛負収入'!F308</f>
        <v>0</v>
      </c>
      <c r="G306" s="206" t="n">
        <f aca="false">SUM(B306:F306)</f>
        <v>0</v>
      </c>
      <c r="H306" s="620" t="n">
        <f aca="false">'☆掛負収入'!H308</f>
        <v>0</v>
      </c>
      <c r="I306" s="464" t="n">
        <f aca="false">'☆掛負収入'!I308</f>
        <v>0</v>
      </c>
      <c r="J306" s="160" t="n">
        <f aca="false">SUM(H306:I306)</f>
        <v>0</v>
      </c>
      <c r="K306" s="464" t="n">
        <f aca="false">'☆掛負収入'!K308</f>
        <v>0</v>
      </c>
      <c r="L306" s="449" t="n">
        <f aca="false">'☆掛負収入'!L308</f>
        <v>0</v>
      </c>
      <c r="M306" s="160" t="n">
        <f aca="false">SUM(K306:L306)</f>
        <v>0</v>
      </c>
      <c r="N306" s="464" t="n">
        <f aca="false">'☆掛負収入'!N308</f>
        <v>0</v>
      </c>
      <c r="O306" s="449" t="n">
        <f aca="false">'☆掛負収入'!O308</f>
        <v>0</v>
      </c>
      <c r="P306" s="160" t="n">
        <f aca="false">SUM(N306:O306)</f>
        <v>0</v>
      </c>
    </row>
    <row r="307" customFormat="false" ht="18.75" hidden="false" customHeight="true" outlineLevel="0" collapsed="false">
      <c r="A307" s="146" t="str">
        <f aca="false">'☆掛負収入'!A309</f>
        <v>全国市長会</v>
      </c>
      <c r="B307" s="620" t="n">
        <f aca="false">'☆掛負収入'!B309</f>
        <v>118950</v>
      </c>
      <c r="C307" s="617" t="n">
        <f aca="false">'☆掛負収入'!C309</f>
        <v>9750</v>
      </c>
      <c r="D307" s="620" t="n">
        <f aca="false">'☆掛負収入'!D309</f>
        <v>118950</v>
      </c>
      <c r="E307" s="465" t="n">
        <f aca="false">'☆掛負収入'!E309</f>
        <v>9750</v>
      </c>
      <c r="F307" s="206" t="n">
        <f aca="false">'☆掛負収入'!F309</f>
        <v>112</v>
      </c>
      <c r="G307" s="206" t="n">
        <f aca="false">SUM(B307:F307)</f>
        <v>257512</v>
      </c>
      <c r="H307" s="620" t="n">
        <f aca="false">'☆掛負収入'!H309</f>
        <v>84531</v>
      </c>
      <c r="I307" s="464" t="n">
        <f aca="false">'☆掛負収入'!I309</f>
        <v>84613</v>
      </c>
      <c r="J307" s="160" t="n">
        <f aca="false">SUM(H307:I307)</f>
        <v>169144</v>
      </c>
      <c r="K307" s="464" t="n">
        <f aca="false">'☆掛負収入'!K309</f>
        <v>12877</v>
      </c>
      <c r="L307" s="449" t="n">
        <f aca="false">'☆掛負収入'!L309</f>
        <v>12877</v>
      </c>
      <c r="M307" s="160" t="n">
        <f aca="false">SUM(K307:L307)</f>
        <v>25754</v>
      </c>
      <c r="N307" s="464" t="n">
        <f aca="false">'☆掛負収入'!N309</f>
        <v>1874</v>
      </c>
      <c r="O307" s="449" t="n">
        <f aca="false">'☆掛負収入'!O309</f>
        <v>1874</v>
      </c>
      <c r="P307" s="160" t="n">
        <f aca="false">SUM(N307:O307)</f>
        <v>3748</v>
      </c>
    </row>
    <row r="308" customFormat="false" ht="18.75" hidden="false" customHeight="true" outlineLevel="0" collapsed="false">
      <c r="A308" s="233"/>
      <c r="B308" s="431"/>
      <c r="C308" s="418"/>
      <c r="D308" s="431"/>
      <c r="E308" s="464"/>
      <c r="F308" s="160"/>
      <c r="G308" s="206"/>
      <c r="H308" s="619"/>
      <c r="I308" s="449"/>
      <c r="J308" s="160"/>
      <c r="K308" s="464"/>
      <c r="L308" s="449"/>
      <c r="M308" s="160"/>
      <c r="N308" s="464"/>
      <c r="O308" s="449"/>
      <c r="P308" s="160"/>
    </row>
    <row r="309" customFormat="false" ht="18.75" hidden="false" customHeight="true" outlineLevel="0" collapsed="false">
      <c r="A309" s="233"/>
      <c r="B309" s="620"/>
      <c r="C309" s="391"/>
      <c r="D309" s="620"/>
      <c r="E309" s="621"/>
      <c r="F309" s="418"/>
      <c r="G309" s="206"/>
      <c r="H309" s="620"/>
      <c r="I309" s="465"/>
      <c r="J309" s="160"/>
      <c r="K309" s="621"/>
      <c r="L309" s="465"/>
      <c r="M309" s="160"/>
      <c r="N309" s="621"/>
      <c r="O309" s="465"/>
      <c r="P309" s="160"/>
    </row>
    <row r="310" customFormat="false" ht="18.75" hidden="false" customHeight="true" outlineLevel="0" collapsed="false">
      <c r="A310" s="217"/>
      <c r="B310" s="431"/>
      <c r="C310" s="206"/>
      <c r="D310" s="431"/>
      <c r="E310" s="617"/>
      <c r="F310" s="160"/>
      <c r="G310" s="206"/>
      <c r="H310" s="431"/>
      <c r="I310" s="644"/>
      <c r="J310" s="160"/>
      <c r="K310" s="617"/>
      <c r="L310" s="644"/>
      <c r="M310" s="160"/>
      <c r="N310" s="617"/>
      <c r="O310" s="644"/>
      <c r="P310" s="160"/>
    </row>
    <row r="311" customFormat="false" ht="18.75" hidden="false" customHeight="true" outlineLevel="0" collapsed="false">
      <c r="A311" s="217"/>
      <c r="B311" s="620"/>
      <c r="C311" s="418"/>
      <c r="D311" s="620"/>
      <c r="E311" s="465"/>
      <c r="F311" s="418"/>
      <c r="G311" s="391"/>
      <c r="H311" s="431"/>
      <c r="I311" s="465"/>
      <c r="J311" s="160"/>
      <c r="K311" s="621"/>
      <c r="L311" s="465"/>
      <c r="M311" s="160"/>
      <c r="N311" s="621"/>
      <c r="O311" s="465"/>
      <c r="P311" s="160"/>
    </row>
    <row r="312" customFormat="false" ht="18.75" hidden="false" customHeight="true" outlineLevel="0" collapsed="false">
      <c r="A312" s="630"/>
      <c r="B312" s="647"/>
      <c r="C312" s="278"/>
      <c r="D312" s="524"/>
      <c r="E312" s="525"/>
      <c r="F312" s="296"/>
      <c r="G312" s="646"/>
      <c r="H312" s="647"/>
      <c r="I312" s="648"/>
      <c r="J312" s="648" t="n">
        <f aca="false">SUM(H312:I312)</f>
        <v>0</v>
      </c>
      <c r="K312" s="647"/>
      <c r="L312" s="648"/>
      <c r="M312" s="722" t="n">
        <f aca="false">SUM(K312:L312)</f>
        <v>0</v>
      </c>
      <c r="N312" s="647"/>
      <c r="O312" s="648"/>
      <c r="P312" s="722" t="n">
        <f aca="false">SUM(N312:O312)</f>
        <v>0</v>
      </c>
    </row>
    <row r="313" customFormat="false" ht="18.75" hidden="false" customHeight="true" outlineLevel="0" collapsed="false">
      <c r="A313" s="196" t="str">
        <f aca="false">'☆掛負収入'!A313</f>
        <v>小　計</v>
      </c>
      <c r="B313" s="429" t="n">
        <f aca="false">SUM(B283:B312)</f>
        <v>2698335</v>
      </c>
      <c r="C313" s="200" t="n">
        <f aca="false">SUM(C283:C312)</f>
        <v>221175</v>
      </c>
      <c r="D313" s="429" t="n">
        <f aca="false">SUM(D283:D312)</f>
        <v>8762277</v>
      </c>
      <c r="E313" s="301" t="n">
        <f aca="false">SUM(E283:E312)</f>
        <v>718950</v>
      </c>
      <c r="F313" s="200" t="n">
        <f aca="false">SUM(F283:F312)</f>
        <v>8659</v>
      </c>
      <c r="G313" s="201" t="n">
        <f aca="false">SUM(B313:F313)</f>
        <v>12409396</v>
      </c>
      <c r="H313" s="429" t="n">
        <f aca="false">SUM(H283:H312)</f>
        <v>1568740</v>
      </c>
      <c r="I313" s="199" t="n">
        <f aca="false">SUM(I283:I312)</f>
        <v>5207830</v>
      </c>
      <c r="J313" s="200" t="n">
        <f aca="false">SUM(H313:I313)</f>
        <v>6776570</v>
      </c>
      <c r="K313" s="429" t="n">
        <f aca="false">SUM(K283:K312)</f>
        <v>166295</v>
      </c>
      <c r="L313" s="199" t="n">
        <f aca="false">SUM(L283:L312)</f>
        <v>586180</v>
      </c>
      <c r="M313" s="198" t="n">
        <f aca="false">SUM(K313:L313)</f>
        <v>752475</v>
      </c>
      <c r="N313" s="429" t="n">
        <f aca="false">SUM(N283:N312)</f>
        <v>34776</v>
      </c>
      <c r="O313" s="199" t="n">
        <f aca="false">SUM(O283:O312)</f>
        <v>115161</v>
      </c>
      <c r="P313" s="198" t="n">
        <f aca="false">SUM(N313:O313)</f>
        <v>149937</v>
      </c>
    </row>
    <row r="314" customFormat="false" ht="18.75" hidden="true" customHeight="true" outlineLevel="0" collapsed="false">
      <c r="A314" s="629"/>
      <c r="B314" s="647"/>
      <c r="C314" s="278"/>
      <c r="D314" s="648"/>
      <c r="E314" s="649"/>
      <c r="F314" s="650"/>
      <c r="G314" s="651"/>
      <c r="H314" s="652"/>
      <c r="I314" s="653"/>
      <c r="J314" s="654"/>
      <c r="K314" s="655"/>
      <c r="L314" s="656"/>
      <c r="M314" s="657"/>
      <c r="N314" s="655"/>
      <c r="O314" s="656"/>
      <c r="P314" s="657"/>
    </row>
    <row r="315" customFormat="false" ht="18.75" hidden="true" customHeight="true" outlineLevel="0" collapsed="false">
      <c r="A315" s="658"/>
      <c r="B315" s="631"/>
      <c r="C315" s="633"/>
      <c r="D315" s="648"/>
      <c r="E315" s="649"/>
      <c r="F315" s="278"/>
      <c r="G315" s="646"/>
      <c r="H315" s="659"/>
      <c r="I315" s="660"/>
      <c r="J315" s="408"/>
      <c r="K315" s="661"/>
      <c r="L315" s="662"/>
      <c r="M315" s="663"/>
      <c r="N315" s="661"/>
      <c r="O315" s="662"/>
      <c r="P315" s="663"/>
    </row>
    <row r="316" customFormat="false" ht="18.75" hidden="false" customHeight="true" outlineLevel="0" collapsed="false">
      <c r="A316" s="214" t="str">
        <f aca="false">'☆掛負収入'!A316</f>
        <v>高速交通（株）</v>
      </c>
      <c r="B316" s="489" t="n">
        <f aca="false">'☆掛負収入'!B316</f>
        <v>145485</v>
      </c>
      <c r="C316" s="491" t="n">
        <f aca="false">'☆掛負収入'!C316</f>
        <v>11925</v>
      </c>
      <c r="D316" s="469" t="n">
        <f aca="false">'☆掛負収入'!D316</f>
        <v>145485</v>
      </c>
      <c r="E316" s="472" t="n">
        <f aca="false">'☆掛負収入'!E316</f>
        <v>11925</v>
      </c>
      <c r="F316" s="471" t="n">
        <f aca="false">'☆掛負収入'!F316</f>
        <v>138</v>
      </c>
      <c r="G316" s="391" t="n">
        <f aca="false">SUM(B316:F316)</f>
        <v>314958</v>
      </c>
      <c r="H316" s="665"/>
      <c r="I316" s="665"/>
      <c r="J316" s="665"/>
      <c r="K316" s="665"/>
      <c r="L316" s="665"/>
      <c r="M316" s="665"/>
      <c r="N316" s="665"/>
      <c r="O316" s="665"/>
      <c r="P316" s="665"/>
    </row>
    <row r="317" customFormat="false" ht="18.75" hidden="false" customHeight="true" outlineLevel="0" collapsed="false">
      <c r="A317" s="666" t="s">
        <v>209</v>
      </c>
      <c r="B317" s="667" t="n">
        <f aca="false">'☆掛負収入'!B317</f>
        <v>53985</v>
      </c>
      <c r="C317" s="692" t="n">
        <f aca="false">'☆掛負収入'!C317</f>
        <v>4425</v>
      </c>
      <c r="D317" s="667" t="n">
        <f aca="false">'☆掛負収入'!D317</f>
        <v>53985</v>
      </c>
      <c r="E317" s="718" t="n">
        <f aca="false">'☆掛負収入'!E317</f>
        <v>4425</v>
      </c>
      <c r="F317" s="719" t="n">
        <f aca="false">'☆掛負収入'!F317</f>
        <v>51</v>
      </c>
      <c r="G317" s="391" t="n">
        <f aca="false">SUM(B317:F317)</f>
        <v>116871</v>
      </c>
      <c r="H317" s="665"/>
      <c r="I317" s="665"/>
      <c r="J317" s="665"/>
      <c r="K317" s="665"/>
      <c r="L317" s="665"/>
      <c r="M317" s="665"/>
      <c r="N317" s="665"/>
      <c r="O317" s="665"/>
      <c r="P317" s="665"/>
    </row>
    <row r="318" customFormat="false" ht="18.75" hidden="false" customHeight="true" outlineLevel="0" collapsed="false">
      <c r="A318" s="196" t="str">
        <f aca="false">'☆掛負収入'!A318</f>
        <v>小　計</v>
      </c>
      <c r="B318" s="197" t="n">
        <f aca="false">SUM(B316:B317)</f>
        <v>199470</v>
      </c>
      <c r="C318" s="200" t="n">
        <f aca="false">SUM(C314:C317)</f>
        <v>16350</v>
      </c>
      <c r="D318" s="681" t="n">
        <f aca="false">SUM(D314:D317)</f>
        <v>199470</v>
      </c>
      <c r="E318" s="199" t="n">
        <f aca="false">SUM(E314:E317)</f>
        <v>16350</v>
      </c>
      <c r="F318" s="200" t="n">
        <f aca="false">SUM(F314:F317)</f>
        <v>189</v>
      </c>
      <c r="G318" s="201" t="n">
        <f aca="false">SUM(B318:F318)</f>
        <v>431829</v>
      </c>
      <c r="H318" s="665"/>
      <c r="I318" s="665"/>
      <c r="J318" s="665"/>
      <c r="K318" s="665"/>
      <c r="L318" s="665"/>
      <c r="M318" s="665"/>
      <c r="N318" s="665"/>
      <c r="O318" s="665"/>
      <c r="P318" s="665"/>
    </row>
    <row r="319" customFormat="false" ht="18.75" hidden="false" customHeight="true" outlineLevel="0" collapsed="false">
      <c r="A319" s="125" t="str">
        <f aca="false">'☆掛負収入'!A319</f>
        <v>市職員労働組合</v>
      </c>
      <c r="B319" s="474" t="n">
        <f aca="false">'☆掛負収入'!B319</f>
        <v>29280</v>
      </c>
      <c r="C319" s="248" t="n">
        <f aca="false">'☆掛負収入'!C319</f>
        <v>2400</v>
      </c>
      <c r="D319" s="470" t="n">
        <f aca="false">'☆掛負収入'!D319</f>
        <v>29280</v>
      </c>
      <c r="E319" s="488" t="n">
        <f aca="false">'☆掛負収入'!E319</f>
        <v>2400</v>
      </c>
      <c r="F319" s="221"/>
      <c r="G319" s="206" t="n">
        <f aca="false">SUM(B319:F319)</f>
        <v>63360</v>
      </c>
      <c r="H319" s="619" t="n">
        <f aca="false">'☆掛負収入'!H319</f>
        <v>16595</v>
      </c>
      <c r="I319" s="449" t="n">
        <f aca="false">'☆掛負収入'!I319</f>
        <v>15315</v>
      </c>
      <c r="J319" s="160" t="n">
        <f aca="false">SUM(H319:I319)</f>
        <v>31910</v>
      </c>
      <c r="K319" s="619" t="n">
        <f aca="false">'☆掛負収入'!K319</f>
        <v>2528</v>
      </c>
      <c r="L319" s="449" t="n">
        <f aca="false">'☆掛負収入'!L319</f>
        <v>2528</v>
      </c>
      <c r="M319" s="160" t="n">
        <f aca="false">SUM(K319:L319)</f>
        <v>5056</v>
      </c>
      <c r="N319" s="619" t="n">
        <f aca="false">'☆掛負収入'!N319</f>
        <v>368</v>
      </c>
      <c r="O319" s="449" t="n">
        <f aca="false">'☆掛負収入'!O319</f>
        <v>368</v>
      </c>
      <c r="P319" s="160" t="n">
        <f aca="false">SUM(N319:O319)</f>
        <v>736</v>
      </c>
    </row>
    <row r="320" customFormat="false" ht="18.75" hidden="false" customHeight="true" outlineLevel="0" collapsed="false">
      <c r="A320" s="125" t="str">
        <f aca="false">'☆掛負収入'!A320</f>
        <v>自治労労働組合</v>
      </c>
      <c r="B320" s="474" t="n">
        <f aca="false">'☆掛負収入'!B320</f>
        <v>0</v>
      </c>
      <c r="C320" s="402" t="n">
        <f aca="false">'☆掛負収入'!C320</f>
        <v>0</v>
      </c>
      <c r="D320" s="474" t="n">
        <f aca="false">'☆掛負収入'!D320</f>
        <v>0</v>
      </c>
      <c r="E320" s="488" t="n">
        <f aca="false">'☆掛負収入'!E320</f>
        <v>0</v>
      </c>
      <c r="F320" s="221"/>
      <c r="G320" s="206" t="n">
        <f aca="false">SUM(B320:F320)</f>
        <v>0</v>
      </c>
      <c r="H320" s="619" t="n">
        <f aca="false">'☆掛負収入'!H320</f>
        <v>0</v>
      </c>
      <c r="I320" s="449" t="n">
        <f aca="false">'☆掛負収入'!I320</f>
        <v>0</v>
      </c>
      <c r="J320" s="160" t="n">
        <f aca="false">SUM(H320:I320)</f>
        <v>0</v>
      </c>
      <c r="K320" s="619" t="n">
        <f aca="false">'☆掛負収入'!K320</f>
        <v>0</v>
      </c>
      <c r="L320" s="449" t="n">
        <f aca="false">'☆掛負収入'!L320</f>
        <v>0</v>
      </c>
      <c r="M320" s="160" t="n">
        <f aca="false">SUM(K320:L320)</f>
        <v>0</v>
      </c>
      <c r="N320" s="619" t="n">
        <f aca="false">'☆掛負収入'!N320</f>
        <v>0</v>
      </c>
      <c r="O320" s="449" t="n">
        <f aca="false">'☆掛負収入'!O320</f>
        <v>0</v>
      </c>
      <c r="P320" s="160" t="n">
        <f aca="false">SUM(N320:O320)</f>
        <v>0</v>
      </c>
    </row>
    <row r="321" customFormat="false" ht="18.75" hidden="false" customHeight="true" outlineLevel="0" collapsed="false">
      <c r="A321" s="125" t="str">
        <f aca="false">'☆掛負収入'!A321</f>
        <v>病院労働組合</v>
      </c>
      <c r="B321" s="431"/>
      <c r="C321" s="206"/>
      <c r="D321" s="431"/>
      <c r="E321" s="644"/>
      <c r="F321" s="221"/>
      <c r="G321" s="206" t="n">
        <f aca="false">SUM(B321:F321)</f>
        <v>0</v>
      </c>
      <c r="H321" s="619"/>
      <c r="I321" s="449"/>
      <c r="J321" s="160" t="n">
        <f aca="false">SUM(H321:I321)</f>
        <v>0</v>
      </c>
      <c r="K321" s="619"/>
      <c r="L321" s="449"/>
      <c r="M321" s="160" t="n">
        <f aca="false">SUM(K321:L321)</f>
        <v>0</v>
      </c>
      <c r="N321" s="619"/>
      <c r="O321" s="449"/>
      <c r="P321" s="160" t="n">
        <f aca="false">SUM(N321:O321)</f>
        <v>0</v>
      </c>
    </row>
    <row r="322" customFormat="false" ht="18.75" hidden="false" customHeight="true" outlineLevel="0" collapsed="false">
      <c r="A322" s="302" t="str">
        <f aca="false">'☆掛負収入'!A322</f>
        <v>水道労働組合</v>
      </c>
      <c r="B322" s="673"/>
      <c r="C322" s="444"/>
      <c r="D322" s="673"/>
      <c r="E322" s="623"/>
      <c r="F322" s="296"/>
      <c r="G322" s="206" t="n">
        <f aca="false">SUM(B322:F322)</f>
        <v>0</v>
      </c>
      <c r="H322" s="674"/>
      <c r="I322" s="675"/>
      <c r="J322" s="160" t="n">
        <f aca="false">SUM(H322:I322)</f>
        <v>0</v>
      </c>
      <c r="K322" s="676"/>
      <c r="L322" s="677"/>
      <c r="M322" s="160" t="n">
        <f aca="false">SUM(K322:L322)</f>
        <v>0</v>
      </c>
      <c r="N322" s="676"/>
      <c r="O322" s="677"/>
      <c r="P322" s="160" t="n">
        <f aca="false">SUM(N322:O322)</f>
        <v>0</v>
      </c>
    </row>
    <row r="323" customFormat="false" ht="18.75" hidden="false" customHeight="true" outlineLevel="0" collapsed="false">
      <c r="A323" s="196" t="str">
        <f aca="false">'☆掛負収入'!A323</f>
        <v>小　計</v>
      </c>
      <c r="B323" s="429" t="n">
        <f aca="false">SUM(B319:B322)</f>
        <v>29280</v>
      </c>
      <c r="C323" s="200" t="n">
        <f aca="false">SUM(C319:C322)</f>
        <v>2400</v>
      </c>
      <c r="D323" s="429" t="n">
        <f aca="false">SUM(D319:D322)</f>
        <v>29280</v>
      </c>
      <c r="E323" s="199" t="n">
        <f aca="false">SUM(E319:E322)</f>
        <v>2400</v>
      </c>
      <c r="F323" s="198" t="n">
        <f aca="false">SUM(F319:F322)</f>
        <v>0</v>
      </c>
      <c r="G323" s="197" t="n">
        <f aca="false">SUM(B323:F323)</f>
        <v>63360</v>
      </c>
      <c r="H323" s="429" t="n">
        <f aca="false">SUM(H319:H322)</f>
        <v>16595</v>
      </c>
      <c r="I323" s="199" t="n">
        <f aca="false">SUM(I319:I322)</f>
        <v>15315</v>
      </c>
      <c r="J323" s="200" t="n">
        <f aca="false">SUM(H323:I323)</f>
        <v>31910</v>
      </c>
      <c r="K323" s="197" t="n">
        <f aca="false">SUM(K319:K322)</f>
        <v>2528</v>
      </c>
      <c r="L323" s="198" t="n">
        <f aca="false">SUM(L319:L322)</f>
        <v>2528</v>
      </c>
      <c r="M323" s="200" t="n">
        <f aca="false">SUM(K323:L323)</f>
        <v>5056</v>
      </c>
      <c r="N323" s="197" t="n">
        <f aca="false">SUM(N319:N322)</f>
        <v>368</v>
      </c>
      <c r="O323" s="198" t="n">
        <f aca="false">SUM(O319:O322)</f>
        <v>368</v>
      </c>
      <c r="P323" s="200" t="n">
        <f aca="false">SUM(N323:O323)</f>
        <v>736</v>
      </c>
    </row>
    <row r="324" customFormat="false" ht="18.75" hidden="false" customHeight="true" outlineLevel="0" collapsed="false">
      <c r="A324" s="302" t="str">
        <f aca="false">'☆掛負収入'!A324</f>
        <v>任意継続組合員</v>
      </c>
      <c r="B324" s="281"/>
      <c r="C324" s="523"/>
      <c r="D324" s="524"/>
      <c r="E324" s="525"/>
      <c r="F324" s="296"/>
      <c r="G324" s="293"/>
      <c r="H324" s="678"/>
      <c r="I324" s="282"/>
      <c r="J324" s="283"/>
      <c r="K324" s="524"/>
      <c r="L324" s="679"/>
      <c r="M324" s="292"/>
      <c r="N324" s="524"/>
      <c r="O324" s="679"/>
      <c r="P324" s="292"/>
    </row>
    <row r="325" customFormat="false" ht="30" hidden="false" customHeight="true" outlineLevel="0" collapsed="false">
      <c r="A325" s="680" t="str">
        <f aca="false">'☆掛負収入'!A325</f>
        <v>総　　計</v>
      </c>
      <c r="B325" s="429" t="n">
        <f aca="false">SUM(B282+B313+B318+B323)</f>
        <v>2927085</v>
      </c>
      <c r="C325" s="200" t="n">
        <f aca="false">SUM(C282+C313+C318+C323)</f>
        <v>239925</v>
      </c>
      <c r="D325" s="681" t="n">
        <f aca="false">SUM(D282+D313+D318+D323)</f>
        <v>8991027</v>
      </c>
      <c r="E325" s="199" t="n">
        <f aca="false">SUM(E282+E313+E318+E323)</f>
        <v>737700</v>
      </c>
      <c r="F325" s="201" t="n">
        <f aca="false">SUM(F282+F313+F318+F323)</f>
        <v>8848</v>
      </c>
      <c r="G325" s="197" t="n">
        <f aca="false">SUM(B325:F325)</f>
        <v>12904585</v>
      </c>
      <c r="H325" s="429" t="n">
        <f aca="false">SUM(H282+H313+H318+H323+H324)</f>
        <v>1585335</v>
      </c>
      <c r="I325" s="199" t="n">
        <f aca="false">SUM(I282+I313+I318+I323+I324)</f>
        <v>5223145</v>
      </c>
      <c r="J325" s="200" t="n">
        <f aca="false">SUM(H325:I325)</f>
        <v>6808480</v>
      </c>
      <c r="K325" s="197" t="n">
        <f aca="false">K282+K313+K318+K323+K324</f>
        <v>168823</v>
      </c>
      <c r="L325" s="198" t="n">
        <f aca="false">L282+L313+L318+L323</f>
        <v>588708</v>
      </c>
      <c r="M325" s="200" t="n">
        <f aca="false">SUM(K325:L325)</f>
        <v>757531</v>
      </c>
      <c r="N325" s="197" t="n">
        <f aca="false">N282+N313+N318+N323+N324</f>
        <v>35144</v>
      </c>
      <c r="O325" s="198" t="n">
        <f aca="false">O282+O313+O318+O323</f>
        <v>115529</v>
      </c>
      <c r="P325" s="200" t="n">
        <f aca="false">SUM(N325:O325)</f>
        <v>150673</v>
      </c>
    </row>
    <row r="326" customFormat="false" ht="18.75" hidden="false" customHeight="true" outlineLevel="0" collapsed="false">
      <c r="A326" s="340"/>
      <c r="B326" s="341"/>
      <c r="C326" s="341"/>
      <c r="D326" s="341"/>
      <c r="E326" s="341"/>
      <c r="F326" s="341"/>
      <c r="G326" s="341"/>
      <c r="H326" s="341"/>
      <c r="I326" s="341"/>
      <c r="J326" s="341"/>
      <c r="K326" s="341"/>
      <c r="L326" s="341"/>
      <c r="M326" s="341"/>
      <c r="N326" s="341"/>
      <c r="O326" s="341"/>
      <c r="P326" s="341"/>
    </row>
    <row r="327" customFormat="false" ht="30" hidden="false" customHeight="true" outlineLevel="0" collapsed="false">
      <c r="A327" s="320"/>
      <c r="B327" s="416" t="n">
        <f aca="false">'☆掛負収入'!B327</f>
        <v>46265</v>
      </c>
      <c r="C327" s="416" t="n">
        <f aca="false">'☆掛負収入'!C327</f>
        <v>0</v>
      </c>
      <c r="D327" s="416" t="n">
        <f aca="false">'☆掛負収入'!D327</f>
        <v>0</v>
      </c>
      <c r="E327" s="416" t="n">
        <f aca="false">'☆掛負収入'!E327</f>
        <v>0</v>
      </c>
      <c r="F327" s="416" t="n">
        <f aca="false">'☆掛負収入'!F327</f>
        <v>0</v>
      </c>
      <c r="G327" s="416" t="n">
        <f aca="false">'☆掛負収入'!G327</f>
        <v>0</v>
      </c>
      <c r="H327" s="416" t="n">
        <f aca="false">'☆掛負収入'!H327</f>
        <v>46265</v>
      </c>
      <c r="I327" s="416" t="n">
        <f aca="false">'☆掛負収入'!I327</f>
        <v>0</v>
      </c>
      <c r="J327" s="416" t="n">
        <f aca="false">'☆掛負収入'!J327</f>
        <v>0</v>
      </c>
      <c r="K327" s="416" t="n">
        <f aca="false">'☆掛負収入'!K327</f>
        <v>46265</v>
      </c>
      <c r="L327" s="416" t="n">
        <f aca="false">'☆掛負収入'!L327</f>
        <v>0</v>
      </c>
      <c r="M327" s="416" t="n">
        <f aca="false">'☆掛負収入'!M327</f>
        <v>0</v>
      </c>
      <c r="N327" s="416" t="n">
        <f aca="false">'☆掛負収入'!N327</f>
        <v>46265</v>
      </c>
      <c r="O327" s="416" t="n">
        <f aca="false">'☆掛負収入'!O327</f>
        <v>0</v>
      </c>
      <c r="P327" s="416" t="n">
        <f aca="false">'☆掛負収入'!P327</f>
        <v>0</v>
      </c>
    </row>
    <row r="328" customFormat="false" ht="22.5" hidden="false" customHeight="true" outlineLevel="0" collapsed="false">
      <c r="A328" s="114" t="str">
        <f aca="false">'☆掛負収入'!A328</f>
        <v>区　　分</v>
      </c>
      <c r="B328" s="114" t="str">
        <f aca="false">'☆掛負収入'!B328</f>
        <v>長　期　経　理</v>
      </c>
      <c r="C328" s="114" t="n">
        <f aca="false">'☆掛負収入'!C328</f>
        <v>0</v>
      </c>
      <c r="D328" s="114" t="n">
        <f aca="false">'☆掛負収入'!D328</f>
        <v>0</v>
      </c>
      <c r="E328" s="114" t="n">
        <f aca="false">'☆掛負収入'!E328</f>
        <v>0</v>
      </c>
      <c r="F328" s="114" t="n">
        <f aca="false">'☆掛負収入'!F328</f>
        <v>0</v>
      </c>
      <c r="G328" s="114" t="n">
        <f aca="false">'☆掛負収入'!G328</f>
        <v>0</v>
      </c>
      <c r="H328" s="116" t="str">
        <f aca="false">'☆掛負収入'!H328</f>
        <v>短　期　経　理</v>
      </c>
      <c r="I328" s="116" t="n">
        <f aca="false">'☆掛負収入'!I328</f>
        <v>0</v>
      </c>
      <c r="J328" s="116" t="n">
        <f aca="false">'☆掛負収入'!J328</f>
        <v>0</v>
      </c>
      <c r="K328" s="116" t="str">
        <f aca="false">'☆掛負収入'!K328</f>
        <v>介　護　納　付　金</v>
      </c>
      <c r="L328" s="116" t="n">
        <f aca="false">'☆掛負収入'!L328</f>
        <v>0</v>
      </c>
      <c r="M328" s="116" t="n">
        <f aca="false">'☆掛負収入'!M328</f>
        <v>0</v>
      </c>
      <c r="N328" s="116" t="str">
        <f aca="false">'☆掛負収入'!N328</f>
        <v>子ども・子育て支援納付金</v>
      </c>
      <c r="O328" s="116" t="n">
        <f aca="false">'☆掛負収入'!O328</f>
        <v>0</v>
      </c>
      <c r="P328" s="116" t="n">
        <f aca="false">'☆掛負収入'!P328</f>
        <v>0</v>
      </c>
    </row>
    <row r="329" customFormat="false" ht="22.5" hidden="false" customHeight="true" outlineLevel="0" collapsed="false">
      <c r="A329" s="114" t="n">
        <f aca="false">'☆掛負収入'!A329</f>
        <v>0</v>
      </c>
      <c r="B329" s="117" t="str">
        <f aca="false">'☆掛負収入'!B329</f>
        <v>組合員負担分</v>
      </c>
      <c r="C329" s="117" t="n">
        <f aca="false">'☆掛負収入'!C329</f>
        <v>0</v>
      </c>
      <c r="D329" s="117" t="str">
        <f aca="false">'☆掛負収入'!D329</f>
        <v>事業主負担分</v>
      </c>
      <c r="E329" s="117" t="n">
        <f aca="false">'☆掛負収入'!E329</f>
        <v>0</v>
      </c>
      <c r="F329" s="117" t="n">
        <f aca="false">'☆掛負収入'!F329</f>
        <v>0</v>
      </c>
      <c r="G329" s="611" t="str">
        <f aca="false">'☆掛負収入'!G329</f>
        <v>計</v>
      </c>
      <c r="H329" s="121" t="str">
        <f aca="false">'☆掛負収入'!H329</f>
        <v>掛　金</v>
      </c>
      <c r="I329" s="119" t="str">
        <f aca="false">'☆掛負収入'!I329</f>
        <v>負担金</v>
      </c>
      <c r="J329" s="120" t="str">
        <f aca="false">'☆掛負収入'!J329</f>
        <v>計</v>
      </c>
      <c r="K329" s="121" t="str">
        <f aca="false">'☆掛負収入'!K329</f>
        <v>掛　金</v>
      </c>
      <c r="L329" s="119" t="str">
        <f aca="false">'☆掛負収入'!L329</f>
        <v>負担金</v>
      </c>
      <c r="M329" s="120" t="str">
        <f aca="false">'☆掛負収入'!M329</f>
        <v>計</v>
      </c>
      <c r="N329" s="121" t="str">
        <f aca="false">'☆掛負収入'!N329</f>
        <v>掛　金</v>
      </c>
      <c r="O329" s="119" t="str">
        <f aca="false">'☆掛負収入'!O329</f>
        <v>負担金</v>
      </c>
      <c r="P329" s="120" t="str">
        <f aca="false">'☆掛負収入'!P329</f>
        <v>計</v>
      </c>
    </row>
    <row r="330" customFormat="false" ht="22.5" hidden="false" customHeight="true" outlineLevel="0" collapsed="false">
      <c r="A330" s="114" t="n">
        <f aca="false">'☆掛負収入'!A330</f>
        <v>0</v>
      </c>
      <c r="B330" s="612" t="str">
        <f aca="false">'☆掛負収入'!B330</f>
        <v>厚生年金保険料</v>
      </c>
      <c r="C330" s="613" t="str">
        <f aca="false">'☆掛負収入'!C330</f>
        <v>退職等年金掛金</v>
      </c>
      <c r="D330" s="614" t="str">
        <f aca="false">'☆掛負収入'!D330</f>
        <v>厚生年金保険料</v>
      </c>
      <c r="E330" s="614" t="str">
        <f aca="false">'☆掛負収入'!E330</f>
        <v>退職等年金負担金</v>
      </c>
      <c r="F330" s="615" t="str">
        <f aca="false">'☆掛負収入'!F330</f>
        <v>経過的長期</v>
      </c>
      <c r="G330" s="611" t="n">
        <f aca="false">'☆掛負収入'!G330</f>
        <v>0</v>
      </c>
      <c r="H330" s="121" t="n">
        <f aca="false">'☆掛負収入'!H330</f>
        <v>0</v>
      </c>
      <c r="I330" s="119" t="n">
        <f aca="false">'☆掛負収入'!I330</f>
        <v>0</v>
      </c>
      <c r="J330" s="120" t="n">
        <f aca="false">'☆掛負収入'!J330</f>
        <v>0</v>
      </c>
      <c r="K330" s="121" t="n">
        <f aca="false">'☆掛負収入'!K330</f>
        <v>0</v>
      </c>
      <c r="L330" s="119" t="n">
        <f aca="false">'☆掛負収入'!L330</f>
        <v>0</v>
      </c>
      <c r="M330" s="120" t="n">
        <f aca="false">'☆掛負収入'!M330</f>
        <v>0</v>
      </c>
      <c r="N330" s="121" t="n">
        <f aca="false">'☆掛負収入'!N330</f>
        <v>0</v>
      </c>
      <c r="O330" s="119" t="n">
        <f aca="false">'☆掛負収入'!O330</f>
        <v>0</v>
      </c>
      <c r="P330" s="120" t="n">
        <f aca="false">'☆掛負収入'!P330</f>
        <v>0</v>
      </c>
    </row>
    <row r="331" customFormat="false" ht="18.75" hidden="false" customHeight="true" outlineLevel="0" collapsed="false">
      <c r="A331" s="125" t="str">
        <f aca="false">'☆掛負収入'!A331</f>
        <v>市長部局</v>
      </c>
      <c r="B331" s="616"/>
      <c r="C331" s="389"/>
      <c r="D331" s="617"/>
      <c r="E331" s="617"/>
      <c r="F331" s="209"/>
      <c r="G331" s="389"/>
      <c r="H331" s="616"/>
      <c r="I331" s="618"/>
      <c r="J331" s="206"/>
      <c r="K331" s="619"/>
      <c r="L331" s="618"/>
      <c r="M331" s="206"/>
      <c r="N331" s="619"/>
      <c r="O331" s="618"/>
      <c r="P331" s="206"/>
    </row>
    <row r="332" customFormat="false" ht="18.75" hidden="false" customHeight="true" outlineLevel="0" collapsed="false">
      <c r="A332" s="125" t="str">
        <f aca="false">'☆掛負収入'!A332</f>
        <v>下水道局</v>
      </c>
      <c r="B332" s="431"/>
      <c r="C332" s="206"/>
      <c r="D332" s="617"/>
      <c r="E332" s="617"/>
      <c r="F332" s="160"/>
      <c r="G332" s="206"/>
      <c r="H332" s="619"/>
      <c r="I332" s="449"/>
      <c r="J332" s="160"/>
      <c r="K332" s="620"/>
      <c r="L332" s="621"/>
      <c r="M332" s="160"/>
      <c r="N332" s="620"/>
      <c r="O332" s="621"/>
      <c r="P332" s="160"/>
    </row>
    <row r="333" customFormat="false" ht="18.75" hidden="false" customHeight="true" outlineLevel="0" collapsed="false">
      <c r="A333" s="125" t="str">
        <f aca="false">'☆掛負収入'!A333</f>
        <v>消防局</v>
      </c>
      <c r="B333" s="431"/>
      <c r="C333" s="206"/>
      <c r="D333" s="617"/>
      <c r="E333" s="617"/>
      <c r="F333" s="160"/>
      <c r="G333" s="206"/>
      <c r="H333" s="620"/>
      <c r="I333" s="464"/>
      <c r="J333" s="160"/>
      <c r="K333" s="620"/>
      <c r="L333" s="464"/>
      <c r="M333" s="160"/>
      <c r="N333" s="620"/>
      <c r="O333" s="464"/>
      <c r="P333" s="160"/>
    </row>
    <row r="334" customFormat="false" ht="18.75" hidden="false" customHeight="true" outlineLevel="0" collapsed="false">
      <c r="A334" s="125" t="str">
        <f aca="false">'☆掛負収入'!A334</f>
        <v>議会事務局</v>
      </c>
      <c r="B334" s="431"/>
      <c r="C334" s="206"/>
      <c r="D334" s="617"/>
      <c r="E334" s="617"/>
      <c r="F334" s="160"/>
      <c r="G334" s="206"/>
      <c r="H334" s="431"/>
      <c r="I334" s="464"/>
      <c r="J334" s="160"/>
      <c r="K334" s="431"/>
      <c r="L334" s="464"/>
      <c r="M334" s="160"/>
      <c r="N334" s="431"/>
      <c r="O334" s="464"/>
      <c r="P334" s="160"/>
    </row>
    <row r="335" customFormat="false" ht="18.75" hidden="false" customHeight="true" outlineLevel="0" collapsed="false">
      <c r="A335" s="125" t="str">
        <f aca="false">'☆掛負収入'!A335</f>
        <v>教育委員会（総務課）</v>
      </c>
      <c r="B335" s="431"/>
      <c r="C335" s="206"/>
      <c r="D335" s="617"/>
      <c r="E335" s="617"/>
      <c r="F335" s="160"/>
      <c r="G335" s="206"/>
      <c r="H335" s="431"/>
      <c r="I335" s="464"/>
      <c r="J335" s="160"/>
      <c r="K335" s="431"/>
      <c r="L335" s="464"/>
      <c r="M335" s="160"/>
      <c r="N335" s="431"/>
      <c r="O335" s="464"/>
      <c r="P335" s="160"/>
    </row>
    <row r="336" customFormat="false" ht="18.75" hidden="false" customHeight="true" outlineLevel="0" collapsed="false">
      <c r="A336" s="125" t="str">
        <f aca="false">'☆掛負収入'!A336</f>
        <v>選挙管理委員会</v>
      </c>
      <c r="B336" s="431"/>
      <c r="C336" s="206"/>
      <c r="D336" s="617"/>
      <c r="E336" s="617"/>
      <c r="F336" s="160"/>
      <c r="G336" s="206"/>
      <c r="H336" s="619"/>
      <c r="I336" s="449"/>
      <c r="J336" s="160"/>
      <c r="K336" s="431"/>
      <c r="L336" s="464"/>
      <c r="M336" s="160"/>
      <c r="N336" s="431"/>
      <c r="O336" s="464"/>
      <c r="P336" s="160"/>
    </row>
    <row r="337" customFormat="false" ht="18.75" hidden="false" customHeight="true" outlineLevel="0" collapsed="false">
      <c r="A337" s="125" t="str">
        <f aca="false">'☆掛負収入'!A337</f>
        <v>人事委員会</v>
      </c>
      <c r="B337" s="431"/>
      <c r="C337" s="206"/>
      <c r="D337" s="617"/>
      <c r="E337" s="617"/>
      <c r="F337" s="160"/>
      <c r="G337" s="206"/>
      <c r="H337" s="619"/>
      <c r="I337" s="449"/>
      <c r="J337" s="160"/>
      <c r="K337" s="619"/>
      <c r="L337" s="449"/>
      <c r="M337" s="160"/>
      <c r="N337" s="619"/>
      <c r="O337" s="449"/>
      <c r="P337" s="160"/>
    </row>
    <row r="338" customFormat="false" ht="18.75" hidden="false" customHeight="true" outlineLevel="0" collapsed="false">
      <c r="A338" s="125" t="str">
        <f aca="false">'☆掛負収入'!A338</f>
        <v>監査事務局</v>
      </c>
      <c r="B338" s="431"/>
      <c r="C338" s="206"/>
      <c r="D338" s="617"/>
      <c r="E338" s="617"/>
      <c r="F338" s="160"/>
      <c r="G338" s="206"/>
      <c r="H338" s="619"/>
      <c r="I338" s="449"/>
      <c r="J338" s="160"/>
      <c r="K338" s="619"/>
      <c r="L338" s="449"/>
      <c r="M338" s="160"/>
      <c r="N338" s="619"/>
      <c r="O338" s="449"/>
      <c r="P338" s="160"/>
    </row>
    <row r="339" customFormat="false" ht="18.75" hidden="false" customHeight="true" outlineLevel="0" collapsed="false">
      <c r="A339" s="125" t="str">
        <f aca="false">'☆掛負収入'!A339</f>
        <v>農業委員会</v>
      </c>
      <c r="B339" s="431"/>
      <c r="C339" s="206"/>
      <c r="D339" s="617"/>
      <c r="E339" s="617"/>
      <c r="F339" s="160"/>
      <c r="G339" s="206"/>
      <c r="H339" s="619"/>
      <c r="I339" s="449"/>
      <c r="J339" s="160"/>
      <c r="K339" s="619"/>
      <c r="L339" s="449"/>
      <c r="M339" s="160"/>
      <c r="N339" s="619"/>
      <c r="O339" s="449"/>
      <c r="P339" s="160"/>
    </row>
    <row r="340" customFormat="false" ht="18.75" hidden="false" customHeight="true" outlineLevel="0" collapsed="false">
      <c r="A340" s="125" t="str">
        <f aca="false">'☆掛負収入'!A340</f>
        <v>水道局</v>
      </c>
      <c r="B340" s="431"/>
      <c r="C340" s="206"/>
      <c r="D340" s="617"/>
      <c r="E340" s="617"/>
      <c r="F340" s="160"/>
      <c r="G340" s="206"/>
      <c r="H340" s="619"/>
      <c r="I340" s="449"/>
      <c r="J340" s="160"/>
      <c r="K340" s="619"/>
      <c r="L340" s="449"/>
      <c r="M340" s="160"/>
      <c r="N340" s="619"/>
      <c r="O340" s="449"/>
      <c r="P340" s="160"/>
    </row>
    <row r="341" customFormat="false" ht="18.75" hidden="false" customHeight="true" outlineLevel="0" collapsed="false">
      <c r="A341" s="146" t="str">
        <f aca="false">'☆掛負収入'!A341</f>
        <v>医療政策課(安芸市民)</v>
      </c>
      <c r="B341" s="620"/>
      <c r="C341" s="391"/>
      <c r="D341" s="620"/>
      <c r="E341" s="621"/>
      <c r="F341" s="418"/>
      <c r="G341" s="206"/>
      <c r="H341" s="622"/>
      <c r="I341" s="432"/>
      <c r="J341" s="160"/>
      <c r="K341" s="619"/>
      <c r="L341" s="449"/>
      <c r="M341" s="160"/>
      <c r="N341" s="619"/>
      <c r="O341" s="449"/>
      <c r="P341" s="160"/>
    </row>
    <row r="342" customFormat="false" ht="18.75" hidden="false" customHeight="true" outlineLevel="0" collapsed="false">
      <c r="A342" s="146" t="str">
        <f aca="false">'☆掛負収入'!A342</f>
        <v>教育委員会（教育給与課）</v>
      </c>
      <c r="B342" s="620"/>
      <c r="C342" s="206"/>
      <c r="D342" s="431"/>
      <c r="E342" s="623"/>
      <c r="F342" s="309"/>
      <c r="G342" s="206"/>
      <c r="H342" s="619"/>
      <c r="I342" s="449"/>
      <c r="J342" s="160"/>
      <c r="K342" s="619"/>
      <c r="L342" s="449"/>
      <c r="M342" s="160"/>
      <c r="N342" s="619"/>
      <c r="O342" s="449"/>
      <c r="P342" s="160"/>
    </row>
    <row r="343" customFormat="false" ht="18.75" hidden="true" customHeight="true" outlineLevel="0" collapsed="false">
      <c r="A343" s="624"/>
      <c r="B343" s="625"/>
      <c r="C343" s="235"/>
      <c r="D343" s="625"/>
      <c r="E343" s="626"/>
      <c r="F343" s="221"/>
      <c r="G343" s="712"/>
      <c r="H343" s="627"/>
      <c r="I343" s="628"/>
      <c r="J343" s="628"/>
      <c r="K343" s="627"/>
      <c r="L343" s="628"/>
      <c r="M343" s="220"/>
      <c r="N343" s="627"/>
      <c r="O343" s="628"/>
      <c r="P343" s="220"/>
    </row>
    <row r="344" customFormat="false" ht="18.75" hidden="true" customHeight="true" outlineLevel="0" collapsed="false">
      <c r="A344" s="629"/>
      <c r="B344" s="482"/>
      <c r="C344" s="157"/>
      <c r="D344" s="482"/>
      <c r="E344" s="483"/>
      <c r="F344" s="484"/>
      <c r="G344" s="460"/>
      <c r="H344" s="482"/>
      <c r="I344" s="483"/>
      <c r="J344" s="483"/>
      <c r="K344" s="482"/>
      <c r="L344" s="483"/>
      <c r="M344" s="155"/>
      <c r="N344" s="482"/>
      <c r="O344" s="483"/>
      <c r="P344" s="155"/>
    </row>
    <row r="345" customFormat="false" ht="18.75" hidden="true" customHeight="true" outlineLevel="0" collapsed="false">
      <c r="A345" s="629"/>
      <c r="B345" s="625"/>
      <c r="C345" s="235"/>
      <c r="D345" s="625"/>
      <c r="E345" s="626"/>
      <c r="F345" s="221"/>
      <c r="G345" s="712"/>
      <c r="H345" s="625"/>
      <c r="I345" s="626"/>
      <c r="J345" s="626"/>
      <c r="K345" s="625"/>
      <c r="L345" s="626"/>
      <c r="M345" s="721"/>
      <c r="N345" s="625"/>
      <c r="O345" s="626"/>
      <c r="P345" s="721"/>
    </row>
    <row r="346" customFormat="false" ht="18.75" hidden="true" customHeight="true" outlineLevel="0" collapsed="false">
      <c r="A346" s="630"/>
      <c r="B346" s="631"/>
      <c r="C346" s="632"/>
      <c r="D346" s="631"/>
      <c r="E346" s="515"/>
      <c r="F346" s="633"/>
      <c r="G346" s="714"/>
      <c r="H346" s="482"/>
      <c r="I346" s="634"/>
      <c r="J346" s="634"/>
      <c r="K346" s="482"/>
      <c r="L346" s="483"/>
      <c r="M346" s="155"/>
      <c r="N346" s="482"/>
      <c r="O346" s="483"/>
      <c r="P346" s="155"/>
    </row>
    <row r="347" customFormat="false" ht="18.75" hidden="false" customHeight="true" outlineLevel="0" collapsed="false">
      <c r="A347" s="196" t="str">
        <f aca="false">'☆掛負収入'!A347</f>
        <v>小　計</v>
      </c>
      <c r="B347" s="429"/>
      <c r="C347" s="199"/>
      <c r="D347" s="429"/>
      <c r="E347" s="199"/>
      <c r="F347" s="200"/>
      <c r="G347" s="201"/>
      <c r="H347" s="429"/>
      <c r="I347" s="199"/>
      <c r="J347" s="198"/>
      <c r="K347" s="429"/>
      <c r="L347" s="199"/>
      <c r="M347" s="198"/>
      <c r="N347" s="429"/>
      <c r="O347" s="199"/>
      <c r="P347" s="198"/>
    </row>
    <row r="348" customFormat="false" ht="18.75" hidden="false" customHeight="true" outlineLevel="0" collapsed="false">
      <c r="A348" s="202" t="str">
        <f aca="false">'☆掛負収入'!A348</f>
        <v>地方税共同機構</v>
      </c>
      <c r="B348" s="474" t="n">
        <f aca="false">'☆掛負収入'!B348</f>
        <v>0</v>
      </c>
      <c r="C348" s="402" t="n">
        <f aca="false">'☆掛負収入'!C348</f>
        <v>0</v>
      </c>
      <c r="D348" s="494" t="n">
        <f aca="false">'☆掛負収入'!D348</f>
        <v>0</v>
      </c>
      <c r="E348" s="488" t="n">
        <f aca="false">'☆掛負収入'!E348</f>
        <v>0</v>
      </c>
      <c r="F348" s="248" t="n">
        <f aca="false">'☆掛負収入'!F348</f>
        <v>0</v>
      </c>
      <c r="G348" s="206" t="n">
        <f aca="false">SUM(B348:F348)</f>
        <v>0</v>
      </c>
      <c r="H348" s="619" t="n">
        <f aca="false">'☆掛負収入'!H348</f>
        <v>0</v>
      </c>
      <c r="I348" s="449" t="n">
        <f aca="false">'☆掛負収入'!I348</f>
        <v>0</v>
      </c>
      <c r="J348" s="160" t="n">
        <f aca="false">SUM(H348:I348)</f>
        <v>0</v>
      </c>
      <c r="K348" s="464" t="n">
        <f aca="false">'☆掛負収入'!K348</f>
        <v>0</v>
      </c>
      <c r="L348" s="449" t="n">
        <f aca="false">'☆掛負収入'!L348</f>
        <v>0</v>
      </c>
      <c r="M348" s="160" t="n">
        <f aca="false">SUM(K348:L348)</f>
        <v>0</v>
      </c>
      <c r="N348" s="464" t="n">
        <f aca="false">'☆掛負収入'!N348</f>
        <v>0</v>
      </c>
      <c r="O348" s="449" t="n">
        <f aca="false">'☆掛負収入'!O348</f>
        <v>0</v>
      </c>
      <c r="P348" s="160" t="n">
        <f aca="false">SUM(N348:O348)</f>
        <v>0</v>
      </c>
    </row>
    <row r="349" customFormat="false" ht="18.75" hidden="false" customHeight="true" outlineLevel="0" collapsed="false">
      <c r="A349" s="125" t="str">
        <f aca="false">'☆掛負収入'!A349</f>
        <v>平和文化センター</v>
      </c>
      <c r="B349" s="474" t="n">
        <f aca="false">'☆掛負収入'!B349</f>
        <v>0</v>
      </c>
      <c r="C349" s="402" t="n">
        <f aca="false">'☆掛負収入'!C349</f>
        <v>0</v>
      </c>
      <c r="D349" s="489" t="n">
        <f aca="false">'☆掛負収入'!D349</f>
        <v>779580</v>
      </c>
      <c r="E349" s="477" t="n">
        <f aca="false">'☆掛負収入'!E349</f>
        <v>63900</v>
      </c>
      <c r="F349" s="248" t="n">
        <f aca="false">'☆掛負収入'!F349</f>
        <v>801</v>
      </c>
      <c r="G349" s="206" t="n">
        <f aca="false">SUM(B349:F349)</f>
        <v>844281</v>
      </c>
      <c r="H349" s="619" t="n">
        <f aca="false">'☆掛負収入'!H349</f>
        <v>0</v>
      </c>
      <c r="I349" s="449" t="n">
        <f aca="false">'☆掛負収入'!I349</f>
        <v>440717</v>
      </c>
      <c r="J349" s="160" t="n">
        <f aca="false">SUM(H349:I349)</f>
        <v>440717</v>
      </c>
      <c r="K349" s="464" t="n">
        <f aca="false">'☆掛負収入'!K349</f>
        <v>0</v>
      </c>
      <c r="L349" s="449" t="n">
        <f aca="false">'☆掛負収入'!L349</f>
        <v>54036</v>
      </c>
      <c r="M349" s="160" t="n">
        <f aca="false">SUM(K349:L349)</f>
        <v>54036</v>
      </c>
      <c r="N349" s="464" t="n">
        <f aca="false">'☆掛負収入'!N349</f>
        <v>0</v>
      </c>
      <c r="O349" s="449" t="n">
        <f aca="false">'☆掛負収入'!O349</f>
        <v>9764</v>
      </c>
      <c r="P349" s="160" t="n">
        <f aca="false">SUM(N349:O349)</f>
        <v>9764</v>
      </c>
    </row>
    <row r="350" customFormat="false" ht="18.75" hidden="false" customHeight="true" outlineLevel="0" collapsed="false">
      <c r="A350" s="125" t="str">
        <f aca="false">'☆掛負収入'!A350</f>
        <v>社会福祉事業団</v>
      </c>
      <c r="B350" s="625"/>
      <c r="C350" s="235"/>
      <c r="D350" s="476" t="n">
        <f aca="false">'☆掛負収入'!D350</f>
        <v>2034960</v>
      </c>
      <c r="E350" s="478" t="n">
        <f aca="false">'☆掛負収入'!E350</f>
        <v>166800</v>
      </c>
      <c r="F350" s="248" t="n">
        <f aca="false">'☆掛負収入'!F350</f>
        <v>2038</v>
      </c>
      <c r="G350" s="206" t="n">
        <f aca="false">SUM(B350:F350)</f>
        <v>2203798</v>
      </c>
      <c r="H350" s="627"/>
      <c r="I350" s="449" t="n">
        <f aca="false">'☆掛負収入'!I350</f>
        <v>1310786</v>
      </c>
      <c r="J350" s="160" t="n">
        <f aca="false">SUM(H350:I350)</f>
        <v>1310786</v>
      </c>
      <c r="K350" s="637"/>
      <c r="L350" s="449" t="n">
        <f aca="false">'☆掛負収入'!L350</f>
        <v>143859</v>
      </c>
      <c r="M350" s="160" t="n">
        <f aca="false">SUM(K350:L350)</f>
        <v>143859</v>
      </c>
      <c r="N350" s="637"/>
      <c r="O350" s="449" t="n">
        <f aca="false">'☆掛負収入'!O350</f>
        <v>29034</v>
      </c>
      <c r="P350" s="160" t="n">
        <f aca="false">SUM(N350:O350)</f>
        <v>29034</v>
      </c>
    </row>
    <row r="351" customFormat="false" ht="18.75" hidden="false" customHeight="true" outlineLevel="0" collapsed="false">
      <c r="A351" s="125" t="str">
        <f aca="false">'☆掛負収入'!A351</f>
        <v>原爆障害対策協議会</v>
      </c>
      <c r="B351" s="625"/>
      <c r="C351" s="235"/>
      <c r="D351" s="470" t="n">
        <f aca="false">'☆掛負収入'!D351</f>
        <v>59475</v>
      </c>
      <c r="E351" s="478" t="n">
        <f aca="false">'☆掛負収入'!E351</f>
        <v>4875</v>
      </c>
      <c r="F351" s="248" t="n">
        <f aca="false">'☆掛負収入'!F351</f>
        <v>56</v>
      </c>
      <c r="G351" s="206" t="n">
        <f aca="false">SUM(B351:F351)</f>
        <v>64406</v>
      </c>
      <c r="H351" s="627"/>
      <c r="I351" s="449" t="n">
        <f aca="false">'☆掛負収入'!I351</f>
        <v>36856</v>
      </c>
      <c r="J351" s="160" t="n">
        <f aca="false">SUM(H351:I351)</f>
        <v>36856</v>
      </c>
      <c r="K351" s="637"/>
      <c r="L351" s="449" t="n">
        <f aca="false">'☆掛負収入'!L351</f>
        <v>5609</v>
      </c>
      <c r="M351" s="160" t="n">
        <f aca="false">SUM(K351:L351)</f>
        <v>5609</v>
      </c>
      <c r="N351" s="637"/>
      <c r="O351" s="449" t="n">
        <f aca="false">'☆掛負収入'!O351</f>
        <v>816</v>
      </c>
      <c r="P351" s="160" t="n">
        <f aca="false">SUM(N351:O351)</f>
        <v>816</v>
      </c>
    </row>
    <row r="352" customFormat="false" ht="18.75" hidden="false" customHeight="true" outlineLevel="0" collapsed="false">
      <c r="A352" s="214" t="str">
        <f aca="false">'☆掛負収入'!A352</f>
        <v>産業振興センター</v>
      </c>
      <c r="B352" s="625"/>
      <c r="C352" s="235"/>
      <c r="D352" s="470" t="n">
        <f aca="false">'☆掛負収入'!D352</f>
        <v>339465</v>
      </c>
      <c r="E352" s="478" t="n">
        <f aca="false">'☆掛負収入'!E352</f>
        <v>27825</v>
      </c>
      <c r="F352" s="248" t="n">
        <f aca="false">'☆掛負収入'!F352</f>
        <v>395</v>
      </c>
      <c r="G352" s="206" t="n">
        <f aca="false">SUM(B352:F352)</f>
        <v>367685</v>
      </c>
      <c r="H352" s="627"/>
      <c r="I352" s="449" t="n">
        <f aca="false">'☆掛負収入'!I352</f>
        <v>192628</v>
      </c>
      <c r="J352" s="160" t="n">
        <f aca="false">SUM(H352:I352)</f>
        <v>192628</v>
      </c>
      <c r="K352" s="637"/>
      <c r="L352" s="449" t="n">
        <f aca="false">'☆掛負収入'!L352</f>
        <v>26781</v>
      </c>
      <c r="M352" s="160" t="n">
        <f aca="false">SUM(K352:L352)</f>
        <v>26781</v>
      </c>
      <c r="N352" s="637"/>
      <c r="O352" s="449" t="n">
        <f aca="false">'☆掛負収入'!O352</f>
        <v>4266</v>
      </c>
      <c r="P352" s="160" t="n">
        <f aca="false">SUM(N352:O352)</f>
        <v>4266</v>
      </c>
    </row>
    <row r="353" customFormat="false" ht="18.75" hidden="false" customHeight="true" outlineLevel="0" collapsed="false">
      <c r="A353" s="146" t="str">
        <f aca="false">'☆掛負収入'!A353</f>
        <v>ひろしま産業振興</v>
      </c>
      <c r="B353" s="625"/>
      <c r="C353" s="484"/>
      <c r="D353" s="470" t="n">
        <f aca="false">'☆掛負収入'!D353</f>
        <v>45750</v>
      </c>
      <c r="E353" s="478" t="n">
        <f aca="false">'☆掛負収入'!E353</f>
        <v>3750</v>
      </c>
      <c r="F353" s="479" t="n">
        <f aca="false">'☆掛負収入'!F353</f>
        <v>43</v>
      </c>
      <c r="G353" s="206" t="n">
        <f aca="false">SUM(B353:F353)</f>
        <v>49543</v>
      </c>
      <c r="H353" s="627"/>
      <c r="I353" s="432" t="n">
        <f aca="false">'☆掛負収入'!I353</f>
        <v>25955</v>
      </c>
      <c r="J353" s="160" t="n">
        <f aca="false">SUM(H353:I353)</f>
        <v>25955</v>
      </c>
      <c r="K353" s="637"/>
      <c r="L353" s="432" t="n">
        <f aca="false">'☆掛負収入'!L353</f>
        <v>3950</v>
      </c>
      <c r="M353" s="160" t="n">
        <f aca="false">SUM(K353:L353)</f>
        <v>3950</v>
      </c>
      <c r="N353" s="637"/>
      <c r="O353" s="432" t="n">
        <f aca="false">'☆掛負収入'!O353</f>
        <v>575</v>
      </c>
      <c r="P353" s="160" t="n">
        <f aca="false">SUM(N353:O353)</f>
        <v>575</v>
      </c>
    </row>
    <row r="354" customFormat="false" ht="18.75" hidden="false" customHeight="true" outlineLevel="0" collapsed="false">
      <c r="A354" s="146" t="str">
        <f aca="false">'☆掛負収入'!A354</f>
        <v>都市整備公社　市</v>
      </c>
      <c r="B354" s="625"/>
      <c r="C354" s="484"/>
      <c r="D354" s="476" t="n">
        <f aca="false">'☆掛負収入'!D354</f>
        <v>0</v>
      </c>
      <c r="E354" s="478" t="n">
        <f aca="false">'☆掛負収入'!E354</f>
        <v>0</v>
      </c>
      <c r="F354" s="248" t="n">
        <f aca="false">'☆掛負収入'!F354</f>
        <v>0</v>
      </c>
      <c r="G354" s="206" t="n">
        <f aca="false">SUM(B354:F354)</f>
        <v>0</v>
      </c>
      <c r="H354" s="627"/>
      <c r="I354" s="449" t="n">
        <f aca="false">'☆掛負収入'!I354</f>
        <v>0</v>
      </c>
      <c r="J354" s="160" t="n">
        <f aca="false">SUM(H354:I354)</f>
        <v>0</v>
      </c>
      <c r="K354" s="637"/>
      <c r="L354" s="449" t="n">
        <f aca="false">'☆掛負収入'!L354</f>
        <v>0</v>
      </c>
      <c r="M354" s="160" t="n">
        <f aca="false">SUM(K354:L354)</f>
        <v>0</v>
      </c>
      <c r="N354" s="637"/>
      <c r="O354" s="449" t="n">
        <f aca="false">'☆掛負収入'!O354</f>
        <v>0</v>
      </c>
      <c r="P354" s="160" t="n">
        <f aca="false">SUM(N354:O354)</f>
        <v>0</v>
      </c>
    </row>
    <row r="355" customFormat="false" ht="18.75" hidden="false" customHeight="true" outlineLevel="0" collapsed="false">
      <c r="A355" s="217"/>
      <c r="B355" s="625"/>
      <c r="C355" s="221"/>
      <c r="D355" s="474"/>
      <c r="E355" s="478"/>
      <c r="F355" s="248"/>
      <c r="G355" s="206"/>
      <c r="H355" s="627"/>
      <c r="I355" s="449"/>
      <c r="J355" s="160"/>
      <c r="K355" s="637"/>
      <c r="L355" s="449"/>
      <c r="M355" s="160" t="n">
        <f aca="false">SUM(K355:L355)</f>
        <v>0</v>
      </c>
      <c r="N355" s="637"/>
      <c r="O355" s="449"/>
      <c r="P355" s="160" t="n">
        <f aca="false">SUM(N355:O355)</f>
        <v>0</v>
      </c>
    </row>
    <row r="356" customFormat="false" ht="18.75" hidden="false" customHeight="true" outlineLevel="0" collapsed="false">
      <c r="A356" s="146" t="str">
        <f aca="false">'☆掛負収入'!A356</f>
        <v>日本下水道事業団</v>
      </c>
      <c r="B356" s="476" t="n">
        <f aca="false">'☆掛負収入'!B356</f>
        <v>241560</v>
      </c>
      <c r="C356" s="248" t="n">
        <f aca="false">'☆掛負収入'!C356</f>
        <v>19800</v>
      </c>
      <c r="D356" s="474" t="n">
        <f aca="false">'☆掛負収入'!D356</f>
        <v>241560</v>
      </c>
      <c r="E356" s="478" t="n">
        <f aca="false">'☆掛負収入'!E356</f>
        <v>19800</v>
      </c>
      <c r="F356" s="248" t="n">
        <f aca="false">'☆掛負収入'!F356</f>
        <v>229</v>
      </c>
      <c r="G356" s="206" t="n">
        <f aca="false">SUM(B356:F356)</f>
        <v>522949</v>
      </c>
      <c r="H356" s="619" t="n">
        <f aca="false">'☆掛負収入'!H356</f>
        <v>140019</v>
      </c>
      <c r="I356" s="449" t="n">
        <f aca="false">'☆掛負収入'!I356</f>
        <v>140157</v>
      </c>
      <c r="J356" s="160" t="n">
        <f aca="false">SUM(H356:I356)</f>
        <v>280176</v>
      </c>
      <c r="K356" s="464" t="n">
        <f aca="false">'☆掛負収入'!K356</f>
        <v>10744</v>
      </c>
      <c r="L356" s="449" t="n">
        <f aca="false">'☆掛負収入'!L356</f>
        <v>10744</v>
      </c>
      <c r="M356" s="160" t="n">
        <f aca="false">SUM(K356:L356)</f>
        <v>21488</v>
      </c>
      <c r="N356" s="464" t="n">
        <f aca="false">'☆掛負収入'!N356</f>
        <v>3104</v>
      </c>
      <c r="O356" s="449" t="n">
        <f aca="false">'☆掛負収入'!O356</f>
        <v>3105</v>
      </c>
      <c r="P356" s="160" t="n">
        <f aca="false">SUM(N356:O356)</f>
        <v>6209</v>
      </c>
    </row>
    <row r="357" customFormat="false" ht="18.75" hidden="false" customHeight="true" outlineLevel="0" collapsed="false">
      <c r="A357" s="125" t="str">
        <f aca="false">'☆掛負収入'!A357</f>
        <v>地方公務員災害補償基金本部</v>
      </c>
      <c r="B357" s="476" t="n">
        <f aca="false">'☆掛負収入'!B357</f>
        <v>40260</v>
      </c>
      <c r="C357" s="248" t="n">
        <f aca="false">'☆掛負収入'!C357</f>
        <v>3300</v>
      </c>
      <c r="D357" s="474" t="n">
        <f aca="false">'☆掛負収入'!D357</f>
        <v>40260</v>
      </c>
      <c r="E357" s="478" t="n">
        <f aca="false">'☆掛負収入'!E357</f>
        <v>3300</v>
      </c>
      <c r="F357" s="248" t="n">
        <f aca="false">'☆掛負収入'!F357</f>
        <v>38</v>
      </c>
      <c r="G357" s="206" t="n">
        <f aca="false">SUM(B357:F357)</f>
        <v>87158</v>
      </c>
      <c r="H357" s="619" t="n">
        <f aca="false">'☆掛負収入'!H357</f>
        <v>22818</v>
      </c>
      <c r="I357" s="449" t="n">
        <f aca="false">'☆掛負収入'!I357</f>
        <v>22840</v>
      </c>
      <c r="J357" s="160" t="n">
        <f aca="false">SUM(H357:I357)</f>
        <v>45658</v>
      </c>
      <c r="K357" s="464" t="n">
        <f aca="false">'☆掛負収入'!K357</f>
        <v>0</v>
      </c>
      <c r="L357" s="449" t="n">
        <f aca="false">'☆掛負収入'!L357</f>
        <v>0</v>
      </c>
      <c r="M357" s="160" t="n">
        <f aca="false">SUM(K357:L357)</f>
        <v>0</v>
      </c>
      <c r="N357" s="464" t="n">
        <f aca="false">'☆掛負収入'!N357</f>
        <v>506</v>
      </c>
      <c r="O357" s="449" t="n">
        <f aca="false">'☆掛負収入'!O357</f>
        <v>506</v>
      </c>
      <c r="P357" s="160" t="n">
        <f aca="false">SUM(N357:O357)</f>
        <v>1012</v>
      </c>
    </row>
    <row r="358" customFormat="false" ht="18.75" hidden="false" customHeight="true" outlineLevel="0" collapsed="false">
      <c r="A358" s="222"/>
      <c r="B358" s="474"/>
      <c r="C358" s="248"/>
      <c r="D358" s="474"/>
      <c r="E358" s="478"/>
      <c r="F358" s="248"/>
      <c r="G358" s="206"/>
      <c r="H358" s="619"/>
      <c r="I358" s="449"/>
      <c r="J358" s="160"/>
      <c r="K358" s="464"/>
      <c r="L358" s="449"/>
      <c r="M358" s="160" t="n">
        <f aca="false">SUM(K358:L358)</f>
        <v>0</v>
      </c>
      <c r="N358" s="464"/>
      <c r="O358" s="449"/>
      <c r="P358" s="160" t="n">
        <f aca="false">SUM(N358:O358)</f>
        <v>0</v>
      </c>
    </row>
    <row r="359" customFormat="false" ht="18.75" hidden="false" customHeight="true" outlineLevel="0" collapsed="false">
      <c r="A359" s="125" t="str">
        <f aca="false">'☆掛負収入'!A359</f>
        <v>高速道路公社</v>
      </c>
      <c r="B359" s="489" t="n">
        <f aca="false">'☆掛負収入'!B359</f>
        <v>793305</v>
      </c>
      <c r="C359" s="479" t="n">
        <f aca="false">'☆掛負収入'!C359</f>
        <v>65025</v>
      </c>
      <c r="D359" s="489" t="n">
        <f aca="false">'☆掛負収入'!D359</f>
        <v>793304</v>
      </c>
      <c r="E359" s="495" t="n">
        <f aca="false">'☆掛負収入'!E359</f>
        <v>65024</v>
      </c>
      <c r="F359" s="491" t="n">
        <f aca="false">'☆掛負収入'!F359</f>
        <v>756</v>
      </c>
      <c r="G359" s="206" t="n">
        <f aca="false">SUM(B359:F359)</f>
        <v>1717414</v>
      </c>
      <c r="H359" s="638" t="n">
        <f aca="false">'☆掛負収入'!H359</f>
        <v>449619</v>
      </c>
      <c r="I359" s="639" t="n">
        <f aca="false">'☆掛負収入'!I359</f>
        <v>450061</v>
      </c>
      <c r="J359" s="160" t="n">
        <f aca="false">SUM(H359:I359)</f>
        <v>899680</v>
      </c>
      <c r="K359" s="640" t="n">
        <f aca="false">'☆掛負収入'!K359</f>
        <v>39816</v>
      </c>
      <c r="L359" s="639" t="n">
        <f aca="false">'☆掛負収入'!L359</f>
        <v>39816</v>
      </c>
      <c r="M359" s="160" t="n">
        <f aca="false">SUM(K359:L359)</f>
        <v>79632</v>
      </c>
      <c r="N359" s="640" t="n">
        <f aca="false">'☆掛負収入'!N359</f>
        <v>9966</v>
      </c>
      <c r="O359" s="639" t="n">
        <f aca="false">'☆掛負収入'!O359</f>
        <v>9969</v>
      </c>
      <c r="P359" s="160" t="n">
        <f aca="false">SUM(N359:O359)</f>
        <v>19935</v>
      </c>
    </row>
    <row r="360" customFormat="false" ht="18.75" hidden="false" customHeight="true" outlineLevel="0" collapsed="false">
      <c r="A360" s="125" t="str">
        <f aca="false">'☆掛負収入'!A360</f>
        <v>農林水産振興センタ</v>
      </c>
      <c r="B360" s="482"/>
      <c r="C360" s="484"/>
      <c r="D360" s="476" t="n">
        <f aca="false">'☆掛負収入'!D360</f>
        <v>582855</v>
      </c>
      <c r="E360" s="498" t="n">
        <f aca="false">'☆掛負収入'!E360</f>
        <v>47775</v>
      </c>
      <c r="F360" s="479" t="n">
        <f aca="false">'☆掛負収入'!F360</f>
        <v>579</v>
      </c>
      <c r="G360" s="206" t="n">
        <f aca="false">SUM(B360:F360)</f>
        <v>631209</v>
      </c>
      <c r="H360" s="641"/>
      <c r="I360" s="432" t="n">
        <f aca="false">'☆掛負収入'!I360</f>
        <v>330681</v>
      </c>
      <c r="J360" s="160" t="n">
        <f aca="false">SUM(H360:I360)</f>
        <v>330681</v>
      </c>
      <c r="K360" s="642"/>
      <c r="L360" s="432" t="n">
        <f aca="false">'☆掛負収入'!L360</f>
        <v>28203</v>
      </c>
      <c r="M360" s="160" t="n">
        <f aca="false">SUM(K360:L360)</f>
        <v>28203</v>
      </c>
      <c r="N360" s="642"/>
      <c r="O360" s="432" t="n">
        <f aca="false">'☆掛負収入'!O360</f>
        <v>7324</v>
      </c>
      <c r="P360" s="160" t="n">
        <f aca="false">SUM(N360:O360)</f>
        <v>7324</v>
      </c>
    </row>
    <row r="361" customFormat="false" ht="18.75" hidden="false" customHeight="true" outlineLevel="0" collapsed="false">
      <c r="A361" s="228" t="str">
        <f aca="false">'☆掛負収入'!A361</f>
        <v>文化財団　市長部局</v>
      </c>
      <c r="B361" s="625"/>
      <c r="C361" s="221"/>
      <c r="D361" s="474" t="n">
        <f aca="false">'☆掛負収入'!D361</f>
        <v>1056825</v>
      </c>
      <c r="E361" s="478" t="n">
        <f aca="false">'☆掛負収入'!E361</f>
        <v>86625</v>
      </c>
      <c r="F361" s="479" t="n">
        <f aca="false">'☆掛負収入'!F361</f>
        <v>1000</v>
      </c>
      <c r="G361" s="206" t="n">
        <f aca="false">SUM(B361:F361)</f>
        <v>1144450</v>
      </c>
      <c r="H361" s="627"/>
      <c r="I361" s="432" t="n">
        <f aca="false">'☆掛負収入'!I361</f>
        <v>599038</v>
      </c>
      <c r="J361" s="160" t="n">
        <f aca="false">SUM(H361:I361)</f>
        <v>599038</v>
      </c>
      <c r="K361" s="637"/>
      <c r="L361" s="432" t="n">
        <f aca="false">'☆掛負収入'!L361</f>
        <v>85794</v>
      </c>
      <c r="M361" s="160" t="n">
        <f aca="false">SUM(K361:L361)</f>
        <v>85794</v>
      </c>
      <c r="N361" s="637"/>
      <c r="O361" s="432" t="n">
        <f aca="false">'☆掛負収入'!O361</f>
        <v>13270</v>
      </c>
      <c r="P361" s="160" t="n">
        <f aca="false">SUM(N361:O361)</f>
        <v>13270</v>
      </c>
    </row>
    <row r="362" customFormat="false" ht="18.75" hidden="false" customHeight="true" outlineLevel="0" collapsed="false">
      <c r="A362" s="229"/>
      <c r="B362" s="625"/>
      <c r="C362" s="221"/>
      <c r="D362" s="474"/>
      <c r="E362" s="478"/>
      <c r="F362" s="479"/>
      <c r="G362" s="206"/>
      <c r="H362" s="627"/>
      <c r="I362" s="432"/>
      <c r="J362" s="160"/>
      <c r="K362" s="637"/>
      <c r="L362" s="432"/>
      <c r="M362" s="160" t="n">
        <f aca="false">SUM(K362:L362)</f>
        <v>0</v>
      </c>
      <c r="N362" s="637"/>
      <c r="O362" s="432"/>
      <c r="P362" s="160" t="n">
        <f aca="false">SUM(N362:O362)</f>
        <v>0</v>
      </c>
    </row>
    <row r="363" customFormat="false" ht="18.75" hidden="false" customHeight="true" outlineLevel="0" collapsed="false">
      <c r="A363" s="125" t="str">
        <f aca="false">'☆掛負収入'!A363</f>
        <v>みどり生きもの協会</v>
      </c>
      <c r="B363" s="625"/>
      <c r="C363" s="221"/>
      <c r="D363" s="474" t="n">
        <f aca="false">'☆掛負収入'!D363</f>
        <v>405345</v>
      </c>
      <c r="E363" s="478" t="n">
        <f aca="false">'☆掛負収入'!E363</f>
        <v>33225</v>
      </c>
      <c r="F363" s="479" t="n">
        <f aca="false">'☆掛負収入'!F363</f>
        <v>383</v>
      </c>
      <c r="G363" s="206" t="n">
        <f aca="false">SUM(B363:F363)</f>
        <v>438953</v>
      </c>
      <c r="H363" s="627"/>
      <c r="I363" s="432" t="n">
        <f aca="false">'☆掛負収入'!I363</f>
        <v>229960</v>
      </c>
      <c r="J363" s="160" t="n">
        <f aca="false">SUM(H363:I363)</f>
        <v>229960</v>
      </c>
      <c r="K363" s="637"/>
      <c r="L363" s="432" t="n">
        <f aca="false">'☆掛負収入'!L363</f>
        <v>34997</v>
      </c>
      <c r="M363" s="160" t="n">
        <f aca="false">SUM(K363:L363)</f>
        <v>34997</v>
      </c>
      <c r="N363" s="637"/>
      <c r="O363" s="432" t="n">
        <f aca="false">'☆掛負収入'!O363</f>
        <v>5093</v>
      </c>
      <c r="P363" s="160" t="n">
        <f aca="false">SUM(N363:O363)</f>
        <v>5093</v>
      </c>
    </row>
    <row r="364" customFormat="false" ht="18.75" hidden="false" customHeight="true" outlineLevel="0" collapsed="false">
      <c r="A364" s="146" t="str">
        <f aca="false">'☆掛負収入'!A364</f>
        <v>県下水道公社</v>
      </c>
      <c r="B364" s="474" t="n">
        <f aca="false">'☆掛負収入'!B364</f>
        <v>148230</v>
      </c>
      <c r="C364" s="248" t="n">
        <f aca="false">'☆掛負収入'!C364</f>
        <v>12150</v>
      </c>
      <c r="D364" s="474" t="n">
        <f aca="false">'☆掛負収入'!D364</f>
        <v>148230</v>
      </c>
      <c r="E364" s="478" t="n">
        <f aca="false">'☆掛負収入'!E364</f>
        <v>12150</v>
      </c>
      <c r="F364" s="479" t="n">
        <f aca="false">'☆掛負収入'!F364</f>
        <v>140</v>
      </c>
      <c r="G364" s="206" t="n">
        <f aca="false">SUM(B364:F364)</f>
        <v>320900</v>
      </c>
      <c r="H364" s="619" t="n">
        <f aca="false">'☆掛負収入'!H364</f>
        <v>87123</v>
      </c>
      <c r="I364" s="432" t="n">
        <f aca="false">'☆掛負収入'!I364</f>
        <v>87208</v>
      </c>
      <c r="J364" s="160" t="n">
        <f aca="false">SUM(H364:I364)</f>
        <v>174331</v>
      </c>
      <c r="K364" s="464" t="n">
        <f aca="false">'☆掛負収入'!K364</f>
        <v>10033</v>
      </c>
      <c r="L364" s="432" t="n">
        <f aca="false">'☆掛負収入'!L364</f>
        <v>10033</v>
      </c>
      <c r="M364" s="160" t="n">
        <f aca="false">SUM(K364:L364)</f>
        <v>20066</v>
      </c>
      <c r="N364" s="464" t="n">
        <f aca="false">'☆掛負収入'!N364</f>
        <v>1931</v>
      </c>
      <c r="O364" s="432" t="n">
        <f aca="false">'☆掛負収入'!O364</f>
        <v>1932</v>
      </c>
      <c r="P364" s="160" t="n">
        <f aca="false">SUM(N364:O364)</f>
        <v>3863</v>
      </c>
    </row>
    <row r="365" customFormat="false" ht="18.75" hidden="false" customHeight="true" outlineLevel="0" collapsed="false">
      <c r="A365" s="146" t="str">
        <f aca="false">'☆掛負収入'!A365</f>
        <v>バス協調・共創
プラットフォーム</v>
      </c>
      <c r="B365" s="482"/>
      <c r="C365" s="484"/>
      <c r="D365" s="476" t="n">
        <f aca="false">'☆掛負収入'!D365</f>
        <v>455670</v>
      </c>
      <c r="E365" s="498" t="n">
        <f aca="false">'☆掛負収入'!E365</f>
        <v>37350</v>
      </c>
      <c r="F365" s="479" t="n">
        <f aca="false">'☆掛負収入'!F365</f>
        <v>432</v>
      </c>
      <c r="G365" s="206" t="n">
        <f aca="false">SUM(B365:F365)</f>
        <v>493452</v>
      </c>
      <c r="H365" s="641"/>
      <c r="I365" s="432" t="n">
        <f aca="false">'☆掛負収入'!I365</f>
        <v>267855</v>
      </c>
      <c r="J365" s="160" t="n">
        <f aca="false">SUM(H365:I365)</f>
        <v>267855</v>
      </c>
      <c r="K365" s="642"/>
      <c r="L365" s="432" t="n">
        <f aca="false">'☆掛負収入'!L365</f>
        <v>21725</v>
      </c>
      <c r="M365" s="160" t="n">
        <f aca="false">SUM(K365:L365)</f>
        <v>21725</v>
      </c>
      <c r="N365" s="642"/>
      <c r="O365" s="432" t="n">
        <f aca="false">'☆掛負収入'!O365</f>
        <v>5934</v>
      </c>
      <c r="P365" s="160" t="n">
        <f aca="false">SUM(N365:O365)</f>
        <v>5934</v>
      </c>
    </row>
    <row r="366" customFormat="false" ht="18.75" hidden="false" customHeight="true" outlineLevel="0" collapsed="false">
      <c r="A366" s="146" t="str">
        <f aca="false">'☆掛負収入'!A366</f>
        <v>広島県市長会</v>
      </c>
      <c r="B366" s="474" t="n">
        <f aca="false">'☆掛負収入'!B366</f>
        <v>56730</v>
      </c>
      <c r="C366" s="248" t="n">
        <f aca="false">'☆掛負収入'!C366</f>
        <v>4650</v>
      </c>
      <c r="D366" s="474" t="n">
        <f aca="false">'☆掛負収入'!D366</f>
        <v>56730</v>
      </c>
      <c r="E366" s="478" t="n">
        <f aca="false">'☆掛負収入'!E366</f>
        <v>4650</v>
      </c>
      <c r="F366" s="248" t="n">
        <f aca="false">'☆掛負収入'!F366</f>
        <v>53</v>
      </c>
      <c r="G366" s="206" t="n">
        <f aca="false">SUM(B366:F366)</f>
        <v>122813</v>
      </c>
      <c r="H366" s="619" t="n">
        <f aca="false">'☆掛負収入'!H366</f>
        <v>32153</v>
      </c>
      <c r="I366" s="449" t="n">
        <f aca="false">'☆掛負収入'!I366</f>
        <v>32184</v>
      </c>
      <c r="J366" s="160" t="n">
        <f aca="false">SUM(H366:I366)</f>
        <v>64337</v>
      </c>
      <c r="K366" s="464" t="n">
        <f aca="false">'☆掛負収入'!K366</f>
        <v>4898</v>
      </c>
      <c r="L366" s="449" t="n">
        <f aca="false">'☆掛負収入'!L366</f>
        <v>4898</v>
      </c>
      <c r="M366" s="160" t="n">
        <f aca="false">SUM(K366:L366)</f>
        <v>9796</v>
      </c>
      <c r="N366" s="464" t="n">
        <f aca="false">'☆掛負収入'!N366</f>
        <v>713</v>
      </c>
      <c r="O366" s="449" t="n">
        <f aca="false">'☆掛負収入'!O366</f>
        <v>713</v>
      </c>
      <c r="P366" s="160" t="n">
        <f aca="false">SUM(N366:O366)</f>
        <v>1426</v>
      </c>
    </row>
    <row r="367" customFormat="false" ht="18.75" hidden="false" customHeight="true" outlineLevel="0" collapsed="false">
      <c r="A367" s="214" t="str">
        <f aca="false">'☆掛負収入'!A367</f>
        <v>全国市町村研修財団</v>
      </c>
      <c r="B367" s="476" t="n">
        <f aca="false">'☆掛負収入'!B367</f>
        <v>59475</v>
      </c>
      <c r="C367" s="248" t="n">
        <f aca="false">'☆掛負収入'!C367</f>
        <v>4875</v>
      </c>
      <c r="D367" s="474" t="n">
        <f aca="false">'☆掛負収入'!D367</f>
        <v>59475</v>
      </c>
      <c r="E367" s="478" t="n">
        <f aca="false">'☆掛負収入'!E367</f>
        <v>4875</v>
      </c>
      <c r="F367" s="248" t="n">
        <f aca="false">'☆掛負収入'!F367</f>
        <v>56</v>
      </c>
      <c r="G367" s="206" t="n">
        <f aca="false">SUM(B367:F367)</f>
        <v>128756</v>
      </c>
      <c r="H367" s="619" t="n">
        <f aca="false">'☆掛負収入'!H367</f>
        <v>38895</v>
      </c>
      <c r="I367" s="449" t="n">
        <f aca="false">'☆掛負収入'!I367</f>
        <v>38932</v>
      </c>
      <c r="J367" s="160" t="n">
        <f aca="false">SUM(H367:I367)</f>
        <v>77827</v>
      </c>
      <c r="K367" s="464" t="n">
        <f aca="false">'☆掛負収入'!K367</f>
        <v>5925</v>
      </c>
      <c r="L367" s="449" t="n">
        <f aca="false">'☆掛負収入'!L367</f>
        <v>5925</v>
      </c>
      <c r="M367" s="160" t="n">
        <f aca="false">SUM(K367:L367)</f>
        <v>11850</v>
      </c>
      <c r="N367" s="464" t="n">
        <f aca="false">'☆掛負収入'!N367</f>
        <v>862</v>
      </c>
      <c r="O367" s="449" t="n">
        <f aca="false">'☆掛負収入'!O367</f>
        <v>862</v>
      </c>
      <c r="P367" s="160" t="n">
        <f aca="false">SUM(N367:O367)</f>
        <v>1724</v>
      </c>
    </row>
    <row r="368" customFormat="false" ht="18.75" hidden="false" customHeight="true" outlineLevel="0" collapsed="false">
      <c r="A368" s="214" t="str">
        <f aca="false">'☆掛負収入'!A368</f>
        <v>都市再生機構</v>
      </c>
      <c r="B368" s="474" t="n">
        <f aca="false">'☆掛負収入'!B368</f>
        <v>45750</v>
      </c>
      <c r="C368" s="248" t="n">
        <f aca="false">'☆掛負収入'!C368</f>
        <v>3750</v>
      </c>
      <c r="D368" s="474" t="n">
        <f aca="false">'☆掛負収入'!D368</f>
        <v>45750</v>
      </c>
      <c r="E368" s="478" t="n">
        <f aca="false">'☆掛負収入'!E368</f>
        <v>3750</v>
      </c>
      <c r="F368" s="248" t="n">
        <f aca="false">'☆掛負収入'!F368</f>
        <v>43</v>
      </c>
      <c r="G368" s="206" t="n">
        <f aca="false">SUM(B368:F368)</f>
        <v>99043</v>
      </c>
      <c r="H368" s="619" t="n">
        <f aca="false">'☆掛負収入'!H368</f>
        <v>25930</v>
      </c>
      <c r="I368" s="449" t="n">
        <f aca="false">'☆掛負収入'!I368</f>
        <v>25955</v>
      </c>
      <c r="J368" s="160" t="n">
        <f aca="false">SUM(H368:I368)</f>
        <v>51885</v>
      </c>
      <c r="K368" s="464" t="n">
        <f aca="false">'☆掛負収入'!K368</f>
        <v>0</v>
      </c>
      <c r="L368" s="449" t="n">
        <f aca="false">'☆掛負収入'!L368</f>
        <v>0</v>
      </c>
      <c r="M368" s="160" t="n">
        <f aca="false">SUM(K368:L368)</f>
        <v>0</v>
      </c>
      <c r="N368" s="464" t="n">
        <f aca="false">'☆掛負収入'!N368</f>
        <v>575</v>
      </c>
      <c r="O368" s="449" t="n">
        <f aca="false">'☆掛負収入'!O368</f>
        <v>575</v>
      </c>
      <c r="P368" s="160" t="n">
        <f aca="false">SUM(N368:O368)</f>
        <v>1150</v>
      </c>
    </row>
    <row r="369" customFormat="false" ht="18.75" hidden="false" customHeight="true" outlineLevel="0" collapsed="false">
      <c r="A369" s="146" t="str">
        <f aca="false">'☆掛負収入'!A369</f>
        <v>広島市立大学</v>
      </c>
      <c r="B369" s="431" t="n">
        <f aca="false">'☆掛負収入'!B369</f>
        <v>1231590</v>
      </c>
      <c r="C369" s="160" t="n">
        <f aca="false">'☆掛負収入'!C369</f>
        <v>100950</v>
      </c>
      <c r="D369" s="431" t="n">
        <f aca="false">'☆掛負収入'!D369</f>
        <v>1231590</v>
      </c>
      <c r="E369" s="464" t="n">
        <f aca="false">'☆掛負収入'!E369</f>
        <v>100950</v>
      </c>
      <c r="F369" s="248" t="n">
        <f aca="false">'☆掛負収入'!F369</f>
        <v>1237</v>
      </c>
      <c r="G369" s="206" t="n">
        <f aca="false">SUM(B369:F369)</f>
        <v>2666317</v>
      </c>
      <c r="H369" s="619" t="n">
        <f aca="false">'☆掛負収入'!H369</f>
        <v>708914</v>
      </c>
      <c r="I369" s="449" t="n">
        <f aca="false">'☆掛負収入'!I369</f>
        <v>709649</v>
      </c>
      <c r="J369" s="160" t="n">
        <f aca="false">SUM(H369:I369)</f>
        <v>1418563</v>
      </c>
      <c r="K369" s="464" t="n">
        <f aca="false">'☆掛負収入'!K369</f>
        <v>82002</v>
      </c>
      <c r="L369" s="449" t="n">
        <f aca="false">'☆掛負収入'!L369</f>
        <v>82002</v>
      </c>
      <c r="M369" s="160" t="n">
        <f aca="false">SUM(K369:L369)</f>
        <v>164004</v>
      </c>
      <c r="N369" s="464" t="n">
        <f aca="false">'☆掛負収入'!N369</f>
        <v>15716</v>
      </c>
      <c r="O369" s="449" t="n">
        <f aca="false">'☆掛負収入'!O369</f>
        <v>15720</v>
      </c>
      <c r="P369" s="160" t="n">
        <f aca="false">SUM(N369:O369)</f>
        <v>31436</v>
      </c>
    </row>
    <row r="370" customFormat="false" ht="18.75" hidden="false" customHeight="true" outlineLevel="0" collapsed="false">
      <c r="A370" s="146" t="str">
        <f aca="false">'☆掛負収入'!A370</f>
        <v>社会福祉協議会</v>
      </c>
      <c r="B370" s="431" t="n">
        <f aca="false">'☆掛負収入'!B370</f>
        <v>0</v>
      </c>
      <c r="C370" s="160" t="n">
        <f aca="false">'☆掛負収入'!C370</f>
        <v>0</v>
      </c>
      <c r="D370" s="431" t="n">
        <f aca="false">'☆掛負収入'!D370</f>
        <v>245220</v>
      </c>
      <c r="E370" s="464" t="n">
        <f aca="false">'☆掛負収入'!E370</f>
        <v>20100</v>
      </c>
      <c r="F370" s="248" t="n">
        <f aca="false">'☆掛負収入'!F370</f>
        <v>233</v>
      </c>
      <c r="G370" s="206" t="n">
        <f aca="false">SUM(B370:F370)</f>
        <v>265553</v>
      </c>
      <c r="H370" s="619" t="n">
        <f aca="false">'☆掛負収入'!H370</f>
        <v>0</v>
      </c>
      <c r="I370" s="449" t="n">
        <f aca="false">'☆掛負収入'!I370</f>
        <v>142234</v>
      </c>
      <c r="J370" s="160" t="n">
        <f aca="false">SUM(H370:I370)</f>
        <v>142234</v>
      </c>
      <c r="K370" s="464" t="n">
        <f aca="false">'☆掛負収入'!K370</f>
        <v>0</v>
      </c>
      <c r="L370" s="449" t="n">
        <f aca="false">'☆掛負収入'!L370</f>
        <v>10507</v>
      </c>
      <c r="M370" s="160" t="n">
        <f aca="false">SUM(K370:L370)</f>
        <v>10507</v>
      </c>
      <c r="N370" s="464" t="n">
        <f aca="false">'☆掛負収入'!N370</f>
        <v>0</v>
      </c>
      <c r="O370" s="449" t="n">
        <f aca="false">'☆掛負収入'!O370</f>
        <v>3151</v>
      </c>
      <c r="P370" s="160" t="n">
        <f aca="false">SUM(N370:O370)</f>
        <v>3151</v>
      </c>
    </row>
    <row r="371" customFormat="false" ht="18.75" hidden="false" customHeight="true" outlineLevel="0" collapsed="false">
      <c r="A371" s="228" t="s">
        <v>532</v>
      </c>
      <c r="B371" s="620" t="n">
        <f aca="false">'☆掛負収入'!B373</f>
        <v>0</v>
      </c>
      <c r="C371" s="617" t="n">
        <f aca="false">'☆掛負収入'!C373</f>
        <v>0</v>
      </c>
      <c r="D371" s="620" t="n">
        <f aca="false">'☆掛負収入'!D373</f>
        <v>0</v>
      </c>
      <c r="E371" s="465" t="n">
        <f aca="false">'☆掛負収入'!E373</f>
        <v>0</v>
      </c>
      <c r="F371" s="206" t="n">
        <f aca="false">'☆掛負収入'!F373</f>
        <v>0</v>
      </c>
      <c r="G371" s="206" t="n">
        <f aca="false">SUM(B371:F371)</f>
        <v>0</v>
      </c>
      <c r="H371" s="620" t="n">
        <f aca="false">'☆掛負収入'!H373</f>
        <v>0</v>
      </c>
      <c r="I371" s="464" t="n">
        <f aca="false">'☆掛負収入'!I373</f>
        <v>0</v>
      </c>
      <c r="J371" s="160" t="n">
        <f aca="false">SUM(H371:I371)</f>
        <v>0</v>
      </c>
      <c r="K371" s="464" t="n">
        <f aca="false">'☆掛負収入'!K373</f>
        <v>0</v>
      </c>
      <c r="L371" s="449" t="n">
        <f aca="false">'☆掛負収入'!L373</f>
        <v>0</v>
      </c>
      <c r="M371" s="160" t="n">
        <f aca="false">SUM(K371:L371)</f>
        <v>0</v>
      </c>
      <c r="N371" s="464" t="n">
        <f aca="false">'☆掛負収入'!N373</f>
        <v>0</v>
      </c>
      <c r="O371" s="449" t="n">
        <f aca="false">'☆掛負収入'!O373</f>
        <v>0</v>
      </c>
      <c r="P371" s="160" t="n">
        <f aca="false">SUM(N371:O371)</f>
        <v>0</v>
      </c>
    </row>
    <row r="372" customFormat="false" ht="18.75" hidden="false" customHeight="true" outlineLevel="0" collapsed="false">
      <c r="A372" s="146" t="str">
        <f aca="false">'☆掛負収入'!A374</f>
        <v>全国市長会</v>
      </c>
      <c r="B372" s="620" t="n">
        <f aca="false">'☆掛負収入'!B374</f>
        <v>118950</v>
      </c>
      <c r="C372" s="617" t="n">
        <f aca="false">'☆掛負収入'!C374</f>
        <v>9750</v>
      </c>
      <c r="D372" s="620" t="n">
        <f aca="false">'☆掛負収入'!D374</f>
        <v>118950</v>
      </c>
      <c r="E372" s="465" t="n">
        <f aca="false">'☆掛負収入'!E374</f>
        <v>9750</v>
      </c>
      <c r="F372" s="206" t="n">
        <f aca="false">'☆掛負収入'!F374</f>
        <v>112</v>
      </c>
      <c r="G372" s="206" t="n">
        <f aca="false">SUM(B372:F372)</f>
        <v>257512</v>
      </c>
      <c r="H372" s="620" t="n">
        <f aca="false">'☆掛負収入'!H374</f>
        <v>84531</v>
      </c>
      <c r="I372" s="464" t="n">
        <f aca="false">'☆掛負収入'!I374</f>
        <v>84613</v>
      </c>
      <c r="J372" s="160" t="n">
        <f aca="false">SUM(H372:I372)</f>
        <v>169144</v>
      </c>
      <c r="K372" s="464" t="n">
        <f aca="false">'☆掛負収入'!K374</f>
        <v>12877</v>
      </c>
      <c r="L372" s="449" t="n">
        <f aca="false">'☆掛負収入'!L374</f>
        <v>12877</v>
      </c>
      <c r="M372" s="160" t="n">
        <f aca="false">SUM(K372:L372)</f>
        <v>25754</v>
      </c>
      <c r="N372" s="464" t="n">
        <f aca="false">'☆掛負収入'!N374</f>
        <v>1874</v>
      </c>
      <c r="O372" s="449" t="n">
        <f aca="false">'☆掛負収入'!O374</f>
        <v>1874</v>
      </c>
      <c r="P372" s="160" t="n">
        <f aca="false">SUM(N372:O372)</f>
        <v>3748</v>
      </c>
    </row>
    <row r="373" customFormat="false" ht="18.75" hidden="false" customHeight="true" outlineLevel="0" collapsed="false">
      <c r="A373" s="233"/>
      <c r="B373" s="431"/>
      <c r="C373" s="418"/>
      <c r="D373" s="431"/>
      <c r="E373" s="464"/>
      <c r="F373" s="160"/>
      <c r="G373" s="206"/>
      <c r="H373" s="619"/>
      <c r="I373" s="449"/>
      <c r="J373" s="160"/>
      <c r="K373" s="464"/>
      <c r="L373" s="449"/>
      <c r="M373" s="160"/>
      <c r="N373" s="464"/>
      <c r="O373" s="449"/>
      <c r="P373" s="160"/>
    </row>
    <row r="374" customFormat="false" ht="18.75" hidden="false" customHeight="true" outlineLevel="0" collapsed="false">
      <c r="A374" s="233"/>
      <c r="B374" s="620"/>
      <c r="C374" s="391"/>
      <c r="D374" s="620"/>
      <c r="E374" s="621"/>
      <c r="F374" s="418"/>
      <c r="G374" s="206"/>
      <c r="H374" s="620"/>
      <c r="I374" s="465"/>
      <c r="J374" s="160"/>
      <c r="K374" s="621"/>
      <c r="L374" s="465"/>
      <c r="M374" s="160"/>
      <c r="N374" s="621"/>
      <c r="O374" s="465"/>
      <c r="P374" s="160"/>
    </row>
    <row r="375" customFormat="false" ht="18.75" hidden="false" customHeight="true" outlineLevel="0" collapsed="false">
      <c r="A375" s="217"/>
      <c r="B375" s="431"/>
      <c r="C375" s="206"/>
      <c r="D375" s="431"/>
      <c r="E375" s="617"/>
      <c r="F375" s="160"/>
      <c r="G375" s="206"/>
      <c r="H375" s="431"/>
      <c r="I375" s="644"/>
      <c r="J375" s="160"/>
      <c r="K375" s="617"/>
      <c r="L375" s="644"/>
      <c r="M375" s="160"/>
      <c r="N375" s="617"/>
      <c r="O375" s="644"/>
      <c r="P375" s="160"/>
    </row>
    <row r="376" customFormat="false" ht="18.75" hidden="false" customHeight="true" outlineLevel="0" collapsed="false">
      <c r="A376" s="217"/>
      <c r="B376" s="620"/>
      <c r="C376" s="418"/>
      <c r="D376" s="621"/>
      <c r="E376" s="465"/>
      <c r="F376" s="418"/>
      <c r="G376" s="391"/>
      <c r="H376" s="431"/>
      <c r="I376" s="465"/>
      <c r="J376" s="160"/>
      <c r="K376" s="621"/>
      <c r="L376" s="465"/>
      <c r="M376" s="160"/>
      <c r="N376" s="621"/>
      <c r="O376" s="465"/>
      <c r="P376" s="160"/>
    </row>
    <row r="377" customFormat="false" ht="18.75" hidden="false" customHeight="true" outlineLevel="0" collapsed="false">
      <c r="A377" s="630"/>
      <c r="B377" s="647"/>
      <c r="C377" s="278"/>
      <c r="D377" s="648"/>
      <c r="E377" s="649"/>
      <c r="F377" s="278"/>
      <c r="G377" s="646"/>
      <c r="H377" s="647"/>
      <c r="I377" s="648"/>
      <c r="J377" s="648" t="n">
        <f aca="false">SUM(H377:I377)</f>
        <v>0</v>
      </c>
      <c r="K377" s="647"/>
      <c r="L377" s="648"/>
      <c r="M377" s="722" t="n">
        <f aca="false">SUM(K377:L377)</f>
        <v>0</v>
      </c>
      <c r="N377" s="647"/>
      <c r="O377" s="648"/>
      <c r="P377" s="722" t="n">
        <f aca="false">SUM(N377:O377)</f>
        <v>0</v>
      </c>
    </row>
    <row r="378" customFormat="false" ht="18.75" hidden="false" customHeight="true" outlineLevel="0" collapsed="false">
      <c r="A378" s="196" t="str">
        <f aca="false">'☆掛負収入'!A378</f>
        <v>小　計</v>
      </c>
      <c r="B378" s="429" t="n">
        <f aca="false">SUM(B348:B377)</f>
        <v>2735850</v>
      </c>
      <c r="C378" s="200" t="n">
        <f aca="false">SUM(C348:C377)</f>
        <v>224250</v>
      </c>
      <c r="D378" s="429" t="n">
        <f aca="false">SUM(D348:D377)</f>
        <v>8740994</v>
      </c>
      <c r="E378" s="301" t="n">
        <f aca="false">SUM(E348:E377)</f>
        <v>716474</v>
      </c>
      <c r="F378" s="200" t="n">
        <f aca="false">SUM(F348:F377)</f>
        <v>8624</v>
      </c>
      <c r="G378" s="201" t="n">
        <f aca="false">SUM(B378:F378)</f>
        <v>12426192</v>
      </c>
      <c r="H378" s="429" t="n">
        <f aca="false">SUM(H348:H377)</f>
        <v>1590002</v>
      </c>
      <c r="I378" s="199" t="n">
        <f aca="false">SUM(I348:I377)</f>
        <v>5168309</v>
      </c>
      <c r="J378" s="200" t="n">
        <f aca="false">SUM(H378:I378)</f>
        <v>6758311</v>
      </c>
      <c r="K378" s="429" t="n">
        <f aca="false">SUM(K348:K377)</f>
        <v>166295</v>
      </c>
      <c r="L378" s="199" t="n">
        <f aca="false">SUM(L348:L377)</f>
        <v>581756</v>
      </c>
      <c r="M378" s="198" t="n">
        <f aca="false">SUM(K378:L378)</f>
        <v>748051</v>
      </c>
      <c r="N378" s="429" t="n">
        <f aca="false">SUM(N348:N377)</f>
        <v>35247</v>
      </c>
      <c r="O378" s="199" t="n">
        <f aca="false">SUM(O348:O377)</f>
        <v>114483</v>
      </c>
      <c r="P378" s="198" t="n">
        <f aca="false">SUM(N378:O378)</f>
        <v>149730</v>
      </c>
    </row>
    <row r="379" customFormat="false" ht="18.75" hidden="true" customHeight="true" outlineLevel="0" collapsed="false">
      <c r="A379" s="629"/>
      <c r="B379" s="647"/>
      <c r="C379" s="278"/>
      <c r="D379" s="648"/>
      <c r="E379" s="649"/>
      <c r="F379" s="650"/>
      <c r="G379" s="651"/>
      <c r="H379" s="652"/>
      <c r="I379" s="653"/>
      <c r="J379" s="654"/>
      <c r="K379" s="655"/>
      <c r="L379" s="656"/>
      <c r="M379" s="657"/>
      <c r="N379" s="655"/>
      <c r="O379" s="656"/>
      <c r="P379" s="657"/>
    </row>
    <row r="380" customFormat="false" ht="18.75" hidden="true" customHeight="true" outlineLevel="0" collapsed="false">
      <c r="A380" s="658"/>
      <c r="B380" s="631"/>
      <c r="C380" s="633"/>
      <c r="D380" s="648"/>
      <c r="E380" s="649"/>
      <c r="F380" s="278"/>
      <c r="G380" s="646"/>
      <c r="H380" s="659"/>
      <c r="I380" s="660"/>
      <c r="J380" s="408"/>
      <c r="K380" s="661"/>
      <c r="L380" s="662"/>
      <c r="M380" s="663"/>
      <c r="N380" s="661"/>
      <c r="O380" s="662"/>
      <c r="P380" s="663"/>
    </row>
    <row r="381" customFormat="false" ht="18.75" hidden="false" customHeight="true" outlineLevel="0" collapsed="false">
      <c r="A381" s="214" t="str">
        <f aca="false">'☆掛負収入'!A381</f>
        <v>高速交通（株）</v>
      </c>
      <c r="B381" s="489" t="n">
        <f aca="false">'☆掛負収入'!B381</f>
        <v>145485</v>
      </c>
      <c r="C381" s="491" t="n">
        <f aca="false">'☆掛負収入'!C381</f>
        <v>11925</v>
      </c>
      <c r="D381" s="477" t="n">
        <f aca="false">'☆掛負収入'!D381</f>
        <v>145485</v>
      </c>
      <c r="E381" s="487" t="n">
        <f aca="false">'☆掛負収入'!E381</f>
        <v>11925</v>
      </c>
      <c r="F381" s="479" t="n">
        <f aca="false">'☆掛負収入'!F381</f>
        <v>138</v>
      </c>
      <c r="G381" s="391" t="n">
        <f aca="false">SUM(B381:F381)</f>
        <v>314958</v>
      </c>
      <c r="H381" s="665"/>
      <c r="I381" s="665"/>
      <c r="J381" s="665"/>
      <c r="K381" s="665"/>
      <c r="L381" s="665"/>
      <c r="M381" s="665"/>
      <c r="N381" s="665"/>
      <c r="O381" s="665"/>
      <c r="P381" s="665"/>
    </row>
    <row r="382" customFormat="false" ht="18.75" hidden="false" customHeight="true" outlineLevel="0" collapsed="false">
      <c r="A382" s="666" t="s">
        <v>209</v>
      </c>
      <c r="B382" s="489" t="n">
        <f aca="false">'☆掛負収入'!B382</f>
        <v>53985</v>
      </c>
      <c r="C382" s="491" t="n">
        <f aca="false">'☆掛負収入'!C382</f>
        <v>4425</v>
      </c>
      <c r="D382" s="477" t="n">
        <f aca="false">'☆掛負収入'!D382</f>
        <v>53985</v>
      </c>
      <c r="E382" s="487" t="n">
        <f aca="false">'☆掛負収入'!E382</f>
        <v>4425</v>
      </c>
      <c r="F382" s="479" t="n">
        <f aca="false">'☆掛負収入'!F382</f>
        <v>51</v>
      </c>
      <c r="G382" s="391" t="n">
        <f aca="false">SUM(B382:F382)</f>
        <v>116871</v>
      </c>
      <c r="H382" s="665"/>
      <c r="I382" s="665"/>
      <c r="J382" s="665"/>
      <c r="K382" s="665"/>
      <c r="L382" s="665"/>
      <c r="M382" s="665"/>
      <c r="N382" s="665"/>
      <c r="O382" s="665"/>
      <c r="P382" s="665"/>
    </row>
    <row r="383" customFormat="false" ht="18.75" hidden="false" customHeight="true" outlineLevel="0" collapsed="false">
      <c r="A383" s="196" t="str">
        <f aca="false">'☆掛負収入'!A383</f>
        <v>小　計</v>
      </c>
      <c r="B383" s="197" t="n">
        <f aca="false">SUM(B381:B382)</f>
        <v>199470</v>
      </c>
      <c r="C383" s="200" t="n">
        <f aca="false">SUM(C379:C382)</f>
        <v>16350</v>
      </c>
      <c r="D383" s="681" t="n">
        <f aca="false">SUM(D379:D382)</f>
        <v>199470</v>
      </c>
      <c r="E383" s="199" t="n">
        <f aca="false">SUM(E379:E382)</f>
        <v>16350</v>
      </c>
      <c r="F383" s="200" t="n">
        <f aca="false">SUM(F379:F382)</f>
        <v>189</v>
      </c>
      <c r="G383" s="201" t="n">
        <f aca="false">SUM(B383:F383)</f>
        <v>431829</v>
      </c>
      <c r="H383" s="665"/>
      <c r="I383" s="665"/>
      <c r="J383" s="665"/>
      <c r="K383" s="665"/>
      <c r="L383" s="665"/>
      <c r="M383" s="665"/>
      <c r="N383" s="665"/>
      <c r="O383" s="665"/>
      <c r="P383" s="665"/>
    </row>
    <row r="384" customFormat="false" ht="18.75" hidden="false" customHeight="true" outlineLevel="0" collapsed="false">
      <c r="A384" s="125" t="str">
        <f aca="false">'☆掛負収入'!A384</f>
        <v>市職員労働組合</v>
      </c>
      <c r="B384" s="474" t="n">
        <f aca="false">'☆掛負収入'!B384</f>
        <v>29280</v>
      </c>
      <c r="C384" s="248" t="n">
        <f aca="false">'☆掛負収入'!C384</f>
        <v>2400</v>
      </c>
      <c r="D384" s="470" t="n">
        <f aca="false">'☆掛負収入'!D384</f>
        <v>29280</v>
      </c>
      <c r="E384" s="488" t="n">
        <f aca="false">'☆掛負収入'!E384</f>
        <v>2400</v>
      </c>
      <c r="F384" s="221"/>
      <c r="G384" s="206" t="n">
        <f aca="false">SUM(B384:F384)</f>
        <v>63360</v>
      </c>
      <c r="H384" s="619" t="n">
        <f aca="false">'☆掛負収入'!H384</f>
        <v>16595</v>
      </c>
      <c r="I384" s="449" t="n">
        <f aca="false">'☆掛負収入'!I384</f>
        <v>16611</v>
      </c>
      <c r="J384" s="160" t="n">
        <f aca="false">SUM(H384:I384)</f>
        <v>33206</v>
      </c>
      <c r="K384" s="474" t="n">
        <f aca="false">'☆掛負収入'!K384</f>
        <v>2528</v>
      </c>
      <c r="L384" s="488" t="n">
        <f aca="false">'☆掛負収入'!L384</f>
        <v>2528</v>
      </c>
      <c r="M384" s="471" t="n">
        <f aca="false">SUM(K384:L384)</f>
        <v>5056</v>
      </c>
      <c r="N384" s="474" t="n">
        <f aca="false">'☆掛負収入'!N384</f>
        <v>368</v>
      </c>
      <c r="O384" s="488" t="n">
        <f aca="false">'☆掛負収入'!O384</f>
        <v>368</v>
      </c>
      <c r="P384" s="471" t="n">
        <f aca="false">SUM(N384:O384)</f>
        <v>736</v>
      </c>
    </row>
    <row r="385" customFormat="false" ht="18.75" hidden="false" customHeight="true" outlineLevel="0" collapsed="false">
      <c r="A385" s="125" t="str">
        <f aca="false">'☆掛負収入'!A385</f>
        <v>自治労労働組合</v>
      </c>
      <c r="B385" s="474" t="n">
        <f aca="false">'☆掛負収入'!B385</f>
        <v>0</v>
      </c>
      <c r="C385" s="402" t="n">
        <f aca="false">'☆掛負収入'!C385</f>
        <v>0</v>
      </c>
      <c r="D385" s="474" t="n">
        <f aca="false">'☆掛負収入'!D385</f>
        <v>0</v>
      </c>
      <c r="E385" s="488" t="n">
        <f aca="false">'☆掛負収入'!E385</f>
        <v>0</v>
      </c>
      <c r="F385" s="221"/>
      <c r="G385" s="206" t="n">
        <f aca="false">SUM(B385:F385)</f>
        <v>0</v>
      </c>
      <c r="H385" s="619" t="n">
        <f aca="false">'☆掛負収入'!H385</f>
        <v>0</v>
      </c>
      <c r="I385" s="449" t="n">
        <f aca="false">'☆掛負収入'!I385</f>
        <v>0</v>
      </c>
      <c r="J385" s="160" t="n">
        <f aca="false">SUM(H385:I385)</f>
        <v>0</v>
      </c>
      <c r="K385" s="619" t="n">
        <f aca="false">'☆掛負収入'!K385</f>
        <v>0</v>
      </c>
      <c r="L385" s="449" t="n">
        <f aca="false">'☆掛負収入'!L385</f>
        <v>0</v>
      </c>
      <c r="M385" s="160" t="n">
        <f aca="false">SUM(K385:L385)</f>
        <v>0</v>
      </c>
      <c r="N385" s="619" t="n">
        <f aca="false">'☆掛負収入'!N385</f>
        <v>0</v>
      </c>
      <c r="O385" s="449" t="n">
        <f aca="false">'☆掛負収入'!O385</f>
        <v>0</v>
      </c>
      <c r="P385" s="160" t="n">
        <f aca="false">SUM(N385:O385)</f>
        <v>0</v>
      </c>
    </row>
    <row r="386" customFormat="false" ht="18.75" hidden="false" customHeight="true" outlineLevel="0" collapsed="false">
      <c r="A386" s="125" t="str">
        <f aca="false">'☆掛負収入'!A386</f>
        <v>病院労働組合</v>
      </c>
      <c r="B386" s="431"/>
      <c r="C386" s="206"/>
      <c r="D386" s="431"/>
      <c r="E386" s="644"/>
      <c r="F386" s="221"/>
      <c r="G386" s="206" t="n">
        <f aca="false">SUM(B386:F386)</f>
        <v>0</v>
      </c>
      <c r="H386" s="619"/>
      <c r="I386" s="449"/>
      <c r="J386" s="160" t="n">
        <f aca="false">SUM(H386:I386)</f>
        <v>0</v>
      </c>
      <c r="K386" s="619"/>
      <c r="L386" s="449"/>
      <c r="M386" s="160" t="n">
        <f aca="false">SUM(K386:L386)</f>
        <v>0</v>
      </c>
      <c r="N386" s="619"/>
      <c r="O386" s="449"/>
      <c r="P386" s="160" t="n">
        <f aca="false">SUM(N386:O386)</f>
        <v>0</v>
      </c>
    </row>
    <row r="387" customFormat="false" ht="18.75" hidden="false" customHeight="true" outlineLevel="0" collapsed="false">
      <c r="A387" s="302" t="str">
        <f aca="false">'☆掛負収入'!A387</f>
        <v>水道労働組合</v>
      </c>
      <c r="B387" s="673"/>
      <c r="C387" s="444"/>
      <c r="D387" s="673"/>
      <c r="E387" s="623"/>
      <c r="F387" s="296"/>
      <c r="G387" s="206" t="n">
        <f aca="false">SUM(B387:F387)</f>
        <v>0</v>
      </c>
      <c r="H387" s="674"/>
      <c r="I387" s="675"/>
      <c r="J387" s="160" t="n">
        <f aca="false">SUM(H387:I387)</f>
        <v>0</v>
      </c>
      <c r="K387" s="676"/>
      <c r="L387" s="677"/>
      <c r="M387" s="160" t="n">
        <f aca="false">SUM(K387:L387)</f>
        <v>0</v>
      </c>
      <c r="N387" s="676"/>
      <c r="O387" s="677"/>
      <c r="P387" s="160" t="n">
        <f aca="false">SUM(N387:O387)</f>
        <v>0</v>
      </c>
    </row>
    <row r="388" customFormat="false" ht="18.75" hidden="false" customHeight="true" outlineLevel="0" collapsed="false">
      <c r="A388" s="196" t="str">
        <f aca="false">'☆掛負収入'!A388</f>
        <v>小　計</v>
      </c>
      <c r="B388" s="429" t="n">
        <f aca="false">SUM(B384:B387)</f>
        <v>29280</v>
      </c>
      <c r="C388" s="200" t="n">
        <f aca="false">SUM(C384:C387)</f>
        <v>2400</v>
      </c>
      <c r="D388" s="429" t="n">
        <f aca="false">SUM(D384:D387)</f>
        <v>29280</v>
      </c>
      <c r="E388" s="199" t="n">
        <f aca="false">SUM(E384:E387)</f>
        <v>2400</v>
      </c>
      <c r="F388" s="198" t="n">
        <f aca="false">SUM(F384:F387)</f>
        <v>0</v>
      </c>
      <c r="G388" s="197" t="n">
        <f aca="false">SUM(B388:F388)</f>
        <v>63360</v>
      </c>
      <c r="H388" s="429" t="n">
        <f aca="false">SUM(H384:H387)</f>
        <v>16595</v>
      </c>
      <c r="I388" s="199" t="n">
        <f aca="false">SUM(I384:I387)</f>
        <v>16611</v>
      </c>
      <c r="J388" s="200" t="n">
        <f aca="false">SUM(H388:I388)</f>
        <v>33206</v>
      </c>
      <c r="K388" s="197" t="n">
        <f aca="false">SUM(K384:K387)</f>
        <v>2528</v>
      </c>
      <c r="L388" s="198" t="n">
        <f aca="false">SUM(L384:L387)</f>
        <v>2528</v>
      </c>
      <c r="M388" s="200" t="n">
        <f aca="false">SUM(K388:L388)</f>
        <v>5056</v>
      </c>
      <c r="N388" s="197" t="n">
        <f aca="false">SUM(N384:N387)</f>
        <v>368</v>
      </c>
      <c r="O388" s="198" t="n">
        <f aca="false">SUM(O384:O387)</f>
        <v>368</v>
      </c>
      <c r="P388" s="200" t="n">
        <f aca="false">SUM(N388:O388)</f>
        <v>736</v>
      </c>
    </row>
    <row r="389" customFormat="false" ht="18.75" hidden="false" customHeight="true" outlineLevel="0" collapsed="false">
      <c r="A389" s="302" t="str">
        <f aca="false">'☆掛負収入'!A389</f>
        <v>任意継続組合員</v>
      </c>
      <c r="B389" s="281"/>
      <c r="C389" s="523"/>
      <c r="D389" s="524"/>
      <c r="E389" s="525"/>
      <c r="F389" s="296"/>
      <c r="G389" s="293"/>
      <c r="H389" s="678"/>
      <c r="I389" s="282"/>
      <c r="J389" s="283"/>
      <c r="K389" s="524"/>
      <c r="L389" s="679"/>
      <c r="M389" s="292"/>
      <c r="N389" s="524"/>
      <c r="O389" s="679"/>
      <c r="P389" s="292"/>
    </row>
    <row r="390" customFormat="false" ht="30" hidden="false" customHeight="true" outlineLevel="0" collapsed="false">
      <c r="A390" s="680" t="str">
        <f aca="false">'☆掛負収入'!A390</f>
        <v>総　　計</v>
      </c>
      <c r="B390" s="429" t="n">
        <f aca="false">SUM(B347+B378+B383+B388)</f>
        <v>2964600</v>
      </c>
      <c r="C390" s="200" t="n">
        <f aca="false">SUM(C347+C378+C383+C388)</f>
        <v>243000</v>
      </c>
      <c r="D390" s="681" t="n">
        <f aca="false">SUM(D347+D378+D383+D388)</f>
        <v>8969744</v>
      </c>
      <c r="E390" s="199" t="n">
        <f aca="false">SUM(E347+E378+E383+E388)</f>
        <v>735224</v>
      </c>
      <c r="F390" s="201" t="n">
        <f aca="false">SUM(F347+F378+F383+F388)</f>
        <v>8813</v>
      </c>
      <c r="G390" s="197" t="n">
        <f aca="false">SUM(B390:F390)</f>
        <v>12921381</v>
      </c>
      <c r="H390" s="429" t="n">
        <f aca="false">SUM(H347+H378+H383+H388+H389)</f>
        <v>1606597</v>
      </c>
      <c r="I390" s="199" t="n">
        <f aca="false">SUM(I347+I378+I383+I388+I389)</f>
        <v>5184920</v>
      </c>
      <c r="J390" s="200" t="n">
        <f aca="false">SUM(H390:I390)</f>
        <v>6791517</v>
      </c>
      <c r="K390" s="197" t="n">
        <f aca="false">K347+K378+K383+K388+K389</f>
        <v>168823</v>
      </c>
      <c r="L390" s="198" t="n">
        <f aca="false">L347+L378+L383+L388</f>
        <v>584284</v>
      </c>
      <c r="M390" s="200" t="n">
        <f aca="false">SUM(K390:L390)</f>
        <v>753107</v>
      </c>
      <c r="N390" s="197" t="n">
        <f aca="false">N347+N378+N383+N388+N389</f>
        <v>35615</v>
      </c>
      <c r="O390" s="198" t="n">
        <f aca="false">O347+O378+O383+O388</f>
        <v>114851</v>
      </c>
      <c r="P390" s="200" t="n">
        <f aca="false">SUM(N390:O390)</f>
        <v>150466</v>
      </c>
    </row>
    <row r="391" customFormat="false" ht="18.75" hidden="false" customHeight="true" outlineLevel="0" collapsed="false">
      <c r="A391" s="340"/>
      <c r="B391" s="341"/>
      <c r="C391" s="341"/>
      <c r="D391" s="341"/>
      <c r="E391" s="341"/>
      <c r="F391" s="341"/>
      <c r="G391" s="341"/>
      <c r="H391" s="341"/>
      <c r="I391" s="341"/>
      <c r="J391" s="341"/>
      <c r="K391" s="341"/>
      <c r="L391" s="341"/>
      <c r="M391" s="341"/>
      <c r="N391" s="341"/>
      <c r="O391" s="341"/>
      <c r="P391" s="341"/>
    </row>
    <row r="392" customFormat="false" ht="30" hidden="false" customHeight="true" outlineLevel="0" collapsed="false">
      <c r="A392" s="320"/>
      <c r="B392" s="416" t="n">
        <f aca="false">'☆掛負収入'!B392</f>
        <v>46295</v>
      </c>
      <c r="C392" s="416" t="n">
        <f aca="false">'☆掛負収入'!C392</f>
        <v>0</v>
      </c>
      <c r="D392" s="416" t="n">
        <f aca="false">'☆掛負収入'!D392</f>
        <v>0</v>
      </c>
      <c r="E392" s="416" t="n">
        <f aca="false">'☆掛負収入'!E392</f>
        <v>0</v>
      </c>
      <c r="F392" s="416" t="n">
        <f aca="false">'☆掛負収入'!F392</f>
        <v>0</v>
      </c>
      <c r="G392" s="416" t="n">
        <f aca="false">'☆掛負収入'!G392</f>
        <v>0</v>
      </c>
      <c r="H392" s="416" t="n">
        <f aca="false">'☆掛負収入'!H392</f>
        <v>46295</v>
      </c>
      <c r="I392" s="416" t="n">
        <f aca="false">'☆掛負収入'!I392</f>
        <v>0</v>
      </c>
      <c r="J392" s="416" t="n">
        <f aca="false">'☆掛負収入'!J392</f>
        <v>0</v>
      </c>
      <c r="K392" s="416" t="n">
        <f aca="false">'☆掛負収入'!K392</f>
        <v>46295</v>
      </c>
      <c r="L392" s="416" t="n">
        <f aca="false">'☆掛負収入'!L392</f>
        <v>0</v>
      </c>
      <c r="M392" s="416" t="n">
        <f aca="false">'☆掛負収入'!M392</f>
        <v>0</v>
      </c>
      <c r="N392" s="416" t="n">
        <f aca="false">'☆掛負収入'!N392</f>
        <v>46295</v>
      </c>
      <c r="O392" s="416" t="n">
        <f aca="false">'☆掛負収入'!O392</f>
        <v>0</v>
      </c>
      <c r="P392" s="416" t="n">
        <f aca="false">'☆掛負収入'!P392</f>
        <v>0</v>
      </c>
    </row>
    <row r="393" customFormat="false" ht="22.5" hidden="false" customHeight="true" outlineLevel="0" collapsed="false">
      <c r="A393" s="114" t="str">
        <f aca="false">'☆掛負収入'!A393</f>
        <v>区　　分</v>
      </c>
      <c r="B393" s="114" t="str">
        <f aca="false">'☆掛負収入'!B393</f>
        <v>長　期　経　理</v>
      </c>
      <c r="C393" s="114" t="n">
        <f aca="false">'☆掛負収入'!C393</f>
        <v>0</v>
      </c>
      <c r="D393" s="114" t="n">
        <f aca="false">'☆掛負収入'!D393</f>
        <v>0</v>
      </c>
      <c r="E393" s="114" t="n">
        <f aca="false">'☆掛負収入'!E393</f>
        <v>0</v>
      </c>
      <c r="F393" s="114" t="n">
        <f aca="false">'☆掛負収入'!F393</f>
        <v>0</v>
      </c>
      <c r="G393" s="114" t="n">
        <f aca="false">'☆掛負収入'!G393</f>
        <v>0</v>
      </c>
      <c r="H393" s="116" t="str">
        <f aca="false">'☆掛負収入'!H393</f>
        <v>短　期　経　理</v>
      </c>
      <c r="I393" s="116" t="n">
        <f aca="false">'☆掛負収入'!I393</f>
        <v>0</v>
      </c>
      <c r="J393" s="116" t="n">
        <f aca="false">'☆掛負収入'!J393</f>
        <v>0</v>
      </c>
      <c r="K393" s="116" t="str">
        <f aca="false">'☆掛負収入'!K393</f>
        <v>介　護　納　付　金</v>
      </c>
      <c r="L393" s="116" t="n">
        <f aca="false">'☆掛負収入'!L393</f>
        <v>0</v>
      </c>
      <c r="M393" s="116" t="n">
        <f aca="false">'☆掛負収入'!M393</f>
        <v>0</v>
      </c>
      <c r="N393" s="116" t="str">
        <f aca="false">'☆掛負収入'!N393</f>
        <v>子ども・子育て支援納付金</v>
      </c>
      <c r="O393" s="116" t="n">
        <f aca="false">'☆掛負収入'!O393</f>
        <v>0</v>
      </c>
      <c r="P393" s="116" t="n">
        <f aca="false">'☆掛負収入'!P393</f>
        <v>0</v>
      </c>
    </row>
    <row r="394" customFormat="false" ht="22.5" hidden="false" customHeight="true" outlineLevel="0" collapsed="false">
      <c r="A394" s="114" t="n">
        <f aca="false">'☆掛負収入'!A394</f>
        <v>0</v>
      </c>
      <c r="B394" s="117" t="str">
        <f aca="false">'☆掛負収入'!B394</f>
        <v>組合員負担分</v>
      </c>
      <c r="C394" s="117" t="n">
        <f aca="false">'☆掛負収入'!C394</f>
        <v>0</v>
      </c>
      <c r="D394" s="117" t="str">
        <f aca="false">'☆掛負収入'!D394</f>
        <v>事業主負担分</v>
      </c>
      <c r="E394" s="117" t="n">
        <f aca="false">'☆掛負収入'!E394</f>
        <v>0</v>
      </c>
      <c r="F394" s="117" t="n">
        <f aca="false">'☆掛負収入'!F394</f>
        <v>0</v>
      </c>
      <c r="G394" s="611" t="str">
        <f aca="false">'☆掛負収入'!G394</f>
        <v>計</v>
      </c>
      <c r="H394" s="121" t="str">
        <f aca="false">'☆掛負収入'!H394</f>
        <v>掛　金</v>
      </c>
      <c r="I394" s="119" t="str">
        <f aca="false">'☆掛負収入'!I394</f>
        <v>負担金</v>
      </c>
      <c r="J394" s="120" t="str">
        <f aca="false">'☆掛負収入'!J394</f>
        <v>計</v>
      </c>
      <c r="K394" s="121" t="str">
        <f aca="false">'☆掛負収入'!K394</f>
        <v>掛　金</v>
      </c>
      <c r="L394" s="119" t="str">
        <f aca="false">'☆掛負収入'!L394</f>
        <v>負担金</v>
      </c>
      <c r="M394" s="120" t="str">
        <f aca="false">'☆掛負収入'!M394</f>
        <v>計</v>
      </c>
      <c r="N394" s="121" t="str">
        <f aca="false">'☆掛負収入'!N394</f>
        <v>掛　金</v>
      </c>
      <c r="O394" s="119" t="str">
        <f aca="false">'☆掛負収入'!O394</f>
        <v>負担金</v>
      </c>
      <c r="P394" s="120" t="str">
        <f aca="false">'☆掛負収入'!P394</f>
        <v>計</v>
      </c>
    </row>
    <row r="395" customFormat="false" ht="22.5" hidden="false" customHeight="true" outlineLevel="0" collapsed="false">
      <c r="A395" s="114" t="n">
        <f aca="false">'☆掛負収入'!A395</f>
        <v>0</v>
      </c>
      <c r="B395" s="612" t="str">
        <f aca="false">'☆掛負収入'!B395</f>
        <v>厚生年金保険料</v>
      </c>
      <c r="C395" s="613" t="str">
        <f aca="false">'☆掛負収入'!C395</f>
        <v>退職等年金掛金</v>
      </c>
      <c r="D395" s="614" t="str">
        <f aca="false">'☆掛負収入'!D395</f>
        <v>厚生年金保険料</v>
      </c>
      <c r="E395" s="614" t="str">
        <f aca="false">'☆掛負収入'!E395</f>
        <v>退職等年金負担金</v>
      </c>
      <c r="F395" s="615" t="str">
        <f aca="false">'☆掛負収入'!F395</f>
        <v>経過的長期</v>
      </c>
      <c r="G395" s="611" t="n">
        <f aca="false">'☆掛負収入'!G395</f>
        <v>0</v>
      </c>
      <c r="H395" s="121" t="n">
        <f aca="false">'☆掛負収入'!H395</f>
        <v>0</v>
      </c>
      <c r="I395" s="119" t="n">
        <f aca="false">'☆掛負収入'!I395</f>
        <v>0</v>
      </c>
      <c r="J395" s="120" t="n">
        <f aca="false">'☆掛負収入'!J395</f>
        <v>0</v>
      </c>
      <c r="K395" s="121" t="n">
        <f aca="false">'☆掛負収入'!K395</f>
        <v>0</v>
      </c>
      <c r="L395" s="119" t="n">
        <f aca="false">'☆掛負収入'!L395</f>
        <v>0</v>
      </c>
      <c r="M395" s="120" t="n">
        <f aca="false">'☆掛負収入'!M395</f>
        <v>0</v>
      </c>
      <c r="N395" s="121" t="n">
        <f aca="false">'☆掛負収入'!N395</f>
        <v>0</v>
      </c>
      <c r="O395" s="119" t="n">
        <f aca="false">'☆掛負収入'!O395</f>
        <v>0</v>
      </c>
      <c r="P395" s="120" t="n">
        <f aca="false">'☆掛負収入'!P395</f>
        <v>0</v>
      </c>
    </row>
    <row r="396" customFormat="false" ht="18.75" hidden="false" customHeight="true" outlineLevel="0" collapsed="false">
      <c r="A396" s="125" t="str">
        <f aca="false">'☆掛負収入'!A396</f>
        <v>市長部局</v>
      </c>
      <c r="B396" s="616"/>
      <c r="C396" s="389"/>
      <c r="D396" s="617"/>
      <c r="E396" s="617"/>
      <c r="F396" s="209"/>
      <c r="G396" s="389"/>
      <c r="H396" s="616"/>
      <c r="I396" s="618"/>
      <c r="J396" s="206"/>
      <c r="K396" s="619"/>
      <c r="L396" s="618"/>
      <c r="M396" s="206"/>
      <c r="N396" s="619"/>
      <c r="O396" s="618"/>
      <c r="P396" s="206"/>
    </row>
    <row r="397" customFormat="false" ht="18.75" hidden="false" customHeight="true" outlineLevel="0" collapsed="false">
      <c r="A397" s="125" t="str">
        <f aca="false">'☆掛負収入'!A397</f>
        <v>下水道局</v>
      </c>
      <c r="B397" s="431"/>
      <c r="C397" s="206"/>
      <c r="D397" s="617"/>
      <c r="E397" s="617"/>
      <c r="F397" s="160"/>
      <c r="G397" s="206"/>
      <c r="H397" s="619"/>
      <c r="I397" s="449"/>
      <c r="J397" s="160"/>
      <c r="K397" s="620"/>
      <c r="L397" s="621"/>
      <c r="M397" s="160"/>
      <c r="N397" s="620"/>
      <c r="O397" s="621"/>
      <c r="P397" s="160"/>
    </row>
    <row r="398" customFormat="false" ht="18.75" hidden="false" customHeight="true" outlineLevel="0" collapsed="false">
      <c r="A398" s="125" t="str">
        <f aca="false">'☆掛負収入'!A398</f>
        <v>消防局</v>
      </c>
      <c r="B398" s="431"/>
      <c r="C398" s="206"/>
      <c r="D398" s="617"/>
      <c r="E398" s="617"/>
      <c r="F398" s="160"/>
      <c r="G398" s="206"/>
      <c r="H398" s="620"/>
      <c r="I398" s="464"/>
      <c r="J398" s="160"/>
      <c r="K398" s="620"/>
      <c r="L398" s="464"/>
      <c r="M398" s="160"/>
      <c r="N398" s="620"/>
      <c r="O398" s="464"/>
      <c r="P398" s="160"/>
    </row>
    <row r="399" customFormat="false" ht="18.75" hidden="false" customHeight="true" outlineLevel="0" collapsed="false">
      <c r="A399" s="125" t="str">
        <f aca="false">'☆掛負収入'!A399</f>
        <v>議会事務局</v>
      </c>
      <c r="B399" s="431"/>
      <c r="C399" s="206"/>
      <c r="D399" s="617"/>
      <c r="E399" s="617"/>
      <c r="F399" s="160"/>
      <c r="G399" s="206"/>
      <c r="H399" s="431"/>
      <c r="I399" s="464"/>
      <c r="J399" s="160"/>
      <c r="K399" s="431"/>
      <c r="L399" s="464"/>
      <c r="M399" s="160"/>
      <c r="N399" s="431"/>
      <c r="O399" s="464"/>
      <c r="P399" s="160"/>
    </row>
    <row r="400" customFormat="false" ht="18.75" hidden="false" customHeight="true" outlineLevel="0" collapsed="false">
      <c r="A400" s="125" t="str">
        <f aca="false">'☆掛負収入'!A400</f>
        <v>教育委員会（総務課）</v>
      </c>
      <c r="B400" s="431"/>
      <c r="C400" s="206"/>
      <c r="D400" s="617"/>
      <c r="E400" s="617"/>
      <c r="F400" s="160"/>
      <c r="G400" s="206"/>
      <c r="H400" s="431"/>
      <c r="I400" s="464"/>
      <c r="J400" s="160"/>
      <c r="K400" s="431"/>
      <c r="L400" s="464"/>
      <c r="M400" s="160"/>
      <c r="N400" s="431"/>
      <c r="O400" s="464"/>
      <c r="P400" s="160"/>
    </row>
    <row r="401" customFormat="false" ht="18.75" hidden="false" customHeight="true" outlineLevel="0" collapsed="false">
      <c r="A401" s="125" t="str">
        <f aca="false">'☆掛負収入'!A401</f>
        <v>選挙管理委員会</v>
      </c>
      <c r="B401" s="431"/>
      <c r="C401" s="206"/>
      <c r="D401" s="617"/>
      <c r="E401" s="617"/>
      <c r="F401" s="160"/>
      <c r="G401" s="206"/>
      <c r="H401" s="619"/>
      <c r="I401" s="449"/>
      <c r="J401" s="160"/>
      <c r="K401" s="431"/>
      <c r="L401" s="464"/>
      <c r="M401" s="160"/>
      <c r="N401" s="431"/>
      <c r="O401" s="464"/>
      <c r="P401" s="160"/>
    </row>
    <row r="402" customFormat="false" ht="18.75" hidden="false" customHeight="true" outlineLevel="0" collapsed="false">
      <c r="A402" s="125" t="str">
        <f aca="false">'☆掛負収入'!A402</f>
        <v>人事委員会</v>
      </c>
      <c r="B402" s="431"/>
      <c r="C402" s="206"/>
      <c r="D402" s="617"/>
      <c r="E402" s="617"/>
      <c r="F402" s="160"/>
      <c r="G402" s="206"/>
      <c r="H402" s="619"/>
      <c r="I402" s="449"/>
      <c r="J402" s="160"/>
      <c r="K402" s="619"/>
      <c r="L402" s="449"/>
      <c r="M402" s="160"/>
      <c r="N402" s="619"/>
      <c r="O402" s="449"/>
      <c r="P402" s="160"/>
    </row>
    <row r="403" customFormat="false" ht="18.75" hidden="false" customHeight="true" outlineLevel="0" collapsed="false">
      <c r="A403" s="125" t="str">
        <f aca="false">'☆掛負収入'!A403</f>
        <v>監査事務局</v>
      </c>
      <c r="B403" s="431"/>
      <c r="C403" s="206"/>
      <c r="D403" s="617"/>
      <c r="E403" s="617"/>
      <c r="F403" s="160"/>
      <c r="G403" s="206"/>
      <c r="H403" s="619"/>
      <c r="I403" s="449"/>
      <c r="J403" s="160"/>
      <c r="K403" s="619"/>
      <c r="L403" s="449"/>
      <c r="M403" s="160"/>
      <c r="N403" s="619"/>
      <c r="O403" s="449"/>
      <c r="P403" s="160"/>
    </row>
    <row r="404" customFormat="false" ht="18.75" hidden="false" customHeight="true" outlineLevel="0" collapsed="false">
      <c r="A404" s="125" t="str">
        <f aca="false">'☆掛負収入'!A404</f>
        <v>農業委員会</v>
      </c>
      <c r="B404" s="431"/>
      <c r="C404" s="206"/>
      <c r="D404" s="617"/>
      <c r="E404" s="617"/>
      <c r="F404" s="160"/>
      <c r="G404" s="206"/>
      <c r="H404" s="619"/>
      <c r="I404" s="449"/>
      <c r="J404" s="160"/>
      <c r="K404" s="619"/>
      <c r="L404" s="449"/>
      <c r="M404" s="160"/>
      <c r="N404" s="619"/>
      <c r="O404" s="449"/>
      <c r="P404" s="160"/>
    </row>
    <row r="405" customFormat="false" ht="18.75" hidden="false" customHeight="true" outlineLevel="0" collapsed="false">
      <c r="A405" s="125" t="str">
        <f aca="false">'☆掛負収入'!A405</f>
        <v>水道局</v>
      </c>
      <c r="B405" s="431"/>
      <c r="C405" s="206"/>
      <c r="D405" s="617"/>
      <c r="E405" s="617"/>
      <c r="F405" s="160"/>
      <c r="G405" s="206"/>
      <c r="H405" s="619"/>
      <c r="I405" s="449"/>
      <c r="J405" s="160"/>
      <c r="K405" s="619"/>
      <c r="L405" s="449"/>
      <c r="M405" s="160"/>
      <c r="N405" s="619"/>
      <c r="O405" s="449"/>
      <c r="P405" s="160"/>
    </row>
    <row r="406" customFormat="false" ht="18.75" hidden="false" customHeight="true" outlineLevel="0" collapsed="false">
      <c r="A406" s="146" t="str">
        <f aca="false">'☆掛負収入'!A406</f>
        <v>医療政策課(安芸市民)</v>
      </c>
      <c r="B406" s="620"/>
      <c r="C406" s="391"/>
      <c r="D406" s="620"/>
      <c r="E406" s="621"/>
      <c r="F406" s="418"/>
      <c r="G406" s="206"/>
      <c r="H406" s="622"/>
      <c r="I406" s="432"/>
      <c r="J406" s="160"/>
      <c r="K406" s="619"/>
      <c r="L406" s="449"/>
      <c r="M406" s="160"/>
      <c r="N406" s="619"/>
      <c r="O406" s="449"/>
      <c r="P406" s="160"/>
    </row>
    <row r="407" customFormat="false" ht="18.75" hidden="false" customHeight="true" outlineLevel="0" collapsed="false">
      <c r="A407" s="146" t="str">
        <f aca="false">'☆掛負収入'!A407</f>
        <v>教育委員会（教育給与課）</v>
      </c>
      <c r="B407" s="620"/>
      <c r="C407" s="206"/>
      <c r="D407" s="431"/>
      <c r="E407" s="623"/>
      <c r="F407" s="309"/>
      <c r="G407" s="206"/>
      <c r="H407" s="619"/>
      <c r="I407" s="449"/>
      <c r="J407" s="160"/>
      <c r="K407" s="619"/>
      <c r="L407" s="449"/>
      <c r="M407" s="160"/>
      <c r="N407" s="619"/>
      <c r="O407" s="449"/>
      <c r="P407" s="160"/>
    </row>
    <row r="408" customFormat="false" ht="18.75" hidden="true" customHeight="true" outlineLevel="0" collapsed="false">
      <c r="A408" s="624"/>
      <c r="B408" s="625"/>
      <c r="C408" s="235"/>
      <c r="D408" s="625"/>
      <c r="E408" s="626"/>
      <c r="F408" s="221"/>
      <c r="G408" s="712"/>
      <c r="H408" s="627"/>
      <c r="I408" s="628"/>
      <c r="J408" s="628"/>
      <c r="K408" s="627"/>
      <c r="L408" s="628"/>
      <c r="M408" s="220"/>
      <c r="N408" s="627"/>
      <c r="O408" s="628"/>
      <c r="P408" s="220"/>
    </row>
    <row r="409" customFormat="false" ht="18.75" hidden="true" customHeight="true" outlineLevel="0" collapsed="false">
      <c r="A409" s="629"/>
      <c r="B409" s="482"/>
      <c r="C409" s="157"/>
      <c r="D409" s="482"/>
      <c r="E409" s="483"/>
      <c r="F409" s="484"/>
      <c r="G409" s="460"/>
      <c r="H409" s="482"/>
      <c r="I409" s="483"/>
      <c r="J409" s="483"/>
      <c r="K409" s="482"/>
      <c r="L409" s="483"/>
      <c r="M409" s="155"/>
      <c r="N409" s="482"/>
      <c r="O409" s="483"/>
      <c r="P409" s="155"/>
    </row>
    <row r="410" customFormat="false" ht="18.75" hidden="true" customHeight="true" outlineLevel="0" collapsed="false">
      <c r="A410" s="629"/>
      <c r="B410" s="625"/>
      <c r="C410" s="235"/>
      <c r="D410" s="625"/>
      <c r="E410" s="626"/>
      <c r="F410" s="221"/>
      <c r="G410" s="712"/>
      <c r="H410" s="625"/>
      <c r="I410" s="626"/>
      <c r="J410" s="626"/>
      <c r="K410" s="625"/>
      <c r="L410" s="626"/>
      <c r="M410" s="721"/>
      <c r="N410" s="625"/>
      <c r="O410" s="626"/>
      <c r="P410" s="721"/>
    </row>
    <row r="411" customFormat="false" ht="18.75" hidden="true" customHeight="true" outlineLevel="0" collapsed="false">
      <c r="A411" s="630"/>
      <c r="B411" s="631"/>
      <c r="C411" s="632"/>
      <c r="D411" s="631"/>
      <c r="E411" s="515"/>
      <c r="F411" s="633"/>
      <c r="G411" s="714"/>
      <c r="H411" s="482"/>
      <c r="I411" s="634"/>
      <c r="J411" s="634"/>
      <c r="K411" s="482"/>
      <c r="L411" s="483"/>
      <c r="M411" s="155"/>
      <c r="N411" s="482"/>
      <c r="O411" s="483"/>
      <c r="P411" s="155"/>
    </row>
    <row r="412" customFormat="false" ht="18.75" hidden="false" customHeight="true" outlineLevel="0" collapsed="false">
      <c r="A412" s="196" t="str">
        <f aca="false">'☆掛負収入'!A412</f>
        <v>小　計</v>
      </c>
      <c r="B412" s="429"/>
      <c r="C412" s="199"/>
      <c r="D412" s="429"/>
      <c r="E412" s="199"/>
      <c r="F412" s="200"/>
      <c r="G412" s="201"/>
      <c r="H412" s="429"/>
      <c r="I412" s="199"/>
      <c r="J412" s="198"/>
      <c r="K412" s="429"/>
      <c r="L412" s="199"/>
      <c r="M412" s="198"/>
      <c r="N412" s="429"/>
      <c r="O412" s="199"/>
      <c r="P412" s="198"/>
    </row>
    <row r="413" customFormat="false" ht="18.75" hidden="false" customHeight="true" outlineLevel="0" collapsed="false">
      <c r="A413" s="202" t="str">
        <f aca="false">'☆掛負収入'!A413</f>
        <v>地方税共同機構</v>
      </c>
      <c r="B413" s="474" t="n">
        <f aca="false">'☆掛負収入'!B413</f>
        <v>0</v>
      </c>
      <c r="C413" s="402" t="n">
        <f aca="false">'☆掛負収入'!C413</f>
        <v>0</v>
      </c>
      <c r="D413" s="494" t="n">
        <f aca="false">'☆掛負収入'!D413</f>
        <v>0</v>
      </c>
      <c r="E413" s="488" t="n">
        <f aca="false">'☆掛負収入'!E413</f>
        <v>0</v>
      </c>
      <c r="F413" s="248" t="n">
        <f aca="false">'☆掛負収入'!F413</f>
        <v>0</v>
      </c>
      <c r="G413" s="206" t="n">
        <f aca="false">SUM(B413:F413)</f>
        <v>0</v>
      </c>
      <c r="H413" s="619" t="n">
        <f aca="false">'☆掛負収入'!H413</f>
        <v>0</v>
      </c>
      <c r="I413" s="449" t="n">
        <f aca="false">'☆掛負収入'!I413</f>
        <v>0</v>
      </c>
      <c r="J413" s="160" t="n">
        <f aca="false">SUM(H413:I413)</f>
        <v>0</v>
      </c>
      <c r="K413" s="464" t="n">
        <f aca="false">'☆掛負収入'!K413</f>
        <v>0</v>
      </c>
      <c r="L413" s="449" t="n">
        <f aca="false">'☆掛負収入'!L413</f>
        <v>0</v>
      </c>
      <c r="M413" s="160" t="n">
        <f aca="false">SUM(K413:L413)</f>
        <v>0</v>
      </c>
      <c r="N413" s="464" t="n">
        <f aca="false">'☆掛負収入'!N413</f>
        <v>0</v>
      </c>
      <c r="O413" s="449" t="n">
        <f aca="false">'☆掛負収入'!O413</f>
        <v>0</v>
      </c>
      <c r="P413" s="160" t="n">
        <f aca="false">SUM(N413:O413)</f>
        <v>0</v>
      </c>
    </row>
    <row r="414" customFormat="false" ht="18.75" hidden="false" customHeight="true" outlineLevel="0" collapsed="false">
      <c r="A414" s="125" t="str">
        <f aca="false">'☆掛負収入'!A414</f>
        <v>平和文化センター</v>
      </c>
      <c r="B414" s="474" t="n">
        <f aca="false">'☆掛負収入'!B414</f>
        <v>0</v>
      </c>
      <c r="C414" s="402" t="n">
        <f aca="false">'☆掛負収入'!C414</f>
        <v>0</v>
      </c>
      <c r="D414" s="489" t="n">
        <f aca="false">'☆掛負収入'!D414</f>
        <v>785070</v>
      </c>
      <c r="E414" s="477" t="n">
        <f aca="false">'☆掛負収入'!E414</f>
        <v>64350</v>
      </c>
      <c r="F414" s="248" t="n">
        <f aca="false">'☆掛負収入'!F414</f>
        <v>776</v>
      </c>
      <c r="G414" s="206" t="n">
        <f aca="false">SUM(B414:F414)</f>
        <v>850196</v>
      </c>
      <c r="H414" s="619" t="n">
        <f aca="false">'☆掛負収入'!H414</f>
        <v>0</v>
      </c>
      <c r="I414" s="449" t="n">
        <f aca="false">'☆掛負収入'!I414</f>
        <v>446945</v>
      </c>
      <c r="J414" s="160" t="n">
        <f aca="false">SUM(H414:I414)</f>
        <v>446945</v>
      </c>
      <c r="K414" s="464" t="n">
        <f aca="false">'☆掛負収入'!K414</f>
        <v>0</v>
      </c>
      <c r="L414" s="449" t="n">
        <f aca="false">'☆掛負収入'!L414</f>
        <v>55616</v>
      </c>
      <c r="M414" s="160" t="n">
        <f aca="false">SUM(K414:L414)</f>
        <v>55616</v>
      </c>
      <c r="N414" s="464" t="n">
        <f aca="false">'☆掛負収入'!N414</f>
        <v>0</v>
      </c>
      <c r="O414" s="449" t="n">
        <f aca="false">'☆掛負収入'!O414</f>
        <v>9901</v>
      </c>
      <c r="P414" s="160" t="n">
        <f aca="false">SUM(N414:O414)</f>
        <v>9901</v>
      </c>
    </row>
    <row r="415" customFormat="false" ht="18.75" hidden="false" customHeight="true" outlineLevel="0" collapsed="false">
      <c r="A415" s="125" t="str">
        <f aca="false">'☆掛負収入'!A415</f>
        <v>社会福祉事業団</v>
      </c>
      <c r="B415" s="625"/>
      <c r="C415" s="235"/>
      <c r="D415" s="476" t="n">
        <f aca="false">'☆掛負収入'!D415</f>
        <v>2013915</v>
      </c>
      <c r="E415" s="478" t="n">
        <f aca="false">'☆掛負収入'!E415</f>
        <v>165075</v>
      </c>
      <c r="F415" s="248" t="n">
        <f aca="false">'☆掛負収入'!F415</f>
        <v>2074</v>
      </c>
      <c r="G415" s="206" t="n">
        <f aca="false">SUM(B415:F415)</f>
        <v>2181064</v>
      </c>
      <c r="H415" s="627"/>
      <c r="I415" s="449" t="n">
        <f aca="false">'☆掛負収入'!I415</f>
        <v>1295257</v>
      </c>
      <c r="J415" s="160" t="n">
        <f aca="false">SUM(H415:I415)</f>
        <v>1295257</v>
      </c>
      <c r="K415" s="637"/>
      <c r="L415" s="449" t="n">
        <f aca="false">'☆掛負収入'!L415</f>
        <v>146861</v>
      </c>
      <c r="M415" s="160" t="n">
        <f aca="false">SUM(K415:L415)</f>
        <v>146861</v>
      </c>
      <c r="N415" s="637"/>
      <c r="O415" s="449" t="n">
        <f aca="false">'☆掛負収入'!O415</f>
        <v>28689</v>
      </c>
      <c r="P415" s="160" t="n">
        <f aca="false">SUM(N415:O415)</f>
        <v>28689</v>
      </c>
    </row>
    <row r="416" customFormat="false" ht="18.75" hidden="false" customHeight="true" outlineLevel="0" collapsed="false">
      <c r="A416" s="125" t="str">
        <f aca="false">'☆掛負収入'!A416</f>
        <v>原爆障害対策協議会</v>
      </c>
      <c r="B416" s="625"/>
      <c r="C416" s="235"/>
      <c r="D416" s="470" t="n">
        <f aca="false">'☆掛負収入'!D416</f>
        <v>59475</v>
      </c>
      <c r="E416" s="478" t="n">
        <f aca="false">'☆掛負収入'!E416</f>
        <v>4875</v>
      </c>
      <c r="F416" s="248" t="n">
        <f aca="false">'☆掛負収入'!F416</f>
        <v>56</v>
      </c>
      <c r="G416" s="206" t="n">
        <f aca="false">SUM(B416:F416)</f>
        <v>64406</v>
      </c>
      <c r="H416" s="627"/>
      <c r="I416" s="449" t="n">
        <f aca="false">'☆掛負収入'!I416</f>
        <v>33741</v>
      </c>
      <c r="J416" s="160" t="n">
        <f aca="false">SUM(H416:I416)</f>
        <v>33741</v>
      </c>
      <c r="K416" s="637"/>
      <c r="L416" s="449" t="n">
        <f aca="false">'☆掛負収入'!L416</f>
        <v>5135</v>
      </c>
      <c r="M416" s="160" t="n">
        <f aca="false">SUM(K416:L416)</f>
        <v>5135</v>
      </c>
      <c r="N416" s="637"/>
      <c r="O416" s="449" t="n">
        <f aca="false">'☆掛負収入'!O416</f>
        <v>747</v>
      </c>
      <c r="P416" s="160" t="n">
        <f aca="false">SUM(N416:O416)</f>
        <v>747</v>
      </c>
    </row>
    <row r="417" customFormat="false" ht="18.75" hidden="false" customHeight="true" outlineLevel="0" collapsed="false">
      <c r="A417" s="214" t="str">
        <f aca="false">'☆掛負収入'!A417</f>
        <v>産業振興センター</v>
      </c>
      <c r="B417" s="625"/>
      <c r="C417" s="235"/>
      <c r="D417" s="470" t="n">
        <f aca="false">'☆掛負収入'!D417</f>
        <v>368745</v>
      </c>
      <c r="E417" s="478" t="n">
        <f aca="false">'☆掛負収入'!E417</f>
        <v>30225</v>
      </c>
      <c r="F417" s="248" t="n">
        <f aca="false">'☆掛負収入'!F417</f>
        <v>395</v>
      </c>
      <c r="G417" s="206" t="n">
        <f aca="false">SUM(B417:F417)</f>
        <v>399365</v>
      </c>
      <c r="H417" s="627"/>
      <c r="I417" s="449" t="n">
        <f aca="false">'☆掛負収入'!I417</f>
        <v>209223</v>
      </c>
      <c r="J417" s="160" t="n">
        <f aca="false">SUM(H417:I417)</f>
        <v>209223</v>
      </c>
      <c r="K417" s="637"/>
      <c r="L417" s="449" t="n">
        <f aca="false">'☆掛負収入'!L417</f>
        <v>26781</v>
      </c>
      <c r="M417" s="160" t="n">
        <f aca="false">SUM(K417:L417)</f>
        <v>26781</v>
      </c>
      <c r="N417" s="637"/>
      <c r="O417" s="449" t="n">
        <f aca="false">'☆掛負収入'!O417</f>
        <v>4634</v>
      </c>
      <c r="P417" s="160" t="n">
        <f aca="false">SUM(N417:O417)</f>
        <v>4634</v>
      </c>
    </row>
    <row r="418" customFormat="false" ht="18.75" hidden="false" customHeight="true" outlineLevel="0" collapsed="false">
      <c r="A418" s="146" t="str">
        <f aca="false">'☆掛負収入'!A418</f>
        <v>ひろしま産業振興</v>
      </c>
      <c r="B418" s="625"/>
      <c r="C418" s="484"/>
      <c r="D418" s="470" t="n">
        <f aca="false">'☆掛負収入'!D418</f>
        <v>45750</v>
      </c>
      <c r="E418" s="478" t="n">
        <f aca="false">'☆掛負収入'!E418</f>
        <v>3750</v>
      </c>
      <c r="F418" s="479" t="n">
        <f aca="false">'☆掛負収入'!F418</f>
        <v>43</v>
      </c>
      <c r="G418" s="206" t="n">
        <f aca="false">SUM(B418:F418)</f>
        <v>49543</v>
      </c>
      <c r="H418" s="627"/>
      <c r="I418" s="432" t="n">
        <f aca="false">'☆掛負収入'!I418</f>
        <v>25955</v>
      </c>
      <c r="J418" s="160" t="n">
        <f aca="false">SUM(H418:I418)</f>
        <v>25955</v>
      </c>
      <c r="K418" s="637"/>
      <c r="L418" s="432" t="n">
        <f aca="false">'☆掛負収入'!L418</f>
        <v>3950</v>
      </c>
      <c r="M418" s="160" t="n">
        <f aca="false">SUM(K418:L418)</f>
        <v>3950</v>
      </c>
      <c r="N418" s="637"/>
      <c r="O418" s="432" t="n">
        <f aca="false">'☆掛負収入'!O418</f>
        <v>575</v>
      </c>
      <c r="P418" s="160" t="n">
        <f aca="false">SUM(N418:O418)</f>
        <v>575</v>
      </c>
    </row>
    <row r="419" customFormat="false" ht="18.75" hidden="false" customHeight="true" outlineLevel="0" collapsed="false">
      <c r="A419" s="146" t="str">
        <f aca="false">'☆掛負収入'!A419</f>
        <v>都市整備公社　市</v>
      </c>
      <c r="B419" s="625"/>
      <c r="C419" s="484"/>
      <c r="D419" s="476" t="n">
        <f aca="false">'☆掛負収入'!D419</f>
        <v>0</v>
      </c>
      <c r="E419" s="478" t="n">
        <f aca="false">'☆掛負収入'!E419</f>
        <v>0</v>
      </c>
      <c r="F419" s="248" t="n">
        <f aca="false">'☆掛負収入'!F419</f>
        <v>0</v>
      </c>
      <c r="G419" s="206" t="n">
        <f aca="false">SUM(B419:F419)</f>
        <v>0</v>
      </c>
      <c r="H419" s="627"/>
      <c r="I419" s="449" t="n">
        <f aca="false">'☆掛負収入'!I419</f>
        <v>0</v>
      </c>
      <c r="J419" s="160" t="n">
        <f aca="false">SUM(H419:I419)</f>
        <v>0</v>
      </c>
      <c r="K419" s="637"/>
      <c r="L419" s="449" t="n">
        <f aca="false">'☆掛負収入'!L419</f>
        <v>0</v>
      </c>
      <c r="M419" s="160" t="n">
        <f aca="false">SUM(K419:L419)</f>
        <v>0</v>
      </c>
      <c r="N419" s="637"/>
      <c r="O419" s="449" t="n">
        <f aca="false">'☆掛負収入'!O419</f>
        <v>0</v>
      </c>
      <c r="P419" s="160" t="n">
        <f aca="false">SUM(N419:O419)</f>
        <v>0</v>
      </c>
    </row>
    <row r="420" customFormat="false" ht="18.75" hidden="false" customHeight="true" outlineLevel="0" collapsed="false">
      <c r="A420" s="217"/>
      <c r="B420" s="625"/>
      <c r="C420" s="221"/>
      <c r="D420" s="474"/>
      <c r="E420" s="478"/>
      <c r="F420" s="248"/>
      <c r="G420" s="206"/>
      <c r="H420" s="627"/>
      <c r="I420" s="449"/>
      <c r="J420" s="160"/>
      <c r="K420" s="637"/>
      <c r="L420" s="449"/>
      <c r="M420" s="160" t="n">
        <f aca="false">SUM(K420:L420)</f>
        <v>0</v>
      </c>
      <c r="N420" s="637"/>
      <c r="O420" s="449"/>
      <c r="P420" s="160" t="n">
        <f aca="false">SUM(N420:O420)</f>
        <v>0</v>
      </c>
    </row>
    <row r="421" customFormat="false" ht="18.75" hidden="false" customHeight="true" outlineLevel="0" collapsed="false">
      <c r="A421" s="146" t="str">
        <f aca="false">'☆掛負収入'!A421</f>
        <v>日本下水道事業団</v>
      </c>
      <c r="B421" s="476" t="n">
        <f aca="false">'☆掛負収入'!B421</f>
        <v>247050</v>
      </c>
      <c r="C421" s="248" t="n">
        <f aca="false">'☆掛負収入'!C421</f>
        <v>20250</v>
      </c>
      <c r="D421" s="474" t="n">
        <f aca="false">'☆掛負収入'!D421</f>
        <v>247050</v>
      </c>
      <c r="E421" s="478" t="n">
        <f aca="false">'☆掛負収入'!E421</f>
        <v>20250</v>
      </c>
      <c r="F421" s="248" t="n">
        <f aca="false">'☆掛負収入'!F421</f>
        <v>234</v>
      </c>
      <c r="G421" s="206" t="n">
        <f aca="false">SUM(B421:F421)</f>
        <v>534834</v>
      </c>
      <c r="H421" s="619" t="n">
        <f aca="false">'☆掛負収入'!H421</f>
        <v>140021</v>
      </c>
      <c r="I421" s="449" t="n">
        <f aca="false">'☆掛負収入'!I421</f>
        <v>140157</v>
      </c>
      <c r="J421" s="160" t="n">
        <f aca="false">SUM(H421:I421)</f>
        <v>280178</v>
      </c>
      <c r="K421" s="464" t="n">
        <f aca="false">'☆掛負収入'!K421</f>
        <v>10270</v>
      </c>
      <c r="L421" s="449" t="n">
        <f aca="false">'☆掛負収入'!L421</f>
        <v>10270</v>
      </c>
      <c r="M421" s="160" t="n">
        <f aca="false">SUM(K421:L421)</f>
        <v>20540</v>
      </c>
      <c r="N421" s="464" t="n">
        <f aca="false">'☆掛負収入'!N421</f>
        <v>3104</v>
      </c>
      <c r="O421" s="449" t="n">
        <f aca="false">'☆掛負収入'!O421</f>
        <v>3105</v>
      </c>
      <c r="P421" s="160" t="n">
        <f aca="false">SUM(N421:O421)</f>
        <v>6209</v>
      </c>
    </row>
    <row r="422" customFormat="false" ht="18.75" hidden="false" customHeight="true" outlineLevel="0" collapsed="false">
      <c r="A422" s="125" t="str">
        <f aca="false">'☆掛負収入'!A422</f>
        <v>地方公務員災害補償基金本部</v>
      </c>
      <c r="B422" s="476" t="n">
        <f aca="false">'☆掛負収入'!B422</f>
        <v>43005</v>
      </c>
      <c r="C422" s="248" t="n">
        <f aca="false">'☆掛負収入'!C422</f>
        <v>3525</v>
      </c>
      <c r="D422" s="474" t="n">
        <f aca="false">'☆掛負収入'!D422</f>
        <v>43005</v>
      </c>
      <c r="E422" s="478" t="n">
        <f aca="false">'☆掛負収入'!E422</f>
        <v>3525</v>
      </c>
      <c r="F422" s="248" t="n">
        <f aca="false">'☆掛負収入'!F422</f>
        <v>40</v>
      </c>
      <c r="G422" s="206" t="n">
        <f aca="false">SUM(B422:F422)</f>
        <v>93100</v>
      </c>
      <c r="H422" s="619" t="n">
        <f aca="false">'☆掛負収入'!H422</f>
        <v>24374</v>
      </c>
      <c r="I422" s="449" t="n">
        <f aca="false">'☆掛負収入'!I422</f>
        <v>24397</v>
      </c>
      <c r="J422" s="160" t="n">
        <f aca="false">SUM(H422:I422)</f>
        <v>48771</v>
      </c>
      <c r="K422" s="464" t="n">
        <f aca="false">'☆掛負収入'!K422</f>
        <v>0</v>
      </c>
      <c r="L422" s="449" t="n">
        <f aca="false">'☆掛負収入'!L422</f>
        <v>0</v>
      </c>
      <c r="M422" s="160" t="n">
        <f aca="false">SUM(K422:L422)</f>
        <v>0</v>
      </c>
      <c r="N422" s="464" t="n">
        <f aca="false">'☆掛負収入'!N422</f>
        <v>540</v>
      </c>
      <c r="O422" s="449" t="n">
        <f aca="false">'☆掛負収入'!O422</f>
        <v>540</v>
      </c>
      <c r="P422" s="160" t="n">
        <f aca="false">SUM(N422:O422)</f>
        <v>1080</v>
      </c>
    </row>
    <row r="423" customFormat="false" ht="18.75" hidden="false" customHeight="true" outlineLevel="0" collapsed="false">
      <c r="A423" s="222"/>
      <c r="B423" s="474"/>
      <c r="C423" s="248"/>
      <c r="D423" s="474"/>
      <c r="E423" s="478"/>
      <c r="F423" s="248"/>
      <c r="G423" s="206"/>
      <c r="H423" s="619"/>
      <c r="I423" s="449"/>
      <c r="J423" s="160"/>
      <c r="K423" s="464"/>
      <c r="L423" s="449"/>
      <c r="M423" s="160" t="n">
        <f aca="false">SUM(K423:L423)</f>
        <v>0</v>
      </c>
      <c r="N423" s="464"/>
      <c r="O423" s="449"/>
      <c r="P423" s="160" t="n">
        <f aca="false">SUM(N423:O423)</f>
        <v>0</v>
      </c>
    </row>
    <row r="424" customFormat="false" ht="18.75" hidden="false" customHeight="true" outlineLevel="0" collapsed="false">
      <c r="A424" s="125" t="str">
        <f aca="false">'☆掛負収入'!A424</f>
        <v>高速道路公社</v>
      </c>
      <c r="B424" s="489" t="n">
        <f aca="false">'☆掛負収入'!B424</f>
        <v>816180</v>
      </c>
      <c r="C424" s="479" t="n">
        <f aca="false">'☆掛負収入'!C424</f>
        <v>66900</v>
      </c>
      <c r="D424" s="489" t="n">
        <f aca="false">'☆掛負収入'!D424</f>
        <v>816180</v>
      </c>
      <c r="E424" s="495" t="n">
        <f aca="false">'☆掛負収入'!E424</f>
        <v>66900</v>
      </c>
      <c r="F424" s="491" t="n">
        <f aca="false">'☆掛負収入'!F424</f>
        <v>775</v>
      </c>
      <c r="G424" s="206" t="n">
        <f aca="false">SUM(B424:F424)</f>
        <v>1766935</v>
      </c>
      <c r="H424" s="638" t="n">
        <f aca="false">'☆掛負収入'!H424</f>
        <v>462583</v>
      </c>
      <c r="I424" s="639" t="n">
        <f aca="false">'☆掛負収入'!I424</f>
        <v>463037</v>
      </c>
      <c r="J424" s="160" t="n">
        <f aca="false">SUM(H424:I424)</f>
        <v>925620</v>
      </c>
      <c r="K424" s="640" t="n">
        <f aca="false">'☆掛負収入'!K424</f>
        <v>40527</v>
      </c>
      <c r="L424" s="639" t="n">
        <f aca="false">'☆掛負収入'!L424</f>
        <v>40527</v>
      </c>
      <c r="M424" s="160" t="n">
        <f aca="false">SUM(K424:L424)</f>
        <v>81054</v>
      </c>
      <c r="N424" s="640" t="n">
        <f aca="false">'☆掛負収入'!N424</f>
        <v>10254</v>
      </c>
      <c r="O424" s="639" t="n">
        <f aca="false">'☆掛負収入'!O424</f>
        <v>10258</v>
      </c>
      <c r="P424" s="160" t="n">
        <f aca="false">SUM(N424:O424)</f>
        <v>20512</v>
      </c>
    </row>
    <row r="425" customFormat="false" ht="18.75" hidden="false" customHeight="true" outlineLevel="0" collapsed="false">
      <c r="A425" s="125" t="str">
        <f aca="false">'☆掛負収入'!A425</f>
        <v>農林水産振興センタ</v>
      </c>
      <c r="B425" s="482"/>
      <c r="C425" s="484"/>
      <c r="D425" s="476" t="n">
        <f aca="false">'☆掛負収入'!D425</f>
        <v>570960</v>
      </c>
      <c r="E425" s="498" t="n">
        <f aca="false">'☆掛負収入'!E425</f>
        <v>46800</v>
      </c>
      <c r="F425" s="479" t="n">
        <f aca="false">'☆掛負収入'!F425</f>
        <v>567</v>
      </c>
      <c r="G425" s="206" t="n">
        <f aca="false">SUM(B425:F425)</f>
        <v>618327</v>
      </c>
      <c r="H425" s="641"/>
      <c r="I425" s="432" t="n">
        <f aca="false">'☆掛負収入'!I425</f>
        <v>323933</v>
      </c>
      <c r="J425" s="160" t="n">
        <f aca="false">SUM(H425:I425)</f>
        <v>323933</v>
      </c>
      <c r="K425" s="642"/>
      <c r="L425" s="432" t="n">
        <f aca="false">'☆掛負収入'!L425</f>
        <v>26781</v>
      </c>
      <c r="M425" s="160" t="n">
        <f aca="false">SUM(K425:L425)</f>
        <v>26781</v>
      </c>
      <c r="N425" s="642"/>
      <c r="O425" s="432" t="n">
        <f aca="false">'☆掛負収入'!O425</f>
        <v>7176</v>
      </c>
      <c r="P425" s="160" t="n">
        <f aca="false">SUM(N425:O425)</f>
        <v>7176</v>
      </c>
    </row>
    <row r="426" customFormat="false" ht="18.75" hidden="false" customHeight="true" outlineLevel="0" collapsed="false">
      <c r="A426" s="228" t="str">
        <f aca="false">'☆掛負収入'!A426</f>
        <v>文化財団　市長部局</v>
      </c>
      <c r="B426" s="625"/>
      <c r="C426" s="221"/>
      <c r="D426" s="474" t="n">
        <f aca="false">'☆掛負収入'!D426</f>
        <v>1051335</v>
      </c>
      <c r="E426" s="478" t="n">
        <f aca="false">'☆掛負収入'!E426</f>
        <v>86175</v>
      </c>
      <c r="F426" s="479" t="n">
        <f aca="false">'☆掛負収入'!F426</f>
        <v>996</v>
      </c>
      <c r="G426" s="206" t="n">
        <f aca="false">SUM(B426:F426)</f>
        <v>1138506</v>
      </c>
      <c r="H426" s="627"/>
      <c r="I426" s="432" t="n">
        <f aca="false">'☆掛負収入'!I426</f>
        <v>598000</v>
      </c>
      <c r="J426" s="160" t="n">
        <f aca="false">SUM(H426:I426)</f>
        <v>598000</v>
      </c>
      <c r="K426" s="637"/>
      <c r="L426" s="432" t="n">
        <f aca="false">'☆掛負収入'!L426</f>
        <v>85636</v>
      </c>
      <c r="M426" s="160" t="n">
        <f aca="false">SUM(K426:L426)</f>
        <v>85636</v>
      </c>
      <c r="N426" s="637"/>
      <c r="O426" s="432" t="n">
        <f aca="false">'☆掛負収入'!O426</f>
        <v>13247</v>
      </c>
      <c r="P426" s="160" t="n">
        <f aca="false">SUM(N426:O426)</f>
        <v>13247</v>
      </c>
    </row>
    <row r="427" customFormat="false" ht="18.75" hidden="false" customHeight="true" outlineLevel="0" collapsed="false">
      <c r="A427" s="229"/>
      <c r="B427" s="625"/>
      <c r="C427" s="221"/>
      <c r="D427" s="474"/>
      <c r="E427" s="478"/>
      <c r="F427" s="479"/>
      <c r="G427" s="206"/>
      <c r="H427" s="627"/>
      <c r="I427" s="432"/>
      <c r="J427" s="160"/>
      <c r="K427" s="637"/>
      <c r="L427" s="432"/>
      <c r="M427" s="160" t="n">
        <f aca="false">SUM(K427:L427)</f>
        <v>0</v>
      </c>
      <c r="N427" s="637"/>
      <c r="O427" s="432"/>
      <c r="P427" s="160" t="n">
        <f aca="false">SUM(N427:O427)</f>
        <v>0</v>
      </c>
    </row>
    <row r="428" customFormat="false" ht="18.75" hidden="false" customHeight="true" outlineLevel="0" collapsed="false">
      <c r="A428" s="125" t="str">
        <f aca="false">'☆掛負収入'!A428</f>
        <v>みどり生きもの協会</v>
      </c>
      <c r="B428" s="625"/>
      <c r="C428" s="221"/>
      <c r="D428" s="474" t="n">
        <f aca="false">'☆掛負収入'!D428</f>
        <v>412665</v>
      </c>
      <c r="E428" s="478" t="n">
        <f aca="false">'☆掛負収入'!E428</f>
        <v>33825</v>
      </c>
      <c r="F428" s="479" t="n">
        <f aca="false">'☆掛負収入'!F428</f>
        <v>389</v>
      </c>
      <c r="G428" s="206" t="n">
        <f aca="false">SUM(B428:F428)</f>
        <v>446879</v>
      </c>
      <c r="H428" s="627"/>
      <c r="I428" s="432" t="n">
        <f aca="false">'☆掛負収入'!I428</f>
        <v>234113</v>
      </c>
      <c r="J428" s="160" t="n">
        <f aca="false">SUM(H428:I428)</f>
        <v>234113</v>
      </c>
      <c r="K428" s="637"/>
      <c r="L428" s="432" t="n">
        <f aca="false">'☆掛負収入'!L428</f>
        <v>35629</v>
      </c>
      <c r="M428" s="160" t="n">
        <f aca="false">SUM(K428:L428)</f>
        <v>35629</v>
      </c>
      <c r="N428" s="637"/>
      <c r="O428" s="432" t="n">
        <f aca="false">'☆掛負収入'!O428</f>
        <v>5186</v>
      </c>
      <c r="P428" s="160" t="n">
        <f aca="false">SUM(N428:O428)</f>
        <v>5186</v>
      </c>
    </row>
    <row r="429" customFormat="false" ht="18.75" hidden="false" customHeight="true" outlineLevel="0" collapsed="false">
      <c r="A429" s="146" t="str">
        <f aca="false">'☆掛負収入'!A429</f>
        <v>県下水道公社</v>
      </c>
      <c r="B429" s="474" t="n">
        <f aca="false">'☆掛負収入'!B429</f>
        <v>148230</v>
      </c>
      <c r="C429" s="248" t="n">
        <f aca="false">'☆掛負収入'!C429</f>
        <v>12150</v>
      </c>
      <c r="D429" s="474" t="n">
        <f aca="false">'☆掛負収入'!D429</f>
        <v>148230</v>
      </c>
      <c r="E429" s="478" t="n">
        <f aca="false">'☆掛負収入'!E429</f>
        <v>12150</v>
      </c>
      <c r="F429" s="479" t="n">
        <f aca="false">'☆掛負収入'!F429</f>
        <v>140</v>
      </c>
      <c r="G429" s="206" t="n">
        <f aca="false">SUM(B429:F429)</f>
        <v>320900</v>
      </c>
      <c r="H429" s="619" t="n">
        <f aca="false">'☆掛負収入'!H429</f>
        <v>84012</v>
      </c>
      <c r="I429" s="432" t="n">
        <f aca="false">'☆掛負収入'!I429</f>
        <v>84094</v>
      </c>
      <c r="J429" s="160" t="n">
        <f aca="false">SUM(H429:I429)</f>
        <v>168106</v>
      </c>
      <c r="K429" s="464" t="n">
        <f aca="false">'☆掛負収入'!K429</f>
        <v>9322</v>
      </c>
      <c r="L429" s="432" t="n">
        <f aca="false">'☆掛負収入'!L429</f>
        <v>9322</v>
      </c>
      <c r="M429" s="160" t="n">
        <f aca="false">SUM(K429:L429)</f>
        <v>18644</v>
      </c>
      <c r="N429" s="464" t="n">
        <f aca="false">'☆掛負収入'!N429</f>
        <v>1862</v>
      </c>
      <c r="O429" s="432" t="n">
        <f aca="false">'☆掛負収入'!O429</f>
        <v>1863</v>
      </c>
      <c r="P429" s="160" t="n">
        <f aca="false">SUM(N429:O429)</f>
        <v>3725</v>
      </c>
    </row>
    <row r="430" customFormat="false" ht="18.75" hidden="false" customHeight="true" outlineLevel="0" collapsed="false">
      <c r="A430" s="146" t="str">
        <f aca="false">'☆掛負収入'!A430</f>
        <v>バス協調・共創
プラットフォーム</v>
      </c>
      <c r="B430" s="482"/>
      <c r="C430" s="484"/>
      <c r="D430" s="476" t="n">
        <f aca="false">'☆掛負収入'!D430</f>
        <v>444690</v>
      </c>
      <c r="E430" s="498" t="n">
        <f aca="false">'☆掛負収入'!E430</f>
        <v>36450</v>
      </c>
      <c r="F430" s="479" t="n">
        <f aca="false">'☆掛負収入'!F430</f>
        <v>422</v>
      </c>
      <c r="G430" s="206" t="n">
        <f aca="false">SUM(B430:F430)</f>
        <v>481562</v>
      </c>
      <c r="H430" s="641"/>
      <c r="I430" s="432" t="n">
        <f aca="false">'☆掛負収入'!I430</f>
        <v>261626</v>
      </c>
      <c r="J430" s="160" t="n">
        <f aca="false">SUM(H430:I430)</f>
        <v>261626</v>
      </c>
      <c r="K430" s="642"/>
      <c r="L430" s="432" t="n">
        <f aca="false">'☆掛負収入'!L430</f>
        <v>21251</v>
      </c>
      <c r="M430" s="160" t="n">
        <f aca="false">SUM(K430:L430)</f>
        <v>21251</v>
      </c>
      <c r="N430" s="642"/>
      <c r="O430" s="432" t="n">
        <f aca="false">'☆掛負収入'!O430</f>
        <v>5796</v>
      </c>
      <c r="P430" s="160" t="n">
        <f aca="false">SUM(N430:O430)</f>
        <v>5796</v>
      </c>
    </row>
    <row r="431" customFormat="false" ht="18.75" hidden="false" customHeight="true" outlineLevel="0" collapsed="false">
      <c r="A431" s="146" t="str">
        <f aca="false">'☆掛負収入'!A431</f>
        <v>広島県市長会</v>
      </c>
      <c r="B431" s="474" t="n">
        <f aca="false">'☆掛負収入'!B431</f>
        <v>53985</v>
      </c>
      <c r="C431" s="248" t="n">
        <f aca="false">'☆掛負収入'!C431</f>
        <v>4425</v>
      </c>
      <c r="D431" s="474" t="n">
        <f aca="false">'☆掛負収入'!D431</f>
        <v>53985</v>
      </c>
      <c r="E431" s="478" t="n">
        <f aca="false">'☆掛負収入'!E431</f>
        <v>4425</v>
      </c>
      <c r="F431" s="248" t="n">
        <f aca="false">'☆掛負収入'!F431</f>
        <v>51</v>
      </c>
      <c r="G431" s="206" t="n">
        <f aca="false">SUM(B431:F431)</f>
        <v>116871</v>
      </c>
      <c r="H431" s="619" t="n">
        <f aca="false">'☆掛負収入'!H431</f>
        <v>30597</v>
      </c>
      <c r="I431" s="449" t="n">
        <f aca="false">'☆掛負収入'!I431</f>
        <v>30626</v>
      </c>
      <c r="J431" s="160" t="n">
        <f aca="false">SUM(H431:I431)</f>
        <v>61223</v>
      </c>
      <c r="K431" s="464" t="n">
        <f aca="false">'☆掛負収入'!K431</f>
        <v>4661</v>
      </c>
      <c r="L431" s="449" t="n">
        <f aca="false">'☆掛負収入'!L431</f>
        <v>4661</v>
      </c>
      <c r="M431" s="160" t="n">
        <f aca="false">SUM(K431:L431)</f>
        <v>9322</v>
      </c>
      <c r="N431" s="464" t="n">
        <f aca="false">'☆掛負収入'!N431</f>
        <v>678</v>
      </c>
      <c r="O431" s="449" t="n">
        <f aca="false">'☆掛負収入'!O431</f>
        <v>678</v>
      </c>
      <c r="P431" s="160" t="n">
        <f aca="false">SUM(N431:O431)</f>
        <v>1356</v>
      </c>
    </row>
    <row r="432" customFormat="false" ht="18.75" hidden="false" customHeight="true" outlineLevel="0" collapsed="false">
      <c r="A432" s="214" t="str">
        <f aca="false">'☆掛負収入'!A432</f>
        <v>全国市町村研修財団</v>
      </c>
      <c r="B432" s="476" t="n">
        <f aca="false">'☆掛負収入'!B432</f>
        <v>59475</v>
      </c>
      <c r="C432" s="248" t="n">
        <f aca="false">'☆掛負収入'!C432</f>
        <v>4875</v>
      </c>
      <c r="D432" s="474" t="n">
        <f aca="false">'☆掛負収入'!D432</f>
        <v>59475</v>
      </c>
      <c r="E432" s="478" t="n">
        <f aca="false">'☆掛負収入'!E432</f>
        <v>4875</v>
      </c>
      <c r="F432" s="248" t="n">
        <f aca="false">'☆掛負収入'!F432</f>
        <v>56</v>
      </c>
      <c r="G432" s="206" t="n">
        <f aca="false">SUM(B432:F432)</f>
        <v>128756</v>
      </c>
      <c r="H432" s="619" t="n">
        <f aca="false">'☆掛負収入'!H432</f>
        <v>36820</v>
      </c>
      <c r="I432" s="449" t="n">
        <f aca="false">'☆掛負収入'!I432</f>
        <v>36856</v>
      </c>
      <c r="J432" s="160" t="n">
        <f aca="false">SUM(H432:I432)</f>
        <v>73676</v>
      </c>
      <c r="K432" s="464" t="n">
        <f aca="false">'☆掛負収入'!K432</f>
        <v>5609</v>
      </c>
      <c r="L432" s="449" t="n">
        <f aca="false">'☆掛負収入'!L432</f>
        <v>5609</v>
      </c>
      <c r="M432" s="160" t="n">
        <f aca="false">SUM(K432:L432)</f>
        <v>11218</v>
      </c>
      <c r="N432" s="464" t="n">
        <f aca="false">'☆掛負収入'!N432</f>
        <v>816</v>
      </c>
      <c r="O432" s="449" t="n">
        <f aca="false">'☆掛負収入'!O432</f>
        <v>816</v>
      </c>
      <c r="P432" s="160" t="n">
        <f aca="false">SUM(N432:O432)</f>
        <v>1632</v>
      </c>
    </row>
    <row r="433" customFormat="false" ht="18.75" hidden="false" customHeight="true" outlineLevel="0" collapsed="false">
      <c r="A433" s="214" t="str">
        <f aca="false">'☆掛負収入'!A433</f>
        <v>都市再生機構</v>
      </c>
      <c r="B433" s="474" t="n">
        <f aca="false">'☆掛負収入'!B433</f>
        <v>45750</v>
      </c>
      <c r="C433" s="248" t="n">
        <f aca="false">'☆掛負収入'!C433</f>
        <v>3750</v>
      </c>
      <c r="D433" s="474" t="n">
        <f aca="false">'☆掛負収入'!D433</f>
        <v>45750</v>
      </c>
      <c r="E433" s="478" t="n">
        <f aca="false">'☆掛負収入'!E433</f>
        <v>3750</v>
      </c>
      <c r="F433" s="248" t="n">
        <f aca="false">'☆掛負収入'!F433</f>
        <v>43</v>
      </c>
      <c r="G433" s="206" t="n">
        <f aca="false">SUM(B433:F433)</f>
        <v>99043</v>
      </c>
      <c r="H433" s="619" t="n">
        <f aca="false">'☆掛負収入'!H433</f>
        <v>25930</v>
      </c>
      <c r="I433" s="449" t="n">
        <f aca="false">'☆掛負収入'!I433</f>
        <v>25955</v>
      </c>
      <c r="J433" s="160" t="n">
        <f aca="false">SUM(H433:I433)</f>
        <v>51885</v>
      </c>
      <c r="K433" s="464" t="n">
        <f aca="false">'☆掛負収入'!K433</f>
        <v>0</v>
      </c>
      <c r="L433" s="449" t="n">
        <f aca="false">'☆掛負収入'!L433</f>
        <v>0</v>
      </c>
      <c r="M433" s="160" t="n">
        <f aca="false">SUM(K433:L433)</f>
        <v>0</v>
      </c>
      <c r="N433" s="464" t="n">
        <f aca="false">'☆掛負収入'!N433</f>
        <v>575</v>
      </c>
      <c r="O433" s="449" t="n">
        <f aca="false">'☆掛負収入'!O433</f>
        <v>575</v>
      </c>
      <c r="P433" s="160" t="n">
        <f aca="false">SUM(N433:O433)</f>
        <v>1150</v>
      </c>
    </row>
    <row r="434" customFormat="false" ht="18.75" hidden="false" customHeight="true" outlineLevel="0" collapsed="false">
      <c r="A434" s="146" t="str">
        <f aca="false">'☆掛負収入'!A434</f>
        <v>広島市立大学</v>
      </c>
      <c r="B434" s="431" t="n">
        <f aca="false">'☆掛負収入'!B434</f>
        <v>1236165</v>
      </c>
      <c r="C434" s="160" t="n">
        <f aca="false">'☆掛負収入'!C434</f>
        <v>101325</v>
      </c>
      <c r="D434" s="431" t="n">
        <f aca="false">'☆掛負収入'!D434</f>
        <v>1236165</v>
      </c>
      <c r="E434" s="464" t="n">
        <f aca="false">'☆掛負収入'!E434</f>
        <v>101325</v>
      </c>
      <c r="F434" s="248" t="n">
        <f aca="false">'☆掛負収入'!F434</f>
        <v>1241</v>
      </c>
      <c r="G434" s="206" t="n">
        <f aca="false">SUM(B434:F434)</f>
        <v>2676221</v>
      </c>
      <c r="H434" s="619" t="n">
        <f aca="false">'☆掛負収入'!H434</f>
        <v>702171</v>
      </c>
      <c r="I434" s="449" t="n">
        <f aca="false">'☆掛負収入'!I434</f>
        <v>702901</v>
      </c>
      <c r="J434" s="160" t="n">
        <f aca="false">SUM(H434:I434)</f>
        <v>1405072</v>
      </c>
      <c r="K434" s="464" t="n">
        <f aca="false">'☆掛負収入'!K434</f>
        <v>80185</v>
      </c>
      <c r="L434" s="449" t="n">
        <f aca="false">'☆掛負収入'!L434</f>
        <v>80185</v>
      </c>
      <c r="M434" s="160" t="n">
        <f aca="false">SUM(K434:L434)</f>
        <v>160370</v>
      </c>
      <c r="N434" s="464" t="n">
        <f aca="false">'☆掛負収入'!N434</f>
        <v>15566</v>
      </c>
      <c r="O434" s="449" t="n">
        <f aca="false">'☆掛負収入'!O434</f>
        <v>15571</v>
      </c>
      <c r="P434" s="160" t="n">
        <f aca="false">SUM(N434:O434)</f>
        <v>31137</v>
      </c>
    </row>
    <row r="435" customFormat="false" ht="18.75" hidden="false" customHeight="true" outlineLevel="0" collapsed="false">
      <c r="A435" s="146" t="str">
        <f aca="false">'☆掛負収入'!A435</f>
        <v>社会福祉協議会</v>
      </c>
      <c r="B435" s="431" t="n">
        <f aca="false">'☆掛負収入'!B435</f>
        <v>0</v>
      </c>
      <c r="C435" s="160" t="n">
        <f aca="false">'☆掛負収入'!C435</f>
        <v>0</v>
      </c>
      <c r="D435" s="431" t="n">
        <f aca="false">'☆掛負収入'!D435</f>
        <v>256200</v>
      </c>
      <c r="E435" s="464" t="n">
        <f aca="false">'☆掛負収入'!E435</f>
        <v>21000</v>
      </c>
      <c r="F435" s="248" t="n">
        <f aca="false">'☆掛負収入'!F435</f>
        <v>243</v>
      </c>
      <c r="G435" s="206" t="n">
        <f aca="false">SUM(B435:F435)</f>
        <v>277443</v>
      </c>
      <c r="H435" s="619" t="n">
        <f aca="false">'☆掛負収入'!H435</f>
        <v>0</v>
      </c>
      <c r="I435" s="449" t="n">
        <f aca="false">'☆掛負収入'!I435</f>
        <v>152096</v>
      </c>
      <c r="J435" s="160" t="n">
        <f aca="false">SUM(H435:I435)</f>
        <v>152096</v>
      </c>
      <c r="K435" s="464" t="n">
        <f aca="false">'☆掛負収入'!K435</f>
        <v>0</v>
      </c>
      <c r="L435" s="449" t="n">
        <f aca="false">'☆掛負収入'!L435</f>
        <v>11297</v>
      </c>
      <c r="M435" s="160" t="n">
        <f aca="false">SUM(K435:L435)</f>
        <v>11297</v>
      </c>
      <c r="N435" s="464" t="n">
        <f aca="false">'☆掛負収入'!N435</f>
        <v>0</v>
      </c>
      <c r="O435" s="449" t="n">
        <f aca="false">'☆掛負収入'!O435</f>
        <v>3369</v>
      </c>
      <c r="P435" s="160" t="n">
        <f aca="false">SUM(N435:O435)</f>
        <v>3369</v>
      </c>
    </row>
    <row r="436" customFormat="false" ht="18.75" hidden="false" customHeight="true" outlineLevel="0" collapsed="false">
      <c r="A436" s="228" t="s">
        <v>532</v>
      </c>
      <c r="B436" s="620" t="n">
        <f aca="false">'☆掛負収入'!B438</f>
        <v>0</v>
      </c>
      <c r="C436" s="621" t="n">
        <f aca="false">'☆掛負収入'!C438</f>
        <v>0</v>
      </c>
      <c r="D436" s="620" t="n">
        <f aca="false">'☆掛負収入'!D438</f>
        <v>0</v>
      </c>
      <c r="E436" s="465" t="n">
        <f aca="false">'☆掛負収入'!E438</f>
        <v>0</v>
      </c>
      <c r="F436" s="206" t="n">
        <f aca="false">'☆掛負収入'!F438</f>
        <v>0</v>
      </c>
      <c r="G436" s="206" t="n">
        <f aca="false">SUM(B436:F436)</f>
        <v>0</v>
      </c>
      <c r="H436" s="620" t="n">
        <f aca="false">'☆掛負収入'!H438</f>
        <v>0</v>
      </c>
      <c r="I436" s="464" t="n">
        <f aca="false">'☆掛負収入'!I438</f>
        <v>0</v>
      </c>
      <c r="J436" s="160" t="n">
        <f aca="false">SUM(H436:I436)</f>
        <v>0</v>
      </c>
      <c r="K436" s="464" t="n">
        <f aca="false">'☆掛負収入'!K438</f>
        <v>0</v>
      </c>
      <c r="L436" s="449" t="n">
        <f aca="false">'☆掛負収入'!L438</f>
        <v>0</v>
      </c>
      <c r="M436" s="160" t="n">
        <f aca="false">SUM(K436:L436)</f>
        <v>0</v>
      </c>
      <c r="N436" s="464" t="n">
        <f aca="false">'☆掛負収入'!N438</f>
        <v>0</v>
      </c>
      <c r="O436" s="449" t="n">
        <f aca="false">'☆掛負収入'!O438</f>
        <v>0</v>
      </c>
      <c r="P436" s="160" t="n">
        <f aca="false">SUM(N436:O436)</f>
        <v>0</v>
      </c>
    </row>
    <row r="437" customFormat="false" ht="18.75" hidden="false" customHeight="true" outlineLevel="0" collapsed="false">
      <c r="A437" s="146" t="str">
        <f aca="false">'☆掛負収入'!A439</f>
        <v>全国市長会</v>
      </c>
      <c r="B437" s="620" t="n">
        <f aca="false">'☆掛負収入'!B439</f>
        <v>118950</v>
      </c>
      <c r="C437" s="621" t="n">
        <f aca="false">'☆掛負収入'!C439</f>
        <v>9750</v>
      </c>
      <c r="D437" s="620" t="n">
        <f aca="false">'☆掛負収入'!D439</f>
        <v>118950</v>
      </c>
      <c r="E437" s="465" t="n">
        <f aca="false">'☆掛負収入'!E439</f>
        <v>9750</v>
      </c>
      <c r="F437" s="206" t="n">
        <f aca="false">'☆掛負収入'!F439</f>
        <v>112</v>
      </c>
      <c r="G437" s="206" t="n">
        <f aca="false">SUM(B437:F437)</f>
        <v>257512</v>
      </c>
      <c r="H437" s="620" t="n">
        <f aca="false">'☆掛負収入'!H439</f>
        <v>86605</v>
      </c>
      <c r="I437" s="464" t="n">
        <f aca="false">'☆掛負収入'!I439</f>
        <v>86689</v>
      </c>
      <c r="J437" s="160" t="n">
        <f aca="false">SUM(H437:I437)</f>
        <v>173294</v>
      </c>
      <c r="K437" s="464" t="n">
        <f aca="false">'☆掛負収入'!K439</f>
        <v>13193</v>
      </c>
      <c r="L437" s="449" t="n">
        <f aca="false">'☆掛負収入'!L439</f>
        <v>13193</v>
      </c>
      <c r="M437" s="160" t="n">
        <f aca="false">SUM(K437:L437)</f>
        <v>26386</v>
      </c>
      <c r="N437" s="464" t="n">
        <f aca="false">'☆掛負収入'!N439</f>
        <v>1920</v>
      </c>
      <c r="O437" s="449" t="n">
        <f aca="false">'☆掛負収入'!O439</f>
        <v>1920</v>
      </c>
      <c r="P437" s="160" t="n">
        <f aca="false">SUM(N437:O437)</f>
        <v>3840</v>
      </c>
    </row>
    <row r="438" customFormat="false" ht="18.75" hidden="false" customHeight="true" outlineLevel="0" collapsed="false">
      <c r="A438" s="233"/>
      <c r="B438" s="431"/>
      <c r="C438" s="418"/>
      <c r="D438" s="431"/>
      <c r="E438" s="464"/>
      <c r="F438" s="160"/>
      <c r="G438" s="206"/>
      <c r="H438" s="619"/>
      <c r="I438" s="449"/>
      <c r="J438" s="160"/>
      <c r="K438" s="464"/>
      <c r="L438" s="449"/>
      <c r="M438" s="160"/>
      <c r="N438" s="464"/>
      <c r="O438" s="449"/>
      <c r="P438" s="160"/>
    </row>
    <row r="439" customFormat="false" ht="18.75" hidden="false" customHeight="true" outlineLevel="0" collapsed="false">
      <c r="A439" s="233"/>
      <c r="B439" s="620"/>
      <c r="C439" s="391"/>
      <c r="D439" s="620"/>
      <c r="E439" s="621"/>
      <c r="F439" s="418"/>
      <c r="G439" s="206"/>
      <c r="H439" s="620"/>
      <c r="I439" s="465"/>
      <c r="J439" s="160"/>
      <c r="K439" s="621"/>
      <c r="L439" s="465"/>
      <c r="M439" s="160"/>
      <c r="N439" s="621"/>
      <c r="O439" s="465"/>
      <c r="P439" s="160"/>
    </row>
    <row r="440" customFormat="false" ht="18.75" hidden="false" customHeight="true" outlineLevel="0" collapsed="false">
      <c r="A440" s="217"/>
      <c r="B440" s="431"/>
      <c r="C440" s="206"/>
      <c r="D440" s="431"/>
      <c r="E440" s="617"/>
      <c r="F440" s="160"/>
      <c r="G440" s="206"/>
      <c r="H440" s="431"/>
      <c r="I440" s="644"/>
      <c r="J440" s="160"/>
      <c r="K440" s="617"/>
      <c r="L440" s="644"/>
      <c r="M440" s="160"/>
      <c r="N440" s="617"/>
      <c r="O440" s="644"/>
      <c r="P440" s="160"/>
    </row>
    <row r="441" customFormat="false" ht="18.75" hidden="false" customHeight="true" outlineLevel="0" collapsed="false">
      <c r="A441" s="217"/>
      <c r="B441" s="620"/>
      <c r="C441" s="418"/>
      <c r="D441" s="621"/>
      <c r="E441" s="465"/>
      <c r="F441" s="418"/>
      <c r="G441" s="391"/>
      <c r="H441" s="431"/>
      <c r="I441" s="465"/>
      <c r="J441" s="160"/>
      <c r="K441" s="621"/>
      <c r="L441" s="465"/>
      <c r="M441" s="160"/>
      <c r="N441" s="621"/>
      <c r="O441" s="465"/>
      <c r="P441" s="160"/>
    </row>
    <row r="442" customFormat="false" ht="18.75" hidden="false" customHeight="true" outlineLevel="0" collapsed="false">
      <c r="A442" s="630"/>
      <c r="B442" s="647"/>
      <c r="C442" s="278"/>
      <c r="D442" s="648"/>
      <c r="E442" s="649"/>
      <c r="F442" s="278"/>
      <c r="G442" s="646"/>
      <c r="H442" s="647"/>
      <c r="I442" s="648"/>
      <c r="J442" s="648" t="n">
        <f aca="false">SUM(H442:I442)</f>
        <v>0</v>
      </c>
      <c r="K442" s="647"/>
      <c r="L442" s="648"/>
      <c r="M442" s="722" t="n">
        <f aca="false">SUM(K442:L442)</f>
        <v>0</v>
      </c>
      <c r="N442" s="647"/>
      <c r="O442" s="648"/>
      <c r="P442" s="722" t="n">
        <f aca="false">SUM(N442:O442)</f>
        <v>0</v>
      </c>
    </row>
    <row r="443" customFormat="false" ht="18.75" hidden="false" customHeight="true" outlineLevel="0" collapsed="false">
      <c r="A443" s="196" t="str">
        <f aca="false">'☆掛負収入'!A443</f>
        <v>小　計</v>
      </c>
      <c r="B443" s="429" t="n">
        <f aca="false">SUM(B413:B442)</f>
        <v>2768790</v>
      </c>
      <c r="C443" s="200" t="n">
        <f aca="false">SUM(C413:C442)</f>
        <v>226950</v>
      </c>
      <c r="D443" s="429" t="n">
        <f aca="false">SUM(D413:D442)</f>
        <v>8777595</v>
      </c>
      <c r="E443" s="301" t="n">
        <f aca="false">SUM(E413:E442)</f>
        <v>719475</v>
      </c>
      <c r="F443" s="200" t="n">
        <f aca="false">SUM(F413:F442)</f>
        <v>8653</v>
      </c>
      <c r="G443" s="201" t="n">
        <f aca="false">SUM(B443:F443)</f>
        <v>12501463</v>
      </c>
      <c r="H443" s="429" t="n">
        <f aca="false">SUM(H413:H442)</f>
        <v>1593113</v>
      </c>
      <c r="I443" s="199" t="n">
        <f aca="false">SUM(I413:I442)</f>
        <v>5175601</v>
      </c>
      <c r="J443" s="200" t="n">
        <f aca="false">SUM(H443:I443)</f>
        <v>6768714</v>
      </c>
      <c r="K443" s="429" t="n">
        <f aca="false">SUM(K413:K442)</f>
        <v>163767</v>
      </c>
      <c r="L443" s="199" t="n">
        <f aca="false">SUM(L413:L442)</f>
        <v>582704</v>
      </c>
      <c r="M443" s="198" t="n">
        <f aca="false">SUM(K443:L443)</f>
        <v>746471</v>
      </c>
      <c r="N443" s="429" t="n">
        <f aca="false">SUM(N413:N442)</f>
        <v>35315</v>
      </c>
      <c r="O443" s="199" t="n">
        <f aca="false">SUM(O413:O442)</f>
        <v>114646</v>
      </c>
      <c r="P443" s="198" t="n">
        <f aca="false">SUM(N443:O443)</f>
        <v>149961</v>
      </c>
    </row>
    <row r="444" customFormat="false" ht="18.75" hidden="true" customHeight="true" outlineLevel="0" collapsed="false">
      <c r="A444" s="629"/>
      <c r="B444" s="647"/>
      <c r="C444" s="278"/>
      <c r="D444" s="648"/>
      <c r="E444" s="649"/>
      <c r="F444" s="650"/>
      <c r="G444" s="651"/>
      <c r="H444" s="652"/>
      <c r="I444" s="653"/>
      <c r="J444" s="654"/>
      <c r="K444" s="655"/>
      <c r="L444" s="656"/>
      <c r="M444" s="657"/>
      <c r="N444" s="655"/>
      <c r="O444" s="656"/>
      <c r="P444" s="657"/>
    </row>
    <row r="445" customFormat="false" ht="18.75" hidden="true" customHeight="true" outlineLevel="0" collapsed="false">
      <c r="A445" s="658"/>
      <c r="B445" s="631"/>
      <c r="C445" s="633"/>
      <c r="D445" s="648"/>
      <c r="E445" s="649"/>
      <c r="F445" s="278"/>
      <c r="G445" s="646"/>
      <c r="H445" s="659"/>
      <c r="I445" s="660"/>
      <c r="J445" s="408"/>
      <c r="K445" s="661"/>
      <c r="L445" s="662"/>
      <c r="M445" s="663"/>
      <c r="N445" s="661"/>
      <c r="O445" s="662"/>
      <c r="P445" s="663"/>
    </row>
    <row r="446" customFormat="false" ht="18.75" hidden="false" customHeight="true" outlineLevel="0" collapsed="false">
      <c r="A446" s="214" t="str">
        <f aca="false">'☆掛負収入'!A446</f>
        <v>高速交通（株）</v>
      </c>
      <c r="B446" s="489" t="n">
        <f aca="false">'☆掛負収入'!B446</f>
        <v>142740</v>
      </c>
      <c r="C446" s="491" t="n">
        <f aca="false">'☆掛負収入'!C446</f>
        <v>11700</v>
      </c>
      <c r="D446" s="477" t="n">
        <f aca="false">'☆掛負収入'!D446</f>
        <v>142740</v>
      </c>
      <c r="E446" s="487" t="n">
        <f aca="false">'☆掛負収入'!E446</f>
        <v>11700</v>
      </c>
      <c r="F446" s="479" t="n">
        <f aca="false">'☆掛負収入'!F446</f>
        <v>135</v>
      </c>
      <c r="G446" s="391" t="n">
        <f aca="false">SUM(B446:F446)</f>
        <v>309015</v>
      </c>
      <c r="H446" s="665"/>
      <c r="I446" s="665"/>
      <c r="J446" s="665"/>
      <c r="K446" s="665"/>
      <c r="L446" s="665"/>
      <c r="M446" s="665"/>
      <c r="N446" s="665"/>
      <c r="O446" s="665"/>
      <c r="P446" s="665"/>
    </row>
    <row r="447" customFormat="false" ht="18.75" hidden="false" customHeight="true" outlineLevel="0" collapsed="false">
      <c r="A447" s="666" t="s">
        <v>209</v>
      </c>
      <c r="B447" s="667" t="n">
        <f aca="false">'☆掛負収入'!B447</f>
        <v>53985</v>
      </c>
      <c r="C447" s="692" t="n">
        <f aca="false">'☆掛負収入'!C447</f>
        <v>4425</v>
      </c>
      <c r="D447" s="667" t="n">
        <f aca="false">'☆掛負収入'!D447</f>
        <v>53985</v>
      </c>
      <c r="E447" s="492" t="n">
        <f aca="false">'☆掛負収入'!E447</f>
        <v>4425</v>
      </c>
      <c r="F447" s="692" t="n">
        <f aca="false">'☆掛負収入'!F447</f>
        <v>51</v>
      </c>
      <c r="G447" s="391" t="n">
        <f aca="false">SUM(B447:F447)</f>
        <v>116871</v>
      </c>
      <c r="H447" s="665"/>
      <c r="I447" s="665"/>
      <c r="J447" s="665"/>
      <c r="K447" s="665"/>
      <c r="L447" s="665"/>
      <c r="M447" s="665"/>
      <c r="N447" s="665"/>
      <c r="O447" s="665"/>
      <c r="P447" s="665"/>
    </row>
    <row r="448" customFormat="false" ht="18.75" hidden="false" customHeight="true" outlineLevel="0" collapsed="false">
      <c r="A448" s="196" t="str">
        <f aca="false">'☆掛負収入'!A448</f>
        <v>小　計</v>
      </c>
      <c r="B448" s="197" t="n">
        <f aca="false">SUM(B446:B447)</f>
        <v>196725</v>
      </c>
      <c r="C448" s="200" t="n">
        <f aca="false">SUM(C444:C447)</f>
        <v>16125</v>
      </c>
      <c r="D448" s="681" t="n">
        <f aca="false">SUM(D444:D447)</f>
        <v>196725</v>
      </c>
      <c r="E448" s="199" t="n">
        <f aca="false">SUM(E444:E447)</f>
        <v>16125</v>
      </c>
      <c r="F448" s="201" t="n">
        <f aca="false">SUM(F444:F447)</f>
        <v>186</v>
      </c>
      <c r="G448" s="200" t="n">
        <f aca="false">SUM(B448:F448)</f>
        <v>425886</v>
      </c>
      <c r="H448" s="665"/>
      <c r="I448" s="665"/>
      <c r="J448" s="665"/>
      <c r="K448" s="665"/>
      <c r="L448" s="665"/>
      <c r="M448" s="665"/>
      <c r="N448" s="665"/>
      <c r="O448" s="665"/>
      <c r="P448" s="665"/>
    </row>
    <row r="449" customFormat="false" ht="18.75" hidden="false" customHeight="true" outlineLevel="0" collapsed="false">
      <c r="A449" s="125" t="str">
        <f aca="false">'☆掛負収入'!A449</f>
        <v>市職員労働組合</v>
      </c>
      <c r="B449" s="474" t="n">
        <f aca="false">'☆掛負収入'!B449</f>
        <v>31110</v>
      </c>
      <c r="C449" s="248" t="n">
        <f aca="false">'☆掛負収入'!C449</f>
        <v>2550</v>
      </c>
      <c r="D449" s="470" t="n">
        <f aca="false">'☆掛負収入'!D449</f>
        <v>31110</v>
      </c>
      <c r="E449" s="488" t="n">
        <f aca="false">'☆掛負収入'!E449</f>
        <v>2550</v>
      </c>
      <c r="F449" s="221"/>
      <c r="G449" s="206" t="n">
        <f aca="false">SUM(B449:F449)</f>
        <v>67320</v>
      </c>
      <c r="H449" s="619" t="n">
        <f aca="false">'☆掛負収入'!H449</f>
        <v>17632</v>
      </c>
      <c r="I449" s="449" t="n">
        <f aca="false">'☆掛負収入'!I449</f>
        <v>17649</v>
      </c>
      <c r="J449" s="160" t="n">
        <f aca="false">SUM(H449:I449)</f>
        <v>35281</v>
      </c>
      <c r="K449" s="476" t="n">
        <f aca="false">'☆掛負収入'!K449</f>
        <v>2686</v>
      </c>
      <c r="L449" s="487" t="n">
        <f aca="false">'☆掛負収入'!L449</f>
        <v>2686</v>
      </c>
      <c r="M449" s="471" t="n">
        <f aca="false">SUM(K449:L449)</f>
        <v>5372</v>
      </c>
      <c r="N449" s="476" t="n">
        <f aca="false">'☆掛負収入'!N449</f>
        <v>391</v>
      </c>
      <c r="O449" s="487" t="n">
        <f aca="false">'☆掛負収入'!O449</f>
        <v>391</v>
      </c>
      <c r="P449" s="471" t="n">
        <f aca="false">SUM(N449:O449)</f>
        <v>782</v>
      </c>
    </row>
    <row r="450" customFormat="false" ht="18.75" hidden="false" customHeight="true" outlineLevel="0" collapsed="false">
      <c r="A450" s="125" t="str">
        <f aca="false">'☆掛負収入'!A450</f>
        <v>自治労労働組合</v>
      </c>
      <c r="B450" s="474" t="n">
        <f aca="false">'☆掛負収入'!B450</f>
        <v>0</v>
      </c>
      <c r="C450" s="402" t="n">
        <f aca="false">'☆掛負収入'!C450</f>
        <v>0</v>
      </c>
      <c r="D450" s="474" t="n">
        <f aca="false">'☆掛負収入'!D450</f>
        <v>0</v>
      </c>
      <c r="E450" s="488" t="n">
        <f aca="false">'☆掛負収入'!E450</f>
        <v>0</v>
      </c>
      <c r="F450" s="221"/>
      <c r="G450" s="206" t="n">
        <f aca="false">SUM(B450:F450)</f>
        <v>0</v>
      </c>
      <c r="H450" s="619" t="n">
        <f aca="false">'☆掛負収入'!H450</f>
        <v>0</v>
      </c>
      <c r="I450" s="449" t="n">
        <f aca="false">'☆掛負収入'!I450</f>
        <v>0</v>
      </c>
      <c r="J450" s="160" t="n">
        <f aca="false">SUM(H450:I450)</f>
        <v>0</v>
      </c>
      <c r="K450" s="619" t="n">
        <f aca="false">'☆掛負収入'!K450</f>
        <v>0</v>
      </c>
      <c r="L450" s="449" t="n">
        <f aca="false">'☆掛負収入'!L450</f>
        <v>0</v>
      </c>
      <c r="M450" s="160" t="n">
        <f aca="false">SUM(K450:L450)</f>
        <v>0</v>
      </c>
      <c r="N450" s="619" t="n">
        <f aca="false">'☆掛負収入'!N450</f>
        <v>0</v>
      </c>
      <c r="O450" s="449" t="n">
        <f aca="false">'☆掛負収入'!O450</f>
        <v>0</v>
      </c>
      <c r="P450" s="160" t="n">
        <f aca="false">SUM(N450:O450)</f>
        <v>0</v>
      </c>
    </row>
    <row r="451" customFormat="false" ht="18.75" hidden="false" customHeight="true" outlineLevel="0" collapsed="false">
      <c r="A451" s="125" t="str">
        <f aca="false">'☆掛負収入'!A451</f>
        <v>病院労働組合</v>
      </c>
      <c r="B451" s="431"/>
      <c r="C451" s="206"/>
      <c r="D451" s="431"/>
      <c r="E451" s="644"/>
      <c r="F451" s="221"/>
      <c r="G451" s="206" t="n">
        <f aca="false">SUM(B451:F451)</f>
        <v>0</v>
      </c>
      <c r="H451" s="619"/>
      <c r="I451" s="449"/>
      <c r="J451" s="160" t="n">
        <f aca="false">SUM(H451:I451)</f>
        <v>0</v>
      </c>
      <c r="K451" s="619"/>
      <c r="L451" s="449"/>
      <c r="M451" s="160" t="n">
        <f aca="false">SUM(K451:L451)</f>
        <v>0</v>
      </c>
      <c r="N451" s="619"/>
      <c r="O451" s="449"/>
      <c r="P451" s="160" t="n">
        <f aca="false">SUM(N451:O451)</f>
        <v>0</v>
      </c>
    </row>
    <row r="452" customFormat="false" ht="18.75" hidden="false" customHeight="true" outlineLevel="0" collapsed="false">
      <c r="A452" s="302" t="str">
        <f aca="false">'☆掛負収入'!A452</f>
        <v>水道労働組合</v>
      </c>
      <c r="B452" s="673"/>
      <c r="C452" s="444"/>
      <c r="D452" s="673"/>
      <c r="E452" s="623"/>
      <c r="F452" s="296"/>
      <c r="G452" s="206" t="n">
        <f aca="false">SUM(B452:F452)</f>
        <v>0</v>
      </c>
      <c r="H452" s="674"/>
      <c r="I452" s="675"/>
      <c r="J452" s="160" t="n">
        <f aca="false">SUM(H452:I452)</f>
        <v>0</v>
      </c>
      <c r="K452" s="676"/>
      <c r="L452" s="677"/>
      <c r="M452" s="160" t="n">
        <f aca="false">SUM(K452:L452)</f>
        <v>0</v>
      </c>
      <c r="N452" s="676"/>
      <c r="O452" s="677"/>
      <c r="P452" s="160" t="n">
        <f aca="false">SUM(N452:O452)</f>
        <v>0</v>
      </c>
    </row>
    <row r="453" customFormat="false" ht="18.75" hidden="false" customHeight="true" outlineLevel="0" collapsed="false">
      <c r="A453" s="196" t="str">
        <f aca="false">'☆掛負収入'!A453</f>
        <v>小　計</v>
      </c>
      <c r="B453" s="429" t="n">
        <f aca="false">SUM(B449:B452)</f>
        <v>31110</v>
      </c>
      <c r="C453" s="200" t="n">
        <f aca="false">SUM(C449:C452)</f>
        <v>2550</v>
      </c>
      <c r="D453" s="429" t="n">
        <f aca="false">SUM(D449:D452)</f>
        <v>31110</v>
      </c>
      <c r="E453" s="199" t="n">
        <f aca="false">SUM(E449:E452)</f>
        <v>2550</v>
      </c>
      <c r="F453" s="198" t="n">
        <f aca="false">SUM(F449:F452)</f>
        <v>0</v>
      </c>
      <c r="G453" s="197" t="n">
        <f aca="false">SUM(B453:F453)</f>
        <v>67320</v>
      </c>
      <c r="H453" s="429" t="n">
        <f aca="false">SUM(H449:H452)</f>
        <v>17632</v>
      </c>
      <c r="I453" s="199" t="n">
        <f aca="false">SUM(I449:I452)</f>
        <v>17649</v>
      </c>
      <c r="J453" s="200" t="n">
        <f aca="false">SUM(H453:I453)</f>
        <v>35281</v>
      </c>
      <c r="K453" s="197" t="n">
        <f aca="false">SUM(K449:K452)</f>
        <v>2686</v>
      </c>
      <c r="L453" s="198" t="n">
        <f aca="false">SUM(L449:L452)</f>
        <v>2686</v>
      </c>
      <c r="M453" s="200" t="n">
        <f aca="false">SUM(K453:L453)</f>
        <v>5372</v>
      </c>
      <c r="N453" s="197" t="n">
        <f aca="false">SUM(N449:N452)</f>
        <v>391</v>
      </c>
      <c r="O453" s="198" t="n">
        <f aca="false">SUM(O449:O452)</f>
        <v>391</v>
      </c>
      <c r="P453" s="200" t="n">
        <f aca="false">SUM(N453:O453)</f>
        <v>782</v>
      </c>
    </row>
    <row r="454" customFormat="false" ht="18.75" hidden="false" customHeight="true" outlineLevel="0" collapsed="false">
      <c r="A454" s="302" t="str">
        <f aca="false">'☆掛負収入'!A454</f>
        <v>任意継続組合員</v>
      </c>
      <c r="B454" s="281"/>
      <c r="C454" s="523"/>
      <c r="D454" s="524"/>
      <c r="E454" s="525"/>
      <c r="F454" s="296"/>
      <c r="G454" s="293"/>
      <c r="H454" s="678"/>
      <c r="I454" s="282"/>
      <c r="J454" s="283"/>
      <c r="K454" s="524"/>
      <c r="L454" s="679"/>
      <c r="M454" s="292"/>
      <c r="N454" s="524"/>
      <c r="O454" s="679"/>
      <c r="P454" s="292"/>
    </row>
    <row r="455" customFormat="false" ht="30" hidden="false" customHeight="true" outlineLevel="0" collapsed="false">
      <c r="A455" s="680" t="str">
        <f aca="false">'☆掛負収入'!A455</f>
        <v>総　　計</v>
      </c>
      <c r="B455" s="429" t="n">
        <f aca="false">SUM(B412+B443+B448+B453)</f>
        <v>2996625</v>
      </c>
      <c r="C455" s="200" t="n">
        <f aca="false">SUM(C412+C443+C448+C453)</f>
        <v>245625</v>
      </c>
      <c r="D455" s="681" t="n">
        <f aca="false">SUM(D412+D443+D448+D453)</f>
        <v>9005430</v>
      </c>
      <c r="E455" s="199" t="n">
        <f aca="false">SUM(E412+E443+E448+E453)</f>
        <v>738150</v>
      </c>
      <c r="F455" s="201" t="n">
        <f aca="false">SUM(F412+F443+F448+F453)</f>
        <v>8839</v>
      </c>
      <c r="G455" s="197" t="n">
        <f aca="false">SUM(B455:F455)</f>
        <v>12994669</v>
      </c>
      <c r="H455" s="429" t="n">
        <f aca="false">SUM(H412+H443+H448+H453+H454)</f>
        <v>1610745</v>
      </c>
      <c r="I455" s="199" t="n">
        <f aca="false">SUM(I412+I443+I448+I453+I454)</f>
        <v>5193250</v>
      </c>
      <c r="J455" s="200" t="n">
        <f aca="false">SUM(H455:I455)</f>
        <v>6803995</v>
      </c>
      <c r="K455" s="197" t="n">
        <f aca="false">K412+K443+K448+K453+K454</f>
        <v>166453</v>
      </c>
      <c r="L455" s="198" t="n">
        <f aca="false">L412+L443+L448+L453</f>
        <v>585390</v>
      </c>
      <c r="M455" s="200" t="n">
        <f aca="false">SUM(K455:L455)</f>
        <v>751843</v>
      </c>
      <c r="N455" s="197" t="n">
        <f aca="false">N412+N443+N448+N453+N454</f>
        <v>35706</v>
      </c>
      <c r="O455" s="198" t="n">
        <f aca="false">O412+O443+O448+O453</f>
        <v>115037</v>
      </c>
      <c r="P455" s="200" t="n">
        <f aca="false">SUM(N455:O455)</f>
        <v>150743</v>
      </c>
    </row>
    <row r="456" customFormat="false" ht="18.75" hidden="false" customHeight="true" outlineLevel="0" collapsed="false">
      <c r="A456" s="340"/>
      <c r="B456" s="341"/>
      <c r="C456" s="341"/>
      <c r="D456" s="341"/>
      <c r="E456" s="341"/>
      <c r="F456" s="341"/>
      <c r="G456" s="341"/>
      <c r="H456" s="341"/>
      <c r="I456" s="341"/>
      <c r="J456" s="341"/>
      <c r="K456" s="341"/>
      <c r="L456" s="341"/>
      <c r="M456" s="341"/>
      <c r="N456" s="341"/>
      <c r="O456" s="341"/>
      <c r="P456" s="341"/>
    </row>
    <row r="457" customFormat="false" ht="30" hidden="false" customHeight="true" outlineLevel="0" collapsed="false">
      <c r="A457" s="320"/>
      <c r="B457" s="416" t="n">
        <f aca="false">'☆掛負収入'!B457</f>
        <v>46326</v>
      </c>
      <c r="C457" s="416" t="n">
        <f aca="false">'☆掛負収入'!C457</f>
        <v>0</v>
      </c>
      <c r="D457" s="416" t="n">
        <f aca="false">'☆掛負収入'!D457</f>
        <v>0</v>
      </c>
      <c r="E457" s="416" t="n">
        <f aca="false">'☆掛負収入'!E457</f>
        <v>0</v>
      </c>
      <c r="F457" s="416" t="n">
        <f aca="false">'☆掛負収入'!F457</f>
        <v>0</v>
      </c>
      <c r="G457" s="416" t="n">
        <f aca="false">'☆掛負収入'!G457</f>
        <v>0</v>
      </c>
      <c r="H457" s="416" t="n">
        <f aca="false">'☆掛負収入'!H457</f>
        <v>46326</v>
      </c>
      <c r="I457" s="416" t="n">
        <f aca="false">'☆掛負収入'!I457</f>
        <v>0</v>
      </c>
      <c r="J457" s="416" t="n">
        <f aca="false">'☆掛負収入'!J457</f>
        <v>0</v>
      </c>
      <c r="K457" s="416" t="n">
        <f aca="false">'☆掛負収入'!K457</f>
        <v>46326</v>
      </c>
      <c r="L457" s="416" t="n">
        <f aca="false">'☆掛負収入'!L457</f>
        <v>0</v>
      </c>
      <c r="M457" s="416" t="n">
        <f aca="false">'☆掛負収入'!M457</f>
        <v>0</v>
      </c>
      <c r="N457" s="416" t="n">
        <f aca="false">'☆掛負収入'!N457</f>
        <v>46326</v>
      </c>
      <c r="O457" s="416" t="n">
        <f aca="false">'☆掛負収入'!O457</f>
        <v>0</v>
      </c>
      <c r="P457" s="416" t="n">
        <f aca="false">'☆掛負収入'!P457</f>
        <v>0</v>
      </c>
    </row>
    <row r="458" customFormat="false" ht="22.5" hidden="false" customHeight="true" outlineLevel="0" collapsed="false">
      <c r="A458" s="114" t="str">
        <f aca="false">'☆掛負収入'!A458</f>
        <v>区　　分</v>
      </c>
      <c r="B458" s="114" t="str">
        <f aca="false">'☆掛負収入'!B458</f>
        <v>長　期　経　理</v>
      </c>
      <c r="C458" s="114" t="n">
        <f aca="false">'☆掛負収入'!C458</f>
        <v>0</v>
      </c>
      <c r="D458" s="114" t="n">
        <f aca="false">'☆掛負収入'!D458</f>
        <v>0</v>
      </c>
      <c r="E458" s="114" t="n">
        <f aca="false">'☆掛負収入'!E458</f>
        <v>0</v>
      </c>
      <c r="F458" s="114" t="n">
        <f aca="false">'☆掛負収入'!F458</f>
        <v>0</v>
      </c>
      <c r="G458" s="114" t="n">
        <f aca="false">'☆掛負収入'!G458</f>
        <v>0</v>
      </c>
      <c r="H458" s="116" t="str">
        <f aca="false">'☆掛負収入'!H458</f>
        <v>短　期　経　理</v>
      </c>
      <c r="I458" s="116" t="n">
        <f aca="false">'☆掛負収入'!I458</f>
        <v>0</v>
      </c>
      <c r="J458" s="116" t="n">
        <f aca="false">'☆掛負収入'!J458</f>
        <v>0</v>
      </c>
      <c r="K458" s="116" t="str">
        <f aca="false">'☆掛負収入'!K458</f>
        <v>介　護　納　付　金</v>
      </c>
      <c r="L458" s="116" t="n">
        <f aca="false">'☆掛負収入'!L458</f>
        <v>0</v>
      </c>
      <c r="M458" s="116" t="n">
        <f aca="false">'☆掛負収入'!M458</f>
        <v>0</v>
      </c>
      <c r="N458" s="116" t="str">
        <f aca="false">'☆掛負収入'!N458</f>
        <v>子ども・子育て支援納付金</v>
      </c>
      <c r="O458" s="116" t="n">
        <f aca="false">'☆掛負収入'!O458</f>
        <v>0</v>
      </c>
      <c r="P458" s="116" t="n">
        <f aca="false">'☆掛負収入'!P458</f>
        <v>0</v>
      </c>
    </row>
    <row r="459" customFormat="false" ht="22.5" hidden="false" customHeight="true" outlineLevel="0" collapsed="false">
      <c r="A459" s="114" t="n">
        <f aca="false">'☆掛負収入'!A459</f>
        <v>0</v>
      </c>
      <c r="B459" s="117" t="str">
        <f aca="false">'☆掛負収入'!B459</f>
        <v>組合員負担分</v>
      </c>
      <c r="C459" s="117" t="n">
        <f aca="false">'☆掛負収入'!C459</f>
        <v>0</v>
      </c>
      <c r="D459" s="117" t="str">
        <f aca="false">'☆掛負収入'!D459</f>
        <v>事業主負担分</v>
      </c>
      <c r="E459" s="117" t="n">
        <f aca="false">'☆掛負収入'!E459</f>
        <v>0</v>
      </c>
      <c r="F459" s="117" t="n">
        <f aca="false">'☆掛負収入'!F459</f>
        <v>0</v>
      </c>
      <c r="G459" s="611" t="str">
        <f aca="false">'☆掛負収入'!G459</f>
        <v>計</v>
      </c>
      <c r="H459" s="121" t="str">
        <f aca="false">'☆掛負収入'!H459</f>
        <v>掛　金</v>
      </c>
      <c r="I459" s="119" t="str">
        <f aca="false">'☆掛負収入'!I459</f>
        <v>負担金</v>
      </c>
      <c r="J459" s="120" t="str">
        <f aca="false">'☆掛負収入'!J459</f>
        <v>計</v>
      </c>
      <c r="K459" s="121" t="str">
        <f aca="false">'☆掛負収入'!K459</f>
        <v>掛　金</v>
      </c>
      <c r="L459" s="119" t="str">
        <f aca="false">'☆掛負収入'!L459</f>
        <v>負担金</v>
      </c>
      <c r="M459" s="120" t="str">
        <f aca="false">'☆掛負収入'!M459</f>
        <v>計</v>
      </c>
      <c r="N459" s="121" t="str">
        <f aca="false">'☆掛負収入'!N459</f>
        <v>掛　金</v>
      </c>
      <c r="O459" s="119" t="str">
        <f aca="false">'☆掛負収入'!O459</f>
        <v>負担金</v>
      </c>
      <c r="P459" s="120" t="str">
        <f aca="false">'☆掛負収入'!P459</f>
        <v>計</v>
      </c>
    </row>
    <row r="460" customFormat="false" ht="22.5" hidden="false" customHeight="true" outlineLevel="0" collapsed="false">
      <c r="A460" s="114" t="n">
        <f aca="false">'☆掛負収入'!A460</f>
        <v>0</v>
      </c>
      <c r="B460" s="612" t="str">
        <f aca="false">'☆掛負収入'!B460</f>
        <v>厚生年金保険料</v>
      </c>
      <c r="C460" s="613" t="str">
        <f aca="false">'☆掛負収入'!C460</f>
        <v>退職等年金掛金</v>
      </c>
      <c r="D460" s="614" t="str">
        <f aca="false">'☆掛負収入'!D460</f>
        <v>厚生年金保険料</v>
      </c>
      <c r="E460" s="614" t="str">
        <f aca="false">'☆掛負収入'!E460</f>
        <v>退職等年金負担金</v>
      </c>
      <c r="F460" s="615" t="str">
        <f aca="false">'☆掛負収入'!F460</f>
        <v>経過的長期</v>
      </c>
      <c r="G460" s="611" t="n">
        <f aca="false">'☆掛負収入'!G460</f>
        <v>0</v>
      </c>
      <c r="H460" s="121" t="n">
        <f aca="false">'☆掛負収入'!H460</f>
        <v>0</v>
      </c>
      <c r="I460" s="119" t="n">
        <f aca="false">'☆掛負収入'!I460</f>
        <v>0</v>
      </c>
      <c r="J460" s="120" t="n">
        <f aca="false">'☆掛負収入'!J460</f>
        <v>0</v>
      </c>
      <c r="K460" s="121" t="n">
        <f aca="false">'☆掛負収入'!K460</f>
        <v>0</v>
      </c>
      <c r="L460" s="119" t="n">
        <f aca="false">'☆掛負収入'!L460</f>
        <v>0</v>
      </c>
      <c r="M460" s="120" t="n">
        <f aca="false">'☆掛負収入'!M460</f>
        <v>0</v>
      </c>
      <c r="N460" s="121" t="n">
        <f aca="false">'☆掛負収入'!N460</f>
        <v>0</v>
      </c>
      <c r="O460" s="119" t="n">
        <f aca="false">'☆掛負収入'!O460</f>
        <v>0</v>
      </c>
      <c r="P460" s="120" t="n">
        <f aca="false">'☆掛負収入'!P460</f>
        <v>0</v>
      </c>
    </row>
    <row r="461" customFormat="false" ht="18.75" hidden="false" customHeight="true" outlineLevel="0" collapsed="false">
      <c r="A461" s="125" t="str">
        <f aca="false">'☆掛負収入'!A461</f>
        <v>市長部局</v>
      </c>
      <c r="B461" s="616"/>
      <c r="C461" s="389"/>
      <c r="D461" s="617"/>
      <c r="E461" s="617"/>
      <c r="F461" s="209"/>
      <c r="G461" s="389"/>
      <c r="H461" s="616"/>
      <c r="I461" s="618"/>
      <c r="J461" s="206"/>
      <c r="K461" s="619"/>
      <c r="L461" s="618"/>
      <c r="M461" s="206"/>
      <c r="N461" s="619"/>
      <c r="O461" s="618"/>
      <c r="P461" s="206"/>
    </row>
    <row r="462" customFormat="false" ht="18.75" hidden="false" customHeight="true" outlineLevel="0" collapsed="false">
      <c r="A462" s="125" t="str">
        <f aca="false">'☆掛負収入'!A462</f>
        <v>下水道局</v>
      </c>
      <c r="B462" s="431"/>
      <c r="C462" s="206"/>
      <c r="D462" s="617"/>
      <c r="E462" s="617"/>
      <c r="F462" s="160"/>
      <c r="G462" s="206"/>
      <c r="H462" s="619"/>
      <c r="I462" s="449"/>
      <c r="J462" s="160"/>
      <c r="K462" s="620"/>
      <c r="L462" s="621"/>
      <c r="M462" s="160"/>
      <c r="N462" s="620"/>
      <c r="O462" s="621"/>
      <c r="P462" s="160"/>
    </row>
    <row r="463" customFormat="false" ht="18.75" hidden="false" customHeight="true" outlineLevel="0" collapsed="false">
      <c r="A463" s="125" t="str">
        <f aca="false">'☆掛負収入'!A463</f>
        <v>消防局</v>
      </c>
      <c r="B463" s="431"/>
      <c r="C463" s="206"/>
      <c r="D463" s="617"/>
      <c r="E463" s="617"/>
      <c r="F463" s="160"/>
      <c r="G463" s="206"/>
      <c r="H463" s="620"/>
      <c r="I463" s="464"/>
      <c r="J463" s="160"/>
      <c r="K463" s="620"/>
      <c r="L463" s="464"/>
      <c r="M463" s="160"/>
      <c r="N463" s="620"/>
      <c r="O463" s="464"/>
      <c r="P463" s="160"/>
    </row>
    <row r="464" customFormat="false" ht="18.75" hidden="false" customHeight="true" outlineLevel="0" collapsed="false">
      <c r="A464" s="125" t="str">
        <f aca="false">'☆掛負収入'!A464</f>
        <v>議会事務局</v>
      </c>
      <c r="B464" s="431"/>
      <c r="C464" s="206"/>
      <c r="D464" s="617"/>
      <c r="E464" s="617"/>
      <c r="F464" s="160"/>
      <c r="G464" s="206"/>
      <c r="H464" s="431"/>
      <c r="I464" s="464"/>
      <c r="J464" s="160"/>
      <c r="K464" s="431"/>
      <c r="L464" s="464"/>
      <c r="M464" s="160"/>
      <c r="N464" s="431"/>
      <c r="O464" s="464"/>
      <c r="P464" s="160"/>
    </row>
    <row r="465" customFormat="false" ht="18.75" hidden="false" customHeight="true" outlineLevel="0" collapsed="false">
      <c r="A465" s="125" t="str">
        <f aca="false">'☆掛負収入'!A465</f>
        <v>教育委員会（総務課）</v>
      </c>
      <c r="B465" s="431"/>
      <c r="C465" s="206"/>
      <c r="D465" s="617"/>
      <c r="E465" s="617"/>
      <c r="F465" s="160"/>
      <c r="G465" s="206"/>
      <c r="H465" s="431"/>
      <c r="I465" s="464"/>
      <c r="J465" s="160"/>
      <c r="K465" s="431"/>
      <c r="L465" s="464"/>
      <c r="M465" s="160"/>
      <c r="N465" s="431"/>
      <c r="O465" s="464"/>
      <c r="P465" s="160"/>
    </row>
    <row r="466" customFormat="false" ht="18.75" hidden="false" customHeight="true" outlineLevel="0" collapsed="false">
      <c r="A466" s="125" t="str">
        <f aca="false">'☆掛負収入'!A466</f>
        <v>選挙管理委員会</v>
      </c>
      <c r="B466" s="431"/>
      <c r="C466" s="206"/>
      <c r="D466" s="617"/>
      <c r="E466" s="617"/>
      <c r="F466" s="160"/>
      <c r="G466" s="206"/>
      <c r="H466" s="619"/>
      <c r="I466" s="449"/>
      <c r="J466" s="160"/>
      <c r="K466" s="431"/>
      <c r="L466" s="464"/>
      <c r="M466" s="160"/>
      <c r="N466" s="431"/>
      <c r="O466" s="464"/>
      <c r="P466" s="160"/>
    </row>
    <row r="467" customFormat="false" ht="18.75" hidden="false" customHeight="true" outlineLevel="0" collapsed="false">
      <c r="A467" s="125" t="str">
        <f aca="false">'☆掛負収入'!A467</f>
        <v>人事委員会</v>
      </c>
      <c r="B467" s="431"/>
      <c r="C467" s="206"/>
      <c r="D467" s="617"/>
      <c r="E467" s="617"/>
      <c r="F467" s="160"/>
      <c r="G467" s="206"/>
      <c r="H467" s="619"/>
      <c r="I467" s="449"/>
      <c r="J467" s="160"/>
      <c r="K467" s="619"/>
      <c r="L467" s="449"/>
      <c r="M467" s="160"/>
      <c r="N467" s="619"/>
      <c r="O467" s="449"/>
      <c r="P467" s="160"/>
    </row>
    <row r="468" customFormat="false" ht="18.75" hidden="false" customHeight="true" outlineLevel="0" collapsed="false">
      <c r="A468" s="125" t="str">
        <f aca="false">'☆掛負収入'!A468</f>
        <v>監査事務局</v>
      </c>
      <c r="B468" s="431"/>
      <c r="C468" s="206"/>
      <c r="D468" s="617"/>
      <c r="E468" s="617"/>
      <c r="F468" s="160"/>
      <c r="G468" s="206"/>
      <c r="H468" s="619"/>
      <c r="I468" s="449"/>
      <c r="J468" s="160"/>
      <c r="K468" s="619"/>
      <c r="L468" s="449"/>
      <c r="M468" s="160"/>
      <c r="N468" s="619"/>
      <c r="O468" s="449"/>
      <c r="P468" s="160"/>
    </row>
    <row r="469" customFormat="false" ht="18.75" hidden="false" customHeight="true" outlineLevel="0" collapsed="false">
      <c r="A469" s="125" t="str">
        <f aca="false">'☆掛負収入'!A469</f>
        <v>農業委員会</v>
      </c>
      <c r="B469" s="431"/>
      <c r="C469" s="206"/>
      <c r="D469" s="617"/>
      <c r="E469" s="617"/>
      <c r="F469" s="160"/>
      <c r="G469" s="206"/>
      <c r="H469" s="619"/>
      <c r="I469" s="449"/>
      <c r="J469" s="160"/>
      <c r="K469" s="619"/>
      <c r="L469" s="449"/>
      <c r="M469" s="160"/>
      <c r="N469" s="619"/>
      <c r="O469" s="449"/>
      <c r="P469" s="160"/>
    </row>
    <row r="470" customFormat="false" ht="18.75" hidden="false" customHeight="true" outlineLevel="0" collapsed="false">
      <c r="A470" s="125" t="str">
        <f aca="false">'☆掛負収入'!A470</f>
        <v>水道局</v>
      </c>
      <c r="B470" s="431"/>
      <c r="C470" s="206"/>
      <c r="D470" s="617"/>
      <c r="E470" s="617"/>
      <c r="F470" s="160"/>
      <c r="G470" s="206"/>
      <c r="H470" s="619"/>
      <c r="I470" s="449"/>
      <c r="J470" s="160"/>
      <c r="K470" s="619"/>
      <c r="L470" s="449"/>
      <c r="M470" s="160"/>
      <c r="N470" s="619"/>
      <c r="O470" s="449"/>
      <c r="P470" s="160"/>
    </row>
    <row r="471" customFormat="false" ht="18.75" hidden="false" customHeight="true" outlineLevel="0" collapsed="false">
      <c r="A471" s="146" t="str">
        <f aca="false">'☆掛負収入'!A471</f>
        <v>医療政策課(安芸市民)</v>
      </c>
      <c r="B471" s="620"/>
      <c r="C471" s="391"/>
      <c r="D471" s="620"/>
      <c r="E471" s="621"/>
      <c r="F471" s="418"/>
      <c r="G471" s="206"/>
      <c r="H471" s="622"/>
      <c r="I471" s="432"/>
      <c r="J471" s="160"/>
      <c r="K471" s="619"/>
      <c r="L471" s="449"/>
      <c r="M471" s="160"/>
      <c r="N471" s="619"/>
      <c r="O471" s="449"/>
      <c r="P471" s="160"/>
    </row>
    <row r="472" customFormat="false" ht="18.75" hidden="false" customHeight="true" outlineLevel="0" collapsed="false">
      <c r="A472" s="146" t="str">
        <f aca="false">'☆掛負収入'!A472</f>
        <v>教育委員会（教育給与課）</v>
      </c>
      <c r="B472" s="620"/>
      <c r="C472" s="206"/>
      <c r="D472" s="431"/>
      <c r="E472" s="623"/>
      <c r="F472" s="309"/>
      <c r="G472" s="206"/>
      <c r="H472" s="619"/>
      <c r="I472" s="449"/>
      <c r="J472" s="160"/>
      <c r="K472" s="619"/>
      <c r="L472" s="449"/>
      <c r="M472" s="160"/>
      <c r="N472" s="619"/>
      <c r="O472" s="449"/>
      <c r="P472" s="160"/>
    </row>
    <row r="473" customFormat="false" ht="18.75" hidden="true" customHeight="true" outlineLevel="0" collapsed="false">
      <c r="A473" s="624"/>
      <c r="B473" s="625"/>
      <c r="C473" s="235"/>
      <c r="D473" s="625"/>
      <c r="E473" s="626"/>
      <c r="F473" s="221"/>
      <c r="G473" s="285"/>
      <c r="H473" s="627"/>
      <c r="I473" s="628"/>
      <c r="J473" s="628"/>
      <c r="K473" s="627"/>
      <c r="L473" s="628"/>
      <c r="M473" s="220"/>
      <c r="N473" s="627"/>
      <c r="O473" s="628"/>
      <c r="P473" s="220"/>
    </row>
    <row r="474" customFormat="false" ht="18.75" hidden="true" customHeight="true" outlineLevel="0" collapsed="false">
      <c r="A474" s="629"/>
      <c r="B474" s="482"/>
      <c r="C474" s="157"/>
      <c r="D474" s="482"/>
      <c r="E474" s="483"/>
      <c r="F474" s="484"/>
      <c r="G474" s="466"/>
      <c r="H474" s="482"/>
      <c r="I474" s="483"/>
      <c r="J474" s="483"/>
      <c r="K474" s="482"/>
      <c r="L474" s="483"/>
      <c r="M474" s="155"/>
      <c r="N474" s="482"/>
      <c r="O474" s="483"/>
      <c r="P474" s="155"/>
    </row>
    <row r="475" customFormat="false" ht="18.75" hidden="true" customHeight="true" outlineLevel="0" collapsed="false">
      <c r="A475" s="629"/>
      <c r="B475" s="625"/>
      <c r="C475" s="235"/>
      <c r="D475" s="625"/>
      <c r="E475" s="626"/>
      <c r="F475" s="221"/>
      <c r="G475" s="285"/>
      <c r="H475" s="625"/>
      <c r="I475" s="626"/>
      <c r="J475" s="626"/>
      <c r="K475" s="625"/>
      <c r="L475" s="626"/>
      <c r="M475" s="721"/>
      <c r="N475" s="625"/>
      <c r="O475" s="626"/>
      <c r="P475" s="721"/>
    </row>
    <row r="476" customFormat="false" ht="18.75" hidden="true" customHeight="true" outlineLevel="0" collapsed="false">
      <c r="A476" s="630"/>
      <c r="B476" s="631"/>
      <c r="C476" s="632"/>
      <c r="D476" s="631"/>
      <c r="E476" s="515"/>
      <c r="F476" s="633"/>
      <c r="G476" s="689"/>
      <c r="H476" s="482"/>
      <c r="I476" s="634"/>
      <c r="J476" s="634"/>
      <c r="K476" s="482"/>
      <c r="L476" s="483"/>
      <c r="M476" s="155"/>
      <c r="N476" s="482"/>
      <c r="O476" s="483"/>
      <c r="P476" s="155"/>
    </row>
    <row r="477" customFormat="false" ht="18.75" hidden="false" customHeight="true" outlineLevel="0" collapsed="false">
      <c r="A477" s="196" t="str">
        <f aca="false">'☆掛負収入'!A477</f>
        <v>小　計</v>
      </c>
      <c r="B477" s="429"/>
      <c r="C477" s="199"/>
      <c r="D477" s="429"/>
      <c r="E477" s="199"/>
      <c r="F477" s="200"/>
      <c r="G477" s="201"/>
      <c r="H477" s="429"/>
      <c r="I477" s="199"/>
      <c r="J477" s="198"/>
      <c r="K477" s="429"/>
      <c r="L477" s="199"/>
      <c r="M477" s="198"/>
      <c r="N477" s="429"/>
      <c r="O477" s="199"/>
      <c r="P477" s="198"/>
    </row>
    <row r="478" customFormat="false" ht="18.75" hidden="false" customHeight="true" outlineLevel="0" collapsed="false">
      <c r="A478" s="202" t="str">
        <f aca="false">'☆掛負収入'!A478</f>
        <v>地方税共同機構</v>
      </c>
      <c r="B478" s="474" t="n">
        <f aca="false">'☆掛負収入'!B478</f>
        <v>0</v>
      </c>
      <c r="C478" s="402" t="n">
        <f aca="false">'☆掛負収入'!C478</f>
        <v>0</v>
      </c>
      <c r="D478" s="494" t="n">
        <f aca="false">'☆掛負収入'!D478</f>
        <v>0</v>
      </c>
      <c r="E478" s="488" t="n">
        <f aca="false">'☆掛負収入'!E478</f>
        <v>0</v>
      </c>
      <c r="F478" s="248" t="n">
        <f aca="false">'☆掛負収入'!F478</f>
        <v>0</v>
      </c>
      <c r="G478" s="206" t="n">
        <f aca="false">SUM(B478:F478)</f>
        <v>0</v>
      </c>
      <c r="H478" s="619" t="n">
        <f aca="false">'☆掛負収入'!H478</f>
        <v>0</v>
      </c>
      <c r="I478" s="449" t="n">
        <f aca="false">'☆掛負収入'!I478</f>
        <v>0</v>
      </c>
      <c r="J478" s="160" t="n">
        <f aca="false">SUM(H478:I478)</f>
        <v>0</v>
      </c>
      <c r="K478" s="464" t="n">
        <f aca="false">'☆掛負収入'!K478</f>
        <v>0</v>
      </c>
      <c r="L478" s="449" t="n">
        <f aca="false">'☆掛負収入'!L478</f>
        <v>0</v>
      </c>
      <c r="M478" s="160" t="n">
        <f aca="false">SUM(K478:L478)</f>
        <v>0</v>
      </c>
      <c r="N478" s="464" t="n">
        <f aca="false">'☆掛負収入'!N478</f>
        <v>0</v>
      </c>
      <c r="O478" s="449" t="n">
        <f aca="false">'☆掛負収入'!O478</f>
        <v>0</v>
      </c>
      <c r="P478" s="160" t="n">
        <f aca="false">SUM(N478:O478)</f>
        <v>0</v>
      </c>
    </row>
    <row r="479" customFormat="false" ht="18.75" hidden="false" customHeight="true" outlineLevel="0" collapsed="false">
      <c r="A479" s="125" t="str">
        <f aca="false">'☆掛負収入'!A479</f>
        <v>平和文化センター</v>
      </c>
      <c r="B479" s="474" t="n">
        <f aca="false">'☆掛負収入'!B479</f>
        <v>0</v>
      </c>
      <c r="C479" s="402" t="n">
        <f aca="false">'☆掛負収入'!C479</f>
        <v>0</v>
      </c>
      <c r="D479" s="489" t="n">
        <f aca="false">'☆掛負収入'!D479</f>
        <v>695400</v>
      </c>
      <c r="E479" s="477" t="n">
        <f aca="false">'☆掛負収入'!E479</f>
        <v>57000</v>
      </c>
      <c r="F479" s="248" t="n">
        <f aca="false">'☆掛負収入'!F479</f>
        <v>713</v>
      </c>
      <c r="G479" s="206" t="n">
        <f aca="false">SUM(B479:F479)</f>
        <v>753113</v>
      </c>
      <c r="H479" s="619" t="n">
        <f aca="false">'☆掛負収入'!H479</f>
        <v>0</v>
      </c>
      <c r="I479" s="449" t="n">
        <f aca="false">'☆掛負収入'!I479</f>
        <v>420489</v>
      </c>
      <c r="J479" s="160" t="n">
        <f aca="false">SUM(H479:I479)</f>
        <v>420489</v>
      </c>
      <c r="K479" s="464" t="n">
        <f aca="false">'☆掛負収入'!K479</f>
        <v>0</v>
      </c>
      <c r="L479" s="449" t="n">
        <f aca="false">'☆掛負収入'!L479</f>
        <v>51903</v>
      </c>
      <c r="M479" s="160" t="n">
        <f aca="false">SUM(K479:L479)</f>
        <v>51903</v>
      </c>
      <c r="N479" s="464" t="n">
        <f aca="false">'☆掛負収入'!N479</f>
        <v>0</v>
      </c>
      <c r="O479" s="449" t="n">
        <f aca="false">'☆掛負収入'!O479</f>
        <v>1</v>
      </c>
      <c r="P479" s="160" t="n">
        <f aca="false">SUM(N479:O479)</f>
        <v>1</v>
      </c>
    </row>
    <row r="480" customFormat="false" ht="18.75" hidden="false" customHeight="true" outlineLevel="0" collapsed="false">
      <c r="A480" s="125" t="str">
        <f aca="false">'☆掛負収入'!A480</f>
        <v>社会福祉事業団</v>
      </c>
      <c r="B480" s="625"/>
      <c r="C480" s="235"/>
      <c r="D480" s="476" t="n">
        <f aca="false">'☆掛負収入'!D480</f>
        <v>1881240</v>
      </c>
      <c r="E480" s="478" t="n">
        <f aca="false">'☆掛負収入'!E480</f>
        <v>154200</v>
      </c>
      <c r="F480" s="248" t="n">
        <f aca="false">'☆掛負収入'!F480</f>
        <v>1960</v>
      </c>
      <c r="G480" s="206" t="n">
        <f aca="false">SUM(B480:F480)</f>
        <v>2037400</v>
      </c>
      <c r="H480" s="627"/>
      <c r="I480" s="449" t="n">
        <f aca="false">'☆掛負収入'!I480</f>
        <v>1271974</v>
      </c>
      <c r="J480" s="160" t="n">
        <f aca="false">SUM(H480:I480)</f>
        <v>1271974</v>
      </c>
      <c r="K480" s="637"/>
      <c r="L480" s="449" t="n">
        <f aca="false">'☆掛負収入'!L480</f>
        <v>141252</v>
      </c>
      <c r="M480" s="160" t="n">
        <f aca="false">SUM(K480:L480)</f>
        <v>141252</v>
      </c>
      <c r="N480" s="637"/>
      <c r="O480" s="449" t="n">
        <f aca="false">'☆掛負収入'!O480</f>
        <v>1</v>
      </c>
      <c r="P480" s="160" t="n">
        <f aca="false">SUM(N480:O480)</f>
        <v>1</v>
      </c>
    </row>
    <row r="481" customFormat="false" ht="18.75" hidden="false" customHeight="true" outlineLevel="0" collapsed="false">
      <c r="A481" s="125" t="str">
        <f aca="false">'☆掛負収入'!A481</f>
        <v>原爆障害対策協議会</v>
      </c>
      <c r="B481" s="625"/>
      <c r="C481" s="235"/>
      <c r="D481" s="470" t="n">
        <f aca="false">'☆掛負収入'!D481</f>
        <v>48495</v>
      </c>
      <c r="E481" s="478" t="n">
        <f aca="false">'☆掛負収入'!E481</f>
        <v>3975</v>
      </c>
      <c r="F481" s="248" t="n">
        <f aca="false">'☆掛負収入'!F481</f>
        <v>49</v>
      </c>
      <c r="G481" s="206" t="n">
        <f aca="false">SUM(B481:F481)</f>
        <v>52519</v>
      </c>
      <c r="H481" s="627"/>
      <c r="I481" s="449" t="n">
        <f aca="false">'☆掛負収入'!I481</f>
        <v>29208</v>
      </c>
      <c r="J481" s="160" t="n">
        <f aca="false">SUM(H481:I481)</f>
        <v>29208</v>
      </c>
      <c r="K481" s="637"/>
      <c r="L481" s="449" t="n">
        <f aca="false">'☆掛負収入'!L481</f>
        <v>4187</v>
      </c>
      <c r="M481" s="160" t="n">
        <f aca="false">SUM(K481:L481)</f>
        <v>4187</v>
      </c>
      <c r="N481" s="637"/>
      <c r="O481" s="449" t="n">
        <f aca="false">'☆掛負収入'!O481</f>
        <v>1</v>
      </c>
      <c r="P481" s="160" t="n">
        <f aca="false">SUM(N481:O481)</f>
        <v>1</v>
      </c>
    </row>
    <row r="482" customFormat="false" ht="18.75" hidden="false" customHeight="true" outlineLevel="0" collapsed="false">
      <c r="A482" s="214" t="str">
        <f aca="false">'☆掛負収入'!A482</f>
        <v>産業振興センター</v>
      </c>
      <c r="B482" s="625"/>
      <c r="C482" s="235"/>
      <c r="D482" s="470" t="n">
        <f aca="false">'☆掛負収入'!D482</f>
        <v>425475</v>
      </c>
      <c r="E482" s="478" t="n">
        <f aca="false">'☆掛負収入'!E482</f>
        <v>34875</v>
      </c>
      <c r="F482" s="248" t="n">
        <f aca="false">'☆掛負収入'!F482</f>
        <v>435</v>
      </c>
      <c r="G482" s="206" t="n">
        <f aca="false">SUM(B482:F482)</f>
        <v>460785</v>
      </c>
      <c r="H482" s="627"/>
      <c r="I482" s="449" t="n">
        <f aca="false">'☆掛負収入'!I482</f>
        <v>256260</v>
      </c>
      <c r="J482" s="160" t="n">
        <f aca="false">SUM(H482:I482)</f>
        <v>256260</v>
      </c>
      <c r="K482" s="637"/>
      <c r="L482" s="449" t="n">
        <f aca="false">'☆掛負収入'!L482</f>
        <v>34207</v>
      </c>
      <c r="M482" s="160" t="n">
        <f aca="false">SUM(K482:L482)</f>
        <v>34207</v>
      </c>
      <c r="N482" s="637"/>
      <c r="O482" s="449" t="n">
        <f aca="false">'☆掛負収入'!O482</f>
        <v>1</v>
      </c>
      <c r="P482" s="160" t="n">
        <f aca="false">SUM(N482:O482)</f>
        <v>1</v>
      </c>
    </row>
    <row r="483" customFormat="false" ht="18.75" hidden="false" customHeight="true" outlineLevel="0" collapsed="false">
      <c r="A483" s="146" t="str">
        <f aca="false">'☆掛負収入'!A483</f>
        <v>ひろしま産業振興</v>
      </c>
      <c r="B483" s="625"/>
      <c r="C483" s="484"/>
      <c r="D483" s="470" t="n">
        <f aca="false">'☆掛負収入'!D483</f>
        <v>86010</v>
      </c>
      <c r="E483" s="478" t="n">
        <f aca="false">'☆掛負収入'!E483</f>
        <v>7050</v>
      </c>
      <c r="F483" s="479" t="n">
        <f aca="false">'☆掛負収入'!F483</f>
        <v>88</v>
      </c>
      <c r="G483" s="206" t="n">
        <f aca="false">SUM(B483:F483)</f>
        <v>93148</v>
      </c>
      <c r="H483" s="627"/>
      <c r="I483" s="432" t="n">
        <f aca="false">'☆掛負収入'!I483</f>
        <v>51803</v>
      </c>
      <c r="J483" s="160" t="n">
        <f aca="false">SUM(H483:I483)</f>
        <v>51803</v>
      </c>
      <c r="K483" s="637"/>
      <c r="L483" s="432" t="n">
        <f aca="false">'☆掛負収入'!L483</f>
        <v>7426</v>
      </c>
      <c r="M483" s="160" t="n">
        <f aca="false">SUM(K483:L483)</f>
        <v>7426</v>
      </c>
      <c r="N483" s="637"/>
      <c r="O483" s="432" t="n">
        <f aca="false">'☆掛負収入'!O483</f>
        <v>1</v>
      </c>
      <c r="P483" s="160" t="n">
        <f aca="false">SUM(N483:O483)</f>
        <v>1</v>
      </c>
    </row>
    <row r="484" customFormat="false" ht="18.75" hidden="false" customHeight="true" outlineLevel="0" collapsed="false">
      <c r="A484" s="146" t="str">
        <f aca="false">'☆掛負収入'!A484</f>
        <v>都市整備公社　市</v>
      </c>
      <c r="B484" s="625"/>
      <c r="C484" s="484"/>
      <c r="D484" s="476" t="n">
        <f aca="false">'☆掛負収入'!D484</f>
        <v>48495</v>
      </c>
      <c r="E484" s="478" t="n">
        <f aca="false">'☆掛負収入'!E484</f>
        <v>3975</v>
      </c>
      <c r="F484" s="248" t="n">
        <f aca="false">'☆掛負収入'!F484</f>
        <v>49</v>
      </c>
      <c r="G484" s="206" t="n">
        <f aca="false">SUM(B484:F484)</f>
        <v>52519</v>
      </c>
      <c r="H484" s="627"/>
      <c r="I484" s="449" t="n">
        <f aca="false">'☆掛負収入'!I484</f>
        <v>29208</v>
      </c>
      <c r="J484" s="160" t="n">
        <f aca="false">SUM(H484:I484)</f>
        <v>29208</v>
      </c>
      <c r="K484" s="637"/>
      <c r="L484" s="449" t="n">
        <f aca="false">'☆掛負収入'!L484</f>
        <v>4187</v>
      </c>
      <c r="M484" s="160" t="n">
        <f aca="false">SUM(K484:L484)</f>
        <v>4187</v>
      </c>
      <c r="N484" s="637"/>
      <c r="O484" s="449" t="n">
        <f aca="false">'☆掛負収入'!O484</f>
        <v>1</v>
      </c>
      <c r="P484" s="160" t="n">
        <f aca="false">SUM(N484:O484)</f>
        <v>1</v>
      </c>
    </row>
    <row r="485" customFormat="false" ht="18.75" hidden="false" customHeight="true" outlineLevel="0" collapsed="false">
      <c r="A485" s="217"/>
      <c r="B485" s="625"/>
      <c r="C485" s="221"/>
      <c r="D485" s="474"/>
      <c r="E485" s="478"/>
      <c r="F485" s="248"/>
      <c r="G485" s="206"/>
      <c r="H485" s="627"/>
      <c r="I485" s="449"/>
      <c r="J485" s="160"/>
      <c r="K485" s="637"/>
      <c r="L485" s="449"/>
      <c r="M485" s="160" t="n">
        <f aca="false">SUM(K485:L485)</f>
        <v>0</v>
      </c>
      <c r="N485" s="637"/>
      <c r="O485" s="449"/>
      <c r="P485" s="160" t="n">
        <f aca="false">SUM(N485:O485)</f>
        <v>0</v>
      </c>
    </row>
    <row r="486" customFormat="false" ht="18.75" hidden="false" customHeight="true" outlineLevel="0" collapsed="false">
      <c r="A486" s="146" t="str">
        <f aca="false">'☆掛負収入'!A486</f>
        <v>日本下水道事業団</v>
      </c>
      <c r="B486" s="476" t="n">
        <f aca="false">'☆掛負収入'!B486</f>
        <v>247050</v>
      </c>
      <c r="C486" s="248" t="n">
        <f aca="false">'☆掛負収入'!C486</f>
        <v>20250</v>
      </c>
      <c r="D486" s="474" t="n">
        <f aca="false">'☆掛負収入'!D486</f>
        <v>247050</v>
      </c>
      <c r="E486" s="478" t="n">
        <f aca="false">'☆掛負収入'!E486</f>
        <v>20250</v>
      </c>
      <c r="F486" s="248" t="n">
        <f aca="false">'☆掛負収入'!F486</f>
        <v>234</v>
      </c>
      <c r="G486" s="206" t="n">
        <f aca="false">SUM(B486:F486)</f>
        <v>534834</v>
      </c>
      <c r="H486" s="619" t="n">
        <f aca="false">'☆掛負収入'!H486</f>
        <v>140021</v>
      </c>
      <c r="I486" s="449" t="n">
        <f aca="false">'☆掛負収入'!I486</f>
        <v>140157</v>
      </c>
      <c r="J486" s="160" t="n">
        <f aca="false">SUM(H486:I486)</f>
        <v>280178</v>
      </c>
      <c r="K486" s="464" t="n">
        <f aca="false">'☆掛負収入'!K486</f>
        <v>10270</v>
      </c>
      <c r="L486" s="449" t="n">
        <f aca="false">'☆掛負収入'!L486</f>
        <v>10270</v>
      </c>
      <c r="M486" s="160" t="n">
        <f aca="false">SUM(K486:L486)</f>
        <v>20540</v>
      </c>
      <c r="N486" s="464" t="n">
        <f aca="false">'☆掛負収入'!N486</f>
        <v>3104</v>
      </c>
      <c r="O486" s="449" t="n">
        <f aca="false">'☆掛負収入'!O486</f>
        <v>3105</v>
      </c>
      <c r="P486" s="160" t="n">
        <f aca="false">SUM(N486:O486)</f>
        <v>6209</v>
      </c>
    </row>
    <row r="487" customFormat="false" ht="18.75" hidden="false" customHeight="true" outlineLevel="0" collapsed="false">
      <c r="A487" s="125" t="str">
        <f aca="false">'☆掛負収入'!A487</f>
        <v>地方公務員災害補償基金本部</v>
      </c>
      <c r="B487" s="476" t="n">
        <f aca="false">'☆掛負収入'!B487</f>
        <v>43005</v>
      </c>
      <c r="C487" s="248" t="n">
        <f aca="false">'☆掛負収入'!C487</f>
        <v>3525</v>
      </c>
      <c r="D487" s="474" t="n">
        <f aca="false">'☆掛負収入'!D487</f>
        <v>43005</v>
      </c>
      <c r="E487" s="478" t="n">
        <f aca="false">'☆掛負収入'!E487</f>
        <v>3525</v>
      </c>
      <c r="F487" s="248" t="n">
        <f aca="false">'☆掛負収入'!F487</f>
        <v>40</v>
      </c>
      <c r="G487" s="206" t="n">
        <f aca="false">SUM(B487:F487)</f>
        <v>93100</v>
      </c>
      <c r="H487" s="619" t="n">
        <f aca="false">'☆掛負収入'!H487</f>
        <v>24374</v>
      </c>
      <c r="I487" s="449" t="n">
        <f aca="false">'☆掛負収入'!I487</f>
        <v>24397</v>
      </c>
      <c r="J487" s="160" t="n">
        <f aca="false">SUM(H487:I487)</f>
        <v>48771</v>
      </c>
      <c r="K487" s="464" t="n">
        <f aca="false">'☆掛負収入'!K487</f>
        <v>0</v>
      </c>
      <c r="L487" s="449" t="n">
        <f aca="false">'☆掛負収入'!L487</f>
        <v>0</v>
      </c>
      <c r="M487" s="160" t="n">
        <f aca="false">SUM(K487:L487)</f>
        <v>0</v>
      </c>
      <c r="N487" s="464" t="n">
        <f aca="false">'☆掛負収入'!N487</f>
        <v>540</v>
      </c>
      <c r="O487" s="449" t="n">
        <f aca="false">'☆掛負収入'!O487</f>
        <v>540</v>
      </c>
      <c r="P487" s="160" t="n">
        <f aca="false">SUM(N487:O487)</f>
        <v>1080</v>
      </c>
    </row>
    <row r="488" customFormat="false" ht="18.75" hidden="false" customHeight="true" outlineLevel="0" collapsed="false">
      <c r="A488" s="222"/>
      <c r="B488" s="474"/>
      <c r="C488" s="248"/>
      <c r="D488" s="474"/>
      <c r="E488" s="478"/>
      <c r="F488" s="248"/>
      <c r="G488" s="206"/>
      <c r="H488" s="619"/>
      <c r="I488" s="449"/>
      <c r="J488" s="160"/>
      <c r="K488" s="464"/>
      <c r="L488" s="449"/>
      <c r="M488" s="160" t="n">
        <f aca="false">SUM(K488:L488)</f>
        <v>0</v>
      </c>
      <c r="N488" s="464"/>
      <c r="O488" s="449"/>
      <c r="P488" s="160" t="n">
        <f aca="false">SUM(N488:O488)</f>
        <v>0</v>
      </c>
    </row>
    <row r="489" customFormat="false" ht="18.75" hidden="false" customHeight="true" outlineLevel="0" collapsed="false">
      <c r="A489" s="125" t="str">
        <f aca="false">'☆掛負収入'!A489</f>
        <v>高速道路公社</v>
      </c>
      <c r="B489" s="489" t="n">
        <f aca="false">'☆掛負収入'!B489</f>
        <v>912255</v>
      </c>
      <c r="C489" s="479" t="n">
        <f aca="false">'☆掛負収入'!C489</f>
        <v>74775</v>
      </c>
      <c r="D489" s="489" t="n">
        <f aca="false">'☆掛負収入'!D489</f>
        <v>912255</v>
      </c>
      <c r="E489" s="495" t="n">
        <f aca="false">'☆掛負収入'!E489</f>
        <v>74775</v>
      </c>
      <c r="F489" s="491" t="n">
        <f aca="false">'☆掛負収入'!F489</f>
        <v>936</v>
      </c>
      <c r="G489" s="206" t="n">
        <f aca="false">SUM(B489:F489)</f>
        <v>1974996</v>
      </c>
      <c r="H489" s="638" t="n">
        <f aca="false">'☆掛負収入'!H489</f>
        <v>548442</v>
      </c>
      <c r="I489" s="639" t="n">
        <f aca="false">'☆掛負収入'!I489</f>
        <v>549446</v>
      </c>
      <c r="J489" s="160" t="n">
        <f aca="false">SUM(H489:I489)</f>
        <v>1097888</v>
      </c>
      <c r="K489" s="640" t="n">
        <f aca="false">'☆掛負収入'!K489</f>
        <v>50086</v>
      </c>
      <c r="L489" s="639" t="n">
        <f aca="false">'☆掛負収入'!L489</f>
        <v>50086</v>
      </c>
      <c r="M489" s="160" t="n">
        <f aca="false">SUM(K489:L489)</f>
        <v>100172</v>
      </c>
      <c r="N489" s="640" t="n">
        <f aca="false">'☆掛負収入'!N489</f>
        <v>1</v>
      </c>
      <c r="O489" s="639" t="n">
        <f aca="false">'☆掛負収入'!O489</f>
        <v>1</v>
      </c>
      <c r="P489" s="160" t="n">
        <f aca="false">SUM(N489:O489)</f>
        <v>2</v>
      </c>
    </row>
    <row r="490" customFormat="false" ht="18.75" hidden="false" customHeight="true" outlineLevel="0" collapsed="false">
      <c r="A490" s="125" t="str">
        <f aca="false">'☆掛負収入'!A490</f>
        <v>農林水産振興センタ</v>
      </c>
      <c r="B490" s="482"/>
      <c r="C490" s="484"/>
      <c r="D490" s="476" t="n">
        <f aca="false">'☆掛負収入'!D490</f>
        <v>601155</v>
      </c>
      <c r="E490" s="498" t="n">
        <f aca="false">'☆掛負収入'!E490</f>
        <v>49275</v>
      </c>
      <c r="F490" s="479" t="n">
        <f aca="false">'☆掛負収入'!F490</f>
        <v>613</v>
      </c>
      <c r="G490" s="206" t="n">
        <f aca="false">SUM(B490:F490)</f>
        <v>651043</v>
      </c>
      <c r="H490" s="641"/>
      <c r="I490" s="432" t="n">
        <f aca="false">'☆掛負収入'!I490</f>
        <v>362070</v>
      </c>
      <c r="J490" s="160" t="n">
        <f aca="false">SUM(H490:I490)</f>
        <v>362070</v>
      </c>
      <c r="K490" s="642"/>
      <c r="L490" s="432" t="n">
        <f aca="false">'☆掛負収入'!L490</f>
        <v>27255</v>
      </c>
      <c r="M490" s="160" t="n">
        <f aca="false">SUM(K490:L490)</f>
        <v>27255</v>
      </c>
      <c r="N490" s="642"/>
      <c r="O490" s="432" t="n">
        <f aca="false">'☆掛負収入'!O490</f>
        <v>1</v>
      </c>
      <c r="P490" s="160" t="n">
        <f aca="false">SUM(N490:O490)</f>
        <v>1</v>
      </c>
    </row>
    <row r="491" customFormat="false" ht="18.75" hidden="false" customHeight="true" outlineLevel="0" collapsed="false">
      <c r="A491" s="228" t="str">
        <f aca="false">'☆掛負収入'!A491</f>
        <v>文化財団　市長部局</v>
      </c>
      <c r="B491" s="625"/>
      <c r="C491" s="221"/>
      <c r="D491" s="474" t="n">
        <f aca="false">'☆掛負収入'!D491</f>
        <v>1160220</v>
      </c>
      <c r="E491" s="478" t="n">
        <f aca="false">'☆掛負収入'!E491</f>
        <v>95100</v>
      </c>
      <c r="F491" s="479" t="n">
        <f aca="false">'☆掛負収入'!F491</f>
        <v>1185</v>
      </c>
      <c r="G491" s="206" t="n">
        <f aca="false">SUM(B491:F491)</f>
        <v>1256505</v>
      </c>
      <c r="H491" s="627"/>
      <c r="I491" s="432" t="n">
        <f aca="false">'☆掛負収入'!I491</f>
        <v>698790</v>
      </c>
      <c r="J491" s="160" t="n">
        <f aca="false">SUM(H491:I491)</f>
        <v>698790</v>
      </c>
      <c r="K491" s="637"/>
      <c r="L491" s="432" t="n">
        <f aca="false">'☆掛負収入'!L491</f>
        <v>94721</v>
      </c>
      <c r="M491" s="160" t="n">
        <f aca="false">SUM(K491:L491)</f>
        <v>94721</v>
      </c>
      <c r="N491" s="637"/>
      <c r="O491" s="432" t="n">
        <f aca="false">'☆掛負収入'!O491</f>
        <v>1</v>
      </c>
      <c r="P491" s="160" t="n">
        <f aca="false">SUM(N491:O491)</f>
        <v>1</v>
      </c>
    </row>
    <row r="492" customFormat="false" ht="18.75" hidden="false" customHeight="true" outlineLevel="0" collapsed="false">
      <c r="A492" s="229"/>
      <c r="B492" s="625"/>
      <c r="C492" s="221"/>
      <c r="D492" s="474"/>
      <c r="E492" s="478"/>
      <c r="F492" s="479"/>
      <c r="G492" s="206"/>
      <c r="H492" s="627"/>
      <c r="I492" s="432"/>
      <c r="J492" s="160"/>
      <c r="K492" s="637"/>
      <c r="L492" s="432"/>
      <c r="M492" s="160" t="n">
        <f aca="false">SUM(K492:L492)</f>
        <v>0</v>
      </c>
      <c r="N492" s="637"/>
      <c r="O492" s="432"/>
      <c r="P492" s="160" t="n">
        <f aca="false">SUM(N492:O492)</f>
        <v>0</v>
      </c>
    </row>
    <row r="493" customFormat="false" ht="18.75" hidden="false" customHeight="true" outlineLevel="0" collapsed="false">
      <c r="A493" s="125" t="str">
        <f aca="false">'☆掛負収入'!A493</f>
        <v>みどり生きもの協会</v>
      </c>
      <c r="B493" s="625"/>
      <c r="C493" s="221"/>
      <c r="D493" s="474" t="n">
        <f aca="false">'☆掛負収入'!D493</f>
        <v>394365</v>
      </c>
      <c r="E493" s="478" t="n">
        <f aca="false">'☆掛負収入'!E493</f>
        <v>32325</v>
      </c>
      <c r="F493" s="479" t="n">
        <f aca="false">'☆掛負収入'!F493</f>
        <v>403</v>
      </c>
      <c r="G493" s="206" t="n">
        <f aca="false">SUM(B493:F493)</f>
        <v>427093</v>
      </c>
      <c r="H493" s="627"/>
      <c r="I493" s="432" t="n">
        <f aca="false">'☆掛負収入'!I493</f>
        <v>237523</v>
      </c>
      <c r="J493" s="160" t="n">
        <f aca="false">SUM(H493:I493)</f>
        <v>237523</v>
      </c>
      <c r="K493" s="637"/>
      <c r="L493" s="432" t="n">
        <f aca="false">'☆掛負収入'!L493</f>
        <v>34049</v>
      </c>
      <c r="M493" s="160" t="n">
        <f aca="false">SUM(K493:L493)</f>
        <v>34049</v>
      </c>
      <c r="N493" s="637"/>
      <c r="O493" s="432" t="n">
        <f aca="false">'☆掛負収入'!O493</f>
        <v>1</v>
      </c>
      <c r="P493" s="160" t="n">
        <f aca="false">SUM(N493:O493)</f>
        <v>1</v>
      </c>
    </row>
    <row r="494" customFormat="false" ht="18.75" hidden="false" customHeight="true" outlineLevel="0" collapsed="false">
      <c r="A494" s="146" t="str">
        <f aca="false">'☆掛負収入'!A494</f>
        <v>県下水道公社</v>
      </c>
      <c r="B494" s="474" t="n">
        <f aca="false">'☆掛負収入'!B494</f>
        <v>137250</v>
      </c>
      <c r="C494" s="248" t="n">
        <f aca="false">'☆掛負収入'!C494</f>
        <v>11250</v>
      </c>
      <c r="D494" s="474" t="n">
        <f aca="false">'☆掛負収入'!D494</f>
        <v>137250</v>
      </c>
      <c r="E494" s="478" t="n">
        <f aca="false">'☆掛負収入'!E494</f>
        <v>11250</v>
      </c>
      <c r="F494" s="479" t="n">
        <f aca="false">'☆掛負収入'!F494</f>
        <v>140</v>
      </c>
      <c r="G494" s="206" t="n">
        <f aca="false">SUM(B494:F494)</f>
        <v>297140</v>
      </c>
      <c r="H494" s="619" t="n">
        <f aca="false">'☆掛負収入'!H494</f>
        <v>82514</v>
      </c>
      <c r="I494" s="432" t="n">
        <f aca="false">'☆掛負収入'!I494</f>
        <v>82665</v>
      </c>
      <c r="J494" s="160" t="n">
        <f aca="false">SUM(H494:I494)</f>
        <v>165179</v>
      </c>
      <c r="K494" s="464" t="n">
        <f aca="false">'☆掛負収入'!K494</f>
        <v>8611</v>
      </c>
      <c r="L494" s="432" t="n">
        <f aca="false">'☆掛負収入'!L494</f>
        <v>8611</v>
      </c>
      <c r="M494" s="160" t="n">
        <f aca="false">SUM(K494:L494)</f>
        <v>17222</v>
      </c>
      <c r="N494" s="464" t="n">
        <f aca="false">'☆掛負収入'!N494</f>
        <v>1</v>
      </c>
      <c r="O494" s="432" t="n">
        <f aca="false">'☆掛負収入'!O494</f>
        <v>1</v>
      </c>
      <c r="P494" s="160" t="n">
        <f aca="false">SUM(N494:O494)</f>
        <v>2</v>
      </c>
    </row>
    <row r="495" customFormat="false" ht="18.75" hidden="false" customHeight="true" outlineLevel="0" collapsed="false">
      <c r="A495" s="146" t="str">
        <f aca="false">'☆掛負収入'!A495</f>
        <v>バス協調・共創
プラットフォーム</v>
      </c>
      <c r="B495" s="482"/>
      <c r="C495" s="484"/>
      <c r="D495" s="476" t="n">
        <f aca="false">'☆掛負収入'!D495</f>
        <v>472140</v>
      </c>
      <c r="E495" s="498" t="n">
        <f aca="false">'☆掛負収入'!E495</f>
        <v>38700</v>
      </c>
      <c r="F495" s="479" t="n">
        <f aca="false">'☆掛負収入'!F495</f>
        <v>484</v>
      </c>
      <c r="G495" s="206" t="n">
        <f aca="false">SUM(B495:F495)</f>
        <v>511324</v>
      </c>
      <c r="H495" s="641"/>
      <c r="I495" s="432" t="n">
        <f aca="false">'☆掛負収入'!I495</f>
        <v>289878</v>
      </c>
      <c r="J495" s="160" t="n">
        <f aca="false">SUM(H495:I495)</f>
        <v>289878</v>
      </c>
      <c r="K495" s="642"/>
      <c r="L495" s="432" t="n">
        <f aca="false">'☆掛負収入'!L495</f>
        <v>25517</v>
      </c>
      <c r="M495" s="160" t="n">
        <f aca="false">SUM(K495:L495)</f>
        <v>25517</v>
      </c>
      <c r="N495" s="642"/>
      <c r="O495" s="432" t="n">
        <f aca="false">'☆掛負収入'!O495</f>
        <v>1</v>
      </c>
      <c r="P495" s="160" t="n">
        <f aca="false">SUM(N495:O495)</f>
        <v>1</v>
      </c>
    </row>
    <row r="496" customFormat="false" ht="18.75" hidden="false" customHeight="true" outlineLevel="0" collapsed="false">
      <c r="A496" s="146" t="str">
        <f aca="false">'☆掛負収入'!A496</f>
        <v>広島県市長会</v>
      </c>
      <c r="B496" s="474" t="n">
        <f aca="false">'☆掛負収入'!B496</f>
        <v>53985</v>
      </c>
      <c r="C496" s="248" t="n">
        <f aca="false">'☆掛負収入'!C496</f>
        <v>4425</v>
      </c>
      <c r="D496" s="474" t="n">
        <f aca="false">'☆掛負収入'!D496</f>
        <v>53985</v>
      </c>
      <c r="E496" s="478" t="n">
        <f aca="false">'☆掛負収入'!E496</f>
        <v>4425</v>
      </c>
      <c r="F496" s="248" t="n">
        <f aca="false">'☆掛負収入'!F496</f>
        <v>51</v>
      </c>
      <c r="G496" s="206" t="n">
        <f aca="false">SUM(B496:F496)</f>
        <v>116871</v>
      </c>
      <c r="H496" s="619" t="n">
        <f aca="false">'☆掛負収入'!H496</f>
        <v>30597</v>
      </c>
      <c r="I496" s="449" t="n">
        <f aca="false">'☆掛負収入'!I496</f>
        <v>30626</v>
      </c>
      <c r="J496" s="160" t="n">
        <f aca="false">SUM(H496:I496)</f>
        <v>61223</v>
      </c>
      <c r="K496" s="464" t="n">
        <f aca="false">'☆掛負収入'!K496</f>
        <v>4661</v>
      </c>
      <c r="L496" s="449" t="n">
        <f aca="false">'☆掛負収入'!L496</f>
        <v>4661</v>
      </c>
      <c r="M496" s="160" t="n">
        <f aca="false">SUM(K496:L496)</f>
        <v>9322</v>
      </c>
      <c r="N496" s="464" t="n">
        <f aca="false">'☆掛負収入'!N496</f>
        <v>678</v>
      </c>
      <c r="O496" s="449" t="n">
        <f aca="false">'☆掛負収入'!O496</f>
        <v>678</v>
      </c>
      <c r="P496" s="160" t="n">
        <f aca="false">SUM(N496:O496)</f>
        <v>1356</v>
      </c>
    </row>
    <row r="497" customFormat="false" ht="18.75" hidden="false" customHeight="true" outlineLevel="0" collapsed="false">
      <c r="A497" s="214" t="str">
        <f aca="false">'☆掛負収入'!A497</f>
        <v>全国市町村研修財団</v>
      </c>
      <c r="B497" s="476" t="n">
        <f aca="false">'☆掛負収入'!B497</f>
        <v>59475</v>
      </c>
      <c r="C497" s="248" t="n">
        <f aca="false">'☆掛負収入'!C497</f>
        <v>4875</v>
      </c>
      <c r="D497" s="474" t="n">
        <f aca="false">'☆掛負収入'!D497</f>
        <v>59475</v>
      </c>
      <c r="E497" s="478" t="n">
        <f aca="false">'☆掛負収入'!E497</f>
        <v>4875</v>
      </c>
      <c r="F497" s="248" t="n">
        <f aca="false">'☆掛負収入'!F497</f>
        <v>56</v>
      </c>
      <c r="G497" s="206" t="n">
        <f aca="false">SUM(B497:F497)</f>
        <v>128756</v>
      </c>
      <c r="H497" s="619" t="n">
        <f aca="false">'☆掛負収入'!H497</f>
        <v>36820</v>
      </c>
      <c r="I497" s="449" t="n">
        <f aca="false">'☆掛負収入'!I497</f>
        <v>36856</v>
      </c>
      <c r="J497" s="160" t="n">
        <f aca="false">SUM(H497:I497)</f>
        <v>73676</v>
      </c>
      <c r="K497" s="464" t="n">
        <f aca="false">'☆掛負収入'!K497</f>
        <v>5609</v>
      </c>
      <c r="L497" s="449" t="n">
        <f aca="false">'☆掛負収入'!L497</f>
        <v>5609</v>
      </c>
      <c r="M497" s="160" t="n">
        <f aca="false">SUM(K497:L497)</f>
        <v>11218</v>
      </c>
      <c r="N497" s="464" t="n">
        <f aca="false">'☆掛負収入'!N497</f>
        <v>816</v>
      </c>
      <c r="O497" s="449" t="n">
        <f aca="false">'☆掛負収入'!O497</f>
        <v>816</v>
      </c>
      <c r="P497" s="160" t="n">
        <f aca="false">SUM(N497:O497)</f>
        <v>1632</v>
      </c>
    </row>
    <row r="498" customFormat="false" ht="18.75" hidden="false" customHeight="true" outlineLevel="0" collapsed="false">
      <c r="A498" s="214" t="str">
        <f aca="false">'☆掛負収入'!A498</f>
        <v>都市再生機構</v>
      </c>
      <c r="B498" s="474" t="n">
        <f aca="false">'☆掛負収入'!B498</f>
        <v>45750</v>
      </c>
      <c r="C498" s="248" t="n">
        <f aca="false">'☆掛負収入'!C498</f>
        <v>3750</v>
      </c>
      <c r="D498" s="474" t="n">
        <f aca="false">'☆掛負収入'!D498</f>
        <v>45750</v>
      </c>
      <c r="E498" s="478" t="n">
        <f aca="false">'☆掛負収入'!E498</f>
        <v>3750</v>
      </c>
      <c r="F498" s="248" t="n">
        <f aca="false">'☆掛負収入'!F498</f>
        <v>43</v>
      </c>
      <c r="G498" s="206" t="n">
        <f aca="false">SUM(B498:F498)</f>
        <v>99043</v>
      </c>
      <c r="H498" s="619" t="n">
        <f aca="false">'☆掛負収入'!H498</f>
        <v>25930</v>
      </c>
      <c r="I498" s="449" t="n">
        <f aca="false">'☆掛負収入'!I498</f>
        <v>25955</v>
      </c>
      <c r="J498" s="160" t="n">
        <f aca="false">SUM(H498:I498)</f>
        <v>51885</v>
      </c>
      <c r="K498" s="464" t="n">
        <f aca="false">'☆掛負収入'!K498</f>
        <v>0</v>
      </c>
      <c r="L498" s="449" t="n">
        <f aca="false">'☆掛負収入'!L498</f>
        <v>0</v>
      </c>
      <c r="M498" s="160" t="n">
        <f aca="false">SUM(K498:L498)</f>
        <v>0</v>
      </c>
      <c r="N498" s="464" t="n">
        <f aca="false">'☆掛負収入'!N498</f>
        <v>575</v>
      </c>
      <c r="O498" s="449" t="n">
        <f aca="false">'☆掛負収入'!O498</f>
        <v>575</v>
      </c>
      <c r="P498" s="160" t="n">
        <f aca="false">SUM(N498:O498)</f>
        <v>1150</v>
      </c>
    </row>
    <row r="499" customFormat="false" ht="18.75" hidden="false" customHeight="true" outlineLevel="0" collapsed="false">
      <c r="A499" s="146" t="str">
        <f aca="false">'☆掛負収入'!A499</f>
        <v>広島市立大学</v>
      </c>
      <c r="B499" s="431" t="n">
        <f aca="false">'☆掛負収入'!B499</f>
        <v>1234335</v>
      </c>
      <c r="C499" s="160" t="n">
        <f aca="false">'☆掛負収入'!C499</f>
        <v>101175</v>
      </c>
      <c r="D499" s="431" t="n">
        <f aca="false">'☆掛負収入'!D499</f>
        <v>1234335</v>
      </c>
      <c r="E499" s="464" t="n">
        <f aca="false">'☆掛負収入'!E499</f>
        <v>101175</v>
      </c>
      <c r="F499" s="248" t="n">
        <f aca="false">'☆掛負収入'!F499</f>
        <v>1337</v>
      </c>
      <c r="G499" s="206" t="n">
        <f aca="false">SUM(B499:F499)</f>
        <v>2672357</v>
      </c>
      <c r="H499" s="619" t="n">
        <f aca="false">'☆掛負収入'!H499</f>
        <v>742074</v>
      </c>
      <c r="I499" s="449" t="n">
        <f aca="false">'☆掛負収入'!I499</f>
        <v>743509</v>
      </c>
      <c r="J499" s="160" t="n">
        <f aca="false">SUM(H499:I499)</f>
        <v>1485583</v>
      </c>
      <c r="K499" s="464" t="n">
        <f aca="false">'☆掛負収入'!K499</f>
        <v>64227</v>
      </c>
      <c r="L499" s="449" t="n">
        <f aca="false">'☆掛負収入'!L499</f>
        <v>64227</v>
      </c>
      <c r="M499" s="160" t="n">
        <f aca="false">SUM(K499:L499)</f>
        <v>128454</v>
      </c>
      <c r="N499" s="464" t="n">
        <f aca="false">'☆掛負収入'!N499</f>
        <v>1</v>
      </c>
      <c r="O499" s="449" t="n">
        <f aca="false">'☆掛負収入'!O499</f>
        <v>1</v>
      </c>
      <c r="P499" s="160" t="n">
        <f aca="false">SUM(N499:O499)</f>
        <v>2</v>
      </c>
    </row>
    <row r="500" customFormat="false" ht="18.75" hidden="false" customHeight="true" outlineLevel="0" collapsed="false">
      <c r="A500" s="146" t="str">
        <f aca="false">'☆掛負収入'!A500</f>
        <v>社会福祉協議会</v>
      </c>
      <c r="B500" s="431" t="n">
        <f aca="false">'☆掛負収入'!B500</f>
        <v>0</v>
      </c>
      <c r="C500" s="160" t="n">
        <f aca="false">'☆掛負収入'!C500</f>
        <v>0</v>
      </c>
      <c r="D500" s="431" t="n">
        <f aca="false">'☆掛負収入'!D500</f>
        <v>245220</v>
      </c>
      <c r="E500" s="464" t="n">
        <f aca="false">'☆掛負収入'!E500</f>
        <v>20100</v>
      </c>
      <c r="F500" s="248" t="n">
        <f aca="false">'☆掛負収入'!F500</f>
        <v>251</v>
      </c>
      <c r="G500" s="206" t="n">
        <f aca="false">SUM(B500:F500)</f>
        <v>265571</v>
      </c>
      <c r="H500" s="619" t="n">
        <f aca="false">'☆掛負収入'!H500</f>
        <v>0</v>
      </c>
      <c r="I500" s="449" t="n">
        <f aca="false">'☆掛負収入'!I500</f>
        <v>151001</v>
      </c>
      <c r="J500" s="160" t="n">
        <f aca="false">SUM(H500:I500)</f>
        <v>151001</v>
      </c>
      <c r="K500" s="464" t="n">
        <f aca="false">'☆掛負収入'!K500</f>
        <v>0</v>
      </c>
      <c r="L500" s="449" t="n">
        <f aca="false">'☆掛負収入'!L500</f>
        <v>10744</v>
      </c>
      <c r="M500" s="160" t="n">
        <f aca="false">SUM(K500:L500)</f>
        <v>10744</v>
      </c>
      <c r="N500" s="464" t="n">
        <f aca="false">'☆掛負収入'!N500</f>
        <v>0</v>
      </c>
      <c r="O500" s="449" t="n">
        <f aca="false">'☆掛負収入'!O500</f>
        <v>1</v>
      </c>
      <c r="P500" s="160" t="n">
        <f aca="false">SUM(N500:O500)</f>
        <v>1</v>
      </c>
    </row>
    <row r="501" customFormat="false" ht="18.75" hidden="false" customHeight="true" outlineLevel="0" collapsed="false">
      <c r="A501" s="228" t="s">
        <v>532</v>
      </c>
      <c r="B501" s="620" t="n">
        <f aca="false">'☆掛負収入'!B503</f>
        <v>0</v>
      </c>
      <c r="C501" s="465" t="n">
        <f aca="false">'☆掛負収入'!C503</f>
        <v>0</v>
      </c>
      <c r="D501" s="620" t="n">
        <f aca="false">'☆掛負収入'!D503</f>
        <v>0</v>
      </c>
      <c r="E501" s="465" t="n">
        <f aca="false">'☆掛負収入'!E503</f>
        <v>0</v>
      </c>
      <c r="F501" s="206" t="n">
        <f aca="false">'☆掛負収入'!F503</f>
        <v>0</v>
      </c>
      <c r="G501" s="206" t="n">
        <f aca="false">SUM(B501:F501)</f>
        <v>0</v>
      </c>
      <c r="H501" s="620" t="n">
        <f aca="false">'☆掛負収入'!H503</f>
        <v>0</v>
      </c>
      <c r="I501" s="464" t="n">
        <f aca="false">'☆掛負収入'!I503</f>
        <v>0</v>
      </c>
      <c r="J501" s="160" t="n">
        <f aca="false">SUM(H501:I501)</f>
        <v>0</v>
      </c>
      <c r="K501" s="464" t="n">
        <f aca="false">'☆掛負収入'!K503</f>
        <v>0</v>
      </c>
      <c r="L501" s="449" t="n">
        <f aca="false">'☆掛負収入'!L503</f>
        <v>0</v>
      </c>
      <c r="M501" s="160" t="n">
        <f aca="false">SUM(K501:L501)</f>
        <v>0</v>
      </c>
      <c r="N501" s="464" t="n">
        <f aca="false">'☆掛負収入'!N503</f>
        <v>0</v>
      </c>
      <c r="O501" s="449" t="n">
        <f aca="false">'☆掛負収入'!O503</f>
        <v>0</v>
      </c>
      <c r="P501" s="160" t="n">
        <f aca="false">SUM(N501:O501)</f>
        <v>0</v>
      </c>
    </row>
    <row r="502" customFormat="false" ht="18.75" hidden="false" customHeight="true" outlineLevel="0" collapsed="false">
      <c r="A502" s="146" t="str">
        <f aca="false">'☆掛負収入'!A504</f>
        <v>全国市長会</v>
      </c>
      <c r="B502" s="620" t="n">
        <f aca="false">'☆掛負収入'!B504</f>
        <v>118950</v>
      </c>
      <c r="C502" s="465" t="n">
        <f aca="false">'☆掛負収入'!C504</f>
        <v>9750</v>
      </c>
      <c r="D502" s="620" t="n">
        <f aca="false">'☆掛負収入'!D504</f>
        <v>118950</v>
      </c>
      <c r="E502" s="465" t="n">
        <f aca="false">'☆掛負収入'!E504</f>
        <v>9750</v>
      </c>
      <c r="F502" s="206" t="n">
        <f aca="false">'☆掛負収入'!F504</f>
        <v>112</v>
      </c>
      <c r="G502" s="206" t="n">
        <f aca="false">SUM(B502:F502)</f>
        <v>257512</v>
      </c>
      <c r="H502" s="620" t="n">
        <f aca="false">'☆掛負収入'!H504</f>
        <v>86605</v>
      </c>
      <c r="I502" s="464" t="n">
        <f aca="false">'☆掛負収入'!I504</f>
        <v>86689</v>
      </c>
      <c r="J502" s="160" t="n">
        <f aca="false">SUM(H502:I502)</f>
        <v>173294</v>
      </c>
      <c r="K502" s="464" t="n">
        <f aca="false">'☆掛負収入'!K504</f>
        <v>13193</v>
      </c>
      <c r="L502" s="449" t="n">
        <f aca="false">'☆掛負収入'!L504</f>
        <v>13193</v>
      </c>
      <c r="M502" s="160" t="n">
        <f aca="false">SUM(K502:L502)</f>
        <v>26386</v>
      </c>
      <c r="N502" s="464" t="n">
        <f aca="false">'☆掛負収入'!N504</f>
        <v>1920</v>
      </c>
      <c r="O502" s="449" t="n">
        <f aca="false">'☆掛負収入'!O504</f>
        <v>1920</v>
      </c>
      <c r="P502" s="160" t="n">
        <f aca="false">SUM(N502:O502)</f>
        <v>3840</v>
      </c>
    </row>
    <row r="503" customFormat="false" ht="18.75" hidden="false" customHeight="true" outlineLevel="0" collapsed="false">
      <c r="A503" s="233"/>
      <c r="B503" s="431"/>
      <c r="C503" s="418"/>
      <c r="D503" s="431"/>
      <c r="E503" s="464"/>
      <c r="F503" s="160"/>
      <c r="G503" s="206"/>
      <c r="H503" s="619"/>
      <c r="I503" s="449"/>
      <c r="J503" s="160"/>
      <c r="K503" s="464"/>
      <c r="L503" s="449"/>
      <c r="M503" s="160"/>
      <c r="N503" s="464"/>
      <c r="O503" s="449"/>
      <c r="P503" s="160"/>
    </row>
    <row r="504" customFormat="false" ht="18.75" hidden="false" customHeight="true" outlineLevel="0" collapsed="false">
      <c r="A504" s="233"/>
      <c r="B504" s="620"/>
      <c r="C504" s="391"/>
      <c r="D504" s="620"/>
      <c r="E504" s="621"/>
      <c r="F504" s="418"/>
      <c r="G504" s="206"/>
      <c r="H504" s="620"/>
      <c r="I504" s="465"/>
      <c r="J504" s="160"/>
      <c r="K504" s="621"/>
      <c r="L504" s="465"/>
      <c r="M504" s="160"/>
      <c r="N504" s="621"/>
      <c r="O504" s="465"/>
      <c r="P504" s="160"/>
    </row>
    <row r="505" customFormat="false" ht="18.75" hidden="false" customHeight="true" outlineLevel="0" collapsed="false">
      <c r="A505" s="217"/>
      <c r="B505" s="431"/>
      <c r="C505" s="206"/>
      <c r="D505" s="431"/>
      <c r="E505" s="617"/>
      <c r="F505" s="160"/>
      <c r="G505" s="206"/>
      <c r="H505" s="431"/>
      <c r="I505" s="644"/>
      <c r="J505" s="160"/>
      <c r="K505" s="617"/>
      <c r="L505" s="644"/>
      <c r="M505" s="160"/>
      <c r="N505" s="617"/>
      <c r="O505" s="644"/>
      <c r="P505" s="160"/>
    </row>
    <row r="506" customFormat="false" ht="18.75" hidden="false" customHeight="true" outlineLevel="0" collapsed="false">
      <c r="A506" s="217"/>
      <c r="B506" s="620"/>
      <c r="C506" s="418"/>
      <c r="D506" s="621"/>
      <c r="E506" s="465"/>
      <c r="F506" s="418"/>
      <c r="G506" s="391"/>
      <c r="H506" s="431"/>
      <c r="I506" s="465"/>
      <c r="J506" s="160"/>
      <c r="K506" s="621"/>
      <c r="L506" s="465"/>
      <c r="M506" s="160"/>
      <c r="N506" s="621"/>
      <c r="O506" s="465"/>
      <c r="P506" s="160"/>
    </row>
    <row r="507" customFormat="false" ht="18.75" hidden="false" customHeight="true" outlineLevel="0" collapsed="false">
      <c r="A507" s="630"/>
      <c r="B507" s="647"/>
      <c r="C507" s="278"/>
      <c r="D507" s="648"/>
      <c r="E507" s="649"/>
      <c r="F507" s="278"/>
      <c r="G507" s="646"/>
      <c r="H507" s="647"/>
      <c r="I507" s="648"/>
      <c r="J507" s="648" t="n">
        <f aca="false">SUM(H507:I507)</f>
        <v>0</v>
      </c>
      <c r="K507" s="647"/>
      <c r="L507" s="648"/>
      <c r="M507" s="722" t="n">
        <f aca="false">SUM(K507:L507)</f>
        <v>0</v>
      </c>
      <c r="N507" s="647"/>
      <c r="O507" s="648"/>
      <c r="P507" s="722" t="n">
        <f aca="false">SUM(N507:O507)</f>
        <v>0</v>
      </c>
    </row>
    <row r="508" customFormat="false" ht="18.75" hidden="false" customHeight="true" outlineLevel="0" collapsed="false">
      <c r="A508" s="196" t="str">
        <f aca="false">'☆掛負収入'!A508</f>
        <v>小　計</v>
      </c>
      <c r="B508" s="429" t="n">
        <f aca="false">SUM(B478:B507)</f>
        <v>2852055</v>
      </c>
      <c r="C508" s="200" t="n">
        <f aca="false">SUM(C478:C507)</f>
        <v>233775</v>
      </c>
      <c r="D508" s="429" t="n">
        <f aca="false">SUM(D478:D507)</f>
        <v>8910270</v>
      </c>
      <c r="E508" s="301" t="n">
        <f aca="false">SUM(E478:E507)</f>
        <v>730350</v>
      </c>
      <c r="F508" s="200" t="n">
        <f aca="false">SUM(F478:F507)</f>
        <v>9179</v>
      </c>
      <c r="G508" s="201" t="n">
        <f aca="false">SUM(B508:F508)</f>
        <v>12735629</v>
      </c>
      <c r="H508" s="429" t="n">
        <f aca="false">SUM(H478:H507)</f>
        <v>1717377</v>
      </c>
      <c r="I508" s="199" t="n">
        <f aca="false">SUM(I478:I507)</f>
        <v>5518504</v>
      </c>
      <c r="J508" s="200" t="n">
        <f aca="false">SUM(H508:I508)</f>
        <v>7235881</v>
      </c>
      <c r="K508" s="429" t="n">
        <f aca="false">SUM(K478:K507)</f>
        <v>156657</v>
      </c>
      <c r="L508" s="199" t="n">
        <f aca="false">SUM(L478:L507)</f>
        <v>592105</v>
      </c>
      <c r="M508" s="198" t="n">
        <f aca="false">SUM(K508:L508)</f>
        <v>748762</v>
      </c>
      <c r="N508" s="429" t="n">
        <f aca="false">SUM(N478:N507)</f>
        <v>7636</v>
      </c>
      <c r="O508" s="199" t="n">
        <f aca="false">SUM(O478:O507)</f>
        <v>7648</v>
      </c>
      <c r="P508" s="198" t="n">
        <f aca="false">SUM(N508:O508)</f>
        <v>15284</v>
      </c>
    </row>
    <row r="509" customFormat="false" ht="18.75" hidden="true" customHeight="true" outlineLevel="0" collapsed="false">
      <c r="A509" s="629"/>
      <c r="B509" s="647"/>
      <c r="C509" s="278"/>
      <c r="D509" s="648"/>
      <c r="E509" s="649"/>
      <c r="F509" s="650"/>
      <c r="G509" s="651"/>
      <c r="H509" s="652"/>
      <c r="I509" s="653"/>
      <c r="J509" s="654"/>
      <c r="K509" s="655"/>
      <c r="L509" s="656"/>
      <c r="M509" s="657"/>
      <c r="N509" s="655"/>
      <c r="O509" s="656"/>
      <c r="P509" s="657"/>
    </row>
    <row r="510" customFormat="false" ht="18.75" hidden="true" customHeight="true" outlineLevel="0" collapsed="false">
      <c r="A510" s="658"/>
      <c r="B510" s="631"/>
      <c r="C510" s="633"/>
      <c r="D510" s="648"/>
      <c r="E510" s="649"/>
      <c r="F510" s="278"/>
      <c r="G510" s="646"/>
      <c r="H510" s="659"/>
      <c r="I510" s="660"/>
      <c r="J510" s="408"/>
      <c r="K510" s="661"/>
      <c r="L510" s="662"/>
      <c r="M510" s="663"/>
      <c r="N510" s="661"/>
      <c r="O510" s="662"/>
      <c r="P510" s="663"/>
    </row>
    <row r="511" customFormat="false" ht="18.75" hidden="false" customHeight="true" outlineLevel="0" collapsed="false">
      <c r="A511" s="214" t="str">
        <f aca="false">'☆掛負収入'!A511</f>
        <v>高速交通（株）</v>
      </c>
      <c r="B511" s="489" t="n">
        <f aca="false">'☆掛負収入'!B511</f>
        <v>145485</v>
      </c>
      <c r="C511" s="491" t="n">
        <f aca="false">'☆掛負収入'!C511</f>
        <v>11925</v>
      </c>
      <c r="D511" s="477" t="n">
        <f aca="false">'☆掛負収入'!D511</f>
        <v>145485</v>
      </c>
      <c r="E511" s="487" t="n">
        <f aca="false">'☆掛負収入'!E511</f>
        <v>11925</v>
      </c>
      <c r="F511" s="479" t="n">
        <f aca="false">'☆掛負収入'!F511</f>
        <v>149</v>
      </c>
      <c r="G511" s="391" t="n">
        <f aca="false">SUM(B511:F511)</f>
        <v>314969</v>
      </c>
      <c r="H511" s="665"/>
      <c r="I511" s="665"/>
      <c r="J511" s="665"/>
      <c r="K511" s="665"/>
      <c r="L511" s="665"/>
      <c r="M511" s="665"/>
      <c r="N511" s="665"/>
      <c r="O511" s="665"/>
      <c r="P511" s="665"/>
    </row>
    <row r="512" customFormat="false" ht="18.75" hidden="false" customHeight="true" outlineLevel="0" collapsed="false">
      <c r="A512" s="723" t="str">
        <f aca="false">'☆掛負収入'!A512</f>
        <v>広島駅南口開発（株）</v>
      </c>
      <c r="B512" s="724" t="n">
        <f aca="false">'☆掛負収入'!B512</f>
        <v>53985</v>
      </c>
      <c r="C512" s="725" t="n">
        <f aca="false">'☆掛負収入'!C512</f>
        <v>4425</v>
      </c>
      <c r="D512" s="477" t="n">
        <f aca="false">'☆掛負収入'!D512</f>
        <v>53985</v>
      </c>
      <c r="E512" s="487" t="n">
        <f aca="false">'☆掛負収入'!E512</f>
        <v>4425</v>
      </c>
      <c r="F512" s="479" t="n">
        <f aca="false">'☆掛負収入'!F512</f>
        <v>51</v>
      </c>
      <c r="G512" s="391" t="n">
        <f aca="false">SUM(B512:F512)</f>
        <v>116871</v>
      </c>
      <c r="H512" s="665"/>
      <c r="I512" s="665"/>
      <c r="J512" s="665"/>
      <c r="K512" s="665"/>
      <c r="L512" s="665"/>
      <c r="M512" s="665"/>
      <c r="N512" s="665"/>
      <c r="O512" s="665"/>
      <c r="P512" s="665"/>
    </row>
    <row r="513" customFormat="false" ht="18.75" hidden="false" customHeight="true" outlineLevel="0" collapsed="false">
      <c r="A513" s="196" t="str">
        <f aca="false">'☆掛負収入'!A513</f>
        <v>小　計</v>
      </c>
      <c r="B513" s="197" t="n">
        <f aca="false">SUM(B511:B512)</f>
        <v>199470</v>
      </c>
      <c r="C513" s="200" t="n">
        <f aca="false">SUM(C509:C512)</f>
        <v>16350</v>
      </c>
      <c r="D513" s="681" t="n">
        <f aca="false">SUM(D509:D512)</f>
        <v>199470</v>
      </c>
      <c r="E513" s="199" t="n">
        <f aca="false">SUM(E509:E512)</f>
        <v>16350</v>
      </c>
      <c r="F513" s="201" t="n">
        <f aca="false">SUM(F509:F512)</f>
        <v>200</v>
      </c>
      <c r="G513" s="200" t="n">
        <f aca="false">SUM(B513:F513)</f>
        <v>431840</v>
      </c>
      <c r="H513" s="665"/>
      <c r="I513" s="665"/>
      <c r="J513" s="665"/>
      <c r="K513" s="665"/>
      <c r="L513" s="665"/>
      <c r="M513" s="665"/>
      <c r="N513" s="665"/>
      <c r="O513" s="665"/>
      <c r="P513" s="665"/>
    </row>
    <row r="514" customFormat="false" ht="18.75" hidden="false" customHeight="true" outlineLevel="0" collapsed="false">
      <c r="A514" s="125" t="str">
        <f aca="false">'☆掛負収入'!A514</f>
        <v>市職員労働組合</v>
      </c>
      <c r="B514" s="474" t="n">
        <f aca="false">'☆掛負収入'!B514</f>
        <v>29280</v>
      </c>
      <c r="C514" s="248" t="n">
        <f aca="false">'☆掛負収入'!C514</f>
        <v>2400</v>
      </c>
      <c r="D514" s="470" t="n">
        <f aca="false">'☆掛負収入'!D514</f>
        <v>29280</v>
      </c>
      <c r="E514" s="488" t="n">
        <f aca="false">'☆掛負収入'!E514</f>
        <v>2400</v>
      </c>
      <c r="F514" s="221"/>
      <c r="G514" s="206" t="n">
        <f aca="false">SUM(B514:F514)</f>
        <v>63360</v>
      </c>
      <c r="H514" s="619" t="n">
        <f aca="false">'☆掛負収入'!H514</f>
        <v>17603</v>
      </c>
      <c r="I514" s="449" t="n">
        <f aca="false">'☆掛負収入'!I514</f>
        <v>17635</v>
      </c>
      <c r="J514" s="160" t="n">
        <f aca="false">SUM(H514:I514)</f>
        <v>35238</v>
      </c>
      <c r="K514" s="476" t="n">
        <f aca="false">'☆掛負収入'!K514</f>
        <v>2528</v>
      </c>
      <c r="L514" s="487" t="n">
        <f aca="false">'☆掛負収入'!L514</f>
        <v>2528</v>
      </c>
      <c r="M514" s="471" t="n">
        <f aca="false">SUM(K514:L514)</f>
        <v>5056</v>
      </c>
      <c r="N514" s="476" t="n">
        <f aca="false">'☆掛負収入'!N514</f>
        <v>1</v>
      </c>
      <c r="O514" s="487" t="n">
        <f aca="false">'☆掛負収入'!O514</f>
        <v>1</v>
      </c>
      <c r="P514" s="471" t="n">
        <f aca="false">SUM(N514:O514)</f>
        <v>2</v>
      </c>
    </row>
    <row r="515" customFormat="false" ht="18.75" hidden="false" customHeight="true" outlineLevel="0" collapsed="false">
      <c r="A515" s="125" t="str">
        <f aca="false">'☆掛負収入'!A515</f>
        <v>自治労労働組合</v>
      </c>
      <c r="B515" s="474" t="n">
        <f aca="false">'☆掛負収入'!B515</f>
        <v>0</v>
      </c>
      <c r="C515" s="402" t="n">
        <f aca="false">'☆掛負収入'!C515</f>
        <v>0</v>
      </c>
      <c r="D515" s="474" t="n">
        <f aca="false">'☆掛負収入'!D515</f>
        <v>0</v>
      </c>
      <c r="E515" s="488" t="n">
        <f aca="false">'☆掛負収入'!E515</f>
        <v>0</v>
      </c>
      <c r="F515" s="221"/>
      <c r="G515" s="206" t="n">
        <f aca="false">SUM(B515:F515)</f>
        <v>0</v>
      </c>
      <c r="H515" s="619" t="n">
        <f aca="false">'☆掛負収入'!H515</f>
        <v>0</v>
      </c>
      <c r="I515" s="449" t="n">
        <f aca="false">'☆掛負収入'!I515</f>
        <v>0</v>
      </c>
      <c r="J515" s="160" t="n">
        <f aca="false">SUM(H515:I515)</f>
        <v>0</v>
      </c>
      <c r="K515" s="473" t="n">
        <f aca="false">'☆掛負収入'!K515</f>
        <v>0</v>
      </c>
      <c r="L515" s="475" t="n">
        <f aca="false">'☆掛負収入'!L515</f>
        <v>0</v>
      </c>
      <c r="M515" s="248" t="n">
        <f aca="false">SUM(K515:L515)</f>
        <v>0</v>
      </c>
      <c r="N515" s="473" t="n">
        <f aca="false">'☆掛負収入'!N515</f>
        <v>0</v>
      </c>
      <c r="O515" s="475" t="n">
        <f aca="false">'☆掛負収入'!O515</f>
        <v>0</v>
      </c>
      <c r="P515" s="248" t="n">
        <f aca="false">SUM(N515:O515)</f>
        <v>0</v>
      </c>
    </row>
    <row r="516" customFormat="false" ht="18.75" hidden="false" customHeight="true" outlineLevel="0" collapsed="false">
      <c r="A516" s="125" t="str">
        <f aca="false">'☆掛負収入'!A516</f>
        <v>病院労働組合</v>
      </c>
      <c r="B516" s="474" t="n">
        <f aca="false">'☆掛負収入'!B516</f>
        <v>29280</v>
      </c>
      <c r="C516" s="402" t="n">
        <f aca="false">'☆掛負収入'!C516</f>
        <v>2400</v>
      </c>
      <c r="D516" s="474" t="n">
        <f aca="false">'☆掛負収入'!D516</f>
        <v>29280</v>
      </c>
      <c r="E516" s="488" t="n">
        <f aca="false">'☆掛負収入'!E516</f>
        <v>2400</v>
      </c>
      <c r="F516" s="221"/>
      <c r="G516" s="206" t="n">
        <f aca="false">SUM(B516:F516)</f>
        <v>63360</v>
      </c>
      <c r="H516" s="619" t="n">
        <f aca="false">'☆掛負収入'!H516</f>
        <v>32153</v>
      </c>
      <c r="I516" s="449" t="n">
        <f aca="false">'☆掛負収入'!I516</f>
        <v>32184</v>
      </c>
      <c r="J516" s="160" t="n">
        <f aca="false">SUM(H516:I516)</f>
        <v>64337</v>
      </c>
      <c r="K516" s="473" t="n">
        <f aca="false">'☆掛負収入'!K516</f>
        <v>2370</v>
      </c>
      <c r="L516" s="475" t="n">
        <f aca="false">'☆掛負収入'!L516</f>
        <v>2370</v>
      </c>
      <c r="M516" s="160" t="n">
        <f aca="false">SUM(K516:L516)</f>
        <v>4740</v>
      </c>
      <c r="N516" s="473" t="n">
        <f aca="false">'☆掛負収入'!N516</f>
        <v>713</v>
      </c>
      <c r="O516" s="475" t="n">
        <f aca="false">'☆掛負収入'!O516</f>
        <v>713</v>
      </c>
      <c r="P516" s="160" t="n">
        <f aca="false">SUM(N516:O516)</f>
        <v>1426</v>
      </c>
    </row>
    <row r="517" customFormat="false" ht="18.75" hidden="false" customHeight="true" outlineLevel="0" collapsed="false">
      <c r="A517" s="302" t="str">
        <f aca="false">'☆掛負収入'!A517</f>
        <v>水道労働組合</v>
      </c>
      <c r="B517" s="673"/>
      <c r="C517" s="444"/>
      <c r="D517" s="673"/>
      <c r="E517" s="623"/>
      <c r="F517" s="296"/>
      <c r="G517" s="206" t="n">
        <f aca="false">SUM(B517:F517)</f>
        <v>0</v>
      </c>
      <c r="H517" s="674"/>
      <c r="I517" s="675"/>
      <c r="J517" s="160" t="n">
        <f aca="false">SUM(H517:I517)</f>
        <v>0</v>
      </c>
      <c r="K517" s="676"/>
      <c r="L517" s="677"/>
      <c r="M517" s="160" t="n">
        <f aca="false">SUM(K517:L517)</f>
        <v>0</v>
      </c>
      <c r="N517" s="676"/>
      <c r="O517" s="677"/>
      <c r="P517" s="160" t="n">
        <f aca="false">SUM(N517:O517)</f>
        <v>0</v>
      </c>
    </row>
    <row r="518" customFormat="false" ht="18.75" hidden="false" customHeight="true" outlineLevel="0" collapsed="false">
      <c r="A518" s="196" t="str">
        <f aca="false">'☆掛負収入'!A518</f>
        <v>小　計</v>
      </c>
      <c r="B518" s="429" t="n">
        <f aca="false">SUM(B514:B517)</f>
        <v>58560</v>
      </c>
      <c r="C518" s="200" t="n">
        <f aca="false">SUM(C514:C517)</f>
        <v>4800</v>
      </c>
      <c r="D518" s="429" t="n">
        <f aca="false">SUM(D514:D517)</f>
        <v>58560</v>
      </c>
      <c r="E518" s="199" t="n">
        <f aca="false">SUM(E514:E517)</f>
        <v>4800</v>
      </c>
      <c r="F518" s="198" t="n">
        <f aca="false">SUM(F514:F517)</f>
        <v>0</v>
      </c>
      <c r="G518" s="197" t="n">
        <f aca="false">SUM(B518:F518)</f>
        <v>126720</v>
      </c>
      <c r="H518" s="429" t="n">
        <f aca="false">SUM(H514:H517)</f>
        <v>49756</v>
      </c>
      <c r="I518" s="199" t="n">
        <f aca="false">SUM(I514:I517)</f>
        <v>49819</v>
      </c>
      <c r="J518" s="200" t="n">
        <f aca="false">SUM(H518:I518)</f>
        <v>99575</v>
      </c>
      <c r="K518" s="197" t="n">
        <f aca="false">SUM(K514:K517)</f>
        <v>4898</v>
      </c>
      <c r="L518" s="198" t="n">
        <f aca="false">SUM(L514:L517)</f>
        <v>4898</v>
      </c>
      <c r="M518" s="200" t="n">
        <f aca="false">SUM(K518:L518)</f>
        <v>9796</v>
      </c>
      <c r="N518" s="197" t="n">
        <f aca="false">SUM(N514:N517)</f>
        <v>714</v>
      </c>
      <c r="O518" s="198" t="n">
        <f aca="false">SUM(O514:O517)</f>
        <v>714</v>
      </c>
      <c r="P518" s="200" t="n">
        <f aca="false">SUM(N518:O518)</f>
        <v>1428</v>
      </c>
    </row>
    <row r="519" customFormat="false" ht="18.75" hidden="false" customHeight="true" outlineLevel="0" collapsed="false">
      <c r="A519" s="302" t="str">
        <f aca="false">'☆掛負収入'!A519</f>
        <v>任意継続組合員</v>
      </c>
      <c r="B519" s="281"/>
      <c r="C519" s="523"/>
      <c r="D519" s="524"/>
      <c r="E519" s="525"/>
      <c r="F519" s="296"/>
      <c r="G519" s="293"/>
      <c r="H519" s="678"/>
      <c r="I519" s="282"/>
      <c r="J519" s="283"/>
      <c r="K519" s="524"/>
      <c r="L519" s="679" t="n">
        <f aca="false">'☆掛負収入'!L519</f>
        <v>0</v>
      </c>
      <c r="M519" s="292"/>
      <c r="N519" s="524"/>
      <c r="O519" s="679" t="n">
        <f aca="false">'☆掛負収入'!O519</f>
        <v>0</v>
      </c>
      <c r="P519" s="292"/>
    </row>
    <row r="520" customFormat="false" ht="30" hidden="false" customHeight="true" outlineLevel="0" collapsed="false">
      <c r="A520" s="680" t="str">
        <f aca="false">'☆掛負収入'!A520</f>
        <v>総　　計</v>
      </c>
      <c r="B520" s="429" t="n">
        <f aca="false">SUM(B477+B508+B513+B518)</f>
        <v>3110085</v>
      </c>
      <c r="C520" s="200" t="n">
        <f aca="false">SUM(C477+C508+C513+C518)</f>
        <v>254925</v>
      </c>
      <c r="D520" s="681" t="n">
        <f aca="false">SUM(D477+D508+D513+D518)</f>
        <v>9168300</v>
      </c>
      <c r="E520" s="199" t="n">
        <f aca="false">SUM(E477+E508+E513+E518)</f>
        <v>751500</v>
      </c>
      <c r="F520" s="201" t="n">
        <f aca="false">SUM(F477+F508+F513+F518)</f>
        <v>9379</v>
      </c>
      <c r="G520" s="197" t="n">
        <f aca="false">SUM(B520:F520)</f>
        <v>13294189</v>
      </c>
      <c r="H520" s="429" t="n">
        <f aca="false">SUM(H477+H508+H513+H518+H519)</f>
        <v>1767133</v>
      </c>
      <c r="I520" s="199" t="n">
        <f aca="false">SUM(I477+I508+I513+I518+I519)</f>
        <v>5568323</v>
      </c>
      <c r="J520" s="200" t="n">
        <f aca="false">SUM(H520:I520)</f>
        <v>7335456</v>
      </c>
      <c r="K520" s="197" t="n">
        <f aca="false">K477+K508+K513+K518+K519</f>
        <v>161555</v>
      </c>
      <c r="L520" s="198" t="n">
        <f aca="false">L477+L508+L513+L518</f>
        <v>597003</v>
      </c>
      <c r="M520" s="200" t="n">
        <f aca="false">SUM(K520:L520)</f>
        <v>758558</v>
      </c>
      <c r="N520" s="197" t="n">
        <f aca="false">N477+N508+N513+N518+N519</f>
        <v>8350</v>
      </c>
      <c r="O520" s="198" t="n">
        <f aca="false">O477+O508+O513+O518</f>
        <v>8362</v>
      </c>
      <c r="P520" s="200" t="n">
        <f aca="false">SUM(N520:O520)</f>
        <v>16712</v>
      </c>
    </row>
    <row r="521" customFormat="false" ht="18.75" hidden="false" customHeight="true" outlineLevel="0" collapsed="false">
      <c r="A521" s="340"/>
      <c r="B521" s="341"/>
      <c r="C521" s="341"/>
      <c r="D521" s="341"/>
      <c r="E521" s="341"/>
      <c r="F521" s="341"/>
      <c r="G521" s="341"/>
      <c r="H521" s="341"/>
      <c r="I521" s="341"/>
      <c r="J521" s="341"/>
      <c r="K521" s="341"/>
      <c r="L521" s="341"/>
      <c r="M521" s="341"/>
      <c r="N521" s="341"/>
      <c r="O521" s="341"/>
      <c r="P521" s="341"/>
    </row>
    <row r="522" customFormat="false" ht="30" hidden="false" customHeight="true" outlineLevel="0" collapsed="false">
      <c r="A522" s="320"/>
      <c r="B522" s="416" t="n">
        <f aca="false">'☆掛負収入'!B522</f>
        <v>46356</v>
      </c>
      <c r="C522" s="416" t="n">
        <f aca="false">'☆掛負収入'!C522</f>
        <v>0</v>
      </c>
      <c r="D522" s="416" t="n">
        <f aca="false">'☆掛負収入'!D522</f>
        <v>0</v>
      </c>
      <c r="E522" s="416" t="n">
        <f aca="false">'☆掛負収入'!E522</f>
        <v>0</v>
      </c>
      <c r="F522" s="416" t="n">
        <f aca="false">'☆掛負収入'!F522</f>
        <v>0</v>
      </c>
      <c r="G522" s="416" t="n">
        <f aca="false">'☆掛負収入'!G522</f>
        <v>0</v>
      </c>
      <c r="H522" s="416" t="n">
        <f aca="false">'☆掛負収入'!H522</f>
        <v>46356</v>
      </c>
      <c r="I522" s="416" t="n">
        <f aca="false">'☆掛負収入'!I522</f>
        <v>0</v>
      </c>
      <c r="J522" s="416" t="n">
        <f aca="false">'☆掛負収入'!J522</f>
        <v>0</v>
      </c>
      <c r="K522" s="416" t="n">
        <f aca="false">'☆掛負収入'!K522</f>
        <v>46356</v>
      </c>
      <c r="L522" s="416" t="n">
        <f aca="false">'☆掛負収入'!L522</f>
        <v>0</v>
      </c>
      <c r="M522" s="416" t="n">
        <f aca="false">'☆掛負収入'!M522</f>
        <v>0</v>
      </c>
      <c r="N522" s="416" t="n">
        <f aca="false">'☆掛負収入'!N522</f>
        <v>46356</v>
      </c>
      <c r="O522" s="416" t="n">
        <f aca="false">'☆掛負収入'!O522</f>
        <v>0</v>
      </c>
      <c r="P522" s="416" t="n">
        <f aca="false">'☆掛負収入'!P522</f>
        <v>0</v>
      </c>
    </row>
    <row r="523" customFormat="false" ht="22.5" hidden="false" customHeight="true" outlineLevel="0" collapsed="false">
      <c r="A523" s="114" t="str">
        <f aca="false">'☆掛負収入'!A523</f>
        <v>区　　分</v>
      </c>
      <c r="B523" s="114" t="str">
        <f aca="false">'☆掛負収入'!B523</f>
        <v>長　期　経　理</v>
      </c>
      <c r="C523" s="114" t="n">
        <f aca="false">'☆掛負収入'!C523</f>
        <v>0</v>
      </c>
      <c r="D523" s="114" t="n">
        <f aca="false">'☆掛負収入'!D523</f>
        <v>0</v>
      </c>
      <c r="E523" s="114" t="n">
        <f aca="false">'☆掛負収入'!E523</f>
        <v>0</v>
      </c>
      <c r="F523" s="114" t="n">
        <f aca="false">'☆掛負収入'!F523</f>
        <v>0</v>
      </c>
      <c r="G523" s="114" t="n">
        <f aca="false">'☆掛負収入'!G523</f>
        <v>0</v>
      </c>
      <c r="H523" s="116" t="str">
        <f aca="false">'☆掛負収入'!H523</f>
        <v>短　期　経　理</v>
      </c>
      <c r="I523" s="116" t="n">
        <f aca="false">'☆掛負収入'!I523</f>
        <v>0</v>
      </c>
      <c r="J523" s="116" t="n">
        <f aca="false">'☆掛負収入'!J523</f>
        <v>0</v>
      </c>
      <c r="K523" s="116" t="str">
        <f aca="false">'☆掛負収入'!K523</f>
        <v>介　護　納　付　金</v>
      </c>
      <c r="L523" s="116" t="n">
        <f aca="false">'☆掛負収入'!L523</f>
        <v>0</v>
      </c>
      <c r="M523" s="116" t="n">
        <f aca="false">'☆掛負収入'!M523</f>
        <v>0</v>
      </c>
      <c r="N523" s="116" t="str">
        <f aca="false">'☆掛負収入'!N523</f>
        <v>子ども・子育て支援納付金</v>
      </c>
      <c r="O523" s="116" t="n">
        <f aca="false">'☆掛負収入'!O523</f>
        <v>0</v>
      </c>
      <c r="P523" s="116" t="n">
        <f aca="false">'☆掛負収入'!P523</f>
        <v>0</v>
      </c>
    </row>
    <row r="524" customFormat="false" ht="22.5" hidden="false" customHeight="true" outlineLevel="0" collapsed="false">
      <c r="A524" s="114" t="n">
        <f aca="false">'☆掛負収入'!A524</f>
        <v>0</v>
      </c>
      <c r="B524" s="117" t="str">
        <f aca="false">'☆掛負収入'!B524</f>
        <v>組合員負担分</v>
      </c>
      <c r="C524" s="117" t="n">
        <f aca="false">'☆掛負収入'!C524</f>
        <v>0</v>
      </c>
      <c r="D524" s="117" t="str">
        <f aca="false">'☆掛負収入'!D524</f>
        <v>事業主負担分</v>
      </c>
      <c r="E524" s="117" t="n">
        <f aca="false">'☆掛負収入'!E524</f>
        <v>0</v>
      </c>
      <c r="F524" s="117" t="n">
        <f aca="false">'☆掛負収入'!F524</f>
        <v>0</v>
      </c>
      <c r="G524" s="611" t="str">
        <f aca="false">'☆掛負収入'!G524</f>
        <v>計</v>
      </c>
      <c r="H524" s="121" t="str">
        <f aca="false">'☆掛負収入'!H524</f>
        <v>掛　金</v>
      </c>
      <c r="I524" s="119" t="str">
        <f aca="false">'☆掛負収入'!I524</f>
        <v>負担金</v>
      </c>
      <c r="J524" s="120" t="str">
        <f aca="false">'☆掛負収入'!J524</f>
        <v>計</v>
      </c>
      <c r="K524" s="121" t="str">
        <f aca="false">'☆掛負収入'!K524</f>
        <v>掛　金</v>
      </c>
      <c r="L524" s="119" t="str">
        <f aca="false">'☆掛負収入'!L524</f>
        <v>負担金</v>
      </c>
      <c r="M524" s="120" t="str">
        <f aca="false">'☆掛負収入'!M524</f>
        <v>計</v>
      </c>
      <c r="N524" s="121" t="str">
        <f aca="false">'☆掛負収入'!N524</f>
        <v>掛　金</v>
      </c>
      <c r="O524" s="119" t="str">
        <f aca="false">'☆掛負収入'!O524</f>
        <v>負担金</v>
      </c>
      <c r="P524" s="120" t="str">
        <f aca="false">'☆掛負収入'!P524</f>
        <v>計</v>
      </c>
    </row>
    <row r="525" customFormat="false" ht="22.5" hidden="false" customHeight="true" outlineLevel="0" collapsed="false">
      <c r="A525" s="114" t="n">
        <f aca="false">'☆掛負収入'!A525</f>
        <v>0</v>
      </c>
      <c r="B525" s="612" t="str">
        <f aca="false">'☆掛負収入'!B525</f>
        <v>厚生年金保険料</v>
      </c>
      <c r="C525" s="613" t="str">
        <f aca="false">'☆掛負収入'!C525</f>
        <v>退職等年金掛金</v>
      </c>
      <c r="D525" s="614" t="str">
        <f aca="false">'☆掛負収入'!D525</f>
        <v>厚生年金保険料</v>
      </c>
      <c r="E525" s="614" t="str">
        <f aca="false">'☆掛負収入'!E525</f>
        <v>退職等年金負担金</v>
      </c>
      <c r="F525" s="615" t="str">
        <f aca="false">'☆掛負収入'!F525</f>
        <v>経過的長期</v>
      </c>
      <c r="G525" s="611" t="n">
        <f aca="false">'☆掛負収入'!G525</f>
        <v>0</v>
      </c>
      <c r="H525" s="121" t="n">
        <f aca="false">'☆掛負収入'!H525</f>
        <v>0</v>
      </c>
      <c r="I525" s="119" t="n">
        <f aca="false">'☆掛負収入'!I525</f>
        <v>0</v>
      </c>
      <c r="J525" s="120" t="n">
        <f aca="false">'☆掛負収入'!J525</f>
        <v>0</v>
      </c>
      <c r="K525" s="121" t="n">
        <f aca="false">'☆掛負収入'!K525</f>
        <v>0</v>
      </c>
      <c r="L525" s="119" t="n">
        <f aca="false">'☆掛負収入'!L525</f>
        <v>0</v>
      </c>
      <c r="M525" s="120" t="n">
        <f aca="false">'☆掛負収入'!M525</f>
        <v>0</v>
      </c>
      <c r="N525" s="121" t="n">
        <f aca="false">'☆掛負収入'!N525</f>
        <v>0</v>
      </c>
      <c r="O525" s="119" t="n">
        <f aca="false">'☆掛負収入'!O525</f>
        <v>0</v>
      </c>
      <c r="P525" s="120" t="n">
        <f aca="false">'☆掛負収入'!P525</f>
        <v>0</v>
      </c>
    </row>
    <row r="526" customFormat="false" ht="18.75" hidden="false" customHeight="true" outlineLevel="0" collapsed="false">
      <c r="A526" s="125" t="str">
        <f aca="false">'☆掛負収入'!A526</f>
        <v>市長部局</v>
      </c>
      <c r="B526" s="616"/>
      <c r="C526" s="389"/>
      <c r="D526" s="617"/>
      <c r="E526" s="617"/>
      <c r="F526" s="209"/>
      <c r="G526" s="389"/>
      <c r="H526" s="616"/>
      <c r="I526" s="618"/>
      <c r="J526" s="206"/>
      <c r="K526" s="619"/>
      <c r="L526" s="618"/>
      <c r="M526" s="206"/>
      <c r="N526" s="619"/>
      <c r="O526" s="618"/>
      <c r="P526" s="206"/>
    </row>
    <row r="527" customFormat="false" ht="18.75" hidden="false" customHeight="true" outlineLevel="0" collapsed="false">
      <c r="A527" s="125" t="str">
        <f aca="false">'☆掛負収入'!A527</f>
        <v>下水道局</v>
      </c>
      <c r="B527" s="431"/>
      <c r="C527" s="206"/>
      <c r="D527" s="617"/>
      <c r="E527" s="617"/>
      <c r="F527" s="160"/>
      <c r="G527" s="206"/>
      <c r="H527" s="619"/>
      <c r="I527" s="449"/>
      <c r="J527" s="160"/>
      <c r="K527" s="620"/>
      <c r="L527" s="621"/>
      <c r="M527" s="160"/>
      <c r="N527" s="620"/>
      <c r="O527" s="621"/>
      <c r="P527" s="160"/>
    </row>
    <row r="528" customFormat="false" ht="18.75" hidden="false" customHeight="true" outlineLevel="0" collapsed="false">
      <c r="A528" s="125" t="str">
        <f aca="false">'☆掛負収入'!A528</f>
        <v>消防局</v>
      </c>
      <c r="B528" s="431"/>
      <c r="C528" s="206"/>
      <c r="D528" s="617"/>
      <c r="E528" s="617"/>
      <c r="F528" s="160"/>
      <c r="G528" s="206"/>
      <c r="H528" s="620"/>
      <c r="I528" s="464"/>
      <c r="J528" s="160"/>
      <c r="K528" s="620"/>
      <c r="L528" s="464"/>
      <c r="M528" s="160"/>
      <c r="N528" s="620"/>
      <c r="O528" s="464"/>
      <c r="P528" s="160"/>
    </row>
    <row r="529" customFormat="false" ht="18.75" hidden="false" customHeight="true" outlineLevel="0" collapsed="false">
      <c r="A529" s="125" t="str">
        <f aca="false">'☆掛負収入'!A529</f>
        <v>議会事務局</v>
      </c>
      <c r="B529" s="431"/>
      <c r="C529" s="206"/>
      <c r="D529" s="617"/>
      <c r="E529" s="617"/>
      <c r="F529" s="160"/>
      <c r="G529" s="206"/>
      <c r="H529" s="431"/>
      <c r="I529" s="464"/>
      <c r="J529" s="160"/>
      <c r="K529" s="431"/>
      <c r="L529" s="464"/>
      <c r="M529" s="160"/>
      <c r="N529" s="431"/>
      <c r="O529" s="464"/>
      <c r="P529" s="160"/>
    </row>
    <row r="530" customFormat="false" ht="18.75" hidden="false" customHeight="true" outlineLevel="0" collapsed="false">
      <c r="A530" s="125" t="str">
        <f aca="false">'☆掛負収入'!A530</f>
        <v>教育委員会（総務課）</v>
      </c>
      <c r="B530" s="431"/>
      <c r="C530" s="206"/>
      <c r="D530" s="617"/>
      <c r="E530" s="617"/>
      <c r="F530" s="160"/>
      <c r="G530" s="206"/>
      <c r="H530" s="431"/>
      <c r="I530" s="464"/>
      <c r="J530" s="160"/>
      <c r="K530" s="431"/>
      <c r="L530" s="464"/>
      <c r="M530" s="160"/>
      <c r="N530" s="431"/>
      <c r="O530" s="464"/>
      <c r="P530" s="160"/>
    </row>
    <row r="531" customFormat="false" ht="18.75" hidden="false" customHeight="true" outlineLevel="0" collapsed="false">
      <c r="A531" s="125" t="str">
        <f aca="false">'☆掛負収入'!A531</f>
        <v>選挙管理委員会</v>
      </c>
      <c r="B531" s="431"/>
      <c r="C531" s="206"/>
      <c r="D531" s="617"/>
      <c r="E531" s="617"/>
      <c r="F531" s="160"/>
      <c r="G531" s="206"/>
      <c r="H531" s="619"/>
      <c r="I531" s="449"/>
      <c r="J531" s="160"/>
      <c r="K531" s="431"/>
      <c r="L531" s="464"/>
      <c r="M531" s="160"/>
      <c r="N531" s="431"/>
      <c r="O531" s="464"/>
      <c r="P531" s="160"/>
    </row>
    <row r="532" customFormat="false" ht="18.75" hidden="false" customHeight="true" outlineLevel="0" collapsed="false">
      <c r="A532" s="125" t="str">
        <f aca="false">'☆掛負収入'!A532</f>
        <v>人事委員会</v>
      </c>
      <c r="B532" s="431"/>
      <c r="C532" s="206"/>
      <c r="D532" s="617"/>
      <c r="E532" s="617"/>
      <c r="F532" s="160"/>
      <c r="G532" s="206"/>
      <c r="H532" s="619"/>
      <c r="I532" s="449"/>
      <c r="J532" s="160"/>
      <c r="K532" s="619"/>
      <c r="L532" s="449"/>
      <c r="M532" s="160"/>
      <c r="N532" s="619"/>
      <c r="O532" s="449"/>
      <c r="P532" s="160"/>
    </row>
    <row r="533" customFormat="false" ht="18.75" hidden="false" customHeight="true" outlineLevel="0" collapsed="false">
      <c r="A533" s="125" t="str">
        <f aca="false">'☆掛負収入'!A533</f>
        <v>監査事務局</v>
      </c>
      <c r="B533" s="431"/>
      <c r="C533" s="206"/>
      <c r="D533" s="617"/>
      <c r="E533" s="617"/>
      <c r="F533" s="160"/>
      <c r="G533" s="206"/>
      <c r="H533" s="619"/>
      <c r="I533" s="449"/>
      <c r="J533" s="160"/>
      <c r="K533" s="619"/>
      <c r="L533" s="449"/>
      <c r="M533" s="160"/>
      <c r="N533" s="619"/>
      <c r="O533" s="449"/>
      <c r="P533" s="160"/>
    </row>
    <row r="534" customFormat="false" ht="18.75" hidden="false" customHeight="true" outlineLevel="0" collapsed="false">
      <c r="A534" s="125" t="str">
        <f aca="false">'☆掛負収入'!A534</f>
        <v>農業委員会</v>
      </c>
      <c r="B534" s="431"/>
      <c r="C534" s="206"/>
      <c r="D534" s="617"/>
      <c r="E534" s="617"/>
      <c r="F534" s="160"/>
      <c r="G534" s="206"/>
      <c r="H534" s="619"/>
      <c r="I534" s="449"/>
      <c r="J534" s="160"/>
      <c r="K534" s="619"/>
      <c r="L534" s="449"/>
      <c r="M534" s="160"/>
      <c r="N534" s="619"/>
      <c r="O534" s="449"/>
      <c r="P534" s="160"/>
    </row>
    <row r="535" customFormat="false" ht="18.75" hidden="false" customHeight="true" outlineLevel="0" collapsed="false">
      <c r="A535" s="125" t="str">
        <f aca="false">'☆掛負収入'!A535</f>
        <v>水道局</v>
      </c>
      <c r="B535" s="431"/>
      <c r="C535" s="206"/>
      <c r="D535" s="617"/>
      <c r="E535" s="617"/>
      <c r="F535" s="160"/>
      <c r="G535" s="206"/>
      <c r="H535" s="619"/>
      <c r="I535" s="449"/>
      <c r="J535" s="160"/>
      <c r="K535" s="619"/>
      <c r="L535" s="449"/>
      <c r="M535" s="160"/>
      <c r="N535" s="619"/>
      <c r="O535" s="449"/>
      <c r="P535" s="160"/>
    </row>
    <row r="536" customFormat="false" ht="18.75" hidden="false" customHeight="true" outlineLevel="0" collapsed="false">
      <c r="A536" s="146" t="str">
        <f aca="false">'☆掛負収入'!A536</f>
        <v>医療政策課(安芸市民)</v>
      </c>
      <c r="B536" s="620"/>
      <c r="C536" s="391"/>
      <c r="D536" s="620"/>
      <c r="E536" s="621"/>
      <c r="F536" s="418"/>
      <c r="G536" s="206"/>
      <c r="H536" s="622"/>
      <c r="I536" s="432"/>
      <c r="J536" s="160"/>
      <c r="K536" s="619"/>
      <c r="L536" s="449"/>
      <c r="M536" s="160"/>
      <c r="N536" s="619"/>
      <c r="O536" s="449"/>
      <c r="P536" s="160"/>
    </row>
    <row r="537" customFormat="false" ht="18.75" hidden="false" customHeight="true" outlineLevel="0" collapsed="false">
      <c r="A537" s="146" t="str">
        <f aca="false">'☆掛負収入'!A537</f>
        <v>教育委員会（教育給与課）</v>
      </c>
      <c r="B537" s="726"/>
      <c r="C537" s="727"/>
      <c r="D537" s="728"/>
      <c r="E537" s="729"/>
      <c r="F537" s="730"/>
      <c r="G537" s="206"/>
      <c r="H537" s="731"/>
      <c r="I537" s="449"/>
      <c r="J537" s="160"/>
      <c r="K537" s="619"/>
      <c r="L537" s="449"/>
      <c r="M537" s="160"/>
      <c r="N537" s="619"/>
      <c r="O537" s="449"/>
      <c r="P537" s="160"/>
    </row>
    <row r="538" customFormat="false" ht="18.75" hidden="true" customHeight="true" outlineLevel="0" collapsed="false">
      <c r="A538" s="624"/>
      <c r="B538" s="732"/>
      <c r="C538" s="733"/>
      <c r="D538" s="732"/>
      <c r="E538" s="734"/>
      <c r="F538" s="735"/>
      <c r="G538" s="285"/>
      <c r="H538" s="736"/>
      <c r="I538" s="737"/>
      <c r="J538" s="628"/>
      <c r="K538" s="736"/>
      <c r="L538" s="737"/>
      <c r="M538" s="220"/>
      <c r="N538" s="736"/>
      <c r="O538" s="737"/>
      <c r="P538" s="220"/>
    </row>
    <row r="539" customFormat="false" ht="18.75" hidden="true" customHeight="true" outlineLevel="0" collapsed="false">
      <c r="A539" s="629"/>
      <c r="B539" s="738"/>
      <c r="C539" s="739"/>
      <c r="D539" s="738"/>
      <c r="E539" s="734"/>
      <c r="F539" s="735"/>
      <c r="G539" s="466"/>
      <c r="H539" s="738"/>
      <c r="I539" s="734"/>
      <c r="J539" s="483"/>
      <c r="K539" s="738"/>
      <c r="L539" s="734"/>
      <c r="M539" s="155"/>
      <c r="N539" s="738"/>
      <c r="O539" s="734"/>
      <c r="P539" s="155"/>
    </row>
    <row r="540" customFormat="false" ht="18.75" hidden="true" customHeight="true" outlineLevel="0" collapsed="false">
      <c r="A540" s="629"/>
      <c r="B540" s="732"/>
      <c r="C540" s="733"/>
      <c r="D540" s="732"/>
      <c r="E540" s="740"/>
      <c r="F540" s="741"/>
      <c r="G540" s="285"/>
      <c r="H540" s="732"/>
      <c r="I540" s="740"/>
      <c r="J540" s="626"/>
      <c r="K540" s="732"/>
      <c r="L540" s="740"/>
      <c r="M540" s="721"/>
      <c r="N540" s="732"/>
      <c r="O540" s="740"/>
      <c r="P540" s="721"/>
    </row>
    <row r="541" customFormat="false" ht="18.75" hidden="true" customHeight="true" outlineLevel="0" collapsed="false">
      <c r="A541" s="630"/>
      <c r="B541" s="742"/>
      <c r="C541" s="743"/>
      <c r="D541" s="742"/>
      <c r="E541" s="744"/>
      <c r="F541" s="745"/>
      <c r="G541" s="689"/>
      <c r="H541" s="738"/>
      <c r="I541" s="746"/>
      <c r="J541" s="634"/>
      <c r="K541" s="738"/>
      <c r="L541" s="734"/>
      <c r="M541" s="155"/>
      <c r="N541" s="738"/>
      <c r="O541" s="734"/>
      <c r="P541" s="155"/>
    </row>
    <row r="542" customFormat="false" ht="18.75" hidden="false" customHeight="true" outlineLevel="0" collapsed="false">
      <c r="A542" s="196" t="str">
        <f aca="false">'☆掛負収入'!A542</f>
        <v>小　計</v>
      </c>
      <c r="B542" s="429"/>
      <c r="C542" s="199"/>
      <c r="D542" s="429"/>
      <c r="E542" s="199"/>
      <c r="F542" s="200"/>
      <c r="G542" s="201"/>
      <c r="H542" s="429"/>
      <c r="I542" s="199"/>
      <c r="J542" s="198"/>
      <c r="K542" s="429"/>
      <c r="L542" s="199"/>
      <c r="M542" s="198"/>
      <c r="N542" s="429"/>
      <c r="O542" s="199"/>
      <c r="P542" s="198"/>
    </row>
    <row r="543" customFormat="false" ht="18.75" hidden="false" customHeight="true" outlineLevel="0" collapsed="false">
      <c r="A543" s="202" t="str">
        <f aca="false">'☆掛負収入'!A543</f>
        <v>地方税共同機構</v>
      </c>
      <c r="B543" s="469" t="n">
        <f aca="false">'☆掛負収入'!B543</f>
        <v>0</v>
      </c>
      <c r="C543" s="260" t="n">
        <f aca="false">'☆掛負収入'!C543</f>
        <v>0</v>
      </c>
      <c r="D543" s="636" t="n">
        <f aca="false">'☆掛負収入'!D543</f>
        <v>0</v>
      </c>
      <c r="E543" s="472" t="n">
        <f aca="false">'☆掛負収入'!E543</f>
        <v>0</v>
      </c>
      <c r="F543" s="471" t="n">
        <f aca="false">'☆掛負収入'!F543</f>
        <v>0</v>
      </c>
      <c r="G543" s="206" t="n">
        <f aca="false">SUM(B543:F543)</f>
        <v>0</v>
      </c>
      <c r="H543" s="619" t="n">
        <f aca="false">'☆掛負収入'!H543</f>
        <v>0</v>
      </c>
      <c r="I543" s="449" t="n">
        <f aca="false">'☆掛負収入'!I543</f>
        <v>0</v>
      </c>
      <c r="J543" s="160" t="n">
        <f aca="false">SUM(H543:I543)</f>
        <v>0</v>
      </c>
      <c r="K543" s="464" t="n">
        <f aca="false">'☆掛負収入'!K543</f>
        <v>0</v>
      </c>
      <c r="L543" s="449" t="n">
        <f aca="false">'☆掛負収入'!L543</f>
        <v>0</v>
      </c>
      <c r="M543" s="160" t="n">
        <f aca="false">SUM(K543:L543)</f>
        <v>0</v>
      </c>
      <c r="N543" s="464" t="n">
        <f aca="false">'☆掛負収入'!N543</f>
        <v>0</v>
      </c>
      <c r="O543" s="449" t="n">
        <f aca="false">'☆掛負収入'!O543</f>
        <v>0</v>
      </c>
      <c r="P543" s="160" t="n">
        <f aca="false">SUM(N543:O543)</f>
        <v>0</v>
      </c>
    </row>
    <row r="544" customFormat="false" ht="18.75" hidden="false" customHeight="true" outlineLevel="0" collapsed="false">
      <c r="A544" s="125" t="str">
        <f aca="false">'☆掛負収入'!A544</f>
        <v>平和文化センター</v>
      </c>
      <c r="B544" s="474" t="n">
        <f aca="false">'☆掛負収入'!B544</f>
        <v>0</v>
      </c>
      <c r="C544" s="402" t="n">
        <f aca="false">'☆掛負収入'!C544</f>
        <v>0</v>
      </c>
      <c r="D544" s="489" t="n">
        <f aca="false">'☆掛負収入'!D544</f>
        <v>563640</v>
      </c>
      <c r="E544" s="477" t="n">
        <f aca="false">'☆掛負収入'!E544</f>
        <v>46200</v>
      </c>
      <c r="F544" s="248" t="n">
        <f aca="false">'☆掛負収入'!F544</f>
        <v>713</v>
      </c>
      <c r="G544" s="206" t="n">
        <f aca="false">SUM(B544:F544)</f>
        <v>610553</v>
      </c>
      <c r="H544" s="619" t="n">
        <f aca="false">'☆掛負収入'!H544</f>
        <v>0</v>
      </c>
      <c r="I544" s="449" t="n">
        <f aca="false">'☆掛負収入'!I544</f>
        <v>341129</v>
      </c>
      <c r="J544" s="160" t="n">
        <f aca="false">SUM(H544:I544)</f>
        <v>341129</v>
      </c>
      <c r="K544" s="464" t="n">
        <f aca="false">'☆掛負収入'!K544</f>
        <v>0</v>
      </c>
      <c r="L544" s="449" t="n">
        <f aca="false">'☆掛負収入'!L544</f>
        <v>51903</v>
      </c>
      <c r="M544" s="160" t="n">
        <f aca="false">SUM(K544:L544)</f>
        <v>51903</v>
      </c>
      <c r="N544" s="464" t="n">
        <f aca="false">'☆掛負収入'!N544</f>
        <v>0</v>
      </c>
      <c r="O544" s="449" t="n">
        <f aca="false">'☆掛負収入'!O544</f>
        <v>1</v>
      </c>
      <c r="P544" s="160" t="n">
        <f aca="false">SUM(N544:O544)</f>
        <v>1</v>
      </c>
    </row>
    <row r="545" customFormat="false" ht="18.75" hidden="false" customHeight="true" outlineLevel="0" collapsed="false">
      <c r="A545" s="125" t="str">
        <f aca="false">'☆掛負収入'!A545</f>
        <v>社会福祉事業団</v>
      </c>
      <c r="B545" s="625"/>
      <c r="C545" s="235"/>
      <c r="D545" s="476" t="n">
        <f aca="false">'☆掛負収入'!D545</f>
        <v>1881240</v>
      </c>
      <c r="E545" s="478" t="n">
        <f aca="false">'☆掛負収入'!E545</f>
        <v>154200</v>
      </c>
      <c r="F545" s="248" t="n">
        <f aca="false">'☆掛負収入'!F545</f>
        <v>1960</v>
      </c>
      <c r="G545" s="206" t="n">
        <f aca="false">SUM(B545:F545)</f>
        <v>2037400</v>
      </c>
      <c r="H545" s="627"/>
      <c r="I545" s="449" t="n">
        <f aca="false">'☆掛負収入'!I545</f>
        <v>1271974</v>
      </c>
      <c r="J545" s="160" t="n">
        <f aca="false">SUM(H545:I545)</f>
        <v>1271974</v>
      </c>
      <c r="K545" s="637"/>
      <c r="L545" s="449" t="n">
        <f aca="false">'☆掛負収入'!L545</f>
        <v>141252</v>
      </c>
      <c r="M545" s="160" t="n">
        <f aca="false">SUM(K545:L545)</f>
        <v>141252</v>
      </c>
      <c r="N545" s="637"/>
      <c r="O545" s="449" t="n">
        <f aca="false">'☆掛負収入'!O545</f>
        <v>1</v>
      </c>
      <c r="P545" s="160" t="n">
        <f aca="false">SUM(N545:O545)</f>
        <v>1</v>
      </c>
    </row>
    <row r="546" customFormat="false" ht="18.75" hidden="false" customHeight="true" outlineLevel="0" collapsed="false">
      <c r="A546" s="125" t="str">
        <f aca="false">'☆掛負収入'!A546</f>
        <v>原爆障害対策協議会</v>
      </c>
      <c r="B546" s="625"/>
      <c r="C546" s="235"/>
      <c r="D546" s="470" t="n">
        <f aca="false">'☆掛負収入'!D546</f>
        <v>48495</v>
      </c>
      <c r="E546" s="478" t="n">
        <f aca="false">'☆掛負収入'!E546</f>
        <v>3975</v>
      </c>
      <c r="F546" s="248" t="n">
        <f aca="false">'☆掛負収入'!F546</f>
        <v>49</v>
      </c>
      <c r="G546" s="206" t="n">
        <f aca="false">SUM(B546:F546)</f>
        <v>52519</v>
      </c>
      <c r="H546" s="627"/>
      <c r="I546" s="449" t="n">
        <f aca="false">'☆掛負収入'!I546</f>
        <v>29208</v>
      </c>
      <c r="J546" s="160" t="n">
        <f aca="false">SUM(H546:I546)</f>
        <v>29208</v>
      </c>
      <c r="K546" s="637"/>
      <c r="L546" s="449" t="n">
        <f aca="false">'☆掛負収入'!L546</f>
        <v>4187</v>
      </c>
      <c r="M546" s="160" t="n">
        <f aca="false">SUM(K546:L546)</f>
        <v>4187</v>
      </c>
      <c r="N546" s="637"/>
      <c r="O546" s="449" t="n">
        <f aca="false">'☆掛負収入'!O546</f>
        <v>1</v>
      </c>
      <c r="P546" s="160" t="n">
        <f aca="false">SUM(N546:O546)</f>
        <v>1</v>
      </c>
    </row>
    <row r="547" customFormat="false" ht="18.75" hidden="false" customHeight="true" outlineLevel="0" collapsed="false">
      <c r="A547" s="214" t="str">
        <f aca="false">'☆掛負収入'!A547</f>
        <v>産業振興センター</v>
      </c>
      <c r="B547" s="625"/>
      <c r="C547" s="235"/>
      <c r="D547" s="470" t="n">
        <f aca="false">'☆掛負収入'!D547</f>
        <v>425475</v>
      </c>
      <c r="E547" s="478" t="n">
        <f aca="false">'☆掛負収入'!E547</f>
        <v>34875</v>
      </c>
      <c r="F547" s="248" t="n">
        <f aca="false">'☆掛負収入'!F547</f>
        <v>435</v>
      </c>
      <c r="G547" s="206" t="n">
        <f aca="false">SUM(B547:F547)</f>
        <v>460785</v>
      </c>
      <c r="H547" s="627"/>
      <c r="I547" s="449" t="n">
        <f aca="false">'☆掛負収入'!I547</f>
        <v>256260</v>
      </c>
      <c r="J547" s="160" t="n">
        <f aca="false">SUM(H547:I547)</f>
        <v>256260</v>
      </c>
      <c r="K547" s="637"/>
      <c r="L547" s="449" t="n">
        <f aca="false">'☆掛負収入'!L547</f>
        <v>34207</v>
      </c>
      <c r="M547" s="160" t="n">
        <f aca="false">SUM(K547:L547)</f>
        <v>34207</v>
      </c>
      <c r="N547" s="637"/>
      <c r="O547" s="449" t="n">
        <f aca="false">'☆掛負収入'!O547</f>
        <v>1</v>
      </c>
      <c r="P547" s="160" t="n">
        <f aca="false">SUM(N547:O547)</f>
        <v>1</v>
      </c>
    </row>
    <row r="548" customFormat="false" ht="18.75" hidden="false" customHeight="true" outlineLevel="0" collapsed="false">
      <c r="A548" s="146" t="str">
        <f aca="false">'☆掛負収入'!A548</f>
        <v>ひろしま産業振興</v>
      </c>
      <c r="B548" s="625"/>
      <c r="C548" s="484"/>
      <c r="D548" s="470" t="n">
        <f aca="false">'☆掛負収入'!D548</f>
        <v>86010</v>
      </c>
      <c r="E548" s="478" t="n">
        <f aca="false">'☆掛負収入'!E548</f>
        <v>7050</v>
      </c>
      <c r="F548" s="479" t="n">
        <f aca="false">'☆掛負収入'!F548</f>
        <v>88</v>
      </c>
      <c r="G548" s="206" t="n">
        <f aca="false">SUM(B548:F548)</f>
        <v>93148</v>
      </c>
      <c r="H548" s="627"/>
      <c r="I548" s="432" t="n">
        <f aca="false">'☆掛負収入'!I548</f>
        <v>51803</v>
      </c>
      <c r="J548" s="160" t="n">
        <f aca="false">SUM(H548:I548)</f>
        <v>51803</v>
      </c>
      <c r="K548" s="637"/>
      <c r="L548" s="432" t="n">
        <f aca="false">'☆掛負収入'!L548</f>
        <v>7426</v>
      </c>
      <c r="M548" s="160" t="n">
        <f aca="false">SUM(K548:L548)</f>
        <v>7426</v>
      </c>
      <c r="N548" s="637"/>
      <c r="O548" s="432" t="n">
        <f aca="false">'☆掛負収入'!O548</f>
        <v>1</v>
      </c>
      <c r="P548" s="160" t="n">
        <f aca="false">SUM(N548:O548)</f>
        <v>1</v>
      </c>
    </row>
    <row r="549" customFormat="false" ht="18.75" hidden="false" customHeight="true" outlineLevel="0" collapsed="false">
      <c r="A549" s="146" t="str">
        <f aca="false">'☆掛負収入'!A549</f>
        <v>都市整備公社　市</v>
      </c>
      <c r="B549" s="625"/>
      <c r="C549" s="484"/>
      <c r="D549" s="476" t="n">
        <f aca="false">'☆掛負収入'!D549</f>
        <v>48495</v>
      </c>
      <c r="E549" s="478" t="n">
        <f aca="false">'☆掛負収入'!E549</f>
        <v>3975</v>
      </c>
      <c r="F549" s="248" t="n">
        <f aca="false">'☆掛負収入'!F549</f>
        <v>49</v>
      </c>
      <c r="G549" s="206" t="n">
        <f aca="false">SUM(B549:F549)</f>
        <v>52519</v>
      </c>
      <c r="H549" s="627"/>
      <c r="I549" s="449" t="n">
        <f aca="false">'☆掛負収入'!I549</f>
        <v>29208</v>
      </c>
      <c r="J549" s="160" t="n">
        <f aca="false">SUM(H549:I549)</f>
        <v>29208</v>
      </c>
      <c r="K549" s="637"/>
      <c r="L549" s="449" t="n">
        <f aca="false">'☆掛負収入'!L549</f>
        <v>4187</v>
      </c>
      <c r="M549" s="160" t="n">
        <f aca="false">SUM(K549:L549)</f>
        <v>4187</v>
      </c>
      <c r="N549" s="637"/>
      <c r="O549" s="449" t="n">
        <f aca="false">'☆掛負収入'!O549</f>
        <v>1</v>
      </c>
      <c r="P549" s="160" t="n">
        <f aca="false">SUM(N549:O549)</f>
        <v>1</v>
      </c>
    </row>
    <row r="550" customFormat="false" ht="18.75" hidden="false" customHeight="true" outlineLevel="0" collapsed="false">
      <c r="A550" s="217"/>
      <c r="B550" s="625"/>
      <c r="C550" s="221"/>
      <c r="D550" s="474"/>
      <c r="E550" s="478"/>
      <c r="F550" s="248"/>
      <c r="G550" s="206"/>
      <c r="H550" s="627"/>
      <c r="I550" s="449"/>
      <c r="J550" s="160"/>
      <c r="K550" s="637"/>
      <c r="L550" s="449"/>
      <c r="M550" s="160" t="n">
        <f aca="false">SUM(K550:L550)</f>
        <v>0</v>
      </c>
      <c r="N550" s="637"/>
      <c r="O550" s="449"/>
      <c r="P550" s="160" t="n">
        <f aca="false">SUM(N550:O550)</f>
        <v>0</v>
      </c>
    </row>
    <row r="551" customFormat="false" ht="18.75" hidden="false" customHeight="true" outlineLevel="0" collapsed="false">
      <c r="A551" s="146" t="str">
        <f aca="false">'☆掛負収入'!A551</f>
        <v>日本下水道事業団</v>
      </c>
      <c r="B551" s="476" t="n">
        <f aca="false">'☆掛負収入'!B551</f>
        <v>245220</v>
      </c>
      <c r="C551" s="248" t="n">
        <f aca="false">'☆掛負収入'!C551</f>
        <v>20100</v>
      </c>
      <c r="D551" s="474" t="n">
        <f aca="false">'☆掛負収入'!D551</f>
        <v>245220</v>
      </c>
      <c r="E551" s="478" t="n">
        <f aca="false">'☆掛負収入'!E551</f>
        <v>20100</v>
      </c>
      <c r="F551" s="248" t="n">
        <f aca="false">'☆掛負収入'!F551</f>
        <v>251</v>
      </c>
      <c r="G551" s="206" t="n">
        <f aca="false">SUM(B551:F551)</f>
        <v>530891</v>
      </c>
      <c r="H551" s="619" t="n">
        <f aca="false">'☆掛負収入'!H551</f>
        <v>147425</v>
      </c>
      <c r="I551" s="449" t="n">
        <f aca="false">'☆掛負収入'!I551</f>
        <v>147694</v>
      </c>
      <c r="J551" s="160" t="n">
        <f aca="false">SUM(H551:I551)</f>
        <v>295119</v>
      </c>
      <c r="K551" s="464" t="n">
        <f aca="false">'☆掛負収入'!K551</f>
        <v>9559</v>
      </c>
      <c r="L551" s="449" t="n">
        <f aca="false">'☆掛負収入'!L551</f>
        <v>9559</v>
      </c>
      <c r="M551" s="160" t="n">
        <f aca="false">SUM(K551:L551)</f>
        <v>19118</v>
      </c>
      <c r="N551" s="464" t="n">
        <f aca="false">'☆掛負収入'!N551</f>
        <v>1</v>
      </c>
      <c r="O551" s="449" t="n">
        <f aca="false">'☆掛負収入'!O551</f>
        <v>1</v>
      </c>
      <c r="P551" s="160" t="n">
        <f aca="false">SUM(N551:O551)</f>
        <v>2</v>
      </c>
    </row>
    <row r="552" customFormat="false" ht="18.75" hidden="false" customHeight="true" outlineLevel="0" collapsed="false">
      <c r="A552" s="125" t="str">
        <f aca="false">'☆掛負収入'!A552</f>
        <v>地方公務員災害補償基金本部</v>
      </c>
      <c r="B552" s="476" t="n">
        <f aca="false">'☆掛負収入'!B552</f>
        <v>40260</v>
      </c>
      <c r="C552" s="248" t="n">
        <f aca="false">'☆掛負収入'!C552</f>
        <v>3300</v>
      </c>
      <c r="D552" s="474" t="n">
        <f aca="false">'☆掛負収入'!D552</f>
        <v>40260</v>
      </c>
      <c r="E552" s="478" t="n">
        <f aca="false">'☆掛負収入'!E552</f>
        <v>3300</v>
      </c>
      <c r="F552" s="248" t="n">
        <f aca="false">'☆掛負収入'!F552</f>
        <v>41</v>
      </c>
      <c r="G552" s="206" t="n">
        <f aca="false">SUM(B552:F552)</f>
        <v>87161</v>
      </c>
      <c r="H552" s="619" t="n">
        <f aca="false">'☆掛負収入'!H552</f>
        <v>24204</v>
      </c>
      <c r="I552" s="449" t="n">
        <f aca="false">'☆掛負収入'!I552</f>
        <v>24248</v>
      </c>
      <c r="J552" s="160" t="n">
        <f aca="false">SUM(H552:I552)</f>
        <v>48452</v>
      </c>
      <c r="K552" s="464" t="n">
        <f aca="false">'☆掛負収入'!K552</f>
        <v>0</v>
      </c>
      <c r="L552" s="449" t="n">
        <f aca="false">'☆掛負収入'!L552</f>
        <v>0</v>
      </c>
      <c r="M552" s="160" t="n">
        <f aca="false">SUM(K552:L552)</f>
        <v>0</v>
      </c>
      <c r="N552" s="464" t="n">
        <f aca="false">'☆掛負収入'!N552</f>
        <v>1</v>
      </c>
      <c r="O552" s="449" t="n">
        <f aca="false">'☆掛負収入'!O552</f>
        <v>1</v>
      </c>
      <c r="P552" s="160" t="n">
        <f aca="false">SUM(N552:O552)</f>
        <v>2</v>
      </c>
    </row>
    <row r="553" customFormat="false" ht="18.75" hidden="false" customHeight="true" outlineLevel="0" collapsed="false">
      <c r="A553" s="222"/>
      <c r="B553" s="474"/>
      <c r="C553" s="248"/>
      <c r="D553" s="474"/>
      <c r="E553" s="478"/>
      <c r="F553" s="248"/>
      <c r="G553" s="206"/>
      <c r="H553" s="619"/>
      <c r="I553" s="449"/>
      <c r="J553" s="160"/>
      <c r="K553" s="464"/>
      <c r="L553" s="449"/>
      <c r="M553" s="160" t="n">
        <f aca="false">SUM(K553:L553)</f>
        <v>0</v>
      </c>
      <c r="N553" s="464"/>
      <c r="O553" s="449"/>
      <c r="P553" s="160" t="n">
        <f aca="false">SUM(N553:O553)</f>
        <v>0</v>
      </c>
    </row>
    <row r="554" customFormat="false" ht="18.75" hidden="false" customHeight="true" outlineLevel="0" collapsed="false">
      <c r="A554" s="125" t="str">
        <f aca="false">'☆掛負収入'!A554</f>
        <v>高速道路公社</v>
      </c>
      <c r="B554" s="489" t="n">
        <f aca="false">'☆掛負収入'!B554</f>
        <v>912255</v>
      </c>
      <c r="C554" s="479" t="n">
        <f aca="false">'☆掛負収入'!C554</f>
        <v>74775</v>
      </c>
      <c r="D554" s="489" t="n">
        <f aca="false">'☆掛負収入'!D554</f>
        <v>912255</v>
      </c>
      <c r="E554" s="495" t="n">
        <f aca="false">'☆掛負収入'!E554</f>
        <v>74775</v>
      </c>
      <c r="F554" s="491" t="n">
        <f aca="false">'☆掛負収入'!F554</f>
        <v>936</v>
      </c>
      <c r="G554" s="206" t="n">
        <f aca="false">SUM(B554:F554)</f>
        <v>1974996</v>
      </c>
      <c r="H554" s="638" t="n">
        <f aca="false">'☆掛負収入'!H554</f>
        <v>548442</v>
      </c>
      <c r="I554" s="639" t="n">
        <f aca="false">'☆掛負収入'!I554</f>
        <v>549446</v>
      </c>
      <c r="J554" s="160" t="n">
        <f aca="false">SUM(H554:I554)</f>
        <v>1097888</v>
      </c>
      <c r="K554" s="640" t="n">
        <f aca="false">'☆掛負収入'!K554</f>
        <v>50086</v>
      </c>
      <c r="L554" s="639" t="n">
        <f aca="false">'☆掛負収入'!L554</f>
        <v>50086</v>
      </c>
      <c r="M554" s="160" t="n">
        <f aca="false">SUM(K554:L554)</f>
        <v>100172</v>
      </c>
      <c r="N554" s="640" t="n">
        <f aca="false">'☆掛負収入'!N554</f>
        <v>1</v>
      </c>
      <c r="O554" s="639" t="n">
        <f aca="false">'☆掛負収入'!O554</f>
        <v>1</v>
      </c>
      <c r="P554" s="160" t="n">
        <f aca="false">SUM(N554:O554)</f>
        <v>2</v>
      </c>
    </row>
    <row r="555" customFormat="false" ht="18.75" hidden="false" customHeight="true" outlineLevel="0" collapsed="false">
      <c r="A555" s="125" t="str">
        <f aca="false">'☆掛負収入'!A555</f>
        <v>農林水産振興センタ</v>
      </c>
      <c r="B555" s="482"/>
      <c r="C555" s="484"/>
      <c r="D555" s="476" t="n">
        <f aca="false">'☆掛負収入'!D555</f>
        <v>571875</v>
      </c>
      <c r="E555" s="498" t="n">
        <f aca="false">'☆掛負収入'!E555</f>
        <v>46875</v>
      </c>
      <c r="F555" s="479" t="n">
        <f aca="false">'☆掛負収入'!F555</f>
        <v>613</v>
      </c>
      <c r="G555" s="206" t="n">
        <f aca="false">SUM(B555:F555)</f>
        <v>619363</v>
      </c>
      <c r="H555" s="641"/>
      <c r="I555" s="432" t="n">
        <f aca="false">'☆掛負収入'!I555</f>
        <v>344467</v>
      </c>
      <c r="J555" s="160" t="n">
        <f aca="false">SUM(H555:I555)</f>
        <v>344467</v>
      </c>
      <c r="K555" s="642"/>
      <c r="L555" s="432" t="n">
        <f aca="false">'☆掛負収入'!L555</f>
        <v>27255</v>
      </c>
      <c r="M555" s="160" t="n">
        <f aca="false">SUM(K555:L555)</f>
        <v>27255</v>
      </c>
      <c r="N555" s="642"/>
      <c r="O555" s="432" t="n">
        <f aca="false">'☆掛負収入'!O555</f>
        <v>1</v>
      </c>
      <c r="P555" s="160" t="n">
        <f aca="false">SUM(N555:O555)</f>
        <v>1</v>
      </c>
    </row>
    <row r="556" customFormat="false" ht="18.75" hidden="false" customHeight="true" outlineLevel="0" collapsed="false">
      <c r="A556" s="228" t="str">
        <f aca="false">'☆掛負収入'!A556</f>
        <v>文化財団　市長部局</v>
      </c>
      <c r="B556" s="625"/>
      <c r="C556" s="221"/>
      <c r="D556" s="474" t="n">
        <f aca="false">'☆掛負収入'!D556</f>
        <v>1160220</v>
      </c>
      <c r="E556" s="478" t="n">
        <f aca="false">'☆掛負収入'!E556</f>
        <v>95100</v>
      </c>
      <c r="F556" s="479" t="n">
        <f aca="false">'☆掛負収入'!F556</f>
        <v>1185</v>
      </c>
      <c r="G556" s="206" t="n">
        <f aca="false">SUM(B556:F556)</f>
        <v>1256505</v>
      </c>
      <c r="H556" s="627"/>
      <c r="I556" s="432" t="n">
        <f aca="false">'☆掛負収入'!I556</f>
        <v>698790</v>
      </c>
      <c r="J556" s="160" t="n">
        <f aca="false">SUM(H556:I556)</f>
        <v>698790</v>
      </c>
      <c r="K556" s="637"/>
      <c r="L556" s="432" t="n">
        <f aca="false">'☆掛負収入'!L556</f>
        <v>94721</v>
      </c>
      <c r="M556" s="160" t="n">
        <f aca="false">SUM(K556:L556)</f>
        <v>94721</v>
      </c>
      <c r="N556" s="637"/>
      <c r="O556" s="432" t="n">
        <f aca="false">'☆掛負収入'!O556</f>
        <v>1</v>
      </c>
      <c r="P556" s="160" t="n">
        <f aca="false">SUM(N556:O556)</f>
        <v>1</v>
      </c>
    </row>
    <row r="557" customFormat="false" ht="18.75" hidden="false" customHeight="true" outlineLevel="0" collapsed="false">
      <c r="A557" s="229"/>
      <c r="B557" s="625"/>
      <c r="C557" s="221"/>
      <c r="D557" s="474"/>
      <c r="E557" s="478"/>
      <c r="F557" s="479"/>
      <c r="G557" s="206"/>
      <c r="H557" s="627"/>
      <c r="I557" s="432"/>
      <c r="J557" s="160"/>
      <c r="K557" s="637"/>
      <c r="L557" s="432"/>
      <c r="M557" s="160" t="n">
        <f aca="false">SUM(K557:L557)</f>
        <v>0</v>
      </c>
      <c r="N557" s="637"/>
      <c r="O557" s="432"/>
      <c r="P557" s="160" t="n">
        <f aca="false">SUM(N557:O557)</f>
        <v>0</v>
      </c>
    </row>
    <row r="558" customFormat="false" ht="18.75" hidden="false" customHeight="true" outlineLevel="0" collapsed="false">
      <c r="A558" s="125" t="str">
        <f aca="false">'☆掛負収入'!A558</f>
        <v>みどり生きもの協会</v>
      </c>
      <c r="B558" s="625"/>
      <c r="C558" s="221"/>
      <c r="D558" s="474" t="n">
        <f aca="false">'☆掛負収入'!D558</f>
        <v>394365</v>
      </c>
      <c r="E558" s="478" t="n">
        <f aca="false">'☆掛負収入'!E558</f>
        <v>32325</v>
      </c>
      <c r="F558" s="479" t="n">
        <f aca="false">'☆掛負収入'!F558</f>
        <v>403</v>
      </c>
      <c r="G558" s="206" t="n">
        <f aca="false">SUM(B558:F558)</f>
        <v>427093</v>
      </c>
      <c r="H558" s="627"/>
      <c r="I558" s="432" t="n">
        <f aca="false">'☆掛負収入'!I558</f>
        <v>237523</v>
      </c>
      <c r="J558" s="160" t="n">
        <f aca="false">SUM(H558:I558)</f>
        <v>237523</v>
      </c>
      <c r="K558" s="637"/>
      <c r="L558" s="432" t="n">
        <f aca="false">'☆掛負収入'!L558</f>
        <v>34049</v>
      </c>
      <c r="M558" s="160" t="n">
        <f aca="false">SUM(K558:L558)</f>
        <v>34049</v>
      </c>
      <c r="N558" s="637"/>
      <c r="O558" s="432" t="n">
        <f aca="false">'☆掛負収入'!O558</f>
        <v>1</v>
      </c>
      <c r="P558" s="160" t="n">
        <f aca="false">SUM(N558:O558)</f>
        <v>1</v>
      </c>
    </row>
    <row r="559" customFormat="false" ht="18.75" hidden="false" customHeight="true" outlineLevel="0" collapsed="false">
      <c r="A559" s="146" t="str">
        <f aca="false">'☆掛負収入'!A559</f>
        <v>県下水道公社</v>
      </c>
      <c r="B559" s="474" t="n">
        <f aca="false">'☆掛負収入'!B559</f>
        <v>137250</v>
      </c>
      <c r="C559" s="248" t="n">
        <f aca="false">'☆掛負収入'!C559</f>
        <v>11250</v>
      </c>
      <c r="D559" s="474" t="n">
        <f aca="false">'☆掛負収入'!D559</f>
        <v>137250</v>
      </c>
      <c r="E559" s="478" t="n">
        <f aca="false">'☆掛負収入'!E559</f>
        <v>11250</v>
      </c>
      <c r="F559" s="479" t="n">
        <f aca="false">'☆掛負収入'!F559</f>
        <v>140</v>
      </c>
      <c r="G559" s="206" t="n">
        <f aca="false">SUM(B559:F559)</f>
        <v>297140</v>
      </c>
      <c r="H559" s="619" t="n">
        <f aca="false">'☆掛負収入'!H559</f>
        <v>82514</v>
      </c>
      <c r="I559" s="432" t="n">
        <f aca="false">'☆掛負収入'!I559</f>
        <v>82665</v>
      </c>
      <c r="J559" s="160" t="n">
        <f aca="false">SUM(H559:I559)</f>
        <v>165179</v>
      </c>
      <c r="K559" s="464" t="n">
        <f aca="false">'☆掛負収入'!K559</f>
        <v>8611</v>
      </c>
      <c r="L559" s="432" t="n">
        <f aca="false">'☆掛負収入'!L559</f>
        <v>8611</v>
      </c>
      <c r="M559" s="160" t="n">
        <f aca="false">SUM(K559:L559)</f>
        <v>17222</v>
      </c>
      <c r="N559" s="464" t="n">
        <f aca="false">'☆掛負収入'!N559</f>
        <v>1</v>
      </c>
      <c r="O559" s="432" t="n">
        <f aca="false">'☆掛負収入'!O559</f>
        <v>1</v>
      </c>
      <c r="P559" s="160" t="n">
        <f aca="false">SUM(N559:O559)</f>
        <v>2</v>
      </c>
    </row>
    <row r="560" customFormat="false" ht="18.75" hidden="false" customHeight="true" outlineLevel="0" collapsed="false">
      <c r="A560" s="146" t="str">
        <f aca="false">'☆掛負収入'!A560</f>
        <v>バス協調・共創
プラットフォーム</v>
      </c>
      <c r="B560" s="482"/>
      <c r="C560" s="484"/>
      <c r="D560" s="476" t="n">
        <f aca="false">'☆掛負収入'!D560</f>
        <v>472140</v>
      </c>
      <c r="E560" s="498" t="n">
        <f aca="false">'☆掛負収入'!E560</f>
        <v>38700</v>
      </c>
      <c r="F560" s="479" t="n">
        <f aca="false">'☆掛負収入'!F560</f>
        <v>484</v>
      </c>
      <c r="G560" s="206" t="n">
        <f aca="false">SUM(B560:F560)</f>
        <v>511324</v>
      </c>
      <c r="H560" s="641"/>
      <c r="I560" s="432" t="n">
        <f aca="false">'☆掛負収入'!I560</f>
        <v>289878</v>
      </c>
      <c r="J560" s="160" t="n">
        <f aca="false">SUM(H560:I560)</f>
        <v>289878</v>
      </c>
      <c r="K560" s="642"/>
      <c r="L560" s="432" t="n">
        <f aca="false">'☆掛負収入'!L560</f>
        <v>25517</v>
      </c>
      <c r="M560" s="160" t="n">
        <f aca="false">SUM(K560:L560)</f>
        <v>25517</v>
      </c>
      <c r="N560" s="642"/>
      <c r="O560" s="432" t="n">
        <f aca="false">'☆掛負収入'!O560</f>
        <v>1</v>
      </c>
      <c r="P560" s="160" t="n">
        <f aca="false">SUM(N560:O560)</f>
        <v>1</v>
      </c>
    </row>
    <row r="561" customFormat="false" ht="18.75" hidden="false" customHeight="true" outlineLevel="0" collapsed="false">
      <c r="A561" s="146" t="str">
        <f aca="false">'☆掛負収入'!A561</f>
        <v>広島県市長会</v>
      </c>
      <c r="B561" s="474" t="n">
        <f aca="false">'☆掛負収入'!B561</f>
        <v>56730</v>
      </c>
      <c r="C561" s="248" t="n">
        <f aca="false">'☆掛負収入'!C561</f>
        <v>4650</v>
      </c>
      <c r="D561" s="474" t="n">
        <f aca="false">'☆掛負収入'!D561</f>
        <v>56730</v>
      </c>
      <c r="E561" s="478" t="n">
        <f aca="false">'☆掛負収入'!E561</f>
        <v>4650</v>
      </c>
      <c r="F561" s="248" t="n">
        <f aca="false">'☆掛負収入'!F561</f>
        <v>58</v>
      </c>
      <c r="G561" s="206" t="n">
        <f aca="false">SUM(B561:F561)</f>
        <v>122818</v>
      </c>
      <c r="H561" s="619" t="n">
        <f aca="false">'☆掛負収入'!H561</f>
        <v>34106</v>
      </c>
      <c r="I561" s="449" t="n">
        <f aca="false">'☆掛負収入'!I561</f>
        <v>34168</v>
      </c>
      <c r="J561" s="160" t="n">
        <f aca="false">SUM(H561:I561)</f>
        <v>68274</v>
      </c>
      <c r="K561" s="464" t="n">
        <f aca="false">'☆掛負収入'!K561</f>
        <v>4898</v>
      </c>
      <c r="L561" s="449" t="n">
        <f aca="false">'☆掛負収入'!L561</f>
        <v>4898</v>
      </c>
      <c r="M561" s="160" t="n">
        <f aca="false">SUM(K561:L561)</f>
        <v>9796</v>
      </c>
      <c r="N561" s="464" t="n">
        <f aca="false">'☆掛負収入'!N561</f>
        <v>1</v>
      </c>
      <c r="O561" s="449" t="n">
        <f aca="false">'☆掛負収入'!O561</f>
        <v>1</v>
      </c>
      <c r="P561" s="160" t="n">
        <f aca="false">SUM(N561:O561)</f>
        <v>2</v>
      </c>
    </row>
    <row r="562" customFormat="false" ht="18.75" hidden="false" customHeight="true" outlineLevel="0" collapsed="false">
      <c r="A562" s="214" t="str">
        <f aca="false">'☆掛負収入'!A562</f>
        <v>全国市町村研修財団</v>
      </c>
      <c r="B562" s="476" t="n">
        <f aca="false">'☆掛負収入'!B562</f>
        <v>59475</v>
      </c>
      <c r="C562" s="248" t="n">
        <f aca="false">'☆掛負収入'!C562</f>
        <v>4875</v>
      </c>
      <c r="D562" s="474" t="n">
        <f aca="false">'☆掛負収入'!D562</f>
        <v>59475</v>
      </c>
      <c r="E562" s="478" t="n">
        <f aca="false">'☆掛負収入'!E562</f>
        <v>4875</v>
      </c>
      <c r="F562" s="248" t="n">
        <f aca="false">'☆掛負収入'!F562</f>
        <v>61</v>
      </c>
      <c r="G562" s="206" t="n">
        <f aca="false">SUM(B562:F562)</f>
        <v>128761</v>
      </c>
      <c r="H562" s="619" t="n">
        <f aca="false">'☆掛負収入'!H562</f>
        <v>41257</v>
      </c>
      <c r="I562" s="449" t="n">
        <f aca="false">'☆掛負収入'!I562</f>
        <v>41332</v>
      </c>
      <c r="J562" s="160" t="n">
        <f aca="false">SUM(H562:I562)</f>
        <v>82589</v>
      </c>
      <c r="K562" s="464" t="n">
        <f aca="false">'☆掛負収入'!K562</f>
        <v>5925</v>
      </c>
      <c r="L562" s="449" t="n">
        <f aca="false">'☆掛負収入'!L562</f>
        <v>5925</v>
      </c>
      <c r="M562" s="160" t="n">
        <f aca="false">SUM(K562:L562)</f>
        <v>11850</v>
      </c>
      <c r="N562" s="464" t="n">
        <f aca="false">'☆掛負収入'!N562</f>
        <v>1</v>
      </c>
      <c r="O562" s="449" t="n">
        <f aca="false">'☆掛負収入'!O562</f>
        <v>1</v>
      </c>
      <c r="P562" s="160" t="n">
        <f aca="false">SUM(N562:O562)</f>
        <v>2</v>
      </c>
    </row>
    <row r="563" customFormat="false" ht="18.75" hidden="false" customHeight="true" outlineLevel="0" collapsed="false">
      <c r="A563" s="214" t="str">
        <f aca="false">'☆掛負収入'!A563</f>
        <v>都市再生機構</v>
      </c>
      <c r="B563" s="474" t="n">
        <f aca="false">'☆掛負収入'!B563</f>
        <v>48495</v>
      </c>
      <c r="C563" s="248" t="n">
        <f aca="false">'☆掛負収入'!C563</f>
        <v>3975</v>
      </c>
      <c r="D563" s="474" t="n">
        <f aca="false">'☆掛負収入'!D563</f>
        <v>48495</v>
      </c>
      <c r="E563" s="478" t="n">
        <f aca="false">'☆掛負収入'!E563</f>
        <v>3975</v>
      </c>
      <c r="F563" s="248" t="n">
        <f aca="false">'☆掛負収入'!F563</f>
        <v>49</v>
      </c>
      <c r="G563" s="206" t="n">
        <f aca="false">SUM(B563:F563)</f>
        <v>104989</v>
      </c>
      <c r="H563" s="619" t="n">
        <f aca="false">'☆掛負収入'!H563</f>
        <v>29155</v>
      </c>
      <c r="I563" s="449" t="n">
        <f aca="false">'☆掛負収入'!I563</f>
        <v>29208</v>
      </c>
      <c r="J563" s="160" t="n">
        <f aca="false">SUM(H563:I563)</f>
        <v>58363</v>
      </c>
      <c r="K563" s="464" t="n">
        <f aca="false">'☆掛負収入'!K563</f>
        <v>0</v>
      </c>
      <c r="L563" s="449" t="n">
        <f aca="false">'☆掛負収入'!L563</f>
        <v>0</v>
      </c>
      <c r="M563" s="160" t="n">
        <f aca="false">SUM(K563:L563)</f>
        <v>0</v>
      </c>
      <c r="N563" s="464" t="n">
        <f aca="false">'☆掛負収入'!N563</f>
        <v>1</v>
      </c>
      <c r="O563" s="449" t="n">
        <f aca="false">'☆掛負収入'!O563</f>
        <v>1</v>
      </c>
      <c r="P563" s="160" t="n">
        <f aca="false">SUM(N563:O563)</f>
        <v>2</v>
      </c>
    </row>
    <row r="564" customFormat="false" ht="18.75" hidden="false" customHeight="true" outlineLevel="0" collapsed="false">
      <c r="A564" s="146" t="str">
        <f aca="false">'☆掛負収入'!A564</f>
        <v>広島市立大学</v>
      </c>
      <c r="B564" s="431" t="n">
        <f aca="false">'☆掛負収入'!B564</f>
        <v>1122705</v>
      </c>
      <c r="C564" s="160" t="n">
        <f aca="false">'☆掛負収入'!C564</f>
        <v>92025</v>
      </c>
      <c r="D564" s="431" t="n">
        <f aca="false">'☆掛負収入'!D564</f>
        <v>1122705</v>
      </c>
      <c r="E564" s="464" t="n">
        <f aca="false">'☆掛負収入'!E564</f>
        <v>92025</v>
      </c>
      <c r="F564" s="248" t="n">
        <f aca="false">'☆掛負収入'!F564</f>
        <v>1337</v>
      </c>
      <c r="G564" s="206" t="n">
        <f aca="false">SUM(B564:F564)</f>
        <v>2430797</v>
      </c>
      <c r="H564" s="619" t="n">
        <f aca="false">'☆掛負収入'!H564</f>
        <v>674963</v>
      </c>
      <c r="I564" s="449" t="n">
        <f aca="false">'☆掛負収入'!I564</f>
        <v>676398</v>
      </c>
      <c r="J564" s="160" t="n">
        <f aca="false">SUM(H564:I564)</f>
        <v>1351361</v>
      </c>
      <c r="K564" s="464" t="n">
        <f aca="false">'☆掛負収入'!K564</f>
        <v>64227</v>
      </c>
      <c r="L564" s="449" t="n">
        <f aca="false">'☆掛負収入'!L564</f>
        <v>64227</v>
      </c>
      <c r="M564" s="160" t="n">
        <f aca="false">SUM(K564:L564)</f>
        <v>128454</v>
      </c>
      <c r="N564" s="464" t="n">
        <f aca="false">'☆掛負収入'!N564</f>
        <v>1</v>
      </c>
      <c r="O564" s="449" t="n">
        <f aca="false">'☆掛負収入'!O564</f>
        <v>1</v>
      </c>
      <c r="P564" s="160" t="n">
        <f aca="false">SUM(N564:O564)</f>
        <v>2</v>
      </c>
    </row>
    <row r="565" customFormat="false" ht="18.75" hidden="false" customHeight="true" outlineLevel="0" collapsed="false">
      <c r="A565" s="146" t="str">
        <f aca="false">'☆掛負収入'!A565</f>
        <v>社会福祉協議会</v>
      </c>
      <c r="B565" s="431" t="n">
        <f aca="false">'☆掛負収入'!B565</f>
        <v>0</v>
      </c>
      <c r="C565" s="160" t="n">
        <f aca="false">'☆掛負収入'!C565</f>
        <v>0</v>
      </c>
      <c r="D565" s="431" t="n">
        <f aca="false">'☆掛負収入'!D565</f>
        <v>245220</v>
      </c>
      <c r="E565" s="464" t="n">
        <f aca="false">'☆掛負収入'!E565</f>
        <v>20100</v>
      </c>
      <c r="F565" s="248" t="n">
        <f aca="false">'☆掛負収入'!F565</f>
        <v>251</v>
      </c>
      <c r="G565" s="206" t="n">
        <f aca="false">SUM(B565:F565)</f>
        <v>265571</v>
      </c>
      <c r="H565" s="619" t="n">
        <f aca="false">'☆掛負収入'!H565</f>
        <v>0</v>
      </c>
      <c r="I565" s="449" t="n">
        <f aca="false">'☆掛負収入'!I565</f>
        <v>151001</v>
      </c>
      <c r="J565" s="160" t="n">
        <f aca="false">SUM(H565:I565)</f>
        <v>151001</v>
      </c>
      <c r="K565" s="464" t="n">
        <f aca="false">'☆掛負収入'!K565</f>
        <v>0</v>
      </c>
      <c r="L565" s="449" t="n">
        <f aca="false">'☆掛負収入'!L565</f>
        <v>10744</v>
      </c>
      <c r="M565" s="160" t="n">
        <f aca="false">SUM(K565:L565)</f>
        <v>10744</v>
      </c>
      <c r="N565" s="464" t="n">
        <f aca="false">'☆掛負収入'!N565</f>
        <v>0</v>
      </c>
      <c r="O565" s="449" t="n">
        <f aca="false">'☆掛負収入'!O565</f>
        <v>1</v>
      </c>
      <c r="P565" s="160" t="n">
        <f aca="false">SUM(N565:O565)</f>
        <v>1</v>
      </c>
    </row>
    <row r="566" customFormat="false" ht="18.75" hidden="false" customHeight="true" outlineLevel="0" collapsed="false">
      <c r="A566" s="228" t="s">
        <v>532</v>
      </c>
      <c r="B566" s="620" t="n">
        <f aca="false">'☆掛負収入'!B568</f>
        <v>0</v>
      </c>
      <c r="C566" s="391" t="n">
        <f aca="false">'☆掛負収入'!C568</f>
        <v>0</v>
      </c>
      <c r="D566" s="620" t="n">
        <f aca="false">'☆掛負収入'!D568</f>
        <v>0</v>
      </c>
      <c r="E566" s="621" t="n">
        <f aca="false">'☆掛負収入'!E568</f>
        <v>0</v>
      </c>
      <c r="F566" s="391" t="n">
        <f aca="false">'☆掛負収入'!F568</f>
        <v>0</v>
      </c>
      <c r="G566" s="206" t="n">
        <f aca="false">SUM(B566:F566)</f>
        <v>0</v>
      </c>
      <c r="H566" s="620" t="n">
        <f aca="false">'☆掛負収入'!H568</f>
        <v>0</v>
      </c>
      <c r="I566" s="621" t="n">
        <f aca="false">'☆掛負収入'!I568</f>
        <v>0</v>
      </c>
      <c r="J566" s="160" t="n">
        <f aca="false">SUM(H566:I566)</f>
        <v>0</v>
      </c>
      <c r="K566" s="464" t="n">
        <f aca="false">'☆掛負収入'!K568</f>
        <v>0</v>
      </c>
      <c r="L566" s="449" t="n">
        <f aca="false">'☆掛負収入'!L568</f>
        <v>0</v>
      </c>
      <c r="M566" s="160" t="n">
        <f aca="false">SUM(K566:L566)</f>
        <v>0</v>
      </c>
      <c r="N566" s="464" t="n">
        <f aca="false">'☆掛負収入'!N568</f>
        <v>0</v>
      </c>
      <c r="O566" s="449" t="n">
        <f aca="false">'☆掛負収入'!O568</f>
        <v>0</v>
      </c>
      <c r="P566" s="160" t="n">
        <f aca="false">SUM(N566:O566)</f>
        <v>0</v>
      </c>
    </row>
    <row r="567" customFormat="false" ht="18.75" hidden="false" customHeight="true" outlineLevel="0" collapsed="false">
      <c r="A567" s="146" t="str">
        <f aca="false">'☆掛負収入'!A569</f>
        <v>全国市長会</v>
      </c>
      <c r="B567" s="620" t="n">
        <f aca="false">'☆掛負収入'!B569</f>
        <v>59475</v>
      </c>
      <c r="C567" s="391" t="n">
        <f aca="false">'☆掛負収入'!C569</f>
        <v>4875</v>
      </c>
      <c r="D567" s="620" t="n">
        <f aca="false">'☆掛負収入'!D569</f>
        <v>59475</v>
      </c>
      <c r="E567" s="621" t="n">
        <f aca="false">'☆掛負収入'!E569</f>
        <v>4875</v>
      </c>
      <c r="F567" s="391" t="n">
        <f aca="false">'☆掛負収入'!F569</f>
        <v>61</v>
      </c>
      <c r="G567" s="206" t="n">
        <f aca="false">SUM(B567:F567)</f>
        <v>128761</v>
      </c>
      <c r="H567" s="620" t="n">
        <f aca="false">'☆掛負収入'!H569</f>
        <v>41257</v>
      </c>
      <c r="I567" s="621" t="n">
        <f aca="false">'☆掛負収入'!I569</f>
        <v>41332</v>
      </c>
      <c r="J567" s="160" t="n">
        <f aca="false">SUM(H567:I567)</f>
        <v>82589</v>
      </c>
      <c r="K567" s="464" t="n">
        <f aca="false">'☆掛負収入'!K569</f>
        <v>5925</v>
      </c>
      <c r="L567" s="449" t="n">
        <f aca="false">'☆掛負収入'!L569</f>
        <v>5925</v>
      </c>
      <c r="M567" s="160" t="n">
        <f aca="false">SUM(K567:L567)</f>
        <v>11850</v>
      </c>
      <c r="N567" s="464" t="n">
        <f aca="false">'☆掛負収入'!N569</f>
        <v>1</v>
      </c>
      <c r="O567" s="449" t="n">
        <f aca="false">'☆掛負収入'!O569</f>
        <v>1</v>
      </c>
      <c r="P567" s="160" t="n">
        <f aca="false">SUM(N567:O567)</f>
        <v>2</v>
      </c>
    </row>
    <row r="568" customFormat="false" ht="18.75" hidden="false" customHeight="true" outlineLevel="0" collapsed="false">
      <c r="A568" s="233"/>
      <c r="B568" s="431"/>
      <c r="C568" s="418"/>
      <c r="D568" s="431"/>
      <c r="E568" s="464"/>
      <c r="F568" s="160"/>
      <c r="G568" s="206"/>
      <c r="H568" s="619"/>
      <c r="I568" s="449"/>
      <c r="J568" s="160"/>
      <c r="K568" s="464"/>
      <c r="L568" s="449"/>
      <c r="M568" s="160"/>
      <c r="N568" s="464"/>
      <c r="O568" s="449"/>
      <c r="P568" s="160"/>
    </row>
    <row r="569" customFormat="false" ht="18.75" hidden="false" customHeight="true" outlineLevel="0" collapsed="false">
      <c r="A569" s="233"/>
      <c r="B569" s="620"/>
      <c r="C569" s="391"/>
      <c r="D569" s="620"/>
      <c r="E569" s="621"/>
      <c r="F569" s="418"/>
      <c r="G569" s="206"/>
      <c r="H569" s="620"/>
      <c r="I569" s="465"/>
      <c r="J569" s="160"/>
      <c r="K569" s="621"/>
      <c r="L569" s="465"/>
      <c r="M569" s="160"/>
      <c r="N569" s="621"/>
      <c r="O569" s="465"/>
      <c r="P569" s="160"/>
    </row>
    <row r="570" customFormat="false" ht="18.75" hidden="false" customHeight="true" outlineLevel="0" collapsed="false">
      <c r="A570" s="217"/>
      <c r="B570" s="431"/>
      <c r="C570" s="206"/>
      <c r="D570" s="431"/>
      <c r="E570" s="617"/>
      <c r="F570" s="160"/>
      <c r="G570" s="206"/>
      <c r="H570" s="431"/>
      <c r="I570" s="644"/>
      <c r="J570" s="160"/>
      <c r="K570" s="617"/>
      <c r="L570" s="644"/>
      <c r="M570" s="160"/>
      <c r="N570" s="617"/>
      <c r="O570" s="644"/>
      <c r="P570" s="160"/>
    </row>
    <row r="571" customFormat="false" ht="18.75" hidden="false" customHeight="true" outlineLevel="0" collapsed="false">
      <c r="A571" s="217"/>
      <c r="B571" s="620"/>
      <c r="C571" s="418"/>
      <c r="D571" s="621"/>
      <c r="E571" s="465"/>
      <c r="F571" s="418"/>
      <c r="G571" s="391"/>
      <c r="H571" s="431"/>
      <c r="I571" s="465"/>
      <c r="J571" s="160"/>
      <c r="K571" s="621"/>
      <c r="L571" s="465"/>
      <c r="M571" s="160"/>
      <c r="N571" s="621"/>
      <c r="O571" s="465"/>
      <c r="P571" s="160"/>
    </row>
    <row r="572" customFormat="false" ht="18.75" hidden="false" customHeight="true" outlineLevel="0" collapsed="false">
      <c r="A572" s="630"/>
      <c r="B572" s="747"/>
      <c r="C572" s="748"/>
      <c r="D572" s="749"/>
      <c r="E572" s="750"/>
      <c r="F572" s="748"/>
      <c r="G572" s="646"/>
      <c r="H572" s="751"/>
      <c r="I572" s="752"/>
      <c r="J572" s="648" t="n">
        <f aca="false">SUM(H572:I572)</f>
        <v>0</v>
      </c>
      <c r="K572" s="751"/>
      <c r="L572" s="752"/>
      <c r="M572" s="722" t="n">
        <f aca="false">SUM(K572:L572)</f>
        <v>0</v>
      </c>
      <c r="N572" s="751"/>
      <c r="O572" s="752"/>
      <c r="P572" s="722" t="n">
        <f aca="false">SUM(N572:O572)</f>
        <v>0</v>
      </c>
    </row>
    <row r="573" customFormat="false" ht="18.75" hidden="false" customHeight="true" outlineLevel="0" collapsed="false">
      <c r="A573" s="196" t="str">
        <f aca="false">'☆掛負収入'!A573</f>
        <v>小　計</v>
      </c>
      <c r="B573" s="429" t="n">
        <f aca="false">SUM(B543:B572)</f>
        <v>2681865</v>
      </c>
      <c r="C573" s="200" t="n">
        <f aca="false">SUM(C543:C572)</f>
        <v>219825</v>
      </c>
      <c r="D573" s="429" t="n">
        <f aca="false">SUM(D543:D572)</f>
        <v>8579040</v>
      </c>
      <c r="E573" s="301" t="n">
        <f aca="false">SUM(E543:E572)</f>
        <v>703200</v>
      </c>
      <c r="F573" s="200" t="n">
        <f aca="false">SUM(F543:F572)</f>
        <v>9164</v>
      </c>
      <c r="G573" s="201" t="n">
        <f aca="false">SUM(B573:F573)</f>
        <v>12193094</v>
      </c>
      <c r="H573" s="429" t="n">
        <f aca="false">SUM(H543:H572)</f>
        <v>1623323</v>
      </c>
      <c r="I573" s="199" t="n">
        <f aca="false">SUM(I543:I572)</f>
        <v>5327732</v>
      </c>
      <c r="J573" s="200" t="n">
        <f aca="false">SUM(H573:I573)</f>
        <v>6951055</v>
      </c>
      <c r="K573" s="429" t="n">
        <f aca="false">SUM(K543:K572)</f>
        <v>149231</v>
      </c>
      <c r="L573" s="199" t="n">
        <f aca="false">SUM(L543:L572)</f>
        <v>584679</v>
      </c>
      <c r="M573" s="198" t="n">
        <f aca="false">SUM(K573:L573)</f>
        <v>733910</v>
      </c>
      <c r="N573" s="429" t="n">
        <f aca="false">SUM(N543:N572)</f>
        <v>9</v>
      </c>
      <c r="O573" s="199" t="n">
        <f aca="false">SUM(O543:O572)</f>
        <v>20</v>
      </c>
      <c r="P573" s="198" t="n">
        <f aca="false">SUM(N573:O573)</f>
        <v>29</v>
      </c>
    </row>
    <row r="574" customFormat="false" ht="18.75" hidden="true" customHeight="true" outlineLevel="0" collapsed="false">
      <c r="A574" s="629"/>
      <c r="B574" s="751"/>
      <c r="C574" s="753"/>
      <c r="D574" s="752"/>
      <c r="E574" s="754"/>
      <c r="F574" s="755"/>
      <c r="G574" s="651"/>
      <c r="H574" s="756"/>
      <c r="I574" s="757"/>
      <c r="J574" s="654"/>
      <c r="K574" s="758"/>
      <c r="L574" s="759"/>
      <c r="M574" s="657"/>
      <c r="N574" s="758"/>
      <c r="O574" s="759"/>
      <c r="P574" s="657"/>
    </row>
    <row r="575" customFormat="false" ht="18.75" hidden="true" customHeight="true" outlineLevel="0" collapsed="false">
      <c r="A575" s="658"/>
      <c r="B575" s="742"/>
      <c r="C575" s="745"/>
      <c r="D575" s="752"/>
      <c r="E575" s="754"/>
      <c r="F575" s="753"/>
      <c r="G575" s="646"/>
      <c r="H575" s="760"/>
      <c r="I575" s="761"/>
      <c r="J575" s="408"/>
      <c r="K575" s="762"/>
      <c r="L575" s="763"/>
      <c r="M575" s="663"/>
      <c r="N575" s="762"/>
      <c r="O575" s="763"/>
      <c r="P575" s="663"/>
    </row>
    <row r="576" customFormat="false" ht="18.75" hidden="false" customHeight="true" outlineLevel="0" collapsed="false">
      <c r="A576" s="214" t="str">
        <f aca="false">'☆掛負収入'!A576</f>
        <v>高速交通（株）</v>
      </c>
      <c r="B576" s="489" t="n">
        <f aca="false">'☆掛負収入'!B576</f>
        <v>145485</v>
      </c>
      <c r="C576" s="491" t="n">
        <f aca="false">'☆掛負収入'!C576</f>
        <v>11925</v>
      </c>
      <c r="D576" s="477" t="n">
        <f aca="false">'☆掛負収入'!D576</f>
        <v>145485</v>
      </c>
      <c r="E576" s="487" t="n">
        <f aca="false">'☆掛負収入'!E576</f>
        <v>11925</v>
      </c>
      <c r="F576" s="479" t="n">
        <f aca="false">'☆掛負収入'!F576</f>
        <v>149</v>
      </c>
      <c r="G576" s="391" t="n">
        <f aca="false">SUM(B576:F576)</f>
        <v>314969</v>
      </c>
      <c r="H576" s="665"/>
      <c r="I576" s="665"/>
      <c r="J576" s="665"/>
      <c r="K576" s="665"/>
      <c r="L576" s="665"/>
      <c r="M576" s="665"/>
      <c r="N576" s="665"/>
      <c r="O576" s="665"/>
      <c r="P576" s="665"/>
    </row>
    <row r="577" customFormat="false" ht="18.75" hidden="false" customHeight="true" outlineLevel="0" collapsed="false">
      <c r="A577" s="723" t="str">
        <f aca="false">'☆掛負収入'!A577</f>
        <v>広島駅南口開発（株）</v>
      </c>
      <c r="B577" s="764" t="n">
        <f aca="false">'☆掛負収入'!B577</f>
        <v>53985</v>
      </c>
      <c r="C577" s="765" t="n">
        <f aca="false">'☆掛負収入'!C577</f>
        <v>4425</v>
      </c>
      <c r="D577" s="766" t="n">
        <f aca="false">'☆掛負収入'!D577</f>
        <v>53985</v>
      </c>
      <c r="E577" s="767" t="n">
        <f aca="false">'☆掛負収入'!E577</f>
        <v>4425</v>
      </c>
      <c r="F577" s="768" t="n">
        <f aca="false">'☆掛負収入'!F577</f>
        <v>55</v>
      </c>
      <c r="G577" s="391" t="n">
        <f aca="false">SUM(B577:F577)</f>
        <v>116875</v>
      </c>
      <c r="H577" s="665"/>
      <c r="I577" s="665"/>
      <c r="J577" s="665"/>
      <c r="K577" s="665"/>
      <c r="L577" s="665"/>
      <c r="M577" s="665"/>
      <c r="N577" s="665"/>
      <c r="O577" s="665"/>
      <c r="P577" s="665"/>
    </row>
    <row r="578" customFormat="false" ht="18.75" hidden="false" customHeight="true" outlineLevel="0" collapsed="false">
      <c r="A578" s="196" t="str">
        <f aca="false">'☆掛負収入'!A578</f>
        <v>小　計</v>
      </c>
      <c r="B578" s="197" t="n">
        <f aca="false">SUM(B576:B577)</f>
        <v>199470</v>
      </c>
      <c r="C578" s="200" t="n">
        <f aca="false">SUM(C574:C577)</f>
        <v>16350</v>
      </c>
      <c r="D578" s="681" t="n">
        <f aca="false">SUM(D574:D577)</f>
        <v>199470</v>
      </c>
      <c r="E578" s="199" t="n">
        <f aca="false">SUM(E574:E577)</f>
        <v>16350</v>
      </c>
      <c r="F578" s="201" t="n">
        <f aca="false">SUM(F574:F577)</f>
        <v>204</v>
      </c>
      <c r="G578" s="200" t="n">
        <f aca="false">SUM(B578:F578)</f>
        <v>431844</v>
      </c>
      <c r="H578" s="665"/>
      <c r="I578" s="665"/>
      <c r="J578" s="665"/>
      <c r="K578" s="665"/>
      <c r="L578" s="665"/>
      <c r="M578" s="665"/>
      <c r="N578" s="665"/>
      <c r="O578" s="665"/>
      <c r="P578" s="665"/>
    </row>
    <row r="579" customFormat="false" ht="18.75" hidden="false" customHeight="true" outlineLevel="0" collapsed="false">
      <c r="A579" s="125" t="str">
        <f aca="false">'☆掛負収入'!A579</f>
        <v>市職員労働組合</v>
      </c>
      <c r="B579" s="474" t="n">
        <f aca="false">'☆掛負収入'!B579</f>
        <v>29280</v>
      </c>
      <c r="C579" s="248" t="n">
        <f aca="false">'☆掛負収入'!C579</f>
        <v>2400</v>
      </c>
      <c r="D579" s="470" t="n">
        <f aca="false">'☆掛負収入'!D579</f>
        <v>29280</v>
      </c>
      <c r="E579" s="488" t="n">
        <f aca="false">'☆掛負収入'!E579</f>
        <v>2400</v>
      </c>
      <c r="F579" s="221"/>
      <c r="G579" s="206" t="n">
        <f aca="false">SUM(B579:F579)</f>
        <v>63360</v>
      </c>
      <c r="H579" s="619" t="n">
        <f aca="false">'☆掛負収入'!H579</f>
        <v>17603</v>
      </c>
      <c r="I579" s="449" t="n">
        <f aca="false">'☆掛負収入'!I579</f>
        <v>17635</v>
      </c>
      <c r="J579" s="160" t="n">
        <f aca="false">SUM(H579:I579)</f>
        <v>35238</v>
      </c>
      <c r="K579" s="476" t="n">
        <f aca="false">'☆掛負収入'!K579</f>
        <v>2528</v>
      </c>
      <c r="L579" s="487" t="n">
        <f aca="false">'☆掛負収入'!L579</f>
        <v>2528</v>
      </c>
      <c r="M579" s="471" t="n">
        <f aca="false">SUM(K579:L579)</f>
        <v>5056</v>
      </c>
      <c r="N579" s="476" t="n">
        <f aca="false">'☆掛負収入'!N579</f>
        <v>1</v>
      </c>
      <c r="O579" s="487" t="n">
        <f aca="false">'☆掛負収入'!O579</f>
        <v>1</v>
      </c>
      <c r="P579" s="471" t="n">
        <f aca="false">SUM(N579:O579)</f>
        <v>2</v>
      </c>
    </row>
    <row r="580" customFormat="false" ht="18.75" hidden="false" customHeight="true" outlineLevel="0" collapsed="false">
      <c r="A580" s="125" t="str">
        <f aca="false">'☆掛負収入'!A580</f>
        <v>自治労労働組合</v>
      </c>
      <c r="B580" s="474" t="n">
        <f aca="false">'☆掛負収入'!B580</f>
        <v>0</v>
      </c>
      <c r="C580" s="402" t="n">
        <f aca="false">'☆掛負収入'!C580</f>
        <v>0</v>
      </c>
      <c r="D580" s="474" t="n">
        <f aca="false">'☆掛負収入'!D580</f>
        <v>0</v>
      </c>
      <c r="E580" s="488" t="n">
        <f aca="false">'☆掛負収入'!E580</f>
        <v>0</v>
      </c>
      <c r="F580" s="221"/>
      <c r="G580" s="206" t="n">
        <f aca="false">SUM(B580:F580)</f>
        <v>0</v>
      </c>
      <c r="H580" s="619" t="n">
        <f aca="false">'☆掛負収入'!H580</f>
        <v>0</v>
      </c>
      <c r="I580" s="449" t="n">
        <f aca="false">'☆掛負収入'!I580</f>
        <v>0</v>
      </c>
      <c r="J580" s="160" t="n">
        <f aca="false">SUM(H580:I580)</f>
        <v>0</v>
      </c>
      <c r="K580" s="619" t="n">
        <f aca="false">'☆掛負収入'!K580</f>
        <v>0</v>
      </c>
      <c r="L580" s="449" t="n">
        <f aca="false">'☆掛負収入'!L580</f>
        <v>0</v>
      </c>
      <c r="M580" s="160" t="n">
        <f aca="false">SUM(K580:L580)</f>
        <v>0</v>
      </c>
      <c r="N580" s="619" t="n">
        <f aca="false">'☆掛負収入'!N580</f>
        <v>0</v>
      </c>
      <c r="O580" s="449" t="n">
        <f aca="false">'☆掛負収入'!O580</f>
        <v>0</v>
      </c>
      <c r="P580" s="160" t="n">
        <f aca="false">SUM(N580:O580)</f>
        <v>0</v>
      </c>
    </row>
    <row r="581" customFormat="false" ht="18.75" hidden="false" customHeight="true" outlineLevel="0" collapsed="false">
      <c r="A581" s="125" t="str">
        <f aca="false">'☆掛負収入'!A581</f>
        <v>病院労働組合</v>
      </c>
      <c r="B581" s="474" t="n">
        <f aca="false">'☆掛負収入'!B581</f>
        <v>23790</v>
      </c>
      <c r="C581" s="402" t="n">
        <f aca="false">'☆掛負収入'!C581</f>
        <v>1950</v>
      </c>
      <c r="D581" s="474" t="n">
        <f aca="false">'☆掛負収入'!D581</f>
        <v>23790</v>
      </c>
      <c r="E581" s="488" t="n">
        <f aca="false">'☆掛負収入'!E581</f>
        <v>1950</v>
      </c>
      <c r="F581" s="221"/>
      <c r="G581" s="206" t="n">
        <f aca="false">SUM(B581:F581)</f>
        <v>51480</v>
      </c>
      <c r="H581" s="619" t="n">
        <f aca="false">'☆掛負収入'!H581</f>
        <v>30805</v>
      </c>
      <c r="I581" s="449" t="n">
        <f aca="false">'☆掛負収入'!I581</f>
        <v>30861</v>
      </c>
      <c r="J581" s="160" t="n">
        <f aca="false">SUM(H581:I581)</f>
        <v>61666</v>
      </c>
      <c r="K581" s="619" t="n">
        <f aca="false">'☆掛負収入'!K581</f>
        <v>2370</v>
      </c>
      <c r="L581" s="449" t="n">
        <f aca="false">'☆掛負収入'!L581</f>
        <v>2370</v>
      </c>
      <c r="M581" s="160" t="n">
        <f aca="false">SUM(K581:L581)</f>
        <v>4740</v>
      </c>
      <c r="N581" s="619" t="n">
        <f aca="false">'☆掛負収入'!N581</f>
        <v>1</v>
      </c>
      <c r="O581" s="449" t="n">
        <f aca="false">'☆掛負収入'!O581</f>
        <v>1</v>
      </c>
      <c r="P581" s="160" t="n">
        <f aca="false">SUM(N581:O581)</f>
        <v>2</v>
      </c>
    </row>
    <row r="582" customFormat="false" ht="18.75" hidden="false" customHeight="true" outlineLevel="0" collapsed="false">
      <c r="A582" s="302" t="str">
        <f aca="false">'☆掛負収入'!A582</f>
        <v>水道労働組合</v>
      </c>
      <c r="B582" s="673"/>
      <c r="C582" s="444"/>
      <c r="D582" s="673"/>
      <c r="E582" s="623"/>
      <c r="F582" s="296"/>
      <c r="G582" s="206" t="n">
        <f aca="false">SUM(B582:F582)</f>
        <v>0</v>
      </c>
      <c r="H582" s="674"/>
      <c r="I582" s="675"/>
      <c r="J582" s="160" t="n">
        <f aca="false">SUM(H582:I582)</f>
        <v>0</v>
      </c>
      <c r="K582" s="676"/>
      <c r="L582" s="677"/>
      <c r="M582" s="160" t="n">
        <f aca="false">SUM(K582:L582)</f>
        <v>0</v>
      </c>
      <c r="N582" s="676"/>
      <c r="O582" s="677"/>
      <c r="P582" s="160" t="n">
        <f aca="false">SUM(N582:O582)</f>
        <v>0</v>
      </c>
    </row>
    <row r="583" customFormat="false" ht="18.75" hidden="false" customHeight="true" outlineLevel="0" collapsed="false">
      <c r="A583" s="196" t="str">
        <f aca="false">'☆掛負収入'!A583</f>
        <v>小　計</v>
      </c>
      <c r="B583" s="429" t="n">
        <f aca="false">SUM(B579:B582)</f>
        <v>53070</v>
      </c>
      <c r="C583" s="200" t="n">
        <f aca="false">SUM(C579:C582)</f>
        <v>4350</v>
      </c>
      <c r="D583" s="429" t="n">
        <f aca="false">SUM(D579:D582)</f>
        <v>53070</v>
      </c>
      <c r="E583" s="199" t="n">
        <f aca="false">SUM(E579:E582)</f>
        <v>4350</v>
      </c>
      <c r="F583" s="198" t="n">
        <f aca="false">SUM(F579:F582)</f>
        <v>0</v>
      </c>
      <c r="G583" s="197" t="n">
        <f aca="false">SUM(B583:F583)</f>
        <v>114840</v>
      </c>
      <c r="H583" s="429" t="n">
        <f aca="false">SUM(H579:H582)</f>
        <v>48408</v>
      </c>
      <c r="I583" s="199" t="n">
        <f aca="false">SUM(I579:I582)</f>
        <v>48496</v>
      </c>
      <c r="J583" s="200" t="n">
        <f aca="false">SUM(H583:I583)</f>
        <v>96904</v>
      </c>
      <c r="K583" s="197" t="n">
        <f aca="false">SUM(K579:K582)</f>
        <v>4898</v>
      </c>
      <c r="L583" s="198" t="n">
        <f aca="false">SUM(L579:L582)</f>
        <v>4898</v>
      </c>
      <c r="M583" s="200" t="n">
        <f aca="false">SUM(K583:L583)</f>
        <v>9796</v>
      </c>
      <c r="N583" s="197" t="n">
        <f aca="false">SUM(N579:N582)</f>
        <v>2</v>
      </c>
      <c r="O583" s="198" t="n">
        <f aca="false">SUM(O579:O582)</f>
        <v>2</v>
      </c>
      <c r="P583" s="200" t="n">
        <f aca="false">SUM(N583:O583)</f>
        <v>4</v>
      </c>
    </row>
    <row r="584" customFormat="false" ht="18.75" hidden="false" customHeight="true" outlineLevel="0" collapsed="false">
      <c r="A584" s="302" t="str">
        <f aca="false">'☆掛負収入'!A584</f>
        <v>任意継続組合員</v>
      </c>
      <c r="B584" s="769"/>
      <c r="C584" s="770"/>
      <c r="D584" s="747"/>
      <c r="E584" s="750"/>
      <c r="F584" s="748"/>
      <c r="G584" s="293"/>
      <c r="H584" s="678"/>
      <c r="I584" s="282"/>
      <c r="J584" s="283"/>
      <c r="K584" s="524"/>
      <c r="L584" s="679"/>
      <c r="M584" s="292"/>
      <c r="N584" s="524"/>
      <c r="O584" s="679"/>
      <c r="P584" s="292"/>
    </row>
    <row r="585" customFormat="false" ht="30" hidden="false" customHeight="true" outlineLevel="0" collapsed="false">
      <c r="A585" s="680" t="str">
        <f aca="false">'☆掛負収入'!A585</f>
        <v>総　　計</v>
      </c>
      <c r="B585" s="429" t="n">
        <f aca="false">SUM(B542+B573+B578+B583)</f>
        <v>2934405</v>
      </c>
      <c r="C585" s="200" t="n">
        <f aca="false">SUM(C542+C573+C578+C583)</f>
        <v>240525</v>
      </c>
      <c r="D585" s="681" t="n">
        <f aca="false">SUM(D542+D573+D578+D583)</f>
        <v>8831580</v>
      </c>
      <c r="E585" s="199" t="n">
        <f aca="false">SUM(E542+E573+E578+E583)</f>
        <v>723900</v>
      </c>
      <c r="F585" s="201" t="n">
        <f aca="false">SUM(F542+F573+F578+F583)</f>
        <v>9368</v>
      </c>
      <c r="G585" s="197" t="n">
        <f aca="false">SUM(B585:F585)</f>
        <v>12739778</v>
      </c>
      <c r="H585" s="429" t="n">
        <f aca="false">SUM(H542+H573+H578+H583+H584)</f>
        <v>1671731</v>
      </c>
      <c r="I585" s="199" t="n">
        <f aca="false">SUM(I542+I573+I578+I583+I584)</f>
        <v>5376228</v>
      </c>
      <c r="J585" s="200" t="n">
        <f aca="false">SUM(H585:I585)</f>
        <v>7047959</v>
      </c>
      <c r="K585" s="197" t="n">
        <f aca="false">K542+K573+K578+K583+K584</f>
        <v>154129</v>
      </c>
      <c r="L585" s="198" t="n">
        <f aca="false">L542+L573+L578+L583</f>
        <v>589577</v>
      </c>
      <c r="M585" s="200" t="n">
        <f aca="false">SUM(K585:L585)</f>
        <v>743706</v>
      </c>
      <c r="N585" s="197" t="n">
        <f aca="false">N542+N573+N578+N583+N584</f>
        <v>11</v>
      </c>
      <c r="O585" s="198" t="n">
        <f aca="false">O542+O573+O578+O583</f>
        <v>22</v>
      </c>
      <c r="P585" s="200" t="n">
        <f aca="false">SUM(N585:O585)</f>
        <v>33</v>
      </c>
    </row>
    <row r="586" customFormat="false" ht="18.75" hidden="false" customHeight="true" outlineLevel="0" collapsed="false">
      <c r="A586" s="340"/>
      <c r="B586" s="341"/>
      <c r="C586" s="341"/>
      <c r="D586" s="341"/>
      <c r="E586" s="341"/>
      <c r="F586" s="341"/>
      <c r="G586" s="341"/>
      <c r="H586" s="341"/>
      <c r="I586" s="341"/>
      <c r="J586" s="341"/>
      <c r="K586" s="341"/>
      <c r="L586" s="341"/>
      <c r="M586" s="341"/>
      <c r="N586" s="341"/>
      <c r="O586" s="341"/>
      <c r="P586" s="341"/>
    </row>
    <row r="587" customFormat="false" ht="30" hidden="false" customHeight="true" outlineLevel="0" collapsed="false">
      <c r="A587" s="320"/>
      <c r="B587" s="430" t="n">
        <f aca="false">'☆掛負収入'!B587</f>
        <v>46387</v>
      </c>
      <c r="C587" s="430" t="n">
        <f aca="false">'☆掛負収入'!C587</f>
        <v>0</v>
      </c>
      <c r="D587" s="430" t="n">
        <f aca="false">'☆掛負収入'!D587</f>
        <v>0</v>
      </c>
      <c r="E587" s="430" t="n">
        <f aca="false">'☆掛負収入'!E587</f>
        <v>0</v>
      </c>
      <c r="F587" s="430" t="n">
        <f aca="false">'☆掛負収入'!F587</f>
        <v>0</v>
      </c>
      <c r="G587" s="430" t="n">
        <f aca="false">'☆掛負収入'!G587</f>
        <v>0</v>
      </c>
      <c r="H587" s="430" t="n">
        <f aca="false">'☆掛負収入'!H587</f>
        <v>46387</v>
      </c>
      <c r="I587" s="430" t="n">
        <f aca="false">'☆掛負収入'!I587</f>
        <v>0</v>
      </c>
      <c r="J587" s="430" t="n">
        <f aca="false">'☆掛負収入'!J587</f>
        <v>0</v>
      </c>
      <c r="K587" s="430" t="n">
        <f aca="false">'☆掛負収入'!K587</f>
        <v>46387</v>
      </c>
      <c r="L587" s="430" t="n">
        <f aca="false">'☆掛負収入'!L587</f>
        <v>0</v>
      </c>
      <c r="M587" s="430" t="n">
        <f aca="false">'☆掛負収入'!M587</f>
        <v>0</v>
      </c>
      <c r="N587" s="430" t="n">
        <f aca="false">'☆掛負収入'!N587</f>
        <v>46387</v>
      </c>
      <c r="O587" s="430" t="n">
        <f aca="false">'☆掛負収入'!O587</f>
        <v>0</v>
      </c>
      <c r="P587" s="430" t="n">
        <f aca="false">'☆掛負収入'!P587</f>
        <v>0</v>
      </c>
    </row>
    <row r="588" customFormat="false" ht="22.5" hidden="false" customHeight="true" outlineLevel="0" collapsed="false">
      <c r="A588" s="114" t="str">
        <f aca="false">'☆掛負収入'!A588</f>
        <v>区　　分</v>
      </c>
      <c r="B588" s="114" t="str">
        <f aca="false">'☆掛負収入'!B588</f>
        <v>長　期　経　理</v>
      </c>
      <c r="C588" s="114" t="n">
        <f aca="false">'☆掛負収入'!C588</f>
        <v>0</v>
      </c>
      <c r="D588" s="114" t="n">
        <f aca="false">'☆掛負収入'!D588</f>
        <v>0</v>
      </c>
      <c r="E588" s="114" t="n">
        <f aca="false">'☆掛負収入'!E588</f>
        <v>0</v>
      </c>
      <c r="F588" s="114" t="n">
        <f aca="false">'☆掛負収入'!F588</f>
        <v>0</v>
      </c>
      <c r="G588" s="114" t="n">
        <f aca="false">'☆掛負収入'!G588</f>
        <v>0</v>
      </c>
      <c r="H588" s="116" t="str">
        <f aca="false">'☆掛負収入'!H588</f>
        <v>短　期　経　理</v>
      </c>
      <c r="I588" s="116" t="n">
        <f aca="false">'☆掛負収入'!I588</f>
        <v>0</v>
      </c>
      <c r="J588" s="116" t="n">
        <f aca="false">'☆掛負収入'!J588</f>
        <v>0</v>
      </c>
      <c r="K588" s="116" t="str">
        <f aca="false">'☆掛負収入'!K588</f>
        <v>介　護　納　付　金</v>
      </c>
      <c r="L588" s="116" t="n">
        <f aca="false">'☆掛負収入'!L588</f>
        <v>0</v>
      </c>
      <c r="M588" s="116" t="n">
        <f aca="false">'☆掛負収入'!M588</f>
        <v>0</v>
      </c>
      <c r="N588" s="116" t="str">
        <f aca="false">'☆掛負収入'!N588</f>
        <v>子ども・子育て支援納付金</v>
      </c>
      <c r="O588" s="116" t="n">
        <f aca="false">'☆掛負収入'!O588</f>
        <v>0</v>
      </c>
      <c r="P588" s="116" t="n">
        <f aca="false">'☆掛負収入'!P588</f>
        <v>0</v>
      </c>
    </row>
    <row r="589" customFormat="false" ht="22.5" hidden="false" customHeight="true" outlineLevel="0" collapsed="false">
      <c r="A589" s="114" t="n">
        <f aca="false">'☆掛負収入'!A589</f>
        <v>0</v>
      </c>
      <c r="B589" s="117" t="str">
        <f aca="false">'☆掛負収入'!B589</f>
        <v>組合員負担分</v>
      </c>
      <c r="C589" s="117" t="n">
        <f aca="false">'☆掛負収入'!C589</f>
        <v>0</v>
      </c>
      <c r="D589" s="117" t="str">
        <f aca="false">'☆掛負収入'!D589</f>
        <v>事業主負担分</v>
      </c>
      <c r="E589" s="117" t="n">
        <f aca="false">'☆掛負収入'!E589</f>
        <v>0</v>
      </c>
      <c r="F589" s="117" t="n">
        <f aca="false">'☆掛負収入'!F589</f>
        <v>0</v>
      </c>
      <c r="G589" s="611" t="str">
        <f aca="false">'☆掛負収入'!G589</f>
        <v>計</v>
      </c>
      <c r="H589" s="121" t="str">
        <f aca="false">'☆掛負収入'!H589</f>
        <v>掛　金</v>
      </c>
      <c r="I589" s="119" t="str">
        <f aca="false">'☆掛負収入'!I589</f>
        <v>負担金</v>
      </c>
      <c r="J589" s="120" t="str">
        <f aca="false">'☆掛負収入'!J589</f>
        <v>計</v>
      </c>
      <c r="K589" s="121" t="str">
        <f aca="false">'☆掛負収入'!K589</f>
        <v>掛　金</v>
      </c>
      <c r="L589" s="119" t="str">
        <f aca="false">'☆掛負収入'!L589</f>
        <v>負担金</v>
      </c>
      <c r="M589" s="120" t="str">
        <f aca="false">'☆掛負収入'!M589</f>
        <v>計</v>
      </c>
      <c r="N589" s="121" t="str">
        <f aca="false">'☆掛負収入'!N589</f>
        <v>掛　金</v>
      </c>
      <c r="O589" s="119" t="str">
        <f aca="false">'☆掛負収入'!O589</f>
        <v>負担金</v>
      </c>
      <c r="P589" s="120" t="str">
        <f aca="false">'☆掛負収入'!P589</f>
        <v>計</v>
      </c>
    </row>
    <row r="590" customFormat="false" ht="22.5" hidden="false" customHeight="true" outlineLevel="0" collapsed="false">
      <c r="A590" s="114" t="n">
        <f aca="false">'☆掛負収入'!A590</f>
        <v>0</v>
      </c>
      <c r="B590" s="612" t="str">
        <f aca="false">'☆掛負収入'!B590</f>
        <v>厚生年金保険料</v>
      </c>
      <c r="C590" s="613" t="str">
        <f aca="false">'☆掛負収入'!C590</f>
        <v>退職等年金掛金</v>
      </c>
      <c r="D590" s="614" t="str">
        <f aca="false">'☆掛負収入'!D590</f>
        <v>厚生年金保険料</v>
      </c>
      <c r="E590" s="614" t="str">
        <f aca="false">'☆掛負収入'!E590</f>
        <v>退職等年金負担金</v>
      </c>
      <c r="F590" s="615" t="str">
        <f aca="false">'☆掛負収入'!F590</f>
        <v>経過的長期</v>
      </c>
      <c r="G590" s="611" t="n">
        <f aca="false">'☆掛負収入'!G590</f>
        <v>0</v>
      </c>
      <c r="H590" s="121" t="n">
        <f aca="false">'☆掛負収入'!H590</f>
        <v>0</v>
      </c>
      <c r="I590" s="119" t="n">
        <f aca="false">'☆掛負収入'!I590</f>
        <v>0</v>
      </c>
      <c r="J590" s="120" t="n">
        <f aca="false">'☆掛負収入'!J590</f>
        <v>0</v>
      </c>
      <c r="K590" s="121" t="n">
        <f aca="false">'☆掛負収入'!K590</f>
        <v>0</v>
      </c>
      <c r="L590" s="119" t="n">
        <f aca="false">'☆掛負収入'!L590</f>
        <v>0</v>
      </c>
      <c r="M590" s="120" t="n">
        <f aca="false">'☆掛負収入'!M590</f>
        <v>0</v>
      </c>
      <c r="N590" s="121" t="n">
        <f aca="false">'☆掛負収入'!N590</f>
        <v>0</v>
      </c>
      <c r="O590" s="119" t="n">
        <f aca="false">'☆掛負収入'!O590</f>
        <v>0</v>
      </c>
      <c r="P590" s="120" t="n">
        <f aca="false">'☆掛負収入'!P590</f>
        <v>0</v>
      </c>
    </row>
    <row r="591" customFormat="false" ht="18.75" hidden="false" customHeight="true" outlineLevel="0" collapsed="false">
      <c r="A591" s="125" t="str">
        <f aca="false">'☆掛負収入'!A591</f>
        <v>市長部局</v>
      </c>
      <c r="B591" s="616"/>
      <c r="C591" s="389"/>
      <c r="D591" s="617"/>
      <c r="E591" s="617"/>
      <c r="F591" s="209"/>
      <c r="G591" s="389"/>
      <c r="H591" s="616"/>
      <c r="I591" s="618"/>
      <c r="J591" s="206"/>
      <c r="K591" s="619"/>
      <c r="L591" s="618"/>
      <c r="M591" s="206"/>
      <c r="N591" s="619"/>
      <c r="O591" s="618"/>
      <c r="P591" s="206"/>
    </row>
    <row r="592" customFormat="false" ht="18.75" hidden="false" customHeight="true" outlineLevel="0" collapsed="false">
      <c r="A592" s="125" t="str">
        <f aca="false">'☆掛負収入'!A592</f>
        <v>下水道局</v>
      </c>
      <c r="B592" s="431"/>
      <c r="C592" s="206"/>
      <c r="D592" s="617"/>
      <c r="E592" s="617"/>
      <c r="F592" s="160"/>
      <c r="G592" s="206"/>
      <c r="H592" s="619"/>
      <c r="I592" s="449"/>
      <c r="J592" s="160"/>
      <c r="K592" s="620"/>
      <c r="L592" s="621"/>
      <c r="M592" s="160"/>
      <c r="N592" s="620"/>
      <c r="O592" s="621"/>
      <c r="P592" s="160"/>
    </row>
    <row r="593" customFormat="false" ht="18.75" hidden="false" customHeight="true" outlineLevel="0" collapsed="false">
      <c r="A593" s="125" t="str">
        <f aca="false">'☆掛負収入'!A593</f>
        <v>消防局</v>
      </c>
      <c r="B593" s="431"/>
      <c r="C593" s="206"/>
      <c r="D593" s="617"/>
      <c r="E593" s="617"/>
      <c r="F593" s="160"/>
      <c r="G593" s="206"/>
      <c r="H593" s="620"/>
      <c r="I593" s="464"/>
      <c r="J593" s="160"/>
      <c r="K593" s="620"/>
      <c r="L593" s="464"/>
      <c r="M593" s="160"/>
      <c r="N593" s="620"/>
      <c r="O593" s="464"/>
      <c r="P593" s="160"/>
    </row>
    <row r="594" customFormat="false" ht="18.75" hidden="false" customHeight="true" outlineLevel="0" collapsed="false">
      <c r="A594" s="125" t="str">
        <f aca="false">'☆掛負収入'!A594</f>
        <v>議会事務局</v>
      </c>
      <c r="B594" s="431"/>
      <c r="C594" s="206"/>
      <c r="D594" s="617"/>
      <c r="E594" s="617"/>
      <c r="F594" s="160"/>
      <c r="G594" s="206"/>
      <c r="H594" s="431"/>
      <c r="I594" s="464"/>
      <c r="J594" s="160"/>
      <c r="K594" s="431"/>
      <c r="L594" s="464"/>
      <c r="M594" s="160"/>
      <c r="N594" s="431"/>
      <c r="O594" s="464"/>
      <c r="P594" s="160"/>
    </row>
    <row r="595" customFormat="false" ht="18.75" hidden="false" customHeight="true" outlineLevel="0" collapsed="false">
      <c r="A595" s="125" t="str">
        <f aca="false">'☆掛負収入'!A595</f>
        <v>教育委員会（総務課）</v>
      </c>
      <c r="B595" s="431"/>
      <c r="C595" s="206"/>
      <c r="D595" s="617"/>
      <c r="E595" s="617"/>
      <c r="F595" s="160"/>
      <c r="G595" s="206"/>
      <c r="H595" s="431"/>
      <c r="I595" s="464"/>
      <c r="J595" s="160"/>
      <c r="K595" s="431"/>
      <c r="L595" s="464"/>
      <c r="M595" s="160"/>
      <c r="N595" s="431"/>
      <c r="O595" s="464"/>
      <c r="P595" s="160"/>
    </row>
    <row r="596" customFormat="false" ht="18.75" hidden="false" customHeight="true" outlineLevel="0" collapsed="false">
      <c r="A596" s="125" t="str">
        <f aca="false">'☆掛負収入'!A596</f>
        <v>選挙管理委員会</v>
      </c>
      <c r="B596" s="431"/>
      <c r="C596" s="206"/>
      <c r="D596" s="617"/>
      <c r="E596" s="617"/>
      <c r="F596" s="160"/>
      <c r="G596" s="206"/>
      <c r="H596" s="619"/>
      <c r="I596" s="449"/>
      <c r="J596" s="160"/>
      <c r="K596" s="431"/>
      <c r="L596" s="464"/>
      <c r="M596" s="160"/>
      <c r="N596" s="431"/>
      <c r="O596" s="464"/>
      <c r="P596" s="160"/>
    </row>
    <row r="597" customFormat="false" ht="18.75" hidden="false" customHeight="true" outlineLevel="0" collapsed="false">
      <c r="A597" s="125" t="str">
        <f aca="false">'☆掛負収入'!A597</f>
        <v>人事委員会</v>
      </c>
      <c r="B597" s="431"/>
      <c r="C597" s="206"/>
      <c r="D597" s="617"/>
      <c r="E597" s="617"/>
      <c r="F597" s="160"/>
      <c r="G597" s="206"/>
      <c r="H597" s="619"/>
      <c r="I597" s="449"/>
      <c r="J597" s="160"/>
      <c r="K597" s="619"/>
      <c r="L597" s="449"/>
      <c r="M597" s="160"/>
      <c r="N597" s="619"/>
      <c r="O597" s="449"/>
      <c r="P597" s="160"/>
    </row>
    <row r="598" customFormat="false" ht="18.75" hidden="false" customHeight="true" outlineLevel="0" collapsed="false">
      <c r="A598" s="125" t="str">
        <f aca="false">'☆掛負収入'!A598</f>
        <v>監査事務局</v>
      </c>
      <c r="B598" s="431"/>
      <c r="C598" s="206"/>
      <c r="D598" s="617"/>
      <c r="E598" s="617"/>
      <c r="F598" s="160"/>
      <c r="G598" s="206"/>
      <c r="H598" s="619"/>
      <c r="I598" s="449"/>
      <c r="J598" s="160"/>
      <c r="K598" s="619"/>
      <c r="L598" s="449"/>
      <c r="M598" s="160"/>
      <c r="N598" s="619"/>
      <c r="O598" s="449"/>
      <c r="P598" s="160"/>
    </row>
    <row r="599" customFormat="false" ht="18.75" hidden="false" customHeight="true" outlineLevel="0" collapsed="false">
      <c r="A599" s="125" t="str">
        <f aca="false">'☆掛負収入'!A599</f>
        <v>農業委員会</v>
      </c>
      <c r="B599" s="431"/>
      <c r="C599" s="206"/>
      <c r="D599" s="617"/>
      <c r="E599" s="617"/>
      <c r="F599" s="160"/>
      <c r="G599" s="206"/>
      <c r="H599" s="619"/>
      <c r="I599" s="449"/>
      <c r="J599" s="160"/>
      <c r="K599" s="619"/>
      <c r="L599" s="449"/>
      <c r="M599" s="160"/>
      <c r="N599" s="619"/>
      <c r="O599" s="449"/>
      <c r="P599" s="160"/>
    </row>
    <row r="600" customFormat="false" ht="18.75" hidden="false" customHeight="true" outlineLevel="0" collapsed="false">
      <c r="A600" s="125" t="str">
        <f aca="false">'☆掛負収入'!A600</f>
        <v>水道局</v>
      </c>
      <c r="B600" s="431"/>
      <c r="C600" s="206"/>
      <c r="D600" s="617"/>
      <c r="E600" s="617"/>
      <c r="F600" s="160"/>
      <c r="G600" s="206"/>
      <c r="H600" s="619"/>
      <c r="I600" s="449"/>
      <c r="J600" s="160"/>
      <c r="K600" s="619"/>
      <c r="L600" s="449"/>
      <c r="M600" s="160"/>
      <c r="N600" s="619"/>
      <c r="O600" s="449"/>
      <c r="P600" s="160"/>
    </row>
    <row r="601" customFormat="false" ht="18.75" hidden="false" customHeight="true" outlineLevel="0" collapsed="false">
      <c r="A601" s="146" t="str">
        <f aca="false">'☆掛負収入'!A601</f>
        <v>医療政策課(安芸市民)</v>
      </c>
      <c r="B601" s="620"/>
      <c r="C601" s="391"/>
      <c r="D601" s="620"/>
      <c r="E601" s="621"/>
      <c r="F601" s="418"/>
      <c r="G601" s="206"/>
      <c r="H601" s="622"/>
      <c r="I601" s="432"/>
      <c r="J601" s="160"/>
      <c r="K601" s="619"/>
      <c r="L601" s="449"/>
      <c r="M601" s="160"/>
      <c r="N601" s="619"/>
      <c r="O601" s="449"/>
      <c r="P601" s="160"/>
    </row>
    <row r="602" customFormat="false" ht="18.75" hidden="false" customHeight="true" outlineLevel="0" collapsed="false">
      <c r="A602" s="146" t="str">
        <f aca="false">'☆掛負収入'!A602</f>
        <v>教育委員会（教育給与課）</v>
      </c>
      <c r="B602" s="620"/>
      <c r="C602" s="206"/>
      <c r="D602" s="431"/>
      <c r="E602" s="623"/>
      <c r="F602" s="309"/>
      <c r="G602" s="206"/>
      <c r="H602" s="619"/>
      <c r="I602" s="449"/>
      <c r="J602" s="160"/>
      <c r="K602" s="619"/>
      <c r="L602" s="449"/>
      <c r="M602" s="160"/>
      <c r="N602" s="619"/>
      <c r="O602" s="449"/>
      <c r="P602" s="160"/>
    </row>
    <row r="603" customFormat="false" ht="18.75" hidden="true" customHeight="true" outlineLevel="0" collapsed="false">
      <c r="A603" s="624"/>
      <c r="B603" s="625"/>
      <c r="C603" s="235"/>
      <c r="D603" s="625"/>
      <c r="E603" s="626"/>
      <c r="F603" s="221"/>
      <c r="G603" s="712"/>
      <c r="H603" s="627"/>
      <c r="I603" s="628"/>
      <c r="J603" s="628"/>
      <c r="K603" s="627"/>
      <c r="L603" s="628"/>
      <c r="M603" s="220"/>
      <c r="N603" s="627"/>
      <c r="O603" s="628"/>
      <c r="P603" s="220"/>
    </row>
    <row r="604" customFormat="false" ht="18.75" hidden="true" customHeight="true" outlineLevel="0" collapsed="false">
      <c r="A604" s="629"/>
      <c r="B604" s="482"/>
      <c r="C604" s="157"/>
      <c r="D604" s="482"/>
      <c r="E604" s="483"/>
      <c r="F604" s="484"/>
      <c r="G604" s="460"/>
      <c r="H604" s="482"/>
      <c r="I604" s="483"/>
      <c r="J604" s="483"/>
      <c r="K604" s="482"/>
      <c r="L604" s="483"/>
      <c r="M604" s="155"/>
      <c r="N604" s="482"/>
      <c r="O604" s="483"/>
      <c r="P604" s="155"/>
    </row>
    <row r="605" customFormat="false" ht="18.75" hidden="true" customHeight="true" outlineLevel="0" collapsed="false">
      <c r="A605" s="629"/>
      <c r="B605" s="625"/>
      <c r="C605" s="235"/>
      <c r="D605" s="625"/>
      <c r="E605" s="626"/>
      <c r="F605" s="221"/>
      <c r="G605" s="712"/>
      <c r="H605" s="625"/>
      <c r="I605" s="626"/>
      <c r="J605" s="626"/>
      <c r="K605" s="625"/>
      <c r="L605" s="626"/>
      <c r="M605" s="721"/>
      <c r="N605" s="625"/>
      <c r="O605" s="626"/>
      <c r="P605" s="721"/>
    </row>
    <row r="606" customFormat="false" ht="18.75" hidden="true" customHeight="true" outlineLevel="0" collapsed="false">
      <c r="A606" s="630"/>
      <c r="B606" s="631"/>
      <c r="C606" s="632"/>
      <c r="D606" s="631"/>
      <c r="E606" s="515"/>
      <c r="F606" s="633"/>
      <c r="G606" s="714"/>
      <c r="H606" s="482"/>
      <c r="I606" s="634"/>
      <c r="J606" s="634"/>
      <c r="K606" s="482"/>
      <c r="L606" s="483"/>
      <c r="M606" s="155"/>
      <c r="N606" s="482"/>
      <c r="O606" s="483"/>
      <c r="P606" s="155"/>
    </row>
    <row r="607" customFormat="false" ht="18.75" hidden="false" customHeight="true" outlineLevel="0" collapsed="false">
      <c r="A607" s="196" t="str">
        <f aca="false">'☆掛負収入'!A607</f>
        <v>小　計</v>
      </c>
      <c r="B607" s="429"/>
      <c r="C607" s="199"/>
      <c r="D607" s="429"/>
      <c r="E607" s="199"/>
      <c r="F607" s="200"/>
      <c r="G607" s="201"/>
      <c r="H607" s="429"/>
      <c r="I607" s="199"/>
      <c r="J607" s="198"/>
      <c r="K607" s="429"/>
      <c r="L607" s="199"/>
      <c r="M607" s="198"/>
      <c r="N607" s="429"/>
      <c r="O607" s="199"/>
      <c r="P607" s="198"/>
    </row>
    <row r="608" customFormat="false" ht="18.75" hidden="false" customHeight="true" outlineLevel="0" collapsed="false">
      <c r="A608" s="202" t="str">
        <f aca="false">'☆掛負収入'!A608</f>
        <v>地方税共同機構</v>
      </c>
      <c r="B608" s="474" t="n">
        <f aca="false">'☆掛負収入'!B608</f>
        <v>0</v>
      </c>
      <c r="C608" s="402" t="n">
        <f aca="false">'☆掛負収入'!C608</f>
        <v>0</v>
      </c>
      <c r="D608" s="494" t="n">
        <f aca="false">'☆掛負収入'!D608</f>
        <v>0</v>
      </c>
      <c r="E608" s="488" t="n">
        <f aca="false">'☆掛負収入'!E608</f>
        <v>0</v>
      </c>
      <c r="F608" s="248" t="n">
        <f aca="false">'☆掛負収入'!F608</f>
        <v>0</v>
      </c>
      <c r="G608" s="206" t="n">
        <f aca="false">SUM(B608:F608)</f>
        <v>0</v>
      </c>
      <c r="H608" s="619" t="n">
        <f aca="false">'☆掛負収入'!H608</f>
        <v>0</v>
      </c>
      <c r="I608" s="449" t="n">
        <f aca="false">'☆掛負収入'!I608</f>
        <v>0</v>
      </c>
      <c r="J608" s="160" t="n">
        <f aca="false">SUM(H608:I608)</f>
        <v>0</v>
      </c>
      <c r="K608" s="464" t="n">
        <f aca="false">'☆掛負収入'!K608</f>
        <v>0</v>
      </c>
      <c r="L608" s="449" t="n">
        <f aca="false">'☆掛負収入'!L608</f>
        <v>0</v>
      </c>
      <c r="M608" s="160" t="n">
        <f aca="false">SUM(K608:L608)</f>
        <v>0</v>
      </c>
      <c r="N608" s="464" t="n">
        <f aca="false">'☆掛負収入'!N608</f>
        <v>0</v>
      </c>
      <c r="O608" s="449" t="n">
        <f aca="false">'☆掛負収入'!O608</f>
        <v>0</v>
      </c>
      <c r="P608" s="160" t="n">
        <f aca="false">SUM(N608:O608)</f>
        <v>0</v>
      </c>
    </row>
    <row r="609" customFormat="false" ht="18.75" hidden="false" customHeight="true" outlineLevel="0" collapsed="false">
      <c r="A609" s="125" t="str">
        <f aca="false">'☆掛負収入'!A609</f>
        <v>平和文化センター</v>
      </c>
      <c r="B609" s="474" t="n">
        <f aca="false">'☆掛負収入'!B609</f>
        <v>0</v>
      </c>
      <c r="C609" s="402" t="n">
        <f aca="false">'☆掛負収入'!C609</f>
        <v>0</v>
      </c>
      <c r="D609" s="489" t="n">
        <f aca="false">'☆掛負収入'!D609</f>
        <v>1159671</v>
      </c>
      <c r="E609" s="477" t="n">
        <f aca="false">'☆掛負収入'!E609</f>
        <v>95056</v>
      </c>
      <c r="F609" s="248" t="n">
        <f aca="false">'☆掛負収入'!F609</f>
        <v>1306</v>
      </c>
      <c r="G609" s="206" t="n">
        <f aca="false">SUM(B609:F609)</f>
        <v>1256033</v>
      </c>
      <c r="H609" s="619" t="n">
        <f aca="false">'☆掛負収入'!H609</f>
        <v>0</v>
      </c>
      <c r="I609" s="449" t="n">
        <f aca="false">'☆掛負収入'!I609</f>
        <v>698465</v>
      </c>
      <c r="J609" s="160" t="n">
        <f aca="false">SUM(H609:I609)</f>
        <v>698465</v>
      </c>
      <c r="K609" s="464" t="n">
        <f aca="false">'☆掛負収入'!K609</f>
        <v>0</v>
      </c>
      <c r="L609" s="449" t="n">
        <f aca="false">'☆掛負収入'!L609</f>
        <v>95329</v>
      </c>
      <c r="M609" s="160" t="n">
        <f aca="false">SUM(K609:L609)</f>
        <v>95329</v>
      </c>
      <c r="N609" s="464" t="n">
        <f aca="false">'☆掛負収入'!N609</f>
        <v>0</v>
      </c>
      <c r="O609" s="449" t="n">
        <f aca="false">'☆掛負収入'!O609</f>
        <v>1</v>
      </c>
      <c r="P609" s="160" t="n">
        <f aca="false">SUM(N609:O609)</f>
        <v>1</v>
      </c>
    </row>
    <row r="610" customFormat="false" ht="18.75" hidden="false" customHeight="true" outlineLevel="0" collapsed="false">
      <c r="A610" s="125" t="str">
        <f aca="false">'☆掛負収入'!A610</f>
        <v>社会福祉事業団</v>
      </c>
      <c r="B610" s="625"/>
      <c r="C610" s="235"/>
      <c r="D610" s="476" t="n">
        <f aca="false">'☆掛負収入'!D610</f>
        <v>3806683</v>
      </c>
      <c r="E610" s="478" t="n">
        <f aca="false">'☆掛負収入'!E610</f>
        <v>312018</v>
      </c>
      <c r="F610" s="248" t="n">
        <f aca="false">'☆掛負収入'!F610</f>
        <v>3974</v>
      </c>
      <c r="G610" s="206" t="n">
        <f aca="false">SUM(B610:F610)</f>
        <v>4122675</v>
      </c>
      <c r="H610" s="627"/>
      <c r="I610" s="449" t="n">
        <f aca="false">'☆掛負収入'!I610</f>
        <v>2319101</v>
      </c>
      <c r="J610" s="160" t="n">
        <f aca="false">SUM(H610:I610)</f>
        <v>2319101</v>
      </c>
      <c r="K610" s="637"/>
      <c r="L610" s="449" t="n">
        <f aca="false">'☆掛負収入'!L610</f>
        <v>255827</v>
      </c>
      <c r="M610" s="160" t="n">
        <f aca="false">SUM(K610:L610)</f>
        <v>255827</v>
      </c>
      <c r="N610" s="637"/>
      <c r="O610" s="449" t="n">
        <f aca="false">'☆掛負収入'!O610</f>
        <v>1</v>
      </c>
      <c r="P610" s="160" t="n">
        <f aca="false">SUM(N610:O610)</f>
        <v>1</v>
      </c>
    </row>
    <row r="611" customFormat="false" ht="18.75" hidden="false" customHeight="true" outlineLevel="0" collapsed="false">
      <c r="A611" s="125" t="str">
        <f aca="false">'☆掛負収入'!A611</f>
        <v>原爆障害対策協議会</v>
      </c>
      <c r="B611" s="625"/>
      <c r="C611" s="235"/>
      <c r="D611" s="470" t="n">
        <f aca="false">'☆掛負収入'!D611</f>
        <v>102755</v>
      </c>
      <c r="E611" s="478" t="n">
        <f aca="false">'☆掛負収入'!E611</f>
        <v>8422</v>
      </c>
      <c r="F611" s="248" t="n">
        <f aca="false">'☆掛負収入'!F611</f>
        <v>105</v>
      </c>
      <c r="G611" s="206" t="n">
        <f aca="false">SUM(B611:F611)</f>
        <v>111282</v>
      </c>
      <c r="H611" s="627"/>
      <c r="I611" s="449" t="n">
        <f aca="false">'☆掛負収入'!I611</f>
        <v>61888</v>
      </c>
      <c r="J611" s="160" t="n">
        <f aca="false">SUM(H611:I611)</f>
        <v>61888</v>
      </c>
      <c r="K611" s="637"/>
      <c r="L611" s="449" t="n">
        <f aca="false">'☆掛負収入'!L611</f>
        <v>8871</v>
      </c>
      <c r="M611" s="160" t="n">
        <f aca="false">SUM(K611:L611)</f>
        <v>8871</v>
      </c>
      <c r="N611" s="637"/>
      <c r="O611" s="449" t="n">
        <f aca="false">'☆掛負収入'!O611</f>
        <v>1</v>
      </c>
      <c r="P611" s="160" t="n">
        <f aca="false">SUM(N611:O611)</f>
        <v>1</v>
      </c>
    </row>
    <row r="612" customFormat="false" ht="18.75" hidden="false" customHeight="true" outlineLevel="0" collapsed="false">
      <c r="A612" s="214" t="str">
        <f aca="false">'☆掛負収入'!A612</f>
        <v>産業振興センター</v>
      </c>
      <c r="B612" s="625"/>
      <c r="C612" s="235"/>
      <c r="D612" s="470" t="n">
        <f aca="false">'☆掛負収入'!D612</f>
        <v>847109</v>
      </c>
      <c r="E612" s="478" t="n">
        <f aca="false">'☆掛負収入'!E612</f>
        <v>69435</v>
      </c>
      <c r="F612" s="248" t="n">
        <f aca="false">'☆掛負収入'!F612</f>
        <v>868</v>
      </c>
      <c r="G612" s="206" t="n">
        <f aca="false">SUM(B612:F612)</f>
        <v>917412</v>
      </c>
      <c r="H612" s="627"/>
      <c r="I612" s="449" t="n">
        <f aca="false">'☆掛負収入'!I612</f>
        <v>510207</v>
      </c>
      <c r="J612" s="160" t="n">
        <f aca="false">SUM(H612:I612)</f>
        <v>510207</v>
      </c>
      <c r="K612" s="637"/>
      <c r="L612" s="449" t="n">
        <f aca="false">'☆掛負収入'!L612</f>
        <v>68753</v>
      </c>
      <c r="M612" s="160" t="n">
        <f aca="false">SUM(K612:L612)</f>
        <v>68753</v>
      </c>
      <c r="N612" s="637"/>
      <c r="O612" s="449" t="n">
        <f aca="false">'☆掛負収入'!O612</f>
        <v>1</v>
      </c>
      <c r="P612" s="160" t="n">
        <f aca="false">SUM(N612:O612)</f>
        <v>1</v>
      </c>
    </row>
    <row r="613" customFormat="false" ht="18.75" hidden="false" customHeight="true" outlineLevel="0" collapsed="false">
      <c r="A613" s="146" t="str">
        <f aca="false">'☆掛負収入'!A613</f>
        <v>ひろしま産業振興</v>
      </c>
      <c r="B613" s="625"/>
      <c r="C613" s="484"/>
      <c r="D613" s="470" t="n">
        <f aca="false">'☆掛負収入'!D613</f>
        <v>183641</v>
      </c>
      <c r="E613" s="478" t="n">
        <f aca="false">'☆掛負収入'!E613</f>
        <v>15052</v>
      </c>
      <c r="F613" s="479" t="n">
        <f aca="false">'☆掛負収入'!F613</f>
        <v>188</v>
      </c>
      <c r="G613" s="206" t="n">
        <f aca="false">SUM(B613:F613)</f>
        <v>198881</v>
      </c>
      <c r="H613" s="627"/>
      <c r="I613" s="432" t="n">
        <f aca="false">'☆掛負収入'!I613</f>
        <v>110605</v>
      </c>
      <c r="J613" s="160" t="n">
        <f aca="false">SUM(H613:I613)</f>
        <v>110605</v>
      </c>
      <c r="K613" s="637"/>
      <c r="L613" s="432" t="n">
        <f aca="false">'☆掛負収入'!L613</f>
        <v>15855</v>
      </c>
      <c r="M613" s="160" t="n">
        <f aca="false">SUM(K613:L613)</f>
        <v>15855</v>
      </c>
      <c r="N613" s="637"/>
      <c r="O613" s="432" t="n">
        <f aca="false">'☆掛負収入'!O613</f>
        <v>1</v>
      </c>
      <c r="P613" s="160" t="n">
        <f aca="false">SUM(N613:O613)</f>
        <v>1</v>
      </c>
    </row>
    <row r="614" customFormat="false" ht="18.75" hidden="false" customHeight="true" outlineLevel="0" collapsed="false">
      <c r="A614" s="146" t="str">
        <f aca="false">'☆掛負収入'!A614</f>
        <v>都市整備公社　市</v>
      </c>
      <c r="B614" s="625"/>
      <c r="C614" s="484"/>
      <c r="D614" s="476" t="n">
        <f aca="false">'☆掛負収入'!D614</f>
        <v>103944</v>
      </c>
      <c r="E614" s="478" t="n">
        <f aca="false">'☆掛負収入'!E614</f>
        <v>8520</v>
      </c>
      <c r="F614" s="248" t="n">
        <f aca="false">'☆掛負収入'!F614</f>
        <v>106</v>
      </c>
      <c r="G614" s="206" t="n">
        <f aca="false">SUM(B614:F614)</f>
        <v>112570</v>
      </c>
      <c r="H614" s="627"/>
      <c r="I614" s="449" t="n">
        <f aca="false">'☆掛負収入'!I614</f>
        <v>62604</v>
      </c>
      <c r="J614" s="160" t="n">
        <f aca="false">SUM(H614:I614)</f>
        <v>62604</v>
      </c>
      <c r="K614" s="637"/>
      <c r="L614" s="449" t="n">
        <f aca="false">'☆掛負収入'!L614</f>
        <v>8974</v>
      </c>
      <c r="M614" s="160" t="n">
        <f aca="false">SUM(K614:L614)</f>
        <v>8974</v>
      </c>
      <c r="N614" s="637"/>
      <c r="O614" s="449" t="n">
        <f aca="false">'☆掛負収入'!O614</f>
        <v>1</v>
      </c>
      <c r="P614" s="160" t="n">
        <f aca="false">SUM(N614:O614)</f>
        <v>1</v>
      </c>
    </row>
    <row r="615" customFormat="false" ht="18.75" hidden="false" customHeight="true" outlineLevel="0" collapsed="false">
      <c r="A615" s="217"/>
      <c r="B615" s="625"/>
      <c r="C615" s="221"/>
      <c r="D615" s="474"/>
      <c r="E615" s="478"/>
      <c r="F615" s="248"/>
      <c r="G615" s="206"/>
      <c r="H615" s="627"/>
      <c r="I615" s="449"/>
      <c r="J615" s="160"/>
      <c r="K615" s="637"/>
      <c r="L615" s="449"/>
      <c r="M615" s="160" t="n">
        <f aca="false">SUM(K615:L615)</f>
        <v>0</v>
      </c>
      <c r="N615" s="637"/>
      <c r="O615" s="449"/>
      <c r="P615" s="160" t="n">
        <f aca="false">SUM(N615:O615)</f>
        <v>0</v>
      </c>
    </row>
    <row r="616" customFormat="false" ht="18.75" hidden="false" customHeight="true" outlineLevel="0" collapsed="false">
      <c r="A616" s="146" t="str">
        <f aca="false">'☆掛負収入'!A616</f>
        <v>日本下水道事業団</v>
      </c>
      <c r="B616" s="476" t="n">
        <f aca="false">'☆掛負収入'!B616</f>
        <v>475616</v>
      </c>
      <c r="C616" s="248" t="n">
        <f aca="false">'☆掛負収入'!C616</f>
        <v>38984</v>
      </c>
      <c r="D616" s="474" t="n">
        <f aca="false">'☆掛負収入'!D616</f>
        <v>475618</v>
      </c>
      <c r="E616" s="478" t="n">
        <f aca="false">'☆掛負収入'!E616</f>
        <v>38985</v>
      </c>
      <c r="F616" s="248" t="n">
        <f aca="false">'☆掛負収入'!F616</f>
        <v>488</v>
      </c>
      <c r="G616" s="206" t="n">
        <f aca="false">SUM(B616:F616)</f>
        <v>1029691</v>
      </c>
      <c r="H616" s="619" t="n">
        <f aca="false">'☆掛負収入'!H616</f>
        <v>285940</v>
      </c>
      <c r="I616" s="449" t="n">
        <f aca="false">'☆掛負収入'!I616</f>
        <v>286461</v>
      </c>
      <c r="J616" s="160" t="n">
        <f aca="false">SUM(H616:I616)</f>
        <v>572401</v>
      </c>
      <c r="K616" s="464" t="n">
        <f aca="false">'☆掛負収入'!K616</f>
        <v>19433</v>
      </c>
      <c r="L616" s="449" t="n">
        <f aca="false">'☆掛負収入'!L616</f>
        <v>19434</v>
      </c>
      <c r="M616" s="160" t="n">
        <f aca="false">SUM(K616:L616)</f>
        <v>38867</v>
      </c>
      <c r="N616" s="464" t="n">
        <f aca="false">'☆掛負収入'!N616</f>
        <v>1</v>
      </c>
      <c r="O616" s="449" t="n">
        <f aca="false">'☆掛負収入'!O616</f>
        <v>1</v>
      </c>
      <c r="P616" s="160" t="n">
        <f aca="false">SUM(N616:O616)</f>
        <v>2</v>
      </c>
    </row>
    <row r="617" customFormat="false" ht="18.75" hidden="false" customHeight="true" outlineLevel="0" collapsed="false">
      <c r="A617" s="125" t="str">
        <f aca="false">'☆掛負収入'!A617</f>
        <v>地方公務員災害補償基金本部</v>
      </c>
      <c r="B617" s="476" t="n">
        <f aca="false">'☆掛負収入'!B617</f>
        <v>66246</v>
      </c>
      <c r="C617" s="248" t="n">
        <f aca="false">'☆掛負収入'!C617</f>
        <v>5430</v>
      </c>
      <c r="D617" s="474" t="n">
        <f aca="false">'☆掛負収入'!D617</f>
        <v>66246</v>
      </c>
      <c r="E617" s="478" t="n">
        <f aca="false">'☆掛負収入'!E617</f>
        <v>5430</v>
      </c>
      <c r="F617" s="248" t="n">
        <f aca="false">'☆掛負収入'!F617</f>
        <v>67</v>
      </c>
      <c r="G617" s="206" t="n">
        <f aca="false">SUM(B617:F617)</f>
        <v>143419</v>
      </c>
      <c r="H617" s="619" t="n">
        <f aca="false">'☆掛負収入'!H617</f>
        <v>39827</v>
      </c>
      <c r="I617" s="449" t="n">
        <f aca="false">'☆掛負収入'!I617</f>
        <v>39899</v>
      </c>
      <c r="J617" s="160" t="n">
        <f aca="false">SUM(H617:I617)</f>
        <v>79726</v>
      </c>
      <c r="K617" s="464" t="n">
        <f aca="false">'☆掛負収入'!K617</f>
        <v>0</v>
      </c>
      <c r="L617" s="449" t="n">
        <f aca="false">'☆掛負収入'!L617</f>
        <v>0</v>
      </c>
      <c r="M617" s="160" t="n">
        <f aca="false">SUM(K617:L617)</f>
        <v>0</v>
      </c>
      <c r="N617" s="464" t="n">
        <f aca="false">'☆掛負収入'!N617</f>
        <v>1</v>
      </c>
      <c r="O617" s="449" t="n">
        <f aca="false">'☆掛負収入'!O617</f>
        <v>1</v>
      </c>
      <c r="P617" s="160" t="n">
        <f aca="false">SUM(N617:O617)</f>
        <v>2</v>
      </c>
    </row>
    <row r="618" customFormat="false" ht="18.75" hidden="false" customHeight="true" outlineLevel="0" collapsed="false">
      <c r="A618" s="222"/>
      <c r="B618" s="474"/>
      <c r="C618" s="248"/>
      <c r="D618" s="474"/>
      <c r="E618" s="478"/>
      <c r="F618" s="248"/>
      <c r="G618" s="206"/>
      <c r="H618" s="619"/>
      <c r="I618" s="449"/>
      <c r="J618" s="160"/>
      <c r="K618" s="464"/>
      <c r="L618" s="449"/>
      <c r="M618" s="160" t="n">
        <f aca="false">SUM(K618:L618)</f>
        <v>0</v>
      </c>
      <c r="N618" s="464"/>
      <c r="O618" s="449"/>
      <c r="P618" s="160" t="n">
        <f aca="false">SUM(N618:O618)</f>
        <v>0</v>
      </c>
    </row>
    <row r="619" customFormat="false" ht="18.75" hidden="false" customHeight="true" outlineLevel="0" collapsed="false">
      <c r="A619" s="125" t="str">
        <f aca="false">'☆掛負収入'!A619</f>
        <v>高速道路公社</v>
      </c>
      <c r="B619" s="489" t="n">
        <f aca="false">'☆掛負収入'!B619</f>
        <v>1785344</v>
      </c>
      <c r="C619" s="479" t="n">
        <f aca="false">'☆掛負収入'!C619</f>
        <v>146336</v>
      </c>
      <c r="D619" s="489" t="n">
        <f aca="false">'☆掛負収入'!D619</f>
        <v>1785348</v>
      </c>
      <c r="E619" s="495" t="n">
        <f aca="false">'☆掛負収入'!E619</f>
        <v>146340</v>
      </c>
      <c r="F619" s="491" t="n">
        <f aca="false">'☆掛負収入'!F619</f>
        <v>1832</v>
      </c>
      <c r="G619" s="206" t="n">
        <f aca="false">SUM(B619:F619)</f>
        <v>3865200</v>
      </c>
      <c r="H619" s="638" t="n">
        <f aca="false">'☆掛負収入'!H619</f>
        <v>1073346</v>
      </c>
      <c r="I619" s="639" t="n">
        <f aca="false">'☆掛負収入'!I619</f>
        <v>1075306</v>
      </c>
      <c r="J619" s="160" t="n">
        <f aca="false">SUM(H619:I619)</f>
        <v>2148652</v>
      </c>
      <c r="K619" s="640" t="n">
        <f aca="false">'☆掛負収入'!K619</f>
        <v>104204</v>
      </c>
      <c r="L619" s="639" t="n">
        <f aca="false">'☆掛負収入'!L619</f>
        <v>104208</v>
      </c>
      <c r="M619" s="160" t="n">
        <f aca="false">SUM(K619:L619)</f>
        <v>208412</v>
      </c>
      <c r="N619" s="640" t="n">
        <f aca="false">'☆掛負収入'!N619</f>
        <v>1</v>
      </c>
      <c r="O619" s="639" t="n">
        <f aca="false">'☆掛負収入'!O619</f>
        <v>1</v>
      </c>
      <c r="P619" s="160" t="n">
        <f aca="false">SUM(N619:O619)</f>
        <v>2</v>
      </c>
    </row>
    <row r="620" customFormat="false" ht="18.75" hidden="false" customHeight="true" outlineLevel="0" collapsed="false">
      <c r="A620" s="125" t="str">
        <f aca="false">'☆掛負収入'!A620</f>
        <v>農林水産振興センタ</v>
      </c>
      <c r="B620" s="482"/>
      <c r="C620" s="484"/>
      <c r="D620" s="476" t="n">
        <f aca="false">'☆掛負収入'!D620</f>
        <v>1116024</v>
      </c>
      <c r="E620" s="498" t="n">
        <f aca="false">'☆掛負収入'!E620</f>
        <v>91476</v>
      </c>
      <c r="F620" s="479" t="n">
        <f aca="false">'☆掛負収入'!F620</f>
        <v>1202</v>
      </c>
      <c r="G620" s="206" t="n">
        <f aca="false">SUM(B620:F620)</f>
        <v>1208702</v>
      </c>
      <c r="H620" s="641"/>
      <c r="I620" s="432" t="n">
        <f aca="false">'☆掛負収入'!I620</f>
        <v>672237</v>
      </c>
      <c r="J620" s="160" t="n">
        <f aca="false">SUM(H620:I620)</f>
        <v>672237</v>
      </c>
      <c r="K620" s="642"/>
      <c r="L620" s="432" t="n">
        <f aca="false">'☆掛負収入'!L620</f>
        <v>56215</v>
      </c>
      <c r="M620" s="160" t="n">
        <f aca="false">SUM(K620:L620)</f>
        <v>56215</v>
      </c>
      <c r="N620" s="642"/>
      <c r="O620" s="432" t="n">
        <f aca="false">'☆掛負収入'!O620</f>
        <v>1</v>
      </c>
      <c r="P620" s="160" t="n">
        <f aca="false">SUM(N620:O620)</f>
        <v>1</v>
      </c>
    </row>
    <row r="621" customFormat="false" ht="18.75" hidden="false" customHeight="true" outlineLevel="0" collapsed="false">
      <c r="A621" s="228" t="str">
        <f aca="false">'☆掛負収入'!A621</f>
        <v>文化財団　市長部局</v>
      </c>
      <c r="B621" s="625"/>
      <c r="C621" s="221"/>
      <c r="D621" s="474" t="n">
        <f aca="false">'☆掛負収入'!D621</f>
        <v>2437384</v>
      </c>
      <c r="E621" s="478" t="n">
        <f aca="false">'☆掛負収入'!E621</f>
        <v>199783</v>
      </c>
      <c r="F621" s="479" t="n">
        <f aca="false">'☆掛負収入'!F621</f>
        <v>2496</v>
      </c>
      <c r="G621" s="206" t="n">
        <f aca="false">SUM(B621:F621)</f>
        <v>2639663</v>
      </c>
      <c r="H621" s="627"/>
      <c r="I621" s="432" t="n">
        <f aca="false">'☆掛負収入'!I621</f>
        <v>1468017</v>
      </c>
      <c r="J621" s="160" t="n">
        <f aca="false">SUM(H621:I621)</f>
        <v>1468017</v>
      </c>
      <c r="K621" s="637"/>
      <c r="L621" s="432" t="n">
        <f aca="false">'☆掛負収入'!L621</f>
        <v>199629</v>
      </c>
      <c r="M621" s="160" t="n">
        <f aca="false">SUM(K621:L621)</f>
        <v>199629</v>
      </c>
      <c r="N621" s="637"/>
      <c r="O621" s="432" t="n">
        <f aca="false">'☆掛負収入'!O621</f>
        <v>1</v>
      </c>
      <c r="P621" s="160" t="n">
        <f aca="false">SUM(N621:O621)</f>
        <v>1</v>
      </c>
    </row>
    <row r="622" customFormat="false" ht="18.75" hidden="false" customHeight="true" outlineLevel="0" collapsed="false">
      <c r="A622" s="229"/>
      <c r="B622" s="625"/>
      <c r="C622" s="221"/>
      <c r="D622" s="474"/>
      <c r="E622" s="478"/>
      <c r="F622" s="479"/>
      <c r="G622" s="206"/>
      <c r="H622" s="627"/>
      <c r="I622" s="432"/>
      <c r="J622" s="160"/>
      <c r="K622" s="637"/>
      <c r="L622" s="432"/>
      <c r="M622" s="160" t="n">
        <f aca="false">SUM(K622:L622)</f>
        <v>0</v>
      </c>
      <c r="N622" s="637"/>
      <c r="O622" s="432"/>
      <c r="P622" s="160" t="n">
        <f aca="false">SUM(N622:O622)</f>
        <v>0</v>
      </c>
    </row>
    <row r="623" customFormat="false" ht="18.75" hidden="false" customHeight="true" outlineLevel="0" collapsed="false">
      <c r="A623" s="125" t="str">
        <f aca="false">'☆掛負収入'!A623</f>
        <v>みどり生きもの協会</v>
      </c>
      <c r="B623" s="625"/>
      <c r="C623" s="221"/>
      <c r="D623" s="474" t="n">
        <f aca="false">'☆掛負収入'!D623</f>
        <v>847292</v>
      </c>
      <c r="E623" s="478" t="n">
        <f aca="false">'☆掛負収入'!E623</f>
        <v>69448</v>
      </c>
      <c r="F623" s="479" t="n">
        <f aca="false">'☆掛負収入'!F623</f>
        <v>867</v>
      </c>
      <c r="G623" s="206" t="n">
        <f aca="false">SUM(B623:F623)</f>
        <v>917607</v>
      </c>
      <c r="H623" s="627"/>
      <c r="I623" s="432" t="n">
        <f aca="false">'☆掛負収入'!I623</f>
        <v>510316</v>
      </c>
      <c r="J623" s="160" t="n">
        <f aca="false">SUM(H623:I623)</f>
        <v>510316</v>
      </c>
      <c r="K623" s="637"/>
      <c r="L623" s="432" t="n">
        <f aca="false">'☆掛負収入'!L623</f>
        <v>73152</v>
      </c>
      <c r="M623" s="160" t="n">
        <f aca="false">SUM(K623:L623)</f>
        <v>73152</v>
      </c>
      <c r="N623" s="637"/>
      <c r="O623" s="432" t="n">
        <f aca="false">'☆掛負収入'!O623</f>
        <v>1</v>
      </c>
      <c r="P623" s="160" t="n">
        <f aca="false">SUM(N623:O623)</f>
        <v>1</v>
      </c>
    </row>
    <row r="624" customFormat="false" ht="18.75" hidden="false" customHeight="true" outlineLevel="0" collapsed="false">
      <c r="A624" s="146" t="str">
        <f aca="false">'☆掛負収入'!A624</f>
        <v>県下水道公社</v>
      </c>
      <c r="B624" s="474" t="n">
        <f aca="false">'☆掛負収入'!B624</f>
        <v>281910</v>
      </c>
      <c r="C624" s="248" t="n">
        <f aca="false">'☆掛負収入'!C624</f>
        <v>23106</v>
      </c>
      <c r="D624" s="474" t="n">
        <f aca="false">'☆掛負収入'!D624</f>
        <v>281913</v>
      </c>
      <c r="E624" s="478" t="n">
        <f aca="false">'☆掛負収入'!E624</f>
        <v>23107</v>
      </c>
      <c r="F624" s="479" t="n">
        <f aca="false">'☆掛負収入'!F624</f>
        <v>289</v>
      </c>
      <c r="G624" s="206" t="n">
        <f aca="false">SUM(B624:F624)</f>
        <v>610325</v>
      </c>
      <c r="H624" s="619" t="n">
        <f aca="false">'☆掛負収入'!H624</f>
        <v>169484</v>
      </c>
      <c r="I624" s="432" t="n">
        <f aca="false">'☆掛負収入'!I624</f>
        <v>169793</v>
      </c>
      <c r="J624" s="160" t="n">
        <f aca="false">SUM(H624:I624)</f>
        <v>339277</v>
      </c>
      <c r="K624" s="464" t="n">
        <f aca="false">'☆掛負収入'!K624</f>
        <v>18233</v>
      </c>
      <c r="L624" s="432" t="n">
        <f aca="false">'☆掛負収入'!L624</f>
        <v>18233</v>
      </c>
      <c r="M624" s="160" t="n">
        <f aca="false">SUM(K624:L624)</f>
        <v>36466</v>
      </c>
      <c r="N624" s="464" t="n">
        <f aca="false">'☆掛負収入'!N624</f>
        <v>1</v>
      </c>
      <c r="O624" s="432" t="n">
        <f aca="false">'☆掛負収入'!O624</f>
        <v>1</v>
      </c>
      <c r="P624" s="160" t="n">
        <f aca="false">SUM(N624:O624)</f>
        <v>2</v>
      </c>
    </row>
    <row r="625" customFormat="false" ht="18.75" hidden="false" customHeight="true" outlineLevel="0" collapsed="false">
      <c r="A625" s="146" t="str">
        <f aca="false">'☆掛負収入'!A625</f>
        <v>バス協調・共創
プラットフォーム</v>
      </c>
      <c r="B625" s="482"/>
      <c r="C625" s="484"/>
      <c r="D625" s="476" t="n">
        <f aca="false">'☆掛負収入'!D625</f>
        <v>856624</v>
      </c>
      <c r="E625" s="498" t="n">
        <f aca="false">'☆掛負収入'!E625</f>
        <v>70215</v>
      </c>
      <c r="F625" s="479" t="n">
        <f aca="false">'☆掛負収入'!F625</f>
        <v>879</v>
      </c>
      <c r="G625" s="206" t="n">
        <f aca="false">SUM(B625:F625)</f>
        <v>927718</v>
      </c>
      <c r="H625" s="641"/>
      <c r="I625" s="432" t="n">
        <f aca="false">'☆掛負収入'!I625</f>
        <v>515939</v>
      </c>
      <c r="J625" s="160" t="n">
        <f aca="false">SUM(H625:I625)</f>
        <v>515939</v>
      </c>
      <c r="K625" s="642"/>
      <c r="L625" s="432" t="n">
        <f aca="false">'☆掛負収入'!L625</f>
        <v>49343</v>
      </c>
      <c r="M625" s="160" t="n">
        <f aca="false">SUM(K625:L625)</f>
        <v>49343</v>
      </c>
      <c r="N625" s="642"/>
      <c r="O625" s="432" t="n">
        <f aca="false">'☆掛負収入'!O625</f>
        <v>1</v>
      </c>
      <c r="P625" s="160" t="n">
        <f aca="false">SUM(N625:O625)</f>
        <v>1</v>
      </c>
    </row>
    <row r="626" customFormat="false" ht="18.75" hidden="false" customHeight="true" outlineLevel="0" collapsed="false">
      <c r="A626" s="146" t="str">
        <f aca="false">'☆掛負収入'!A626</f>
        <v>広島県市長会</v>
      </c>
      <c r="B626" s="474" t="n">
        <f aca="false">'☆掛負収入'!B626</f>
        <v>117028</v>
      </c>
      <c r="C626" s="248" t="n">
        <f aca="false">'☆掛負収入'!C626</f>
        <v>9592</v>
      </c>
      <c r="D626" s="474" t="n">
        <f aca="false">'☆掛負収入'!D626</f>
        <v>117029</v>
      </c>
      <c r="E626" s="478" t="n">
        <f aca="false">'☆掛負収入'!E626</f>
        <v>9592</v>
      </c>
      <c r="F626" s="248" t="n">
        <f aca="false">'☆掛負収入'!F626</f>
        <v>120</v>
      </c>
      <c r="G626" s="206" t="n">
        <f aca="false">SUM(B626:F626)</f>
        <v>253361</v>
      </c>
      <c r="H626" s="619" t="n">
        <f aca="false">'☆掛負収入'!H626</f>
        <v>70357</v>
      </c>
      <c r="I626" s="449" t="n">
        <f aca="false">'☆掛負収入'!I626</f>
        <v>70485</v>
      </c>
      <c r="J626" s="160" t="n">
        <f aca="false">SUM(H626:I626)</f>
        <v>140842</v>
      </c>
      <c r="K626" s="464" t="n">
        <f aca="false">'☆掛負収入'!K626</f>
        <v>10104</v>
      </c>
      <c r="L626" s="449" t="n">
        <f aca="false">'☆掛負収入'!L626</f>
        <v>10104</v>
      </c>
      <c r="M626" s="160" t="n">
        <f aca="false">SUM(K626:L626)</f>
        <v>20208</v>
      </c>
      <c r="N626" s="464" t="n">
        <f aca="false">'☆掛負収入'!N626</f>
        <v>1</v>
      </c>
      <c r="O626" s="449" t="n">
        <f aca="false">'☆掛負収入'!O626</f>
        <v>1</v>
      </c>
      <c r="P626" s="160" t="n">
        <f aca="false">SUM(N626:O626)</f>
        <v>2</v>
      </c>
    </row>
    <row r="627" customFormat="false" ht="18.75" hidden="false" customHeight="true" outlineLevel="0" collapsed="false">
      <c r="A627" s="214" t="str">
        <f aca="false">'☆掛負収入'!A627</f>
        <v>全国市町村研修財団</v>
      </c>
      <c r="B627" s="476" t="n">
        <f aca="false">'☆掛負収入'!B627</f>
        <v>137250</v>
      </c>
      <c r="C627" s="248" t="n">
        <f aca="false">'☆掛負収入'!C627</f>
        <v>11250</v>
      </c>
      <c r="D627" s="474" t="n">
        <f aca="false">'☆掛負収入'!D627</f>
        <v>137250</v>
      </c>
      <c r="E627" s="478" t="n">
        <f aca="false">'☆掛負収入'!E627</f>
        <v>11250</v>
      </c>
      <c r="F627" s="248" t="n">
        <f aca="false">'☆掛負収入'!F627</f>
        <v>140</v>
      </c>
      <c r="G627" s="206" t="n">
        <f aca="false">SUM(B627:F627)</f>
        <v>297140</v>
      </c>
      <c r="H627" s="619" t="n">
        <f aca="false">'☆掛負収入'!H627</f>
        <v>85375</v>
      </c>
      <c r="I627" s="449" t="n">
        <f aca="false">'☆掛負収入'!I627</f>
        <v>85530</v>
      </c>
      <c r="J627" s="160" t="n">
        <f aca="false">SUM(H627:I627)</f>
        <v>170905</v>
      </c>
      <c r="K627" s="464" t="n">
        <f aca="false">'☆掛負収入'!K627</f>
        <v>12260</v>
      </c>
      <c r="L627" s="449" t="n">
        <f aca="false">'☆掛負収入'!L627</f>
        <v>12260</v>
      </c>
      <c r="M627" s="160" t="n">
        <f aca="false">SUM(K627:L627)</f>
        <v>24520</v>
      </c>
      <c r="N627" s="464" t="n">
        <f aca="false">'☆掛負収入'!N627</f>
        <v>1</v>
      </c>
      <c r="O627" s="449" t="n">
        <f aca="false">'☆掛負収入'!O627</f>
        <v>1</v>
      </c>
      <c r="P627" s="160" t="n">
        <f aca="false">SUM(N627:O627)</f>
        <v>2</v>
      </c>
    </row>
    <row r="628" customFormat="false" ht="18.75" hidden="false" customHeight="true" outlineLevel="0" collapsed="false">
      <c r="A628" s="214" t="str">
        <f aca="false">'☆掛負収入'!A628</f>
        <v>都市再生機構</v>
      </c>
      <c r="B628" s="474" t="n">
        <f aca="false">'☆掛負収入'!B628</f>
        <v>110989</v>
      </c>
      <c r="C628" s="248" t="n">
        <f aca="false">'☆掛負収入'!C628</f>
        <v>9097</v>
      </c>
      <c r="D628" s="474" t="n">
        <f aca="false">'☆掛負収入'!D628</f>
        <v>110990</v>
      </c>
      <c r="E628" s="478" t="n">
        <f aca="false">'☆掛負収入'!E628</f>
        <v>9097</v>
      </c>
      <c r="F628" s="248" t="n">
        <f aca="false">'☆掛負収入'!F628</f>
        <v>113</v>
      </c>
      <c r="G628" s="206" t="n">
        <f aca="false">SUM(B628:F628)</f>
        <v>240286</v>
      </c>
      <c r="H628" s="619" t="n">
        <f aca="false">'☆掛負収入'!H628</f>
        <v>66727</v>
      </c>
      <c r="I628" s="449" t="n">
        <f aca="false">'☆掛負収入'!I628</f>
        <v>66848</v>
      </c>
      <c r="J628" s="160" t="n">
        <f aca="false">SUM(H628:I628)</f>
        <v>133575</v>
      </c>
      <c r="K628" s="464" t="n">
        <f aca="false">'☆掛負収入'!K628</f>
        <v>0</v>
      </c>
      <c r="L628" s="449" t="n">
        <f aca="false">'☆掛負収入'!L628</f>
        <v>0</v>
      </c>
      <c r="M628" s="160" t="n">
        <f aca="false">SUM(K628:L628)</f>
        <v>0</v>
      </c>
      <c r="N628" s="464" t="n">
        <f aca="false">'☆掛負収入'!N628</f>
        <v>1</v>
      </c>
      <c r="O628" s="449" t="n">
        <f aca="false">'☆掛負収入'!O628</f>
        <v>1</v>
      </c>
      <c r="P628" s="160" t="n">
        <f aca="false">SUM(N628:O628)</f>
        <v>2</v>
      </c>
    </row>
    <row r="629" customFormat="false" ht="18.75" hidden="false" customHeight="true" outlineLevel="0" collapsed="false">
      <c r="A629" s="146" t="str">
        <f aca="false">'☆掛負収入'!A629</f>
        <v>広島市立大学</v>
      </c>
      <c r="B629" s="431" t="n">
        <f aca="false">'☆掛負収入'!B629</f>
        <v>2224906</v>
      </c>
      <c r="C629" s="160" t="n">
        <f aca="false">'☆掛負収入'!C629</f>
        <v>182362</v>
      </c>
      <c r="D629" s="431" t="n">
        <f aca="false">'☆掛負収入'!D629</f>
        <v>2224922</v>
      </c>
      <c r="E629" s="464" t="n">
        <f aca="false">'☆掛負収入'!E629</f>
        <v>182370</v>
      </c>
      <c r="F629" s="248" t="n">
        <f aca="false">'☆掛負収入'!F629</f>
        <v>2370</v>
      </c>
      <c r="G629" s="206" t="n">
        <f aca="false">SUM(B629:F629)</f>
        <v>4816930</v>
      </c>
      <c r="H629" s="619" t="n">
        <f aca="false">'☆掛負収入'!H629</f>
        <v>1337610</v>
      </c>
      <c r="I629" s="449" t="n">
        <f aca="false">'☆掛負収入'!I629</f>
        <v>1340149</v>
      </c>
      <c r="J629" s="160" t="n">
        <f aca="false">SUM(H629:I629)</f>
        <v>2677759</v>
      </c>
      <c r="K629" s="464" t="n">
        <f aca="false">'☆掛負収入'!K629</f>
        <v>125563</v>
      </c>
      <c r="L629" s="449" t="n">
        <f aca="false">'☆掛負収入'!L629</f>
        <v>125570</v>
      </c>
      <c r="M629" s="160" t="n">
        <f aca="false">SUM(K629:L629)</f>
        <v>251133</v>
      </c>
      <c r="N629" s="464" t="n">
        <f aca="false">'☆掛負収入'!N629</f>
        <v>1</v>
      </c>
      <c r="O629" s="449" t="n">
        <f aca="false">'☆掛負収入'!O629</f>
        <v>1</v>
      </c>
      <c r="P629" s="160" t="n">
        <f aca="false">SUM(N629:O629)</f>
        <v>2</v>
      </c>
    </row>
    <row r="630" customFormat="false" ht="18.75" hidden="false" customHeight="true" outlineLevel="0" collapsed="false">
      <c r="A630" s="146" t="str">
        <f aca="false">'☆掛負収入'!A630</f>
        <v>社会福祉協議会</v>
      </c>
      <c r="B630" s="431" t="n">
        <f aca="false">'☆掛負収入'!B630</f>
        <v>0</v>
      </c>
      <c r="C630" s="160" t="n">
        <f aca="false">'☆掛負収入'!C630</f>
        <v>0</v>
      </c>
      <c r="D630" s="431" t="n">
        <f aca="false">'☆掛負収入'!D630</f>
        <v>438378</v>
      </c>
      <c r="E630" s="464" t="n">
        <f aca="false">'☆掛負収入'!E630</f>
        <v>35932</v>
      </c>
      <c r="F630" s="248" t="n">
        <f aca="false">'☆掛負収入'!F630</f>
        <v>449</v>
      </c>
      <c r="G630" s="206" t="n">
        <f aca="false">SUM(B630:F630)</f>
        <v>474759</v>
      </c>
      <c r="H630" s="619" t="n">
        <f aca="false">'☆掛負収入'!H630</f>
        <v>0</v>
      </c>
      <c r="I630" s="449" t="n">
        <f aca="false">'☆掛負収入'!I630</f>
        <v>276211</v>
      </c>
      <c r="J630" s="160" t="n">
        <f aca="false">SUM(H630:I630)</f>
        <v>276211</v>
      </c>
      <c r="K630" s="464" t="n">
        <f aca="false">'☆掛負収入'!K630</f>
        <v>0</v>
      </c>
      <c r="L630" s="449" t="n">
        <f aca="false">'☆掛負収入'!L630</f>
        <v>21622</v>
      </c>
      <c r="M630" s="160" t="n">
        <f aca="false">SUM(K630:L630)</f>
        <v>21622</v>
      </c>
      <c r="N630" s="464" t="n">
        <f aca="false">'☆掛負収入'!N630</f>
        <v>0</v>
      </c>
      <c r="O630" s="449" t="n">
        <f aca="false">'☆掛負収入'!O630</f>
        <v>1</v>
      </c>
      <c r="P630" s="160" t="n">
        <f aca="false">SUM(N630:O630)</f>
        <v>1</v>
      </c>
    </row>
    <row r="631" customFormat="false" ht="18.75" hidden="false" customHeight="true" outlineLevel="0" collapsed="false">
      <c r="A631" s="228" t="s">
        <v>532</v>
      </c>
      <c r="B631" s="431" t="n">
        <f aca="false">'☆掛負収入'!B633</f>
        <v>0</v>
      </c>
      <c r="C631" s="160" t="n">
        <f aca="false">'☆掛負収入'!C633</f>
        <v>0</v>
      </c>
      <c r="D631" s="431" t="n">
        <f aca="false">'☆掛負収入'!D633</f>
        <v>0</v>
      </c>
      <c r="E631" s="464" t="n">
        <f aca="false">'☆掛負収入'!E633</f>
        <v>0</v>
      </c>
      <c r="F631" s="248" t="n">
        <f aca="false">'☆掛負収入'!F633</f>
        <v>0</v>
      </c>
      <c r="G631" s="206" t="n">
        <f aca="false">SUM(B631:F631)</f>
        <v>0</v>
      </c>
      <c r="H631" s="619" t="n">
        <f aca="false">'☆掛負収入'!H633</f>
        <v>0</v>
      </c>
      <c r="I631" s="449" t="n">
        <f aca="false">'☆掛負収入'!I633</f>
        <v>0</v>
      </c>
      <c r="J631" s="160" t="n">
        <f aca="false">SUM(H631:I631)</f>
        <v>0</v>
      </c>
      <c r="K631" s="464" t="n">
        <f aca="false">'☆掛負収入'!K633</f>
        <v>0</v>
      </c>
      <c r="L631" s="449" t="n">
        <f aca="false">'☆掛負収入'!L633</f>
        <v>0</v>
      </c>
      <c r="M631" s="160" t="n">
        <f aca="false">SUM(K631:L631)</f>
        <v>0</v>
      </c>
      <c r="N631" s="464" t="n">
        <f aca="false">'☆掛負収入'!N633</f>
        <v>0</v>
      </c>
      <c r="O631" s="449" t="n">
        <f aca="false">'☆掛負収入'!O633</f>
        <v>0</v>
      </c>
      <c r="P631" s="160" t="n">
        <f aca="false">SUM(N631:O631)</f>
        <v>0</v>
      </c>
    </row>
    <row r="632" customFormat="false" ht="18.75" hidden="false" customHeight="true" outlineLevel="0" collapsed="false">
      <c r="A632" s="146" t="str">
        <f aca="false">'☆掛負収入'!A634</f>
        <v>全国市長会</v>
      </c>
      <c r="B632" s="431" t="n">
        <f aca="false">'☆掛負収入'!B634</f>
        <v>137250</v>
      </c>
      <c r="C632" s="160" t="n">
        <f aca="false">'☆掛負収入'!C634</f>
        <v>11250</v>
      </c>
      <c r="D632" s="431" t="n">
        <f aca="false">'☆掛負収入'!D634</f>
        <v>137250</v>
      </c>
      <c r="E632" s="464" t="n">
        <f aca="false">'☆掛負収入'!E634</f>
        <v>11250</v>
      </c>
      <c r="F632" s="248" t="n">
        <f aca="false">'☆掛負収入'!F634</f>
        <v>140</v>
      </c>
      <c r="G632" s="206" t="n">
        <f aca="false">SUM(B632:F632)</f>
        <v>297140</v>
      </c>
      <c r="H632" s="619" t="n">
        <f aca="false">'☆掛負収入'!H634</f>
        <v>103253</v>
      </c>
      <c r="I632" s="449" t="n">
        <f aca="false">'☆掛負収入'!I634</f>
        <v>103441</v>
      </c>
      <c r="J632" s="160" t="n">
        <f aca="false">SUM(H632:I632)</f>
        <v>206694</v>
      </c>
      <c r="K632" s="464" t="n">
        <f aca="false">'☆掛負収入'!K634</f>
        <v>14828</v>
      </c>
      <c r="L632" s="449" t="n">
        <f aca="false">'☆掛負収入'!L634</f>
        <v>14828</v>
      </c>
      <c r="M632" s="160" t="n">
        <f aca="false">SUM(K632:L632)</f>
        <v>29656</v>
      </c>
      <c r="N632" s="464" t="n">
        <f aca="false">'☆掛負収入'!N634</f>
        <v>1</v>
      </c>
      <c r="O632" s="449" t="n">
        <f aca="false">'☆掛負収入'!O634</f>
        <v>1</v>
      </c>
      <c r="P632" s="160" t="n">
        <f aca="false">SUM(N632:O632)</f>
        <v>2</v>
      </c>
    </row>
    <row r="633" customFormat="false" ht="18.75" hidden="false" customHeight="true" outlineLevel="0" collapsed="false">
      <c r="A633" s="233"/>
      <c r="B633" s="431"/>
      <c r="C633" s="418"/>
      <c r="D633" s="431"/>
      <c r="E633" s="464"/>
      <c r="F633" s="160"/>
      <c r="G633" s="206"/>
      <c r="H633" s="619"/>
      <c r="I633" s="449"/>
      <c r="J633" s="160"/>
      <c r="K633" s="464"/>
      <c r="L633" s="449"/>
      <c r="M633" s="160"/>
      <c r="N633" s="464"/>
      <c r="O633" s="449"/>
      <c r="P633" s="160"/>
    </row>
    <row r="634" customFormat="false" ht="18.75" hidden="false" customHeight="true" outlineLevel="0" collapsed="false">
      <c r="A634" s="233"/>
      <c r="B634" s="620"/>
      <c r="C634" s="391"/>
      <c r="D634" s="620"/>
      <c r="E634" s="621"/>
      <c r="F634" s="418"/>
      <c r="G634" s="206"/>
      <c r="H634" s="620"/>
      <c r="I634" s="465"/>
      <c r="J634" s="160"/>
      <c r="K634" s="621"/>
      <c r="L634" s="465"/>
      <c r="M634" s="160"/>
      <c r="N634" s="621"/>
      <c r="O634" s="465"/>
      <c r="P634" s="160"/>
    </row>
    <row r="635" customFormat="false" ht="18.75" hidden="false" customHeight="true" outlineLevel="0" collapsed="false">
      <c r="A635" s="217"/>
      <c r="B635" s="431"/>
      <c r="C635" s="206"/>
      <c r="D635" s="431"/>
      <c r="E635" s="617"/>
      <c r="F635" s="160"/>
      <c r="G635" s="206"/>
      <c r="H635" s="431"/>
      <c r="I635" s="644"/>
      <c r="J635" s="160"/>
      <c r="K635" s="617"/>
      <c r="L635" s="644"/>
      <c r="M635" s="160"/>
      <c r="N635" s="617"/>
      <c r="O635" s="644"/>
      <c r="P635" s="160"/>
    </row>
    <row r="636" customFormat="false" ht="18.75" hidden="false" customHeight="true" outlineLevel="0" collapsed="false">
      <c r="A636" s="217"/>
      <c r="B636" s="620"/>
      <c r="C636" s="418"/>
      <c r="D636" s="621"/>
      <c r="E636" s="465"/>
      <c r="F636" s="418"/>
      <c r="G636" s="391"/>
      <c r="H636" s="431"/>
      <c r="I636" s="465"/>
      <c r="J636" s="160"/>
      <c r="K636" s="621"/>
      <c r="L636" s="465"/>
      <c r="M636" s="160"/>
      <c r="N636" s="621"/>
      <c r="O636" s="465"/>
      <c r="P636" s="160"/>
    </row>
    <row r="637" customFormat="false" ht="18.75" hidden="false" customHeight="true" outlineLevel="0" collapsed="false">
      <c r="A637" s="630"/>
      <c r="B637" s="647"/>
      <c r="C637" s="278"/>
      <c r="D637" s="648"/>
      <c r="E637" s="649"/>
      <c r="F637" s="633"/>
      <c r="G637" s="646"/>
      <c r="H637" s="647"/>
      <c r="I637" s="648"/>
      <c r="J637" s="648" t="n">
        <f aca="false">SUM(H637:I637)</f>
        <v>0</v>
      </c>
      <c r="K637" s="647"/>
      <c r="L637" s="648"/>
      <c r="M637" s="722" t="n">
        <f aca="false">SUM(K637:L637)</f>
        <v>0</v>
      </c>
      <c r="N637" s="647"/>
      <c r="O637" s="648"/>
      <c r="P637" s="722" t="n">
        <f aca="false">SUM(N637:O637)</f>
        <v>0</v>
      </c>
    </row>
    <row r="638" customFormat="false" ht="18.75" hidden="false" customHeight="true" outlineLevel="0" collapsed="false">
      <c r="A638" s="196" t="str">
        <f aca="false">'☆掛負収入'!A638</f>
        <v>小　計</v>
      </c>
      <c r="B638" s="429" t="n">
        <f aca="false">SUM(B608:B637)</f>
        <v>5336539</v>
      </c>
      <c r="C638" s="200" t="n">
        <f aca="false">SUM(C608:C637)</f>
        <v>437407</v>
      </c>
      <c r="D638" s="429" t="n">
        <f aca="false">SUM(D608:D637)</f>
        <v>17236071</v>
      </c>
      <c r="E638" s="301" t="n">
        <f aca="false">SUM(E608:E637)</f>
        <v>1412778</v>
      </c>
      <c r="F638" s="200" t="n">
        <f aca="false">SUM(F608:F637)</f>
        <v>17999</v>
      </c>
      <c r="G638" s="201" t="n">
        <f aca="false">SUM(B638:F638)</f>
        <v>24440794</v>
      </c>
      <c r="H638" s="429" t="n">
        <f aca="false">SUM(H608:H637)</f>
        <v>3231919</v>
      </c>
      <c r="I638" s="199" t="n">
        <f aca="false">SUM(I608:I637)</f>
        <v>10443502</v>
      </c>
      <c r="J638" s="200" t="n">
        <f aca="false">SUM(H638:I638)</f>
        <v>13675421</v>
      </c>
      <c r="K638" s="429" t="n">
        <f aca="false">SUM(K608:K637)</f>
        <v>304625</v>
      </c>
      <c r="L638" s="199" t="n">
        <f aca="false">SUM(L608:L637)</f>
        <v>1158207</v>
      </c>
      <c r="M638" s="198" t="n">
        <f aca="false">SUM(K638:L638)</f>
        <v>1462832</v>
      </c>
      <c r="N638" s="429" t="n">
        <f aca="false">SUM(N608:N637)</f>
        <v>9</v>
      </c>
      <c r="O638" s="199" t="n">
        <f aca="false">SUM(O608:O637)</f>
        <v>20</v>
      </c>
      <c r="P638" s="198" t="n">
        <f aca="false">SUM(N638:O638)</f>
        <v>29</v>
      </c>
    </row>
    <row r="639" customFormat="false" ht="18.75" hidden="true" customHeight="true" outlineLevel="0" collapsed="false">
      <c r="A639" s="629"/>
      <c r="B639" s="647"/>
      <c r="C639" s="278"/>
      <c r="D639" s="648"/>
      <c r="E639" s="649"/>
      <c r="F639" s="650"/>
      <c r="G639" s="651"/>
      <c r="H639" s="652"/>
      <c r="I639" s="653"/>
      <c r="J639" s="654"/>
      <c r="K639" s="655"/>
      <c r="L639" s="656"/>
      <c r="M639" s="657"/>
      <c r="N639" s="655"/>
      <c r="O639" s="656"/>
      <c r="P639" s="657"/>
    </row>
    <row r="640" customFormat="false" ht="18.75" hidden="true" customHeight="true" outlineLevel="0" collapsed="false">
      <c r="A640" s="658"/>
      <c r="B640" s="631"/>
      <c r="C640" s="633"/>
      <c r="D640" s="648"/>
      <c r="E640" s="649"/>
      <c r="F640" s="278"/>
      <c r="G640" s="646"/>
      <c r="H640" s="659"/>
      <c r="I640" s="660"/>
      <c r="J640" s="408"/>
      <c r="K640" s="661"/>
      <c r="L640" s="662"/>
      <c r="M640" s="663"/>
      <c r="N640" s="661"/>
      <c r="O640" s="662"/>
      <c r="P640" s="663"/>
    </row>
    <row r="641" customFormat="false" ht="18.75" hidden="false" customHeight="true" outlineLevel="0" collapsed="false">
      <c r="A641" s="214" t="str">
        <f aca="false">'☆掛負収入'!A641</f>
        <v>高速交通（株）</v>
      </c>
      <c r="B641" s="489" t="n">
        <f aca="false">'☆掛負収入'!B641</f>
        <v>293806</v>
      </c>
      <c r="C641" s="491" t="n">
        <f aca="false">'☆掛負収入'!C641</f>
        <v>24082</v>
      </c>
      <c r="D641" s="477" t="n">
        <f aca="false">'☆掛負収入'!D641</f>
        <v>293807</v>
      </c>
      <c r="E641" s="487" t="n">
        <f aca="false">'☆掛負収入'!E641</f>
        <v>24082</v>
      </c>
      <c r="F641" s="479" t="n">
        <f aca="false">'☆掛負収入'!F641</f>
        <v>301</v>
      </c>
      <c r="G641" s="391" t="n">
        <f aca="false">SUM(B641:F641)</f>
        <v>636078</v>
      </c>
      <c r="H641" s="665"/>
      <c r="I641" s="665"/>
      <c r="J641" s="665"/>
      <c r="K641" s="665"/>
      <c r="L641" s="665"/>
      <c r="M641" s="665"/>
      <c r="N641" s="665"/>
      <c r="O641" s="665"/>
      <c r="P641" s="665"/>
    </row>
    <row r="642" customFormat="false" ht="18.75" hidden="false" customHeight="true" outlineLevel="0" collapsed="false">
      <c r="A642" s="666" t="s">
        <v>209</v>
      </c>
      <c r="B642" s="489" t="n">
        <f aca="false">'☆掛負収入'!B642</f>
        <v>119773</v>
      </c>
      <c r="C642" s="491" t="n">
        <f aca="false">'☆掛負収入'!C642</f>
        <v>9817</v>
      </c>
      <c r="D642" s="477" t="n">
        <f aca="false">'☆掛負収入'!D642</f>
        <v>119774</v>
      </c>
      <c r="E642" s="487" t="n">
        <f aca="false">'☆掛負収入'!E642</f>
        <v>9817</v>
      </c>
      <c r="F642" s="479" t="n">
        <f aca="false">'☆掛負収入'!F642</f>
        <v>122</v>
      </c>
      <c r="G642" s="391" t="n">
        <f aca="false">SUM(B642:F642)</f>
        <v>259303</v>
      </c>
      <c r="H642" s="665"/>
      <c r="I642" s="665"/>
      <c r="J642" s="665"/>
      <c r="K642" s="665"/>
      <c r="L642" s="665"/>
      <c r="M642" s="665"/>
      <c r="N642" s="665"/>
      <c r="O642" s="665"/>
      <c r="P642" s="665"/>
    </row>
    <row r="643" customFormat="false" ht="18.75" hidden="false" customHeight="true" outlineLevel="0" collapsed="false">
      <c r="A643" s="196" t="str">
        <f aca="false">'☆掛負収入'!A643</f>
        <v>小　計</v>
      </c>
      <c r="B643" s="197" t="n">
        <f aca="false">SUM(B641:B642)</f>
        <v>413579</v>
      </c>
      <c r="C643" s="200" t="n">
        <f aca="false">SUM(C639:C642)</f>
        <v>33899</v>
      </c>
      <c r="D643" s="681" t="n">
        <f aca="false">SUM(D639:D642)</f>
        <v>413581</v>
      </c>
      <c r="E643" s="199" t="n">
        <f aca="false">SUM(E639:E642)</f>
        <v>33899</v>
      </c>
      <c r="F643" s="201" t="n">
        <f aca="false">SUM(F639:F642)</f>
        <v>423</v>
      </c>
      <c r="G643" s="200" t="n">
        <f aca="false">SUM(B643:F643)</f>
        <v>895381</v>
      </c>
      <c r="H643" s="665"/>
      <c r="I643" s="665"/>
      <c r="J643" s="665"/>
      <c r="K643" s="665"/>
      <c r="L643" s="665"/>
      <c r="M643" s="665"/>
      <c r="N643" s="665"/>
      <c r="O643" s="665"/>
      <c r="P643" s="665"/>
    </row>
    <row r="644" customFormat="false" ht="18.75" hidden="false" customHeight="true" outlineLevel="0" collapsed="false">
      <c r="A644" s="125" t="str">
        <f aca="false">'☆掛負収入'!A644</f>
        <v>市職員労働組合</v>
      </c>
      <c r="B644" s="474" t="n">
        <f aca="false">'☆掛負収入'!B644</f>
        <v>27907</v>
      </c>
      <c r="C644" s="248" t="n">
        <f aca="false">'☆掛負収入'!C644</f>
        <v>2287</v>
      </c>
      <c r="D644" s="470" t="n">
        <f aca="false">'☆掛負収入'!D644</f>
        <v>27908</v>
      </c>
      <c r="E644" s="488" t="n">
        <f aca="false">'☆掛負収入'!E644</f>
        <v>2287</v>
      </c>
      <c r="F644" s="221"/>
      <c r="G644" s="206" t="n">
        <f aca="false">SUM(B644:F644)</f>
        <v>60389</v>
      </c>
      <c r="H644" s="619" t="n">
        <f aca="false">'☆掛負収入'!H644</f>
        <v>16778</v>
      </c>
      <c r="I644" s="449" t="n">
        <f aca="false">'☆掛負収入'!I644</f>
        <v>16808</v>
      </c>
      <c r="J644" s="160" t="n">
        <f aca="false">SUM(H644:I644)</f>
        <v>33586</v>
      </c>
      <c r="K644" s="476" t="n">
        <f aca="false">'☆掛負収入'!K644</f>
        <v>2409</v>
      </c>
      <c r="L644" s="487" t="n">
        <f aca="false">'☆掛負収入'!L644</f>
        <v>2409</v>
      </c>
      <c r="M644" s="471" t="n">
        <f aca="false">SUM(K644:L644)</f>
        <v>4818</v>
      </c>
      <c r="N644" s="476" t="n">
        <f aca="false">'☆掛負収入'!N644</f>
        <v>1</v>
      </c>
      <c r="O644" s="487" t="n">
        <f aca="false">'☆掛負収入'!O644</f>
        <v>1</v>
      </c>
      <c r="P644" s="471" t="n">
        <f aca="false">SUM(N644:O644)</f>
        <v>2</v>
      </c>
    </row>
    <row r="645" customFormat="false" ht="18.75" hidden="false" customHeight="true" outlineLevel="0" collapsed="false">
      <c r="A645" s="125" t="str">
        <f aca="false">'☆掛負収入'!A645</f>
        <v>自治労労働組合</v>
      </c>
      <c r="B645" s="474" t="n">
        <f aca="false">'☆掛負収入'!B645</f>
        <v>0</v>
      </c>
      <c r="C645" s="402" t="n">
        <f aca="false">'☆掛負収入'!C645</f>
        <v>0</v>
      </c>
      <c r="D645" s="474" t="n">
        <f aca="false">'☆掛負収入'!D645</f>
        <v>0</v>
      </c>
      <c r="E645" s="488" t="n">
        <f aca="false">'☆掛負収入'!E645</f>
        <v>0</v>
      </c>
      <c r="F645" s="221"/>
      <c r="G645" s="206" t="n">
        <f aca="false">SUM(B645:F645)</f>
        <v>0</v>
      </c>
      <c r="H645" s="619" t="n">
        <f aca="false">'☆掛負収入'!H645</f>
        <v>0</v>
      </c>
      <c r="I645" s="449" t="n">
        <f aca="false">'☆掛負収入'!I645</f>
        <v>0</v>
      </c>
      <c r="J645" s="160" t="n">
        <f aca="false">SUM(H645:I645)</f>
        <v>0</v>
      </c>
      <c r="K645" s="619" t="n">
        <f aca="false">'☆掛負収入'!K645</f>
        <v>0</v>
      </c>
      <c r="L645" s="449" t="n">
        <f aca="false">'☆掛負収入'!L645</f>
        <v>0</v>
      </c>
      <c r="M645" s="160" t="n">
        <f aca="false">SUM(K645:L645)</f>
        <v>0</v>
      </c>
      <c r="N645" s="619" t="n">
        <f aca="false">'☆掛負収入'!N645</f>
        <v>0</v>
      </c>
      <c r="O645" s="449" t="n">
        <f aca="false">'☆掛負収入'!O645</f>
        <v>0</v>
      </c>
      <c r="P645" s="160" t="n">
        <f aca="false">SUM(N645:O645)</f>
        <v>0</v>
      </c>
    </row>
    <row r="646" customFormat="false" ht="18.75" hidden="false" customHeight="true" outlineLevel="0" collapsed="false">
      <c r="A646" s="125" t="str">
        <f aca="false">'☆掛負収入'!A646</f>
        <v>病院労働組合</v>
      </c>
      <c r="B646" s="474" t="n">
        <f aca="false">'☆掛負収入'!B646</f>
        <v>43005</v>
      </c>
      <c r="C646" s="402" t="n">
        <f aca="false">'☆掛負収入'!C646</f>
        <v>3525</v>
      </c>
      <c r="D646" s="474" t="n">
        <f aca="false">'☆掛負収入'!D646</f>
        <v>43005</v>
      </c>
      <c r="E646" s="488" t="n">
        <f aca="false">'☆掛負収入'!E646</f>
        <v>3525</v>
      </c>
      <c r="F646" s="221"/>
      <c r="G646" s="206" t="n">
        <f aca="false">SUM(B646:F646)</f>
        <v>93060</v>
      </c>
      <c r="H646" s="619" t="n">
        <f aca="false">'☆掛負収入'!H646</f>
        <v>39936</v>
      </c>
      <c r="I646" s="449" t="n">
        <f aca="false">'☆掛負収入'!I646</f>
        <v>40009</v>
      </c>
      <c r="J646" s="160" t="n">
        <f aca="false">SUM(H646:I646)</f>
        <v>79945</v>
      </c>
      <c r="K646" s="619" t="n">
        <f aca="false">'☆掛負収入'!K646</f>
        <v>2022</v>
      </c>
      <c r="L646" s="449" t="n">
        <f aca="false">'☆掛負収入'!L646</f>
        <v>2022</v>
      </c>
      <c r="M646" s="160" t="n">
        <f aca="false">SUM(K646:L646)</f>
        <v>4044</v>
      </c>
      <c r="N646" s="619" t="n">
        <f aca="false">'☆掛負収入'!N646</f>
        <v>1</v>
      </c>
      <c r="O646" s="449" t="n">
        <f aca="false">'☆掛負収入'!O646</f>
        <v>1</v>
      </c>
      <c r="P646" s="160" t="n">
        <f aca="false">SUM(N646:O646)</f>
        <v>2</v>
      </c>
    </row>
    <row r="647" customFormat="false" ht="18.75" hidden="false" customHeight="true" outlineLevel="0" collapsed="false">
      <c r="A647" s="302" t="str">
        <f aca="false">'☆掛負収入'!A647</f>
        <v>水道労働組合</v>
      </c>
      <c r="B647" s="673"/>
      <c r="C647" s="444"/>
      <c r="D647" s="673"/>
      <c r="E647" s="623"/>
      <c r="F647" s="296"/>
      <c r="G647" s="206" t="n">
        <f aca="false">SUM(B647:F647)</f>
        <v>0</v>
      </c>
      <c r="H647" s="674"/>
      <c r="I647" s="675"/>
      <c r="J647" s="160" t="n">
        <f aca="false">SUM(H647:I647)</f>
        <v>0</v>
      </c>
      <c r="K647" s="676"/>
      <c r="L647" s="677"/>
      <c r="M647" s="160" t="n">
        <f aca="false">SUM(K647:L647)</f>
        <v>0</v>
      </c>
      <c r="N647" s="676"/>
      <c r="O647" s="677"/>
      <c r="P647" s="160" t="n">
        <f aca="false">SUM(N647:O647)</f>
        <v>0</v>
      </c>
    </row>
    <row r="648" customFormat="false" ht="18.75" hidden="false" customHeight="true" outlineLevel="0" collapsed="false">
      <c r="A648" s="196" t="str">
        <f aca="false">'☆掛負収入'!A648</f>
        <v>小　計</v>
      </c>
      <c r="B648" s="429" t="n">
        <f aca="false">SUM(B644:B647)</f>
        <v>70912</v>
      </c>
      <c r="C648" s="200" t="n">
        <f aca="false">SUM(C644:C647)</f>
        <v>5812</v>
      </c>
      <c r="D648" s="429" t="n">
        <f aca="false">SUM(D644:D647)</f>
        <v>70913</v>
      </c>
      <c r="E648" s="199" t="n">
        <f aca="false">SUM(E644:E647)</f>
        <v>5812</v>
      </c>
      <c r="F648" s="198" t="n">
        <f aca="false">SUM(F644:F647)</f>
        <v>0</v>
      </c>
      <c r="G648" s="197" t="n">
        <f aca="false">SUM(B648:F648)</f>
        <v>153449</v>
      </c>
      <c r="H648" s="429" t="n">
        <f aca="false">SUM(H644:H647)</f>
        <v>56714</v>
      </c>
      <c r="I648" s="199" t="n">
        <f aca="false">SUM(I644:I647)</f>
        <v>56817</v>
      </c>
      <c r="J648" s="200" t="n">
        <f aca="false">SUM(H648:I648)</f>
        <v>113531</v>
      </c>
      <c r="K648" s="197" t="n">
        <f aca="false">SUM(K644:K647)</f>
        <v>4431</v>
      </c>
      <c r="L648" s="198" t="n">
        <f aca="false">SUM(L644:L647)</f>
        <v>4431</v>
      </c>
      <c r="M648" s="200" t="n">
        <f aca="false">SUM(K648:L648)</f>
        <v>8862</v>
      </c>
      <c r="N648" s="197" t="n">
        <f aca="false">SUM(N644:N647)</f>
        <v>2</v>
      </c>
      <c r="O648" s="198" t="n">
        <f aca="false">SUM(O644:O647)</f>
        <v>2</v>
      </c>
      <c r="P648" s="200" t="n">
        <f aca="false">SUM(N648:O648)</f>
        <v>4</v>
      </c>
    </row>
    <row r="649" customFormat="false" ht="18.75" hidden="false" customHeight="true" outlineLevel="0" collapsed="false">
      <c r="A649" s="302" t="str">
        <f aca="false">'☆掛負収入'!A649</f>
        <v>任意継続組合員</v>
      </c>
      <c r="B649" s="281"/>
      <c r="C649" s="523"/>
      <c r="D649" s="524"/>
      <c r="E649" s="525"/>
      <c r="F649" s="296"/>
      <c r="G649" s="293"/>
      <c r="H649" s="678"/>
      <c r="I649" s="282"/>
      <c r="J649" s="283"/>
      <c r="K649" s="524"/>
      <c r="L649" s="679"/>
      <c r="M649" s="292"/>
      <c r="N649" s="524"/>
      <c r="O649" s="679"/>
      <c r="P649" s="292"/>
    </row>
    <row r="650" customFormat="false" ht="30" hidden="false" customHeight="true" outlineLevel="0" collapsed="false">
      <c r="A650" s="680" t="str">
        <f aca="false">'☆掛負収入'!A650</f>
        <v>総　　計</v>
      </c>
      <c r="B650" s="429" t="n">
        <f aca="false">SUM(B607+B638+B643+B648)</f>
        <v>5821030</v>
      </c>
      <c r="C650" s="200" t="n">
        <f aca="false">SUM(C607+C638+C643+C648)</f>
        <v>477118</v>
      </c>
      <c r="D650" s="681" t="n">
        <f aca="false">SUM(D607+D638+D643+D648)</f>
        <v>17720565</v>
      </c>
      <c r="E650" s="199" t="n">
        <f aca="false">SUM(E607+E638+E643+E648)</f>
        <v>1452489</v>
      </c>
      <c r="F650" s="201" t="n">
        <f aca="false">SUM(F607+F638+F643+F648)</f>
        <v>18422</v>
      </c>
      <c r="G650" s="197" t="n">
        <f aca="false">SUM(B650:F650)</f>
        <v>25489624</v>
      </c>
      <c r="H650" s="429" t="n">
        <f aca="false">SUM(H607+H638+H643+H648+H649)</f>
        <v>3288633</v>
      </c>
      <c r="I650" s="199" t="n">
        <f aca="false">SUM(I607+I638+I643+I648+I649)</f>
        <v>10500319</v>
      </c>
      <c r="J650" s="200" t="n">
        <f aca="false">SUM(H650:I650)</f>
        <v>13788952</v>
      </c>
      <c r="K650" s="197" t="n">
        <f aca="false">K607+K638+K643+K648+K649</f>
        <v>309056</v>
      </c>
      <c r="L650" s="198" t="n">
        <f aca="false">L607+L638+L643+L648</f>
        <v>1162638</v>
      </c>
      <c r="M650" s="200" t="n">
        <f aca="false">SUM(K650:L650)</f>
        <v>1471694</v>
      </c>
      <c r="N650" s="197" t="n">
        <f aca="false">N607+N638+N643+N648+N649</f>
        <v>11</v>
      </c>
      <c r="O650" s="198" t="n">
        <f aca="false">O607+O638+O643+O648</f>
        <v>22</v>
      </c>
      <c r="P650" s="200" t="n">
        <f aca="false">SUM(N650:O650)</f>
        <v>33</v>
      </c>
    </row>
    <row r="651" customFormat="false" ht="18.75" hidden="false" customHeight="true" outlineLevel="0" collapsed="false">
      <c r="A651" s="340"/>
      <c r="B651" s="341"/>
      <c r="C651" s="341"/>
      <c r="D651" s="341"/>
      <c r="E651" s="341"/>
      <c r="F651" s="341"/>
      <c r="G651" s="341"/>
      <c r="H651" s="341"/>
      <c r="I651" s="341"/>
      <c r="J651" s="341"/>
      <c r="K651" s="341"/>
      <c r="L651" s="341"/>
      <c r="M651" s="341"/>
      <c r="N651" s="341"/>
      <c r="O651" s="341"/>
      <c r="P651" s="341"/>
    </row>
    <row r="652" customFormat="false" ht="30" hidden="false" customHeight="true" outlineLevel="0" collapsed="false">
      <c r="A652" s="320"/>
      <c r="B652" s="416" t="n">
        <f aca="false">'☆掛負収入'!B652</f>
        <v>46387</v>
      </c>
      <c r="C652" s="416" t="n">
        <f aca="false">'☆掛負収入'!C652</f>
        <v>0</v>
      </c>
      <c r="D652" s="416" t="n">
        <f aca="false">'☆掛負収入'!D652</f>
        <v>0</v>
      </c>
      <c r="E652" s="416" t="n">
        <f aca="false">'☆掛負収入'!E652</f>
        <v>0</v>
      </c>
      <c r="F652" s="416" t="n">
        <f aca="false">'☆掛負収入'!F652</f>
        <v>0</v>
      </c>
      <c r="G652" s="416" t="n">
        <f aca="false">'☆掛負収入'!G652</f>
        <v>0</v>
      </c>
      <c r="H652" s="416" t="n">
        <f aca="false">'☆掛負収入'!H652</f>
        <v>46387</v>
      </c>
      <c r="I652" s="416" t="n">
        <f aca="false">'☆掛負収入'!I652</f>
        <v>0</v>
      </c>
      <c r="J652" s="416" t="n">
        <f aca="false">'☆掛負収入'!J652</f>
        <v>0</v>
      </c>
      <c r="K652" s="416" t="n">
        <f aca="false">'☆掛負収入'!K652</f>
        <v>46387</v>
      </c>
      <c r="L652" s="416" t="n">
        <f aca="false">'☆掛負収入'!L652</f>
        <v>0</v>
      </c>
      <c r="M652" s="416" t="n">
        <f aca="false">'☆掛負収入'!M652</f>
        <v>0</v>
      </c>
      <c r="N652" s="416" t="n">
        <f aca="false">'☆掛負収入'!N652</f>
        <v>46387</v>
      </c>
      <c r="O652" s="416" t="n">
        <f aca="false">'☆掛負収入'!O652</f>
        <v>0</v>
      </c>
      <c r="P652" s="416" t="n">
        <f aca="false">'☆掛負収入'!P652</f>
        <v>0</v>
      </c>
    </row>
    <row r="653" customFormat="false" ht="22.5" hidden="false" customHeight="true" outlineLevel="0" collapsed="false">
      <c r="A653" s="114" t="str">
        <f aca="false">'☆掛負収入'!A653</f>
        <v>区　　分</v>
      </c>
      <c r="B653" s="114" t="str">
        <f aca="false">'☆掛負収入'!B653</f>
        <v>長　期　経　理</v>
      </c>
      <c r="C653" s="114" t="n">
        <f aca="false">'☆掛負収入'!C653</f>
        <v>0</v>
      </c>
      <c r="D653" s="114" t="n">
        <f aca="false">'☆掛負収入'!D653</f>
        <v>0</v>
      </c>
      <c r="E653" s="114" t="n">
        <f aca="false">'☆掛負収入'!E653</f>
        <v>0</v>
      </c>
      <c r="F653" s="114" t="n">
        <f aca="false">'☆掛負収入'!F653</f>
        <v>0</v>
      </c>
      <c r="G653" s="114" t="n">
        <f aca="false">'☆掛負収入'!G653</f>
        <v>0</v>
      </c>
      <c r="H653" s="116" t="str">
        <f aca="false">'☆掛負収入'!H653</f>
        <v>短　期　経　理</v>
      </c>
      <c r="I653" s="116" t="n">
        <f aca="false">'☆掛負収入'!I653</f>
        <v>0</v>
      </c>
      <c r="J653" s="116" t="n">
        <f aca="false">'☆掛負収入'!J653</f>
        <v>0</v>
      </c>
      <c r="K653" s="116" t="str">
        <f aca="false">'☆掛負収入'!K653</f>
        <v>介　護　納　付　金</v>
      </c>
      <c r="L653" s="116" t="n">
        <f aca="false">'☆掛負収入'!L653</f>
        <v>0</v>
      </c>
      <c r="M653" s="116" t="n">
        <f aca="false">'☆掛負収入'!M653</f>
        <v>0</v>
      </c>
      <c r="N653" s="116" t="str">
        <f aca="false">'☆掛負収入'!N653</f>
        <v>子ども・子育て支援納付金</v>
      </c>
      <c r="O653" s="116" t="n">
        <f aca="false">'☆掛負収入'!O653</f>
        <v>0</v>
      </c>
      <c r="P653" s="116" t="n">
        <f aca="false">'☆掛負収入'!P653</f>
        <v>0</v>
      </c>
    </row>
    <row r="654" customFormat="false" ht="22.5" hidden="false" customHeight="true" outlineLevel="0" collapsed="false">
      <c r="A654" s="114" t="n">
        <f aca="false">'☆掛負収入'!A654</f>
        <v>0</v>
      </c>
      <c r="B654" s="117" t="str">
        <f aca="false">'☆掛負収入'!B654</f>
        <v>組合員負担分</v>
      </c>
      <c r="C654" s="117" t="n">
        <f aca="false">'☆掛負収入'!C654</f>
        <v>0</v>
      </c>
      <c r="D654" s="117" t="str">
        <f aca="false">'☆掛負収入'!D654</f>
        <v>事業主負担分</v>
      </c>
      <c r="E654" s="117" t="n">
        <f aca="false">'☆掛負収入'!E654</f>
        <v>0</v>
      </c>
      <c r="F654" s="117" t="n">
        <f aca="false">'☆掛負収入'!F654</f>
        <v>0</v>
      </c>
      <c r="G654" s="611" t="str">
        <f aca="false">'☆掛負収入'!G654</f>
        <v>計</v>
      </c>
      <c r="H654" s="121" t="str">
        <f aca="false">'☆掛負収入'!H654</f>
        <v>掛　金</v>
      </c>
      <c r="I654" s="119" t="str">
        <f aca="false">'☆掛負収入'!I654</f>
        <v>負担金</v>
      </c>
      <c r="J654" s="120" t="str">
        <f aca="false">'☆掛負収入'!J654</f>
        <v>計</v>
      </c>
      <c r="K654" s="121" t="str">
        <f aca="false">'☆掛負収入'!K654</f>
        <v>掛　金</v>
      </c>
      <c r="L654" s="119" t="str">
        <f aca="false">'☆掛負収入'!L654</f>
        <v>負担金</v>
      </c>
      <c r="M654" s="120" t="str">
        <f aca="false">'☆掛負収入'!M654</f>
        <v>計</v>
      </c>
      <c r="N654" s="121" t="str">
        <f aca="false">'☆掛負収入'!N654</f>
        <v>掛　金</v>
      </c>
      <c r="O654" s="119" t="str">
        <f aca="false">'☆掛負収入'!O654</f>
        <v>負担金</v>
      </c>
      <c r="P654" s="120" t="str">
        <f aca="false">'☆掛負収入'!P654</f>
        <v>計</v>
      </c>
    </row>
    <row r="655" customFormat="false" ht="22.5" hidden="false" customHeight="true" outlineLevel="0" collapsed="false">
      <c r="A655" s="114" t="n">
        <f aca="false">'☆掛負収入'!A655</f>
        <v>0</v>
      </c>
      <c r="B655" s="612" t="str">
        <f aca="false">'☆掛負収入'!B655</f>
        <v>厚生年金保険料</v>
      </c>
      <c r="C655" s="613" t="str">
        <f aca="false">'☆掛負収入'!C655</f>
        <v>退職等年金掛金</v>
      </c>
      <c r="D655" s="614" t="str">
        <f aca="false">'☆掛負収入'!D655</f>
        <v>厚生年金保険料</v>
      </c>
      <c r="E655" s="614" t="str">
        <f aca="false">'☆掛負収入'!E655</f>
        <v>退職等年金負担金</v>
      </c>
      <c r="F655" s="615" t="str">
        <f aca="false">'☆掛負収入'!F655</f>
        <v>経過的長期</v>
      </c>
      <c r="G655" s="611" t="n">
        <f aca="false">'☆掛負収入'!G655</f>
        <v>0</v>
      </c>
      <c r="H655" s="121" t="n">
        <f aca="false">'☆掛負収入'!H655</f>
        <v>0</v>
      </c>
      <c r="I655" s="119" t="n">
        <f aca="false">'☆掛負収入'!I655</f>
        <v>0</v>
      </c>
      <c r="J655" s="120" t="n">
        <f aca="false">'☆掛負収入'!J655</f>
        <v>0</v>
      </c>
      <c r="K655" s="121" t="n">
        <f aca="false">'☆掛負収入'!K655</f>
        <v>0</v>
      </c>
      <c r="L655" s="119" t="n">
        <f aca="false">'☆掛負収入'!L655</f>
        <v>0</v>
      </c>
      <c r="M655" s="120" t="n">
        <f aca="false">'☆掛負収入'!M655</f>
        <v>0</v>
      </c>
      <c r="N655" s="121" t="n">
        <f aca="false">'☆掛負収入'!N655</f>
        <v>0</v>
      </c>
      <c r="O655" s="119" t="n">
        <f aca="false">'☆掛負収入'!O655</f>
        <v>0</v>
      </c>
      <c r="P655" s="120" t="n">
        <f aca="false">'☆掛負収入'!P655</f>
        <v>0</v>
      </c>
    </row>
    <row r="656" customFormat="false" ht="18.75" hidden="false" customHeight="true" outlineLevel="0" collapsed="false">
      <c r="A656" s="125" t="str">
        <f aca="false">'☆掛負収入'!A656</f>
        <v>市長部局</v>
      </c>
      <c r="B656" s="616"/>
      <c r="C656" s="389"/>
      <c r="D656" s="617"/>
      <c r="E656" s="617"/>
      <c r="F656" s="209"/>
      <c r="G656" s="389"/>
      <c r="H656" s="616"/>
      <c r="I656" s="618"/>
      <c r="J656" s="206"/>
      <c r="K656" s="619"/>
      <c r="L656" s="618"/>
      <c r="M656" s="206"/>
      <c r="N656" s="619"/>
      <c r="O656" s="618"/>
      <c r="P656" s="206"/>
    </row>
    <row r="657" customFormat="false" ht="18.75" hidden="false" customHeight="true" outlineLevel="0" collapsed="false">
      <c r="A657" s="125" t="str">
        <f aca="false">'☆掛負収入'!A657</f>
        <v>下水道局</v>
      </c>
      <c r="B657" s="431"/>
      <c r="C657" s="206"/>
      <c r="D657" s="617"/>
      <c r="E657" s="617"/>
      <c r="F657" s="160"/>
      <c r="G657" s="206"/>
      <c r="H657" s="619"/>
      <c r="I657" s="449"/>
      <c r="J657" s="160"/>
      <c r="K657" s="620"/>
      <c r="L657" s="621"/>
      <c r="M657" s="160"/>
      <c r="N657" s="620"/>
      <c r="O657" s="621"/>
      <c r="P657" s="160"/>
    </row>
    <row r="658" customFormat="false" ht="18.75" hidden="false" customHeight="true" outlineLevel="0" collapsed="false">
      <c r="A658" s="125" t="str">
        <f aca="false">'☆掛負収入'!A658</f>
        <v>消防局</v>
      </c>
      <c r="B658" s="431"/>
      <c r="C658" s="206"/>
      <c r="D658" s="617"/>
      <c r="E658" s="617"/>
      <c r="F658" s="160"/>
      <c r="G658" s="206"/>
      <c r="H658" s="620"/>
      <c r="I658" s="464"/>
      <c r="J658" s="160"/>
      <c r="K658" s="620"/>
      <c r="L658" s="464"/>
      <c r="M658" s="160"/>
      <c r="N658" s="620"/>
      <c r="O658" s="464"/>
      <c r="P658" s="160"/>
    </row>
    <row r="659" customFormat="false" ht="18.75" hidden="false" customHeight="true" outlineLevel="0" collapsed="false">
      <c r="A659" s="125" t="str">
        <f aca="false">'☆掛負収入'!A659</f>
        <v>議会事務局</v>
      </c>
      <c r="B659" s="431"/>
      <c r="C659" s="206"/>
      <c r="D659" s="617"/>
      <c r="E659" s="617"/>
      <c r="F659" s="160"/>
      <c r="G659" s="206"/>
      <c r="H659" s="431"/>
      <c r="I659" s="464"/>
      <c r="J659" s="160"/>
      <c r="K659" s="431"/>
      <c r="L659" s="464"/>
      <c r="M659" s="160"/>
      <c r="N659" s="431"/>
      <c r="O659" s="464"/>
      <c r="P659" s="160"/>
    </row>
    <row r="660" customFormat="false" ht="18.75" hidden="false" customHeight="true" outlineLevel="0" collapsed="false">
      <c r="A660" s="125" t="str">
        <f aca="false">'☆掛負収入'!A660</f>
        <v>教育委員会（総務課）</v>
      </c>
      <c r="B660" s="431"/>
      <c r="C660" s="206"/>
      <c r="D660" s="617"/>
      <c r="E660" s="617"/>
      <c r="F660" s="160"/>
      <c r="G660" s="206"/>
      <c r="H660" s="431"/>
      <c r="I660" s="464"/>
      <c r="J660" s="160"/>
      <c r="K660" s="431"/>
      <c r="L660" s="464"/>
      <c r="M660" s="160"/>
      <c r="N660" s="431"/>
      <c r="O660" s="464"/>
      <c r="P660" s="160"/>
    </row>
    <row r="661" customFormat="false" ht="18.75" hidden="false" customHeight="true" outlineLevel="0" collapsed="false">
      <c r="A661" s="125" t="str">
        <f aca="false">'☆掛負収入'!A661</f>
        <v>選挙管理委員会</v>
      </c>
      <c r="B661" s="431"/>
      <c r="C661" s="206"/>
      <c r="D661" s="617"/>
      <c r="E661" s="617"/>
      <c r="F661" s="160"/>
      <c r="G661" s="206"/>
      <c r="H661" s="619"/>
      <c r="I661" s="449"/>
      <c r="J661" s="160"/>
      <c r="K661" s="431"/>
      <c r="L661" s="464"/>
      <c r="M661" s="160"/>
      <c r="N661" s="431"/>
      <c r="O661" s="464"/>
      <c r="P661" s="160"/>
    </row>
    <row r="662" customFormat="false" ht="18.75" hidden="false" customHeight="true" outlineLevel="0" collapsed="false">
      <c r="A662" s="125" t="str">
        <f aca="false">'☆掛負収入'!A662</f>
        <v>人事委員会</v>
      </c>
      <c r="B662" s="431"/>
      <c r="C662" s="206"/>
      <c r="D662" s="617"/>
      <c r="E662" s="617"/>
      <c r="F662" s="160"/>
      <c r="G662" s="206"/>
      <c r="H662" s="619"/>
      <c r="I662" s="449"/>
      <c r="J662" s="160"/>
      <c r="K662" s="619"/>
      <c r="L662" s="449"/>
      <c r="M662" s="160"/>
      <c r="N662" s="619"/>
      <c r="O662" s="449"/>
      <c r="P662" s="160"/>
    </row>
    <row r="663" customFormat="false" ht="18.75" hidden="false" customHeight="true" outlineLevel="0" collapsed="false">
      <c r="A663" s="125" t="str">
        <f aca="false">'☆掛負収入'!A663</f>
        <v>監査事務局</v>
      </c>
      <c r="B663" s="431"/>
      <c r="C663" s="206"/>
      <c r="D663" s="617"/>
      <c r="E663" s="617"/>
      <c r="F663" s="160"/>
      <c r="G663" s="206"/>
      <c r="H663" s="619"/>
      <c r="I663" s="449"/>
      <c r="J663" s="160"/>
      <c r="K663" s="619"/>
      <c r="L663" s="449"/>
      <c r="M663" s="160"/>
      <c r="N663" s="619"/>
      <c r="O663" s="449"/>
      <c r="P663" s="160"/>
    </row>
    <row r="664" customFormat="false" ht="18.75" hidden="false" customHeight="true" outlineLevel="0" collapsed="false">
      <c r="A664" s="125" t="str">
        <f aca="false">'☆掛負収入'!A664</f>
        <v>農業委員会</v>
      </c>
      <c r="B664" s="431"/>
      <c r="C664" s="206"/>
      <c r="D664" s="617"/>
      <c r="E664" s="617"/>
      <c r="F664" s="160"/>
      <c r="G664" s="206"/>
      <c r="H664" s="619"/>
      <c r="I664" s="449"/>
      <c r="J664" s="160"/>
      <c r="K664" s="619"/>
      <c r="L664" s="449"/>
      <c r="M664" s="160"/>
      <c r="N664" s="619"/>
      <c r="O664" s="449"/>
      <c r="P664" s="160"/>
    </row>
    <row r="665" customFormat="false" ht="18.75" hidden="false" customHeight="true" outlineLevel="0" collapsed="false">
      <c r="A665" s="125" t="str">
        <f aca="false">'☆掛負収入'!A665</f>
        <v>水道局</v>
      </c>
      <c r="B665" s="431"/>
      <c r="C665" s="206"/>
      <c r="D665" s="617"/>
      <c r="E665" s="617"/>
      <c r="F665" s="160"/>
      <c r="G665" s="206"/>
      <c r="H665" s="619"/>
      <c r="I665" s="449"/>
      <c r="J665" s="160"/>
      <c r="K665" s="619"/>
      <c r="L665" s="449"/>
      <c r="M665" s="160"/>
      <c r="N665" s="619"/>
      <c r="O665" s="449"/>
      <c r="P665" s="160"/>
    </row>
    <row r="666" customFormat="false" ht="18.75" hidden="false" customHeight="true" outlineLevel="0" collapsed="false">
      <c r="A666" s="146" t="str">
        <f aca="false">'☆掛負収入'!A666</f>
        <v>医療政策課(安芸市民)</v>
      </c>
      <c r="B666" s="620"/>
      <c r="C666" s="391"/>
      <c r="D666" s="620"/>
      <c r="E666" s="621"/>
      <c r="F666" s="418"/>
      <c r="G666" s="206"/>
      <c r="H666" s="622"/>
      <c r="I666" s="432"/>
      <c r="J666" s="160"/>
      <c r="K666" s="619"/>
      <c r="L666" s="449"/>
      <c r="M666" s="160"/>
      <c r="N666" s="619"/>
      <c r="O666" s="449"/>
      <c r="P666" s="160"/>
    </row>
    <row r="667" customFormat="false" ht="18.75" hidden="false" customHeight="true" outlineLevel="0" collapsed="false">
      <c r="A667" s="146" t="str">
        <f aca="false">'☆掛負収入'!A667</f>
        <v>教育委員会（教育給与課）</v>
      </c>
      <c r="B667" s="620"/>
      <c r="C667" s="206"/>
      <c r="D667" s="431"/>
      <c r="E667" s="623"/>
      <c r="F667" s="309"/>
      <c r="G667" s="206"/>
      <c r="H667" s="619"/>
      <c r="I667" s="449"/>
      <c r="J667" s="160"/>
      <c r="K667" s="619"/>
      <c r="L667" s="449"/>
      <c r="M667" s="160"/>
      <c r="N667" s="619"/>
      <c r="O667" s="449"/>
      <c r="P667" s="160"/>
    </row>
    <row r="668" customFormat="false" ht="18.75" hidden="true" customHeight="true" outlineLevel="0" collapsed="false">
      <c r="A668" s="624"/>
      <c r="B668" s="625"/>
      <c r="C668" s="235"/>
      <c r="D668" s="625"/>
      <c r="E668" s="626"/>
      <c r="F668" s="221"/>
      <c r="G668" s="712"/>
      <c r="H668" s="627"/>
      <c r="I668" s="628"/>
      <c r="J668" s="628"/>
      <c r="K668" s="627"/>
      <c r="L668" s="628"/>
      <c r="M668" s="220"/>
      <c r="N668" s="627"/>
      <c r="O668" s="628"/>
      <c r="P668" s="220"/>
    </row>
    <row r="669" customFormat="false" ht="18.75" hidden="true" customHeight="true" outlineLevel="0" collapsed="false">
      <c r="A669" s="629"/>
      <c r="B669" s="482"/>
      <c r="C669" s="157"/>
      <c r="D669" s="482"/>
      <c r="E669" s="483"/>
      <c r="F669" s="484"/>
      <c r="G669" s="460"/>
      <c r="H669" s="482"/>
      <c r="I669" s="483"/>
      <c r="J669" s="483"/>
      <c r="K669" s="482"/>
      <c r="L669" s="483"/>
      <c r="M669" s="155"/>
      <c r="N669" s="482"/>
      <c r="O669" s="483"/>
      <c r="P669" s="155"/>
    </row>
    <row r="670" customFormat="false" ht="18.75" hidden="true" customHeight="true" outlineLevel="0" collapsed="false">
      <c r="A670" s="629"/>
      <c r="B670" s="625"/>
      <c r="C670" s="235"/>
      <c r="D670" s="625"/>
      <c r="E670" s="626"/>
      <c r="F670" s="221"/>
      <c r="G670" s="712"/>
      <c r="H670" s="625"/>
      <c r="I670" s="626"/>
      <c r="J670" s="626"/>
      <c r="K670" s="625"/>
      <c r="L670" s="626"/>
      <c r="M670" s="721"/>
      <c r="N670" s="625"/>
      <c r="O670" s="626"/>
      <c r="P670" s="721"/>
    </row>
    <row r="671" customFormat="false" ht="18.75" hidden="true" customHeight="true" outlineLevel="0" collapsed="false">
      <c r="A671" s="630"/>
      <c r="B671" s="631"/>
      <c r="C671" s="632"/>
      <c r="D671" s="631"/>
      <c r="E671" s="515"/>
      <c r="F671" s="633"/>
      <c r="G671" s="714"/>
      <c r="H671" s="482"/>
      <c r="I671" s="634"/>
      <c r="J671" s="634"/>
      <c r="K671" s="482"/>
      <c r="L671" s="483"/>
      <c r="M671" s="155"/>
      <c r="N671" s="482"/>
      <c r="O671" s="483"/>
      <c r="P671" s="155"/>
    </row>
    <row r="672" customFormat="false" ht="18.75" hidden="false" customHeight="true" outlineLevel="0" collapsed="false">
      <c r="A672" s="196" t="str">
        <f aca="false">'☆掛負収入'!A672</f>
        <v>小　計</v>
      </c>
      <c r="B672" s="429"/>
      <c r="C672" s="199"/>
      <c r="D672" s="429"/>
      <c r="E672" s="199"/>
      <c r="F672" s="200"/>
      <c r="G672" s="201"/>
      <c r="H672" s="429"/>
      <c r="I672" s="199"/>
      <c r="J672" s="198"/>
      <c r="K672" s="429"/>
      <c r="L672" s="199"/>
      <c r="M672" s="198"/>
      <c r="N672" s="429"/>
      <c r="O672" s="199"/>
      <c r="P672" s="198"/>
    </row>
    <row r="673" customFormat="false" ht="18.75" hidden="false" customHeight="true" outlineLevel="0" collapsed="false">
      <c r="A673" s="202" t="str">
        <f aca="false">'☆掛負収入'!A673</f>
        <v>地方税共同機構</v>
      </c>
      <c r="B673" s="474" t="n">
        <f aca="false">'☆掛負収入'!B673</f>
        <v>0</v>
      </c>
      <c r="C673" s="402" t="n">
        <f aca="false">'☆掛負収入'!C673</f>
        <v>0</v>
      </c>
      <c r="D673" s="494" t="n">
        <f aca="false">'☆掛負収入'!D673</f>
        <v>0</v>
      </c>
      <c r="E673" s="488" t="n">
        <f aca="false">'☆掛負収入'!E673</f>
        <v>0</v>
      </c>
      <c r="F673" s="248" t="n">
        <f aca="false">'☆掛負収入'!F673</f>
        <v>0</v>
      </c>
      <c r="G673" s="206" t="n">
        <f aca="false">SUM(B673:F673)</f>
        <v>0</v>
      </c>
      <c r="H673" s="619" t="n">
        <f aca="false">'☆掛負収入'!H673</f>
        <v>0</v>
      </c>
      <c r="I673" s="449" t="n">
        <f aca="false">'☆掛負収入'!I673</f>
        <v>0</v>
      </c>
      <c r="J673" s="160" t="n">
        <f aca="false">SUM(H673:I673)</f>
        <v>0</v>
      </c>
      <c r="K673" s="464" t="n">
        <f aca="false">'☆掛負収入'!K673</f>
        <v>0</v>
      </c>
      <c r="L673" s="449" t="n">
        <f aca="false">'☆掛負収入'!L673</f>
        <v>0</v>
      </c>
      <c r="M673" s="160" t="n">
        <f aca="false">SUM(K673:L673)</f>
        <v>0</v>
      </c>
      <c r="N673" s="464" t="n">
        <f aca="false">'☆掛負収入'!N673</f>
        <v>0</v>
      </c>
      <c r="O673" s="449" t="n">
        <f aca="false">'☆掛負収入'!O673</f>
        <v>0</v>
      </c>
      <c r="P673" s="160" t="n">
        <f aca="false">SUM(N673:O673)</f>
        <v>0</v>
      </c>
    </row>
    <row r="674" customFormat="false" ht="18.75" hidden="false" customHeight="true" outlineLevel="0" collapsed="false">
      <c r="A674" s="125" t="str">
        <f aca="false">'☆掛負収入'!A674</f>
        <v>平和文化センター</v>
      </c>
      <c r="B674" s="474" t="n">
        <f aca="false">'☆掛負収入'!B674</f>
        <v>0</v>
      </c>
      <c r="C674" s="402" t="n">
        <f aca="false">'☆掛負収入'!C674</f>
        <v>0</v>
      </c>
      <c r="D674" s="489" t="n">
        <f aca="false">'☆掛負収入'!D674</f>
        <v>629520</v>
      </c>
      <c r="E674" s="477" t="n">
        <f aca="false">'☆掛負収入'!E674</f>
        <v>51600</v>
      </c>
      <c r="F674" s="248" t="n">
        <f aca="false">'☆掛負収入'!F674</f>
        <v>713</v>
      </c>
      <c r="G674" s="206" t="n">
        <f aca="false">SUM(B674:F674)</f>
        <v>681833</v>
      </c>
      <c r="H674" s="619" t="n">
        <f aca="false">'☆掛負収入'!H674</f>
        <v>0</v>
      </c>
      <c r="I674" s="449" t="n">
        <f aca="false">'☆掛負収入'!I674</f>
        <v>380809</v>
      </c>
      <c r="J674" s="160" t="n">
        <f aca="false">SUM(H674:I674)</f>
        <v>380809</v>
      </c>
      <c r="K674" s="464" t="n">
        <f aca="false">'☆掛負収入'!K674</f>
        <v>0</v>
      </c>
      <c r="L674" s="449" t="n">
        <f aca="false">'☆掛負収入'!L674</f>
        <v>51903</v>
      </c>
      <c r="M674" s="160" t="n">
        <f aca="false">SUM(K674:L674)</f>
        <v>51903</v>
      </c>
      <c r="N674" s="464" t="n">
        <f aca="false">'☆掛負収入'!N674</f>
        <v>0</v>
      </c>
      <c r="O674" s="449" t="n">
        <f aca="false">'☆掛負収入'!O674</f>
        <v>1</v>
      </c>
      <c r="P674" s="160" t="n">
        <f aca="false">SUM(N674:O674)</f>
        <v>1</v>
      </c>
    </row>
    <row r="675" customFormat="false" ht="18.75" hidden="false" customHeight="true" outlineLevel="0" collapsed="false">
      <c r="A675" s="125" t="str">
        <f aca="false">'☆掛負収入'!A675</f>
        <v>社会福祉事業団</v>
      </c>
      <c r="B675" s="625"/>
      <c r="C675" s="235"/>
      <c r="D675" s="476" t="n">
        <f aca="false">'☆掛負収入'!D675</f>
        <v>1881240</v>
      </c>
      <c r="E675" s="478" t="n">
        <f aca="false">'☆掛負収入'!E675</f>
        <v>154200</v>
      </c>
      <c r="F675" s="248" t="n">
        <f aca="false">'☆掛負収入'!F675</f>
        <v>1955</v>
      </c>
      <c r="G675" s="206" t="n">
        <f aca="false">SUM(B675:F675)</f>
        <v>2037395</v>
      </c>
      <c r="H675" s="627"/>
      <c r="I675" s="449" t="n">
        <f aca="false">'☆掛負収入'!I675</f>
        <v>1271969</v>
      </c>
      <c r="J675" s="160" t="n">
        <f aca="false">SUM(H675:I675)</f>
        <v>1271969</v>
      </c>
      <c r="K675" s="637"/>
      <c r="L675" s="449" t="n">
        <f aca="false">'☆掛負収入'!L675</f>
        <v>141252</v>
      </c>
      <c r="M675" s="160" t="n">
        <f aca="false">SUM(K675:L675)</f>
        <v>141252</v>
      </c>
      <c r="N675" s="637"/>
      <c r="O675" s="449" t="n">
        <f aca="false">'☆掛負収入'!O675</f>
        <v>1</v>
      </c>
      <c r="P675" s="160" t="n">
        <f aca="false">SUM(N675:O675)</f>
        <v>1</v>
      </c>
    </row>
    <row r="676" customFormat="false" ht="18.75" hidden="false" customHeight="true" outlineLevel="0" collapsed="false">
      <c r="A676" s="125" t="str">
        <f aca="false">'☆掛負収入'!A676</f>
        <v>原爆障害対策協議会</v>
      </c>
      <c r="B676" s="625"/>
      <c r="C676" s="235"/>
      <c r="D676" s="470" t="n">
        <f aca="false">'☆掛負収入'!D676</f>
        <v>48495</v>
      </c>
      <c r="E676" s="478" t="n">
        <f aca="false">'☆掛負収入'!E676</f>
        <v>3975</v>
      </c>
      <c r="F676" s="248" t="n">
        <f aca="false">'☆掛負収入'!F676</f>
        <v>49</v>
      </c>
      <c r="G676" s="206" t="n">
        <f aca="false">SUM(B676:F676)</f>
        <v>52519</v>
      </c>
      <c r="H676" s="627"/>
      <c r="I676" s="449" t="n">
        <f aca="false">'☆掛負収入'!I676</f>
        <v>29208</v>
      </c>
      <c r="J676" s="160" t="n">
        <f aca="false">SUM(H676:I676)</f>
        <v>29208</v>
      </c>
      <c r="K676" s="637"/>
      <c r="L676" s="449" t="n">
        <f aca="false">'☆掛負収入'!L676</f>
        <v>4187</v>
      </c>
      <c r="M676" s="160" t="n">
        <f aca="false">SUM(K676:L676)</f>
        <v>4187</v>
      </c>
      <c r="N676" s="637"/>
      <c r="O676" s="449" t="n">
        <f aca="false">'☆掛負収入'!O676</f>
        <v>1</v>
      </c>
      <c r="P676" s="160" t="n">
        <f aca="false">SUM(N676:O676)</f>
        <v>1</v>
      </c>
    </row>
    <row r="677" customFormat="false" ht="18.75" hidden="false" customHeight="true" outlineLevel="0" collapsed="false">
      <c r="A677" s="214" t="str">
        <f aca="false">'☆掛負収入'!A677</f>
        <v>産業振興センター</v>
      </c>
      <c r="B677" s="625"/>
      <c r="C677" s="235"/>
      <c r="D677" s="470" t="n">
        <f aca="false">'☆掛負収入'!D677</f>
        <v>425475</v>
      </c>
      <c r="E677" s="478" t="n">
        <f aca="false">'☆掛負収入'!E677</f>
        <v>34875</v>
      </c>
      <c r="F677" s="248" t="n">
        <f aca="false">'☆掛負収入'!F677</f>
        <v>435</v>
      </c>
      <c r="G677" s="206" t="n">
        <f aca="false">SUM(B677:F677)</f>
        <v>460785</v>
      </c>
      <c r="H677" s="627"/>
      <c r="I677" s="449" t="n">
        <f aca="false">'☆掛負収入'!I677</f>
        <v>256260</v>
      </c>
      <c r="J677" s="160" t="n">
        <f aca="false">SUM(H677:I677)</f>
        <v>256260</v>
      </c>
      <c r="K677" s="637"/>
      <c r="L677" s="449" t="n">
        <f aca="false">'☆掛負収入'!L677</f>
        <v>34207</v>
      </c>
      <c r="M677" s="160" t="n">
        <f aca="false">SUM(K677:L677)</f>
        <v>34207</v>
      </c>
      <c r="N677" s="637"/>
      <c r="O677" s="449" t="n">
        <f aca="false">'☆掛負収入'!O677</f>
        <v>1</v>
      </c>
      <c r="P677" s="160" t="n">
        <f aca="false">SUM(N677:O677)</f>
        <v>1</v>
      </c>
    </row>
    <row r="678" customFormat="false" ht="18.75" hidden="false" customHeight="true" outlineLevel="0" collapsed="false">
      <c r="A678" s="146" t="str">
        <f aca="false">'☆掛負収入'!A678</f>
        <v>ひろしま産業振興</v>
      </c>
      <c r="B678" s="625"/>
      <c r="C678" s="484"/>
      <c r="D678" s="470" t="n">
        <f aca="false">'☆掛負収入'!D678</f>
        <v>86010</v>
      </c>
      <c r="E678" s="478" t="n">
        <f aca="false">'☆掛負収入'!E678</f>
        <v>7050</v>
      </c>
      <c r="F678" s="479" t="n">
        <f aca="false">'☆掛負収入'!F678</f>
        <v>88</v>
      </c>
      <c r="G678" s="206" t="n">
        <f aca="false">SUM(B678:F678)</f>
        <v>93148</v>
      </c>
      <c r="H678" s="627"/>
      <c r="I678" s="432" t="n">
        <f aca="false">'☆掛負収入'!I678</f>
        <v>51803</v>
      </c>
      <c r="J678" s="160" t="n">
        <f aca="false">SUM(H678:I678)</f>
        <v>51803</v>
      </c>
      <c r="K678" s="637"/>
      <c r="L678" s="432" t="n">
        <f aca="false">'☆掛負収入'!L678</f>
        <v>7426</v>
      </c>
      <c r="M678" s="160" t="n">
        <f aca="false">SUM(K678:L678)</f>
        <v>7426</v>
      </c>
      <c r="N678" s="637"/>
      <c r="O678" s="432" t="n">
        <f aca="false">'☆掛負収入'!O678</f>
        <v>1</v>
      </c>
      <c r="P678" s="160" t="n">
        <f aca="false">SUM(N678:O678)</f>
        <v>1</v>
      </c>
    </row>
    <row r="679" customFormat="false" ht="18.75" hidden="false" customHeight="true" outlineLevel="0" collapsed="false">
      <c r="A679" s="146" t="str">
        <f aca="false">'☆掛負収入'!A679</f>
        <v>都市整備公社　市</v>
      </c>
      <c r="B679" s="625"/>
      <c r="C679" s="484"/>
      <c r="D679" s="476" t="n">
        <f aca="false">'☆掛負収入'!D679</f>
        <v>48495</v>
      </c>
      <c r="E679" s="478" t="n">
        <f aca="false">'☆掛負収入'!E679</f>
        <v>3975</v>
      </c>
      <c r="F679" s="248" t="n">
        <f aca="false">'☆掛負収入'!F679</f>
        <v>49</v>
      </c>
      <c r="G679" s="206" t="n">
        <f aca="false">SUM(B679:F679)</f>
        <v>52519</v>
      </c>
      <c r="H679" s="627"/>
      <c r="I679" s="449" t="n">
        <f aca="false">'☆掛負収入'!I679</f>
        <v>29208</v>
      </c>
      <c r="J679" s="160" t="n">
        <f aca="false">SUM(H679:I679)</f>
        <v>29208</v>
      </c>
      <c r="K679" s="637"/>
      <c r="L679" s="449" t="n">
        <f aca="false">'☆掛負収入'!L679</f>
        <v>4187</v>
      </c>
      <c r="M679" s="160" t="n">
        <f aca="false">SUM(K679:L679)</f>
        <v>4187</v>
      </c>
      <c r="N679" s="637"/>
      <c r="O679" s="449" t="n">
        <f aca="false">'☆掛負収入'!O679</f>
        <v>1</v>
      </c>
      <c r="P679" s="160" t="n">
        <f aca="false">SUM(N679:O679)</f>
        <v>1</v>
      </c>
    </row>
    <row r="680" customFormat="false" ht="18.75" hidden="false" customHeight="true" outlineLevel="0" collapsed="false">
      <c r="A680" s="217"/>
      <c r="B680" s="625"/>
      <c r="C680" s="221"/>
      <c r="D680" s="474"/>
      <c r="E680" s="478"/>
      <c r="F680" s="248"/>
      <c r="G680" s="206"/>
      <c r="H680" s="627"/>
      <c r="I680" s="449"/>
      <c r="J680" s="160"/>
      <c r="K680" s="637"/>
      <c r="L680" s="449"/>
      <c r="M680" s="160" t="n">
        <f aca="false">SUM(K680:L680)</f>
        <v>0</v>
      </c>
      <c r="N680" s="637"/>
      <c r="O680" s="449"/>
      <c r="P680" s="160" t="n">
        <f aca="false">SUM(N680:O680)</f>
        <v>0</v>
      </c>
    </row>
    <row r="681" customFormat="false" ht="18.75" hidden="false" customHeight="true" outlineLevel="0" collapsed="false">
      <c r="A681" s="146" t="str">
        <f aca="false">'☆掛負収入'!A681</f>
        <v>日本下水道事業団</v>
      </c>
      <c r="B681" s="476" t="n">
        <f aca="false">'☆掛負収入'!B681</f>
        <v>245220</v>
      </c>
      <c r="C681" s="248" t="n">
        <f aca="false">'☆掛負収入'!C681</f>
        <v>20100</v>
      </c>
      <c r="D681" s="474" t="n">
        <f aca="false">'☆掛負収入'!D681</f>
        <v>245220</v>
      </c>
      <c r="E681" s="478" t="n">
        <f aca="false">'☆掛負収入'!E681</f>
        <v>20100</v>
      </c>
      <c r="F681" s="248" t="n">
        <f aca="false">'☆掛負収入'!F681</f>
        <v>251</v>
      </c>
      <c r="G681" s="206" t="n">
        <f aca="false">SUM(B681:F681)</f>
        <v>530891</v>
      </c>
      <c r="H681" s="619" t="n">
        <f aca="false">'☆掛負収入'!H681</f>
        <v>147425</v>
      </c>
      <c r="I681" s="449" t="n">
        <f aca="false">'☆掛負収入'!I681</f>
        <v>147694</v>
      </c>
      <c r="J681" s="160" t="n">
        <f aca="false">SUM(H681:I681)</f>
        <v>295119</v>
      </c>
      <c r="K681" s="464" t="n">
        <f aca="false">'☆掛負収入'!K681</f>
        <v>9559</v>
      </c>
      <c r="L681" s="449" t="n">
        <f aca="false">'☆掛負収入'!L681</f>
        <v>9559</v>
      </c>
      <c r="M681" s="160" t="n">
        <f aca="false">SUM(K681:L681)</f>
        <v>19118</v>
      </c>
      <c r="N681" s="464" t="n">
        <f aca="false">'☆掛負収入'!N681</f>
        <v>1</v>
      </c>
      <c r="O681" s="449" t="n">
        <f aca="false">'☆掛負収入'!O681</f>
        <v>1</v>
      </c>
      <c r="P681" s="160" t="n">
        <f aca="false">SUM(N681:O681)</f>
        <v>2</v>
      </c>
    </row>
    <row r="682" customFormat="false" ht="18.75" hidden="false" customHeight="true" outlineLevel="0" collapsed="false">
      <c r="A682" s="125" t="str">
        <f aca="false">'☆掛負収入'!A682</f>
        <v>地方公務員災害補償基金本部</v>
      </c>
      <c r="B682" s="476" t="n">
        <f aca="false">'☆掛負収入'!B682</f>
        <v>40260</v>
      </c>
      <c r="C682" s="248" t="n">
        <f aca="false">'☆掛負収入'!C682</f>
        <v>3300</v>
      </c>
      <c r="D682" s="474" t="n">
        <f aca="false">'☆掛負収入'!D682</f>
        <v>40260</v>
      </c>
      <c r="E682" s="478" t="n">
        <f aca="false">'☆掛負収入'!E682</f>
        <v>3300</v>
      </c>
      <c r="F682" s="248" t="n">
        <f aca="false">'☆掛負収入'!F682</f>
        <v>41</v>
      </c>
      <c r="G682" s="206" t="n">
        <f aca="false">SUM(B682:F682)</f>
        <v>87161</v>
      </c>
      <c r="H682" s="619" t="n">
        <f aca="false">'☆掛負収入'!H682</f>
        <v>24204</v>
      </c>
      <c r="I682" s="449" t="n">
        <f aca="false">'☆掛負収入'!I682</f>
        <v>24248</v>
      </c>
      <c r="J682" s="160" t="n">
        <f aca="false">SUM(H682:I682)</f>
        <v>48452</v>
      </c>
      <c r="K682" s="464" t="n">
        <f aca="false">'☆掛負収入'!K682</f>
        <v>0</v>
      </c>
      <c r="L682" s="449" t="n">
        <f aca="false">'☆掛負収入'!L682</f>
        <v>0</v>
      </c>
      <c r="M682" s="160" t="n">
        <f aca="false">SUM(K682:L682)</f>
        <v>0</v>
      </c>
      <c r="N682" s="464" t="n">
        <f aca="false">'☆掛負収入'!N682</f>
        <v>1</v>
      </c>
      <c r="O682" s="449" t="n">
        <f aca="false">'☆掛負収入'!O682</f>
        <v>1</v>
      </c>
      <c r="P682" s="160" t="n">
        <f aca="false">SUM(N682:O682)</f>
        <v>2</v>
      </c>
    </row>
    <row r="683" customFormat="false" ht="18.75" hidden="false" customHeight="true" outlineLevel="0" collapsed="false">
      <c r="A683" s="222"/>
      <c r="B683" s="474"/>
      <c r="C683" s="248"/>
      <c r="D683" s="474"/>
      <c r="E683" s="478"/>
      <c r="F683" s="248"/>
      <c r="G683" s="206"/>
      <c r="H683" s="619"/>
      <c r="I683" s="449"/>
      <c r="J683" s="160"/>
      <c r="K683" s="464"/>
      <c r="L683" s="449"/>
      <c r="M683" s="160" t="n">
        <f aca="false">SUM(K683:L683)</f>
        <v>0</v>
      </c>
      <c r="N683" s="464"/>
      <c r="O683" s="449"/>
      <c r="P683" s="160" t="n">
        <f aca="false">SUM(N683:O683)</f>
        <v>0</v>
      </c>
    </row>
    <row r="684" customFormat="false" ht="18.75" hidden="false" customHeight="true" outlineLevel="0" collapsed="false">
      <c r="A684" s="125" t="str">
        <f aca="false">'☆掛負収入'!A684</f>
        <v>高速道路公社</v>
      </c>
      <c r="B684" s="489" t="n">
        <f aca="false">'☆掛負収入'!B684</f>
        <v>912255</v>
      </c>
      <c r="C684" s="479" t="n">
        <f aca="false">'☆掛負収入'!C684</f>
        <v>74775</v>
      </c>
      <c r="D684" s="489" t="n">
        <f aca="false">'☆掛負収入'!D684</f>
        <v>912255</v>
      </c>
      <c r="E684" s="495" t="n">
        <f aca="false">'☆掛負収入'!E684</f>
        <v>74775</v>
      </c>
      <c r="F684" s="491" t="n">
        <f aca="false">'☆掛負収入'!F684</f>
        <v>936</v>
      </c>
      <c r="G684" s="206" t="n">
        <f aca="false">SUM(B684:F684)</f>
        <v>1974996</v>
      </c>
      <c r="H684" s="638" t="n">
        <f aca="false">'☆掛負収入'!H684</f>
        <v>548442</v>
      </c>
      <c r="I684" s="639" t="n">
        <f aca="false">'☆掛負収入'!I684</f>
        <v>549446</v>
      </c>
      <c r="J684" s="160" t="n">
        <f aca="false">SUM(H684:I684)</f>
        <v>1097888</v>
      </c>
      <c r="K684" s="640" t="n">
        <f aca="false">'☆掛負収入'!K684</f>
        <v>50086</v>
      </c>
      <c r="L684" s="639" t="n">
        <f aca="false">'☆掛負収入'!L684</f>
        <v>50086</v>
      </c>
      <c r="M684" s="160" t="n">
        <f aca="false">SUM(K684:L684)</f>
        <v>100172</v>
      </c>
      <c r="N684" s="640" t="n">
        <f aca="false">'☆掛負収入'!N684</f>
        <v>1</v>
      </c>
      <c r="O684" s="639" t="n">
        <f aca="false">'☆掛負収入'!O684</f>
        <v>1</v>
      </c>
      <c r="P684" s="160" t="n">
        <f aca="false">SUM(N684:O684)</f>
        <v>2</v>
      </c>
    </row>
    <row r="685" customFormat="false" ht="18.75" hidden="false" customHeight="true" outlineLevel="0" collapsed="false">
      <c r="A685" s="125" t="str">
        <f aca="false">'☆掛負収入'!A685</f>
        <v>農林水産振興センタ</v>
      </c>
      <c r="B685" s="482"/>
      <c r="C685" s="484"/>
      <c r="D685" s="476" t="n">
        <f aca="false">'☆掛負収入'!D685</f>
        <v>571875</v>
      </c>
      <c r="E685" s="498" t="n">
        <f aca="false">'☆掛負収入'!E685</f>
        <v>46875</v>
      </c>
      <c r="F685" s="479" t="n">
        <f aca="false">'☆掛負収入'!F685</f>
        <v>613</v>
      </c>
      <c r="G685" s="206" t="n">
        <f aca="false">SUM(B685:F685)</f>
        <v>619363</v>
      </c>
      <c r="H685" s="641"/>
      <c r="I685" s="432" t="n">
        <f aca="false">'☆掛負収入'!I685</f>
        <v>344467</v>
      </c>
      <c r="J685" s="160" t="n">
        <f aca="false">SUM(H685:I685)</f>
        <v>344467</v>
      </c>
      <c r="K685" s="642"/>
      <c r="L685" s="432" t="n">
        <f aca="false">'☆掛負収入'!L685</f>
        <v>27255</v>
      </c>
      <c r="M685" s="160" t="n">
        <f aca="false">SUM(K685:L685)</f>
        <v>27255</v>
      </c>
      <c r="N685" s="642"/>
      <c r="O685" s="432" t="n">
        <f aca="false">'☆掛負収入'!O685</f>
        <v>1</v>
      </c>
      <c r="P685" s="160" t="n">
        <f aca="false">SUM(N685:O685)</f>
        <v>1</v>
      </c>
    </row>
    <row r="686" customFormat="false" ht="18.75" hidden="false" customHeight="true" outlineLevel="0" collapsed="false">
      <c r="A686" s="228" t="str">
        <f aca="false">'☆掛負収入'!A686</f>
        <v>文化財団　市長部局</v>
      </c>
      <c r="B686" s="625"/>
      <c r="C686" s="221"/>
      <c r="D686" s="474" t="n">
        <f aca="false">'☆掛負収入'!D686</f>
        <v>1160220</v>
      </c>
      <c r="E686" s="478" t="n">
        <f aca="false">'☆掛負収入'!E686</f>
        <v>95100</v>
      </c>
      <c r="F686" s="479" t="n">
        <f aca="false">'☆掛負収入'!F686</f>
        <v>1185</v>
      </c>
      <c r="G686" s="206" t="n">
        <f aca="false">SUM(B686:F686)</f>
        <v>1256505</v>
      </c>
      <c r="H686" s="627"/>
      <c r="I686" s="432" t="n">
        <f aca="false">'☆掛負収入'!I686</f>
        <v>698790</v>
      </c>
      <c r="J686" s="160" t="n">
        <f aca="false">SUM(H686:I686)</f>
        <v>698790</v>
      </c>
      <c r="K686" s="637"/>
      <c r="L686" s="432" t="n">
        <f aca="false">'☆掛負収入'!L686</f>
        <v>94721</v>
      </c>
      <c r="M686" s="160" t="n">
        <f aca="false">SUM(K686:L686)</f>
        <v>94721</v>
      </c>
      <c r="N686" s="637"/>
      <c r="O686" s="432" t="n">
        <f aca="false">'☆掛負収入'!O686</f>
        <v>1</v>
      </c>
      <c r="P686" s="160" t="n">
        <f aca="false">SUM(N686:O686)</f>
        <v>1</v>
      </c>
    </row>
    <row r="687" customFormat="false" ht="18.75" hidden="false" customHeight="true" outlineLevel="0" collapsed="false">
      <c r="A687" s="229"/>
      <c r="B687" s="625"/>
      <c r="C687" s="221"/>
      <c r="D687" s="474"/>
      <c r="E687" s="478"/>
      <c r="F687" s="479"/>
      <c r="G687" s="206"/>
      <c r="H687" s="627"/>
      <c r="I687" s="432"/>
      <c r="J687" s="160"/>
      <c r="K687" s="637"/>
      <c r="L687" s="432"/>
      <c r="M687" s="160" t="n">
        <f aca="false">SUM(K687:L687)</f>
        <v>0</v>
      </c>
      <c r="N687" s="637"/>
      <c r="O687" s="432"/>
      <c r="P687" s="160" t="n">
        <f aca="false">SUM(N687:O687)</f>
        <v>0</v>
      </c>
    </row>
    <row r="688" customFormat="false" ht="18.75" hidden="false" customHeight="true" outlineLevel="0" collapsed="false">
      <c r="A688" s="125" t="str">
        <f aca="false">'☆掛負収入'!A688</f>
        <v>みどり生きもの協会</v>
      </c>
      <c r="B688" s="625"/>
      <c r="C688" s="221"/>
      <c r="D688" s="474" t="n">
        <f aca="false">'☆掛負収入'!D688</f>
        <v>394365</v>
      </c>
      <c r="E688" s="478" t="n">
        <f aca="false">'☆掛負収入'!E688</f>
        <v>32325</v>
      </c>
      <c r="F688" s="479" t="n">
        <f aca="false">'☆掛負収入'!F688</f>
        <v>403</v>
      </c>
      <c r="G688" s="206" t="n">
        <f aca="false">SUM(B688:F688)</f>
        <v>427093</v>
      </c>
      <c r="H688" s="627"/>
      <c r="I688" s="432" t="n">
        <f aca="false">'☆掛負収入'!I688</f>
        <v>237523</v>
      </c>
      <c r="J688" s="160" t="n">
        <f aca="false">SUM(H688:I688)</f>
        <v>237523</v>
      </c>
      <c r="K688" s="637"/>
      <c r="L688" s="432" t="n">
        <f aca="false">'☆掛負収入'!L688</f>
        <v>34049</v>
      </c>
      <c r="M688" s="160" t="n">
        <f aca="false">SUM(K688:L688)</f>
        <v>34049</v>
      </c>
      <c r="N688" s="637"/>
      <c r="O688" s="432" t="n">
        <f aca="false">'☆掛負収入'!O688</f>
        <v>1</v>
      </c>
      <c r="P688" s="160" t="n">
        <f aca="false">SUM(N688:O688)</f>
        <v>1</v>
      </c>
    </row>
    <row r="689" customFormat="false" ht="18.75" hidden="false" customHeight="true" outlineLevel="0" collapsed="false">
      <c r="A689" s="146" t="str">
        <f aca="false">'☆掛負収入'!A689</f>
        <v>県下水道公社</v>
      </c>
      <c r="B689" s="474" t="n">
        <f aca="false">'☆掛負収入'!B689</f>
        <v>137250</v>
      </c>
      <c r="C689" s="248" t="n">
        <f aca="false">'☆掛負収入'!C689</f>
        <v>11250</v>
      </c>
      <c r="D689" s="474" t="n">
        <f aca="false">'☆掛負収入'!D689</f>
        <v>137250</v>
      </c>
      <c r="E689" s="478" t="n">
        <f aca="false">'☆掛負収入'!E689</f>
        <v>11250</v>
      </c>
      <c r="F689" s="479" t="n">
        <f aca="false">'☆掛負収入'!F689</f>
        <v>140</v>
      </c>
      <c r="G689" s="206" t="n">
        <f aca="false">SUM(B689:F689)</f>
        <v>297140</v>
      </c>
      <c r="H689" s="619" t="n">
        <f aca="false">'☆掛負収入'!H689</f>
        <v>82514</v>
      </c>
      <c r="I689" s="432" t="n">
        <f aca="false">'☆掛負収入'!I689</f>
        <v>82665</v>
      </c>
      <c r="J689" s="160" t="n">
        <f aca="false">SUM(H689:I689)</f>
        <v>165179</v>
      </c>
      <c r="K689" s="464" t="n">
        <f aca="false">'☆掛負収入'!K689</f>
        <v>8611</v>
      </c>
      <c r="L689" s="432" t="n">
        <f aca="false">'☆掛負収入'!L689</f>
        <v>8611</v>
      </c>
      <c r="M689" s="160" t="n">
        <f aca="false">SUM(K689:L689)</f>
        <v>17222</v>
      </c>
      <c r="N689" s="464" t="n">
        <f aca="false">'☆掛負収入'!N689</f>
        <v>1</v>
      </c>
      <c r="O689" s="432" t="n">
        <f aca="false">'☆掛負収入'!O689</f>
        <v>1</v>
      </c>
      <c r="P689" s="160" t="n">
        <f aca="false">SUM(N689:O689)</f>
        <v>2</v>
      </c>
    </row>
    <row r="690" customFormat="false" ht="18.75" hidden="false" customHeight="true" outlineLevel="0" collapsed="false">
      <c r="A690" s="146" t="str">
        <f aca="false">'☆掛負収入'!A690</f>
        <v>バス協調・共創
プラットフォーム</v>
      </c>
      <c r="B690" s="482"/>
      <c r="C690" s="484"/>
      <c r="D690" s="476" t="n">
        <f aca="false">'☆掛負収入'!D690</f>
        <v>472140</v>
      </c>
      <c r="E690" s="498" t="n">
        <f aca="false">'☆掛負収入'!E690</f>
        <v>38700</v>
      </c>
      <c r="F690" s="479" t="n">
        <f aca="false">'☆掛負収入'!F690</f>
        <v>484</v>
      </c>
      <c r="G690" s="206" t="n">
        <f aca="false">SUM(B690:F690)</f>
        <v>511324</v>
      </c>
      <c r="H690" s="641"/>
      <c r="I690" s="432" t="n">
        <f aca="false">'☆掛負収入'!I690</f>
        <v>289878</v>
      </c>
      <c r="J690" s="160" t="n">
        <f aca="false">SUM(H690:I690)</f>
        <v>289878</v>
      </c>
      <c r="K690" s="642"/>
      <c r="L690" s="432" t="n">
        <f aca="false">'☆掛負収入'!L690</f>
        <v>25517</v>
      </c>
      <c r="M690" s="160" t="n">
        <f aca="false">SUM(K690:L690)</f>
        <v>25517</v>
      </c>
      <c r="N690" s="642"/>
      <c r="O690" s="432" t="n">
        <f aca="false">'☆掛負収入'!O690</f>
        <v>1</v>
      </c>
      <c r="P690" s="160" t="n">
        <f aca="false">SUM(N690:O690)</f>
        <v>1</v>
      </c>
    </row>
    <row r="691" customFormat="false" ht="18.75" hidden="false" customHeight="true" outlineLevel="0" collapsed="false">
      <c r="A691" s="146" t="str">
        <f aca="false">'☆掛負収入'!A691</f>
        <v>広島県市長会</v>
      </c>
      <c r="B691" s="474" t="n">
        <f aca="false">'☆掛負収入'!B691</f>
        <v>56730</v>
      </c>
      <c r="C691" s="248" t="n">
        <f aca="false">'☆掛負収入'!C691</f>
        <v>4650</v>
      </c>
      <c r="D691" s="474" t="n">
        <f aca="false">'☆掛負収入'!D691</f>
        <v>56730</v>
      </c>
      <c r="E691" s="478" t="n">
        <f aca="false">'☆掛負収入'!E691</f>
        <v>4650</v>
      </c>
      <c r="F691" s="248" t="n">
        <f aca="false">'☆掛負収入'!F691</f>
        <v>58</v>
      </c>
      <c r="G691" s="206" t="n">
        <f aca="false">SUM(B691:F691)</f>
        <v>122818</v>
      </c>
      <c r="H691" s="619" t="n">
        <f aca="false">'☆掛負収入'!H691</f>
        <v>34106</v>
      </c>
      <c r="I691" s="449" t="n">
        <f aca="false">'☆掛負収入'!I691</f>
        <v>34168</v>
      </c>
      <c r="J691" s="160" t="n">
        <f aca="false">SUM(H691:I691)</f>
        <v>68274</v>
      </c>
      <c r="K691" s="464" t="n">
        <f aca="false">'☆掛負収入'!K691</f>
        <v>4898</v>
      </c>
      <c r="L691" s="449" t="n">
        <f aca="false">'☆掛負収入'!L691</f>
        <v>4898</v>
      </c>
      <c r="M691" s="160" t="n">
        <f aca="false">SUM(K691:L691)</f>
        <v>9796</v>
      </c>
      <c r="N691" s="464" t="n">
        <f aca="false">'☆掛負収入'!N691</f>
        <v>1</v>
      </c>
      <c r="O691" s="449" t="n">
        <f aca="false">'☆掛負収入'!O691</f>
        <v>1</v>
      </c>
      <c r="P691" s="160" t="n">
        <f aca="false">SUM(N691:O691)</f>
        <v>2</v>
      </c>
    </row>
    <row r="692" customFormat="false" ht="18.75" hidden="false" customHeight="true" outlineLevel="0" collapsed="false">
      <c r="A692" s="214" t="str">
        <f aca="false">'☆掛負収入'!A692</f>
        <v>全国市町村研修財団</v>
      </c>
      <c r="B692" s="476" t="n">
        <f aca="false">'☆掛負収入'!B692</f>
        <v>59475</v>
      </c>
      <c r="C692" s="248" t="n">
        <f aca="false">'☆掛負収入'!C692</f>
        <v>4875</v>
      </c>
      <c r="D692" s="474" t="n">
        <f aca="false">'☆掛負収入'!D692</f>
        <v>59475</v>
      </c>
      <c r="E692" s="478" t="n">
        <f aca="false">'☆掛負収入'!E692</f>
        <v>4875</v>
      </c>
      <c r="F692" s="248" t="n">
        <f aca="false">'☆掛負収入'!F692</f>
        <v>61</v>
      </c>
      <c r="G692" s="206" t="n">
        <f aca="false">SUM(B692:F692)</f>
        <v>128761</v>
      </c>
      <c r="H692" s="619" t="n">
        <f aca="false">'☆掛負収入'!H692</f>
        <v>41257</v>
      </c>
      <c r="I692" s="449" t="n">
        <f aca="false">'☆掛負収入'!I692</f>
        <v>41332</v>
      </c>
      <c r="J692" s="160" t="n">
        <f aca="false">SUM(H692:I692)</f>
        <v>82589</v>
      </c>
      <c r="K692" s="464" t="n">
        <f aca="false">'☆掛負収入'!K692</f>
        <v>5925</v>
      </c>
      <c r="L692" s="449" t="n">
        <f aca="false">'☆掛負収入'!L692</f>
        <v>5925</v>
      </c>
      <c r="M692" s="160" t="n">
        <f aca="false">SUM(K692:L692)</f>
        <v>11850</v>
      </c>
      <c r="N692" s="464" t="n">
        <f aca="false">'☆掛負収入'!N692</f>
        <v>1</v>
      </c>
      <c r="O692" s="449" t="n">
        <f aca="false">'☆掛負収入'!O692</f>
        <v>1</v>
      </c>
      <c r="P692" s="160" t="n">
        <f aca="false">SUM(N692:O692)</f>
        <v>2</v>
      </c>
    </row>
    <row r="693" customFormat="false" ht="18.75" hidden="false" customHeight="true" outlineLevel="0" collapsed="false">
      <c r="A693" s="214" t="str">
        <f aca="false">'☆掛負収入'!A693</f>
        <v>都市再生機構</v>
      </c>
      <c r="B693" s="474" t="n">
        <f aca="false">'☆掛負収入'!B693</f>
        <v>48495</v>
      </c>
      <c r="C693" s="248" t="n">
        <f aca="false">'☆掛負収入'!C693</f>
        <v>3975</v>
      </c>
      <c r="D693" s="474" t="n">
        <f aca="false">'☆掛負収入'!D693</f>
        <v>48495</v>
      </c>
      <c r="E693" s="478" t="n">
        <f aca="false">'☆掛負収入'!E693</f>
        <v>3975</v>
      </c>
      <c r="F693" s="248" t="n">
        <f aca="false">'☆掛負収入'!F693</f>
        <v>49</v>
      </c>
      <c r="G693" s="206" t="n">
        <f aca="false">SUM(B693:F693)</f>
        <v>104989</v>
      </c>
      <c r="H693" s="619" t="n">
        <f aca="false">'☆掛負収入'!H693</f>
        <v>29155</v>
      </c>
      <c r="I693" s="449" t="n">
        <f aca="false">'☆掛負収入'!I693</f>
        <v>29208</v>
      </c>
      <c r="J693" s="160" t="n">
        <f aca="false">SUM(H693:I693)</f>
        <v>58363</v>
      </c>
      <c r="K693" s="464" t="n">
        <f aca="false">'☆掛負収入'!K693</f>
        <v>0</v>
      </c>
      <c r="L693" s="449" t="n">
        <f aca="false">'☆掛負収入'!L693</f>
        <v>0</v>
      </c>
      <c r="M693" s="160" t="n">
        <f aca="false">SUM(K693:L693)</f>
        <v>0</v>
      </c>
      <c r="N693" s="464" t="n">
        <f aca="false">'☆掛負収入'!N693</f>
        <v>1</v>
      </c>
      <c r="O693" s="449" t="n">
        <f aca="false">'☆掛負収入'!O693</f>
        <v>1</v>
      </c>
      <c r="P693" s="160" t="n">
        <f aca="false">SUM(N693:O693)</f>
        <v>2</v>
      </c>
    </row>
    <row r="694" customFormat="false" ht="18.75" hidden="false" customHeight="true" outlineLevel="0" collapsed="false">
      <c r="A694" s="146" t="str">
        <f aca="false">'☆掛負収入'!A694</f>
        <v>広島市立大学</v>
      </c>
      <c r="B694" s="431" t="n">
        <f aca="false">'☆掛負収入'!B694</f>
        <v>1194075</v>
      </c>
      <c r="C694" s="160" t="n">
        <f aca="false">'☆掛負収入'!C694</f>
        <v>97875</v>
      </c>
      <c r="D694" s="431" t="n">
        <f aca="false">'☆掛負収入'!D694</f>
        <v>1194075</v>
      </c>
      <c r="E694" s="464" t="n">
        <f aca="false">'☆掛負収入'!E694</f>
        <v>97875</v>
      </c>
      <c r="F694" s="248" t="n">
        <f aca="false">'☆掛負収入'!F694</f>
        <v>1337</v>
      </c>
      <c r="G694" s="206" t="n">
        <f aca="false">SUM(B694:F694)</f>
        <v>2585237</v>
      </c>
      <c r="H694" s="619" t="n">
        <f aca="false">'☆掛負収入'!H694</f>
        <v>717870</v>
      </c>
      <c r="I694" s="449" t="n">
        <f aca="false">'☆掛負収入'!I694</f>
        <v>719305</v>
      </c>
      <c r="J694" s="160" t="n">
        <f aca="false">SUM(H694:I694)</f>
        <v>1437175</v>
      </c>
      <c r="K694" s="464" t="n">
        <f aca="false">'☆掛負収入'!K694</f>
        <v>64227</v>
      </c>
      <c r="L694" s="449" t="n">
        <f aca="false">'☆掛負収入'!L694</f>
        <v>64227</v>
      </c>
      <c r="M694" s="160" t="n">
        <f aca="false">SUM(K694:L694)</f>
        <v>128454</v>
      </c>
      <c r="N694" s="464" t="n">
        <f aca="false">'☆掛負収入'!N694</f>
        <v>1</v>
      </c>
      <c r="O694" s="449" t="n">
        <f aca="false">'☆掛負収入'!O694</f>
        <v>1</v>
      </c>
      <c r="P694" s="160" t="n">
        <f aca="false">SUM(N694:O694)</f>
        <v>2</v>
      </c>
    </row>
    <row r="695" customFormat="false" ht="18.75" hidden="false" customHeight="true" outlineLevel="0" collapsed="false">
      <c r="A695" s="146" t="str">
        <f aca="false">'☆掛負収入'!A695</f>
        <v>社会福祉協議会</v>
      </c>
      <c r="B695" s="431" t="n">
        <f aca="false">'☆掛負収入'!B695</f>
        <v>0</v>
      </c>
      <c r="C695" s="160" t="n">
        <f aca="false">'☆掛負収入'!C695</f>
        <v>0</v>
      </c>
      <c r="D695" s="431" t="n">
        <f aca="false">'☆掛負収入'!D695</f>
        <v>245220</v>
      </c>
      <c r="E695" s="464" t="n">
        <f aca="false">'☆掛負収入'!E695</f>
        <v>20100</v>
      </c>
      <c r="F695" s="248" t="n">
        <f aca="false">'☆掛負収入'!F695</f>
        <v>251</v>
      </c>
      <c r="G695" s="206" t="n">
        <f aca="false">SUM(B695:F695)</f>
        <v>265571</v>
      </c>
      <c r="H695" s="619" t="n">
        <f aca="false">'☆掛負収入'!H695</f>
        <v>0</v>
      </c>
      <c r="I695" s="449" t="n">
        <f aca="false">'☆掛負収入'!I695</f>
        <v>151001</v>
      </c>
      <c r="J695" s="160" t="n">
        <f aca="false">SUM(H695:I695)</f>
        <v>151001</v>
      </c>
      <c r="K695" s="464" t="n">
        <f aca="false">'☆掛負収入'!K695</f>
        <v>0</v>
      </c>
      <c r="L695" s="449" t="n">
        <f aca="false">'☆掛負収入'!L695</f>
        <v>10744</v>
      </c>
      <c r="M695" s="160" t="n">
        <f aca="false">SUM(K695:L695)</f>
        <v>10744</v>
      </c>
      <c r="N695" s="464" t="n">
        <f aca="false">'☆掛負収入'!N695</f>
        <v>0</v>
      </c>
      <c r="O695" s="449" t="n">
        <f aca="false">'☆掛負収入'!O695</f>
        <v>1</v>
      </c>
      <c r="P695" s="160" t="n">
        <f aca="false">SUM(N695:O695)</f>
        <v>1</v>
      </c>
    </row>
    <row r="696" customFormat="false" ht="18.75" hidden="false" customHeight="true" outlineLevel="0" collapsed="false">
      <c r="A696" s="228" t="s">
        <v>532</v>
      </c>
      <c r="B696" s="431" t="n">
        <f aca="false">'☆掛負収入'!B698</f>
        <v>0</v>
      </c>
      <c r="C696" s="160" t="n">
        <f aca="false">'☆掛負収入'!C698</f>
        <v>0</v>
      </c>
      <c r="D696" s="431" t="n">
        <f aca="false">'☆掛負収入'!D698</f>
        <v>0</v>
      </c>
      <c r="E696" s="464" t="n">
        <f aca="false">'☆掛負収入'!E698</f>
        <v>0</v>
      </c>
      <c r="F696" s="248" t="n">
        <f aca="false">'☆掛負収入'!F698</f>
        <v>0</v>
      </c>
      <c r="G696" s="206" t="n">
        <f aca="false">SUM(B696:F696)</f>
        <v>0</v>
      </c>
      <c r="H696" s="619" t="n">
        <f aca="false">'☆掛負収入'!H698</f>
        <v>0</v>
      </c>
      <c r="I696" s="449" t="n">
        <f aca="false">'☆掛負収入'!I698</f>
        <v>0</v>
      </c>
      <c r="J696" s="160" t="n">
        <f aca="false">SUM(H696:I696)</f>
        <v>0</v>
      </c>
      <c r="K696" s="464" t="n">
        <f aca="false">'☆掛負収入'!K698</f>
        <v>0</v>
      </c>
      <c r="L696" s="449" t="n">
        <f aca="false">'☆掛負収入'!L698</f>
        <v>0</v>
      </c>
      <c r="M696" s="160" t="n">
        <f aca="false">SUM(K696:L696)</f>
        <v>0</v>
      </c>
      <c r="N696" s="464" t="n">
        <f aca="false">'☆掛負収入'!N698</f>
        <v>0</v>
      </c>
      <c r="O696" s="449" t="n">
        <f aca="false">'☆掛負収入'!O698</f>
        <v>0</v>
      </c>
      <c r="P696" s="160" t="n">
        <f aca="false">SUM(N696:O696)</f>
        <v>0</v>
      </c>
    </row>
    <row r="697" customFormat="false" ht="18.75" hidden="false" customHeight="true" outlineLevel="0" collapsed="false">
      <c r="A697" s="146" t="str">
        <f aca="false">'☆掛負収入'!A699</f>
        <v>全国市長会</v>
      </c>
      <c r="B697" s="431" t="n">
        <f aca="false">'☆掛負収入'!B699</f>
        <v>59475</v>
      </c>
      <c r="C697" s="160" t="n">
        <f aca="false">'☆掛負収入'!C699</f>
        <v>4875</v>
      </c>
      <c r="D697" s="431" t="n">
        <f aca="false">'☆掛負収入'!D699</f>
        <v>59475</v>
      </c>
      <c r="E697" s="464" t="n">
        <f aca="false">'☆掛負収入'!E699</f>
        <v>4875</v>
      </c>
      <c r="F697" s="248" t="n">
        <f aca="false">'☆掛負収入'!F699</f>
        <v>61</v>
      </c>
      <c r="G697" s="206" t="n">
        <f aca="false">SUM(B697:F697)</f>
        <v>128761</v>
      </c>
      <c r="H697" s="619" t="n">
        <f aca="false">'☆掛負収入'!H699</f>
        <v>41257</v>
      </c>
      <c r="I697" s="449" t="n">
        <f aca="false">'☆掛負収入'!I699</f>
        <v>41332</v>
      </c>
      <c r="J697" s="160" t="n">
        <f aca="false">SUM(H697:I697)</f>
        <v>82589</v>
      </c>
      <c r="K697" s="464" t="n">
        <f aca="false">'☆掛負収入'!K699</f>
        <v>5925</v>
      </c>
      <c r="L697" s="449" t="n">
        <f aca="false">'☆掛負収入'!L699</f>
        <v>5925</v>
      </c>
      <c r="M697" s="160" t="n">
        <f aca="false">SUM(K697:L697)</f>
        <v>11850</v>
      </c>
      <c r="N697" s="464" t="n">
        <f aca="false">'☆掛負収入'!N699</f>
        <v>1</v>
      </c>
      <c r="O697" s="449" t="n">
        <f aca="false">'☆掛負収入'!O699</f>
        <v>1</v>
      </c>
      <c r="P697" s="160" t="n">
        <f aca="false">SUM(N697:O697)</f>
        <v>2</v>
      </c>
    </row>
    <row r="698" customFormat="false" ht="18.75" hidden="false" customHeight="true" outlineLevel="0" collapsed="false">
      <c r="A698" s="233"/>
      <c r="B698" s="431"/>
      <c r="C698" s="418"/>
      <c r="D698" s="431"/>
      <c r="E698" s="464"/>
      <c r="F698" s="160"/>
      <c r="G698" s="206"/>
      <c r="H698" s="619"/>
      <c r="I698" s="449"/>
      <c r="J698" s="160"/>
      <c r="K698" s="464"/>
      <c r="L698" s="449"/>
      <c r="M698" s="160"/>
      <c r="N698" s="464"/>
      <c r="O698" s="449"/>
      <c r="P698" s="160"/>
    </row>
    <row r="699" customFormat="false" ht="18.75" hidden="false" customHeight="true" outlineLevel="0" collapsed="false">
      <c r="A699" s="233"/>
      <c r="B699" s="620"/>
      <c r="C699" s="391"/>
      <c r="D699" s="620"/>
      <c r="E699" s="621"/>
      <c r="F699" s="418"/>
      <c r="G699" s="206"/>
      <c r="H699" s="620"/>
      <c r="I699" s="465"/>
      <c r="J699" s="160"/>
      <c r="K699" s="621"/>
      <c r="L699" s="465"/>
      <c r="M699" s="160"/>
      <c r="N699" s="621"/>
      <c r="O699" s="465"/>
      <c r="P699" s="160"/>
    </row>
    <row r="700" customFormat="false" ht="18.75" hidden="false" customHeight="true" outlineLevel="0" collapsed="false">
      <c r="A700" s="217"/>
      <c r="B700" s="431"/>
      <c r="C700" s="206"/>
      <c r="D700" s="431"/>
      <c r="E700" s="617"/>
      <c r="F700" s="160"/>
      <c r="G700" s="206"/>
      <c r="H700" s="431"/>
      <c r="I700" s="644"/>
      <c r="J700" s="160"/>
      <c r="K700" s="617"/>
      <c r="L700" s="644"/>
      <c r="M700" s="160"/>
      <c r="N700" s="617"/>
      <c r="O700" s="644"/>
      <c r="P700" s="160"/>
    </row>
    <row r="701" customFormat="false" ht="18.75" hidden="false" customHeight="true" outlineLevel="0" collapsed="false">
      <c r="A701" s="217"/>
      <c r="B701" s="620"/>
      <c r="C701" s="418"/>
      <c r="D701" s="621"/>
      <c r="E701" s="465"/>
      <c r="F701" s="418"/>
      <c r="G701" s="391"/>
      <c r="H701" s="431"/>
      <c r="I701" s="465"/>
      <c r="J701" s="160"/>
      <c r="K701" s="621"/>
      <c r="L701" s="465"/>
      <c r="M701" s="160"/>
      <c r="N701" s="621"/>
      <c r="O701" s="465"/>
      <c r="P701" s="160"/>
    </row>
    <row r="702" customFormat="false" ht="18.75" hidden="false" customHeight="true" outlineLevel="0" collapsed="false">
      <c r="A702" s="630"/>
      <c r="B702" s="647"/>
      <c r="C702" s="278"/>
      <c r="D702" s="648"/>
      <c r="E702" s="649"/>
      <c r="F702" s="278"/>
      <c r="G702" s="646"/>
      <c r="H702" s="647"/>
      <c r="I702" s="648"/>
      <c r="J702" s="648" t="n">
        <f aca="false">SUM(H702:I702)</f>
        <v>0</v>
      </c>
      <c r="K702" s="647"/>
      <c r="L702" s="648"/>
      <c r="M702" s="722" t="n">
        <f aca="false">SUM(K702:L702)</f>
        <v>0</v>
      </c>
      <c r="N702" s="647"/>
      <c r="O702" s="648"/>
      <c r="P702" s="722" t="n">
        <f aca="false">SUM(N702:O702)</f>
        <v>0</v>
      </c>
    </row>
    <row r="703" customFormat="false" ht="18.75" hidden="false" customHeight="true" outlineLevel="0" collapsed="false">
      <c r="A703" s="196" t="str">
        <f aca="false">'☆掛負収入'!A703</f>
        <v>小　計</v>
      </c>
      <c r="B703" s="429" t="n">
        <f aca="false">SUM(B673:B702)</f>
        <v>2753235</v>
      </c>
      <c r="C703" s="200" t="n">
        <f aca="false">SUM(C673:C702)</f>
        <v>225675</v>
      </c>
      <c r="D703" s="429" t="n">
        <f aca="false">SUM(D673:D702)</f>
        <v>8716290</v>
      </c>
      <c r="E703" s="301" t="n">
        <f aca="false">SUM(E673:E702)</f>
        <v>714450</v>
      </c>
      <c r="F703" s="200" t="n">
        <f aca="false">SUM(F673:F702)</f>
        <v>9159</v>
      </c>
      <c r="G703" s="201" t="n">
        <f aca="false">SUM(B703:F703)</f>
        <v>12418809</v>
      </c>
      <c r="H703" s="429" t="n">
        <f aca="false">SUM(H673:H702)</f>
        <v>1666230</v>
      </c>
      <c r="I703" s="199" t="n">
        <f aca="false">SUM(I673:I702)</f>
        <v>5410314</v>
      </c>
      <c r="J703" s="200" t="n">
        <f aca="false">SUM(H703:I703)</f>
        <v>7076544</v>
      </c>
      <c r="K703" s="429" t="n">
        <f aca="false">SUM(K673:K702)</f>
        <v>149231</v>
      </c>
      <c r="L703" s="199" t="n">
        <f aca="false">SUM(L673:L702)</f>
        <v>584679</v>
      </c>
      <c r="M703" s="198" t="n">
        <f aca="false">SUM(K703:L703)</f>
        <v>733910</v>
      </c>
      <c r="N703" s="429" t="n">
        <f aca="false">SUM(N673:N702)</f>
        <v>9</v>
      </c>
      <c r="O703" s="199" t="n">
        <f aca="false">SUM(O673:O702)</f>
        <v>20</v>
      </c>
      <c r="P703" s="198" t="n">
        <f aca="false">SUM(N703:O703)</f>
        <v>29</v>
      </c>
    </row>
    <row r="704" customFormat="false" ht="18.75" hidden="true" customHeight="true" outlineLevel="0" collapsed="false">
      <c r="A704" s="629"/>
      <c r="B704" s="647"/>
      <c r="C704" s="278"/>
      <c r="D704" s="648"/>
      <c r="E704" s="649"/>
      <c r="F704" s="650"/>
      <c r="G704" s="651"/>
      <c r="H704" s="652"/>
      <c r="I704" s="653"/>
      <c r="J704" s="654"/>
      <c r="K704" s="655"/>
      <c r="L704" s="656"/>
      <c r="M704" s="657"/>
      <c r="N704" s="655"/>
      <c r="O704" s="656"/>
      <c r="P704" s="657"/>
    </row>
    <row r="705" customFormat="false" ht="18.75" hidden="true" customHeight="true" outlineLevel="0" collapsed="false">
      <c r="A705" s="658"/>
      <c r="B705" s="631"/>
      <c r="C705" s="633"/>
      <c r="D705" s="648"/>
      <c r="E705" s="649"/>
      <c r="F705" s="278"/>
      <c r="G705" s="646"/>
      <c r="H705" s="659"/>
      <c r="I705" s="660"/>
      <c r="J705" s="408"/>
      <c r="K705" s="661"/>
      <c r="L705" s="662"/>
      <c r="M705" s="663"/>
      <c r="N705" s="661"/>
      <c r="O705" s="662"/>
      <c r="P705" s="663"/>
    </row>
    <row r="706" customFormat="false" ht="18.75" hidden="false" customHeight="true" outlineLevel="0" collapsed="false">
      <c r="A706" s="214" t="str">
        <f aca="false">'☆掛負収入'!A706</f>
        <v>高速交通（株）</v>
      </c>
      <c r="B706" s="489" t="n">
        <f aca="false">'☆掛負収入'!B706</f>
        <v>145485</v>
      </c>
      <c r="C706" s="491" t="n">
        <f aca="false">'☆掛負収入'!C706</f>
        <v>11925</v>
      </c>
      <c r="D706" s="477" t="n">
        <f aca="false">'☆掛負収入'!D706</f>
        <v>145485</v>
      </c>
      <c r="E706" s="487" t="n">
        <f aca="false">'☆掛負収入'!E706</f>
        <v>11925</v>
      </c>
      <c r="F706" s="479" t="n">
        <f aca="false">'☆掛負収入'!F706</f>
        <v>149</v>
      </c>
      <c r="G706" s="391" t="n">
        <f aca="false">SUM(B706:F706)</f>
        <v>314969</v>
      </c>
      <c r="H706" s="665"/>
      <c r="I706" s="665"/>
      <c r="J706" s="665"/>
      <c r="K706" s="665"/>
      <c r="L706" s="665"/>
      <c r="M706" s="665"/>
      <c r="N706" s="665"/>
      <c r="O706" s="665"/>
      <c r="P706" s="665"/>
    </row>
    <row r="707" customFormat="false" ht="18.75" hidden="false" customHeight="true" outlineLevel="0" collapsed="false">
      <c r="A707" s="666" t="s">
        <v>209</v>
      </c>
      <c r="B707" s="489" t="n">
        <f aca="false">'☆掛負収入'!B707</f>
        <v>53985</v>
      </c>
      <c r="C707" s="491" t="n">
        <f aca="false">'☆掛負収入'!C707</f>
        <v>4425</v>
      </c>
      <c r="D707" s="477" t="n">
        <f aca="false">'☆掛負収入'!D707</f>
        <v>53985</v>
      </c>
      <c r="E707" s="487" t="n">
        <f aca="false">'☆掛負収入'!E707</f>
        <v>4425</v>
      </c>
      <c r="F707" s="479" t="n">
        <f aca="false">'☆掛負収入'!F707</f>
        <v>55</v>
      </c>
      <c r="G707" s="391" t="n">
        <f aca="false">SUM(B707:F707)</f>
        <v>116875</v>
      </c>
      <c r="H707" s="665"/>
      <c r="I707" s="665"/>
      <c r="J707" s="665"/>
      <c r="K707" s="665"/>
      <c r="L707" s="665"/>
      <c r="M707" s="665"/>
      <c r="N707" s="665"/>
      <c r="O707" s="665"/>
      <c r="P707" s="665"/>
    </row>
    <row r="708" customFormat="false" ht="18.75" hidden="false" customHeight="true" outlineLevel="0" collapsed="false">
      <c r="A708" s="196" t="str">
        <f aca="false">'☆掛負収入'!A708</f>
        <v>小　計</v>
      </c>
      <c r="B708" s="197" t="n">
        <f aca="false">SUM(B706:B707)</f>
        <v>199470</v>
      </c>
      <c r="C708" s="200" t="n">
        <f aca="false">SUM(C704:C707)</f>
        <v>16350</v>
      </c>
      <c r="D708" s="681" t="n">
        <f aca="false">SUM(D704:D707)</f>
        <v>199470</v>
      </c>
      <c r="E708" s="199" t="n">
        <f aca="false">SUM(E704:E707)</f>
        <v>16350</v>
      </c>
      <c r="F708" s="201" t="n">
        <f aca="false">SUM(F704:F707)</f>
        <v>204</v>
      </c>
      <c r="G708" s="200" t="n">
        <f aca="false">SUM(B708:F708)</f>
        <v>431844</v>
      </c>
      <c r="H708" s="665"/>
      <c r="I708" s="665"/>
      <c r="J708" s="665"/>
      <c r="K708" s="665"/>
      <c r="L708" s="665"/>
      <c r="M708" s="665"/>
      <c r="N708" s="665"/>
      <c r="O708" s="665"/>
      <c r="P708" s="665"/>
    </row>
    <row r="709" customFormat="false" ht="18.75" hidden="false" customHeight="true" outlineLevel="0" collapsed="false">
      <c r="A709" s="125" t="str">
        <f aca="false">'☆掛負収入'!A709</f>
        <v>市職員労働組合</v>
      </c>
      <c r="B709" s="474" t="n">
        <f aca="false">'☆掛負収入'!B709</f>
        <v>29280</v>
      </c>
      <c r="C709" s="248" t="n">
        <f aca="false">'☆掛負収入'!C709</f>
        <v>2400</v>
      </c>
      <c r="D709" s="470" t="n">
        <f aca="false">'☆掛負収入'!D709</f>
        <v>29280</v>
      </c>
      <c r="E709" s="488" t="n">
        <f aca="false">'☆掛負収入'!E709</f>
        <v>2400</v>
      </c>
      <c r="F709" s="221"/>
      <c r="G709" s="206" t="n">
        <f aca="false">SUM(B709:F709)</f>
        <v>63360</v>
      </c>
      <c r="H709" s="619" t="n">
        <f aca="false">'☆掛負収入'!H709</f>
        <v>17603</v>
      </c>
      <c r="I709" s="449" t="n">
        <f aca="false">'☆掛負収入'!I709</f>
        <v>17635</v>
      </c>
      <c r="J709" s="160" t="n">
        <f aca="false">SUM(H709:I709)</f>
        <v>35238</v>
      </c>
      <c r="K709" s="476" t="n">
        <f aca="false">'☆掛負収入'!K709</f>
        <v>2528</v>
      </c>
      <c r="L709" s="487" t="n">
        <f aca="false">'☆掛負収入'!L709</f>
        <v>2528</v>
      </c>
      <c r="M709" s="471" t="n">
        <f aca="false">SUM(K709:L709)</f>
        <v>5056</v>
      </c>
      <c r="N709" s="476" t="n">
        <f aca="false">'☆掛負収入'!N709</f>
        <v>1</v>
      </c>
      <c r="O709" s="487" t="n">
        <f aca="false">'☆掛負収入'!O709</f>
        <v>1</v>
      </c>
      <c r="P709" s="471" t="n">
        <f aca="false">SUM(N709:O709)</f>
        <v>2</v>
      </c>
    </row>
    <row r="710" customFormat="false" ht="18.75" hidden="false" customHeight="true" outlineLevel="0" collapsed="false">
      <c r="A710" s="125" t="str">
        <f aca="false">'☆掛負収入'!A710</f>
        <v>自治労労働組合</v>
      </c>
      <c r="B710" s="474" t="n">
        <f aca="false">'☆掛負収入'!B710</f>
        <v>0</v>
      </c>
      <c r="C710" s="402" t="n">
        <f aca="false">'☆掛負収入'!C710</f>
        <v>0</v>
      </c>
      <c r="D710" s="474" t="n">
        <f aca="false">'☆掛負収入'!D710</f>
        <v>0</v>
      </c>
      <c r="E710" s="488" t="n">
        <f aca="false">'☆掛負収入'!E710</f>
        <v>0</v>
      </c>
      <c r="F710" s="221"/>
      <c r="G710" s="206" t="n">
        <f aca="false">SUM(B710:F710)</f>
        <v>0</v>
      </c>
      <c r="H710" s="619" t="n">
        <f aca="false">'☆掛負収入'!H710</f>
        <v>0</v>
      </c>
      <c r="I710" s="449" t="n">
        <f aca="false">'☆掛負収入'!I710</f>
        <v>0</v>
      </c>
      <c r="J710" s="160" t="n">
        <f aca="false">SUM(H710:I710)</f>
        <v>0</v>
      </c>
      <c r="K710" s="619" t="n">
        <f aca="false">'☆掛負収入'!K710</f>
        <v>0</v>
      </c>
      <c r="L710" s="449" t="n">
        <f aca="false">'☆掛負収入'!L710</f>
        <v>0</v>
      </c>
      <c r="M710" s="160" t="n">
        <f aca="false">SUM(K710:L710)</f>
        <v>0</v>
      </c>
      <c r="N710" s="619" t="n">
        <f aca="false">'☆掛負収入'!N710</f>
        <v>0</v>
      </c>
      <c r="O710" s="449" t="n">
        <f aca="false">'☆掛負収入'!O710</f>
        <v>0</v>
      </c>
      <c r="P710" s="160" t="n">
        <f aca="false">SUM(N710:O710)</f>
        <v>0</v>
      </c>
    </row>
    <row r="711" customFormat="false" ht="18.75" hidden="false" customHeight="true" outlineLevel="0" collapsed="false">
      <c r="A711" s="125" t="str">
        <f aca="false">'☆掛負収入'!A711</f>
        <v>病院労働組合</v>
      </c>
      <c r="B711" s="474" t="n">
        <f aca="false">'☆掛負収入'!B711</f>
        <v>23790</v>
      </c>
      <c r="C711" s="402" t="n">
        <f aca="false">'☆掛負収入'!C711</f>
        <v>1950</v>
      </c>
      <c r="D711" s="474" t="n">
        <f aca="false">'☆掛負収入'!D711</f>
        <v>23790</v>
      </c>
      <c r="E711" s="488" t="n">
        <f aca="false">'☆掛負収入'!E711</f>
        <v>1950</v>
      </c>
      <c r="F711" s="221"/>
      <c r="G711" s="206" t="n">
        <f aca="false">SUM(B711:F711)</f>
        <v>51480</v>
      </c>
      <c r="H711" s="619" t="n">
        <f aca="false">'☆掛負収入'!H711</f>
        <v>30805</v>
      </c>
      <c r="I711" s="449" t="n">
        <f aca="false">'☆掛負収入'!I711</f>
        <v>30861</v>
      </c>
      <c r="J711" s="160" t="n">
        <f aca="false">SUM(H711:I711)</f>
        <v>61666</v>
      </c>
      <c r="K711" s="619" t="n">
        <f aca="false">'☆掛負収入'!K711</f>
        <v>2370</v>
      </c>
      <c r="L711" s="449" t="n">
        <f aca="false">'☆掛負収入'!L711</f>
        <v>2370</v>
      </c>
      <c r="M711" s="160" t="n">
        <f aca="false">SUM(K711:L711)</f>
        <v>4740</v>
      </c>
      <c r="N711" s="619" t="n">
        <f aca="false">'☆掛負収入'!N711</f>
        <v>1</v>
      </c>
      <c r="O711" s="449" t="n">
        <f aca="false">'☆掛負収入'!O711</f>
        <v>1</v>
      </c>
      <c r="P711" s="160" t="n">
        <f aca="false">SUM(N711:O711)</f>
        <v>2</v>
      </c>
    </row>
    <row r="712" customFormat="false" ht="18.75" hidden="false" customHeight="true" outlineLevel="0" collapsed="false">
      <c r="A712" s="302" t="str">
        <f aca="false">'☆掛負収入'!A712</f>
        <v>水道労働組合</v>
      </c>
      <c r="B712" s="673"/>
      <c r="C712" s="444"/>
      <c r="D712" s="673"/>
      <c r="E712" s="623"/>
      <c r="F712" s="296"/>
      <c r="G712" s="206" t="n">
        <f aca="false">SUM(B712:F712)</f>
        <v>0</v>
      </c>
      <c r="H712" s="674"/>
      <c r="I712" s="675"/>
      <c r="J712" s="160" t="n">
        <f aca="false">SUM(H712:I712)</f>
        <v>0</v>
      </c>
      <c r="K712" s="676"/>
      <c r="L712" s="677"/>
      <c r="M712" s="160" t="n">
        <f aca="false">SUM(K712:L712)</f>
        <v>0</v>
      </c>
      <c r="N712" s="676"/>
      <c r="O712" s="677"/>
      <c r="P712" s="160" t="n">
        <f aca="false">SUM(N712:O712)</f>
        <v>0</v>
      </c>
    </row>
    <row r="713" customFormat="false" ht="18.75" hidden="false" customHeight="true" outlineLevel="0" collapsed="false">
      <c r="A713" s="196" t="str">
        <f aca="false">'☆掛負収入'!A713</f>
        <v>小　計</v>
      </c>
      <c r="B713" s="429" t="n">
        <f aca="false">SUM(B709:B712)</f>
        <v>53070</v>
      </c>
      <c r="C713" s="200" t="n">
        <f aca="false">SUM(C709:C712)</f>
        <v>4350</v>
      </c>
      <c r="D713" s="429" t="n">
        <f aca="false">SUM(D709:D712)</f>
        <v>53070</v>
      </c>
      <c r="E713" s="199" t="n">
        <f aca="false">SUM(E709:E712)</f>
        <v>4350</v>
      </c>
      <c r="F713" s="198" t="n">
        <f aca="false">SUM(F709:F712)</f>
        <v>0</v>
      </c>
      <c r="G713" s="197" t="n">
        <f aca="false">SUM(B713:F713)</f>
        <v>114840</v>
      </c>
      <c r="H713" s="429" t="n">
        <f aca="false">SUM(H709:H712)</f>
        <v>48408</v>
      </c>
      <c r="I713" s="199" t="n">
        <f aca="false">SUM(I709:I712)</f>
        <v>48496</v>
      </c>
      <c r="J713" s="200" t="n">
        <f aca="false">SUM(H713:I713)</f>
        <v>96904</v>
      </c>
      <c r="K713" s="197" t="n">
        <f aca="false">SUM(K709:K712)</f>
        <v>4898</v>
      </c>
      <c r="L713" s="198" t="n">
        <f aca="false">SUM(L709:L712)</f>
        <v>4898</v>
      </c>
      <c r="M713" s="200" t="n">
        <f aca="false">SUM(K713:L713)</f>
        <v>9796</v>
      </c>
      <c r="N713" s="197" t="n">
        <f aca="false">SUM(N709:N712)</f>
        <v>2</v>
      </c>
      <c r="O713" s="198" t="n">
        <f aca="false">SUM(O709:O712)</f>
        <v>2</v>
      </c>
      <c r="P713" s="200" t="n">
        <f aca="false">SUM(N713:O713)</f>
        <v>4</v>
      </c>
    </row>
    <row r="714" customFormat="false" ht="18.75" hidden="false" customHeight="true" outlineLevel="0" collapsed="false">
      <c r="A714" s="302" t="str">
        <f aca="false">'☆掛負収入'!A714</f>
        <v>任意継続組合員</v>
      </c>
      <c r="B714" s="281"/>
      <c r="C714" s="523"/>
      <c r="D714" s="524"/>
      <c r="E714" s="525"/>
      <c r="F714" s="296"/>
      <c r="G714" s="293"/>
      <c r="H714" s="678"/>
      <c r="I714" s="282"/>
      <c r="J714" s="283"/>
      <c r="K714" s="524"/>
      <c r="L714" s="679"/>
      <c r="M714" s="292"/>
      <c r="N714" s="524"/>
      <c r="O714" s="679"/>
      <c r="P714" s="292"/>
    </row>
    <row r="715" customFormat="false" ht="30" hidden="false" customHeight="true" outlineLevel="0" collapsed="false">
      <c r="A715" s="680" t="str">
        <f aca="false">'☆掛負収入'!A715</f>
        <v>総　　計</v>
      </c>
      <c r="B715" s="429" t="n">
        <f aca="false">SUM(B672+B703+B708+B713)</f>
        <v>3005775</v>
      </c>
      <c r="C715" s="200" t="n">
        <f aca="false">SUM(C672+C703+C708+C713)</f>
        <v>246375</v>
      </c>
      <c r="D715" s="681" t="n">
        <f aca="false">SUM(D672+D703+D708+D713)</f>
        <v>8968830</v>
      </c>
      <c r="E715" s="199" t="n">
        <f aca="false">SUM(E672+E703+E708+E713)</f>
        <v>735150</v>
      </c>
      <c r="F715" s="201" t="n">
        <f aca="false">SUM(F672+F703+F708+F713)</f>
        <v>9363</v>
      </c>
      <c r="G715" s="197" t="n">
        <f aca="false">SUM(B715:F715)</f>
        <v>12965493</v>
      </c>
      <c r="H715" s="429" t="n">
        <f aca="false">SUM(H672+H703+H708+H713+H714)</f>
        <v>1714638</v>
      </c>
      <c r="I715" s="199" t="n">
        <f aca="false">SUM(I672+I703+I708+I713+I714)</f>
        <v>5458810</v>
      </c>
      <c r="J715" s="200" t="n">
        <f aca="false">SUM(H715:I715)</f>
        <v>7173448</v>
      </c>
      <c r="K715" s="197" t="n">
        <f aca="false">K672+K703+K708+K713+K714</f>
        <v>154129</v>
      </c>
      <c r="L715" s="198" t="n">
        <f aca="false">L672+L703+L708+L713</f>
        <v>589577</v>
      </c>
      <c r="M715" s="200" t="n">
        <f aca="false">SUM(K715:L715)</f>
        <v>743706</v>
      </c>
      <c r="N715" s="197" t="n">
        <f aca="false">N672+N703+N708+N713+N714</f>
        <v>11</v>
      </c>
      <c r="O715" s="198" t="n">
        <f aca="false">O672+O703+O708+O713</f>
        <v>22</v>
      </c>
      <c r="P715" s="200" t="n">
        <f aca="false">SUM(N715:O715)</f>
        <v>33</v>
      </c>
    </row>
    <row r="716" customFormat="false" ht="18.75" hidden="false" customHeight="true" outlineLevel="0" collapsed="false">
      <c r="A716" s="340"/>
      <c r="B716" s="341"/>
      <c r="C716" s="341"/>
      <c r="D716" s="341"/>
      <c r="E716" s="341"/>
      <c r="F716" s="341"/>
      <c r="G716" s="341"/>
      <c r="H716" s="341"/>
      <c r="I716" s="341"/>
      <c r="J716" s="341"/>
      <c r="K716" s="341"/>
      <c r="L716" s="341"/>
      <c r="M716" s="341"/>
      <c r="N716" s="341"/>
      <c r="O716" s="341"/>
      <c r="P716" s="341"/>
    </row>
    <row r="717" customFormat="false" ht="30" hidden="false" customHeight="true" outlineLevel="0" collapsed="false">
      <c r="A717" s="320"/>
      <c r="B717" s="416" t="n">
        <f aca="false">'☆掛負収入'!B717</f>
        <v>46418</v>
      </c>
      <c r="C717" s="416" t="n">
        <f aca="false">'☆掛負収入'!C717</f>
        <v>0</v>
      </c>
      <c r="D717" s="416" t="n">
        <f aca="false">'☆掛負収入'!D717</f>
        <v>0</v>
      </c>
      <c r="E717" s="416" t="n">
        <f aca="false">'☆掛負収入'!E717</f>
        <v>0</v>
      </c>
      <c r="F717" s="416" t="n">
        <f aca="false">'☆掛負収入'!F717</f>
        <v>0</v>
      </c>
      <c r="G717" s="416" t="n">
        <f aca="false">'☆掛負収入'!G717</f>
        <v>0</v>
      </c>
      <c r="H717" s="416" t="n">
        <f aca="false">'☆掛負収入'!H717</f>
        <v>46418</v>
      </c>
      <c r="I717" s="416" t="n">
        <f aca="false">'☆掛負収入'!I717</f>
        <v>0</v>
      </c>
      <c r="J717" s="416" t="n">
        <f aca="false">'☆掛負収入'!J717</f>
        <v>0</v>
      </c>
      <c r="K717" s="416" t="n">
        <f aca="false">'☆掛負収入'!K717</f>
        <v>46418</v>
      </c>
      <c r="L717" s="416" t="n">
        <f aca="false">'☆掛負収入'!L717</f>
        <v>0</v>
      </c>
      <c r="M717" s="416" t="n">
        <f aca="false">'☆掛負収入'!M717</f>
        <v>0</v>
      </c>
      <c r="N717" s="416" t="n">
        <f aca="false">'☆掛負収入'!N717</f>
        <v>46418</v>
      </c>
      <c r="O717" s="416" t="n">
        <f aca="false">'☆掛負収入'!O717</f>
        <v>0</v>
      </c>
      <c r="P717" s="416" t="n">
        <f aca="false">'☆掛負収入'!P717</f>
        <v>0</v>
      </c>
    </row>
    <row r="718" customFormat="false" ht="22.5" hidden="false" customHeight="true" outlineLevel="0" collapsed="false">
      <c r="A718" s="114" t="str">
        <f aca="false">'☆掛負収入'!A718</f>
        <v>区　　分</v>
      </c>
      <c r="B718" s="114" t="str">
        <f aca="false">'☆掛負収入'!B718</f>
        <v>長　期　経　理</v>
      </c>
      <c r="C718" s="114" t="n">
        <f aca="false">'☆掛負収入'!C718</f>
        <v>0</v>
      </c>
      <c r="D718" s="114" t="n">
        <f aca="false">'☆掛負収入'!D718</f>
        <v>0</v>
      </c>
      <c r="E718" s="114" t="n">
        <f aca="false">'☆掛負収入'!E718</f>
        <v>0</v>
      </c>
      <c r="F718" s="114" t="n">
        <f aca="false">'☆掛負収入'!F718</f>
        <v>0</v>
      </c>
      <c r="G718" s="114" t="n">
        <f aca="false">'☆掛負収入'!G718</f>
        <v>0</v>
      </c>
      <c r="H718" s="116" t="str">
        <f aca="false">'☆掛負収入'!H718</f>
        <v>短　期　経　理</v>
      </c>
      <c r="I718" s="116" t="n">
        <f aca="false">'☆掛負収入'!I718</f>
        <v>0</v>
      </c>
      <c r="J718" s="116" t="n">
        <f aca="false">'☆掛負収入'!J718</f>
        <v>0</v>
      </c>
      <c r="K718" s="116" t="str">
        <f aca="false">'☆掛負収入'!K718</f>
        <v>介　護　納　付　金</v>
      </c>
      <c r="L718" s="116" t="n">
        <f aca="false">'☆掛負収入'!L718</f>
        <v>0</v>
      </c>
      <c r="M718" s="116" t="n">
        <f aca="false">'☆掛負収入'!M718</f>
        <v>0</v>
      </c>
      <c r="N718" s="116" t="str">
        <f aca="false">'☆掛負収入'!N718</f>
        <v>子ども・子育て支援納付金</v>
      </c>
      <c r="O718" s="116" t="n">
        <f aca="false">'☆掛負収入'!O718</f>
        <v>0</v>
      </c>
      <c r="P718" s="116" t="n">
        <f aca="false">'☆掛負収入'!P718</f>
        <v>0</v>
      </c>
    </row>
    <row r="719" customFormat="false" ht="22.5" hidden="false" customHeight="true" outlineLevel="0" collapsed="false">
      <c r="A719" s="114" t="n">
        <f aca="false">'☆掛負収入'!A719</f>
        <v>0</v>
      </c>
      <c r="B719" s="117" t="str">
        <f aca="false">'☆掛負収入'!B719</f>
        <v>組合員負担分</v>
      </c>
      <c r="C719" s="117" t="n">
        <f aca="false">'☆掛負収入'!C719</f>
        <v>0</v>
      </c>
      <c r="D719" s="117" t="str">
        <f aca="false">'☆掛負収入'!D719</f>
        <v>事業主負担分</v>
      </c>
      <c r="E719" s="117" t="n">
        <f aca="false">'☆掛負収入'!E719</f>
        <v>0</v>
      </c>
      <c r="F719" s="117" t="n">
        <f aca="false">'☆掛負収入'!F719</f>
        <v>0</v>
      </c>
      <c r="G719" s="611" t="str">
        <f aca="false">'☆掛負収入'!G719</f>
        <v>計</v>
      </c>
      <c r="H719" s="121" t="str">
        <f aca="false">'☆掛負収入'!H719</f>
        <v>掛　金</v>
      </c>
      <c r="I719" s="119" t="str">
        <f aca="false">'☆掛負収入'!I719</f>
        <v>負担金</v>
      </c>
      <c r="J719" s="120" t="str">
        <f aca="false">'☆掛負収入'!J719</f>
        <v>計</v>
      </c>
      <c r="K719" s="121" t="str">
        <f aca="false">'☆掛負収入'!K719</f>
        <v>掛　金</v>
      </c>
      <c r="L719" s="119" t="str">
        <f aca="false">'☆掛負収入'!L719</f>
        <v>負担金</v>
      </c>
      <c r="M719" s="120" t="str">
        <f aca="false">'☆掛負収入'!M719</f>
        <v>計</v>
      </c>
      <c r="N719" s="121" t="str">
        <f aca="false">'☆掛負収入'!N719</f>
        <v>掛　金</v>
      </c>
      <c r="O719" s="119" t="str">
        <f aca="false">'☆掛負収入'!O719</f>
        <v>負担金</v>
      </c>
      <c r="P719" s="120" t="str">
        <f aca="false">'☆掛負収入'!P719</f>
        <v>計</v>
      </c>
    </row>
    <row r="720" customFormat="false" ht="22.5" hidden="false" customHeight="true" outlineLevel="0" collapsed="false">
      <c r="A720" s="114" t="n">
        <f aca="false">'☆掛負収入'!A720</f>
        <v>0</v>
      </c>
      <c r="B720" s="612" t="str">
        <f aca="false">'☆掛負収入'!B720</f>
        <v>厚生年金保険料</v>
      </c>
      <c r="C720" s="613" t="str">
        <f aca="false">'☆掛負収入'!C720</f>
        <v>退職等年金掛金</v>
      </c>
      <c r="D720" s="614" t="str">
        <f aca="false">'☆掛負収入'!D720</f>
        <v>厚生年金保険料</v>
      </c>
      <c r="E720" s="614" t="str">
        <f aca="false">'☆掛負収入'!E720</f>
        <v>退職等年金負担金</v>
      </c>
      <c r="F720" s="615" t="str">
        <f aca="false">'☆掛負収入'!F720</f>
        <v>経過的長期</v>
      </c>
      <c r="G720" s="611" t="n">
        <f aca="false">'☆掛負収入'!G720</f>
        <v>0</v>
      </c>
      <c r="H720" s="121" t="n">
        <f aca="false">'☆掛負収入'!H720</f>
        <v>0</v>
      </c>
      <c r="I720" s="119" t="n">
        <f aca="false">'☆掛負収入'!I720</f>
        <v>0</v>
      </c>
      <c r="J720" s="120" t="n">
        <f aca="false">'☆掛負収入'!J720</f>
        <v>0</v>
      </c>
      <c r="K720" s="121" t="n">
        <f aca="false">'☆掛負収入'!K720</f>
        <v>0</v>
      </c>
      <c r="L720" s="119" t="n">
        <f aca="false">'☆掛負収入'!L720</f>
        <v>0</v>
      </c>
      <c r="M720" s="120" t="n">
        <f aca="false">'☆掛負収入'!M720</f>
        <v>0</v>
      </c>
      <c r="N720" s="121" t="n">
        <f aca="false">'☆掛負収入'!N720</f>
        <v>0</v>
      </c>
      <c r="O720" s="119" t="n">
        <f aca="false">'☆掛負収入'!O720</f>
        <v>0</v>
      </c>
      <c r="P720" s="120" t="n">
        <f aca="false">'☆掛負収入'!P720</f>
        <v>0</v>
      </c>
    </row>
    <row r="721" customFormat="false" ht="18.75" hidden="false" customHeight="true" outlineLevel="0" collapsed="false">
      <c r="A721" s="125" t="str">
        <f aca="false">'☆掛負収入'!A721</f>
        <v>市長部局</v>
      </c>
      <c r="B721" s="469"/>
      <c r="C721" s="260"/>
      <c r="D721" s="470"/>
      <c r="E721" s="470"/>
      <c r="F721" s="471"/>
      <c r="G721" s="260"/>
      <c r="H721" s="469"/>
      <c r="I721" s="472"/>
      <c r="J721" s="402"/>
      <c r="K721" s="473"/>
      <c r="L721" s="472"/>
      <c r="M721" s="402"/>
      <c r="N721" s="473"/>
      <c r="O721" s="472"/>
      <c r="P721" s="402"/>
    </row>
    <row r="722" customFormat="false" ht="18.75" hidden="false" customHeight="true" outlineLevel="0" collapsed="false">
      <c r="A722" s="125" t="str">
        <f aca="false">'☆掛負収入'!A722</f>
        <v>下水道局</v>
      </c>
      <c r="B722" s="474"/>
      <c r="C722" s="402"/>
      <c r="D722" s="470"/>
      <c r="E722" s="470"/>
      <c r="F722" s="248"/>
      <c r="G722" s="402"/>
      <c r="H722" s="473"/>
      <c r="I722" s="475"/>
      <c r="J722" s="248"/>
      <c r="K722" s="476"/>
      <c r="L722" s="477"/>
      <c r="M722" s="248"/>
      <c r="N722" s="476"/>
      <c r="O722" s="477"/>
      <c r="P722" s="248"/>
    </row>
    <row r="723" customFormat="false" ht="18.75" hidden="false" customHeight="true" outlineLevel="0" collapsed="false">
      <c r="A723" s="125" t="str">
        <f aca="false">'☆掛負収入'!A723</f>
        <v>消防局</v>
      </c>
      <c r="B723" s="431"/>
      <c r="C723" s="206"/>
      <c r="D723" s="617"/>
      <c r="E723" s="617"/>
      <c r="F723" s="160"/>
      <c r="G723" s="206"/>
      <c r="H723" s="620"/>
      <c r="I723" s="464"/>
      <c r="J723" s="160"/>
      <c r="K723" s="620"/>
      <c r="L723" s="464"/>
      <c r="M723" s="160"/>
      <c r="N723" s="620"/>
      <c r="O723" s="464"/>
      <c r="P723" s="160"/>
    </row>
    <row r="724" customFormat="false" ht="18.75" hidden="false" customHeight="true" outlineLevel="0" collapsed="false">
      <c r="A724" s="125" t="str">
        <f aca="false">'☆掛負収入'!A724</f>
        <v>議会事務局</v>
      </c>
      <c r="B724" s="431"/>
      <c r="C724" s="206"/>
      <c r="D724" s="617"/>
      <c r="E724" s="617"/>
      <c r="F724" s="160"/>
      <c r="G724" s="206"/>
      <c r="H724" s="431"/>
      <c r="I724" s="464"/>
      <c r="J724" s="160"/>
      <c r="K724" s="431"/>
      <c r="L724" s="464"/>
      <c r="M724" s="160"/>
      <c r="N724" s="431"/>
      <c r="O724" s="464"/>
      <c r="P724" s="160"/>
    </row>
    <row r="725" customFormat="false" ht="18.75" hidden="false" customHeight="true" outlineLevel="0" collapsed="false">
      <c r="A725" s="125" t="str">
        <f aca="false">'☆掛負収入'!A725</f>
        <v>教育委員会（総務課）</v>
      </c>
      <c r="B725" s="431"/>
      <c r="C725" s="206"/>
      <c r="D725" s="617"/>
      <c r="E725" s="617"/>
      <c r="F725" s="160"/>
      <c r="G725" s="206"/>
      <c r="H725" s="431"/>
      <c r="I725" s="464"/>
      <c r="J725" s="160"/>
      <c r="K725" s="431"/>
      <c r="L725" s="464"/>
      <c r="M725" s="160"/>
      <c r="N725" s="431"/>
      <c r="O725" s="464"/>
      <c r="P725" s="160"/>
    </row>
    <row r="726" customFormat="false" ht="18.75" hidden="false" customHeight="true" outlineLevel="0" collapsed="false">
      <c r="A726" s="125" t="str">
        <f aca="false">'☆掛負収入'!A726</f>
        <v>選挙管理委員会</v>
      </c>
      <c r="B726" s="431"/>
      <c r="C726" s="206"/>
      <c r="D726" s="617"/>
      <c r="E726" s="617"/>
      <c r="F726" s="160"/>
      <c r="G726" s="206"/>
      <c r="H726" s="619"/>
      <c r="I726" s="449"/>
      <c r="J726" s="160"/>
      <c r="K726" s="431"/>
      <c r="L726" s="464"/>
      <c r="M726" s="160"/>
      <c r="N726" s="431"/>
      <c r="O726" s="464"/>
      <c r="P726" s="160"/>
    </row>
    <row r="727" customFormat="false" ht="18.75" hidden="false" customHeight="true" outlineLevel="0" collapsed="false">
      <c r="A727" s="125" t="str">
        <f aca="false">'☆掛負収入'!A727</f>
        <v>人事委員会</v>
      </c>
      <c r="B727" s="431"/>
      <c r="C727" s="206"/>
      <c r="D727" s="617"/>
      <c r="E727" s="617"/>
      <c r="F727" s="160"/>
      <c r="G727" s="206"/>
      <c r="H727" s="619"/>
      <c r="I727" s="449"/>
      <c r="J727" s="160"/>
      <c r="K727" s="619"/>
      <c r="L727" s="449"/>
      <c r="M727" s="160"/>
      <c r="N727" s="619"/>
      <c r="O727" s="449"/>
      <c r="P727" s="160"/>
    </row>
    <row r="728" customFormat="false" ht="18.75" hidden="false" customHeight="true" outlineLevel="0" collapsed="false">
      <c r="A728" s="125" t="str">
        <f aca="false">'☆掛負収入'!A728</f>
        <v>監査事務局</v>
      </c>
      <c r="B728" s="431"/>
      <c r="C728" s="206"/>
      <c r="D728" s="617"/>
      <c r="E728" s="617"/>
      <c r="F728" s="160"/>
      <c r="G728" s="206"/>
      <c r="H728" s="619"/>
      <c r="I728" s="449"/>
      <c r="J728" s="160"/>
      <c r="K728" s="619"/>
      <c r="L728" s="449"/>
      <c r="M728" s="160"/>
      <c r="N728" s="619"/>
      <c r="O728" s="449"/>
      <c r="P728" s="160"/>
    </row>
    <row r="729" customFormat="false" ht="18.75" hidden="false" customHeight="true" outlineLevel="0" collapsed="false">
      <c r="A729" s="125" t="str">
        <f aca="false">'☆掛負収入'!A729</f>
        <v>農業委員会</v>
      </c>
      <c r="B729" s="431"/>
      <c r="C729" s="206"/>
      <c r="D729" s="617"/>
      <c r="E729" s="617"/>
      <c r="F729" s="160"/>
      <c r="G729" s="206"/>
      <c r="H729" s="619"/>
      <c r="I729" s="449"/>
      <c r="J729" s="160"/>
      <c r="K729" s="619"/>
      <c r="L729" s="449"/>
      <c r="M729" s="160"/>
      <c r="N729" s="619"/>
      <c r="O729" s="449"/>
      <c r="P729" s="160"/>
    </row>
    <row r="730" customFormat="false" ht="18.75" hidden="false" customHeight="true" outlineLevel="0" collapsed="false">
      <c r="A730" s="125" t="str">
        <f aca="false">'☆掛負収入'!A730</f>
        <v>水道局</v>
      </c>
      <c r="B730" s="431"/>
      <c r="C730" s="206"/>
      <c r="D730" s="617"/>
      <c r="E730" s="617"/>
      <c r="F730" s="160"/>
      <c r="G730" s="206"/>
      <c r="H730" s="619"/>
      <c r="I730" s="449"/>
      <c r="J730" s="160"/>
      <c r="K730" s="619"/>
      <c r="L730" s="449"/>
      <c r="M730" s="160"/>
      <c r="N730" s="619"/>
      <c r="O730" s="449"/>
      <c r="P730" s="160"/>
    </row>
    <row r="731" customFormat="false" ht="18.75" hidden="false" customHeight="true" outlineLevel="0" collapsed="false">
      <c r="A731" s="146" t="str">
        <f aca="false">'☆掛負収入'!A731</f>
        <v>医療政策課(安芸市民)</v>
      </c>
      <c r="B731" s="620"/>
      <c r="C731" s="391"/>
      <c r="D731" s="620"/>
      <c r="E731" s="621"/>
      <c r="F731" s="418"/>
      <c r="G731" s="206"/>
      <c r="H731" s="622"/>
      <c r="I731" s="432"/>
      <c r="J731" s="160"/>
      <c r="K731" s="619"/>
      <c r="L731" s="449"/>
      <c r="M731" s="160"/>
      <c r="N731" s="619"/>
      <c r="O731" s="449"/>
      <c r="P731" s="160"/>
    </row>
    <row r="732" customFormat="false" ht="18.75" hidden="false" customHeight="true" outlineLevel="0" collapsed="false">
      <c r="A732" s="146" t="str">
        <f aca="false">'☆掛負収入'!A732</f>
        <v>教育委員会（教育給与課）</v>
      </c>
      <c r="B732" s="620"/>
      <c r="C732" s="206"/>
      <c r="D732" s="431"/>
      <c r="E732" s="623"/>
      <c r="F732" s="309"/>
      <c r="G732" s="206"/>
      <c r="H732" s="619"/>
      <c r="I732" s="449"/>
      <c r="J732" s="160"/>
      <c r="K732" s="619"/>
      <c r="L732" s="449"/>
      <c r="M732" s="160"/>
      <c r="N732" s="619"/>
      <c r="O732" s="449"/>
      <c r="P732" s="160"/>
    </row>
    <row r="733" customFormat="false" ht="18.75" hidden="true" customHeight="true" outlineLevel="0" collapsed="false">
      <c r="A733" s="624"/>
      <c r="B733" s="625"/>
      <c r="C733" s="235"/>
      <c r="D733" s="625"/>
      <c r="E733" s="626"/>
      <c r="F733" s="221"/>
      <c r="G733" s="712"/>
      <c r="H733" s="627"/>
      <c r="I733" s="628"/>
      <c r="J733" s="628"/>
      <c r="K733" s="627"/>
      <c r="L733" s="628"/>
      <c r="M733" s="220"/>
      <c r="N733" s="627"/>
      <c r="O733" s="628"/>
      <c r="P733" s="220"/>
    </row>
    <row r="734" customFormat="false" ht="18.75" hidden="true" customHeight="true" outlineLevel="0" collapsed="false">
      <c r="A734" s="629"/>
      <c r="B734" s="482"/>
      <c r="C734" s="157"/>
      <c r="D734" s="482"/>
      <c r="E734" s="483"/>
      <c r="F734" s="484"/>
      <c r="G734" s="460"/>
      <c r="H734" s="482"/>
      <c r="I734" s="483"/>
      <c r="J734" s="483"/>
      <c r="K734" s="482"/>
      <c r="L734" s="483"/>
      <c r="M734" s="155"/>
      <c r="N734" s="482"/>
      <c r="O734" s="483"/>
      <c r="P734" s="155"/>
    </row>
    <row r="735" customFormat="false" ht="18.75" hidden="true" customHeight="true" outlineLevel="0" collapsed="false">
      <c r="A735" s="629"/>
      <c r="B735" s="625"/>
      <c r="C735" s="235"/>
      <c r="D735" s="625"/>
      <c r="E735" s="626"/>
      <c r="F735" s="221"/>
      <c r="G735" s="712"/>
      <c r="H735" s="625"/>
      <c r="I735" s="626"/>
      <c r="J735" s="626"/>
      <c r="K735" s="625"/>
      <c r="L735" s="626"/>
      <c r="M735" s="721"/>
      <c r="N735" s="625"/>
      <c r="O735" s="626"/>
      <c r="P735" s="721"/>
    </row>
    <row r="736" customFormat="false" ht="18.75" hidden="true" customHeight="true" outlineLevel="0" collapsed="false">
      <c r="A736" s="630"/>
      <c r="B736" s="631"/>
      <c r="C736" s="632"/>
      <c r="D736" s="631"/>
      <c r="E736" s="515"/>
      <c r="F736" s="633"/>
      <c r="G736" s="714"/>
      <c r="H736" s="482"/>
      <c r="I736" s="634"/>
      <c r="J736" s="634"/>
      <c r="K736" s="482"/>
      <c r="L736" s="483"/>
      <c r="M736" s="155"/>
      <c r="N736" s="482"/>
      <c r="O736" s="483"/>
      <c r="P736" s="155"/>
    </row>
    <row r="737" customFormat="false" ht="18.75" hidden="false" customHeight="true" outlineLevel="0" collapsed="false">
      <c r="A737" s="196" t="str">
        <f aca="false">'☆掛負収入'!A737</f>
        <v>小　計</v>
      </c>
      <c r="B737" s="429"/>
      <c r="C737" s="199"/>
      <c r="D737" s="429"/>
      <c r="E737" s="199"/>
      <c r="F737" s="200"/>
      <c r="G737" s="201"/>
      <c r="H737" s="429"/>
      <c r="I737" s="199"/>
      <c r="J737" s="198"/>
      <c r="K737" s="429"/>
      <c r="L737" s="199"/>
      <c r="M737" s="198"/>
      <c r="N737" s="429"/>
      <c r="O737" s="199"/>
      <c r="P737" s="198"/>
    </row>
    <row r="738" customFormat="false" ht="18.75" hidden="false" customHeight="true" outlineLevel="0" collapsed="false">
      <c r="A738" s="202" t="str">
        <f aca="false">'☆掛負収入'!A738</f>
        <v>地方税共同機構</v>
      </c>
      <c r="B738" s="474" t="n">
        <f aca="false">'☆掛負収入'!B738</f>
        <v>0</v>
      </c>
      <c r="C738" s="402" t="n">
        <f aca="false">'☆掛負収入'!C738</f>
        <v>0</v>
      </c>
      <c r="D738" s="494" t="n">
        <f aca="false">'☆掛負収入'!D738</f>
        <v>0</v>
      </c>
      <c r="E738" s="488" t="n">
        <f aca="false">'☆掛負収入'!E738</f>
        <v>0</v>
      </c>
      <c r="F738" s="248" t="n">
        <f aca="false">'☆掛負収入'!F738</f>
        <v>0</v>
      </c>
      <c r="G738" s="206" t="n">
        <f aca="false">SUM(B738:F738)</f>
        <v>0</v>
      </c>
      <c r="H738" s="619" t="n">
        <f aca="false">'☆掛負収入'!H738</f>
        <v>0</v>
      </c>
      <c r="I738" s="449" t="n">
        <f aca="false">'☆掛負収入'!I738</f>
        <v>0</v>
      </c>
      <c r="J738" s="160" t="n">
        <f aca="false">SUM(H738:I738)</f>
        <v>0</v>
      </c>
      <c r="K738" s="464" t="n">
        <f aca="false">'☆掛負収入'!K738</f>
        <v>0</v>
      </c>
      <c r="L738" s="449" t="n">
        <f aca="false">'☆掛負収入'!L738</f>
        <v>0</v>
      </c>
      <c r="M738" s="160" t="n">
        <f aca="false">SUM(K738:L738)</f>
        <v>0</v>
      </c>
      <c r="N738" s="464" t="n">
        <f aca="false">'☆掛負収入'!N738</f>
        <v>0</v>
      </c>
      <c r="O738" s="449" t="n">
        <f aca="false">'☆掛負収入'!O738</f>
        <v>0</v>
      </c>
      <c r="P738" s="160" t="n">
        <f aca="false">SUM(N738:O738)</f>
        <v>0</v>
      </c>
    </row>
    <row r="739" customFormat="false" ht="18.75" hidden="false" customHeight="true" outlineLevel="0" collapsed="false">
      <c r="A739" s="125" t="str">
        <f aca="false">'☆掛負収入'!A739</f>
        <v>平和文化センター</v>
      </c>
      <c r="B739" s="474" t="n">
        <f aca="false">'☆掛負収入'!B739</f>
        <v>0</v>
      </c>
      <c r="C739" s="402" t="n">
        <f aca="false">'☆掛負収入'!C739</f>
        <v>0</v>
      </c>
      <c r="D739" s="489" t="n">
        <f aca="false">'☆掛負収入'!D739</f>
        <v>638670</v>
      </c>
      <c r="E739" s="477" t="n">
        <f aca="false">'☆掛負収入'!E739</f>
        <v>52350</v>
      </c>
      <c r="F739" s="248" t="n">
        <f aca="false">'☆掛負収入'!F739</f>
        <v>723</v>
      </c>
      <c r="G739" s="206" t="n">
        <f aca="false">SUM(B739:F739)</f>
        <v>691743</v>
      </c>
      <c r="H739" s="619" t="n">
        <f aca="false">'☆掛負収入'!H739</f>
        <v>0</v>
      </c>
      <c r="I739" s="449" t="n">
        <f aca="false">'☆掛負収入'!I739</f>
        <v>386320</v>
      </c>
      <c r="J739" s="160" t="n">
        <f aca="false">SUM(H739:I739)</f>
        <v>386320</v>
      </c>
      <c r="K739" s="464" t="n">
        <f aca="false">'☆掛負収入'!K739</f>
        <v>0</v>
      </c>
      <c r="L739" s="449" t="n">
        <f aca="false">'☆掛負収入'!L739</f>
        <v>52377</v>
      </c>
      <c r="M739" s="160" t="n">
        <f aca="false">SUM(K739:L739)</f>
        <v>52377</v>
      </c>
      <c r="N739" s="464" t="n">
        <f aca="false">'☆掛負収入'!N739</f>
        <v>0</v>
      </c>
      <c r="O739" s="449" t="n">
        <f aca="false">'☆掛負収入'!O739</f>
        <v>1</v>
      </c>
      <c r="P739" s="160" t="n">
        <f aca="false">SUM(N739:O739)</f>
        <v>1</v>
      </c>
    </row>
    <row r="740" customFormat="false" ht="18.75" hidden="false" customHeight="true" outlineLevel="0" collapsed="false">
      <c r="A740" s="125" t="str">
        <f aca="false">'☆掛負収入'!A740</f>
        <v>社会福祉事業団</v>
      </c>
      <c r="B740" s="625"/>
      <c r="C740" s="235"/>
      <c r="D740" s="476" t="n">
        <f aca="false">'☆掛負収入'!D740</f>
        <v>1886730</v>
      </c>
      <c r="E740" s="478" t="n">
        <f aca="false">'☆掛負収入'!E740</f>
        <v>154650</v>
      </c>
      <c r="F740" s="248" t="n">
        <f aca="false">'☆掛負収入'!F740</f>
        <v>1988</v>
      </c>
      <c r="G740" s="206" t="n">
        <f aca="false">SUM(B740:F740)</f>
        <v>2043368</v>
      </c>
      <c r="H740" s="627"/>
      <c r="I740" s="449" t="n">
        <f aca="false">'☆掛負収入'!I740</f>
        <v>1275306</v>
      </c>
      <c r="J740" s="160" t="n">
        <f aca="false">SUM(H740:I740)</f>
        <v>1275306</v>
      </c>
      <c r="K740" s="637"/>
      <c r="L740" s="449" t="n">
        <f aca="false">'☆掛負収入'!L740</f>
        <v>141252</v>
      </c>
      <c r="M740" s="160" t="n">
        <f aca="false">SUM(K740:L740)</f>
        <v>141252</v>
      </c>
      <c r="N740" s="637"/>
      <c r="O740" s="449" t="n">
        <f aca="false">'☆掛負収入'!O740</f>
        <v>1</v>
      </c>
      <c r="P740" s="160" t="n">
        <f aca="false">SUM(N740:O740)</f>
        <v>1</v>
      </c>
    </row>
    <row r="741" customFormat="false" ht="18.75" hidden="false" customHeight="true" outlineLevel="0" collapsed="false">
      <c r="A741" s="125" t="str">
        <f aca="false">'☆掛負収入'!A741</f>
        <v>原爆障害対策協議会</v>
      </c>
      <c r="B741" s="625"/>
      <c r="C741" s="235"/>
      <c r="D741" s="470" t="n">
        <f aca="false">'☆掛負収入'!D741</f>
        <v>48495</v>
      </c>
      <c r="E741" s="478" t="n">
        <f aca="false">'☆掛負収入'!E741</f>
        <v>3975</v>
      </c>
      <c r="F741" s="248" t="n">
        <f aca="false">'☆掛負収入'!F741</f>
        <v>49</v>
      </c>
      <c r="G741" s="206" t="n">
        <f aca="false">SUM(B741:F741)</f>
        <v>52519</v>
      </c>
      <c r="H741" s="627"/>
      <c r="I741" s="449" t="n">
        <f aca="false">'☆掛負収入'!I741</f>
        <v>29208</v>
      </c>
      <c r="J741" s="160" t="n">
        <f aca="false">SUM(H741:I741)</f>
        <v>29208</v>
      </c>
      <c r="K741" s="637"/>
      <c r="L741" s="449" t="n">
        <f aca="false">'☆掛負収入'!L741</f>
        <v>4187</v>
      </c>
      <c r="M741" s="160" t="n">
        <f aca="false">SUM(K741:L741)</f>
        <v>4187</v>
      </c>
      <c r="N741" s="637"/>
      <c r="O741" s="449" t="n">
        <f aca="false">'☆掛負収入'!O741</f>
        <v>1</v>
      </c>
      <c r="P741" s="160" t="n">
        <f aca="false">SUM(N741:O741)</f>
        <v>1</v>
      </c>
    </row>
    <row r="742" customFormat="false" ht="18.75" hidden="false" customHeight="true" outlineLevel="0" collapsed="false">
      <c r="A742" s="214" t="str">
        <f aca="false">'☆掛負収入'!A742</f>
        <v>産業振興センター</v>
      </c>
      <c r="B742" s="625"/>
      <c r="C742" s="235"/>
      <c r="D742" s="470" t="n">
        <f aca="false">'☆掛負収入'!D742</f>
        <v>425475</v>
      </c>
      <c r="E742" s="478" t="n">
        <f aca="false">'☆掛負収入'!E742</f>
        <v>34875</v>
      </c>
      <c r="F742" s="248" t="n">
        <f aca="false">'☆掛負収入'!F742</f>
        <v>435</v>
      </c>
      <c r="G742" s="206" t="n">
        <f aca="false">SUM(B742:F742)</f>
        <v>460785</v>
      </c>
      <c r="H742" s="627"/>
      <c r="I742" s="449" t="n">
        <f aca="false">'☆掛負収入'!I742</f>
        <v>256260</v>
      </c>
      <c r="J742" s="160" t="n">
        <f aca="false">SUM(H742:I742)</f>
        <v>256260</v>
      </c>
      <c r="K742" s="637"/>
      <c r="L742" s="449" t="n">
        <f aca="false">'☆掛負収入'!L742</f>
        <v>34207</v>
      </c>
      <c r="M742" s="160" t="n">
        <f aca="false">SUM(K742:L742)</f>
        <v>34207</v>
      </c>
      <c r="N742" s="637"/>
      <c r="O742" s="449" t="n">
        <f aca="false">'☆掛負収入'!O742</f>
        <v>1</v>
      </c>
      <c r="P742" s="160" t="n">
        <f aca="false">SUM(N742:O742)</f>
        <v>1</v>
      </c>
    </row>
    <row r="743" customFormat="false" ht="18.75" hidden="false" customHeight="true" outlineLevel="0" collapsed="false">
      <c r="A743" s="146" t="str">
        <f aca="false">'☆掛負収入'!A743</f>
        <v>ひろしま産業振興</v>
      </c>
      <c r="B743" s="625"/>
      <c r="C743" s="484"/>
      <c r="D743" s="470" t="n">
        <f aca="false">'☆掛負収入'!D743</f>
        <v>86010</v>
      </c>
      <c r="E743" s="478" t="n">
        <f aca="false">'☆掛負収入'!E743</f>
        <v>7050</v>
      </c>
      <c r="F743" s="479" t="n">
        <f aca="false">'☆掛負収入'!F743</f>
        <v>88</v>
      </c>
      <c r="G743" s="206" t="n">
        <f aca="false">SUM(B743:F743)</f>
        <v>93148</v>
      </c>
      <c r="H743" s="627"/>
      <c r="I743" s="432" t="n">
        <f aca="false">'☆掛負収入'!I743</f>
        <v>51803</v>
      </c>
      <c r="J743" s="160" t="n">
        <f aca="false">SUM(H743:I743)</f>
        <v>51803</v>
      </c>
      <c r="K743" s="637"/>
      <c r="L743" s="432" t="n">
        <f aca="false">'☆掛負収入'!L743</f>
        <v>7426</v>
      </c>
      <c r="M743" s="160" t="n">
        <f aca="false">SUM(K743:L743)</f>
        <v>7426</v>
      </c>
      <c r="N743" s="637"/>
      <c r="O743" s="432" t="n">
        <f aca="false">'☆掛負収入'!O743</f>
        <v>1</v>
      </c>
      <c r="P743" s="160" t="n">
        <f aca="false">SUM(N743:O743)</f>
        <v>1</v>
      </c>
    </row>
    <row r="744" customFormat="false" ht="18.75" hidden="false" customHeight="true" outlineLevel="0" collapsed="false">
      <c r="A744" s="146" t="str">
        <f aca="false">'☆掛負収入'!A744</f>
        <v>都市整備公社　市</v>
      </c>
      <c r="B744" s="625"/>
      <c r="C744" s="484"/>
      <c r="D744" s="476" t="n">
        <f aca="false">'☆掛負収入'!D744</f>
        <v>48495</v>
      </c>
      <c r="E744" s="478" t="n">
        <f aca="false">'☆掛負収入'!E744</f>
        <v>3975</v>
      </c>
      <c r="F744" s="248" t="n">
        <f aca="false">'☆掛負収入'!F744</f>
        <v>49</v>
      </c>
      <c r="G744" s="206" t="n">
        <f aca="false">SUM(B744:F744)</f>
        <v>52519</v>
      </c>
      <c r="H744" s="627"/>
      <c r="I744" s="449" t="n">
        <f aca="false">'☆掛負収入'!I744</f>
        <v>29208</v>
      </c>
      <c r="J744" s="160" t="n">
        <f aca="false">SUM(H744:I744)</f>
        <v>29208</v>
      </c>
      <c r="K744" s="637"/>
      <c r="L744" s="449" t="n">
        <f aca="false">'☆掛負収入'!L744</f>
        <v>4187</v>
      </c>
      <c r="M744" s="160" t="n">
        <f aca="false">SUM(K744:L744)</f>
        <v>4187</v>
      </c>
      <c r="N744" s="637"/>
      <c r="O744" s="449" t="n">
        <f aca="false">'☆掛負収入'!O744</f>
        <v>1</v>
      </c>
      <c r="P744" s="160" t="n">
        <f aca="false">SUM(N744:O744)</f>
        <v>1</v>
      </c>
    </row>
    <row r="745" customFormat="false" ht="18.75" hidden="false" customHeight="true" outlineLevel="0" collapsed="false">
      <c r="A745" s="217"/>
      <c r="B745" s="625"/>
      <c r="C745" s="221"/>
      <c r="D745" s="474"/>
      <c r="E745" s="478"/>
      <c r="F745" s="248"/>
      <c r="G745" s="206"/>
      <c r="H745" s="627"/>
      <c r="I745" s="449"/>
      <c r="J745" s="160"/>
      <c r="K745" s="637"/>
      <c r="L745" s="449"/>
      <c r="M745" s="160" t="n">
        <f aca="false">SUM(K745:L745)</f>
        <v>0</v>
      </c>
      <c r="N745" s="637"/>
      <c r="O745" s="449"/>
      <c r="P745" s="160" t="n">
        <f aca="false">SUM(N745:O745)</f>
        <v>0</v>
      </c>
    </row>
    <row r="746" customFormat="false" ht="18.75" hidden="false" customHeight="true" outlineLevel="0" collapsed="false">
      <c r="A746" s="146" t="str">
        <f aca="false">'☆掛負収入'!A746</f>
        <v>日本下水道事業団</v>
      </c>
      <c r="B746" s="476" t="n">
        <f aca="false">'☆掛負収入'!B746</f>
        <v>245220</v>
      </c>
      <c r="C746" s="248" t="n">
        <f aca="false">'☆掛負収入'!C746</f>
        <v>20100</v>
      </c>
      <c r="D746" s="474" t="n">
        <f aca="false">'☆掛負収入'!D746</f>
        <v>245220</v>
      </c>
      <c r="E746" s="478" t="n">
        <f aca="false">'☆掛負収入'!E746</f>
        <v>20100</v>
      </c>
      <c r="F746" s="248" t="n">
        <f aca="false">'☆掛負収入'!F746</f>
        <v>251</v>
      </c>
      <c r="G746" s="206" t="n">
        <f aca="false">SUM(B746:F746)</f>
        <v>530891</v>
      </c>
      <c r="H746" s="619" t="n">
        <f aca="false">'☆掛負収入'!H746</f>
        <v>147425</v>
      </c>
      <c r="I746" s="449" t="n">
        <f aca="false">'☆掛負収入'!I746</f>
        <v>147694</v>
      </c>
      <c r="J746" s="160" t="n">
        <f aca="false">SUM(H746:I746)</f>
        <v>295119</v>
      </c>
      <c r="K746" s="464" t="n">
        <f aca="false">'☆掛負収入'!K746</f>
        <v>9559</v>
      </c>
      <c r="L746" s="449" t="n">
        <f aca="false">'☆掛負収入'!L746</f>
        <v>9559</v>
      </c>
      <c r="M746" s="160" t="n">
        <f aca="false">SUM(K746:L746)</f>
        <v>19118</v>
      </c>
      <c r="N746" s="464" t="n">
        <f aca="false">'☆掛負収入'!N746</f>
        <v>1</v>
      </c>
      <c r="O746" s="449" t="n">
        <f aca="false">'☆掛負収入'!O746</f>
        <v>1</v>
      </c>
      <c r="P746" s="160" t="n">
        <f aca="false">SUM(N746:O746)</f>
        <v>2</v>
      </c>
    </row>
    <row r="747" customFormat="false" ht="18.75" hidden="false" customHeight="true" outlineLevel="0" collapsed="false">
      <c r="A747" s="125" t="str">
        <f aca="false">'☆掛負収入'!A747</f>
        <v>地方公務員災害補償基金本部</v>
      </c>
      <c r="B747" s="476" t="n">
        <f aca="false">'☆掛負収入'!B747</f>
        <v>40260</v>
      </c>
      <c r="C747" s="248" t="n">
        <f aca="false">'☆掛負収入'!C747</f>
        <v>3300</v>
      </c>
      <c r="D747" s="474" t="n">
        <f aca="false">'☆掛負収入'!D747</f>
        <v>40260</v>
      </c>
      <c r="E747" s="478" t="n">
        <f aca="false">'☆掛負収入'!E747</f>
        <v>3300</v>
      </c>
      <c r="F747" s="248" t="n">
        <f aca="false">'☆掛負収入'!F747</f>
        <v>41</v>
      </c>
      <c r="G747" s="206" t="n">
        <f aca="false">SUM(B747:F747)</f>
        <v>87161</v>
      </c>
      <c r="H747" s="619" t="n">
        <f aca="false">'☆掛負収入'!H747</f>
        <v>24204</v>
      </c>
      <c r="I747" s="449" t="n">
        <f aca="false">'☆掛負収入'!I747</f>
        <v>24248</v>
      </c>
      <c r="J747" s="160" t="n">
        <f aca="false">SUM(H747:I747)</f>
        <v>48452</v>
      </c>
      <c r="K747" s="464" t="n">
        <f aca="false">'☆掛負収入'!K747</f>
        <v>0</v>
      </c>
      <c r="L747" s="449" t="n">
        <f aca="false">'☆掛負収入'!L747</f>
        <v>0</v>
      </c>
      <c r="M747" s="160" t="n">
        <f aca="false">SUM(K747:L747)</f>
        <v>0</v>
      </c>
      <c r="N747" s="464" t="n">
        <f aca="false">'☆掛負収入'!N747</f>
        <v>1</v>
      </c>
      <c r="O747" s="449" t="n">
        <f aca="false">'☆掛負収入'!O747</f>
        <v>1</v>
      </c>
      <c r="P747" s="160" t="n">
        <f aca="false">SUM(N747:O747)</f>
        <v>2</v>
      </c>
    </row>
    <row r="748" customFormat="false" ht="18.75" hidden="false" customHeight="true" outlineLevel="0" collapsed="false">
      <c r="A748" s="222"/>
      <c r="B748" s="474"/>
      <c r="C748" s="248"/>
      <c r="D748" s="474"/>
      <c r="E748" s="478"/>
      <c r="F748" s="248"/>
      <c r="G748" s="206"/>
      <c r="H748" s="619"/>
      <c r="I748" s="449"/>
      <c r="J748" s="160"/>
      <c r="K748" s="464"/>
      <c r="L748" s="449"/>
      <c r="M748" s="160" t="n">
        <f aca="false">SUM(K748:L748)</f>
        <v>0</v>
      </c>
      <c r="N748" s="464"/>
      <c r="O748" s="449"/>
      <c r="P748" s="160" t="n">
        <f aca="false">SUM(N748:O748)</f>
        <v>0</v>
      </c>
    </row>
    <row r="749" customFormat="false" ht="18.75" hidden="false" customHeight="true" outlineLevel="0" collapsed="false">
      <c r="A749" s="125" t="str">
        <f aca="false">'☆掛負収入'!A749</f>
        <v>高速道路公社</v>
      </c>
      <c r="B749" s="489" t="n">
        <f aca="false">'☆掛負収入'!B749</f>
        <v>923235</v>
      </c>
      <c r="C749" s="479" t="n">
        <f aca="false">'☆掛負収入'!C749</f>
        <v>75675</v>
      </c>
      <c r="D749" s="489" t="n">
        <f aca="false">'☆掛負収入'!D749</f>
        <v>923235</v>
      </c>
      <c r="E749" s="495" t="n">
        <f aca="false">'☆掛負収入'!E749</f>
        <v>75675</v>
      </c>
      <c r="F749" s="491" t="n">
        <f aca="false">'☆掛負収入'!F749</f>
        <v>947</v>
      </c>
      <c r="G749" s="206" t="n">
        <f aca="false">SUM(B749:F749)</f>
        <v>1998767</v>
      </c>
      <c r="H749" s="638" t="n">
        <f aca="false">'☆掛負収入'!H749</f>
        <v>556693</v>
      </c>
      <c r="I749" s="639" t="n">
        <f aca="false">'☆掛負収入'!I749</f>
        <v>557713</v>
      </c>
      <c r="J749" s="160" t="n">
        <f aca="false">SUM(H749:I749)</f>
        <v>1114406</v>
      </c>
      <c r="K749" s="640" t="n">
        <f aca="false">'☆掛負収入'!K749</f>
        <v>50797</v>
      </c>
      <c r="L749" s="639" t="n">
        <f aca="false">'☆掛負収入'!L749</f>
        <v>50797</v>
      </c>
      <c r="M749" s="160" t="n">
        <f aca="false">SUM(K749:L749)</f>
        <v>101594</v>
      </c>
      <c r="N749" s="640" t="n">
        <f aca="false">'☆掛負収入'!N749</f>
        <v>1</v>
      </c>
      <c r="O749" s="639" t="n">
        <f aca="false">'☆掛負収入'!O749</f>
        <v>1</v>
      </c>
      <c r="P749" s="160" t="n">
        <f aca="false">SUM(N749:O749)</f>
        <v>2</v>
      </c>
    </row>
    <row r="750" customFormat="false" ht="18.75" hidden="false" customHeight="true" outlineLevel="0" collapsed="false">
      <c r="A750" s="125" t="str">
        <f aca="false">'☆掛負収入'!A750</f>
        <v>農林水産振興センタ</v>
      </c>
      <c r="B750" s="482"/>
      <c r="C750" s="484"/>
      <c r="D750" s="476" t="n">
        <f aca="false">'☆掛負収入'!D750</f>
        <v>571875</v>
      </c>
      <c r="E750" s="498" t="n">
        <f aca="false">'☆掛負収入'!E750</f>
        <v>46875</v>
      </c>
      <c r="F750" s="479" t="n">
        <f aca="false">'☆掛負収入'!F750</f>
        <v>613</v>
      </c>
      <c r="G750" s="206" t="n">
        <f aca="false">SUM(B750:F750)</f>
        <v>619363</v>
      </c>
      <c r="H750" s="641"/>
      <c r="I750" s="432" t="n">
        <f aca="false">'☆掛負収入'!I750</f>
        <v>344467</v>
      </c>
      <c r="J750" s="160" t="n">
        <f aca="false">SUM(H750:I750)</f>
        <v>344467</v>
      </c>
      <c r="K750" s="642"/>
      <c r="L750" s="432" t="n">
        <f aca="false">'☆掛負収入'!L750</f>
        <v>27255</v>
      </c>
      <c r="M750" s="160" t="n">
        <f aca="false">SUM(K750:L750)</f>
        <v>27255</v>
      </c>
      <c r="N750" s="642"/>
      <c r="O750" s="432" t="n">
        <f aca="false">'☆掛負収入'!O750</f>
        <v>1</v>
      </c>
      <c r="P750" s="160" t="n">
        <f aca="false">SUM(N750:O750)</f>
        <v>1</v>
      </c>
    </row>
    <row r="751" customFormat="false" ht="18.75" hidden="false" customHeight="true" outlineLevel="0" collapsed="false">
      <c r="A751" s="228" t="str">
        <f aca="false">'☆掛負収入'!A751</f>
        <v>文化財団　市長部局</v>
      </c>
      <c r="B751" s="625"/>
      <c r="C751" s="221"/>
      <c r="D751" s="474" t="n">
        <f aca="false">'☆掛負収入'!D751</f>
        <v>1160220</v>
      </c>
      <c r="E751" s="478" t="n">
        <f aca="false">'☆掛負収入'!E751</f>
        <v>95100</v>
      </c>
      <c r="F751" s="479" t="n">
        <f aca="false">'☆掛負収入'!F751</f>
        <v>1185</v>
      </c>
      <c r="G751" s="206" t="n">
        <f aca="false">SUM(B751:F751)</f>
        <v>1256505</v>
      </c>
      <c r="H751" s="627"/>
      <c r="I751" s="432" t="n">
        <f aca="false">'☆掛負収入'!I751</f>
        <v>698790</v>
      </c>
      <c r="J751" s="160" t="n">
        <f aca="false">SUM(H751:I751)</f>
        <v>698790</v>
      </c>
      <c r="K751" s="637"/>
      <c r="L751" s="432" t="n">
        <f aca="false">'☆掛負収入'!L751</f>
        <v>94721</v>
      </c>
      <c r="M751" s="160" t="n">
        <f aca="false">SUM(K751:L751)</f>
        <v>94721</v>
      </c>
      <c r="N751" s="637"/>
      <c r="O751" s="432" t="n">
        <f aca="false">'☆掛負収入'!O751</f>
        <v>1</v>
      </c>
      <c r="P751" s="160" t="n">
        <f aca="false">SUM(N751:O751)</f>
        <v>1</v>
      </c>
    </row>
    <row r="752" customFormat="false" ht="18.75" hidden="false" customHeight="true" outlineLevel="0" collapsed="false">
      <c r="A752" s="229"/>
      <c r="B752" s="625"/>
      <c r="C752" s="221"/>
      <c r="D752" s="474"/>
      <c r="E752" s="478"/>
      <c r="F752" s="479"/>
      <c r="G752" s="206"/>
      <c r="H752" s="627"/>
      <c r="I752" s="432"/>
      <c r="J752" s="160"/>
      <c r="K752" s="637"/>
      <c r="L752" s="432"/>
      <c r="M752" s="160" t="n">
        <f aca="false">SUM(K752:L752)</f>
        <v>0</v>
      </c>
      <c r="N752" s="637"/>
      <c r="O752" s="432"/>
      <c r="P752" s="160" t="n">
        <f aca="false">SUM(N752:O752)</f>
        <v>0</v>
      </c>
    </row>
    <row r="753" customFormat="false" ht="18.75" hidden="false" customHeight="true" outlineLevel="0" collapsed="false">
      <c r="A753" s="125" t="str">
        <f aca="false">'☆掛負収入'!A753</f>
        <v>みどり生きもの協会</v>
      </c>
      <c r="B753" s="625"/>
      <c r="C753" s="221"/>
      <c r="D753" s="474" t="n">
        <f aca="false">'☆掛負収入'!D753</f>
        <v>402600</v>
      </c>
      <c r="E753" s="478" t="n">
        <f aca="false">'☆掛負収入'!E753</f>
        <v>33000</v>
      </c>
      <c r="F753" s="479" t="n">
        <f aca="false">'☆掛負収入'!F753</f>
        <v>412</v>
      </c>
      <c r="G753" s="206" t="n">
        <f aca="false">SUM(B753:F753)</f>
        <v>436012</v>
      </c>
      <c r="H753" s="627"/>
      <c r="I753" s="432" t="n">
        <f aca="false">'☆掛負収入'!I753</f>
        <v>242482</v>
      </c>
      <c r="J753" s="160" t="n">
        <f aca="false">SUM(H753:I753)</f>
        <v>242482</v>
      </c>
      <c r="K753" s="637"/>
      <c r="L753" s="432" t="n">
        <f aca="false">'☆掛負収入'!L753</f>
        <v>34760</v>
      </c>
      <c r="M753" s="160" t="n">
        <f aca="false">SUM(K753:L753)</f>
        <v>34760</v>
      </c>
      <c r="N753" s="637"/>
      <c r="O753" s="432" t="n">
        <f aca="false">'☆掛負収入'!O753</f>
        <v>1</v>
      </c>
      <c r="P753" s="160" t="n">
        <f aca="false">SUM(N753:O753)</f>
        <v>1</v>
      </c>
    </row>
    <row r="754" customFormat="false" ht="18.75" hidden="false" customHeight="true" outlineLevel="0" collapsed="false">
      <c r="A754" s="146" t="str">
        <f aca="false">'☆掛負収入'!A754</f>
        <v>県下水道公社</v>
      </c>
      <c r="B754" s="474" t="n">
        <f aca="false">'☆掛負収入'!B754</f>
        <v>137250</v>
      </c>
      <c r="C754" s="248" t="n">
        <f aca="false">'☆掛負収入'!C754</f>
        <v>11250</v>
      </c>
      <c r="D754" s="474" t="n">
        <f aca="false">'☆掛負収入'!D754</f>
        <v>137250</v>
      </c>
      <c r="E754" s="478" t="n">
        <f aca="false">'☆掛負収入'!E754</f>
        <v>11250</v>
      </c>
      <c r="F754" s="479" t="n">
        <f aca="false">'☆掛負収入'!F754</f>
        <v>140</v>
      </c>
      <c r="G754" s="206" t="n">
        <f aca="false">SUM(B754:F754)</f>
        <v>297140</v>
      </c>
      <c r="H754" s="619" t="n">
        <f aca="false">'☆掛負収入'!H754</f>
        <v>82514</v>
      </c>
      <c r="I754" s="432" t="n">
        <f aca="false">'☆掛負収入'!I754</f>
        <v>82665</v>
      </c>
      <c r="J754" s="160" t="n">
        <f aca="false">SUM(H754:I754)</f>
        <v>165179</v>
      </c>
      <c r="K754" s="464" t="n">
        <f aca="false">'☆掛負収入'!K754</f>
        <v>8611</v>
      </c>
      <c r="L754" s="432" t="n">
        <f aca="false">'☆掛負収入'!L754</f>
        <v>8611</v>
      </c>
      <c r="M754" s="160" t="n">
        <f aca="false">SUM(K754:L754)</f>
        <v>17222</v>
      </c>
      <c r="N754" s="464" t="n">
        <f aca="false">'☆掛負収入'!N754</f>
        <v>1</v>
      </c>
      <c r="O754" s="432" t="n">
        <f aca="false">'☆掛負収入'!O754</f>
        <v>1</v>
      </c>
      <c r="P754" s="160" t="n">
        <f aca="false">SUM(N754:O754)</f>
        <v>2</v>
      </c>
    </row>
    <row r="755" customFormat="false" ht="18.75" hidden="false" customHeight="true" outlineLevel="0" collapsed="false">
      <c r="A755" s="146" t="str">
        <f aca="false">'☆掛負収入'!A755</f>
        <v>バス協調・共創
プラットフォーム</v>
      </c>
      <c r="B755" s="482"/>
      <c r="C755" s="484"/>
      <c r="D755" s="476" t="n">
        <f aca="false">'☆掛負収入'!D755</f>
        <v>477630</v>
      </c>
      <c r="E755" s="498" t="n">
        <f aca="false">'☆掛負収入'!E755</f>
        <v>39150</v>
      </c>
      <c r="F755" s="479" t="n">
        <f aca="false">'☆掛負収入'!F755</f>
        <v>490</v>
      </c>
      <c r="G755" s="206" t="n">
        <f aca="false">SUM(B755:F755)</f>
        <v>517270</v>
      </c>
      <c r="H755" s="641"/>
      <c r="I755" s="432" t="n">
        <f aca="false">'☆掛負収入'!I755</f>
        <v>293185</v>
      </c>
      <c r="J755" s="160" t="n">
        <f aca="false">SUM(H755:I755)</f>
        <v>293185</v>
      </c>
      <c r="K755" s="642"/>
      <c r="L755" s="432" t="n">
        <f aca="false">'☆掛負収入'!L755</f>
        <v>25517</v>
      </c>
      <c r="M755" s="160" t="n">
        <f aca="false">SUM(K755:L755)</f>
        <v>25517</v>
      </c>
      <c r="N755" s="642"/>
      <c r="O755" s="432" t="n">
        <f aca="false">'☆掛負収入'!O755</f>
        <v>1</v>
      </c>
      <c r="P755" s="160" t="n">
        <f aca="false">SUM(N755:O755)</f>
        <v>1</v>
      </c>
    </row>
    <row r="756" customFormat="false" ht="18.75" hidden="false" customHeight="true" outlineLevel="0" collapsed="false">
      <c r="A756" s="146" t="str">
        <f aca="false">'☆掛負収入'!A756</f>
        <v>広島県市長会</v>
      </c>
      <c r="B756" s="474" t="n">
        <f aca="false">'☆掛負収入'!B756</f>
        <v>56730</v>
      </c>
      <c r="C756" s="248" t="n">
        <f aca="false">'☆掛負収入'!C756</f>
        <v>4650</v>
      </c>
      <c r="D756" s="474" t="n">
        <f aca="false">'☆掛負収入'!D756</f>
        <v>56730</v>
      </c>
      <c r="E756" s="478" t="n">
        <f aca="false">'☆掛負収入'!E756</f>
        <v>4650</v>
      </c>
      <c r="F756" s="248" t="n">
        <f aca="false">'☆掛負収入'!F756</f>
        <v>58</v>
      </c>
      <c r="G756" s="206" t="n">
        <f aca="false">SUM(B756:F756)</f>
        <v>122818</v>
      </c>
      <c r="H756" s="619" t="n">
        <f aca="false">'☆掛負収入'!H756</f>
        <v>34106</v>
      </c>
      <c r="I756" s="449" t="n">
        <f aca="false">'☆掛負収入'!I756</f>
        <v>34168</v>
      </c>
      <c r="J756" s="160" t="n">
        <f aca="false">SUM(H756:I756)</f>
        <v>68274</v>
      </c>
      <c r="K756" s="464" t="n">
        <f aca="false">'☆掛負収入'!K756</f>
        <v>4898</v>
      </c>
      <c r="L756" s="449" t="n">
        <f aca="false">'☆掛負収入'!L756</f>
        <v>4898</v>
      </c>
      <c r="M756" s="160" t="n">
        <f aca="false">SUM(K756:L756)</f>
        <v>9796</v>
      </c>
      <c r="N756" s="464" t="n">
        <f aca="false">'☆掛負収入'!N756</f>
        <v>1</v>
      </c>
      <c r="O756" s="449" t="n">
        <f aca="false">'☆掛負収入'!O756</f>
        <v>1</v>
      </c>
      <c r="P756" s="160" t="n">
        <f aca="false">SUM(N756:O756)</f>
        <v>2</v>
      </c>
    </row>
    <row r="757" customFormat="false" ht="18.75" hidden="false" customHeight="true" outlineLevel="0" collapsed="false">
      <c r="A757" s="214" t="str">
        <f aca="false">'☆掛負収入'!A757</f>
        <v>全国市町村研修財団</v>
      </c>
      <c r="B757" s="476" t="n">
        <f aca="false">'☆掛負収入'!B757</f>
        <v>59475</v>
      </c>
      <c r="C757" s="248" t="n">
        <f aca="false">'☆掛負収入'!C757</f>
        <v>4875</v>
      </c>
      <c r="D757" s="474" t="n">
        <f aca="false">'☆掛負収入'!D757</f>
        <v>59475</v>
      </c>
      <c r="E757" s="478" t="n">
        <f aca="false">'☆掛負収入'!E757</f>
        <v>4875</v>
      </c>
      <c r="F757" s="248" t="n">
        <f aca="false">'☆掛負収入'!F757</f>
        <v>61</v>
      </c>
      <c r="G757" s="206" t="n">
        <f aca="false">SUM(B757:F757)</f>
        <v>128761</v>
      </c>
      <c r="H757" s="619" t="n">
        <f aca="false">'☆掛負収入'!H757</f>
        <v>41257</v>
      </c>
      <c r="I757" s="449" t="n">
        <f aca="false">'☆掛負収入'!I757</f>
        <v>41332</v>
      </c>
      <c r="J757" s="160" t="n">
        <f aca="false">SUM(H757:I757)</f>
        <v>82589</v>
      </c>
      <c r="K757" s="464" t="n">
        <f aca="false">'☆掛負収入'!K757</f>
        <v>5925</v>
      </c>
      <c r="L757" s="449" t="n">
        <f aca="false">'☆掛負収入'!L757</f>
        <v>5925</v>
      </c>
      <c r="M757" s="160" t="n">
        <f aca="false">SUM(K757:L757)</f>
        <v>11850</v>
      </c>
      <c r="N757" s="464" t="n">
        <f aca="false">'☆掛負収入'!N757</f>
        <v>1</v>
      </c>
      <c r="O757" s="449" t="n">
        <f aca="false">'☆掛負収入'!O757</f>
        <v>1</v>
      </c>
      <c r="P757" s="160" t="n">
        <f aca="false">SUM(N757:O757)</f>
        <v>2</v>
      </c>
    </row>
    <row r="758" customFormat="false" ht="18.75" hidden="false" customHeight="true" outlineLevel="0" collapsed="false">
      <c r="A758" s="214" t="str">
        <f aca="false">'☆掛負収入'!A758</f>
        <v>都市再生機構</v>
      </c>
      <c r="B758" s="474" t="n">
        <f aca="false">'☆掛負収入'!B758</f>
        <v>53985</v>
      </c>
      <c r="C758" s="248" t="n">
        <f aca="false">'☆掛負収入'!C758</f>
        <v>4425</v>
      </c>
      <c r="D758" s="474" t="n">
        <f aca="false">'☆掛負収入'!D758</f>
        <v>53985</v>
      </c>
      <c r="E758" s="478" t="n">
        <f aca="false">'☆掛負収入'!E758</f>
        <v>4425</v>
      </c>
      <c r="F758" s="248" t="n">
        <f aca="false">'☆掛負収入'!F758</f>
        <v>55</v>
      </c>
      <c r="G758" s="206" t="n">
        <f aca="false">SUM(B758:F758)</f>
        <v>116875</v>
      </c>
      <c r="H758" s="619" t="n">
        <f aca="false">'☆掛負収入'!H758</f>
        <v>32455</v>
      </c>
      <c r="I758" s="449" t="n">
        <f aca="false">'☆掛負収入'!I758</f>
        <v>32514</v>
      </c>
      <c r="J758" s="160" t="n">
        <f aca="false">SUM(H758:I758)</f>
        <v>64969</v>
      </c>
      <c r="K758" s="464" t="n">
        <f aca="false">'☆掛負収入'!K758</f>
        <v>0</v>
      </c>
      <c r="L758" s="449" t="n">
        <f aca="false">'☆掛負収入'!L758</f>
        <v>0</v>
      </c>
      <c r="M758" s="160" t="n">
        <f aca="false">SUM(K758:L758)</f>
        <v>0</v>
      </c>
      <c r="N758" s="464" t="n">
        <f aca="false">'☆掛負収入'!N758</f>
        <v>1</v>
      </c>
      <c r="O758" s="449" t="n">
        <f aca="false">'☆掛負収入'!O758</f>
        <v>1</v>
      </c>
      <c r="P758" s="160" t="n">
        <f aca="false">SUM(N758:O758)</f>
        <v>2</v>
      </c>
    </row>
    <row r="759" customFormat="false" ht="18.75" hidden="false" customHeight="true" outlineLevel="0" collapsed="false">
      <c r="A759" s="146" t="str">
        <f aca="false">'☆掛負収入'!A759</f>
        <v>広島市立大学</v>
      </c>
      <c r="B759" s="431" t="n">
        <f aca="false">'☆掛負収入'!B759</f>
        <v>1197735</v>
      </c>
      <c r="C759" s="160" t="n">
        <f aca="false">'☆掛負収入'!C759</f>
        <v>98175</v>
      </c>
      <c r="D759" s="431" t="n">
        <f aca="false">'☆掛負収入'!D759</f>
        <v>1197735</v>
      </c>
      <c r="E759" s="464" t="n">
        <f aca="false">'☆掛負収入'!E759</f>
        <v>98175</v>
      </c>
      <c r="F759" s="248" t="n">
        <f aca="false">'☆掛負収入'!F759</f>
        <v>1340</v>
      </c>
      <c r="G759" s="206" t="n">
        <f aca="false">SUM(B759:F759)</f>
        <v>2593160</v>
      </c>
      <c r="H759" s="619" t="n">
        <f aca="false">'☆掛負収入'!H759</f>
        <v>720070</v>
      </c>
      <c r="I759" s="449" t="n">
        <f aca="false">'☆掛負収入'!I759</f>
        <v>721509</v>
      </c>
      <c r="J759" s="160" t="n">
        <f aca="false">SUM(H759:I759)</f>
        <v>1441579</v>
      </c>
      <c r="K759" s="464" t="n">
        <f aca="false">'☆掛負収入'!K759</f>
        <v>67940</v>
      </c>
      <c r="L759" s="449" t="n">
        <f aca="false">'☆掛負収入'!L759</f>
        <v>67940</v>
      </c>
      <c r="M759" s="160" t="n">
        <f aca="false">SUM(K759:L759)</f>
        <v>135880</v>
      </c>
      <c r="N759" s="464" t="n">
        <f aca="false">'☆掛負収入'!N759</f>
        <v>1</v>
      </c>
      <c r="O759" s="449" t="n">
        <f aca="false">'☆掛負収入'!O759</f>
        <v>1</v>
      </c>
      <c r="P759" s="160" t="n">
        <f aca="false">SUM(N759:O759)</f>
        <v>2</v>
      </c>
    </row>
    <row r="760" customFormat="false" ht="18.75" hidden="false" customHeight="true" outlineLevel="0" collapsed="false">
      <c r="A760" s="146" t="str">
        <f aca="false">'☆掛負収入'!A760</f>
        <v>社会福祉協議会</v>
      </c>
      <c r="B760" s="431" t="n">
        <f aca="false">'☆掛負収入'!B760</f>
        <v>0</v>
      </c>
      <c r="C760" s="160" t="n">
        <f aca="false">'☆掛負収入'!C760</f>
        <v>0</v>
      </c>
      <c r="D760" s="431" t="n">
        <f aca="false">'☆掛負収入'!D760</f>
        <v>245220</v>
      </c>
      <c r="E760" s="464" t="n">
        <f aca="false">'☆掛負収入'!E760</f>
        <v>20100</v>
      </c>
      <c r="F760" s="248" t="n">
        <f aca="false">'☆掛負収入'!F760</f>
        <v>251</v>
      </c>
      <c r="G760" s="206" t="n">
        <f aca="false">SUM(B760:F760)</f>
        <v>265571</v>
      </c>
      <c r="H760" s="619" t="n">
        <f aca="false">'☆掛負収入'!H760</f>
        <v>0</v>
      </c>
      <c r="I760" s="449" t="n">
        <f aca="false">'☆掛負収入'!I760</f>
        <v>151001</v>
      </c>
      <c r="J760" s="160" t="n">
        <f aca="false">SUM(H760:I760)</f>
        <v>151001</v>
      </c>
      <c r="K760" s="464" t="n">
        <f aca="false">'☆掛負収入'!K760</f>
        <v>0</v>
      </c>
      <c r="L760" s="449" t="n">
        <f aca="false">'☆掛負収入'!L760</f>
        <v>10744</v>
      </c>
      <c r="M760" s="160" t="n">
        <f aca="false">SUM(K760:L760)</f>
        <v>10744</v>
      </c>
      <c r="N760" s="464" t="n">
        <f aca="false">'☆掛負収入'!N760</f>
        <v>0</v>
      </c>
      <c r="O760" s="449" t="n">
        <f aca="false">'☆掛負収入'!O760</f>
        <v>1</v>
      </c>
      <c r="P760" s="160" t="n">
        <f aca="false">SUM(N760:O760)</f>
        <v>1</v>
      </c>
    </row>
    <row r="761" customFormat="false" ht="18.75" hidden="false" customHeight="true" outlineLevel="0" collapsed="false">
      <c r="A761" s="228" t="s">
        <v>532</v>
      </c>
      <c r="B761" s="431" t="n">
        <f aca="false">'☆掛負収入'!B763</f>
        <v>0</v>
      </c>
      <c r="C761" s="160" t="n">
        <f aca="false">'☆掛負収入'!C763</f>
        <v>0</v>
      </c>
      <c r="D761" s="431" t="n">
        <f aca="false">'☆掛負収入'!D763</f>
        <v>0</v>
      </c>
      <c r="E761" s="464" t="n">
        <f aca="false">'☆掛負収入'!E763</f>
        <v>0</v>
      </c>
      <c r="F761" s="248" t="n">
        <f aca="false">'☆掛負収入'!F763</f>
        <v>0</v>
      </c>
      <c r="G761" s="206" t="n">
        <f aca="false">SUM(B761:F761)</f>
        <v>0</v>
      </c>
      <c r="H761" s="619" t="n">
        <f aca="false">'☆掛負収入'!H763</f>
        <v>0</v>
      </c>
      <c r="I761" s="449" t="n">
        <f aca="false">'☆掛負収入'!I763</f>
        <v>0</v>
      </c>
      <c r="J761" s="160" t="n">
        <f aca="false">SUM(H761:I761)</f>
        <v>0</v>
      </c>
      <c r="K761" s="464" t="n">
        <f aca="false">'☆掛負収入'!K763</f>
        <v>0</v>
      </c>
      <c r="L761" s="449" t="n">
        <f aca="false">'☆掛負収入'!L763</f>
        <v>0</v>
      </c>
      <c r="M761" s="160" t="n">
        <f aca="false">SUM(K761:L761)</f>
        <v>0</v>
      </c>
      <c r="N761" s="464" t="n">
        <f aca="false">'☆掛負収入'!N763</f>
        <v>0</v>
      </c>
      <c r="O761" s="449" t="n">
        <f aca="false">'☆掛負収入'!O763</f>
        <v>0</v>
      </c>
      <c r="P761" s="160" t="n">
        <f aca="false">SUM(N761:O761)</f>
        <v>0</v>
      </c>
    </row>
    <row r="762" customFormat="false" ht="18.75" hidden="false" customHeight="true" outlineLevel="0" collapsed="false">
      <c r="A762" s="146" t="str">
        <f aca="false">'☆掛負収入'!A764</f>
        <v>全国市長会</v>
      </c>
      <c r="B762" s="431" t="n">
        <f aca="false">'☆掛負収入'!B764</f>
        <v>59475</v>
      </c>
      <c r="C762" s="160" t="n">
        <f aca="false">'☆掛負収入'!C764</f>
        <v>4875</v>
      </c>
      <c r="D762" s="431" t="n">
        <f aca="false">'☆掛負収入'!D764</f>
        <v>59475</v>
      </c>
      <c r="E762" s="464" t="n">
        <f aca="false">'☆掛負収入'!E764</f>
        <v>4875</v>
      </c>
      <c r="F762" s="248" t="n">
        <f aca="false">'☆掛負収入'!F764</f>
        <v>61</v>
      </c>
      <c r="G762" s="206" t="n">
        <f aca="false">SUM(B762:F762)</f>
        <v>128761</v>
      </c>
      <c r="H762" s="619" t="n">
        <f aca="false">'☆掛負収入'!H764</f>
        <v>41257</v>
      </c>
      <c r="I762" s="449" t="n">
        <f aca="false">'☆掛負収入'!I764</f>
        <v>41332</v>
      </c>
      <c r="J762" s="160" t="n">
        <f aca="false">SUM(H762:I762)</f>
        <v>82589</v>
      </c>
      <c r="K762" s="464" t="n">
        <f aca="false">'☆掛負収入'!K764</f>
        <v>5925</v>
      </c>
      <c r="L762" s="449" t="n">
        <f aca="false">'☆掛負収入'!L764</f>
        <v>5925</v>
      </c>
      <c r="M762" s="160" t="n">
        <f aca="false">SUM(K762:L762)</f>
        <v>11850</v>
      </c>
      <c r="N762" s="464" t="n">
        <f aca="false">'☆掛負収入'!N764</f>
        <v>1</v>
      </c>
      <c r="O762" s="449" t="n">
        <f aca="false">'☆掛負収入'!O764</f>
        <v>1</v>
      </c>
      <c r="P762" s="160" t="n">
        <f aca="false">SUM(N762:O762)</f>
        <v>2</v>
      </c>
    </row>
    <row r="763" customFormat="false" ht="18.75" hidden="false" customHeight="true" outlineLevel="0" collapsed="false">
      <c r="A763" s="233"/>
      <c r="B763" s="431"/>
      <c r="C763" s="418"/>
      <c r="D763" s="431"/>
      <c r="E763" s="464"/>
      <c r="F763" s="160"/>
      <c r="G763" s="206"/>
      <c r="H763" s="619"/>
      <c r="I763" s="449"/>
      <c r="J763" s="160"/>
      <c r="K763" s="464"/>
      <c r="L763" s="449"/>
      <c r="M763" s="160"/>
      <c r="N763" s="464"/>
      <c r="O763" s="449"/>
      <c r="P763" s="160"/>
    </row>
    <row r="764" customFormat="false" ht="18.75" hidden="false" customHeight="true" outlineLevel="0" collapsed="false">
      <c r="A764" s="233"/>
      <c r="B764" s="620"/>
      <c r="C764" s="391"/>
      <c r="D764" s="620"/>
      <c r="E764" s="621"/>
      <c r="F764" s="418"/>
      <c r="G764" s="206"/>
      <c r="H764" s="620"/>
      <c r="I764" s="465"/>
      <c r="J764" s="160"/>
      <c r="K764" s="621"/>
      <c r="L764" s="465"/>
      <c r="M764" s="160"/>
      <c r="N764" s="621"/>
      <c r="O764" s="465"/>
      <c r="P764" s="160"/>
    </row>
    <row r="765" customFormat="false" ht="18.75" hidden="false" customHeight="true" outlineLevel="0" collapsed="false">
      <c r="A765" s="217"/>
      <c r="B765" s="431"/>
      <c r="C765" s="206"/>
      <c r="D765" s="431"/>
      <c r="E765" s="617"/>
      <c r="F765" s="160"/>
      <c r="G765" s="206"/>
      <c r="H765" s="431"/>
      <c r="I765" s="644"/>
      <c r="J765" s="160"/>
      <c r="K765" s="617"/>
      <c r="L765" s="644"/>
      <c r="M765" s="160"/>
      <c r="N765" s="617"/>
      <c r="O765" s="644"/>
      <c r="P765" s="160"/>
    </row>
    <row r="766" customFormat="false" ht="18.75" hidden="false" customHeight="true" outlineLevel="0" collapsed="false">
      <c r="A766" s="217"/>
      <c r="B766" s="620"/>
      <c r="C766" s="418"/>
      <c r="D766" s="621"/>
      <c r="E766" s="465"/>
      <c r="F766" s="418"/>
      <c r="G766" s="391"/>
      <c r="H766" s="431"/>
      <c r="I766" s="465"/>
      <c r="J766" s="160"/>
      <c r="K766" s="621"/>
      <c r="L766" s="465"/>
      <c r="M766" s="160"/>
      <c r="N766" s="621"/>
      <c r="O766" s="465"/>
      <c r="P766" s="160"/>
    </row>
    <row r="767" customFormat="false" ht="18.75" hidden="false" customHeight="true" outlineLevel="0" collapsed="false">
      <c r="A767" s="630"/>
      <c r="B767" s="647"/>
      <c r="C767" s="278"/>
      <c r="D767" s="648"/>
      <c r="E767" s="649"/>
      <c r="F767" s="278"/>
      <c r="G767" s="646"/>
      <c r="H767" s="647"/>
      <c r="I767" s="648"/>
      <c r="J767" s="648" t="n">
        <f aca="false">SUM(H767:I767)</f>
        <v>0</v>
      </c>
      <c r="K767" s="647"/>
      <c r="L767" s="648"/>
      <c r="M767" s="722" t="n">
        <f aca="false">SUM(K767:L767)</f>
        <v>0</v>
      </c>
      <c r="N767" s="647"/>
      <c r="O767" s="648"/>
      <c r="P767" s="722" t="n">
        <f aca="false">SUM(N767:O767)</f>
        <v>0</v>
      </c>
    </row>
    <row r="768" customFormat="false" ht="18.75" hidden="false" customHeight="true" outlineLevel="0" collapsed="false">
      <c r="A768" s="196" t="str">
        <f aca="false">'☆掛負収入'!A768</f>
        <v>小　計</v>
      </c>
      <c r="B768" s="429" t="n">
        <f aca="false">SUM(B738:B767)</f>
        <v>2773365</v>
      </c>
      <c r="C768" s="200" t="n">
        <f aca="false">SUM(C738:C767)</f>
        <v>227325</v>
      </c>
      <c r="D768" s="429" t="n">
        <f aca="false">SUM(D738:D767)</f>
        <v>8764785</v>
      </c>
      <c r="E768" s="301" t="n">
        <f aca="false">SUM(E738:E767)</f>
        <v>718425</v>
      </c>
      <c r="F768" s="200" t="n">
        <f aca="false">SUM(F738:F767)</f>
        <v>9237</v>
      </c>
      <c r="G768" s="201" t="n">
        <f aca="false">SUM(B768:F768)</f>
        <v>12493137</v>
      </c>
      <c r="H768" s="429" t="n">
        <f aca="false">SUM(H738:H767)</f>
        <v>1679981</v>
      </c>
      <c r="I768" s="199" t="n">
        <f aca="false">SUM(I738:I767)</f>
        <v>5441205</v>
      </c>
      <c r="J768" s="200" t="n">
        <f aca="false">SUM(H768:I768)</f>
        <v>7121186</v>
      </c>
      <c r="K768" s="429" t="n">
        <f aca="false">SUM(K738:K767)</f>
        <v>153655</v>
      </c>
      <c r="L768" s="199" t="n">
        <f aca="false">SUM(L738:L767)</f>
        <v>590288</v>
      </c>
      <c r="M768" s="198" t="n">
        <f aca="false">SUM(K768:L768)</f>
        <v>743943</v>
      </c>
      <c r="N768" s="429" t="n">
        <f aca="false">SUM(N738:N767)</f>
        <v>9</v>
      </c>
      <c r="O768" s="199" t="n">
        <f aca="false">SUM(O738:O767)</f>
        <v>20</v>
      </c>
      <c r="P768" s="198" t="n">
        <f aca="false">SUM(N768:O768)</f>
        <v>29</v>
      </c>
    </row>
    <row r="769" customFormat="false" ht="18.75" hidden="false" customHeight="true" outlineLevel="0" collapsed="false">
      <c r="A769" s="629"/>
      <c r="B769" s="647"/>
      <c r="C769" s="278"/>
      <c r="D769" s="702"/>
      <c r="E769" s="703"/>
      <c r="F769" s="650"/>
      <c r="G769" s="651"/>
      <c r="H769" s="652"/>
      <c r="I769" s="653"/>
      <c r="J769" s="654"/>
      <c r="K769" s="655"/>
      <c r="L769" s="656"/>
      <c r="M769" s="657"/>
      <c r="N769" s="655"/>
      <c r="O769" s="656"/>
      <c r="P769" s="657"/>
    </row>
    <row r="770" customFormat="false" ht="18.75" hidden="false" customHeight="true" outlineLevel="0" collapsed="false">
      <c r="A770" s="658"/>
      <c r="B770" s="631"/>
      <c r="C770" s="633"/>
      <c r="D770" s="648"/>
      <c r="E770" s="649"/>
      <c r="F770" s="278"/>
      <c r="G770" s="646"/>
      <c r="H770" s="659"/>
      <c r="I770" s="660"/>
      <c r="J770" s="408"/>
      <c r="K770" s="661"/>
      <c r="L770" s="662"/>
      <c r="M770" s="663"/>
      <c r="N770" s="661"/>
      <c r="O770" s="662"/>
      <c r="P770" s="663"/>
    </row>
    <row r="771" customFormat="false" ht="18.75" hidden="false" customHeight="true" outlineLevel="0" collapsed="false">
      <c r="A771" s="214" t="str">
        <f aca="false">'☆掛負収入'!A771</f>
        <v>高速交通（株）</v>
      </c>
      <c r="B771" s="489" t="n">
        <f aca="false">'☆掛負収入'!B771</f>
        <v>145485</v>
      </c>
      <c r="C771" s="491" t="n">
        <f aca="false">'☆掛負収入'!C771</f>
        <v>11925</v>
      </c>
      <c r="D771" s="477" t="n">
        <f aca="false">'☆掛負収入'!D771</f>
        <v>145485</v>
      </c>
      <c r="E771" s="487" t="n">
        <f aca="false">'☆掛負収入'!E771</f>
        <v>11925</v>
      </c>
      <c r="F771" s="479" t="n">
        <f aca="false">'☆掛負収入'!F771</f>
        <v>149</v>
      </c>
      <c r="G771" s="391" t="n">
        <f aca="false">SUM(B771:F771)</f>
        <v>314969</v>
      </c>
      <c r="H771" s="665"/>
      <c r="I771" s="665"/>
      <c r="J771" s="665"/>
      <c r="K771" s="665"/>
      <c r="L771" s="665"/>
      <c r="M771" s="665"/>
      <c r="N771" s="665"/>
      <c r="O771" s="665"/>
      <c r="P771" s="665"/>
    </row>
    <row r="772" customFormat="false" ht="18.75" hidden="false" customHeight="true" outlineLevel="0" collapsed="false">
      <c r="A772" s="666" t="s">
        <v>209</v>
      </c>
      <c r="B772" s="489" t="n">
        <f aca="false">'☆掛負収入'!B772</f>
        <v>53985</v>
      </c>
      <c r="C772" s="491" t="n">
        <f aca="false">'☆掛負収入'!C772</f>
        <v>4425</v>
      </c>
      <c r="D772" s="477" t="n">
        <f aca="false">'☆掛負収入'!D772</f>
        <v>53985</v>
      </c>
      <c r="E772" s="487" t="n">
        <f aca="false">'☆掛負収入'!E772</f>
        <v>4425</v>
      </c>
      <c r="F772" s="479" t="n">
        <f aca="false">'☆掛負収入'!F772</f>
        <v>55</v>
      </c>
      <c r="G772" s="391" t="n">
        <f aca="false">SUM(B772:F772)</f>
        <v>116875</v>
      </c>
      <c r="H772" s="665"/>
      <c r="I772" s="665"/>
      <c r="J772" s="665"/>
      <c r="K772" s="665"/>
      <c r="L772" s="665"/>
      <c r="M772" s="665"/>
      <c r="N772" s="665"/>
      <c r="O772" s="665"/>
      <c r="P772" s="665"/>
    </row>
    <row r="773" customFormat="false" ht="18.75" hidden="false" customHeight="true" outlineLevel="0" collapsed="false">
      <c r="A773" s="196" t="str">
        <f aca="false">'☆掛負収入'!A773</f>
        <v>小　計</v>
      </c>
      <c r="B773" s="197" t="n">
        <f aca="false">SUM(B771:B772)</f>
        <v>199470</v>
      </c>
      <c r="C773" s="200" t="n">
        <f aca="false">SUM(C769:C772)</f>
        <v>16350</v>
      </c>
      <c r="D773" s="681" t="n">
        <f aca="false">SUM(D769:D772)</f>
        <v>199470</v>
      </c>
      <c r="E773" s="199" t="n">
        <f aca="false">SUM(E769:E772)</f>
        <v>16350</v>
      </c>
      <c r="F773" s="201" t="n">
        <f aca="false">SUM(F769:F772)</f>
        <v>204</v>
      </c>
      <c r="G773" s="200" t="n">
        <f aca="false">SUM(B773:F773)</f>
        <v>431844</v>
      </c>
      <c r="H773" s="665"/>
      <c r="I773" s="665"/>
      <c r="J773" s="665"/>
      <c r="K773" s="665"/>
      <c r="L773" s="665"/>
      <c r="M773" s="665"/>
      <c r="N773" s="665"/>
      <c r="O773" s="665"/>
      <c r="P773" s="665"/>
    </row>
    <row r="774" customFormat="false" ht="18.75" hidden="false" customHeight="true" outlineLevel="0" collapsed="false">
      <c r="A774" s="125" t="str">
        <f aca="false">'☆掛負収入'!A774</f>
        <v>市職員労働組合</v>
      </c>
      <c r="B774" s="474" t="n">
        <f aca="false">'☆掛負収入'!B774</f>
        <v>29280</v>
      </c>
      <c r="C774" s="248" t="n">
        <f aca="false">'☆掛負収入'!C774</f>
        <v>2400</v>
      </c>
      <c r="D774" s="470" t="n">
        <f aca="false">'☆掛負収入'!D774</f>
        <v>29280</v>
      </c>
      <c r="E774" s="488" t="n">
        <f aca="false">'☆掛負収入'!E774</f>
        <v>2400</v>
      </c>
      <c r="F774" s="221"/>
      <c r="G774" s="206" t="n">
        <f aca="false">SUM(B774:F774)</f>
        <v>63360</v>
      </c>
      <c r="H774" s="619" t="n">
        <f aca="false">'☆掛負収入'!H774</f>
        <v>17603</v>
      </c>
      <c r="I774" s="449" t="n">
        <f aca="false">'☆掛負収入'!I774</f>
        <v>17635</v>
      </c>
      <c r="J774" s="160" t="n">
        <f aca="false">SUM(H774:I774)</f>
        <v>35238</v>
      </c>
      <c r="K774" s="476" t="n">
        <f aca="false">'☆掛負収入'!K774</f>
        <v>2528</v>
      </c>
      <c r="L774" s="487" t="n">
        <f aca="false">'☆掛負収入'!L774</f>
        <v>2528</v>
      </c>
      <c r="M774" s="471" t="n">
        <f aca="false">SUM(K774:L774)</f>
        <v>5056</v>
      </c>
      <c r="N774" s="476" t="n">
        <f aca="false">'☆掛負収入'!N774</f>
        <v>1</v>
      </c>
      <c r="O774" s="487" t="n">
        <f aca="false">'☆掛負収入'!O774</f>
        <v>1</v>
      </c>
      <c r="P774" s="471" t="n">
        <f aca="false">SUM(N774:O774)</f>
        <v>2</v>
      </c>
    </row>
    <row r="775" customFormat="false" ht="18.75" hidden="false" customHeight="true" outlineLevel="0" collapsed="false">
      <c r="A775" s="125" t="str">
        <f aca="false">'☆掛負収入'!A775</f>
        <v>自治労労働組合</v>
      </c>
      <c r="B775" s="474" t="n">
        <f aca="false">'☆掛負収入'!B775</f>
        <v>0</v>
      </c>
      <c r="C775" s="402" t="n">
        <f aca="false">'☆掛負収入'!C775</f>
        <v>0</v>
      </c>
      <c r="D775" s="474" t="n">
        <f aca="false">'☆掛負収入'!D775</f>
        <v>0</v>
      </c>
      <c r="E775" s="488" t="n">
        <f aca="false">'☆掛負収入'!E775</f>
        <v>0</v>
      </c>
      <c r="F775" s="221"/>
      <c r="G775" s="206" t="n">
        <f aca="false">SUM(B775:F775)</f>
        <v>0</v>
      </c>
      <c r="H775" s="619" t="n">
        <f aca="false">'☆掛負収入'!H775</f>
        <v>0</v>
      </c>
      <c r="I775" s="449" t="n">
        <f aca="false">'☆掛負収入'!I775</f>
        <v>0</v>
      </c>
      <c r="J775" s="160" t="n">
        <f aca="false">SUM(H775:I775)</f>
        <v>0</v>
      </c>
      <c r="K775" s="619" t="n">
        <f aca="false">'☆掛負収入'!K775</f>
        <v>0</v>
      </c>
      <c r="L775" s="449" t="n">
        <f aca="false">'☆掛負収入'!L775</f>
        <v>0</v>
      </c>
      <c r="M775" s="160" t="n">
        <f aca="false">SUM(K775:L775)</f>
        <v>0</v>
      </c>
      <c r="N775" s="619" t="n">
        <f aca="false">'☆掛負収入'!N775</f>
        <v>0</v>
      </c>
      <c r="O775" s="449" t="n">
        <f aca="false">'☆掛負収入'!O775</f>
        <v>0</v>
      </c>
      <c r="P775" s="160" t="n">
        <f aca="false">SUM(N775:O775)</f>
        <v>0</v>
      </c>
    </row>
    <row r="776" customFormat="false" ht="18.75" hidden="false" customHeight="true" outlineLevel="0" collapsed="false">
      <c r="A776" s="125" t="str">
        <f aca="false">'☆掛負収入'!A776</f>
        <v>病院労働組合</v>
      </c>
      <c r="B776" s="474" t="n">
        <f aca="false">'☆掛負収入'!B776</f>
        <v>27450</v>
      </c>
      <c r="C776" s="402" t="n">
        <f aca="false">'☆掛負収入'!C776</f>
        <v>2250</v>
      </c>
      <c r="D776" s="474" t="n">
        <f aca="false">'☆掛負収入'!D776</f>
        <v>27450</v>
      </c>
      <c r="E776" s="488" t="n">
        <f aca="false">'☆掛負収入'!E776</f>
        <v>2250</v>
      </c>
      <c r="F776" s="221"/>
      <c r="G776" s="206" t="n">
        <f aca="false">SUM(B776:F776)</f>
        <v>59400</v>
      </c>
      <c r="H776" s="619" t="n">
        <f aca="false">'☆掛負収入'!H776</f>
        <v>33006</v>
      </c>
      <c r="I776" s="449" t="n">
        <f aca="false">'☆掛負収入'!I776</f>
        <v>33066</v>
      </c>
      <c r="J776" s="160" t="n">
        <f aca="false">SUM(H776:I776)</f>
        <v>66072</v>
      </c>
      <c r="K776" s="619" t="n">
        <f aca="false">'☆掛負収入'!K776</f>
        <v>2370</v>
      </c>
      <c r="L776" s="449" t="n">
        <f aca="false">'☆掛負収入'!L776</f>
        <v>2370</v>
      </c>
      <c r="M776" s="160" t="n">
        <f aca="false">SUM(K776:L776)</f>
        <v>4740</v>
      </c>
      <c r="N776" s="619" t="n">
        <f aca="false">'☆掛負収入'!N776</f>
        <v>1</v>
      </c>
      <c r="O776" s="449" t="n">
        <f aca="false">'☆掛負収入'!O776</f>
        <v>1</v>
      </c>
      <c r="P776" s="160" t="n">
        <f aca="false">SUM(N776:O776)</f>
        <v>2</v>
      </c>
    </row>
    <row r="777" customFormat="false" ht="18.75" hidden="false" customHeight="true" outlineLevel="0" collapsed="false">
      <c r="A777" s="302" t="str">
        <f aca="false">'☆掛負収入'!A777</f>
        <v>水道労働組合</v>
      </c>
      <c r="B777" s="673"/>
      <c r="C777" s="444"/>
      <c r="D777" s="673"/>
      <c r="E777" s="623"/>
      <c r="F777" s="296"/>
      <c r="G777" s="206" t="n">
        <f aca="false">SUM(B777:F777)</f>
        <v>0</v>
      </c>
      <c r="H777" s="674"/>
      <c r="I777" s="675"/>
      <c r="J777" s="160" t="n">
        <f aca="false">SUM(H777:I777)</f>
        <v>0</v>
      </c>
      <c r="K777" s="676"/>
      <c r="L777" s="677"/>
      <c r="M777" s="160" t="n">
        <f aca="false">SUM(K777:L777)</f>
        <v>0</v>
      </c>
      <c r="N777" s="676"/>
      <c r="O777" s="677"/>
      <c r="P777" s="160" t="n">
        <f aca="false">SUM(N777:O777)</f>
        <v>0</v>
      </c>
    </row>
    <row r="778" customFormat="false" ht="18.75" hidden="false" customHeight="true" outlineLevel="0" collapsed="false">
      <c r="A778" s="196" t="str">
        <f aca="false">'☆掛負収入'!A778</f>
        <v>小　計</v>
      </c>
      <c r="B778" s="429" t="n">
        <f aca="false">SUM(B774:B777)</f>
        <v>56730</v>
      </c>
      <c r="C778" s="200" t="n">
        <f aca="false">SUM(C774:C777)</f>
        <v>4650</v>
      </c>
      <c r="D778" s="429" t="n">
        <f aca="false">SUM(D774:D777)</f>
        <v>56730</v>
      </c>
      <c r="E778" s="199" t="n">
        <f aca="false">SUM(E774:E777)</f>
        <v>4650</v>
      </c>
      <c r="F778" s="198" t="n">
        <f aca="false">SUM(F774:F777)</f>
        <v>0</v>
      </c>
      <c r="G778" s="197" t="n">
        <f aca="false">SUM(B778:F778)</f>
        <v>122760</v>
      </c>
      <c r="H778" s="429" t="n">
        <f aca="false">SUM(H774:H777)</f>
        <v>50609</v>
      </c>
      <c r="I778" s="199" t="n">
        <f aca="false">SUM(I774:I777)</f>
        <v>50701</v>
      </c>
      <c r="J778" s="200" t="n">
        <f aca="false">SUM(H778:I778)</f>
        <v>101310</v>
      </c>
      <c r="K778" s="197" t="n">
        <f aca="false">SUM(K774:K777)</f>
        <v>4898</v>
      </c>
      <c r="L778" s="198" t="n">
        <f aca="false">SUM(L774:L777)</f>
        <v>4898</v>
      </c>
      <c r="M778" s="200" t="n">
        <f aca="false">SUM(K778:L778)</f>
        <v>9796</v>
      </c>
      <c r="N778" s="197" t="n">
        <f aca="false">SUM(N774:N777)</f>
        <v>2</v>
      </c>
      <c r="O778" s="198" t="n">
        <f aca="false">SUM(O774:O777)</f>
        <v>2</v>
      </c>
      <c r="P778" s="200" t="n">
        <f aca="false">SUM(N778:O778)</f>
        <v>4</v>
      </c>
    </row>
    <row r="779" customFormat="false" ht="18.75" hidden="false" customHeight="true" outlineLevel="0" collapsed="false">
      <c r="A779" s="302" t="str">
        <f aca="false">'☆掛負収入'!A779</f>
        <v>任意継続組合員</v>
      </c>
      <c r="B779" s="281"/>
      <c r="C779" s="523"/>
      <c r="D779" s="524"/>
      <c r="E779" s="525"/>
      <c r="F779" s="296"/>
      <c r="G779" s="293"/>
      <c r="H779" s="678"/>
      <c r="I779" s="282"/>
      <c r="J779" s="283"/>
      <c r="K779" s="524"/>
      <c r="L779" s="679"/>
      <c r="M779" s="292"/>
      <c r="N779" s="524"/>
      <c r="O779" s="679"/>
      <c r="P779" s="292"/>
    </row>
    <row r="780" customFormat="false" ht="30" hidden="false" customHeight="true" outlineLevel="0" collapsed="false">
      <c r="A780" s="680" t="str">
        <f aca="false">'☆掛負収入'!A780</f>
        <v>総　　計</v>
      </c>
      <c r="B780" s="429" t="n">
        <f aca="false">SUM(B737+B768+B773+B778)</f>
        <v>3029565</v>
      </c>
      <c r="C780" s="200" t="n">
        <f aca="false">SUM(C737+C768+C773+C778)</f>
        <v>248325</v>
      </c>
      <c r="D780" s="681" t="n">
        <f aca="false">SUM(D737+D768+D773+D778)</f>
        <v>9020985</v>
      </c>
      <c r="E780" s="199" t="n">
        <f aca="false">SUM(E737+E768+E773+E778)</f>
        <v>739425</v>
      </c>
      <c r="F780" s="201" t="n">
        <f aca="false">SUM(F737+F768+F773+F778)</f>
        <v>9441</v>
      </c>
      <c r="G780" s="197" t="n">
        <f aca="false">SUM(B780:F780)</f>
        <v>13047741</v>
      </c>
      <c r="H780" s="429" t="n">
        <f aca="false">SUM(H737+H768+H773+H778+H779)</f>
        <v>1730590</v>
      </c>
      <c r="I780" s="199" t="n">
        <f aca="false">SUM(I737+I768+I773+I778+I779)</f>
        <v>5491906</v>
      </c>
      <c r="J780" s="200" t="n">
        <f aca="false">SUM(H780:I780)</f>
        <v>7222496</v>
      </c>
      <c r="K780" s="197" t="n">
        <f aca="false">K737+K768+K773+K778+K779</f>
        <v>158553</v>
      </c>
      <c r="L780" s="198" t="n">
        <f aca="false">L737+L768+L773+L778</f>
        <v>595186</v>
      </c>
      <c r="M780" s="200" t="n">
        <f aca="false">SUM(K780:L780)</f>
        <v>753739</v>
      </c>
      <c r="N780" s="197" t="n">
        <f aca="false">N737+N768+N773+N778+N779</f>
        <v>11</v>
      </c>
      <c r="O780" s="198" t="n">
        <f aca="false">O737+O768+O773+O778</f>
        <v>22</v>
      </c>
      <c r="P780" s="200" t="n">
        <f aca="false">SUM(N780:O780)</f>
        <v>33</v>
      </c>
    </row>
    <row r="781" customFormat="false" ht="18.75" hidden="false" customHeight="true" outlineLevel="0" collapsed="false">
      <c r="A781" s="340"/>
      <c r="B781" s="341"/>
      <c r="C781" s="341"/>
      <c r="D781" s="341"/>
      <c r="E781" s="341"/>
      <c r="F781" s="341"/>
      <c r="G781" s="341"/>
      <c r="H781" s="341"/>
      <c r="I781" s="341"/>
      <c r="J781" s="341"/>
      <c r="K781" s="341"/>
      <c r="L781" s="341"/>
      <c r="M781" s="341"/>
      <c r="N781" s="341"/>
      <c r="O781" s="341"/>
      <c r="P781" s="341"/>
    </row>
    <row r="782" customFormat="false" ht="30" hidden="false" customHeight="true" outlineLevel="0" collapsed="false">
      <c r="A782" s="320"/>
      <c r="B782" s="416" t="n">
        <f aca="false">'☆掛負収入'!B782</f>
        <v>46446</v>
      </c>
      <c r="C782" s="416" t="n">
        <f aca="false">'☆掛負収入'!C782</f>
        <v>0</v>
      </c>
      <c r="D782" s="416" t="n">
        <f aca="false">'☆掛負収入'!D782</f>
        <v>0</v>
      </c>
      <c r="E782" s="416" t="n">
        <f aca="false">'☆掛負収入'!E782</f>
        <v>0</v>
      </c>
      <c r="F782" s="416" t="n">
        <f aca="false">'☆掛負収入'!F782</f>
        <v>0</v>
      </c>
      <c r="G782" s="416" t="n">
        <f aca="false">'☆掛負収入'!G782</f>
        <v>0</v>
      </c>
      <c r="H782" s="416" t="n">
        <f aca="false">'☆掛負収入'!H782</f>
        <v>46446</v>
      </c>
      <c r="I782" s="416" t="n">
        <f aca="false">'☆掛負収入'!I782</f>
        <v>0</v>
      </c>
      <c r="J782" s="416" t="n">
        <f aca="false">'☆掛負収入'!J782</f>
        <v>0</v>
      </c>
      <c r="K782" s="416" t="n">
        <f aca="false">'☆掛負収入'!K782</f>
        <v>46446</v>
      </c>
      <c r="L782" s="416" t="n">
        <f aca="false">'☆掛負収入'!L782</f>
        <v>0</v>
      </c>
      <c r="M782" s="416" t="n">
        <f aca="false">'☆掛負収入'!M782</f>
        <v>0</v>
      </c>
      <c r="N782" s="416" t="n">
        <f aca="false">'☆掛負収入'!N782</f>
        <v>46446</v>
      </c>
      <c r="O782" s="416" t="n">
        <f aca="false">'☆掛負収入'!O782</f>
        <v>0</v>
      </c>
      <c r="P782" s="416" t="n">
        <f aca="false">'☆掛負収入'!P782</f>
        <v>0</v>
      </c>
    </row>
    <row r="783" customFormat="false" ht="22.5" hidden="false" customHeight="true" outlineLevel="0" collapsed="false">
      <c r="A783" s="114" t="str">
        <f aca="false">'☆掛負収入'!A783</f>
        <v>区　　分</v>
      </c>
      <c r="B783" s="114" t="str">
        <f aca="false">'☆掛負収入'!B783</f>
        <v>長　期　経　理</v>
      </c>
      <c r="C783" s="114" t="n">
        <f aca="false">'☆掛負収入'!C783</f>
        <v>0</v>
      </c>
      <c r="D783" s="114" t="n">
        <f aca="false">'☆掛負収入'!D783</f>
        <v>0</v>
      </c>
      <c r="E783" s="114" t="n">
        <f aca="false">'☆掛負収入'!E783</f>
        <v>0</v>
      </c>
      <c r="F783" s="114" t="n">
        <f aca="false">'☆掛負収入'!F783</f>
        <v>0</v>
      </c>
      <c r="G783" s="114" t="n">
        <f aca="false">'☆掛負収入'!G783</f>
        <v>0</v>
      </c>
      <c r="H783" s="116" t="str">
        <f aca="false">'☆掛負収入'!H783</f>
        <v>短　期　経　理</v>
      </c>
      <c r="I783" s="116" t="n">
        <f aca="false">'☆掛負収入'!I783</f>
        <v>0</v>
      </c>
      <c r="J783" s="116" t="n">
        <f aca="false">'☆掛負収入'!J783</f>
        <v>0</v>
      </c>
      <c r="K783" s="116" t="str">
        <f aca="false">'☆掛負収入'!K783</f>
        <v>介　護　納　付　金</v>
      </c>
      <c r="L783" s="116" t="n">
        <f aca="false">'☆掛負収入'!L783</f>
        <v>0</v>
      </c>
      <c r="M783" s="116" t="n">
        <f aca="false">'☆掛負収入'!M783</f>
        <v>0</v>
      </c>
      <c r="N783" s="116" t="str">
        <f aca="false">'☆掛負収入'!N783</f>
        <v>子ども・子育て支援納付金</v>
      </c>
      <c r="O783" s="116" t="n">
        <f aca="false">'☆掛負収入'!O783</f>
        <v>0</v>
      </c>
      <c r="P783" s="116" t="n">
        <f aca="false">'☆掛負収入'!P783</f>
        <v>0</v>
      </c>
    </row>
    <row r="784" customFormat="false" ht="22.5" hidden="false" customHeight="true" outlineLevel="0" collapsed="false">
      <c r="A784" s="114" t="n">
        <f aca="false">'☆掛負収入'!A784</f>
        <v>0</v>
      </c>
      <c r="B784" s="117" t="str">
        <f aca="false">'☆掛負収入'!B784</f>
        <v>組合員負担分</v>
      </c>
      <c r="C784" s="117" t="n">
        <f aca="false">'☆掛負収入'!C784</f>
        <v>0</v>
      </c>
      <c r="D784" s="117" t="str">
        <f aca="false">'☆掛負収入'!D784</f>
        <v>事業主負担分</v>
      </c>
      <c r="E784" s="117" t="n">
        <f aca="false">'☆掛負収入'!E784</f>
        <v>0</v>
      </c>
      <c r="F784" s="117" t="n">
        <f aca="false">'☆掛負収入'!F784</f>
        <v>0</v>
      </c>
      <c r="G784" s="611" t="str">
        <f aca="false">'☆掛負収入'!G784</f>
        <v>計</v>
      </c>
      <c r="H784" s="121" t="str">
        <f aca="false">'☆掛負収入'!H784</f>
        <v>掛　金</v>
      </c>
      <c r="I784" s="119" t="str">
        <f aca="false">'☆掛負収入'!I784</f>
        <v>負担金</v>
      </c>
      <c r="J784" s="120" t="str">
        <f aca="false">'☆掛負収入'!J784</f>
        <v>計</v>
      </c>
      <c r="K784" s="121" t="str">
        <f aca="false">'☆掛負収入'!K784</f>
        <v>掛　金</v>
      </c>
      <c r="L784" s="119" t="str">
        <f aca="false">'☆掛負収入'!L784</f>
        <v>負担金</v>
      </c>
      <c r="M784" s="120" t="str">
        <f aca="false">'☆掛負収入'!M784</f>
        <v>計</v>
      </c>
      <c r="N784" s="121" t="str">
        <f aca="false">'☆掛負収入'!N784</f>
        <v>掛　金</v>
      </c>
      <c r="O784" s="119" t="str">
        <f aca="false">'☆掛負収入'!O784</f>
        <v>負担金</v>
      </c>
      <c r="P784" s="120" t="str">
        <f aca="false">'☆掛負収入'!P784</f>
        <v>計</v>
      </c>
    </row>
    <row r="785" customFormat="false" ht="22.5" hidden="false" customHeight="true" outlineLevel="0" collapsed="false">
      <c r="A785" s="114" t="n">
        <f aca="false">'☆掛負収入'!A785</f>
        <v>0</v>
      </c>
      <c r="B785" s="612" t="str">
        <f aca="false">'☆掛負収入'!B785</f>
        <v>厚生年金保険料</v>
      </c>
      <c r="C785" s="613" t="str">
        <f aca="false">'☆掛負収入'!C785</f>
        <v>退職等年金掛金</v>
      </c>
      <c r="D785" s="614" t="str">
        <f aca="false">'☆掛負収入'!D785</f>
        <v>厚生年金保険料</v>
      </c>
      <c r="E785" s="614" t="str">
        <f aca="false">'☆掛負収入'!E785</f>
        <v>退職等年金負担金</v>
      </c>
      <c r="F785" s="615" t="str">
        <f aca="false">'☆掛負収入'!F785</f>
        <v>経過的長期</v>
      </c>
      <c r="G785" s="611" t="n">
        <f aca="false">'☆掛負収入'!G785</f>
        <v>0</v>
      </c>
      <c r="H785" s="121" t="n">
        <f aca="false">'☆掛負収入'!H785</f>
        <v>0</v>
      </c>
      <c r="I785" s="119" t="n">
        <f aca="false">'☆掛負収入'!I785</f>
        <v>0</v>
      </c>
      <c r="J785" s="120" t="n">
        <f aca="false">'☆掛負収入'!J785</f>
        <v>0</v>
      </c>
      <c r="K785" s="121" t="n">
        <f aca="false">'☆掛負収入'!K785</f>
        <v>0</v>
      </c>
      <c r="L785" s="119" t="n">
        <f aca="false">'☆掛負収入'!L785</f>
        <v>0</v>
      </c>
      <c r="M785" s="120" t="n">
        <f aca="false">'☆掛負収入'!M785</f>
        <v>0</v>
      </c>
      <c r="N785" s="121" t="n">
        <f aca="false">'☆掛負収入'!N785</f>
        <v>0</v>
      </c>
      <c r="O785" s="119" t="n">
        <f aca="false">'☆掛負収入'!O785</f>
        <v>0</v>
      </c>
      <c r="P785" s="120" t="n">
        <f aca="false">'☆掛負収入'!P785</f>
        <v>0</v>
      </c>
    </row>
    <row r="786" customFormat="false" ht="18.75" hidden="false" customHeight="true" outlineLevel="0" collapsed="false">
      <c r="A786" s="125" t="str">
        <f aca="false">'☆掛負収入'!A786</f>
        <v>市長部局</v>
      </c>
      <c r="B786" s="616"/>
      <c r="C786" s="389"/>
      <c r="D786" s="617"/>
      <c r="E786" s="617"/>
      <c r="F786" s="209"/>
      <c r="G786" s="389"/>
      <c r="H786" s="616"/>
      <c r="I786" s="618"/>
      <c r="J786" s="206"/>
      <c r="K786" s="619"/>
      <c r="L786" s="618"/>
      <c r="M786" s="206"/>
      <c r="N786" s="619"/>
      <c r="O786" s="618"/>
      <c r="P786" s="206"/>
    </row>
    <row r="787" customFormat="false" ht="18.75" hidden="false" customHeight="true" outlineLevel="0" collapsed="false">
      <c r="A787" s="125" t="str">
        <f aca="false">'☆掛負収入'!A787</f>
        <v>下水道局</v>
      </c>
      <c r="B787" s="431"/>
      <c r="C787" s="206"/>
      <c r="D787" s="617"/>
      <c r="E787" s="617"/>
      <c r="F787" s="160"/>
      <c r="G787" s="206"/>
      <c r="H787" s="619"/>
      <c r="I787" s="449"/>
      <c r="J787" s="160"/>
      <c r="K787" s="620"/>
      <c r="L787" s="621"/>
      <c r="M787" s="160"/>
      <c r="N787" s="620"/>
      <c r="O787" s="621"/>
      <c r="P787" s="160"/>
    </row>
    <row r="788" customFormat="false" ht="18.75" hidden="false" customHeight="true" outlineLevel="0" collapsed="false">
      <c r="A788" s="125" t="str">
        <f aca="false">'☆掛負収入'!A788</f>
        <v>消防局</v>
      </c>
      <c r="B788" s="431"/>
      <c r="C788" s="206"/>
      <c r="D788" s="617"/>
      <c r="E788" s="617"/>
      <c r="F788" s="160"/>
      <c r="G788" s="206"/>
      <c r="H788" s="620"/>
      <c r="I788" s="464"/>
      <c r="J788" s="160"/>
      <c r="K788" s="620"/>
      <c r="L788" s="464"/>
      <c r="M788" s="160"/>
      <c r="N788" s="620"/>
      <c r="O788" s="464"/>
      <c r="P788" s="160"/>
    </row>
    <row r="789" customFormat="false" ht="18.75" hidden="false" customHeight="true" outlineLevel="0" collapsed="false">
      <c r="A789" s="125" t="str">
        <f aca="false">'☆掛負収入'!A789</f>
        <v>議会事務局</v>
      </c>
      <c r="B789" s="431"/>
      <c r="C789" s="206"/>
      <c r="D789" s="617"/>
      <c r="E789" s="617"/>
      <c r="F789" s="160"/>
      <c r="G789" s="206"/>
      <c r="H789" s="431"/>
      <c r="I789" s="464"/>
      <c r="J789" s="160"/>
      <c r="K789" s="431"/>
      <c r="L789" s="464"/>
      <c r="M789" s="160"/>
      <c r="N789" s="431"/>
      <c r="O789" s="464"/>
      <c r="P789" s="160"/>
    </row>
    <row r="790" customFormat="false" ht="18.75" hidden="false" customHeight="true" outlineLevel="0" collapsed="false">
      <c r="A790" s="125" t="str">
        <f aca="false">'☆掛負収入'!A790</f>
        <v>教育委員会（総務課）</v>
      </c>
      <c r="B790" s="431"/>
      <c r="C790" s="206"/>
      <c r="D790" s="617"/>
      <c r="E790" s="617"/>
      <c r="F790" s="160"/>
      <c r="G790" s="206"/>
      <c r="H790" s="431"/>
      <c r="I790" s="464"/>
      <c r="J790" s="160"/>
      <c r="K790" s="431"/>
      <c r="L790" s="464"/>
      <c r="M790" s="160"/>
      <c r="N790" s="431"/>
      <c r="O790" s="464"/>
      <c r="P790" s="160"/>
    </row>
    <row r="791" customFormat="false" ht="18.75" hidden="false" customHeight="true" outlineLevel="0" collapsed="false">
      <c r="A791" s="125" t="str">
        <f aca="false">'☆掛負収入'!A791</f>
        <v>選挙管理委員会</v>
      </c>
      <c r="B791" s="431"/>
      <c r="C791" s="206"/>
      <c r="D791" s="617"/>
      <c r="E791" s="617"/>
      <c r="F791" s="160"/>
      <c r="G791" s="206"/>
      <c r="H791" s="619"/>
      <c r="I791" s="449"/>
      <c r="J791" s="160"/>
      <c r="K791" s="431"/>
      <c r="L791" s="464"/>
      <c r="M791" s="160"/>
      <c r="N791" s="431"/>
      <c r="O791" s="464"/>
      <c r="P791" s="160"/>
    </row>
    <row r="792" customFormat="false" ht="18.75" hidden="false" customHeight="true" outlineLevel="0" collapsed="false">
      <c r="A792" s="125" t="str">
        <f aca="false">'☆掛負収入'!A792</f>
        <v>人事委員会</v>
      </c>
      <c r="B792" s="431"/>
      <c r="C792" s="206"/>
      <c r="D792" s="617"/>
      <c r="E792" s="617"/>
      <c r="F792" s="160"/>
      <c r="G792" s="206"/>
      <c r="H792" s="619"/>
      <c r="I792" s="449"/>
      <c r="J792" s="160"/>
      <c r="K792" s="619"/>
      <c r="L792" s="449"/>
      <c r="M792" s="160"/>
      <c r="N792" s="619"/>
      <c r="O792" s="449"/>
      <c r="P792" s="160"/>
    </row>
    <row r="793" customFormat="false" ht="18.75" hidden="false" customHeight="true" outlineLevel="0" collapsed="false">
      <c r="A793" s="125" t="str">
        <f aca="false">'☆掛負収入'!A793</f>
        <v>監査事務局</v>
      </c>
      <c r="B793" s="431"/>
      <c r="C793" s="206"/>
      <c r="D793" s="617"/>
      <c r="E793" s="617"/>
      <c r="F793" s="160"/>
      <c r="G793" s="206"/>
      <c r="H793" s="619"/>
      <c r="I793" s="449"/>
      <c r="J793" s="160"/>
      <c r="K793" s="619"/>
      <c r="L793" s="449"/>
      <c r="M793" s="160"/>
      <c r="N793" s="619"/>
      <c r="O793" s="449"/>
      <c r="P793" s="160"/>
    </row>
    <row r="794" customFormat="false" ht="18.75" hidden="false" customHeight="true" outlineLevel="0" collapsed="false">
      <c r="A794" s="125" t="str">
        <f aca="false">'☆掛負収入'!A794</f>
        <v>農業委員会</v>
      </c>
      <c r="B794" s="431"/>
      <c r="C794" s="206"/>
      <c r="D794" s="617"/>
      <c r="E794" s="617"/>
      <c r="F794" s="160"/>
      <c r="G794" s="206"/>
      <c r="H794" s="619"/>
      <c r="I794" s="449"/>
      <c r="J794" s="160"/>
      <c r="K794" s="619"/>
      <c r="L794" s="449"/>
      <c r="M794" s="160"/>
      <c r="N794" s="619"/>
      <c r="O794" s="449"/>
      <c r="P794" s="160"/>
    </row>
    <row r="795" customFormat="false" ht="18.75" hidden="false" customHeight="true" outlineLevel="0" collapsed="false">
      <c r="A795" s="125" t="str">
        <f aca="false">'☆掛負収入'!A795</f>
        <v>水道局</v>
      </c>
      <c r="B795" s="431"/>
      <c r="C795" s="206"/>
      <c r="D795" s="617"/>
      <c r="E795" s="617"/>
      <c r="F795" s="160"/>
      <c r="G795" s="206"/>
      <c r="H795" s="619"/>
      <c r="I795" s="449"/>
      <c r="J795" s="160"/>
      <c r="K795" s="619"/>
      <c r="L795" s="449"/>
      <c r="M795" s="160"/>
      <c r="N795" s="619"/>
      <c r="O795" s="449"/>
      <c r="P795" s="160"/>
    </row>
    <row r="796" customFormat="false" ht="18.75" hidden="false" customHeight="true" outlineLevel="0" collapsed="false">
      <c r="A796" s="146" t="str">
        <f aca="false">'☆掛負収入'!A796</f>
        <v>医療政策課(安芸市民)</v>
      </c>
      <c r="B796" s="620"/>
      <c r="C796" s="391"/>
      <c r="D796" s="620"/>
      <c r="E796" s="621"/>
      <c r="F796" s="418"/>
      <c r="G796" s="206"/>
      <c r="H796" s="622"/>
      <c r="I796" s="432"/>
      <c r="J796" s="160"/>
      <c r="K796" s="619"/>
      <c r="L796" s="449"/>
      <c r="M796" s="160"/>
      <c r="N796" s="619"/>
      <c r="O796" s="449"/>
      <c r="P796" s="160"/>
    </row>
    <row r="797" customFormat="false" ht="18.75" hidden="false" customHeight="true" outlineLevel="0" collapsed="false">
      <c r="A797" s="146" t="str">
        <f aca="false">'☆掛負収入'!A797</f>
        <v>教育委員会（教育給与課）</v>
      </c>
      <c r="B797" s="620"/>
      <c r="C797" s="206"/>
      <c r="D797" s="431"/>
      <c r="E797" s="623"/>
      <c r="F797" s="309"/>
      <c r="G797" s="206"/>
      <c r="H797" s="619"/>
      <c r="I797" s="449"/>
      <c r="J797" s="160"/>
      <c r="K797" s="619"/>
      <c r="L797" s="449"/>
      <c r="M797" s="160"/>
      <c r="N797" s="619"/>
      <c r="O797" s="449"/>
      <c r="P797" s="160"/>
    </row>
    <row r="798" customFormat="false" ht="18.75" hidden="true" customHeight="true" outlineLevel="0" collapsed="false">
      <c r="A798" s="624"/>
      <c r="B798" s="625"/>
      <c r="C798" s="235"/>
      <c r="D798" s="625"/>
      <c r="E798" s="626"/>
      <c r="F798" s="221"/>
      <c r="G798" s="712"/>
      <c r="H798" s="627"/>
      <c r="I798" s="628"/>
      <c r="J798" s="628"/>
      <c r="K798" s="627"/>
      <c r="L798" s="628"/>
      <c r="M798" s="220"/>
      <c r="N798" s="627"/>
      <c r="O798" s="628"/>
      <c r="P798" s="220"/>
    </row>
    <row r="799" customFormat="false" ht="18.75" hidden="true" customHeight="true" outlineLevel="0" collapsed="false">
      <c r="A799" s="629"/>
      <c r="B799" s="482"/>
      <c r="C799" s="157"/>
      <c r="D799" s="482"/>
      <c r="E799" s="483"/>
      <c r="F799" s="484"/>
      <c r="G799" s="460"/>
      <c r="H799" s="482"/>
      <c r="I799" s="483"/>
      <c r="J799" s="483"/>
      <c r="K799" s="482"/>
      <c r="L799" s="483"/>
      <c r="M799" s="155"/>
      <c r="N799" s="482"/>
      <c r="O799" s="483"/>
      <c r="P799" s="155"/>
    </row>
    <row r="800" customFormat="false" ht="18.75" hidden="true" customHeight="true" outlineLevel="0" collapsed="false">
      <c r="A800" s="629"/>
      <c r="B800" s="625"/>
      <c r="C800" s="235"/>
      <c r="D800" s="625"/>
      <c r="E800" s="626"/>
      <c r="F800" s="221"/>
      <c r="G800" s="712"/>
      <c r="H800" s="625"/>
      <c r="I800" s="626"/>
      <c r="J800" s="626"/>
      <c r="K800" s="625"/>
      <c r="L800" s="626"/>
      <c r="M800" s="721"/>
      <c r="N800" s="625"/>
      <c r="O800" s="626"/>
      <c r="P800" s="721"/>
    </row>
    <row r="801" customFormat="false" ht="18.75" hidden="true" customHeight="true" outlineLevel="0" collapsed="false">
      <c r="A801" s="630"/>
      <c r="B801" s="631"/>
      <c r="C801" s="632"/>
      <c r="D801" s="631"/>
      <c r="E801" s="515"/>
      <c r="F801" s="633"/>
      <c r="G801" s="714"/>
      <c r="H801" s="482"/>
      <c r="I801" s="634"/>
      <c r="J801" s="634"/>
      <c r="K801" s="482"/>
      <c r="L801" s="483"/>
      <c r="M801" s="155"/>
      <c r="N801" s="482"/>
      <c r="O801" s="483"/>
      <c r="P801" s="155"/>
    </row>
    <row r="802" customFormat="false" ht="18.75" hidden="false" customHeight="true" outlineLevel="0" collapsed="false">
      <c r="A802" s="196" t="str">
        <f aca="false">'☆掛負収入'!A802</f>
        <v>小　計</v>
      </c>
      <c r="B802" s="429"/>
      <c r="C802" s="199"/>
      <c r="D802" s="429"/>
      <c r="E802" s="199"/>
      <c r="F802" s="200"/>
      <c r="G802" s="201"/>
      <c r="H802" s="429"/>
      <c r="I802" s="199"/>
      <c r="J802" s="198"/>
      <c r="K802" s="429"/>
      <c r="L802" s="199"/>
      <c r="M802" s="198"/>
      <c r="N802" s="429"/>
      <c r="O802" s="199"/>
      <c r="P802" s="198"/>
    </row>
    <row r="803" customFormat="false" ht="18.75" hidden="false" customHeight="true" outlineLevel="0" collapsed="false">
      <c r="A803" s="202" t="str">
        <f aca="false">'☆掛負収入'!A803</f>
        <v>地方税共同機構</v>
      </c>
      <c r="B803" s="474" t="n">
        <f aca="false">'☆掛負収入'!B803</f>
        <v>0</v>
      </c>
      <c r="C803" s="402" t="n">
        <f aca="false">'☆掛負収入'!C803</f>
        <v>0</v>
      </c>
      <c r="D803" s="494" t="n">
        <f aca="false">'☆掛負収入'!D803</f>
        <v>0</v>
      </c>
      <c r="E803" s="488" t="n">
        <f aca="false">'☆掛負収入'!E803</f>
        <v>0</v>
      </c>
      <c r="F803" s="475" t="n">
        <f aca="false">'☆掛負収入'!F803</f>
        <v>0</v>
      </c>
      <c r="G803" s="691" t="n">
        <f aca="false">SUM(B803:F803)</f>
        <v>0</v>
      </c>
      <c r="H803" s="619" t="n">
        <f aca="false">'☆掛負収入'!H803</f>
        <v>0</v>
      </c>
      <c r="I803" s="449" t="n">
        <f aca="false">'☆掛負収入'!I803</f>
        <v>0</v>
      </c>
      <c r="J803" s="160" t="n">
        <f aca="false">SUM(H803:I803)</f>
        <v>0</v>
      </c>
      <c r="K803" s="464" t="n">
        <f aca="false">'☆掛負収入'!K803</f>
        <v>0</v>
      </c>
      <c r="L803" s="449" t="n">
        <f aca="false">'☆掛負収入'!L803</f>
        <v>0</v>
      </c>
      <c r="M803" s="160" t="n">
        <f aca="false">SUM(K803:L803)</f>
        <v>0</v>
      </c>
      <c r="N803" s="464" t="n">
        <f aca="false">'☆掛負収入'!N803</f>
        <v>0</v>
      </c>
      <c r="O803" s="449" t="n">
        <f aca="false">'☆掛負収入'!O803</f>
        <v>0</v>
      </c>
      <c r="P803" s="160" t="n">
        <f aca="false">SUM(N803:O803)</f>
        <v>0</v>
      </c>
    </row>
    <row r="804" customFormat="false" ht="18.75" hidden="false" customHeight="true" outlineLevel="0" collapsed="false">
      <c r="A804" s="125" t="str">
        <f aca="false">'☆掛負収入'!A804</f>
        <v>平和文化センター</v>
      </c>
      <c r="B804" s="474" t="n">
        <f aca="false">'☆掛負収入'!B804</f>
        <v>0</v>
      </c>
      <c r="C804" s="402" t="n">
        <f aca="false">'☆掛負収入'!C804</f>
        <v>0</v>
      </c>
      <c r="D804" s="489" t="n">
        <f aca="false">'☆掛負収入'!D804</f>
        <v>673440</v>
      </c>
      <c r="E804" s="477" t="n">
        <f aca="false">'☆掛負収入'!E804</f>
        <v>55200</v>
      </c>
      <c r="F804" s="475" t="n">
        <f aca="false">'☆掛負収入'!F804</f>
        <v>758</v>
      </c>
      <c r="G804" s="693" t="n">
        <f aca="false">SUM(B804:F804)</f>
        <v>729398</v>
      </c>
      <c r="H804" s="619" t="n">
        <f aca="false">'☆掛負収入'!H804</f>
        <v>0</v>
      </c>
      <c r="I804" s="449" t="n">
        <f aca="false">'☆掛負収入'!I804</f>
        <v>407262</v>
      </c>
      <c r="J804" s="160" t="n">
        <f aca="false">SUM(H804:I804)</f>
        <v>407262</v>
      </c>
      <c r="K804" s="464" t="n">
        <f aca="false">'☆掛負収入'!K804</f>
        <v>0</v>
      </c>
      <c r="L804" s="449" t="n">
        <f aca="false">'☆掛負収入'!L804</f>
        <v>52377</v>
      </c>
      <c r="M804" s="160" t="n">
        <f aca="false">SUM(K804:L804)</f>
        <v>52377</v>
      </c>
      <c r="N804" s="464" t="n">
        <f aca="false">'☆掛負収入'!N804</f>
        <v>0</v>
      </c>
      <c r="O804" s="449" t="n">
        <f aca="false">'☆掛負収入'!O804</f>
        <v>1</v>
      </c>
      <c r="P804" s="160" t="n">
        <f aca="false">SUM(N804:O804)</f>
        <v>1</v>
      </c>
    </row>
    <row r="805" customFormat="false" ht="18.75" hidden="false" customHeight="true" outlineLevel="0" collapsed="false">
      <c r="A805" s="125" t="str">
        <f aca="false">'☆掛負収入'!A805</f>
        <v>社会福祉事業団</v>
      </c>
      <c r="B805" s="625"/>
      <c r="C805" s="235"/>
      <c r="D805" s="476" t="n">
        <f aca="false">'☆掛負収入'!D805</f>
        <v>1886730</v>
      </c>
      <c r="E805" s="478" t="n">
        <f aca="false">'☆掛負収入'!E805</f>
        <v>154650</v>
      </c>
      <c r="F805" s="475" t="n">
        <f aca="false">'☆掛負収入'!F805</f>
        <v>1988</v>
      </c>
      <c r="G805" s="693" t="n">
        <f aca="false">SUM(B805:F805)</f>
        <v>2043368</v>
      </c>
      <c r="H805" s="627"/>
      <c r="I805" s="449" t="n">
        <f aca="false">'☆掛負収入'!I805</f>
        <v>1275306</v>
      </c>
      <c r="J805" s="160" t="n">
        <f aca="false">SUM(H805:I805)</f>
        <v>1275306</v>
      </c>
      <c r="K805" s="637"/>
      <c r="L805" s="449" t="n">
        <f aca="false">'☆掛負収入'!L805</f>
        <v>141252</v>
      </c>
      <c r="M805" s="160" t="n">
        <f aca="false">SUM(K805:L805)</f>
        <v>141252</v>
      </c>
      <c r="N805" s="637"/>
      <c r="O805" s="449" t="n">
        <f aca="false">'☆掛負収入'!O805</f>
        <v>1</v>
      </c>
      <c r="P805" s="160" t="n">
        <f aca="false">SUM(N805:O805)</f>
        <v>1</v>
      </c>
    </row>
    <row r="806" customFormat="false" ht="18.75" hidden="false" customHeight="true" outlineLevel="0" collapsed="false">
      <c r="A806" s="125" t="str">
        <f aca="false">'☆掛負収入'!A806</f>
        <v>原爆障害対策協議会</v>
      </c>
      <c r="B806" s="625"/>
      <c r="C806" s="235"/>
      <c r="D806" s="470" t="n">
        <f aca="false">'☆掛負収入'!D806</f>
        <v>48495</v>
      </c>
      <c r="E806" s="478" t="n">
        <f aca="false">'☆掛負収入'!E806</f>
        <v>3975</v>
      </c>
      <c r="F806" s="475" t="n">
        <f aca="false">'☆掛負収入'!F806</f>
        <v>49</v>
      </c>
      <c r="G806" s="693" t="n">
        <f aca="false">SUM(B806:F806)</f>
        <v>52519</v>
      </c>
      <c r="H806" s="627"/>
      <c r="I806" s="449" t="n">
        <f aca="false">'☆掛負収入'!I806</f>
        <v>29208</v>
      </c>
      <c r="J806" s="160" t="n">
        <f aca="false">SUM(H806:I806)</f>
        <v>29208</v>
      </c>
      <c r="K806" s="637"/>
      <c r="L806" s="449" t="n">
        <f aca="false">'☆掛負収入'!L806</f>
        <v>4187</v>
      </c>
      <c r="M806" s="160" t="n">
        <f aca="false">SUM(K806:L806)</f>
        <v>4187</v>
      </c>
      <c r="N806" s="637"/>
      <c r="O806" s="449" t="n">
        <f aca="false">'☆掛負収入'!O806</f>
        <v>1</v>
      </c>
      <c r="P806" s="160" t="n">
        <f aca="false">SUM(N806:O806)</f>
        <v>1</v>
      </c>
    </row>
    <row r="807" customFormat="false" ht="18.75" hidden="false" customHeight="true" outlineLevel="0" collapsed="false">
      <c r="A807" s="214" t="str">
        <f aca="false">'☆掛負収入'!A807</f>
        <v>産業振興センター</v>
      </c>
      <c r="B807" s="625"/>
      <c r="C807" s="235"/>
      <c r="D807" s="470" t="n">
        <f aca="false">'☆掛負収入'!D807</f>
        <v>425475</v>
      </c>
      <c r="E807" s="478" t="n">
        <f aca="false">'☆掛負収入'!E807</f>
        <v>34875</v>
      </c>
      <c r="F807" s="475" t="n">
        <f aca="false">'☆掛負収入'!F807</f>
        <v>435</v>
      </c>
      <c r="G807" s="693" t="n">
        <f aca="false">SUM(B807:F807)</f>
        <v>460785</v>
      </c>
      <c r="H807" s="627"/>
      <c r="I807" s="449" t="n">
        <f aca="false">'☆掛負収入'!I807</f>
        <v>256260</v>
      </c>
      <c r="J807" s="160" t="n">
        <f aca="false">SUM(H807:I807)</f>
        <v>256260</v>
      </c>
      <c r="K807" s="637"/>
      <c r="L807" s="449" t="n">
        <f aca="false">'☆掛負収入'!L807</f>
        <v>34207</v>
      </c>
      <c r="M807" s="160" t="n">
        <f aca="false">SUM(K807:L807)</f>
        <v>34207</v>
      </c>
      <c r="N807" s="637"/>
      <c r="O807" s="449" t="n">
        <f aca="false">'☆掛負収入'!O807</f>
        <v>1</v>
      </c>
      <c r="P807" s="160" t="n">
        <f aca="false">SUM(N807:O807)</f>
        <v>1</v>
      </c>
    </row>
    <row r="808" customFormat="false" ht="18.75" hidden="false" customHeight="true" outlineLevel="0" collapsed="false">
      <c r="A808" s="146" t="str">
        <f aca="false">'☆掛負収入'!A808</f>
        <v>ひろしま産業振興</v>
      </c>
      <c r="B808" s="625"/>
      <c r="C808" s="484"/>
      <c r="D808" s="470" t="n">
        <f aca="false">'☆掛負収入'!D808</f>
        <v>86010</v>
      </c>
      <c r="E808" s="478" t="n">
        <f aca="false">'☆掛負収入'!E808</f>
        <v>7050</v>
      </c>
      <c r="F808" s="481" t="n">
        <f aca="false">'☆掛負収入'!F808</f>
        <v>88</v>
      </c>
      <c r="G808" s="693" t="n">
        <f aca="false">SUM(B808:F808)</f>
        <v>93148</v>
      </c>
      <c r="H808" s="627"/>
      <c r="I808" s="432" t="n">
        <f aca="false">'☆掛負収入'!I808</f>
        <v>51803</v>
      </c>
      <c r="J808" s="160" t="n">
        <f aca="false">SUM(H808:I808)</f>
        <v>51803</v>
      </c>
      <c r="K808" s="637"/>
      <c r="L808" s="432" t="n">
        <f aca="false">'☆掛負収入'!L808</f>
        <v>7426</v>
      </c>
      <c r="M808" s="160" t="n">
        <f aca="false">SUM(K808:L808)</f>
        <v>7426</v>
      </c>
      <c r="N808" s="637"/>
      <c r="O808" s="432" t="n">
        <f aca="false">'☆掛負収入'!O808</f>
        <v>1</v>
      </c>
      <c r="P808" s="160" t="n">
        <f aca="false">SUM(N808:O808)</f>
        <v>1</v>
      </c>
    </row>
    <row r="809" customFormat="false" ht="18.75" hidden="false" customHeight="true" outlineLevel="0" collapsed="false">
      <c r="A809" s="146" t="str">
        <f aca="false">'☆掛負収入'!A809</f>
        <v>都市整備公社　市</v>
      </c>
      <c r="B809" s="625"/>
      <c r="C809" s="484"/>
      <c r="D809" s="476" t="n">
        <f aca="false">'☆掛負収入'!D809</f>
        <v>48495</v>
      </c>
      <c r="E809" s="478" t="n">
        <f aca="false">'☆掛負収入'!E809</f>
        <v>3975</v>
      </c>
      <c r="F809" s="475" t="n">
        <f aca="false">'☆掛負収入'!F809</f>
        <v>49</v>
      </c>
      <c r="G809" s="693" t="n">
        <f aca="false">SUM(B809:F809)</f>
        <v>52519</v>
      </c>
      <c r="H809" s="627"/>
      <c r="I809" s="449" t="n">
        <f aca="false">'☆掛負収入'!I809</f>
        <v>29208</v>
      </c>
      <c r="J809" s="160" t="n">
        <f aca="false">SUM(H809:I809)</f>
        <v>29208</v>
      </c>
      <c r="K809" s="637"/>
      <c r="L809" s="449" t="n">
        <f aca="false">'☆掛負収入'!L809</f>
        <v>4187</v>
      </c>
      <c r="M809" s="160" t="n">
        <f aca="false">SUM(K809:L809)</f>
        <v>4187</v>
      </c>
      <c r="N809" s="637"/>
      <c r="O809" s="449" t="n">
        <f aca="false">'☆掛負収入'!O809</f>
        <v>1</v>
      </c>
      <c r="P809" s="160" t="n">
        <f aca="false">SUM(N809:O809)</f>
        <v>1</v>
      </c>
    </row>
    <row r="810" customFormat="false" ht="18.75" hidden="false" customHeight="true" outlineLevel="0" collapsed="false">
      <c r="A810" s="217"/>
      <c r="B810" s="625"/>
      <c r="C810" s="221"/>
      <c r="D810" s="474"/>
      <c r="E810" s="478"/>
      <c r="F810" s="475"/>
      <c r="G810" s="693"/>
      <c r="H810" s="627"/>
      <c r="I810" s="449"/>
      <c r="J810" s="160"/>
      <c r="K810" s="637"/>
      <c r="L810" s="449"/>
      <c r="M810" s="160" t="n">
        <f aca="false">SUM(K810:L810)</f>
        <v>0</v>
      </c>
      <c r="N810" s="637"/>
      <c r="O810" s="449"/>
      <c r="P810" s="160" t="n">
        <f aca="false">SUM(N810:O810)</f>
        <v>0</v>
      </c>
    </row>
    <row r="811" customFormat="false" ht="18.75" hidden="false" customHeight="true" outlineLevel="0" collapsed="false">
      <c r="A811" s="146" t="str">
        <f aca="false">'☆掛負収入'!A811</f>
        <v>日本下水道事業団</v>
      </c>
      <c r="B811" s="476" t="n">
        <f aca="false">'☆掛負収入'!B811</f>
        <v>245220</v>
      </c>
      <c r="C811" s="248" t="n">
        <f aca="false">'☆掛負収入'!C811</f>
        <v>20100</v>
      </c>
      <c r="D811" s="474" t="n">
        <f aca="false">'☆掛負収入'!D811</f>
        <v>245220</v>
      </c>
      <c r="E811" s="478" t="n">
        <f aca="false">'☆掛負収入'!E811</f>
        <v>20100</v>
      </c>
      <c r="F811" s="475" t="n">
        <f aca="false">'☆掛負収入'!F811</f>
        <v>251</v>
      </c>
      <c r="G811" s="693" t="n">
        <f aca="false">SUM(B811:F811)</f>
        <v>530891</v>
      </c>
      <c r="H811" s="619" t="n">
        <f aca="false">'☆掛負収入'!H811</f>
        <v>147425</v>
      </c>
      <c r="I811" s="449" t="n">
        <f aca="false">'☆掛負収入'!I811</f>
        <v>147694</v>
      </c>
      <c r="J811" s="160" t="n">
        <f aca="false">SUM(H811:I811)</f>
        <v>295119</v>
      </c>
      <c r="K811" s="464" t="n">
        <f aca="false">'☆掛負収入'!K811</f>
        <v>9559</v>
      </c>
      <c r="L811" s="449" t="n">
        <f aca="false">'☆掛負収入'!L811</f>
        <v>9559</v>
      </c>
      <c r="M811" s="160" t="n">
        <f aca="false">SUM(K811:L811)</f>
        <v>19118</v>
      </c>
      <c r="N811" s="464" t="n">
        <f aca="false">'☆掛負収入'!N811</f>
        <v>1</v>
      </c>
      <c r="O811" s="449" t="n">
        <f aca="false">'☆掛負収入'!O811</f>
        <v>1</v>
      </c>
      <c r="P811" s="160" t="n">
        <f aca="false">SUM(N811:O811)</f>
        <v>2</v>
      </c>
    </row>
    <row r="812" customFormat="false" ht="18.75" hidden="false" customHeight="true" outlineLevel="0" collapsed="false">
      <c r="A812" s="125" t="str">
        <f aca="false">'☆掛負収入'!A812</f>
        <v>地方公務員災害補償基金本部</v>
      </c>
      <c r="B812" s="476" t="n">
        <f aca="false">'☆掛負収入'!B812</f>
        <v>40260</v>
      </c>
      <c r="C812" s="248" t="n">
        <f aca="false">'☆掛負収入'!C812</f>
        <v>3300</v>
      </c>
      <c r="D812" s="474" t="n">
        <f aca="false">'☆掛負収入'!D812</f>
        <v>40260</v>
      </c>
      <c r="E812" s="478" t="n">
        <f aca="false">'☆掛負収入'!E812</f>
        <v>3300</v>
      </c>
      <c r="F812" s="475" t="n">
        <f aca="false">'☆掛負収入'!F812</f>
        <v>41</v>
      </c>
      <c r="G812" s="693" t="n">
        <f aca="false">SUM(B812:F812)</f>
        <v>87161</v>
      </c>
      <c r="H812" s="619" t="n">
        <f aca="false">'☆掛負収入'!H812</f>
        <v>24204</v>
      </c>
      <c r="I812" s="449" t="n">
        <f aca="false">'☆掛負収入'!I812</f>
        <v>24248</v>
      </c>
      <c r="J812" s="160" t="n">
        <f aca="false">SUM(H812:I812)</f>
        <v>48452</v>
      </c>
      <c r="K812" s="464" t="n">
        <f aca="false">'☆掛負収入'!K812</f>
        <v>0</v>
      </c>
      <c r="L812" s="449" t="n">
        <f aca="false">'☆掛負収入'!L812</f>
        <v>0</v>
      </c>
      <c r="M812" s="160" t="n">
        <f aca="false">SUM(K812:L812)</f>
        <v>0</v>
      </c>
      <c r="N812" s="464" t="n">
        <f aca="false">'☆掛負収入'!N812</f>
        <v>1</v>
      </c>
      <c r="O812" s="449" t="n">
        <f aca="false">'☆掛負収入'!O812</f>
        <v>1</v>
      </c>
      <c r="P812" s="160" t="n">
        <f aca="false">SUM(N812:O812)</f>
        <v>2</v>
      </c>
    </row>
    <row r="813" customFormat="false" ht="18.75" hidden="false" customHeight="true" outlineLevel="0" collapsed="false">
      <c r="A813" s="222"/>
      <c r="B813" s="474"/>
      <c r="C813" s="248"/>
      <c r="D813" s="474"/>
      <c r="E813" s="478"/>
      <c r="F813" s="475"/>
      <c r="G813" s="693"/>
      <c r="H813" s="619"/>
      <c r="I813" s="449"/>
      <c r="J813" s="160"/>
      <c r="K813" s="464"/>
      <c r="L813" s="449"/>
      <c r="M813" s="160" t="n">
        <f aca="false">SUM(K813:L813)</f>
        <v>0</v>
      </c>
      <c r="N813" s="464"/>
      <c r="O813" s="449"/>
      <c r="P813" s="160" t="n">
        <f aca="false">SUM(N813:O813)</f>
        <v>0</v>
      </c>
    </row>
    <row r="814" customFormat="false" ht="18.75" hidden="false" customHeight="true" outlineLevel="0" collapsed="false">
      <c r="A814" s="125" t="str">
        <f aca="false">'☆掛負収入'!A814</f>
        <v>高速道路公社</v>
      </c>
      <c r="B814" s="489" t="n">
        <f aca="false">'☆掛負収入'!B814</f>
        <v>923235</v>
      </c>
      <c r="C814" s="479" t="n">
        <f aca="false">'☆掛負収入'!C814</f>
        <v>75675</v>
      </c>
      <c r="D814" s="489" t="n">
        <f aca="false">'☆掛負収入'!D814</f>
        <v>923235</v>
      </c>
      <c r="E814" s="495" t="n">
        <f aca="false">'☆掛負収入'!E814</f>
        <v>75675</v>
      </c>
      <c r="F814" s="497" t="n">
        <f aca="false">'☆掛負収入'!F814</f>
        <v>947</v>
      </c>
      <c r="G814" s="693" t="n">
        <f aca="false">SUM(B814:F814)</f>
        <v>1998767</v>
      </c>
      <c r="H814" s="638" t="n">
        <f aca="false">'☆掛負収入'!H814</f>
        <v>556693</v>
      </c>
      <c r="I814" s="639" t="n">
        <f aca="false">'☆掛負収入'!I814</f>
        <v>557713</v>
      </c>
      <c r="J814" s="160" t="n">
        <f aca="false">SUM(H814:I814)</f>
        <v>1114406</v>
      </c>
      <c r="K814" s="640" t="n">
        <f aca="false">'☆掛負収入'!K814</f>
        <v>54747</v>
      </c>
      <c r="L814" s="639" t="n">
        <f aca="false">'☆掛負収入'!L814</f>
        <v>54747</v>
      </c>
      <c r="M814" s="160" t="n">
        <f aca="false">SUM(K814:L814)</f>
        <v>109494</v>
      </c>
      <c r="N814" s="640" t="n">
        <f aca="false">'☆掛負収入'!N814</f>
        <v>1</v>
      </c>
      <c r="O814" s="639" t="n">
        <f aca="false">'☆掛負収入'!O814</f>
        <v>1</v>
      </c>
      <c r="P814" s="160" t="n">
        <f aca="false">SUM(N814:O814)</f>
        <v>2</v>
      </c>
    </row>
    <row r="815" customFormat="false" ht="18.75" hidden="false" customHeight="true" outlineLevel="0" collapsed="false">
      <c r="A815" s="125" t="str">
        <f aca="false">'☆掛負収入'!A815</f>
        <v>農林水産振興センタ</v>
      </c>
      <c r="B815" s="482"/>
      <c r="C815" s="484"/>
      <c r="D815" s="476" t="n">
        <f aca="false">'☆掛負収入'!D815</f>
        <v>571875</v>
      </c>
      <c r="E815" s="498" t="n">
        <f aca="false">'☆掛負収入'!E815</f>
        <v>46875</v>
      </c>
      <c r="F815" s="481" t="n">
        <f aca="false">'☆掛負収入'!F815</f>
        <v>613</v>
      </c>
      <c r="G815" s="693" t="n">
        <f aca="false">SUM(B815:F815)</f>
        <v>619363</v>
      </c>
      <c r="H815" s="641"/>
      <c r="I815" s="432" t="n">
        <f aca="false">'☆掛負収入'!I815</f>
        <v>344467</v>
      </c>
      <c r="J815" s="160" t="n">
        <f aca="false">SUM(H815:I815)</f>
        <v>344467</v>
      </c>
      <c r="K815" s="642"/>
      <c r="L815" s="432" t="n">
        <f aca="false">'☆掛負収入'!L815</f>
        <v>27255</v>
      </c>
      <c r="M815" s="160" t="n">
        <f aca="false">SUM(K815:L815)</f>
        <v>27255</v>
      </c>
      <c r="N815" s="642"/>
      <c r="O815" s="432" t="n">
        <f aca="false">'☆掛負収入'!O815</f>
        <v>1</v>
      </c>
      <c r="P815" s="160" t="n">
        <f aca="false">SUM(N815:O815)</f>
        <v>1</v>
      </c>
    </row>
    <row r="816" customFormat="false" ht="18.75" hidden="false" customHeight="true" outlineLevel="0" collapsed="false">
      <c r="A816" s="228" t="str">
        <f aca="false">'☆掛負収入'!A816</f>
        <v>文化財団　市長部局</v>
      </c>
      <c r="B816" s="625"/>
      <c r="C816" s="221"/>
      <c r="D816" s="474" t="n">
        <f aca="false">'☆掛負収入'!D816</f>
        <v>1160220</v>
      </c>
      <c r="E816" s="478" t="n">
        <f aca="false">'☆掛負収入'!E816</f>
        <v>95100</v>
      </c>
      <c r="F816" s="481" t="n">
        <f aca="false">'☆掛負収入'!F816</f>
        <v>1185</v>
      </c>
      <c r="G816" s="693" t="n">
        <f aca="false">SUM(B816:F816)</f>
        <v>1256505</v>
      </c>
      <c r="H816" s="627"/>
      <c r="I816" s="432" t="n">
        <f aca="false">'☆掛負収入'!I816</f>
        <v>698790</v>
      </c>
      <c r="J816" s="160" t="n">
        <f aca="false">SUM(H816:I816)</f>
        <v>698790</v>
      </c>
      <c r="K816" s="637"/>
      <c r="L816" s="432" t="n">
        <f aca="false">'☆掛負収入'!L816</f>
        <v>94721</v>
      </c>
      <c r="M816" s="160" t="n">
        <f aca="false">SUM(K816:L816)</f>
        <v>94721</v>
      </c>
      <c r="N816" s="637"/>
      <c r="O816" s="432" t="n">
        <f aca="false">'☆掛負収入'!O816</f>
        <v>1</v>
      </c>
      <c r="P816" s="160" t="n">
        <f aca="false">SUM(N816:O816)</f>
        <v>1</v>
      </c>
    </row>
    <row r="817" customFormat="false" ht="18.75" hidden="false" customHeight="true" outlineLevel="0" collapsed="false">
      <c r="A817" s="229"/>
      <c r="B817" s="625"/>
      <c r="C817" s="221"/>
      <c r="D817" s="474"/>
      <c r="E817" s="478"/>
      <c r="F817" s="481"/>
      <c r="G817" s="693"/>
      <c r="H817" s="627"/>
      <c r="I817" s="432"/>
      <c r="J817" s="160"/>
      <c r="K817" s="637"/>
      <c r="L817" s="432"/>
      <c r="M817" s="160" t="n">
        <f aca="false">SUM(K817:L817)</f>
        <v>0</v>
      </c>
      <c r="N817" s="637"/>
      <c r="O817" s="432"/>
      <c r="P817" s="160" t="n">
        <f aca="false">SUM(N817:O817)</f>
        <v>0</v>
      </c>
    </row>
    <row r="818" customFormat="false" ht="18.75" hidden="false" customHeight="true" outlineLevel="0" collapsed="false">
      <c r="A818" s="125" t="str">
        <f aca="false">'☆掛負収入'!A818</f>
        <v>みどり生きもの協会</v>
      </c>
      <c r="B818" s="625"/>
      <c r="C818" s="221"/>
      <c r="D818" s="474" t="n">
        <f aca="false">'☆掛負収入'!D818</f>
        <v>402600</v>
      </c>
      <c r="E818" s="478" t="n">
        <f aca="false">'☆掛負収入'!E818</f>
        <v>33000</v>
      </c>
      <c r="F818" s="481" t="n">
        <f aca="false">'☆掛負収入'!F818</f>
        <v>412</v>
      </c>
      <c r="G818" s="693" t="n">
        <f aca="false">SUM(B818:F818)</f>
        <v>436012</v>
      </c>
      <c r="H818" s="627"/>
      <c r="I818" s="432" t="n">
        <f aca="false">'☆掛負収入'!I818</f>
        <v>242482</v>
      </c>
      <c r="J818" s="160" t="n">
        <f aca="false">SUM(H818:I818)</f>
        <v>242482</v>
      </c>
      <c r="K818" s="637"/>
      <c r="L818" s="432" t="n">
        <f aca="false">'☆掛負収入'!L818</f>
        <v>34760</v>
      </c>
      <c r="M818" s="160" t="n">
        <f aca="false">SUM(K818:L818)</f>
        <v>34760</v>
      </c>
      <c r="N818" s="637"/>
      <c r="O818" s="432" t="n">
        <f aca="false">'☆掛負収入'!O818</f>
        <v>1</v>
      </c>
      <c r="P818" s="160" t="n">
        <f aca="false">SUM(N818:O818)</f>
        <v>1</v>
      </c>
    </row>
    <row r="819" customFormat="false" ht="18.75" hidden="false" customHeight="true" outlineLevel="0" collapsed="false">
      <c r="A819" s="146" t="str">
        <f aca="false">'☆掛負収入'!A819</f>
        <v>県下水道公社</v>
      </c>
      <c r="B819" s="474" t="n">
        <f aca="false">'☆掛負収入'!B819</f>
        <v>137250</v>
      </c>
      <c r="C819" s="248" t="n">
        <f aca="false">'☆掛負収入'!C819</f>
        <v>11250</v>
      </c>
      <c r="D819" s="474" t="n">
        <f aca="false">'☆掛負収入'!D819</f>
        <v>137250</v>
      </c>
      <c r="E819" s="478" t="n">
        <f aca="false">'☆掛負収入'!E819</f>
        <v>11250</v>
      </c>
      <c r="F819" s="481" t="n">
        <f aca="false">'☆掛負収入'!F819</f>
        <v>140</v>
      </c>
      <c r="G819" s="693" t="n">
        <f aca="false">SUM(B819:F819)</f>
        <v>297140</v>
      </c>
      <c r="H819" s="619" t="n">
        <f aca="false">'☆掛負収入'!H819</f>
        <v>82514</v>
      </c>
      <c r="I819" s="432" t="n">
        <f aca="false">'☆掛負収入'!I819</f>
        <v>82665</v>
      </c>
      <c r="J819" s="160" t="n">
        <f aca="false">SUM(H819:I819)</f>
        <v>165179</v>
      </c>
      <c r="K819" s="464" t="n">
        <f aca="false">'☆掛負収入'!K819</f>
        <v>8611</v>
      </c>
      <c r="L819" s="432" t="n">
        <f aca="false">'☆掛負収入'!L819</f>
        <v>8611</v>
      </c>
      <c r="M819" s="160" t="n">
        <f aca="false">SUM(K819:L819)</f>
        <v>17222</v>
      </c>
      <c r="N819" s="464" t="n">
        <f aca="false">'☆掛負収入'!N819</f>
        <v>1</v>
      </c>
      <c r="O819" s="432" t="n">
        <f aca="false">'☆掛負収入'!O819</f>
        <v>1</v>
      </c>
      <c r="P819" s="160" t="n">
        <f aca="false">SUM(N819:O819)</f>
        <v>2</v>
      </c>
    </row>
    <row r="820" customFormat="false" ht="18.75" hidden="false" customHeight="true" outlineLevel="0" collapsed="false">
      <c r="A820" s="146" t="str">
        <f aca="false">'☆掛負収入'!A820</f>
        <v>バス協調・共創
プラットフォーム</v>
      </c>
      <c r="B820" s="482"/>
      <c r="C820" s="484"/>
      <c r="D820" s="476" t="n">
        <f aca="false">'☆掛負収入'!D820</f>
        <v>477630</v>
      </c>
      <c r="E820" s="498" t="n">
        <f aca="false">'☆掛負収入'!E820</f>
        <v>39150</v>
      </c>
      <c r="F820" s="481" t="n">
        <f aca="false">'☆掛負収入'!F820</f>
        <v>490</v>
      </c>
      <c r="G820" s="693" t="n">
        <f aca="false">SUM(B820:F820)</f>
        <v>517270</v>
      </c>
      <c r="H820" s="641"/>
      <c r="I820" s="432" t="n">
        <f aca="false">'☆掛負収入'!I820</f>
        <v>293185</v>
      </c>
      <c r="J820" s="160" t="n">
        <f aca="false">SUM(H820:I820)</f>
        <v>293185</v>
      </c>
      <c r="K820" s="642"/>
      <c r="L820" s="432" t="n">
        <f aca="false">'☆掛負収入'!L820</f>
        <v>25517</v>
      </c>
      <c r="M820" s="160" t="n">
        <f aca="false">SUM(K820:L820)</f>
        <v>25517</v>
      </c>
      <c r="N820" s="642"/>
      <c r="O820" s="432" t="n">
        <f aca="false">'☆掛負収入'!O820</f>
        <v>1</v>
      </c>
      <c r="P820" s="160" t="n">
        <f aca="false">SUM(N820:O820)</f>
        <v>1</v>
      </c>
    </row>
    <row r="821" customFormat="false" ht="18.75" hidden="false" customHeight="true" outlineLevel="0" collapsed="false">
      <c r="A821" s="146" t="str">
        <f aca="false">'☆掛負収入'!A821</f>
        <v>広島県市長会</v>
      </c>
      <c r="B821" s="474" t="n">
        <f aca="false">'☆掛負収入'!B821</f>
        <v>56730</v>
      </c>
      <c r="C821" s="248" t="n">
        <f aca="false">'☆掛負収入'!C821</f>
        <v>4650</v>
      </c>
      <c r="D821" s="474" t="n">
        <f aca="false">'☆掛負収入'!D821</f>
        <v>56730</v>
      </c>
      <c r="E821" s="478" t="n">
        <f aca="false">'☆掛負収入'!E821</f>
        <v>4650</v>
      </c>
      <c r="F821" s="475" t="n">
        <f aca="false">'☆掛負収入'!F821</f>
        <v>58</v>
      </c>
      <c r="G821" s="693" t="n">
        <f aca="false">SUM(B821:F821)</f>
        <v>122818</v>
      </c>
      <c r="H821" s="619" t="n">
        <f aca="false">'☆掛負収入'!H821</f>
        <v>34106</v>
      </c>
      <c r="I821" s="449" t="n">
        <f aca="false">'☆掛負収入'!I821</f>
        <v>34168</v>
      </c>
      <c r="J821" s="160" t="n">
        <f aca="false">SUM(H821:I821)</f>
        <v>68274</v>
      </c>
      <c r="K821" s="464" t="n">
        <f aca="false">'☆掛負収入'!K821</f>
        <v>4898</v>
      </c>
      <c r="L821" s="449" t="n">
        <f aca="false">'☆掛負収入'!L821</f>
        <v>4898</v>
      </c>
      <c r="M821" s="160" t="n">
        <f aca="false">SUM(K821:L821)</f>
        <v>9796</v>
      </c>
      <c r="N821" s="464" t="n">
        <f aca="false">'☆掛負収入'!N821</f>
        <v>1</v>
      </c>
      <c r="O821" s="449" t="n">
        <f aca="false">'☆掛負収入'!O821</f>
        <v>1</v>
      </c>
      <c r="P821" s="160" t="n">
        <f aca="false">SUM(N821:O821)</f>
        <v>2</v>
      </c>
    </row>
    <row r="822" customFormat="false" ht="18.75" hidden="false" customHeight="true" outlineLevel="0" collapsed="false">
      <c r="A822" s="214" t="str">
        <f aca="false">'☆掛負収入'!A822</f>
        <v>全国市町村研修財団</v>
      </c>
      <c r="B822" s="476" t="n">
        <f aca="false">'☆掛負収入'!B822</f>
        <v>59475</v>
      </c>
      <c r="C822" s="248" t="n">
        <f aca="false">'☆掛負収入'!C822</f>
        <v>4875</v>
      </c>
      <c r="D822" s="474" t="n">
        <f aca="false">'☆掛負収入'!D822</f>
        <v>59475</v>
      </c>
      <c r="E822" s="478" t="n">
        <f aca="false">'☆掛負収入'!E822</f>
        <v>4875</v>
      </c>
      <c r="F822" s="475" t="n">
        <f aca="false">'☆掛負収入'!F822</f>
        <v>61</v>
      </c>
      <c r="G822" s="693" t="n">
        <f aca="false">SUM(B822:F822)</f>
        <v>128761</v>
      </c>
      <c r="H822" s="619" t="n">
        <f aca="false">'☆掛負収入'!H822</f>
        <v>41257</v>
      </c>
      <c r="I822" s="449" t="n">
        <f aca="false">'☆掛負収入'!I822</f>
        <v>41332</v>
      </c>
      <c r="J822" s="160" t="n">
        <f aca="false">SUM(H822:I822)</f>
        <v>82589</v>
      </c>
      <c r="K822" s="464" t="n">
        <f aca="false">'☆掛負収入'!K822</f>
        <v>5925</v>
      </c>
      <c r="L822" s="449" t="n">
        <f aca="false">'☆掛負収入'!L822</f>
        <v>5925</v>
      </c>
      <c r="M822" s="160" t="n">
        <f aca="false">SUM(K822:L822)</f>
        <v>11850</v>
      </c>
      <c r="N822" s="464" t="n">
        <f aca="false">'☆掛負収入'!N822</f>
        <v>1</v>
      </c>
      <c r="O822" s="449" t="n">
        <f aca="false">'☆掛負収入'!O822</f>
        <v>1</v>
      </c>
      <c r="P822" s="160" t="n">
        <f aca="false">SUM(N822:O822)</f>
        <v>2</v>
      </c>
    </row>
    <row r="823" customFormat="false" ht="18.75" hidden="false" customHeight="true" outlineLevel="0" collapsed="false">
      <c r="A823" s="214" t="str">
        <f aca="false">'☆掛負収入'!A823</f>
        <v>都市再生機構</v>
      </c>
      <c r="B823" s="474" t="n">
        <f aca="false">'☆掛負収入'!B823</f>
        <v>53985</v>
      </c>
      <c r="C823" s="248" t="n">
        <f aca="false">'☆掛負収入'!C823</f>
        <v>4425</v>
      </c>
      <c r="D823" s="474" t="n">
        <f aca="false">'☆掛負収入'!D823</f>
        <v>53985</v>
      </c>
      <c r="E823" s="478" t="n">
        <f aca="false">'☆掛負収入'!E823</f>
        <v>4425</v>
      </c>
      <c r="F823" s="475" t="n">
        <f aca="false">'☆掛負収入'!F823</f>
        <v>55</v>
      </c>
      <c r="G823" s="693" t="n">
        <f aca="false">SUM(B823:F823)</f>
        <v>116875</v>
      </c>
      <c r="H823" s="619" t="n">
        <f aca="false">'☆掛負収入'!H823</f>
        <v>32455</v>
      </c>
      <c r="I823" s="449" t="n">
        <f aca="false">'☆掛負収入'!I823</f>
        <v>32514</v>
      </c>
      <c r="J823" s="160" t="n">
        <f aca="false">SUM(H823:I823)</f>
        <v>64969</v>
      </c>
      <c r="K823" s="464" t="n">
        <f aca="false">'☆掛負収入'!K823</f>
        <v>0</v>
      </c>
      <c r="L823" s="449" t="n">
        <f aca="false">'☆掛負収入'!L823</f>
        <v>0</v>
      </c>
      <c r="M823" s="160" t="n">
        <f aca="false">SUM(K823:L823)</f>
        <v>0</v>
      </c>
      <c r="N823" s="464" t="n">
        <f aca="false">'☆掛負収入'!N823</f>
        <v>1</v>
      </c>
      <c r="O823" s="449" t="n">
        <f aca="false">'☆掛負収入'!O823</f>
        <v>1</v>
      </c>
      <c r="P823" s="160" t="n">
        <f aca="false">SUM(N823:O823)</f>
        <v>2</v>
      </c>
    </row>
    <row r="824" customFormat="false" ht="18.75" hidden="false" customHeight="true" outlineLevel="0" collapsed="false">
      <c r="A824" s="146" t="str">
        <f aca="false">'☆掛負収入'!A824</f>
        <v>広島市立大学</v>
      </c>
      <c r="B824" s="431" t="n">
        <f aca="false">'☆掛負収入'!B824</f>
        <v>1197735</v>
      </c>
      <c r="C824" s="160" t="n">
        <f aca="false">'☆掛負収入'!C824</f>
        <v>98175</v>
      </c>
      <c r="D824" s="431" t="n">
        <f aca="false">'☆掛負収入'!D824</f>
        <v>1197735</v>
      </c>
      <c r="E824" s="464" t="n">
        <f aca="false">'☆掛負収入'!E824</f>
        <v>98175</v>
      </c>
      <c r="F824" s="475" t="n">
        <f aca="false">'☆掛負収入'!F824</f>
        <v>1340</v>
      </c>
      <c r="G824" s="693" t="n">
        <f aca="false">SUM(B824:F824)</f>
        <v>2593160</v>
      </c>
      <c r="H824" s="619" t="n">
        <f aca="false">'☆掛負収入'!H824</f>
        <v>720070</v>
      </c>
      <c r="I824" s="449" t="n">
        <f aca="false">'☆掛負収入'!I824</f>
        <v>721509</v>
      </c>
      <c r="J824" s="160" t="n">
        <f aca="false">SUM(H824:I824)</f>
        <v>1441579</v>
      </c>
      <c r="K824" s="464" t="n">
        <f aca="false">'☆掛負収入'!K824</f>
        <v>67940</v>
      </c>
      <c r="L824" s="449" t="n">
        <f aca="false">'☆掛負収入'!L824</f>
        <v>67940</v>
      </c>
      <c r="M824" s="160" t="n">
        <f aca="false">SUM(K824:L824)</f>
        <v>135880</v>
      </c>
      <c r="N824" s="464" t="n">
        <f aca="false">'☆掛負収入'!N824</f>
        <v>1</v>
      </c>
      <c r="O824" s="449" t="n">
        <f aca="false">'☆掛負収入'!O824</f>
        <v>1</v>
      </c>
      <c r="P824" s="160" t="n">
        <f aca="false">SUM(N824:O824)</f>
        <v>2</v>
      </c>
    </row>
    <row r="825" customFormat="false" ht="18.75" hidden="false" customHeight="true" outlineLevel="0" collapsed="false">
      <c r="A825" s="146" t="str">
        <f aca="false">'☆掛負収入'!A825</f>
        <v>社会福祉協議会</v>
      </c>
      <c r="B825" s="431" t="n">
        <f aca="false">'☆掛負収入'!B825</f>
        <v>0</v>
      </c>
      <c r="C825" s="160" t="n">
        <f aca="false">'☆掛負収入'!C825</f>
        <v>0</v>
      </c>
      <c r="D825" s="431" t="n">
        <f aca="false">'☆掛負収入'!D825</f>
        <v>245220</v>
      </c>
      <c r="E825" s="464" t="n">
        <f aca="false">'☆掛負収入'!E825</f>
        <v>20100</v>
      </c>
      <c r="F825" s="475" t="n">
        <f aca="false">'☆掛負収入'!F825</f>
        <v>251</v>
      </c>
      <c r="G825" s="693" t="n">
        <f aca="false">SUM(B825:F825)</f>
        <v>265571</v>
      </c>
      <c r="H825" s="619" t="n">
        <f aca="false">'☆掛負収入'!H825</f>
        <v>0</v>
      </c>
      <c r="I825" s="449" t="n">
        <f aca="false">'☆掛負収入'!I825</f>
        <v>151001</v>
      </c>
      <c r="J825" s="160" t="n">
        <f aca="false">SUM(H825:I825)</f>
        <v>151001</v>
      </c>
      <c r="K825" s="464" t="n">
        <f aca="false">'☆掛負収入'!K825</f>
        <v>0</v>
      </c>
      <c r="L825" s="449" t="n">
        <f aca="false">'☆掛負収入'!L825</f>
        <v>10744</v>
      </c>
      <c r="M825" s="160" t="n">
        <f aca="false">SUM(K825:L825)</f>
        <v>10744</v>
      </c>
      <c r="N825" s="464" t="n">
        <f aca="false">'☆掛負収入'!N825</f>
        <v>0</v>
      </c>
      <c r="O825" s="449" t="n">
        <f aca="false">'☆掛負収入'!O825</f>
        <v>1</v>
      </c>
      <c r="P825" s="160" t="n">
        <f aca="false">SUM(N825:O825)</f>
        <v>1</v>
      </c>
    </row>
    <row r="826" customFormat="false" ht="18.75" hidden="false" customHeight="true" outlineLevel="0" collapsed="false">
      <c r="A826" s="228" t="s">
        <v>532</v>
      </c>
      <c r="B826" s="620" t="n">
        <f aca="false">'☆掛負収入'!B828</f>
        <v>0</v>
      </c>
      <c r="C826" s="617" t="n">
        <f aca="false">'☆掛負収入'!C828</f>
        <v>0</v>
      </c>
      <c r="D826" s="620" t="n">
        <f aca="false">'☆掛負収入'!D828</f>
        <v>0</v>
      </c>
      <c r="E826" s="465" t="n">
        <f aca="false">'☆掛負収入'!E828</f>
        <v>0</v>
      </c>
      <c r="F826" s="464" t="n">
        <f aca="false">'☆掛負収入'!F828</f>
        <v>0</v>
      </c>
      <c r="G826" s="693" t="n">
        <f aca="false">SUM(B826:F826)</f>
        <v>0</v>
      </c>
      <c r="H826" s="620" t="n">
        <f aca="false">'☆掛負収入'!H828</f>
        <v>0</v>
      </c>
      <c r="I826" s="464" t="n">
        <f aca="false">'☆掛負収入'!I828</f>
        <v>0</v>
      </c>
      <c r="J826" s="160" t="n">
        <f aca="false">SUM(H826:I826)</f>
        <v>0</v>
      </c>
      <c r="K826" s="464" t="n">
        <f aca="false">'☆掛負収入'!K828</f>
        <v>0</v>
      </c>
      <c r="L826" s="449" t="n">
        <f aca="false">'☆掛負収入'!L828</f>
        <v>0</v>
      </c>
      <c r="M826" s="160" t="n">
        <f aca="false">SUM(K826:L826)</f>
        <v>0</v>
      </c>
      <c r="N826" s="464" t="n">
        <f aca="false">'☆掛負収入'!N828</f>
        <v>0</v>
      </c>
      <c r="O826" s="449" t="n">
        <f aca="false">'☆掛負収入'!O828</f>
        <v>0</v>
      </c>
      <c r="P826" s="160" t="n">
        <f aca="false">SUM(N826:O826)</f>
        <v>0</v>
      </c>
    </row>
    <row r="827" customFormat="false" ht="18.75" hidden="false" customHeight="true" outlineLevel="0" collapsed="false">
      <c r="A827" s="146" t="str">
        <f aca="false">'☆掛負収入'!A829</f>
        <v>全国市長会</v>
      </c>
      <c r="B827" s="620" t="n">
        <f aca="false">'☆掛負収入'!B829</f>
        <v>59475</v>
      </c>
      <c r="C827" s="617" t="n">
        <f aca="false">'☆掛負収入'!C829</f>
        <v>4875</v>
      </c>
      <c r="D827" s="620" t="n">
        <f aca="false">'☆掛負収入'!D829</f>
        <v>59475</v>
      </c>
      <c r="E827" s="465" t="n">
        <f aca="false">'☆掛負収入'!E829</f>
        <v>4875</v>
      </c>
      <c r="F827" s="464" t="n">
        <f aca="false">'☆掛負収入'!F829</f>
        <v>61</v>
      </c>
      <c r="G827" s="693" t="n">
        <f aca="false">SUM(B827:F827)</f>
        <v>128761</v>
      </c>
      <c r="H827" s="620" t="n">
        <f aca="false">'☆掛負収入'!H829</f>
        <v>41257</v>
      </c>
      <c r="I827" s="464" t="n">
        <f aca="false">'☆掛負収入'!I829</f>
        <v>41332</v>
      </c>
      <c r="J827" s="160" t="n">
        <f aca="false">SUM(H827:I827)</f>
        <v>82589</v>
      </c>
      <c r="K827" s="464" t="n">
        <f aca="false">'☆掛負収入'!K829</f>
        <v>5925</v>
      </c>
      <c r="L827" s="449" t="n">
        <f aca="false">'☆掛負収入'!L829</f>
        <v>5925</v>
      </c>
      <c r="M827" s="160" t="n">
        <f aca="false">SUM(K827:L827)</f>
        <v>11850</v>
      </c>
      <c r="N827" s="464" t="n">
        <f aca="false">'☆掛負収入'!N829</f>
        <v>1</v>
      </c>
      <c r="O827" s="449" t="n">
        <f aca="false">'☆掛負収入'!O829</f>
        <v>1</v>
      </c>
      <c r="P827" s="160" t="n">
        <f aca="false">SUM(N827:O827)</f>
        <v>2</v>
      </c>
    </row>
    <row r="828" customFormat="false" ht="18.75" hidden="false" customHeight="true" outlineLevel="0" collapsed="false">
      <c r="A828" s="233"/>
      <c r="B828" s="431"/>
      <c r="C828" s="418"/>
      <c r="D828" s="431"/>
      <c r="E828" s="464"/>
      <c r="F828" s="449"/>
      <c r="G828" s="693"/>
      <c r="H828" s="619"/>
      <c r="I828" s="449"/>
      <c r="J828" s="160"/>
      <c r="K828" s="464"/>
      <c r="L828" s="449"/>
      <c r="M828" s="160"/>
      <c r="N828" s="464"/>
      <c r="O828" s="449"/>
      <c r="P828" s="160"/>
    </row>
    <row r="829" customFormat="false" ht="18.75" hidden="false" customHeight="true" outlineLevel="0" collapsed="false">
      <c r="A829" s="233"/>
      <c r="B829" s="620"/>
      <c r="C829" s="391"/>
      <c r="D829" s="620"/>
      <c r="E829" s="621"/>
      <c r="F829" s="432"/>
      <c r="G829" s="693"/>
      <c r="H829" s="620"/>
      <c r="I829" s="465"/>
      <c r="J829" s="160"/>
      <c r="K829" s="621"/>
      <c r="L829" s="465"/>
      <c r="M829" s="160"/>
      <c r="N829" s="621"/>
      <c r="O829" s="465"/>
      <c r="P829" s="160"/>
    </row>
    <row r="830" customFormat="false" ht="18.75" hidden="false" customHeight="true" outlineLevel="0" collapsed="false">
      <c r="A830" s="217"/>
      <c r="B830" s="431"/>
      <c r="C830" s="206"/>
      <c r="D830" s="431"/>
      <c r="E830" s="617"/>
      <c r="F830" s="449"/>
      <c r="G830" s="693"/>
      <c r="H830" s="431"/>
      <c r="I830" s="644"/>
      <c r="J830" s="160"/>
      <c r="K830" s="617"/>
      <c r="L830" s="644"/>
      <c r="M830" s="160"/>
      <c r="N830" s="617"/>
      <c r="O830" s="644"/>
      <c r="P830" s="160"/>
    </row>
    <row r="831" customFormat="false" ht="18.75" hidden="false" customHeight="true" outlineLevel="0" collapsed="false">
      <c r="A831" s="217"/>
      <c r="B831" s="620"/>
      <c r="C831" s="418"/>
      <c r="D831" s="621"/>
      <c r="E831" s="465"/>
      <c r="F831" s="432"/>
      <c r="G831" s="771"/>
      <c r="H831" s="431"/>
      <c r="I831" s="465"/>
      <c r="J831" s="160"/>
      <c r="K831" s="621"/>
      <c r="L831" s="465"/>
      <c r="M831" s="160"/>
      <c r="N831" s="621"/>
      <c r="O831" s="465"/>
      <c r="P831" s="160"/>
    </row>
    <row r="832" customFormat="false" ht="18.75" hidden="false" customHeight="true" outlineLevel="0" collapsed="false">
      <c r="A832" s="630"/>
      <c r="B832" s="647"/>
      <c r="C832" s="278"/>
      <c r="D832" s="648"/>
      <c r="E832" s="649"/>
      <c r="F832" s="278"/>
      <c r="G832" s="646"/>
      <c r="H832" s="647"/>
      <c r="I832" s="648"/>
      <c r="J832" s="648" t="n">
        <f aca="false">SUM(H832:I832)</f>
        <v>0</v>
      </c>
      <c r="K832" s="647"/>
      <c r="L832" s="648"/>
      <c r="M832" s="722" t="n">
        <f aca="false">SUM(K832:L832)</f>
        <v>0</v>
      </c>
      <c r="N832" s="647"/>
      <c r="O832" s="648"/>
      <c r="P832" s="722" t="n">
        <f aca="false">SUM(N832:O832)</f>
        <v>0</v>
      </c>
    </row>
    <row r="833" customFormat="false" ht="18.75" hidden="false" customHeight="true" outlineLevel="0" collapsed="false">
      <c r="A833" s="196" t="str">
        <f aca="false">'☆掛負収入'!A833</f>
        <v>小　計</v>
      </c>
      <c r="B833" s="429" t="n">
        <f aca="false">SUM(B803:B832)</f>
        <v>2773365</v>
      </c>
      <c r="C833" s="200" t="n">
        <f aca="false">SUM(C803:C832)</f>
        <v>227325</v>
      </c>
      <c r="D833" s="429" t="n">
        <f aca="false">SUM(D803:D832)</f>
        <v>8799555</v>
      </c>
      <c r="E833" s="301" t="n">
        <f aca="false">SUM(E803:E832)</f>
        <v>721275</v>
      </c>
      <c r="F833" s="200" t="n">
        <f aca="false">SUM(F803:F832)</f>
        <v>9272</v>
      </c>
      <c r="G833" s="201" t="n">
        <f aca="false">SUM(B833:F833)</f>
        <v>12530792</v>
      </c>
      <c r="H833" s="429" t="n">
        <f aca="false">SUM(H803:H832)</f>
        <v>1679981</v>
      </c>
      <c r="I833" s="199" t="n">
        <f aca="false">SUM(I803:I832)</f>
        <v>5462147</v>
      </c>
      <c r="J833" s="200" t="n">
        <f aca="false">SUM(H833:I833)</f>
        <v>7142128</v>
      </c>
      <c r="K833" s="429" t="n">
        <f aca="false">SUM(K803:K832)</f>
        <v>157605</v>
      </c>
      <c r="L833" s="199" t="n">
        <f aca="false">SUM(L803:L832)</f>
        <v>594238</v>
      </c>
      <c r="M833" s="198" t="n">
        <f aca="false">SUM(K833:L833)</f>
        <v>751843</v>
      </c>
      <c r="N833" s="429" t="n">
        <f aca="false">SUM(N803:N832)</f>
        <v>9</v>
      </c>
      <c r="O833" s="199" t="n">
        <f aca="false">SUM(O803:O832)</f>
        <v>20</v>
      </c>
      <c r="P833" s="198" t="n">
        <f aca="false">SUM(N833:O833)</f>
        <v>29</v>
      </c>
    </row>
    <row r="834" customFormat="false" ht="18.75" hidden="true" customHeight="true" outlineLevel="0" collapsed="false">
      <c r="A834" s="629"/>
      <c r="B834" s="647"/>
      <c r="C834" s="278"/>
      <c r="D834" s="648"/>
      <c r="E834" s="649"/>
      <c r="F834" s="650"/>
      <c r="G834" s="651"/>
      <c r="H834" s="652"/>
      <c r="I834" s="653"/>
      <c r="J834" s="654"/>
      <c r="K834" s="655"/>
      <c r="L834" s="656"/>
      <c r="M834" s="657"/>
      <c r="N834" s="655"/>
      <c r="O834" s="656"/>
      <c r="P834" s="657"/>
    </row>
    <row r="835" customFormat="false" ht="18.75" hidden="true" customHeight="true" outlineLevel="0" collapsed="false">
      <c r="A835" s="658"/>
      <c r="B835" s="631"/>
      <c r="C835" s="633"/>
      <c r="D835" s="648"/>
      <c r="E835" s="649"/>
      <c r="F835" s="278"/>
      <c r="G835" s="646"/>
      <c r="H835" s="659"/>
      <c r="I835" s="660"/>
      <c r="J835" s="408"/>
      <c r="K835" s="661"/>
      <c r="L835" s="662"/>
      <c r="M835" s="663"/>
      <c r="N835" s="661"/>
      <c r="O835" s="662"/>
      <c r="P835" s="663"/>
    </row>
    <row r="836" customFormat="false" ht="18.75" hidden="false" customHeight="true" outlineLevel="0" collapsed="false">
      <c r="A836" s="214" t="str">
        <f aca="false">'☆掛負収入'!A836</f>
        <v>高速交通（株）</v>
      </c>
      <c r="B836" s="489" t="n">
        <f aca="false">'☆掛負収入'!B836</f>
        <v>145485</v>
      </c>
      <c r="C836" s="491" t="n">
        <f aca="false">'☆掛負収入'!C836</f>
        <v>11925</v>
      </c>
      <c r="D836" s="477" t="n">
        <f aca="false">'☆掛負収入'!D836</f>
        <v>145485</v>
      </c>
      <c r="E836" s="487" t="n">
        <f aca="false">'☆掛負収入'!E836</f>
        <v>11925</v>
      </c>
      <c r="F836" s="481" t="n">
        <f aca="false">'☆掛負収入'!F836</f>
        <v>149</v>
      </c>
      <c r="G836" s="691" t="n">
        <f aca="false">SUM(B836:F836)</f>
        <v>314969</v>
      </c>
      <c r="H836" s="665"/>
      <c r="I836" s="665"/>
      <c r="J836" s="665"/>
      <c r="K836" s="665"/>
      <c r="L836" s="665"/>
      <c r="M836" s="665"/>
      <c r="N836" s="665"/>
      <c r="O836" s="665"/>
      <c r="P836" s="665"/>
    </row>
    <row r="837" customFormat="false" ht="18.75" hidden="false" customHeight="true" outlineLevel="0" collapsed="false">
      <c r="A837" s="666" t="s">
        <v>209</v>
      </c>
      <c r="B837" s="667" t="n">
        <f aca="false">'☆掛負収入'!B837</f>
        <v>53985</v>
      </c>
      <c r="C837" s="692" t="n">
        <f aca="false">'☆掛負収入'!C837</f>
        <v>4425</v>
      </c>
      <c r="D837" s="667" t="n">
        <f aca="false">'☆掛負収入'!D837</f>
        <v>53985</v>
      </c>
      <c r="E837" s="492" t="n">
        <f aca="false">'☆掛負収入'!E837</f>
        <v>4425</v>
      </c>
      <c r="F837" s="495" t="n">
        <f aca="false">'☆掛負収入'!F837</f>
        <v>55</v>
      </c>
      <c r="G837" s="417" t="n">
        <f aca="false">SUM(B837:F837)</f>
        <v>116875</v>
      </c>
      <c r="H837" s="665"/>
      <c r="I837" s="665"/>
      <c r="J837" s="665"/>
      <c r="K837" s="665"/>
      <c r="L837" s="665"/>
      <c r="M837" s="665"/>
      <c r="N837" s="665"/>
      <c r="O837" s="665"/>
      <c r="P837" s="665"/>
    </row>
    <row r="838" customFormat="false" ht="18.75" hidden="false" customHeight="true" outlineLevel="0" collapsed="false">
      <c r="A838" s="196" t="str">
        <f aca="false">'☆掛負収入'!A838</f>
        <v>小　計</v>
      </c>
      <c r="B838" s="197" t="n">
        <f aca="false">SUM(B836:B837)</f>
        <v>199470</v>
      </c>
      <c r="C838" s="200" t="n">
        <f aca="false">SUM(C834:C837)</f>
        <v>16350</v>
      </c>
      <c r="D838" s="681" t="n">
        <f aca="false">SUM(D834:D837)</f>
        <v>199470</v>
      </c>
      <c r="E838" s="199" t="n">
        <f aca="false">SUM(E834:E837)</f>
        <v>16350</v>
      </c>
      <c r="F838" s="301" t="n">
        <f aca="false">SUM(F834:F837)</f>
        <v>204</v>
      </c>
      <c r="G838" s="772" t="n">
        <f aca="false">SUM(B838:F838)</f>
        <v>431844</v>
      </c>
      <c r="H838" s="665"/>
      <c r="I838" s="665"/>
      <c r="J838" s="665"/>
      <c r="K838" s="665"/>
      <c r="L838" s="665"/>
      <c r="M838" s="665"/>
      <c r="N838" s="665"/>
      <c r="O838" s="665"/>
      <c r="P838" s="665"/>
    </row>
    <row r="839" customFormat="false" ht="18.75" hidden="false" customHeight="true" outlineLevel="0" collapsed="false">
      <c r="A839" s="125" t="str">
        <f aca="false">'☆掛負収入'!A839</f>
        <v>市職員労働組合</v>
      </c>
      <c r="B839" s="474" t="n">
        <f aca="false">'☆掛負収入'!B839</f>
        <v>29280</v>
      </c>
      <c r="C839" s="248" t="n">
        <f aca="false">'☆掛負収入'!C839</f>
        <v>2400</v>
      </c>
      <c r="D839" s="470" t="n">
        <f aca="false">'☆掛負収入'!D839</f>
        <v>29280</v>
      </c>
      <c r="E839" s="488" t="n">
        <f aca="false">'☆掛負収入'!E839</f>
        <v>2400</v>
      </c>
      <c r="F839" s="221"/>
      <c r="G839" s="206" t="n">
        <f aca="false">SUM(B839:F839)</f>
        <v>63360</v>
      </c>
      <c r="H839" s="619" t="n">
        <f aca="false">'☆掛負収入'!H839</f>
        <v>17603</v>
      </c>
      <c r="I839" s="449" t="n">
        <f aca="false">'☆掛負収入'!I839</f>
        <v>17635</v>
      </c>
      <c r="J839" s="160" t="n">
        <f aca="false">SUM(H839:I839)</f>
        <v>35238</v>
      </c>
      <c r="K839" s="476" t="n">
        <f aca="false">'☆掛負収入'!K839</f>
        <v>2528</v>
      </c>
      <c r="L839" s="487" t="n">
        <f aca="false">'☆掛負収入'!L839</f>
        <v>2528</v>
      </c>
      <c r="M839" s="471" t="n">
        <f aca="false">SUM(K839:L839)</f>
        <v>5056</v>
      </c>
      <c r="N839" s="476" t="n">
        <f aca="false">'☆掛負収入'!N839</f>
        <v>1</v>
      </c>
      <c r="O839" s="487" t="n">
        <f aca="false">'☆掛負収入'!O839</f>
        <v>1</v>
      </c>
      <c r="P839" s="471" t="n">
        <f aca="false">SUM(N839:O839)</f>
        <v>2</v>
      </c>
    </row>
    <row r="840" customFormat="false" ht="18.75" hidden="false" customHeight="true" outlineLevel="0" collapsed="false">
      <c r="A840" s="125" t="str">
        <f aca="false">'☆掛負収入'!A840</f>
        <v>自治労労働組合</v>
      </c>
      <c r="B840" s="474" t="n">
        <f aca="false">'☆掛負収入'!B840</f>
        <v>0</v>
      </c>
      <c r="C840" s="402" t="n">
        <f aca="false">'☆掛負収入'!C840</f>
        <v>0</v>
      </c>
      <c r="D840" s="474" t="n">
        <f aca="false">'☆掛負収入'!D840</f>
        <v>0</v>
      </c>
      <c r="E840" s="488" t="n">
        <f aca="false">'☆掛負収入'!E840</f>
        <v>0</v>
      </c>
      <c r="F840" s="221"/>
      <c r="G840" s="206" t="n">
        <f aca="false">SUM(B840:F840)</f>
        <v>0</v>
      </c>
      <c r="H840" s="619" t="n">
        <f aca="false">'☆掛負収入'!H840</f>
        <v>0</v>
      </c>
      <c r="I840" s="449" t="n">
        <f aca="false">'☆掛負収入'!I840</f>
        <v>0</v>
      </c>
      <c r="J840" s="160" t="n">
        <f aca="false">SUM(H840:I840)</f>
        <v>0</v>
      </c>
      <c r="K840" s="619" t="n">
        <f aca="false">'☆掛負収入'!K840</f>
        <v>0</v>
      </c>
      <c r="L840" s="449" t="n">
        <f aca="false">'☆掛負収入'!L840</f>
        <v>0</v>
      </c>
      <c r="M840" s="160" t="n">
        <f aca="false">SUM(K840:L840)</f>
        <v>0</v>
      </c>
      <c r="N840" s="619" t="n">
        <f aca="false">'☆掛負収入'!N840</f>
        <v>0</v>
      </c>
      <c r="O840" s="449" t="n">
        <f aca="false">'☆掛負収入'!O840</f>
        <v>0</v>
      </c>
      <c r="P840" s="160" t="n">
        <f aca="false">SUM(N840:O840)</f>
        <v>0</v>
      </c>
    </row>
    <row r="841" customFormat="false" ht="18.75" hidden="false" customHeight="true" outlineLevel="0" collapsed="false">
      <c r="A841" s="125" t="str">
        <f aca="false">'☆掛負収入'!A841</f>
        <v>病院労働組合</v>
      </c>
      <c r="B841" s="474" t="n">
        <f aca="false">'☆掛負収入'!B841</f>
        <v>27450</v>
      </c>
      <c r="C841" s="402" t="n">
        <f aca="false">'☆掛負収入'!C841</f>
        <v>2250</v>
      </c>
      <c r="D841" s="474" t="n">
        <f aca="false">'☆掛負収入'!D841</f>
        <v>27450</v>
      </c>
      <c r="E841" s="488" t="n">
        <f aca="false">'☆掛負収入'!E841</f>
        <v>2250</v>
      </c>
      <c r="F841" s="221"/>
      <c r="G841" s="206" t="n">
        <f aca="false">SUM(B841:F841)</f>
        <v>59400</v>
      </c>
      <c r="H841" s="619" t="n">
        <f aca="false">'☆掛負収入'!H841</f>
        <v>33006</v>
      </c>
      <c r="I841" s="449" t="n">
        <f aca="false">'☆掛負収入'!I841</f>
        <v>33066</v>
      </c>
      <c r="J841" s="160" t="n">
        <f aca="false">SUM(H841:I841)</f>
        <v>66072</v>
      </c>
      <c r="K841" s="619" t="n">
        <f aca="false">'☆掛負収入'!K841</f>
        <v>2370</v>
      </c>
      <c r="L841" s="449" t="n">
        <f aca="false">'☆掛負収入'!L841</f>
        <v>2370</v>
      </c>
      <c r="M841" s="160" t="n">
        <f aca="false">SUM(K841:L841)</f>
        <v>4740</v>
      </c>
      <c r="N841" s="619" t="n">
        <f aca="false">'☆掛負収入'!N841</f>
        <v>1</v>
      </c>
      <c r="O841" s="449" t="n">
        <f aca="false">'☆掛負収入'!O841</f>
        <v>1</v>
      </c>
      <c r="P841" s="160" t="n">
        <f aca="false">SUM(N841:O841)</f>
        <v>2</v>
      </c>
    </row>
    <row r="842" customFormat="false" ht="18.75" hidden="false" customHeight="true" outlineLevel="0" collapsed="false">
      <c r="A842" s="302" t="str">
        <f aca="false">'☆掛負収入'!A842</f>
        <v>水道労働組合</v>
      </c>
      <c r="B842" s="673"/>
      <c r="C842" s="444"/>
      <c r="D842" s="673"/>
      <c r="E842" s="623"/>
      <c r="F842" s="296"/>
      <c r="G842" s="206" t="n">
        <f aca="false">SUM(B842:F842)</f>
        <v>0</v>
      </c>
      <c r="H842" s="674"/>
      <c r="I842" s="675"/>
      <c r="J842" s="160" t="n">
        <f aca="false">SUM(H842:I842)</f>
        <v>0</v>
      </c>
      <c r="K842" s="676"/>
      <c r="L842" s="677"/>
      <c r="M842" s="160" t="n">
        <f aca="false">SUM(K842:L842)</f>
        <v>0</v>
      </c>
      <c r="N842" s="676"/>
      <c r="O842" s="677"/>
      <c r="P842" s="160" t="n">
        <f aca="false">SUM(N842:O842)</f>
        <v>0</v>
      </c>
    </row>
    <row r="843" customFormat="false" ht="18.75" hidden="false" customHeight="true" outlineLevel="0" collapsed="false">
      <c r="A843" s="196" t="str">
        <f aca="false">'☆掛負収入'!A843</f>
        <v>小　計</v>
      </c>
      <c r="B843" s="429" t="n">
        <f aca="false">SUM(B839:B842)</f>
        <v>56730</v>
      </c>
      <c r="C843" s="200" t="n">
        <f aca="false">SUM(C839:C842)</f>
        <v>4650</v>
      </c>
      <c r="D843" s="429" t="n">
        <f aca="false">SUM(D839:D842)</f>
        <v>56730</v>
      </c>
      <c r="E843" s="199" t="n">
        <f aca="false">SUM(E839:E842)</f>
        <v>4650</v>
      </c>
      <c r="F843" s="198" t="n">
        <f aca="false">SUM(F839:F842)</f>
        <v>0</v>
      </c>
      <c r="G843" s="197" t="n">
        <f aca="false">SUM(B843:F843)</f>
        <v>122760</v>
      </c>
      <c r="H843" s="429" t="n">
        <f aca="false">SUM(H839:H842)</f>
        <v>50609</v>
      </c>
      <c r="I843" s="199" t="n">
        <f aca="false">SUM(I839:I842)</f>
        <v>50701</v>
      </c>
      <c r="J843" s="200" t="n">
        <f aca="false">SUM(H843:I843)</f>
        <v>101310</v>
      </c>
      <c r="K843" s="197" t="n">
        <f aca="false">SUM(K839:K842)</f>
        <v>4898</v>
      </c>
      <c r="L843" s="198" t="n">
        <f aca="false">SUM(L839:L842)</f>
        <v>4898</v>
      </c>
      <c r="M843" s="200" t="n">
        <f aca="false">SUM(K843:L843)</f>
        <v>9796</v>
      </c>
      <c r="N843" s="197" t="n">
        <f aca="false">SUM(N839:N842)</f>
        <v>2</v>
      </c>
      <c r="O843" s="198" t="n">
        <f aca="false">SUM(O839:O842)</f>
        <v>2</v>
      </c>
      <c r="P843" s="200" t="n">
        <f aca="false">SUM(N843:O843)</f>
        <v>4</v>
      </c>
    </row>
    <row r="844" customFormat="false" ht="18.75" hidden="false" customHeight="true" outlineLevel="0" collapsed="false">
      <c r="A844" s="302" t="str">
        <f aca="false">'☆掛負収入'!A844</f>
        <v>任意継続組合員</v>
      </c>
      <c r="B844" s="281"/>
      <c r="C844" s="523"/>
      <c r="D844" s="524"/>
      <c r="E844" s="525"/>
      <c r="F844" s="296"/>
      <c r="G844" s="293"/>
      <c r="H844" s="678"/>
      <c r="I844" s="282"/>
      <c r="J844" s="283"/>
      <c r="K844" s="524"/>
      <c r="L844" s="679"/>
      <c r="M844" s="292"/>
      <c r="N844" s="524"/>
      <c r="O844" s="679"/>
      <c r="P844" s="292"/>
    </row>
    <row r="845" customFormat="false" ht="30" hidden="false" customHeight="true" outlineLevel="0" collapsed="false">
      <c r="A845" s="680" t="str">
        <f aca="false">'☆掛負収入'!A845</f>
        <v>総　　計</v>
      </c>
      <c r="B845" s="429" t="n">
        <f aca="false">SUM(B802+B833+B838+B843)</f>
        <v>3029565</v>
      </c>
      <c r="C845" s="200" t="n">
        <f aca="false">SUM(C802+C833+C838+C843)</f>
        <v>248325</v>
      </c>
      <c r="D845" s="681" t="n">
        <f aca="false">SUM(D802+D833+D838+D843)</f>
        <v>9055755</v>
      </c>
      <c r="E845" s="199" t="n">
        <f aca="false">SUM(E802+E833+E838+E843)</f>
        <v>742275</v>
      </c>
      <c r="F845" s="201" t="n">
        <f aca="false">SUM(F802+F833+F838+F843)</f>
        <v>9476</v>
      </c>
      <c r="G845" s="197" t="n">
        <f aca="false">SUM(B845:F845)</f>
        <v>13085396</v>
      </c>
      <c r="H845" s="429" t="n">
        <f aca="false">SUM(H802+H833+H838+H843+H844)</f>
        <v>1730590</v>
      </c>
      <c r="I845" s="199" t="n">
        <f aca="false">SUM(I802+I833+I838+I843+I844)</f>
        <v>5512848</v>
      </c>
      <c r="J845" s="200" t="n">
        <f aca="false">SUM(H845:I845)</f>
        <v>7243438</v>
      </c>
      <c r="K845" s="197" t="n">
        <f aca="false">K802+K833+K838+K843+K844</f>
        <v>162503</v>
      </c>
      <c r="L845" s="198" t="n">
        <f aca="false">L802+L833+L838+L843</f>
        <v>599136</v>
      </c>
      <c r="M845" s="200" t="n">
        <f aca="false">SUM(K845:L845)</f>
        <v>761639</v>
      </c>
      <c r="N845" s="197" t="n">
        <f aca="false">N802+N833+N838+N843+N844</f>
        <v>11</v>
      </c>
      <c r="O845" s="198" t="n">
        <f aca="false">O802+O833+O838+O843</f>
        <v>22</v>
      </c>
      <c r="P845" s="200" t="n">
        <f aca="false">SUM(N845:O845)</f>
        <v>33</v>
      </c>
    </row>
    <row r="846" customFormat="false" ht="18.75" hidden="false" customHeight="true" outlineLevel="0" collapsed="false">
      <c r="A846" s="340"/>
      <c r="B846" s="341"/>
      <c r="C846" s="341"/>
      <c r="D846" s="341"/>
      <c r="E846" s="341"/>
      <c r="F846" s="341"/>
      <c r="G846" s="341"/>
      <c r="H846" s="341"/>
      <c r="I846" s="341"/>
      <c r="J846" s="341"/>
      <c r="K846" s="341"/>
      <c r="L846" s="341"/>
      <c r="M846" s="341"/>
      <c r="N846" s="341"/>
      <c r="O846" s="341"/>
      <c r="P846" s="341"/>
    </row>
    <row r="847" customFormat="false" ht="30" hidden="false" customHeight="true" outlineLevel="0" collapsed="false">
      <c r="A847" s="320"/>
      <c r="B847" s="430" t="n">
        <f aca="false">'☆掛負収入'!B847</f>
        <v>46477</v>
      </c>
      <c r="C847" s="430" t="n">
        <f aca="false">'☆掛負収入'!C847</f>
        <v>0</v>
      </c>
      <c r="D847" s="430" t="n">
        <f aca="false">'☆掛負収入'!D847</f>
        <v>0</v>
      </c>
      <c r="E847" s="430" t="n">
        <f aca="false">'☆掛負収入'!E847</f>
        <v>0</v>
      </c>
      <c r="F847" s="430" t="n">
        <f aca="false">'☆掛負収入'!F847</f>
        <v>0</v>
      </c>
      <c r="G847" s="430" t="n">
        <f aca="false">'☆掛負収入'!G847</f>
        <v>0</v>
      </c>
      <c r="H847" s="430" t="n">
        <f aca="false">'☆掛負収入'!H847</f>
        <v>46477</v>
      </c>
      <c r="I847" s="430" t="n">
        <f aca="false">'☆掛負収入'!I847</f>
        <v>0</v>
      </c>
      <c r="J847" s="430" t="n">
        <f aca="false">'☆掛負収入'!J847</f>
        <v>0</v>
      </c>
      <c r="K847" s="430" t="n">
        <f aca="false">'☆掛負収入'!K847</f>
        <v>46477</v>
      </c>
      <c r="L847" s="430" t="n">
        <f aca="false">'☆掛負収入'!L847</f>
        <v>0</v>
      </c>
      <c r="M847" s="430" t="n">
        <f aca="false">'☆掛負収入'!M847</f>
        <v>0</v>
      </c>
      <c r="N847" s="430" t="n">
        <f aca="false">'☆掛負収入'!N847</f>
        <v>46477</v>
      </c>
      <c r="O847" s="430" t="n">
        <f aca="false">'☆掛負収入'!O847</f>
        <v>0</v>
      </c>
      <c r="P847" s="430" t="n">
        <f aca="false">'☆掛負収入'!P847</f>
        <v>0</v>
      </c>
    </row>
    <row r="848" customFormat="false" ht="22.5" hidden="false" customHeight="true" outlineLevel="0" collapsed="false">
      <c r="A848" s="114" t="str">
        <f aca="false">'☆掛負収入'!A848</f>
        <v>区　　分</v>
      </c>
      <c r="B848" s="114" t="str">
        <f aca="false">'☆掛負収入'!B848</f>
        <v>長　期　経　理</v>
      </c>
      <c r="C848" s="114" t="n">
        <f aca="false">'☆掛負収入'!C848</f>
        <v>0</v>
      </c>
      <c r="D848" s="114" t="n">
        <f aca="false">'☆掛負収入'!D848</f>
        <v>0</v>
      </c>
      <c r="E848" s="114" t="n">
        <f aca="false">'☆掛負収入'!E848</f>
        <v>0</v>
      </c>
      <c r="F848" s="114" t="n">
        <f aca="false">'☆掛負収入'!F848</f>
        <v>0</v>
      </c>
      <c r="G848" s="114" t="n">
        <f aca="false">'☆掛負収入'!G848</f>
        <v>0</v>
      </c>
      <c r="H848" s="116" t="str">
        <f aca="false">'☆掛負収入'!H848</f>
        <v>短　期　経　理</v>
      </c>
      <c r="I848" s="116" t="n">
        <f aca="false">'☆掛負収入'!I848</f>
        <v>0</v>
      </c>
      <c r="J848" s="116" t="n">
        <f aca="false">'☆掛負収入'!J848</f>
        <v>0</v>
      </c>
      <c r="K848" s="116" t="str">
        <f aca="false">'☆掛負収入'!K848</f>
        <v>介　護　納　付　金</v>
      </c>
      <c r="L848" s="116" t="n">
        <f aca="false">'☆掛負収入'!L848</f>
        <v>0</v>
      </c>
      <c r="M848" s="116" t="n">
        <f aca="false">'☆掛負収入'!M848</f>
        <v>0</v>
      </c>
      <c r="N848" s="116" t="str">
        <f aca="false">'☆掛負収入'!N848</f>
        <v>子ども・子育て支援納付金</v>
      </c>
      <c r="O848" s="116" t="n">
        <f aca="false">'☆掛負収入'!O848</f>
        <v>0</v>
      </c>
      <c r="P848" s="116" t="n">
        <f aca="false">'☆掛負収入'!P848</f>
        <v>0</v>
      </c>
    </row>
    <row r="849" customFormat="false" ht="22.5" hidden="false" customHeight="true" outlineLevel="0" collapsed="false">
      <c r="A849" s="114" t="n">
        <f aca="false">'☆掛負収入'!A849</f>
        <v>0</v>
      </c>
      <c r="B849" s="117" t="str">
        <f aca="false">'☆掛負収入'!B849</f>
        <v>組合員負担分</v>
      </c>
      <c r="C849" s="117" t="n">
        <f aca="false">'☆掛負収入'!C849</f>
        <v>0</v>
      </c>
      <c r="D849" s="117" t="str">
        <f aca="false">'☆掛負収入'!D849</f>
        <v>事業主負担分</v>
      </c>
      <c r="E849" s="117" t="n">
        <f aca="false">'☆掛負収入'!E849</f>
        <v>0</v>
      </c>
      <c r="F849" s="117" t="n">
        <f aca="false">'☆掛負収入'!F849</f>
        <v>0</v>
      </c>
      <c r="G849" s="611" t="str">
        <f aca="false">'☆掛負収入'!G849</f>
        <v>計</v>
      </c>
      <c r="H849" s="121" t="str">
        <f aca="false">'☆掛負収入'!H849</f>
        <v>掛　金</v>
      </c>
      <c r="I849" s="119" t="str">
        <f aca="false">'☆掛負収入'!I849</f>
        <v>負担金</v>
      </c>
      <c r="J849" s="120" t="str">
        <f aca="false">'☆掛負収入'!J849</f>
        <v>計</v>
      </c>
      <c r="K849" s="121" t="str">
        <f aca="false">'☆掛負収入'!K849</f>
        <v>掛　金</v>
      </c>
      <c r="L849" s="119" t="str">
        <f aca="false">'☆掛負収入'!L849</f>
        <v>負担金</v>
      </c>
      <c r="M849" s="120" t="str">
        <f aca="false">'☆掛負収入'!M849</f>
        <v>計</v>
      </c>
      <c r="N849" s="121" t="str">
        <f aca="false">'☆掛負収入'!N849</f>
        <v>掛　金</v>
      </c>
      <c r="O849" s="119" t="str">
        <f aca="false">'☆掛負収入'!O849</f>
        <v>負担金</v>
      </c>
      <c r="P849" s="120" t="str">
        <f aca="false">'☆掛負収入'!P849</f>
        <v>計</v>
      </c>
    </row>
    <row r="850" customFormat="false" ht="22.5" hidden="false" customHeight="true" outlineLevel="0" collapsed="false">
      <c r="A850" s="114" t="n">
        <f aca="false">'☆掛負収入'!A850</f>
        <v>0</v>
      </c>
      <c r="B850" s="612" t="str">
        <f aca="false">'☆掛負収入'!B850</f>
        <v>厚生年金保険料</v>
      </c>
      <c r="C850" s="613" t="str">
        <f aca="false">'☆掛負収入'!C850</f>
        <v>退職等年金掛金</v>
      </c>
      <c r="D850" s="614" t="str">
        <f aca="false">'☆掛負収入'!D850</f>
        <v>厚生年金保険料</v>
      </c>
      <c r="E850" s="614" t="str">
        <f aca="false">'☆掛負収入'!E850</f>
        <v>退職等年金負担金</v>
      </c>
      <c r="F850" s="615" t="str">
        <f aca="false">'☆掛負収入'!F850</f>
        <v>経過的長期</v>
      </c>
      <c r="G850" s="611" t="n">
        <f aca="false">'☆掛負収入'!G850</f>
        <v>0</v>
      </c>
      <c r="H850" s="121" t="n">
        <f aca="false">'☆掛負収入'!H850</f>
        <v>0</v>
      </c>
      <c r="I850" s="119" t="n">
        <f aca="false">'☆掛負収入'!I850</f>
        <v>0</v>
      </c>
      <c r="J850" s="120" t="n">
        <f aca="false">'☆掛負収入'!J850</f>
        <v>0</v>
      </c>
      <c r="K850" s="121" t="n">
        <f aca="false">'☆掛負収入'!K850</f>
        <v>0</v>
      </c>
      <c r="L850" s="119" t="n">
        <f aca="false">'☆掛負収入'!L850</f>
        <v>0</v>
      </c>
      <c r="M850" s="120" t="n">
        <f aca="false">'☆掛負収入'!M850</f>
        <v>0</v>
      </c>
      <c r="N850" s="121" t="n">
        <f aca="false">'☆掛負収入'!N850</f>
        <v>0</v>
      </c>
      <c r="O850" s="119" t="n">
        <f aca="false">'☆掛負収入'!O850</f>
        <v>0</v>
      </c>
      <c r="P850" s="120" t="n">
        <f aca="false">'☆掛負収入'!P850</f>
        <v>0</v>
      </c>
    </row>
    <row r="851" customFormat="false" ht="18.75" hidden="false" customHeight="true" outlineLevel="0" collapsed="false">
      <c r="A851" s="125" t="str">
        <f aca="false">'☆掛負収入'!A851</f>
        <v>市長部局</v>
      </c>
      <c r="B851" s="616"/>
      <c r="C851" s="389"/>
      <c r="D851" s="617"/>
      <c r="E851" s="617"/>
      <c r="F851" s="209"/>
      <c r="G851" s="389"/>
      <c r="H851" s="616"/>
      <c r="I851" s="618"/>
      <c r="J851" s="206"/>
      <c r="K851" s="619"/>
      <c r="L851" s="618"/>
      <c r="M851" s="206"/>
      <c r="N851" s="619"/>
      <c r="O851" s="618"/>
      <c r="P851" s="206"/>
    </row>
    <row r="852" customFormat="false" ht="18.75" hidden="false" customHeight="true" outlineLevel="0" collapsed="false">
      <c r="A852" s="125" t="str">
        <f aca="false">'☆掛負収入'!A852</f>
        <v>下水道局</v>
      </c>
      <c r="B852" s="431"/>
      <c r="C852" s="206"/>
      <c r="D852" s="617"/>
      <c r="E852" s="617"/>
      <c r="F852" s="160"/>
      <c r="G852" s="206"/>
      <c r="H852" s="619"/>
      <c r="I852" s="449"/>
      <c r="J852" s="160"/>
      <c r="K852" s="620"/>
      <c r="L852" s="621"/>
      <c r="M852" s="160"/>
      <c r="N852" s="620"/>
      <c r="O852" s="621"/>
      <c r="P852" s="160"/>
    </row>
    <row r="853" customFormat="false" ht="18.75" hidden="false" customHeight="true" outlineLevel="0" collapsed="false">
      <c r="A853" s="125" t="str">
        <f aca="false">'☆掛負収入'!A853</f>
        <v>消防局</v>
      </c>
      <c r="B853" s="431"/>
      <c r="C853" s="206"/>
      <c r="D853" s="617"/>
      <c r="E853" s="617"/>
      <c r="F853" s="160"/>
      <c r="G853" s="206"/>
      <c r="H853" s="620"/>
      <c r="I853" s="464"/>
      <c r="J853" s="160"/>
      <c r="K853" s="620"/>
      <c r="L853" s="464"/>
      <c r="M853" s="160"/>
      <c r="N853" s="620"/>
      <c r="O853" s="464"/>
      <c r="P853" s="160"/>
    </row>
    <row r="854" customFormat="false" ht="18.75" hidden="false" customHeight="true" outlineLevel="0" collapsed="false">
      <c r="A854" s="125" t="str">
        <f aca="false">'☆掛負収入'!A854</f>
        <v>議会事務局</v>
      </c>
      <c r="B854" s="431"/>
      <c r="C854" s="206"/>
      <c r="D854" s="617"/>
      <c r="E854" s="617"/>
      <c r="F854" s="160"/>
      <c r="G854" s="206"/>
      <c r="H854" s="431"/>
      <c r="I854" s="464"/>
      <c r="J854" s="160"/>
      <c r="K854" s="431"/>
      <c r="L854" s="464"/>
      <c r="M854" s="160"/>
      <c r="N854" s="431"/>
      <c r="O854" s="464"/>
      <c r="P854" s="160"/>
    </row>
    <row r="855" customFormat="false" ht="18.75" hidden="false" customHeight="true" outlineLevel="0" collapsed="false">
      <c r="A855" s="125" t="str">
        <f aca="false">'☆掛負収入'!A855</f>
        <v>教育委員会（総務課）</v>
      </c>
      <c r="B855" s="431"/>
      <c r="C855" s="206"/>
      <c r="D855" s="617"/>
      <c r="E855" s="617"/>
      <c r="F855" s="160"/>
      <c r="G855" s="206"/>
      <c r="H855" s="431"/>
      <c r="I855" s="464"/>
      <c r="J855" s="160"/>
      <c r="K855" s="431"/>
      <c r="L855" s="464"/>
      <c r="M855" s="160"/>
      <c r="N855" s="431"/>
      <c r="O855" s="464"/>
      <c r="P855" s="160"/>
    </row>
    <row r="856" customFormat="false" ht="18.75" hidden="false" customHeight="true" outlineLevel="0" collapsed="false">
      <c r="A856" s="125" t="str">
        <f aca="false">'☆掛負収入'!A856</f>
        <v>選挙管理委員会</v>
      </c>
      <c r="B856" s="431"/>
      <c r="C856" s="206"/>
      <c r="D856" s="617"/>
      <c r="E856" s="617"/>
      <c r="F856" s="160"/>
      <c r="G856" s="206"/>
      <c r="H856" s="619"/>
      <c r="I856" s="449"/>
      <c r="J856" s="160"/>
      <c r="K856" s="431"/>
      <c r="L856" s="464"/>
      <c r="M856" s="160"/>
      <c r="N856" s="431"/>
      <c r="O856" s="464"/>
      <c r="P856" s="160"/>
    </row>
    <row r="857" customFormat="false" ht="18.75" hidden="false" customHeight="true" outlineLevel="0" collapsed="false">
      <c r="A857" s="125" t="str">
        <f aca="false">'☆掛負収入'!A857</f>
        <v>人事委員会</v>
      </c>
      <c r="B857" s="431"/>
      <c r="C857" s="206"/>
      <c r="D857" s="617"/>
      <c r="E857" s="617"/>
      <c r="F857" s="160"/>
      <c r="G857" s="206"/>
      <c r="H857" s="619"/>
      <c r="I857" s="449"/>
      <c r="J857" s="160"/>
      <c r="K857" s="619"/>
      <c r="L857" s="449"/>
      <c r="M857" s="160"/>
      <c r="N857" s="619"/>
      <c r="O857" s="449"/>
      <c r="P857" s="160"/>
    </row>
    <row r="858" customFormat="false" ht="18.75" hidden="false" customHeight="true" outlineLevel="0" collapsed="false">
      <c r="A858" s="125" t="str">
        <f aca="false">'☆掛負収入'!A858</f>
        <v>監査事務局</v>
      </c>
      <c r="B858" s="431"/>
      <c r="C858" s="206"/>
      <c r="D858" s="617"/>
      <c r="E858" s="617"/>
      <c r="F858" s="160"/>
      <c r="G858" s="206"/>
      <c r="H858" s="619"/>
      <c r="I858" s="449"/>
      <c r="J858" s="160"/>
      <c r="K858" s="619"/>
      <c r="L858" s="449"/>
      <c r="M858" s="160"/>
      <c r="N858" s="619"/>
      <c r="O858" s="449"/>
      <c r="P858" s="160"/>
    </row>
    <row r="859" customFormat="false" ht="18.75" hidden="false" customHeight="true" outlineLevel="0" collapsed="false">
      <c r="A859" s="125" t="str">
        <f aca="false">'☆掛負収入'!A859</f>
        <v>農業委員会</v>
      </c>
      <c r="B859" s="431"/>
      <c r="C859" s="206"/>
      <c r="D859" s="617"/>
      <c r="E859" s="617"/>
      <c r="F859" s="160"/>
      <c r="G859" s="206"/>
      <c r="H859" s="619"/>
      <c r="I859" s="449"/>
      <c r="J859" s="160"/>
      <c r="K859" s="619"/>
      <c r="L859" s="449"/>
      <c r="M859" s="160"/>
      <c r="N859" s="619"/>
      <c r="O859" s="449"/>
      <c r="P859" s="160"/>
    </row>
    <row r="860" customFormat="false" ht="18.75" hidden="false" customHeight="true" outlineLevel="0" collapsed="false">
      <c r="A860" s="125" t="str">
        <f aca="false">'☆掛負収入'!A860</f>
        <v>水道局</v>
      </c>
      <c r="B860" s="431"/>
      <c r="C860" s="206"/>
      <c r="D860" s="617"/>
      <c r="E860" s="617"/>
      <c r="F860" s="418"/>
      <c r="G860" s="206"/>
      <c r="H860" s="619"/>
      <c r="I860" s="449"/>
      <c r="J860" s="160"/>
      <c r="K860" s="619"/>
      <c r="L860" s="449"/>
      <c r="M860" s="160"/>
      <c r="N860" s="619"/>
      <c r="O860" s="449"/>
      <c r="P860" s="160"/>
    </row>
    <row r="861" customFormat="false" ht="18.75" hidden="false" customHeight="true" outlineLevel="0" collapsed="false">
      <c r="A861" s="146" t="str">
        <f aca="false">'☆掛負収入'!A861</f>
        <v>医療政策課(安芸市民)</v>
      </c>
      <c r="B861" s="620"/>
      <c r="C861" s="391"/>
      <c r="D861" s="620"/>
      <c r="E861" s="621"/>
      <c r="F861" s="418"/>
      <c r="G861" s="206"/>
      <c r="H861" s="622"/>
      <c r="I861" s="432"/>
      <c r="J861" s="160"/>
      <c r="K861" s="619"/>
      <c r="L861" s="449"/>
      <c r="M861" s="160"/>
      <c r="N861" s="619"/>
      <c r="O861" s="449"/>
      <c r="P861" s="160"/>
    </row>
    <row r="862" customFormat="false" ht="18.75" hidden="false" customHeight="true" outlineLevel="0" collapsed="false">
      <c r="A862" s="146" t="str">
        <f aca="false">'☆掛負収入'!A862</f>
        <v>教育委員会（教育給与課）</v>
      </c>
      <c r="B862" s="620"/>
      <c r="C862" s="206"/>
      <c r="D862" s="431"/>
      <c r="E862" s="623"/>
      <c r="F862" s="309"/>
      <c r="G862" s="206"/>
      <c r="H862" s="619"/>
      <c r="I862" s="449"/>
      <c r="J862" s="160"/>
      <c r="K862" s="619"/>
      <c r="L862" s="449"/>
      <c r="M862" s="160"/>
      <c r="N862" s="619"/>
      <c r="O862" s="449"/>
      <c r="P862" s="160"/>
    </row>
    <row r="863" customFormat="false" ht="18.75" hidden="true" customHeight="true" outlineLevel="0" collapsed="false">
      <c r="A863" s="624"/>
      <c r="B863" s="625"/>
      <c r="C863" s="235"/>
      <c r="D863" s="625"/>
      <c r="E863" s="626"/>
      <c r="F863" s="221"/>
      <c r="G863" s="712"/>
      <c r="H863" s="627"/>
      <c r="I863" s="628"/>
      <c r="J863" s="628"/>
      <c r="K863" s="627"/>
      <c r="L863" s="628"/>
      <c r="M863" s="220"/>
      <c r="N863" s="627"/>
      <c r="O863" s="628"/>
      <c r="P863" s="220"/>
    </row>
    <row r="864" customFormat="false" ht="18.75" hidden="true" customHeight="true" outlineLevel="0" collapsed="false">
      <c r="A864" s="629"/>
      <c r="B864" s="482"/>
      <c r="C864" s="157"/>
      <c r="D864" s="482"/>
      <c r="E864" s="483"/>
      <c r="F864" s="484"/>
      <c r="G864" s="460"/>
      <c r="H864" s="482"/>
      <c r="I864" s="483"/>
      <c r="J864" s="483"/>
      <c r="K864" s="482"/>
      <c r="L864" s="483"/>
      <c r="M864" s="155"/>
      <c r="N864" s="482"/>
      <c r="O864" s="483"/>
      <c r="P864" s="155"/>
    </row>
    <row r="865" customFormat="false" ht="18.75" hidden="true" customHeight="true" outlineLevel="0" collapsed="false">
      <c r="A865" s="629"/>
      <c r="B865" s="625"/>
      <c r="C865" s="235"/>
      <c r="D865" s="625"/>
      <c r="E865" s="626"/>
      <c r="F865" s="221"/>
      <c r="G865" s="712"/>
      <c r="H865" s="625"/>
      <c r="I865" s="626"/>
      <c r="J865" s="626"/>
      <c r="K865" s="625"/>
      <c r="L865" s="626"/>
      <c r="M865" s="721"/>
      <c r="N865" s="625"/>
      <c r="O865" s="626"/>
      <c r="P865" s="721"/>
    </row>
    <row r="866" customFormat="false" ht="18.75" hidden="true" customHeight="true" outlineLevel="0" collapsed="false">
      <c r="A866" s="630"/>
      <c r="B866" s="631"/>
      <c r="C866" s="632"/>
      <c r="D866" s="631"/>
      <c r="E866" s="515"/>
      <c r="F866" s="633"/>
      <c r="G866" s="714"/>
      <c r="H866" s="482"/>
      <c r="I866" s="634"/>
      <c r="J866" s="634"/>
      <c r="K866" s="482"/>
      <c r="L866" s="483"/>
      <c r="M866" s="155"/>
      <c r="N866" s="482"/>
      <c r="O866" s="483"/>
      <c r="P866" s="155"/>
    </row>
    <row r="867" customFormat="false" ht="18.75" hidden="false" customHeight="true" outlineLevel="0" collapsed="false">
      <c r="A867" s="196" t="str">
        <f aca="false">'☆掛負収入'!A867</f>
        <v>小　計</v>
      </c>
      <c r="B867" s="429"/>
      <c r="C867" s="199"/>
      <c r="D867" s="429"/>
      <c r="E867" s="199"/>
      <c r="F867" s="200"/>
      <c r="G867" s="201"/>
      <c r="H867" s="429"/>
      <c r="I867" s="199"/>
      <c r="J867" s="198"/>
      <c r="K867" s="429"/>
      <c r="L867" s="199"/>
      <c r="M867" s="198"/>
      <c r="N867" s="429"/>
      <c r="O867" s="199"/>
      <c r="P867" s="198"/>
    </row>
    <row r="868" customFormat="false" ht="18.75" hidden="false" customHeight="true" outlineLevel="0" collapsed="false">
      <c r="A868" s="202" t="str">
        <f aca="false">'☆掛負収入'!A868</f>
        <v>地方税共同機構</v>
      </c>
      <c r="B868" s="474" t="n">
        <f aca="false">'☆掛負収入'!B868</f>
        <v>0</v>
      </c>
      <c r="C868" s="402" t="n">
        <f aca="false">'☆掛負収入'!C868</f>
        <v>0</v>
      </c>
      <c r="D868" s="494" t="n">
        <f aca="false">'☆掛負収入'!D868</f>
        <v>0</v>
      </c>
      <c r="E868" s="488" t="n">
        <f aca="false">'☆掛負収入'!E868</f>
        <v>0</v>
      </c>
      <c r="F868" s="475" t="n">
        <f aca="false">'☆掛負収入'!F868</f>
        <v>0</v>
      </c>
      <c r="G868" s="691" t="n">
        <f aca="false">SUM(B868:F868)</f>
        <v>0</v>
      </c>
      <c r="H868" s="619" t="n">
        <f aca="false">'☆掛負収入'!H868</f>
        <v>0</v>
      </c>
      <c r="I868" s="449" t="n">
        <f aca="false">'☆掛負収入'!I868</f>
        <v>0</v>
      </c>
      <c r="J868" s="160" t="n">
        <f aca="false">SUM(H868:I868)</f>
        <v>0</v>
      </c>
      <c r="K868" s="464" t="n">
        <f aca="false">'☆掛負収入'!K868</f>
        <v>0</v>
      </c>
      <c r="L868" s="449" t="n">
        <f aca="false">'☆掛負収入'!L868</f>
        <v>0</v>
      </c>
      <c r="M868" s="160" t="n">
        <f aca="false">SUM(K868:L868)</f>
        <v>0</v>
      </c>
      <c r="N868" s="464" t="n">
        <f aca="false">'☆掛負収入'!N868</f>
        <v>0</v>
      </c>
      <c r="O868" s="449" t="n">
        <f aca="false">'☆掛負収入'!O868</f>
        <v>0</v>
      </c>
      <c r="P868" s="160" t="n">
        <f aca="false">SUM(N868:O868)</f>
        <v>0</v>
      </c>
    </row>
    <row r="869" customFormat="false" ht="18.75" hidden="false" customHeight="true" outlineLevel="0" collapsed="false">
      <c r="A869" s="125" t="str">
        <f aca="false">'☆掛負収入'!A869</f>
        <v>平和文化センター</v>
      </c>
      <c r="B869" s="474" t="n">
        <f aca="false">'☆掛負収入'!B869</f>
        <v>0</v>
      </c>
      <c r="C869" s="402" t="n">
        <f aca="false">'☆掛負収入'!C869</f>
        <v>0</v>
      </c>
      <c r="D869" s="489" t="n">
        <f aca="false">'☆掛負収入'!D869</f>
        <v>266723</v>
      </c>
      <c r="E869" s="477" t="n">
        <f aca="false">'☆掛負収入'!E869</f>
        <v>21863</v>
      </c>
      <c r="F869" s="475" t="n">
        <f aca="false">'☆掛負収入'!F869</f>
        <v>284</v>
      </c>
      <c r="G869" s="693" t="n">
        <f aca="false">SUM(B869:F869)</f>
        <v>288870</v>
      </c>
      <c r="H869" s="473" t="n">
        <f aca="false">'☆掛負収入'!H869</f>
        <v>0</v>
      </c>
      <c r="I869" s="475" t="n">
        <f aca="false">'☆掛負収入'!I869</f>
        <v>160646</v>
      </c>
      <c r="J869" s="160" t="n">
        <f aca="false">SUM(H869:I869)</f>
        <v>160646</v>
      </c>
      <c r="K869" s="478" t="n">
        <f aca="false">'☆掛負収入'!K869</f>
        <v>0</v>
      </c>
      <c r="L869" s="475" t="n">
        <f aca="false">'☆掛負収入'!L869</f>
        <v>20879</v>
      </c>
      <c r="M869" s="160" t="n">
        <f aca="false">SUM(K869:L869)</f>
        <v>20879</v>
      </c>
      <c r="N869" s="478" t="n">
        <f aca="false">'☆掛負収入'!N869</f>
        <v>0</v>
      </c>
      <c r="O869" s="475" t="n">
        <f aca="false">'☆掛負収入'!O869</f>
        <v>1</v>
      </c>
      <c r="P869" s="160" t="n">
        <f aca="false">SUM(N869:O869)</f>
        <v>1</v>
      </c>
    </row>
    <row r="870" customFormat="false" ht="18.75" hidden="false" customHeight="true" outlineLevel="0" collapsed="false">
      <c r="A870" s="125" t="str">
        <f aca="false">'☆掛負収入'!A870</f>
        <v>社会福祉事業団</v>
      </c>
      <c r="B870" s="625"/>
      <c r="C870" s="235"/>
      <c r="D870" s="476" t="n">
        <f aca="false">'☆掛負収入'!D870</f>
        <v>842818</v>
      </c>
      <c r="E870" s="478" t="n">
        <f aca="false">'☆掛負収入'!E870</f>
        <v>69079</v>
      </c>
      <c r="F870" s="475" t="n">
        <f aca="false">'☆掛負収入'!F870</f>
        <v>884</v>
      </c>
      <c r="G870" s="693" t="n">
        <f aca="false">SUM(B870:F870)</f>
        <v>912781</v>
      </c>
      <c r="H870" s="627"/>
      <c r="I870" s="475" t="n">
        <f aca="false">'☆掛負収入'!I870</f>
        <v>507639</v>
      </c>
      <c r="J870" s="160" t="n">
        <f aca="false">SUM(H870:I870)</f>
        <v>507639</v>
      </c>
      <c r="K870" s="637"/>
      <c r="L870" s="475" t="n">
        <f aca="false">'☆掛負収入'!L870</f>
        <v>56123</v>
      </c>
      <c r="M870" s="160" t="n">
        <f aca="false">SUM(K870:L870)</f>
        <v>56123</v>
      </c>
      <c r="N870" s="637"/>
      <c r="O870" s="475" t="n">
        <f aca="false">'☆掛負収入'!O870</f>
        <v>1</v>
      </c>
      <c r="P870" s="160" t="n">
        <f aca="false">SUM(N870:O870)</f>
        <v>1</v>
      </c>
    </row>
    <row r="871" customFormat="false" ht="18.75" hidden="false" customHeight="true" outlineLevel="0" collapsed="false">
      <c r="A871" s="125" t="str">
        <f aca="false">'☆掛負収入'!A871</f>
        <v>原爆障害対策協議会</v>
      </c>
      <c r="B871" s="625"/>
      <c r="C871" s="235"/>
      <c r="D871" s="470" t="n">
        <f aca="false">'☆掛負収入'!D871</f>
        <v>22509</v>
      </c>
      <c r="E871" s="478" t="n">
        <f aca="false">'☆掛負収入'!E871</f>
        <v>1845</v>
      </c>
      <c r="F871" s="475" t="n">
        <f aca="false">'☆掛負収入'!F871</f>
        <v>23</v>
      </c>
      <c r="G871" s="693" t="n">
        <f aca="false">SUM(B871:F871)</f>
        <v>24377</v>
      </c>
      <c r="H871" s="627"/>
      <c r="I871" s="475" t="n">
        <f aca="false">'☆掛負収入'!I871</f>
        <v>13557</v>
      </c>
      <c r="J871" s="160" t="n">
        <f aca="false">SUM(H871:I871)</f>
        <v>13557</v>
      </c>
      <c r="K871" s="637"/>
      <c r="L871" s="475" t="n">
        <f aca="false">'☆掛負収入'!L871</f>
        <v>1943</v>
      </c>
      <c r="M871" s="160" t="n">
        <f aca="false">SUM(K871:L871)</f>
        <v>1943</v>
      </c>
      <c r="N871" s="637"/>
      <c r="O871" s="475" t="n">
        <f aca="false">'☆掛負収入'!O871</f>
        <v>1</v>
      </c>
      <c r="P871" s="160" t="n">
        <f aca="false">SUM(N871:O871)</f>
        <v>1</v>
      </c>
    </row>
    <row r="872" customFormat="false" ht="18.75" hidden="false" customHeight="true" outlineLevel="0" collapsed="false">
      <c r="A872" s="214" t="str">
        <f aca="false">'☆掛負収入'!A872</f>
        <v>産業振興センター</v>
      </c>
      <c r="B872" s="625"/>
      <c r="C872" s="235"/>
      <c r="D872" s="470" t="n">
        <f aca="false">'☆掛負収入'!D872</f>
        <v>185656</v>
      </c>
      <c r="E872" s="478" t="n">
        <f aca="false">'☆掛負収入'!E872</f>
        <v>15217</v>
      </c>
      <c r="F872" s="475" t="n">
        <f aca="false">'☆掛負収入'!F872</f>
        <v>190</v>
      </c>
      <c r="G872" s="693" t="n">
        <f aca="false">SUM(B872:F872)</f>
        <v>201063</v>
      </c>
      <c r="H872" s="627"/>
      <c r="I872" s="475" t="n">
        <f aca="false">'☆掛負収入'!I872</f>
        <v>111817</v>
      </c>
      <c r="J872" s="160" t="n">
        <f aca="false">SUM(H872:I872)</f>
        <v>111817</v>
      </c>
      <c r="K872" s="637"/>
      <c r="L872" s="475" t="n">
        <f aca="false">'☆掛負収入'!L872</f>
        <v>15064</v>
      </c>
      <c r="M872" s="160" t="n">
        <f aca="false">SUM(K872:L872)</f>
        <v>15064</v>
      </c>
      <c r="N872" s="637"/>
      <c r="O872" s="475" t="n">
        <f aca="false">'☆掛負収入'!O872</f>
        <v>1</v>
      </c>
      <c r="P872" s="160" t="n">
        <f aca="false">SUM(N872:O872)</f>
        <v>1</v>
      </c>
    </row>
    <row r="873" customFormat="false" ht="18.75" hidden="false" customHeight="true" outlineLevel="0" collapsed="false">
      <c r="A873" s="146" t="str">
        <f aca="false">'☆掛負収入'!A873</f>
        <v>ひろしま産業振興</v>
      </c>
      <c r="B873" s="625"/>
      <c r="C873" s="484"/>
      <c r="D873" s="470" t="n">
        <f aca="false">'☆掛負収入'!D873</f>
        <v>40352</v>
      </c>
      <c r="E873" s="478" t="n">
        <f aca="false">'☆掛負収入'!E873</f>
        <v>3307</v>
      </c>
      <c r="F873" s="481" t="n">
        <f aca="false">'☆掛負収入'!F873</f>
        <v>41</v>
      </c>
      <c r="G873" s="693" t="n">
        <f aca="false">SUM(B873:F873)</f>
        <v>43700</v>
      </c>
      <c r="H873" s="627"/>
      <c r="I873" s="481" t="n">
        <f aca="false">'☆掛負収入'!I873</f>
        <v>24303</v>
      </c>
      <c r="J873" s="160" t="n">
        <f aca="false">SUM(H873:I873)</f>
        <v>24303</v>
      </c>
      <c r="K873" s="637"/>
      <c r="L873" s="481" t="n">
        <f aca="false">'☆掛負収入'!L873</f>
        <v>3483</v>
      </c>
      <c r="M873" s="160" t="n">
        <f aca="false">SUM(K873:L873)</f>
        <v>3483</v>
      </c>
      <c r="N873" s="637"/>
      <c r="O873" s="481" t="n">
        <f aca="false">'☆掛負収入'!O873</f>
        <v>1</v>
      </c>
      <c r="P873" s="160" t="n">
        <f aca="false">SUM(N873:O873)</f>
        <v>1</v>
      </c>
    </row>
    <row r="874" customFormat="false" ht="18.75" hidden="false" customHeight="true" outlineLevel="0" collapsed="false">
      <c r="A874" s="146" t="str">
        <f aca="false">'☆掛負収入'!A874</f>
        <v>都市整備公社　市</v>
      </c>
      <c r="B874" s="625"/>
      <c r="C874" s="484"/>
      <c r="D874" s="476" t="n">
        <f aca="false">'☆掛負収入'!D874</f>
        <v>22143</v>
      </c>
      <c r="E874" s="478" t="n">
        <f aca="false">'☆掛負収入'!E874</f>
        <v>1815</v>
      </c>
      <c r="F874" s="475" t="n">
        <f aca="false">'☆掛負収入'!F874</f>
        <v>22</v>
      </c>
      <c r="G874" s="693" t="n">
        <f aca="false">SUM(B874:F874)</f>
        <v>23980</v>
      </c>
      <c r="H874" s="627"/>
      <c r="I874" s="475" t="n">
        <f aca="false">'☆掛負収入'!I874</f>
        <v>13336</v>
      </c>
      <c r="J874" s="160" t="n">
        <f aca="false">SUM(H874:I874)</f>
        <v>13336</v>
      </c>
      <c r="K874" s="637"/>
      <c r="L874" s="475" t="n">
        <f aca="false">'☆掛負収入'!L874</f>
        <v>1911</v>
      </c>
      <c r="M874" s="160" t="n">
        <f aca="false">SUM(K874:L874)</f>
        <v>1911</v>
      </c>
      <c r="N874" s="637"/>
      <c r="O874" s="475" t="n">
        <f aca="false">'☆掛負収入'!O874</f>
        <v>1</v>
      </c>
      <c r="P874" s="160" t="n">
        <f aca="false">SUM(N874:O874)</f>
        <v>1</v>
      </c>
    </row>
    <row r="875" customFormat="false" ht="18.75" hidden="false" customHeight="true" outlineLevel="0" collapsed="false">
      <c r="A875" s="217"/>
      <c r="B875" s="625"/>
      <c r="C875" s="221"/>
      <c r="D875" s="474"/>
      <c r="E875" s="478"/>
      <c r="F875" s="475"/>
      <c r="G875" s="693"/>
      <c r="H875" s="627"/>
      <c r="I875" s="475"/>
      <c r="J875" s="160"/>
      <c r="K875" s="637"/>
      <c r="L875" s="475"/>
      <c r="M875" s="160" t="n">
        <f aca="false">SUM(K875:L875)</f>
        <v>0</v>
      </c>
      <c r="N875" s="637"/>
      <c r="O875" s="475"/>
      <c r="P875" s="160" t="n">
        <f aca="false">SUM(N875:O875)</f>
        <v>0</v>
      </c>
    </row>
    <row r="876" customFormat="false" ht="18.75" hidden="false" customHeight="true" outlineLevel="0" collapsed="false">
      <c r="A876" s="146" t="str">
        <f aca="false">'☆掛負収入'!A876</f>
        <v>日本下水道事業団</v>
      </c>
      <c r="B876" s="476" t="n">
        <f aca="false">'☆掛負収入'!B876</f>
        <v>3204</v>
      </c>
      <c r="C876" s="248" t="n">
        <f aca="false">'☆掛負収入'!C876</f>
        <v>264</v>
      </c>
      <c r="D876" s="474" t="n">
        <f aca="false">'☆掛負収入'!D876</f>
        <v>3201</v>
      </c>
      <c r="E876" s="478" t="n">
        <f aca="false">'☆掛負収入'!E876</f>
        <v>262</v>
      </c>
      <c r="F876" s="475" t="n">
        <f aca="false">'☆掛負収入'!F876</f>
        <v>4</v>
      </c>
      <c r="G876" s="693" t="n">
        <f aca="false">SUM(B876:F876)</f>
        <v>6935</v>
      </c>
      <c r="H876" s="619" t="n">
        <f aca="false">'☆掛負収入'!H876</f>
        <v>1926</v>
      </c>
      <c r="I876" s="475" t="n">
        <f aca="false">'☆掛負収入'!I876</f>
        <v>1929</v>
      </c>
      <c r="J876" s="160" t="n">
        <f aca="false">SUM(H876:I876)</f>
        <v>3855</v>
      </c>
      <c r="K876" s="464" t="n">
        <f aca="false">'☆掛負収入'!K876</f>
        <v>47</v>
      </c>
      <c r="L876" s="475" t="n">
        <f aca="false">'☆掛負収入'!L876</f>
        <v>47</v>
      </c>
      <c r="M876" s="160" t="n">
        <f aca="false">SUM(K876:L876)</f>
        <v>94</v>
      </c>
      <c r="N876" s="464" t="n">
        <f aca="false">'☆掛負収入'!N876</f>
        <v>1</v>
      </c>
      <c r="O876" s="475" t="n">
        <f aca="false">'☆掛負収入'!O876</f>
        <v>1</v>
      </c>
      <c r="P876" s="160" t="n">
        <f aca="false">SUM(N876:O876)</f>
        <v>2</v>
      </c>
    </row>
    <row r="877" customFormat="false" ht="18.75" hidden="false" customHeight="true" outlineLevel="0" collapsed="false">
      <c r="A877" s="125" t="str">
        <f aca="false">'☆掛負収入'!A877</f>
        <v>地方公務員災害補償基金本部</v>
      </c>
      <c r="B877" s="476" t="n">
        <f aca="false">'☆掛負収入'!B877</f>
        <v>0</v>
      </c>
      <c r="C877" s="248" t="n">
        <f aca="false">'☆掛負収入'!C877</f>
        <v>0</v>
      </c>
      <c r="D877" s="474" t="n">
        <f aca="false">'☆掛負収入'!D877</f>
        <v>0</v>
      </c>
      <c r="E877" s="478" t="n">
        <f aca="false">'☆掛負収入'!E877</f>
        <v>0</v>
      </c>
      <c r="F877" s="475" t="n">
        <f aca="false">'☆掛負収入'!F877</f>
        <v>0</v>
      </c>
      <c r="G877" s="693" t="n">
        <f aca="false">SUM(B877:F877)</f>
        <v>0</v>
      </c>
      <c r="H877" s="619" t="n">
        <f aca="false">'☆掛負収入'!H877</f>
        <v>0</v>
      </c>
      <c r="I877" s="475" t="n">
        <f aca="false">'☆掛負収入'!I877</f>
        <v>0</v>
      </c>
      <c r="J877" s="160" t="n">
        <f aca="false">SUM(H877:I877)</f>
        <v>0</v>
      </c>
      <c r="K877" s="464" t="n">
        <f aca="false">'☆掛負収入'!K877</f>
        <v>0</v>
      </c>
      <c r="L877" s="475" t="n">
        <f aca="false">'☆掛負収入'!L877</f>
        <v>0</v>
      </c>
      <c r="M877" s="160" t="n">
        <f aca="false">SUM(K877:L877)</f>
        <v>0</v>
      </c>
      <c r="N877" s="464" t="n">
        <f aca="false">'☆掛負収入'!N877</f>
        <v>0</v>
      </c>
      <c r="O877" s="475" t="n">
        <f aca="false">'☆掛負収入'!O877</f>
        <v>0</v>
      </c>
      <c r="P877" s="160" t="n">
        <f aca="false">SUM(N877:O877)</f>
        <v>0</v>
      </c>
    </row>
    <row r="878" customFormat="false" ht="18.75" hidden="false" customHeight="true" outlineLevel="0" collapsed="false">
      <c r="A878" s="222"/>
      <c r="B878" s="474"/>
      <c r="C878" s="248"/>
      <c r="D878" s="474"/>
      <c r="E878" s="478"/>
      <c r="F878" s="475"/>
      <c r="G878" s="693"/>
      <c r="H878" s="473"/>
      <c r="I878" s="475"/>
      <c r="J878" s="160"/>
      <c r="K878" s="464"/>
      <c r="L878" s="449"/>
      <c r="M878" s="160" t="n">
        <f aca="false">SUM(K878:L878)</f>
        <v>0</v>
      </c>
      <c r="N878" s="464"/>
      <c r="O878" s="449"/>
      <c r="P878" s="160" t="n">
        <f aca="false">SUM(N878:O878)</f>
        <v>0</v>
      </c>
    </row>
    <row r="879" customFormat="false" ht="18.75" hidden="false" customHeight="true" outlineLevel="0" collapsed="false">
      <c r="A879" s="125" t="str">
        <f aca="false">'☆掛負収入'!A879</f>
        <v>高速道路公社</v>
      </c>
      <c r="B879" s="489" t="n">
        <f aca="false">'☆掛負収入'!B879</f>
        <v>394542</v>
      </c>
      <c r="C879" s="479" t="n">
        <f aca="false">'☆掛負収入'!C879</f>
        <v>32334</v>
      </c>
      <c r="D879" s="489" t="n">
        <f aca="false">'☆掛負収入'!D879</f>
        <v>394548</v>
      </c>
      <c r="E879" s="495" t="n">
        <f aca="false">'☆掛負収入'!E879</f>
        <v>32340</v>
      </c>
      <c r="F879" s="497" t="n">
        <f aca="false">'☆掛負収入'!F879</f>
        <v>404</v>
      </c>
      <c r="G879" s="693" t="n">
        <f aca="false">SUM(B879:F879)</f>
        <v>854168</v>
      </c>
      <c r="H879" s="496" t="n">
        <f aca="false">'☆掛負収入'!H879</f>
        <v>237194</v>
      </c>
      <c r="I879" s="497" t="n">
        <f aca="false">'☆掛負収入'!I879</f>
        <v>237634</v>
      </c>
      <c r="J879" s="160" t="n">
        <f aca="false">SUM(H879:I879)</f>
        <v>474828</v>
      </c>
      <c r="K879" s="495" t="n">
        <f aca="false">'☆掛負収入'!K879</f>
        <v>24334</v>
      </c>
      <c r="L879" s="497" t="n">
        <f aca="false">'☆掛負収入'!L879</f>
        <v>24339</v>
      </c>
      <c r="M879" s="160" t="n">
        <f aca="false">SUM(K879:L879)</f>
        <v>48673</v>
      </c>
      <c r="N879" s="495" t="n">
        <f aca="false">'☆掛負収入'!N879</f>
        <v>1</v>
      </c>
      <c r="O879" s="497" t="n">
        <f aca="false">'☆掛負収入'!O879</f>
        <v>1</v>
      </c>
      <c r="P879" s="160" t="n">
        <f aca="false">SUM(N879:O879)</f>
        <v>2</v>
      </c>
    </row>
    <row r="880" customFormat="false" ht="18.75" hidden="false" customHeight="true" outlineLevel="0" collapsed="false">
      <c r="A880" s="125" t="str">
        <f aca="false">'☆掛負収入'!A880</f>
        <v>農林水産振興センタ</v>
      </c>
      <c r="B880" s="482"/>
      <c r="C880" s="484"/>
      <c r="D880" s="476" t="n">
        <f aca="false">'☆掛負収入'!D880</f>
        <v>293989</v>
      </c>
      <c r="E880" s="498" t="n">
        <f aca="false">'☆掛負収入'!E880</f>
        <v>24097</v>
      </c>
      <c r="F880" s="481" t="n">
        <f aca="false">'☆掛負収入'!F880</f>
        <v>303</v>
      </c>
      <c r="G880" s="693" t="n">
        <f aca="false">SUM(B880:F880)</f>
        <v>318389</v>
      </c>
      <c r="H880" s="641"/>
      <c r="I880" s="481" t="n">
        <f aca="false">'☆掛負収入'!I880</f>
        <v>177065</v>
      </c>
      <c r="J880" s="160" t="n">
        <f aca="false">SUM(H880:I880)</f>
        <v>177065</v>
      </c>
      <c r="K880" s="642"/>
      <c r="L880" s="481" t="n">
        <f aca="false">'☆掛負収入'!L880</f>
        <v>17681</v>
      </c>
      <c r="M880" s="160" t="n">
        <f aca="false">SUM(K880:L880)</f>
        <v>17681</v>
      </c>
      <c r="N880" s="642"/>
      <c r="O880" s="481" t="n">
        <f aca="false">'☆掛負収入'!O880</f>
        <v>1</v>
      </c>
      <c r="P880" s="160" t="n">
        <f aca="false">SUM(N880:O880)</f>
        <v>1</v>
      </c>
    </row>
    <row r="881" customFormat="false" ht="18.75" hidden="false" customHeight="true" outlineLevel="0" collapsed="false">
      <c r="A881" s="228" t="str">
        <f aca="false">'☆掛負収入'!A881</f>
        <v>文化財団　市長部局</v>
      </c>
      <c r="B881" s="625"/>
      <c r="C881" s="221"/>
      <c r="D881" s="474" t="n">
        <f aca="false">'☆掛負収入'!D881</f>
        <v>535372</v>
      </c>
      <c r="E881" s="478" t="n">
        <f aca="false">'☆掛負収入'!E881</f>
        <v>43880</v>
      </c>
      <c r="F881" s="481" t="n">
        <f aca="false">'☆掛負収入'!F881</f>
        <v>546</v>
      </c>
      <c r="G881" s="693" t="n">
        <f aca="false">SUM(B881:F881)</f>
        <v>579798</v>
      </c>
      <c r="H881" s="627"/>
      <c r="I881" s="481" t="n">
        <f aca="false">'☆掛負収入'!I881</f>
        <v>322445</v>
      </c>
      <c r="J881" s="160" t="n">
        <f aca="false">SUM(H881:I881)</f>
        <v>322445</v>
      </c>
      <c r="K881" s="637"/>
      <c r="L881" s="481" t="n">
        <f aca="false">'☆掛負収入'!L881</f>
        <v>43832</v>
      </c>
      <c r="M881" s="160" t="n">
        <f aca="false">SUM(K881:L881)</f>
        <v>43832</v>
      </c>
      <c r="N881" s="637"/>
      <c r="O881" s="481" t="n">
        <f aca="false">'☆掛負収入'!O881</f>
        <v>1</v>
      </c>
      <c r="P881" s="160" t="n">
        <f aca="false">SUM(N881:O881)</f>
        <v>1</v>
      </c>
    </row>
    <row r="882" customFormat="false" ht="18.75" hidden="false" customHeight="true" outlineLevel="0" collapsed="false">
      <c r="A882" s="229"/>
      <c r="B882" s="625"/>
      <c r="C882" s="221"/>
      <c r="D882" s="474"/>
      <c r="E882" s="478"/>
      <c r="F882" s="481"/>
      <c r="G882" s="693"/>
      <c r="H882" s="627"/>
      <c r="I882" s="481"/>
      <c r="J882" s="160"/>
      <c r="K882" s="637"/>
      <c r="L882" s="481"/>
      <c r="M882" s="160" t="n">
        <f aca="false">SUM(K882:L882)</f>
        <v>0</v>
      </c>
      <c r="N882" s="637"/>
      <c r="O882" s="481"/>
      <c r="P882" s="160" t="n">
        <f aca="false">SUM(N882:O882)</f>
        <v>0</v>
      </c>
    </row>
    <row r="883" customFormat="false" ht="18.75" hidden="false" customHeight="true" outlineLevel="0" collapsed="false">
      <c r="A883" s="125" t="str">
        <f aca="false">'☆掛負収入'!A883</f>
        <v>みどり生きもの協会</v>
      </c>
      <c r="B883" s="625"/>
      <c r="C883" s="221"/>
      <c r="D883" s="474" t="n">
        <f aca="false">'☆掛負収入'!D883</f>
        <v>185565</v>
      </c>
      <c r="E883" s="478" t="n">
        <f aca="false">'☆掛負収入'!E883</f>
        <v>15210</v>
      </c>
      <c r="F883" s="481" t="n">
        <f aca="false">'☆掛負収入'!F883</f>
        <v>188</v>
      </c>
      <c r="G883" s="693" t="n">
        <f aca="false">SUM(B883:F883)</f>
        <v>200963</v>
      </c>
      <c r="H883" s="627"/>
      <c r="I883" s="481" t="n">
        <f aca="false">'☆掛負収入'!I883</f>
        <v>111760</v>
      </c>
      <c r="J883" s="160" t="n">
        <f aca="false">SUM(H883:I883)</f>
        <v>111760</v>
      </c>
      <c r="K883" s="637"/>
      <c r="L883" s="481" t="n">
        <f aca="false">'☆掛負収入'!L883</f>
        <v>16020</v>
      </c>
      <c r="M883" s="160" t="n">
        <f aca="false">SUM(K883:L883)</f>
        <v>16020</v>
      </c>
      <c r="N883" s="637"/>
      <c r="O883" s="481" t="n">
        <f aca="false">'☆掛負収入'!O883</f>
        <v>1</v>
      </c>
      <c r="P883" s="160" t="n">
        <f aca="false">SUM(N883:O883)</f>
        <v>1</v>
      </c>
    </row>
    <row r="884" customFormat="false" ht="18.75" hidden="false" customHeight="true" outlineLevel="0" collapsed="false">
      <c r="A884" s="146" t="str">
        <f aca="false">'☆掛負収入'!A884</f>
        <v>県下水道公社</v>
      </c>
      <c r="B884" s="474" t="n">
        <f aca="false">'☆掛負収入'!B884</f>
        <v>62127</v>
      </c>
      <c r="C884" s="248" t="n">
        <f aca="false">'☆掛負収入'!C884</f>
        <v>5091</v>
      </c>
      <c r="D884" s="474" t="n">
        <f aca="false">'☆掛負収入'!D884</f>
        <v>62130</v>
      </c>
      <c r="E884" s="478" t="n">
        <f aca="false">'☆掛負収入'!E884</f>
        <v>5092</v>
      </c>
      <c r="F884" s="481" t="n">
        <f aca="false">'☆掛負収入'!F884</f>
        <v>63</v>
      </c>
      <c r="G884" s="693" t="n">
        <f aca="false">SUM(B884:F884)</f>
        <v>134503</v>
      </c>
      <c r="H884" s="473" t="n">
        <f aca="false">'☆掛負収入'!H884</f>
        <v>37350</v>
      </c>
      <c r="I884" s="481" t="n">
        <f aca="false">'☆掛負収入'!I884</f>
        <v>37419</v>
      </c>
      <c r="J884" s="160" t="n">
        <f aca="false">SUM(H884:I884)</f>
        <v>74769</v>
      </c>
      <c r="K884" s="478" t="n">
        <f aca="false">'☆掛負収入'!K884</f>
        <v>4012</v>
      </c>
      <c r="L884" s="481" t="n">
        <f aca="false">'☆掛負収入'!L884</f>
        <v>4013</v>
      </c>
      <c r="M884" s="160" t="n">
        <f aca="false">SUM(K884:L884)</f>
        <v>8025</v>
      </c>
      <c r="N884" s="478" t="n">
        <f aca="false">'☆掛負収入'!N884</f>
        <v>1</v>
      </c>
      <c r="O884" s="481" t="n">
        <f aca="false">'☆掛負収入'!O884</f>
        <v>1</v>
      </c>
      <c r="P884" s="160" t="n">
        <f aca="false">SUM(N884:O884)</f>
        <v>2</v>
      </c>
    </row>
    <row r="885" customFormat="false" ht="18.75" hidden="false" customHeight="true" outlineLevel="0" collapsed="false">
      <c r="A885" s="146" t="str">
        <f aca="false">'☆掛負収入'!A885</f>
        <v>バス協調・共創
プラットフォーム</v>
      </c>
      <c r="B885" s="482"/>
      <c r="C885" s="484"/>
      <c r="D885" s="476" t="n">
        <f aca="false">'☆掛負収入'!D885</f>
        <v>0</v>
      </c>
      <c r="E885" s="498" t="n">
        <f aca="false">'☆掛負収入'!E885</f>
        <v>0</v>
      </c>
      <c r="F885" s="481" t="n">
        <f aca="false">'☆掛負収入'!F885</f>
        <v>0</v>
      </c>
      <c r="G885" s="693" t="n">
        <f aca="false">SUM(B885:F885)</f>
        <v>0</v>
      </c>
      <c r="H885" s="641"/>
      <c r="I885" s="481" t="n">
        <f aca="false">'☆掛負収入'!I885</f>
        <v>0</v>
      </c>
      <c r="J885" s="160" t="n">
        <f aca="false">SUM(H885:I885)</f>
        <v>0</v>
      </c>
      <c r="K885" s="642"/>
      <c r="L885" s="481" t="n">
        <f aca="false">'☆掛負収入'!L885</f>
        <v>0</v>
      </c>
      <c r="M885" s="160" t="n">
        <f aca="false">SUM(K885:L885)</f>
        <v>0</v>
      </c>
      <c r="N885" s="642"/>
      <c r="O885" s="481" t="n">
        <f aca="false">'☆掛負収入'!O885</f>
        <v>0</v>
      </c>
      <c r="P885" s="160" t="n">
        <f aca="false">SUM(N885:O885)</f>
        <v>0</v>
      </c>
    </row>
    <row r="886" customFormat="false" ht="18.75" hidden="false" customHeight="true" outlineLevel="0" collapsed="false">
      <c r="A886" s="146" t="str">
        <f aca="false">'☆掛負収入'!A886</f>
        <v>広島県市長会</v>
      </c>
      <c r="B886" s="474" t="n">
        <f aca="false">'☆掛負収入'!B886</f>
        <v>25803</v>
      </c>
      <c r="C886" s="248" t="n">
        <f aca="false">'☆掛負収入'!C886</f>
        <v>2115</v>
      </c>
      <c r="D886" s="474" t="n">
        <f aca="false">'☆掛負収入'!D886</f>
        <v>25803</v>
      </c>
      <c r="E886" s="478" t="n">
        <f aca="false">'☆掛負収入'!E886</f>
        <v>2115</v>
      </c>
      <c r="F886" s="475" t="n">
        <f aca="false">'☆掛負収入'!F886</f>
        <v>26</v>
      </c>
      <c r="G886" s="693" t="n">
        <f aca="false">SUM(B886:F886)</f>
        <v>55862</v>
      </c>
      <c r="H886" s="473" t="n">
        <f aca="false">'☆掛負収入'!H886</f>
        <v>15512</v>
      </c>
      <c r="I886" s="475" t="n">
        <f aca="false">'☆掛負収入'!I886</f>
        <v>15541</v>
      </c>
      <c r="J886" s="160" t="n">
        <f aca="false">SUM(H886:I886)</f>
        <v>31053</v>
      </c>
      <c r="K886" s="478" t="n">
        <f aca="false">'☆掛負収入'!K886</f>
        <v>2227</v>
      </c>
      <c r="L886" s="475" t="n">
        <f aca="false">'☆掛負収入'!L886</f>
        <v>2227</v>
      </c>
      <c r="M886" s="160" t="n">
        <f aca="false">SUM(K886:L886)</f>
        <v>4454</v>
      </c>
      <c r="N886" s="478" t="n">
        <f aca="false">'☆掛負収入'!N886</f>
        <v>1</v>
      </c>
      <c r="O886" s="475" t="n">
        <f aca="false">'☆掛負収入'!O886</f>
        <v>1</v>
      </c>
      <c r="P886" s="160" t="n">
        <f aca="false">SUM(N886:O886)</f>
        <v>2</v>
      </c>
    </row>
    <row r="887" customFormat="false" ht="18.75" hidden="false" customHeight="true" outlineLevel="0" collapsed="false">
      <c r="A887" s="214" t="str">
        <f aca="false">'☆掛負収入'!A887</f>
        <v>全国市町村研修財団</v>
      </c>
      <c r="B887" s="476" t="n">
        <f aca="false">'☆掛負収入'!B887</f>
        <v>0</v>
      </c>
      <c r="C887" s="248" t="n">
        <f aca="false">'☆掛負収入'!C887</f>
        <v>0</v>
      </c>
      <c r="D887" s="474" t="n">
        <f aca="false">'☆掛負収入'!D887</f>
        <v>0</v>
      </c>
      <c r="E887" s="478" t="n">
        <f aca="false">'☆掛負収入'!E887</f>
        <v>0</v>
      </c>
      <c r="F887" s="475" t="n">
        <f aca="false">'☆掛負収入'!F887</f>
        <v>0</v>
      </c>
      <c r="G887" s="693" t="n">
        <f aca="false">SUM(B887:F887)</f>
        <v>0</v>
      </c>
      <c r="H887" s="473" t="n">
        <f aca="false">'☆掛負収入'!H887</f>
        <v>0</v>
      </c>
      <c r="I887" s="475" t="n">
        <f aca="false">'☆掛負収入'!I887</f>
        <v>0</v>
      </c>
      <c r="J887" s="160" t="n">
        <f aca="false">SUM(H887:I887)</f>
        <v>0</v>
      </c>
      <c r="K887" s="478" t="n">
        <f aca="false">'☆掛負収入'!K887</f>
        <v>0</v>
      </c>
      <c r="L887" s="475" t="n">
        <f aca="false">'☆掛負収入'!L887</f>
        <v>0</v>
      </c>
      <c r="M887" s="160" t="n">
        <f aca="false">SUM(K887:L887)</f>
        <v>0</v>
      </c>
      <c r="N887" s="478" t="n">
        <f aca="false">'☆掛負収入'!N887</f>
        <v>0</v>
      </c>
      <c r="O887" s="475" t="n">
        <f aca="false">'☆掛負収入'!O887</f>
        <v>0</v>
      </c>
      <c r="P887" s="160" t="n">
        <f aca="false">SUM(N887:O887)</f>
        <v>0</v>
      </c>
    </row>
    <row r="888" customFormat="false" ht="18.75" hidden="false" customHeight="true" outlineLevel="0" collapsed="false">
      <c r="A888" s="214" t="str">
        <f aca="false">'☆掛負収入'!A888</f>
        <v>都市再生機構</v>
      </c>
      <c r="B888" s="474" t="n">
        <f aca="false">'☆掛負収入'!B888</f>
        <v>0</v>
      </c>
      <c r="C888" s="248" t="n">
        <f aca="false">'☆掛負収入'!C888</f>
        <v>0</v>
      </c>
      <c r="D888" s="474" t="n">
        <f aca="false">'☆掛負収入'!D888</f>
        <v>0</v>
      </c>
      <c r="E888" s="478" t="n">
        <f aca="false">'☆掛負収入'!E888</f>
        <v>0</v>
      </c>
      <c r="F888" s="475" t="n">
        <f aca="false">'☆掛負収入'!F888</f>
        <v>0</v>
      </c>
      <c r="G888" s="693" t="n">
        <f aca="false">SUM(B888:F888)</f>
        <v>0</v>
      </c>
      <c r="H888" s="473" t="n">
        <f aca="false">'☆掛負収入'!H888</f>
        <v>0</v>
      </c>
      <c r="I888" s="475" t="n">
        <f aca="false">'☆掛負収入'!I888</f>
        <v>0</v>
      </c>
      <c r="J888" s="160" t="n">
        <f aca="false">SUM(H888:I888)</f>
        <v>0</v>
      </c>
      <c r="K888" s="478" t="n">
        <f aca="false">'☆掛負収入'!K888</f>
        <v>0</v>
      </c>
      <c r="L888" s="475" t="n">
        <f aca="false">'☆掛負収入'!L888</f>
        <v>0</v>
      </c>
      <c r="M888" s="160" t="n">
        <f aca="false">SUM(K888:L888)</f>
        <v>0</v>
      </c>
      <c r="N888" s="478" t="n">
        <f aca="false">'☆掛負収入'!N888</f>
        <v>0</v>
      </c>
      <c r="O888" s="475" t="n">
        <f aca="false">'☆掛負収入'!O888</f>
        <v>0</v>
      </c>
      <c r="P888" s="160" t="n">
        <f aca="false">SUM(N888:O888)</f>
        <v>0</v>
      </c>
    </row>
    <row r="889" customFormat="false" ht="18.75" hidden="false" customHeight="true" outlineLevel="0" collapsed="false">
      <c r="A889" s="146" t="str">
        <f aca="false">'☆掛負収入'!A889</f>
        <v>広島市立大学</v>
      </c>
      <c r="B889" s="474" t="n">
        <f aca="false">'☆掛負収入'!B889</f>
        <v>489886</v>
      </c>
      <c r="C889" s="248" t="n">
        <f aca="false">'☆掛負収入'!C889</f>
        <v>40150</v>
      </c>
      <c r="D889" s="474" t="n">
        <f aca="false">'☆掛負収入'!D889</f>
        <v>489896</v>
      </c>
      <c r="E889" s="478" t="n">
        <f aca="false">'☆掛負収入'!E889</f>
        <v>40155</v>
      </c>
      <c r="F889" s="475" t="n">
        <f aca="false">'☆掛負収入'!F889</f>
        <v>502</v>
      </c>
      <c r="G889" s="693" t="n">
        <f aca="false">SUM(B889:F889)</f>
        <v>1060589</v>
      </c>
      <c r="H889" s="473" t="n">
        <f aca="false">'☆掛負収入'!H889</f>
        <v>294509</v>
      </c>
      <c r="I889" s="475" t="n">
        <f aca="false">'☆掛負収入'!I889</f>
        <v>295058</v>
      </c>
      <c r="J889" s="160" t="n">
        <f aca="false">SUM(H889:I889)</f>
        <v>589567</v>
      </c>
      <c r="K889" s="464" t="n">
        <f aca="false">'☆掛負収入'!K889</f>
        <v>29009</v>
      </c>
      <c r="L889" s="449" t="n">
        <f aca="false">'☆掛負収入'!L889</f>
        <v>29016</v>
      </c>
      <c r="M889" s="160" t="n">
        <f aca="false">SUM(K889:L889)</f>
        <v>58025</v>
      </c>
      <c r="N889" s="464" t="n">
        <f aca="false">'☆掛負収入'!N889</f>
        <v>1</v>
      </c>
      <c r="O889" s="449" t="n">
        <f aca="false">'☆掛負収入'!O889</f>
        <v>1</v>
      </c>
      <c r="P889" s="160" t="n">
        <f aca="false">SUM(N889:O889)</f>
        <v>2</v>
      </c>
    </row>
    <row r="890" customFormat="false" ht="18.75" hidden="false" customHeight="true" outlineLevel="0" collapsed="false">
      <c r="A890" s="146" t="str">
        <f aca="false">'☆掛負収入'!A890</f>
        <v>社会福祉協議会</v>
      </c>
      <c r="B890" s="474" t="n">
        <f aca="false">'☆掛負収入'!B890</f>
        <v>0</v>
      </c>
      <c r="C890" s="248" t="n">
        <f aca="false">'☆掛負収入'!C890</f>
        <v>0</v>
      </c>
      <c r="D890" s="474" t="n">
        <f aca="false">'☆掛負収入'!D890</f>
        <v>100743</v>
      </c>
      <c r="E890" s="478" t="n">
        <f aca="false">'☆掛負収入'!E890</f>
        <v>8257</v>
      </c>
      <c r="F890" s="475" t="n">
        <f aca="false">'☆掛負収入'!F890</f>
        <v>103</v>
      </c>
      <c r="G890" s="693" t="n">
        <f aca="false">SUM(B890:F890)</f>
        <v>109103</v>
      </c>
      <c r="H890" s="473" t="n">
        <f aca="false">'☆掛負収入'!H890</f>
        <v>0</v>
      </c>
      <c r="I890" s="475" t="n">
        <f aca="false">'☆掛負収入'!I890</f>
        <v>60676</v>
      </c>
      <c r="J890" s="160" t="n">
        <f aca="false">SUM(H890:I890)</f>
        <v>60676</v>
      </c>
      <c r="K890" s="464" t="n">
        <f aca="false">'☆掛負収入'!K890</f>
        <v>0</v>
      </c>
      <c r="L890" s="449" t="n">
        <f aca="false">'☆掛負収入'!L890</f>
        <v>4732</v>
      </c>
      <c r="M890" s="160" t="n">
        <f aca="false">SUM(K890:L890)</f>
        <v>4732</v>
      </c>
      <c r="N890" s="464" t="n">
        <f aca="false">'☆掛負収入'!N890</f>
        <v>0</v>
      </c>
      <c r="O890" s="449" t="n">
        <f aca="false">'☆掛負収入'!O890</f>
        <v>1</v>
      </c>
      <c r="P890" s="160" t="n">
        <f aca="false">SUM(N890:O890)</f>
        <v>1</v>
      </c>
    </row>
    <row r="891" customFormat="false" ht="18.75" hidden="false" customHeight="true" outlineLevel="0" collapsed="false">
      <c r="A891" s="228" t="s">
        <v>532</v>
      </c>
      <c r="B891" s="476" t="n">
        <f aca="false">'☆掛負収入'!B893</f>
        <v>0</v>
      </c>
      <c r="C891" s="470" t="n">
        <f aca="false">'☆掛負収入'!C893</f>
        <v>0</v>
      </c>
      <c r="D891" s="476" t="n">
        <f aca="false">'☆掛負収入'!D893</f>
        <v>0</v>
      </c>
      <c r="E891" s="487" t="n">
        <f aca="false">'☆掛負収入'!E893</f>
        <v>0</v>
      </c>
      <c r="F891" s="478" t="n">
        <f aca="false">'☆掛負収入'!F893</f>
        <v>0</v>
      </c>
      <c r="G891" s="693" t="n">
        <f aca="false">SUM(B891:F891)</f>
        <v>0</v>
      </c>
      <c r="H891" s="487" t="n">
        <f aca="false">'☆掛負収入'!H893</f>
        <v>0</v>
      </c>
      <c r="I891" s="487" t="n">
        <f aca="false">'☆掛負収入'!I893</f>
        <v>0</v>
      </c>
      <c r="J891" s="160" t="n">
        <f aca="false">SUM(H891:I891)</f>
        <v>0</v>
      </c>
      <c r="K891" s="464" t="n">
        <f aca="false">'☆掛負収入'!K893</f>
        <v>0</v>
      </c>
      <c r="L891" s="449" t="n">
        <f aca="false">'☆掛負収入'!L893</f>
        <v>0</v>
      </c>
      <c r="M891" s="160" t="n">
        <f aca="false">SUM(K891:L891)</f>
        <v>0</v>
      </c>
      <c r="N891" s="464" t="n">
        <f aca="false">'☆掛負収入'!N893</f>
        <v>0</v>
      </c>
      <c r="O891" s="449" t="n">
        <f aca="false">'☆掛負収入'!O893</f>
        <v>0</v>
      </c>
      <c r="P891" s="160" t="n">
        <f aca="false">SUM(N891:O891)</f>
        <v>0</v>
      </c>
    </row>
    <row r="892" customFormat="false" ht="18.75" hidden="false" customHeight="true" outlineLevel="0" collapsed="false">
      <c r="A892" s="146" t="str">
        <f aca="false">'☆掛負収入'!A894</f>
        <v>全国市長会</v>
      </c>
      <c r="B892" s="476" t="n">
        <f aca="false">'☆掛負収入'!B894</f>
        <v>0</v>
      </c>
      <c r="C892" s="470" t="n">
        <f aca="false">'☆掛負収入'!C894</f>
        <v>0</v>
      </c>
      <c r="D892" s="476" t="n">
        <f aca="false">'☆掛負収入'!D894</f>
        <v>0</v>
      </c>
      <c r="E892" s="487" t="n">
        <f aca="false">'☆掛負収入'!E894</f>
        <v>0</v>
      </c>
      <c r="F892" s="478" t="n">
        <f aca="false">'☆掛負収入'!F894</f>
        <v>0</v>
      </c>
      <c r="G892" s="693" t="n">
        <f aca="false">SUM(B892:F892)</f>
        <v>0</v>
      </c>
      <c r="H892" s="487" t="n">
        <f aca="false">'☆掛負収入'!H894</f>
        <v>0</v>
      </c>
      <c r="I892" s="487" t="n">
        <f aca="false">'☆掛負収入'!I894</f>
        <v>0</v>
      </c>
      <c r="J892" s="160" t="n">
        <f aca="false">SUM(H892:I892)</f>
        <v>0</v>
      </c>
      <c r="K892" s="464" t="n">
        <f aca="false">'☆掛負収入'!K894</f>
        <v>0</v>
      </c>
      <c r="L892" s="449" t="n">
        <f aca="false">'☆掛負収入'!L894</f>
        <v>0</v>
      </c>
      <c r="M892" s="160" t="n">
        <f aca="false">SUM(K892:L892)</f>
        <v>0</v>
      </c>
      <c r="N892" s="464" t="n">
        <f aca="false">'☆掛負収入'!N894</f>
        <v>0</v>
      </c>
      <c r="O892" s="449" t="n">
        <f aca="false">'☆掛負収入'!O894</f>
        <v>0</v>
      </c>
      <c r="P892" s="160" t="n">
        <f aca="false">SUM(N892:O892)</f>
        <v>0</v>
      </c>
    </row>
    <row r="893" customFormat="false" ht="18.75" hidden="false" customHeight="true" outlineLevel="0" collapsed="false">
      <c r="A893" s="233"/>
      <c r="B893" s="431"/>
      <c r="C893" s="418"/>
      <c r="D893" s="431"/>
      <c r="E893" s="464"/>
      <c r="F893" s="449"/>
      <c r="G893" s="693"/>
      <c r="H893" s="619"/>
      <c r="I893" s="449"/>
      <c r="J893" s="160"/>
      <c r="K893" s="464"/>
      <c r="L893" s="449"/>
      <c r="M893" s="160"/>
      <c r="N893" s="464"/>
      <c r="O893" s="449"/>
      <c r="P893" s="160"/>
    </row>
    <row r="894" customFormat="false" ht="18.75" hidden="false" customHeight="true" outlineLevel="0" collapsed="false">
      <c r="A894" s="233"/>
      <c r="B894" s="620"/>
      <c r="C894" s="391"/>
      <c r="D894" s="620"/>
      <c r="E894" s="621"/>
      <c r="F894" s="432"/>
      <c r="G894" s="693"/>
      <c r="H894" s="620"/>
      <c r="I894" s="465"/>
      <c r="J894" s="160"/>
      <c r="K894" s="621"/>
      <c r="L894" s="465"/>
      <c r="M894" s="160"/>
      <c r="N894" s="621"/>
      <c r="O894" s="465"/>
      <c r="P894" s="160"/>
    </row>
    <row r="895" customFormat="false" ht="18.75" hidden="false" customHeight="true" outlineLevel="0" collapsed="false">
      <c r="A895" s="217"/>
      <c r="B895" s="431"/>
      <c r="C895" s="206"/>
      <c r="D895" s="431"/>
      <c r="E895" s="617"/>
      <c r="F895" s="449"/>
      <c r="G895" s="693"/>
      <c r="H895" s="431"/>
      <c r="I895" s="644"/>
      <c r="J895" s="160"/>
      <c r="K895" s="617"/>
      <c r="L895" s="644"/>
      <c r="M895" s="160"/>
      <c r="N895" s="617"/>
      <c r="O895" s="644"/>
      <c r="P895" s="160"/>
    </row>
    <row r="896" customFormat="false" ht="18.75" hidden="false" customHeight="true" outlineLevel="0" collapsed="false">
      <c r="A896" s="217"/>
      <c r="B896" s="620"/>
      <c r="C896" s="418"/>
      <c r="D896" s="621"/>
      <c r="E896" s="465"/>
      <c r="F896" s="432"/>
      <c r="G896" s="417"/>
      <c r="H896" s="431"/>
      <c r="I896" s="465"/>
      <c r="J896" s="160"/>
      <c r="K896" s="621"/>
      <c r="L896" s="465"/>
      <c r="M896" s="160"/>
      <c r="N896" s="621"/>
      <c r="O896" s="465"/>
      <c r="P896" s="160"/>
    </row>
    <row r="897" customFormat="false" ht="18.75" hidden="false" customHeight="true" outlineLevel="0" collapsed="false">
      <c r="A897" s="630"/>
      <c r="B897" s="647"/>
      <c r="C897" s="278"/>
      <c r="D897" s="648"/>
      <c r="E897" s="649"/>
      <c r="F897" s="695"/>
      <c r="G897" s="696"/>
      <c r="H897" s="647"/>
      <c r="I897" s="648"/>
      <c r="J897" s="648" t="n">
        <f aca="false">SUM(H897:I897)</f>
        <v>0</v>
      </c>
      <c r="K897" s="647"/>
      <c r="L897" s="648"/>
      <c r="M897" s="722" t="n">
        <f aca="false">SUM(K897:L897)</f>
        <v>0</v>
      </c>
      <c r="N897" s="647"/>
      <c r="O897" s="648"/>
      <c r="P897" s="722" t="n">
        <f aca="false">SUM(N897:O897)</f>
        <v>0</v>
      </c>
    </row>
    <row r="898" customFormat="false" ht="18.75" hidden="false" customHeight="true" outlineLevel="0" collapsed="false">
      <c r="A898" s="196" t="str">
        <f aca="false">'☆掛負収入'!A898</f>
        <v>小　計</v>
      </c>
      <c r="B898" s="429" t="n">
        <f aca="false">SUM(B868:B897)</f>
        <v>975562</v>
      </c>
      <c r="C898" s="200" t="n">
        <f aca="false">SUM(C868:C897)</f>
        <v>79954</v>
      </c>
      <c r="D898" s="429" t="n">
        <f aca="false">SUM(D868:D897)</f>
        <v>3471448</v>
      </c>
      <c r="E898" s="301" t="n">
        <f aca="false">SUM(E868:E897)</f>
        <v>284534</v>
      </c>
      <c r="F898" s="200" t="n">
        <f aca="false">SUM(F868:F897)</f>
        <v>3583</v>
      </c>
      <c r="G898" s="201" t="n">
        <f aca="false">SUM(B898:F898)</f>
        <v>4815081</v>
      </c>
      <c r="H898" s="429" t="n">
        <f aca="false">SUM(H868:H897)</f>
        <v>586491</v>
      </c>
      <c r="I898" s="199" t="n">
        <f aca="false">SUM(I868:I897)</f>
        <v>2090825</v>
      </c>
      <c r="J898" s="200" t="n">
        <f aca="false">SUM(H898:I898)</f>
        <v>2677316</v>
      </c>
      <c r="K898" s="429" t="n">
        <f aca="false">SUM(K868:K897)</f>
        <v>59629</v>
      </c>
      <c r="L898" s="199" t="n">
        <f aca="false">SUM(L868:L897)</f>
        <v>241310</v>
      </c>
      <c r="M898" s="198" t="n">
        <f aca="false">SUM(K898:L898)</f>
        <v>300939</v>
      </c>
      <c r="N898" s="429" t="n">
        <f aca="false">SUM(N868:N897)</f>
        <v>5</v>
      </c>
      <c r="O898" s="199" t="n">
        <f aca="false">SUM(O868:O897)</f>
        <v>15</v>
      </c>
      <c r="P898" s="198" t="n">
        <f aca="false">SUM(N898:O898)</f>
        <v>20</v>
      </c>
    </row>
    <row r="899" customFormat="false" ht="18.75" hidden="true" customHeight="true" outlineLevel="0" collapsed="false">
      <c r="A899" s="629"/>
      <c r="B899" s="647"/>
      <c r="C899" s="278"/>
      <c r="D899" s="648"/>
      <c r="E899" s="649"/>
      <c r="F899" s="650"/>
      <c r="G899" s="651"/>
      <c r="H899" s="773"/>
      <c r="I899" s="774"/>
      <c r="J899" s="200" t="n">
        <f aca="false">SUM(H899:I899)</f>
        <v>0</v>
      </c>
      <c r="K899" s="773"/>
      <c r="L899" s="774"/>
      <c r="M899" s="198" t="n">
        <f aca="false">SUM(K899:L899)</f>
        <v>0</v>
      </c>
      <c r="N899" s="773"/>
      <c r="O899" s="774"/>
      <c r="P899" s="198" t="n">
        <f aca="false">SUM(N899:O899)</f>
        <v>0</v>
      </c>
    </row>
    <row r="900" customFormat="false" ht="18.75" hidden="true" customHeight="true" outlineLevel="0" collapsed="false">
      <c r="A900" s="658"/>
      <c r="B900" s="631"/>
      <c r="C900" s="633"/>
      <c r="D900" s="648"/>
      <c r="E900" s="649"/>
      <c r="F900" s="278"/>
      <c r="G900" s="646"/>
      <c r="H900" s="773"/>
      <c r="I900" s="774"/>
      <c r="J900" s="200" t="n">
        <f aca="false">SUM(H900:I900)</f>
        <v>0</v>
      </c>
      <c r="K900" s="773"/>
      <c r="L900" s="774"/>
      <c r="M900" s="198" t="n">
        <f aca="false">SUM(K900:L900)</f>
        <v>0</v>
      </c>
      <c r="N900" s="773"/>
      <c r="O900" s="774"/>
      <c r="P900" s="198" t="n">
        <f aca="false">SUM(N900:O900)</f>
        <v>0</v>
      </c>
    </row>
    <row r="901" customFormat="false" ht="18.75" hidden="false" customHeight="true" outlineLevel="0" collapsed="false">
      <c r="A901" s="707" t="str">
        <f aca="false">'☆掛負収入'!A901</f>
        <v>高速交通（株）</v>
      </c>
      <c r="B901" s="636" t="n">
        <f aca="false">'☆掛負収入'!B901</f>
        <v>63867</v>
      </c>
      <c r="C901" s="716" t="n">
        <f aca="false">'☆掛負収入'!C901</f>
        <v>5235</v>
      </c>
      <c r="D901" s="469" t="n">
        <f aca="false">'☆掛負収入'!D901</f>
        <v>63867</v>
      </c>
      <c r="E901" s="472" t="n">
        <f aca="false">'☆掛負収入'!E901</f>
        <v>5235</v>
      </c>
      <c r="F901" s="471" t="n">
        <f aca="false">'☆掛負収入'!F901</f>
        <v>65</v>
      </c>
      <c r="G901" s="391" t="n">
        <f aca="false">SUM(B901:F901)</f>
        <v>138269</v>
      </c>
      <c r="H901" s="616" t="n">
        <f aca="false">'☆掛負収入'!H901</f>
        <v>0</v>
      </c>
      <c r="I901" s="618" t="n">
        <f aca="false">'☆掛負収入'!I901</f>
        <v>0</v>
      </c>
      <c r="J901" s="160" t="n">
        <f aca="false">SUM(H901:I901)</f>
        <v>0</v>
      </c>
      <c r="K901" s="616" t="n">
        <f aca="false">'☆掛負収入'!K901</f>
        <v>0</v>
      </c>
      <c r="L901" s="618" t="n">
        <f aca="false">'☆掛負収入'!L901</f>
        <v>0</v>
      </c>
      <c r="M901" s="160" t="n">
        <f aca="false">SUM(K901:L901)</f>
        <v>0</v>
      </c>
      <c r="N901" s="616" t="n">
        <f aca="false">'☆掛負収入'!N901</f>
        <v>0</v>
      </c>
      <c r="O901" s="618" t="n">
        <f aca="false">'☆掛負収入'!O901</f>
        <v>0</v>
      </c>
      <c r="P901" s="160" t="n">
        <f aca="false">SUM(N901:O901)</f>
        <v>0</v>
      </c>
    </row>
    <row r="902" customFormat="false" ht="18.75" hidden="false" customHeight="true" outlineLevel="0" collapsed="false">
      <c r="A902" s="666" t="s">
        <v>209</v>
      </c>
      <c r="B902" s="667" t="n">
        <f aca="false">'☆掛負収入'!B902</f>
        <v>26352</v>
      </c>
      <c r="C902" s="493" t="n">
        <f aca="false">'☆掛負収入'!C902</f>
        <v>2160</v>
      </c>
      <c r="D902" s="667" t="n">
        <f aca="false">'☆掛負収入'!D902</f>
        <v>26352</v>
      </c>
      <c r="E902" s="492" t="n">
        <f aca="false">'☆掛負収入'!E902</f>
        <v>2160</v>
      </c>
      <c r="F902" s="493" t="n">
        <f aca="false">'☆掛負収入'!F902</f>
        <v>27</v>
      </c>
      <c r="G902" s="391" t="n">
        <f aca="false">SUM(B902:F902)</f>
        <v>57051</v>
      </c>
      <c r="H902" s="647"/>
      <c r="I902" s="648"/>
      <c r="J902" s="775"/>
      <c r="K902" s="647"/>
      <c r="L902" s="648"/>
      <c r="M902" s="221" t="n">
        <f aca="false">SUM(K902:L902)</f>
        <v>0</v>
      </c>
      <c r="N902" s="647"/>
      <c r="O902" s="648"/>
      <c r="P902" s="221" t="n">
        <f aca="false">SUM(N902:O902)</f>
        <v>0</v>
      </c>
    </row>
    <row r="903" customFormat="false" ht="18.75" hidden="false" customHeight="true" outlineLevel="0" collapsed="false">
      <c r="A903" s="196" t="str">
        <f aca="false">'☆掛負収入'!A903</f>
        <v>小　計</v>
      </c>
      <c r="B903" s="197" t="n">
        <f aca="false">SUM(B901:B902)</f>
        <v>90219</v>
      </c>
      <c r="C903" s="200" t="n">
        <f aca="false">SUM(C899:C902)</f>
        <v>7395</v>
      </c>
      <c r="D903" s="681" t="n">
        <f aca="false">SUM(D899:D902)</f>
        <v>90219</v>
      </c>
      <c r="E903" s="199" t="n">
        <f aca="false">SUM(E899:E902)</f>
        <v>7395</v>
      </c>
      <c r="F903" s="201" t="n">
        <f aca="false">SUM(F899:F902)</f>
        <v>92</v>
      </c>
      <c r="G903" s="200" t="n">
        <f aca="false">SUM(B903:F903)</f>
        <v>195320</v>
      </c>
      <c r="H903" s="197" t="n">
        <f aca="false">'☆掛負収入'!H903</f>
        <v>0</v>
      </c>
      <c r="I903" s="198" t="n">
        <f aca="false">'☆掛負収入'!I903</f>
        <v>0</v>
      </c>
      <c r="J903" s="200" t="n">
        <f aca="false">SUM(H903:I903)</f>
        <v>0</v>
      </c>
      <c r="K903" s="197" t="n">
        <f aca="false">'☆掛負収入'!K903</f>
        <v>0</v>
      </c>
      <c r="L903" s="198" t="n">
        <f aca="false">'☆掛負収入'!L903</f>
        <v>0</v>
      </c>
      <c r="M903" s="198" t="n">
        <f aca="false">SUM(K903:L903)</f>
        <v>0</v>
      </c>
      <c r="N903" s="197" t="n">
        <f aca="false">'☆掛負収入'!N903</f>
        <v>0</v>
      </c>
      <c r="O903" s="198" t="n">
        <f aca="false">'☆掛負収入'!O903</f>
        <v>0</v>
      </c>
      <c r="P903" s="198" t="n">
        <f aca="false">SUM(N903:O903)</f>
        <v>0</v>
      </c>
    </row>
    <row r="904" customFormat="false" ht="18.75" hidden="false" customHeight="true" outlineLevel="0" collapsed="false">
      <c r="A904" s="125" t="str">
        <f aca="false">'☆掛負収入'!A904</f>
        <v>市職員労働組合</v>
      </c>
      <c r="B904" s="474" t="n">
        <f aca="false">'☆掛負収入'!B904</f>
        <v>8509</v>
      </c>
      <c r="C904" s="248" t="n">
        <f aca="false">'☆掛負収入'!C904</f>
        <v>697</v>
      </c>
      <c r="D904" s="470" t="n">
        <f aca="false">'☆掛負収入'!D904</f>
        <v>8510</v>
      </c>
      <c r="E904" s="488" t="n">
        <f aca="false">'☆掛負収入'!E904</f>
        <v>697</v>
      </c>
      <c r="F904" s="221"/>
      <c r="G904" s="206" t="n">
        <f aca="false">SUM(B904:F904)</f>
        <v>18413</v>
      </c>
      <c r="H904" s="473" t="n">
        <f aca="false">'☆掛負収入'!H904</f>
        <v>5115</v>
      </c>
      <c r="I904" s="475" t="n">
        <f aca="false">'☆掛負収入'!I904</f>
        <v>5125</v>
      </c>
      <c r="J904" s="160" t="n">
        <f aca="false">SUM(H904:I904)</f>
        <v>10240</v>
      </c>
      <c r="K904" s="476" t="n">
        <f aca="false">'☆掛負収入'!K904</f>
        <v>734</v>
      </c>
      <c r="L904" s="487" t="n">
        <f aca="false">'☆掛負収入'!L904</f>
        <v>734</v>
      </c>
      <c r="M904" s="160" t="n">
        <f aca="false">SUM(K904:L904)</f>
        <v>1468</v>
      </c>
      <c r="N904" s="476" t="n">
        <f aca="false">'☆掛負収入'!N904</f>
        <v>1</v>
      </c>
      <c r="O904" s="487" t="n">
        <f aca="false">'☆掛負収入'!O904</f>
        <v>1</v>
      </c>
      <c r="P904" s="160" t="n">
        <f aca="false">SUM(N904:O904)</f>
        <v>2</v>
      </c>
    </row>
    <row r="905" customFormat="false" ht="18.75" hidden="false" customHeight="true" outlineLevel="0" collapsed="false">
      <c r="A905" s="125" t="str">
        <f aca="false">'☆掛負収入'!A905</f>
        <v>自治労労働組合</v>
      </c>
      <c r="B905" s="474" t="n">
        <f aca="false">'☆掛負収入'!B905</f>
        <v>0</v>
      </c>
      <c r="C905" s="402" t="n">
        <f aca="false">'☆掛負収入'!C905</f>
        <v>0</v>
      </c>
      <c r="D905" s="474" t="n">
        <f aca="false">'☆掛負収入'!D905</f>
        <v>0</v>
      </c>
      <c r="E905" s="488" t="n">
        <f aca="false">'☆掛負収入'!E905</f>
        <v>0</v>
      </c>
      <c r="F905" s="221"/>
      <c r="G905" s="206" t="n">
        <f aca="false">SUM(B905:F905)</f>
        <v>0</v>
      </c>
      <c r="H905" s="473" t="n">
        <f aca="false">'☆掛負収入'!H905</f>
        <v>0</v>
      </c>
      <c r="I905" s="475" t="n">
        <f aca="false">'☆掛負収入'!I905</f>
        <v>0</v>
      </c>
      <c r="J905" s="160" t="n">
        <f aca="false">SUM(H905:I905)</f>
        <v>0</v>
      </c>
      <c r="K905" s="473" t="n">
        <f aca="false">'☆掛負収入'!K905</f>
        <v>0</v>
      </c>
      <c r="L905" s="475" t="n">
        <f aca="false">'☆掛負収入'!L905</f>
        <v>0</v>
      </c>
      <c r="M905" s="160" t="n">
        <f aca="false">SUM(K905:L905)</f>
        <v>0</v>
      </c>
      <c r="N905" s="473" t="n">
        <f aca="false">'☆掛負収入'!N905</f>
        <v>0</v>
      </c>
      <c r="O905" s="475" t="n">
        <f aca="false">'☆掛負収入'!O905</f>
        <v>0</v>
      </c>
      <c r="P905" s="160" t="n">
        <f aca="false">SUM(N905:O905)</f>
        <v>0</v>
      </c>
    </row>
    <row r="906" customFormat="false" ht="18.75" hidden="false" customHeight="true" outlineLevel="0" collapsed="false">
      <c r="A906" s="125" t="str">
        <f aca="false">'☆掛負収入'!A906</f>
        <v>病院労働組合</v>
      </c>
      <c r="B906" s="474" t="n">
        <f aca="false">'☆掛負収入'!B906</f>
        <v>9516</v>
      </c>
      <c r="C906" s="402" t="n">
        <f aca="false">'☆掛負収入'!C906</f>
        <v>780</v>
      </c>
      <c r="D906" s="474" t="n">
        <f aca="false">'☆掛負収入'!D906</f>
        <v>9516</v>
      </c>
      <c r="E906" s="488" t="n">
        <f aca="false">'☆掛負収入'!E906</f>
        <v>780</v>
      </c>
      <c r="F906" s="221"/>
      <c r="G906" s="206" t="n">
        <f aca="false">SUM(B906:F906)</f>
        <v>20592</v>
      </c>
      <c r="H906" s="473" t="n">
        <f aca="false">'☆掛負収入'!H906</f>
        <v>9791</v>
      </c>
      <c r="I906" s="475" t="n">
        <f aca="false">'☆掛負収入'!I906</f>
        <v>9809</v>
      </c>
      <c r="J906" s="160" t="n">
        <f aca="false">SUM(H906:I906)</f>
        <v>19600</v>
      </c>
      <c r="K906" s="473" t="n">
        <f aca="false">'☆掛負収入'!K906</f>
        <v>584</v>
      </c>
      <c r="L906" s="475" t="n">
        <f aca="false">'☆掛負収入'!L906</f>
        <v>584</v>
      </c>
      <c r="M906" s="160" t="n">
        <f aca="false">SUM(K906:L906)</f>
        <v>1168</v>
      </c>
      <c r="N906" s="473" t="n">
        <f aca="false">'☆掛負収入'!N906</f>
        <v>1</v>
      </c>
      <c r="O906" s="475" t="n">
        <f aca="false">'☆掛負収入'!O906</f>
        <v>1</v>
      </c>
      <c r="P906" s="160" t="n">
        <f aca="false">SUM(N906:O906)</f>
        <v>2</v>
      </c>
    </row>
    <row r="907" customFormat="false" ht="18.75" hidden="false" customHeight="true" outlineLevel="0" collapsed="false">
      <c r="A907" s="302" t="str">
        <f aca="false">'☆掛負収入'!A907</f>
        <v>水道労働組合</v>
      </c>
      <c r="B907" s="516"/>
      <c r="C907" s="517"/>
      <c r="D907" s="516"/>
      <c r="E907" s="492"/>
      <c r="F907" s="296"/>
      <c r="G907" s="206" t="n">
        <f aca="false">SUM(B907:F907)</f>
        <v>0</v>
      </c>
      <c r="H907" s="521"/>
      <c r="I907" s="519"/>
      <c r="J907" s="160" t="n">
        <f aca="false">SUM(H907:I907)</f>
        <v>0</v>
      </c>
      <c r="K907" s="667"/>
      <c r="L907" s="518"/>
      <c r="M907" s="160" t="n">
        <f aca="false">SUM(K907:L907)</f>
        <v>0</v>
      </c>
      <c r="N907" s="667"/>
      <c r="O907" s="518"/>
      <c r="P907" s="160" t="n">
        <f aca="false">SUM(N907:O907)</f>
        <v>0</v>
      </c>
    </row>
    <row r="908" customFormat="false" ht="18.75" hidden="false" customHeight="true" outlineLevel="0" collapsed="false">
      <c r="A908" s="196" t="str">
        <f aca="false">'☆掛負収入'!A908</f>
        <v>小　計</v>
      </c>
      <c r="B908" s="429" t="n">
        <f aca="false">SUM(B904:B907)</f>
        <v>18025</v>
      </c>
      <c r="C908" s="200" t="n">
        <f aca="false">SUM(C904:C907)</f>
        <v>1477</v>
      </c>
      <c r="D908" s="429" t="n">
        <f aca="false">SUM(D904:D907)</f>
        <v>18026</v>
      </c>
      <c r="E908" s="199" t="n">
        <f aca="false">SUM(E904:E907)</f>
        <v>1477</v>
      </c>
      <c r="F908" s="198" t="n">
        <f aca="false">SUM(F904:F907)</f>
        <v>0</v>
      </c>
      <c r="G908" s="197" t="n">
        <f aca="false">SUM(B908:F908)</f>
        <v>39005</v>
      </c>
      <c r="H908" s="429" t="n">
        <f aca="false">SUM(H904:H907)</f>
        <v>14906</v>
      </c>
      <c r="I908" s="199" t="n">
        <f aca="false">SUM(I904:I907)</f>
        <v>14934</v>
      </c>
      <c r="J908" s="200" t="n">
        <f aca="false">SUM(H908:I908)</f>
        <v>29840</v>
      </c>
      <c r="K908" s="197" t="n">
        <f aca="false">SUM(K904:K907)</f>
        <v>1318</v>
      </c>
      <c r="L908" s="198" t="n">
        <f aca="false">SUM(L904:L907)</f>
        <v>1318</v>
      </c>
      <c r="M908" s="200" t="n">
        <f aca="false">SUM(K908:L908)</f>
        <v>2636</v>
      </c>
      <c r="N908" s="197" t="n">
        <f aca="false">SUM(N904:N907)</f>
        <v>2</v>
      </c>
      <c r="O908" s="198" t="n">
        <f aca="false">SUM(O904:O907)</f>
        <v>2</v>
      </c>
      <c r="P908" s="200" t="n">
        <f aca="false">SUM(N908:O908)</f>
        <v>4</v>
      </c>
    </row>
    <row r="909" customFormat="false" ht="18.75" hidden="false" customHeight="true" outlineLevel="0" collapsed="false">
      <c r="A909" s="302" t="str">
        <f aca="false">'☆掛負収入'!A909</f>
        <v>任意継続組合員</v>
      </c>
      <c r="B909" s="281"/>
      <c r="C909" s="523"/>
      <c r="D909" s="524"/>
      <c r="E909" s="525"/>
      <c r="F909" s="296"/>
      <c r="G909" s="293"/>
      <c r="H909" s="678"/>
      <c r="I909" s="282"/>
      <c r="J909" s="283"/>
      <c r="K909" s="524"/>
      <c r="L909" s="679"/>
      <c r="M909" s="292"/>
      <c r="N909" s="524"/>
      <c r="O909" s="679"/>
      <c r="P909" s="292"/>
    </row>
    <row r="910" customFormat="false" ht="30" hidden="false" customHeight="true" outlineLevel="0" collapsed="false">
      <c r="A910" s="680" t="str">
        <f aca="false">'☆掛負収入'!A910</f>
        <v>総　　計</v>
      </c>
      <c r="B910" s="429" t="n">
        <f aca="false">SUM(B867+B898+B903+B908)</f>
        <v>1083806</v>
      </c>
      <c r="C910" s="200" t="n">
        <f aca="false">SUM(C867+C898+C903+C908)</f>
        <v>88826</v>
      </c>
      <c r="D910" s="681" t="n">
        <f aca="false">SUM(D867+D898+D903+D908)</f>
        <v>3579693</v>
      </c>
      <c r="E910" s="199" t="n">
        <f aca="false">SUM(E867+E898+E903+E908)</f>
        <v>293406</v>
      </c>
      <c r="F910" s="201" t="n">
        <f aca="false">SUM(F867+F898+F903+F908)</f>
        <v>3675</v>
      </c>
      <c r="G910" s="197" t="n">
        <f aca="false">SUM(B910:F910)</f>
        <v>5049406</v>
      </c>
      <c r="H910" s="429" t="n">
        <f aca="false">SUM(H867+H898+H903+H908+H909)</f>
        <v>601397</v>
      </c>
      <c r="I910" s="199" t="n">
        <f aca="false">SUM(I867+I898+I903+I908+I909)</f>
        <v>2105759</v>
      </c>
      <c r="J910" s="200" t="n">
        <f aca="false">SUM(H910:I910)</f>
        <v>2707156</v>
      </c>
      <c r="K910" s="197" t="n">
        <f aca="false">K867+K898+K903+K908+K909</f>
        <v>60947</v>
      </c>
      <c r="L910" s="198" t="n">
        <f aca="false">L867+L898+L903+L908</f>
        <v>242628</v>
      </c>
      <c r="M910" s="200" t="n">
        <f aca="false">SUM(K910:L910)</f>
        <v>303575</v>
      </c>
      <c r="N910" s="197" t="n">
        <f aca="false">N867+N898+N903+N908+N909</f>
        <v>7</v>
      </c>
      <c r="O910" s="198" t="n">
        <f aca="false">O867+O898+O903+O908</f>
        <v>17</v>
      </c>
      <c r="P910" s="200" t="n">
        <f aca="false">SUM(N910:O910)</f>
        <v>24</v>
      </c>
    </row>
    <row r="911" customFormat="false" ht="18.75" hidden="false" customHeight="true" outlineLevel="0" collapsed="false">
      <c r="A911" s="340"/>
      <c r="B911" s="341"/>
      <c r="C911" s="341"/>
      <c r="D911" s="341"/>
      <c r="E911" s="341"/>
      <c r="F911" s="341"/>
      <c r="G911" s="341"/>
      <c r="H911" s="341"/>
      <c r="I911" s="341"/>
      <c r="J911" s="341"/>
      <c r="K911" s="341"/>
      <c r="L911" s="341"/>
      <c r="M911" s="341"/>
      <c r="N911" s="341"/>
      <c r="O911" s="341"/>
      <c r="P911" s="341"/>
    </row>
    <row r="912" customFormat="false" ht="30" hidden="false" customHeight="true" outlineLevel="0" collapsed="false">
      <c r="A912" s="320"/>
      <c r="B912" s="416" t="n">
        <f aca="false">'☆掛負収入'!B912</f>
        <v>46477</v>
      </c>
      <c r="C912" s="416" t="n">
        <f aca="false">'☆掛負収入'!C912</f>
        <v>0</v>
      </c>
      <c r="D912" s="416" t="n">
        <f aca="false">'☆掛負収入'!D912</f>
        <v>0</v>
      </c>
      <c r="E912" s="416" t="n">
        <f aca="false">'☆掛負収入'!E912</f>
        <v>0</v>
      </c>
      <c r="F912" s="416" t="n">
        <f aca="false">'☆掛負収入'!F912</f>
        <v>0</v>
      </c>
      <c r="G912" s="416" t="n">
        <f aca="false">'☆掛負収入'!G912</f>
        <v>0</v>
      </c>
      <c r="H912" s="416" t="n">
        <f aca="false">'☆掛負収入'!H912</f>
        <v>46477</v>
      </c>
      <c r="I912" s="416" t="n">
        <f aca="false">'☆掛負収入'!I912</f>
        <v>0</v>
      </c>
      <c r="J912" s="416" t="n">
        <f aca="false">'☆掛負収入'!J912</f>
        <v>0</v>
      </c>
      <c r="K912" s="416" t="n">
        <f aca="false">'☆掛負収入'!K912</f>
        <v>46477</v>
      </c>
      <c r="L912" s="416" t="n">
        <f aca="false">'☆掛負収入'!L912</f>
        <v>0</v>
      </c>
      <c r="M912" s="416" t="n">
        <f aca="false">'☆掛負収入'!M912</f>
        <v>0</v>
      </c>
      <c r="N912" s="416" t="n">
        <f aca="false">'☆掛負収入'!N912</f>
        <v>46477</v>
      </c>
      <c r="O912" s="416" t="n">
        <f aca="false">'☆掛負収入'!O912</f>
        <v>0</v>
      </c>
      <c r="P912" s="416" t="n">
        <f aca="false">'☆掛負収入'!P912</f>
        <v>0</v>
      </c>
    </row>
    <row r="913" customFormat="false" ht="22.5" hidden="false" customHeight="true" outlineLevel="0" collapsed="false">
      <c r="A913" s="114" t="str">
        <f aca="false">'☆掛負収入'!A913</f>
        <v>区　　分</v>
      </c>
      <c r="B913" s="114" t="str">
        <f aca="false">'☆掛負収入'!B913</f>
        <v>長　期　経　理</v>
      </c>
      <c r="C913" s="114" t="n">
        <f aca="false">'☆掛負収入'!C913</f>
        <v>0</v>
      </c>
      <c r="D913" s="114" t="n">
        <f aca="false">'☆掛負収入'!D913</f>
        <v>0</v>
      </c>
      <c r="E913" s="114" t="n">
        <f aca="false">'☆掛負収入'!E913</f>
        <v>0</v>
      </c>
      <c r="F913" s="114" t="n">
        <f aca="false">'☆掛負収入'!F913</f>
        <v>0</v>
      </c>
      <c r="G913" s="114" t="n">
        <f aca="false">'☆掛負収入'!G913</f>
        <v>0</v>
      </c>
      <c r="H913" s="116" t="str">
        <f aca="false">'☆掛負収入'!H913</f>
        <v>短　期　経　理</v>
      </c>
      <c r="I913" s="116" t="n">
        <f aca="false">'☆掛負収入'!I913</f>
        <v>0</v>
      </c>
      <c r="J913" s="116" t="n">
        <f aca="false">'☆掛負収入'!J913</f>
        <v>0</v>
      </c>
      <c r="K913" s="116" t="str">
        <f aca="false">'☆掛負収入'!K913</f>
        <v>介　護　納　付　金</v>
      </c>
      <c r="L913" s="116" t="n">
        <f aca="false">'☆掛負収入'!L913</f>
        <v>0</v>
      </c>
      <c r="M913" s="116" t="n">
        <f aca="false">'☆掛負収入'!M913</f>
        <v>0</v>
      </c>
      <c r="N913" s="116" t="str">
        <f aca="false">'☆掛負収入'!N913</f>
        <v>子ども・子育て支援納付金</v>
      </c>
      <c r="O913" s="116" t="n">
        <f aca="false">'☆掛負収入'!O913</f>
        <v>0</v>
      </c>
      <c r="P913" s="116" t="n">
        <f aca="false">'☆掛負収入'!P913</f>
        <v>0</v>
      </c>
    </row>
    <row r="914" customFormat="false" ht="22.5" hidden="false" customHeight="true" outlineLevel="0" collapsed="false">
      <c r="A914" s="114" t="n">
        <f aca="false">'☆掛負収入'!A914</f>
        <v>0</v>
      </c>
      <c r="B914" s="117" t="str">
        <f aca="false">'☆掛負収入'!B914</f>
        <v>組合員負担分</v>
      </c>
      <c r="C914" s="117" t="n">
        <f aca="false">'☆掛負収入'!C914</f>
        <v>0</v>
      </c>
      <c r="D914" s="117" t="str">
        <f aca="false">'☆掛負収入'!D914</f>
        <v>事業主負担分</v>
      </c>
      <c r="E914" s="117" t="n">
        <f aca="false">'☆掛負収入'!E914</f>
        <v>0</v>
      </c>
      <c r="F914" s="117" t="n">
        <f aca="false">'☆掛負収入'!F914</f>
        <v>0</v>
      </c>
      <c r="G914" s="611" t="str">
        <f aca="false">'☆掛負収入'!G914</f>
        <v>計</v>
      </c>
      <c r="H914" s="121" t="str">
        <f aca="false">'☆掛負収入'!H914</f>
        <v>掛　金</v>
      </c>
      <c r="I914" s="119" t="str">
        <f aca="false">'☆掛負収入'!I914</f>
        <v>負担金</v>
      </c>
      <c r="J914" s="120" t="str">
        <f aca="false">'☆掛負収入'!J914</f>
        <v>計</v>
      </c>
      <c r="K914" s="121" t="str">
        <f aca="false">'☆掛負収入'!K914</f>
        <v>掛　金</v>
      </c>
      <c r="L914" s="119" t="str">
        <f aca="false">'☆掛負収入'!L914</f>
        <v>負担金</v>
      </c>
      <c r="M914" s="120" t="str">
        <f aca="false">'☆掛負収入'!M914</f>
        <v>計</v>
      </c>
      <c r="N914" s="121" t="str">
        <f aca="false">'☆掛負収入'!N914</f>
        <v>掛　金</v>
      </c>
      <c r="O914" s="119" t="str">
        <f aca="false">'☆掛負収入'!O914</f>
        <v>負担金</v>
      </c>
      <c r="P914" s="120" t="str">
        <f aca="false">'☆掛負収入'!P914</f>
        <v>計</v>
      </c>
    </row>
    <row r="915" customFormat="false" ht="22.5" hidden="false" customHeight="true" outlineLevel="0" collapsed="false">
      <c r="A915" s="114" t="n">
        <f aca="false">'☆掛負収入'!A915</f>
        <v>0</v>
      </c>
      <c r="B915" s="612" t="str">
        <f aca="false">'☆掛負収入'!B915</f>
        <v>厚生年金保険料</v>
      </c>
      <c r="C915" s="613" t="str">
        <f aca="false">'☆掛負収入'!C915</f>
        <v>退職等年金掛金</v>
      </c>
      <c r="D915" s="614" t="str">
        <f aca="false">'☆掛負収入'!D915</f>
        <v>厚生年金保険料</v>
      </c>
      <c r="E915" s="614" t="str">
        <f aca="false">'☆掛負収入'!E915</f>
        <v>退職等年金負担金</v>
      </c>
      <c r="F915" s="615" t="str">
        <f aca="false">'☆掛負収入'!F915</f>
        <v>経過的長期</v>
      </c>
      <c r="G915" s="611" t="n">
        <f aca="false">'☆掛負収入'!G915</f>
        <v>0</v>
      </c>
      <c r="H915" s="121" t="n">
        <f aca="false">'☆掛負収入'!H915</f>
        <v>0</v>
      </c>
      <c r="I915" s="119" t="n">
        <f aca="false">'☆掛負収入'!I915</f>
        <v>0</v>
      </c>
      <c r="J915" s="120" t="n">
        <f aca="false">'☆掛負収入'!J915</f>
        <v>0</v>
      </c>
      <c r="K915" s="121" t="n">
        <f aca="false">'☆掛負収入'!K915</f>
        <v>0</v>
      </c>
      <c r="L915" s="119" t="n">
        <f aca="false">'☆掛負収入'!L915</f>
        <v>0</v>
      </c>
      <c r="M915" s="120" t="n">
        <f aca="false">'☆掛負収入'!M915</f>
        <v>0</v>
      </c>
      <c r="N915" s="121" t="n">
        <f aca="false">'☆掛負収入'!N915</f>
        <v>0</v>
      </c>
      <c r="O915" s="119" t="n">
        <f aca="false">'☆掛負収入'!O915</f>
        <v>0</v>
      </c>
      <c r="P915" s="120" t="n">
        <f aca="false">'☆掛負収入'!P915</f>
        <v>0</v>
      </c>
    </row>
    <row r="916" customFormat="false" ht="18.75" hidden="false" customHeight="true" outlineLevel="0" collapsed="false">
      <c r="A916" s="125" t="str">
        <f aca="false">'☆掛負収入'!A916</f>
        <v>市長部局</v>
      </c>
      <c r="B916" s="616"/>
      <c r="C916" s="389"/>
      <c r="D916" s="617"/>
      <c r="E916" s="617"/>
      <c r="F916" s="209"/>
      <c r="G916" s="389"/>
      <c r="H916" s="616"/>
      <c r="I916" s="618"/>
      <c r="J916" s="206"/>
      <c r="K916" s="619"/>
      <c r="L916" s="618"/>
      <c r="M916" s="206"/>
      <c r="N916" s="619"/>
      <c r="O916" s="618"/>
      <c r="P916" s="206"/>
    </row>
    <row r="917" customFormat="false" ht="18.75" hidden="false" customHeight="true" outlineLevel="0" collapsed="false">
      <c r="A917" s="125" t="str">
        <f aca="false">'☆掛負収入'!A917</f>
        <v>下水道局</v>
      </c>
      <c r="B917" s="431"/>
      <c r="C917" s="206"/>
      <c r="D917" s="617"/>
      <c r="E917" s="617"/>
      <c r="F917" s="160"/>
      <c r="G917" s="206"/>
      <c r="H917" s="619"/>
      <c r="I917" s="449"/>
      <c r="J917" s="160"/>
      <c r="K917" s="620"/>
      <c r="L917" s="621"/>
      <c r="M917" s="160"/>
      <c r="N917" s="620"/>
      <c r="O917" s="621"/>
      <c r="P917" s="160"/>
    </row>
    <row r="918" customFormat="false" ht="18.75" hidden="false" customHeight="true" outlineLevel="0" collapsed="false">
      <c r="A918" s="125" t="str">
        <f aca="false">'☆掛負収入'!A918</f>
        <v>消防局</v>
      </c>
      <c r="B918" s="431"/>
      <c r="C918" s="206"/>
      <c r="D918" s="617"/>
      <c r="E918" s="617"/>
      <c r="F918" s="160"/>
      <c r="G918" s="206"/>
      <c r="H918" s="620"/>
      <c r="I918" s="464"/>
      <c r="J918" s="160"/>
      <c r="K918" s="620"/>
      <c r="L918" s="464"/>
      <c r="M918" s="160"/>
      <c r="N918" s="620"/>
      <c r="O918" s="464"/>
      <c r="P918" s="160"/>
    </row>
    <row r="919" customFormat="false" ht="18.75" hidden="false" customHeight="true" outlineLevel="0" collapsed="false">
      <c r="A919" s="125" t="str">
        <f aca="false">'☆掛負収入'!A919</f>
        <v>議会事務局</v>
      </c>
      <c r="B919" s="431"/>
      <c r="C919" s="206"/>
      <c r="D919" s="617"/>
      <c r="E919" s="617"/>
      <c r="F919" s="160"/>
      <c r="G919" s="206"/>
      <c r="H919" s="431"/>
      <c r="I919" s="464"/>
      <c r="J919" s="160"/>
      <c r="K919" s="431"/>
      <c r="L919" s="464"/>
      <c r="M919" s="160"/>
      <c r="N919" s="431"/>
      <c r="O919" s="464"/>
      <c r="P919" s="160"/>
    </row>
    <row r="920" customFormat="false" ht="18.75" hidden="false" customHeight="true" outlineLevel="0" collapsed="false">
      <c r="A920" s="125" t="str">
        <f aca="false">'☆掛負収入'!A920</f>
        <v>教育委員会（総務課）</v>
      </c>
      <c r="B920" s="431"/>
      <c r="C920" s="206"/>
      <c r="D920" s="617"/>
      <c r="E920" s="617"/>
      <c r="F920" s="160"/>
      <c r="G920" s="206"/>
      <c r="H920" s="431"/>
      <c r="I920" s="464"/>
      <c r="J920" s="160"/>
      <c r="K920" s="431"/>
      <c r="L920" s="464"/>
      <c r="M920" s="160"/>
      <c r="N920" s="431"/>
      <c r="O920" s="464"/>
      <c r="P920" s="160"/>
    </row>
    <row r="921" customFormat="false" ht="18.75" hidden="false" customHeight="true" outlineLevel="0" collapsed="false">
      <c r="A921" s="125" t="str">
        <f aca="false">'☆掛負収入'!A921</f>
        <v>選挙管理委員会</v>
      </c>
      <c r="B921" s="431"/>
      <c r="C921" s="206"/>
      <c r="D921" s="617"/>
      <c r="E921" s="617"/>
      <c r="F921" s="160"/>
      <c r="G921" s="206"/>
      <c r="H921" s="619"/>
      <c r="I921" s="449"/>
      <c r="J921" s="160"/>
      <c r="K921" s="431"/>
      <c r="L921" s="464"/>
      <c r="M921" s="160"/>
      <c r="N921" s="431"/>
      <c r="O921" s="464"/>
      <c r="P921" s="160"/>
    </row>
    <row r="922" customFormat="false" ht="18.75" hidden="false" customHeight="true" outlineLevel="0" collapsed="false">
      <c r="A922" s="125" t="str">
        <f aca="false">'☆掛負収入'!A922</f>
        <v>人事委員会</v>
      </c>
      <c r="B922" s="431"/>
      <c r="C922" s="206"/>
      <c r="D922" s="617"/>
      <c r="E922" s="617"/>
      <c r="F922" s="160"/>
      <c r="G922" s="206"/>
      <c r="H922" s="619"/>
      <c r="I922" s="449"/>
      <c r="J922" s="160"/>
      <c r="K922" s="619"/>
      <c r="L922" s="449"/>
      <c r="M922" s="160"/>
      <c r="N922" s="619"/>
      <c r="O922" s="449"/>
      <c r="P922" s="160"/>
    </row>
    <row r="923" customFormat="false" ht="18.75" hidden="false" customHeight="true" outlineLevel="0" collapsed="false">
      <c r="A923" s="125" t="str">
        <f aca="false">'☆掛負収入'!A923</f>
        <v>監査事務局</v>
      </c>
      <c r="B923" s="431"/>
      <c r="C923" s="206"/>
      <c r="D923" s="617"/>
      <c r="E923" s="617"/>
      <c r="F923" s="160"/>
      <c r="G923" s="206"/>
      <c r="H923" s="619"/>
      <c r="I923" s="449"/>
      <c r="J923" s="160"/>
      <c r="K923" s="619"/>
      <c r="L923" s="449"/>
      <c r="M923" s="160"/>
      <c r="N923" s="619"/>
      <c r="O923" s="449"/>
      <c r="P923" s="160"/>
    </row>
    <row r="924" customFormat="false" ht="18.75" hidden="false" customHeight="true" outlineLevel="0" collapsed="false">
      <c r="A924" s="125" t="str">
        <f aca="false">'☆掛負収入'!A924</f>
        <v>農業委員会</v>
      </c>
      <c r="B924" s="431"/>
      <c r="C924" s="206"/>
      <c r="D924" s="617"/>
      <c r="E924" s="617"/>
      <c r="F924" s="160"/>
      <c r="G924" s="206"/>
      <c r="H924" s="619"/>
      <c r="I924" s="449"/>
      <c r="J924" s="160"/>
      <c r="K924" s="619"/>
      <c r="L924" s="449"/>
      <c r="M924" s="160"/>
      <c r="N924" s="619"/>
      <c r="O924" s="449"/>
      <c r="P924" s="160"/>
    </row>
    <row r="925" customFormat="false" ht="18.75" hidden="false" customHeight="true" outlineLevel="0" collapsed="false">
      <c r="A925" s="125" t="str">
        <f aca="false">'☆掛負収入'!A925</f>
        <v>水道局</v>
      </c>
      <c r="B925" s="431"/>
      <c r="C925" s="206"/>
      <c r="D925" s="617"/>
      <c r="E925" s="617"/>
      <c r="F925" s="160"/>
      <c r="G925" s="206"/>
      <c r="H925" s="619"/>
      <c r="I925" s="449"/>
      <c r="J925" s="160"/>
      <c r="K925" s="619"/>
      <c r="L925" s="449"/>
      <c r="M925" s="160"/>
      <c r="N925" s="619"/>
      <c r="O925" s="449"/>
      <c r="P925" s="160"/>
    </row>
    <row r="926" customFormat="false" ht="18.75" hidden="false" customHeight="true" outlineLevel="0" collapsed="false">
      <c r="A926" s="146" t="str">
        <f aca="false">'☆掛負収入'!A926</f>
        <v>医療政策課(安芸市民)</v>
      </c>
      <c r="B926" s="620"/>
      <c r="C926" s="391"/>
      <c r="D926" s="620"/>
      <c r="E926" s="621"/>
      <c r="F926" s="418"/>
      <c r="G926" s="206"/>
      <c r="H926" s="622"/>
      <c r="I926" s="432"/>
      <c r="J926" s="160"/>
      <c r="K926" s="619"/>
      <c r="L926" s="449"/>
      <c r="M926" s="160"/>
      <c r="N926" s="619"/>
      <c r="O926" s="449"/>
      <c r="P926" s="160"/>
    </row>
    <row r="927" customFormat="false" ht="18.75" hidden="false" customHeight="true" outlineLevel="0" collapsed="false">
      <c r="A927" s="146" t="str">
        <f aca="false">'☆掛負収入'!A927</f>
        <v>教育委員会（教育給与課）</v>
      </c>
      <c r="B927" s="620"/>
      <c r="C927" s="206"/>
      <c r="D927" s="431"/>
      <c r="E927" s="623"/>
      <c r="F927" s="309"/>
      <c r="G927" s="206"/>
      <c r="H927" s="619"/>
      <c r="I927" s="449"/>
      <c r="J927" s="160"/>
      <c r="K927" s="619"/>
      <c r="L927" s="449"/>
      <c r="M927" s="160"/>
      <c r="N927" s="619"/>
      <c r="O927" s="449"/>
      <c r="P927" s="160"/>
    </row>
    <row r="928" customFormat="false" ht="18.75" hidden="true" customHeight="true" outlineLevel="0" collapsed="false">
      <c r="A928" s="624"/>
      <c r="B928" s="625"/>
      <c r="C928" s="235"/>
      <c r="D928" s="625"/>
      <c r="E928" s="626"/>
      <c r="F928" s="221"/>
      <c r="G928" s="285"/>
      <c r="H928" s="627"/>
      <c r="I928" s="628"/>
      <c r="J928" s="628"/>
      <c r="K928" s="627"/>
      <c r="L928" s="628"/>
      <c r="M928" s="220"/>
      <c r="N928" s="627"/>
      <c r="O928" s="628"/>
      <c r="P928" s="220"/>
    </row>
    <row r="929" customFormat="false" ht="18.75" hidden="true" customHeight="true" outlineLevel="0" collapsed="false">
      <c r="A929" s="629"/>
      <c r="B929" s="482"/>
      <c r="C929" s="157"/>
      <c r="D929" s="482"/>
      <c r="E929" s="483"/>
      <c r="F929" s="484"/>
      <c r="G929" s="466"/>
      <c r="H929" s="482"/>
      <c r="I929" s="483"/>
      <c r="J929" s="483"/>
      <c r="K929" s="482"/>
      <c r="L929" s="483"/>
      <c r="M929" s="155"/>
      <c r="N929" s="482"/>
      <c r="O929" s="483"/>
      <c r="P929" s="155"/>
    </row>
    <row r="930" customFormat="false" ht="18.75" hidden="true" customHeight="true" outlineLevel="0" collapsed="false">
      <c r="A930" s="629"/>
      <c r="B930" s="625"/>
      <c r="C930" s="235"/>
      <c r="D930" s="625"/>
      <c r="E930" s="626"/>
      <c r="F930" s="221"/>
      <c r="G930" s="285"/>
      <c r="H930" s="625"/>
      <c r="I930" s="626"/>
      <c r="J930" s="626"/>
      <c r="K930" s="625"/>
      <c r="L930" s="626"/>
      <c r="M930" s="721"/>
      <c r="N930" s="625"/>
      <c r="O930" s="626"/>
      <c r="P930" s="721"/>
    </row>
    <row r="931" customFormat="false" ht="18.75" hidden="true" customHeight="true" outlineLevel="0" collapsed="false">
      <c r="A931" s="630"/>
      <c r="B931" s="631"/>
      <c r="C931" s="632"/>
      <c r="D931" s="631"/>
      <c r="E931" s="515"/>
      <c r="F931" s="633"/>
      <c r="G931" s="689"/>
      <c r="H931" s="482"/>
      <c r="I931" s="634"/>
      <c r="J931" s="634"/>
      <c r="K931" s="482"/>
      <c r="L931" s="483"/>
      <c r="M931" s="155"/>
      <c r="N931" s="482"/>
      <c r="O931" s="483"/>
      <c r="P931" s="155"/>
    </row>
    <row r="932" customFormat="false" ht="18.75" hidden="false" customHeight="true" outlineLevel="0" collapsed="false">
      <c r="A932" s="196" t="str">
        <f aca="false">'☆掛負収入'!A932</f>
        <v>小　計</v>
      </c>
      <c r="B932" s="429"/>
      <c r="C932" s="199"/>
      <c r="D932" s="429"/>
      <c r="E932" s="199"/>
      <c r="F932" s="200"/>
      <c r="G932" s="201"/>
      <c r="H932" s="429"/>
      <c r="I932" s="199"/>
      <c r="J932" s="198"/>
      <c r="K932" s="429"/>
      <c r="L932" s="199"/>
      <c r="M932" s="198"/>
      <c r="N932" s="429"/>
      <c r="O932" s="199"/>
      <c r="P932" s="198"/>
    </row>
    <row r="933" customFormat="false" ht="18.75" hidden="false" customHeight="true" outlineLevel="0" collapsed="false">
      <c r="A933" s="202" t="str">
        <f aca="false">'☆掛負収入'!A933</f>
        <v>地方税共同機構</v>
      </c>
      <c r="B933" s="474" t="n">
        <f aca="false">'☆掛負収入'!B933</f>
        <v>0</v>
      </c>
      <c r="C933" s="402" t="n">
        <f aca="false">'☆掛負収入'!C933</f>
        <v>0</v>
      </c>
      <c r="D933" s="494" t="n">
        <f aca="false">'☆掛負収入'!D933</f>
        <v>0</v>
      </c>
      <c r="E933" s="488" t="n">
        <f aca="false">'☆掛負収入'!E933</f>
        <v>0</v>
      </c>
      <c r="F933" s="475" t="n">
        <f aca="false">'☆掛負収入'!F933</f>
        <v>0</v>
      </c>
      <c r="G933" s="691" t="n">
        <f aca="false">SUM(B933:F933)</f>
        <v>0</v>
      </c>
      <c r="H933" s="619" t="n">
        <f aca="false">'☆掛負収入'!H933</f>
        <v>0</v>
      </c>
      <c r="I933" s="449" t="n">
        <f aca="false">'☆掛負収入'!I933</f>
        <v>0</v>
      </c>
      <c r="J933" s="160" t="n">
        <f aca="false">SUM(H933:I933)</f>
        <v>0</v>
      </c>
      <c r="K933" s="464" t="n">
        <f aca="false">'☆掛負収入'!K933</f>
        <v>0</v>
      </c>
      <c r="L933" s="449" t="n">
        <f aca="false">'☆掛負収入'!L933</f>
        <v>0</v>
      </c>
      <c r="M933" s="160" t="n">
        <f aca="false">SUM(K933:L933)</f>
        <v>0</v>
      </c>
      <c r="N933" s="464" t="n">
        <f aca="false">'☆掛負収入'!N933</f>
        <v>0</v>
      </c>
      <c r="O933" s="449" t="n">
        <f aca="false">'☆掛負収入'!O933</f>
        <v>0</v>
      </c>
      <c r="P933" s="160" t="n">
        <f aca="false">SUM(N933:O933)</f>
        <v>0</v>
      </c>
    </row>
    <row r="934" customFormat="false" ht="18.75" hidden="false" customHeight="true" outlineLevel="0" collapsed="false">
      <c r="A934" s="125" t="str">
        <f aca="false">'☆掛負収入'!A934</f>
        <v>平和文化センター</v>
      </c>
      <c r="B934" s="474" t="n">
        <f aca="false">'☆掛負収入'!B934</f>
        <v>45750</v>
      </c>
      <c r="C934" s="402" t="n">
        <f aca="false">'☆掛負収入'!C934</f>
        <v>3750</v>
      </c>
      <c r="D934" s="489" t="n">
        <f aca="false">'☆掛負収入'!D934</f>
        <v>494100</v>
      </c>
      <c r="E934" s="477" t="n">
        <f aca="false">'☆掛負収入'!E934</f>
        <v>40500</v>
      </c>
      <c r="F934" s="475" t="n">
        <f aca="false">'☆掛負収入'!F934</f>
        <v>545</v>
      </c>
      <c r="G934" s="693" t="n">
        <f aca="false">SUM(B934:F934)</f>
        <v>584645</v>
      </c>
      <c r="H934" s="473" t="n">
        <f aca="false">'☆掛負収入'!H934</f>
        <v>27505</v>
      </c>
      <c r="I934" s="475" t="n">
        <f aca="false">'☆掛負収入'!I934</f>
        <v>297625</v>
      </c>
      <c r="J934" s="160" t="n">
        <f aca="false">SUM(H934:I934)</f>
        <v>325130</v>
      </c>
      <c r="K934" s="478" t="n">
        <f aca="false">'☆掛負収入'!K934</f>
        <v>4200</v>
      </c>
      <c r="L934" s="475" t="n">
        <f aca="false">'☆掛負収入'!L934</f>
        <v>35112</v>
      </c>
      <c r="M934" s="160" t="n">
        <f aca="false">SUM(K934:L934)</f>
        <v>39312</v>
      </c>
      <c r="N934" s="478" t="n">
        <f aca="false">'☆掛負収入'!N934</f>
        <v>0</v>
      </c>
      <c r="O934" s="475" t="n">
        <f aca="false">'☆掛負収入'!O934</f>
        <v>1</v>
      </c>
      <c r="P934" s="160" t="n">
        <f aca="false">SUM(N934:O934)</f>
        <v>1</v>
      </c>
    </row>
    <row r="935" customFormat="false" ht="18.75" hidden="false" customHeight="true" outlineLevel="0" collapsed="false">
      <c r="A935" s="125" t="str">
        <f aca="false">'☆掛負収入'!A935</f>
        <v>社会福祉事業団</v>
      </c>
      <c r="B935" s="625"/>
      <c r="C935" s="235"/>
      <c r="D935" s="476" t="n">
        <f aca="false">'☆掛負収入'!D935</f>
        <v>1895880</v>
      </c>
      <c r="E935" s="478" t="n">
        <f aca="false">'☆掛負収入'!E935</f>
        <v>155400</v>
      </c>
      <c r="F935" s="475" t="n">
        <f aca="false">'☆掛負収入'!F935</f>
        <v>1997</v>
      </c>
      <c r="G935" s="693" t="n">
        <f aca="false">SUM(B935:F935)</f>
        <v>2053277</v>
      </c>
      <c r="H935" s="627"/>
      <c r="I935" s="475" t="n">
        <f aca="false">'☆掛負収入'!I935</f>
        <v>1280817</v>
      </c>
      <c r="J935" s="160" t="n">
        <f aca="false">SUM(H935:I935)</f>
        <v>1280817</v>
      </c>
      <c r="K935" s="637"/>
      <c r="L935" s="475" t="n">
        <f aca="false">'☆掛負収入'!L935</f>
        <v>141726</v>
      </c>
      <c r="M935" s="160" t="n">
        <f aca="false">SUM(K935:L935)</f>
        <v>141726</v>
      </c>
      <c r="N935" s="637"/>
      <c r="O935" s="475" t="n">
        <f aca="false">'☆掛負収入'!O935</f>
        <v>1</v>
      </c>
      <c r="P935" s="160" t="n">
        <f aca="false">SUM(N935:O935)</f>
        <v>1</v>
      </c>
    </row>
    <row r="936" customFormat="false" ht="18.75" hidden="false" customHeight="true" outlineLevel="0" collapsed="false">
      <c r="A936" s="125" t="str">
        <f aca="false">'☆掛負収入'!A936</f>
        <v>原爆障害対策協議会</v>
      </c>
      <c r="B936" s="625"/>
      <c r="C936" s="235"/>
      <c r="D936" s="470" t="n">
        <f aca="false">'☆掛負収入'!D936</f>
        <v>48495</v>
      </c>
      <c r="E936" s="478" t="n">
        <f aca="false">'☆掛負収入'!E936</f>
        <v>3975</v>
      </c>
      <c r="F936" s="475" t="n">
        <f aca="false">'☆掛負収入'!F936</f>
        <v>50</v>
      </c>
      <c r="G936" s="693" t="n">
        <f aca="false">SUM(B936:F936)</f>
        <v>52520</v>
      </c>
      <c r="H936" s="627"/>
      <c r="I936" s="475" t="n">
        <f aca="false">'☆掛負収入'!I936</f>
        <v>29208</v>
      </c>
      <c r="J936" s="160" t="n">
        <f aca="false">SUM(H936:I936)</f>
        <v>29208</v>
      </c>
      <c r="K936" s="637"/>
      <c r="L936" s="475" t="n">
        <f aca="false">'☆掛負収入'!L936</f>
        <v>4452</v>
      </c>
      <c r="M936" s="160" t="n">
        <f aca="false">SUM(K936:L936)</f>
        <v>4452</v>
      </c>
      <c r="N936" s="637"/>
      <c r="O936" s="475" t="n">
        <f aca="false">'☆掛負収入'!O936</f>
        <v>1</v>
      </c>
      <c r="P936" s="160" t="n">
        <f aca="false">SUM(N936:O936)</f>
        <v>1</v>
      </c>
    </row>
    <row r="937" customFormat="false" ht="18.75" hidden="false" customHeight="true" outlineLevel="0" collapsed="false">
      <c r="A937" s="214" t="str">
        <f aca="false">'☆掛負収入'!A937</f>
        <v>産業振興センター</v>
      </c>
      <c r="B937" s="625"/>
      <c r="C937" s="235"/>
      <c r="D937" s="470" t="n">
        <f aca="false">'☆掛負収入'!D937</f>
        <v>425475</v>
      </c>
      <c r="E937" s="478" t="n">
        <f aca="false">'☆掛負収入'!E937</f>
        <v>34875</v>
      </c>
      <c r="F937" s="475" t="n">
        <f aca="false">'☆掛負収入'!F937</f>
        <v>435</v>
      </c>
      <c r="G937" s="693" t="n">
        <f aca="false">SUM(B937:F937)</f>
        <v>460785</v>
      </c>
      <c r="H937" s="627"/>
      <c r="I937" s="475" t="n">
        <f aca="false">'☆掛負収入'!I937</f>
        <v>256260</v>
      </c>
      <c r="J937" s="160" t="n">
        <f aca="false">SUM(H937:I937)</f>
        <v>256260</v>
      </c>
      <c r="K937" s="637"/>
      <c r="L937" s="475" t="n">
        <f aca="false">'☆掛負収入'!L937</f>
        <v>34207</v>
      </c>
      <c r="M937" s="160" t="n">
        <f aca="false">SUM(K937:L937)</f>
        <v>34207</v>
      </c>
      <c r="N937" s="637"/>
      <c r="O937" s="475" t="n">
        <f aca="false">'☆掛負収入'!O937</f>
        <v>1</v>
      </c>
      <c r="P937" s="160" t="n">
        <f aca="false">SUM(N937:O937)</f>
        <v>1</v>
      </c>
    </row>
    <row r="938" customFormat="false" ht="18.75" hidden="false" customHeight="true" outlineLevel="0" collapsed="false">
      <c r="A938" s="146" t="str">
        <f aca="false">'☆掛負収入'!A938</f>
        <v>ひろしま産業振興</v>
      </c>
      <c r="B938" s="625"/>
      <c r="C938" s="484"/>
      <c r="D938" s="470" t="n">
        <f aca="false">'☆掛負収入'!D938</f>
        <v>86010</v>
      </c>
      <c r="E938" s="478" t="n">
        <f aca="false">'☆掛負収入'!E938</f>
        <v>7050</v>
      </c>
      <c r="F938" s="481" t="n">
        <f aca="false">'☆掛負収入'!F938</f>
        <v>88</v>
      </c>
      <c r="G938" s="693" t="n">
        <f aca="false">SUM(B938:F938)</f>
        <v>93148</v>
      </c>
      <c r="H938" s="627"/>
      <c r="I938" s="481" t="n">
        <f aca="false">'☆掛負収入'!I938</f>
        <v>51803</v>
      </c>
      <c r="J938" s="160" t="n">
        <f aca="false">SUM(H938:I938)</f>
        <v>51803</v>
      </c>
      <c r="K938" s="637"/>
      <c r="L938" s="481" t="n">
        <f aca="false">'☆掛負収入'!L938</f>
        <v>7426</v>
      </c>
      <c r="M938" s="160" t="n">
        <f aca="false">SUM(K938:L938)</f>
        <v>7426</v>
      </c>
      <c r="N938" s="637"/>
      <c r="O938" s="481" t="n">
        <f aca="false">'☆掛負収入'!O938</f>
        <v>1</v>
      </c>
      <c r="P938" s="160" t="n">
        <f aca="false">SUM(N938:O938)</f>
        <v>1</v>
      </c>
    </row>
    <row r="939" customFormat="false" ht="18.75" hidden="false" customHeight="true" outlineLevel="0" collapsed="false">
      <c r="A939" s="146" t="str">
        <f aca="false">'☆掛負収入'!A939</f>
        <v>都市整備公社　市</v>
      </c>
      <c r="B939" s="625"/>
      <c r="C939" s="484"/>
      <c r="D939" s="476" t="n">
        <f aca="false">'☆掛負収入'!D939</f>
        <v>48495</v>
      </c>
      <c r="E939" s="478" t="n">
        <f aca="false">'☆掛負収入'!E939</f>
        <v>3975</v>
      </c>
      <c r="F939" s="475" t="n">
        <f aca="false">'☆掛負収入'!F939</f>
        <v>49</v>
      </c>
      <c r="G939" s="693" t="n">
        <f aca="false">SUM(B939:F939)</f>
        <v>52519</v>
      </c>
      <c r="H939" s="627"/>
      <c r="I939" s="475" t="n">
        <f aca="false">'☆掛負収入'!I939</f>
        <v>29208</v>
      </c>
      <c r="J939" s="160" t="n">
        <f aca="false">SUM(H939:I939)</f>
        <v>29208</v>
      </c>
      <c r="K939" s="637"/>
      <c r="L939" s="475" t="n">
        <f aca="false">'☆掛負収入'!L939</f>
        <v>4187</v>
      </c>
      <c r="M939" s="160" t="n">
        <f aca="false">SUM(K939:L939)</f>
        <v>4187</v>
      </c>
      <c r="N939" s="637"/>
      <c r="O939" s="475" t="n">
        <f aca="false">'☆掛負収入'!O939</f>
        <v>1</v>
      </c>
      <c r="P939" s="160" t="n">
        <f aca="false">SUM(N939:O939)</f>
        <v>1</v>
      </c>
    </row>
    <row r="940" customFormat="false" ht="18.75" hidden="false" customHeight="true" outlineLevel="0" collapsed="false">
      <c r="A940" s="217"/>
      <c r="B940" s="625"/>
      <c r="C940" s="221"/>
      <c r="D940" s="474"/>
      <c r="E940" s="478"/>
      <c r="F940" s="475"/>
      <c r="G940" s="693"/>
      <c r="H940" s="627"/>
      <c r="I940" s="475"/>
      <c r="J940" s="160"/>
      <c r="K940" s="637"/>
      <c r="L940" s="475"/>
      <c r="M940" s="160" t="n">
        <f aca="false">SUM(K940:L940)</f>
        <v>0</v>
      </c>
      <c r="N940" s="637"/>
      <c r="O940" s="475"/>
      <c r="P940" s="160" t="n">
        <f aca="false">SUM(N940:O940)</f>
        <v>0</v>
      </c>
    </row>
    <row r="941" customFormat="false" ht="18.75" hidden="false" customHeight="true" outlineLevel="0" collapsed="false">
      <c r="A941" s="146" t="str">
        <f aca="false">'☆掛負収入'!A941</f>
        <v>日本下水道事業団</v>
      </c>
      <c r="B941" s="476" t="n">
        <f aca="false">'☆掛負収入'!B941</f>
        <v>245220</v>
      </c>
      <c r="C941" s="248" t="n">
        <f aca="false">'☆掛負収入'!C941</f>
        <v>20100</v>
      </c>
      <c r="D941" s="474" t="n">
        <f aca="false">'☆掛負収入'!D941</f>
        <v>245220</v>
      </c>
      <c r="E941" s="478" t="n">
        <f aca="false">'☆掛負収入'!E941</f>
        <v>20100</v>
      </c>
      <c r="F941" s="475" t="n">
        <f aca="false">'☆掛負収入'!F941</f>
        <v>251</v>
      </c>
      <c r="G941" s="693" t="n">
        <f aca="false">SUM(B941:F941)</f>
        <v>530891</v>
      </c>
      <c r="H941" s="473" t="n">
        <f aca="false">'☆掛負収入'!H941</f>
        <v>147425</v>
      </c>
      <c r="I941" s="475" t="n">
        <f aca="false">'☆掛負収入'!I941</f>
        <v>147694</v>
      </c>
      <c r="J941" s="160" t="n">
        <f aca="false">SUM(H941:I941)</f>
        <v>295119</v>
      </c>
      <c r="K941" s="478" t="n">
        <f aca="false">'☆掛負収入'!K941</f>
        <v>9559</v>
      </c>
      <c r="L941" s="475" t="n">
        <f aca="false">'☆掛負収入'!L941</f>
        <v>9559</v>
      </c>
      <c r="M941" s="160" t="n">
        <f aca="false">SUM(K941:L941)</f>
        <v>19118</v>
      </c>
      <c r="N941" s="478" t="n">
        <f aca="false">'☆掛負収入'!N941</f>
        <v>1</v>
      </c>
      <c r="O941" s="475" t="n">
        <f aca="false">'☆掛負収入'!O941</f>
        <v>1</v>
      </c>
      <c r="P941" s="160" t="n">
        <f aca="false">SUM(N941:O941)</f>
        <v>2</v>
      </c>
    </row>
    <row r="942" customFormat="false" ht="18.75" hidden="false" customHeight="true" outlineLevel="0" collapsed="false">
      <c r="A942" s="125" t="str">
        <f aca="false">'☆掛負収入'!A942</f>
        <v>地方公務員災害補償基金本部</v>
      </c>
      <c r="B942" s="476" t="n">
        <f aca="false">'☆掛負収入'!B942</f>
        <v>40260</v>
      </c>
      <c r="C942" s="248" t="n">
        <f aca="false">'☆掛負収入'!C942</f>
        <v>3300</v>
      </c>
      <c r="D942" s="474" t="n">
        <f aca="false">'☆掛負収入'!D942</f>
        <v>40260</v>
      </c>
      <c r="E942" s="478" t="n">
        <f aca="false">'☆掛負収入'!E942</f>
        <v>3300</v>
      </c>
      <c r="F942" s="475" t="n">
        <f aca="false">'☆掛負収入'!F942</f>
        <v>41</v>
      </c>
      <c r="G942" s="693" t="n">
        <f aca="false">SUM(B942:F942)</f>
        <v>87161</v>
      </c>
      <c r="H942" s="473" t="n">
        <f aca="false">'☆掛負収入'!H942</f>
        <v>24204</v>
      </c>
      <c r="I942" s="475" t="n">
        <f aca="false">'☆掛負収入'!I942</f>
        <v>24248</v>
      </c>
      <c r="J942" s="160" t="n">
        <f aca="false">SUM(H942:I942)</f>
        <v>48452</v>
      </c>
      <c r="K942" s="478" t="n">
        <f aca="false">'☆掛負収入'!K942</f>
        <v>0</v>
      </c>
      <c r="L942" s="475" t="n">
        <f aca="false">'☆掛負収入'!L942</f>
        <v>0</v>
      </c>
      <c r="M942" s="160" t="n">
        <f aca="false">SUM(K942:L942)</f>
        <v>0</v>
      </c>
      <c r="N942" s="478" t="n">
        <f aca="false">'☆掛負収入'!N942</f>
        <v>1</v>
      </c>
      <c r="O942" s="475" t="n">
        <f aca="false">'☆掛負収入'!O942</f>
        <v>1</v>
      </c>
      <c r="P942" s="160" t="n">
        <f aca="false">SUM(N942:O942)</f>
        <v>2</v>
      </c>
    </row>
    <row r="943" customFormat="false" ht="18.75" hidden="false" customHeight="true" outlineLevel="0" collapsed="false">
      <c r="A943" s="222"/>
      <c r="B943" s="474"/>
      <c r="C943" s="248"/>
      <c r="D943" s="474"/>
      <c r="E943" s="478"/>
      <c r="F943" s="475"/>
      <c r="G943" s="693"/>
      <c r="H943" s="619"/>
      <c r="I943" s="475"/>
      <c r="J943" s="160"/>
      <c r="K943" s="464"/>
      <c r="L943" s="449"/>
      <c r="M943" s="160" t="n">
        <f aca="false">SUM(K943:L943)</f>
        <v>0</v>
      </c>
      <c r="N943" s="464"/>
      <c r="O943" s="449"/>
      <c r="P943" s="160" t="n">
        <f aca="false">SUM(N943:O943)</f>
        <v>0</v>
      </c>
    </row>
    <row r="944" customFormat="false" ht="18.75" hidden="false" customHeight="true" outlineLevel="0" collapsed="false">
      <c r="A944" s="125" t="str">
        <f aca="false">'☆掛負収入'!A944</f>
        <v>高速道路公社</v>
      </c>
      <c r="B944" s="489" t="n">
        <f aca="false">'☆掛負収入'!B944</f>
        <v>987285</v>
      </c>
      <c r="C944" s="479" t="n">
        <f aca="false">'☆掛負収入'!C944</f>
        <v>80925</v>
      </c>
      <c r="D944" s="489" t="n">
        <f aca="false">'☆掛負収入'!D944</f>
        <v>987285</v>
      </c>
      <c r="E944" s="495" t="n">
        <f aca="false">'☆掛負収入'!E944</f>
        <v>80925</v>
      </c>
      <c r="F944" s="497" t="n">
        <f aca="false">'☆掛負収入'!F944</f>
        <v>1028</v>
      </c>
      <c r="G944" s="693" t="n">
        <f aca="false">SUM(B944:F944)</f>
        <v>2137448</v>
      </c>
      <c r="H944" s="496" t="n">
        <f aca="false">'☆掛負収入'!H944</f>
        <v>593546</v>
      </c>
      <c r="I944" s="497" t="n">
        <f aca="false">'☆掛負収入'!I944</f>
        <v>594636</v>
      </c>
      <c r="J944" s="160" t="n">
        <f aca="false">SUM(H944:I944)</f>
        <v>1188182</v>
      </c>
      <c r="K944" s="495" t="n">
        <f aca="false">'☆掛負収入'!K944</f>
        <v>68124</v>
      </c>
      <c r="L944" s="497" t="n">
        <f aca="false">'☆掛負収入'!L944</f>
        <v>68124</v>
      </c>
      <c r="M944" s="160" t="n">
        <f aca="false">SUM(K944:L944)</f>
        <v>136248</v>
      </c>
      <c r="N944" s="495" t="n">
        <f aca="false">'☆掛負収入'!N944</f>
        <v>1</v>
      </c>
      <c r="O944" s="497" t="n">
        <f aca="false">'☆掛負収入'!O944</f>
        <v>1</v>
      </c>
      <c r="P944" s="160" t="n">
        <f aca="false">SUM(N944:O944)</f>
        <v>2</v>
      </c>
    </row>
    <row r="945" customFormat="false" ht="18.75" hidden="false" customHeight="true" outlineLevel="0" collapsed="false">
      <c r="A945" s="125" t="str">
        <f aca="false">'☆掛負収入'!A945</f>
        <v>農林水産振興センタ</v>
      </c>
      <c r="B945" s="482"/>
      <c r="C945" s="484"/>
      <c r="D945" s="476" t="n">
        <f aca="false">'☆掛負収入'!D945</f>
        <v>634095</v>
      </c>
      <c r="E945" s="498" t="n">
        <f aca="false">'☆掛負収入'!E945</f>
        <v>51975</v>
      </c>
      <c r="F945" s="481" t="n">
        <f aca="false">'☆掛負収入'!F945</f>
        <v>689</v>
      </c>
      <c r="G945" s="693" t="n">
        <f aca="false">SUM(B945:F945)</f>
        <v>686759</v>
      </c>
      <c r="H945" s="641"/>
      <c r="I945" s="481" t="n">
        <f aca="false">'☆掛負収入'!I945</f>
        <v>381942</v>
      </c>
      <c r="J945" s="160" t="n">
        <f aca="false">SUM(H945:I945)</f>
        <v>381942</v>
      </c>
      <c r="K945" s="642"/>
      <c r="L945" s="432" t="n">
        <f aca="false">'☆掛負収入'!L945</f>
        <v>36120</v>
      </c>
      <c r="M945" s="160" t="n">
        <f aca="false">SUM(K945:L945)</f>
        <v>36120</v>
      </c>
      <c r="N945" s="642"/>
      <c r="O945" s="432" t="n">
        <f aca="false">'☆掛負収入'!O945</f>
        <v>1</v>
      </c>
      <c r="P945" s="160" t="n">
        <f aca="false">SUM(N945:O945)</f>
        <v>1</v>
      </c>
    </row>
    <row r="946" customFormat="false" ht="18.75" hidden="false" customHeight="true" outlineLevel="0" collapsed="false">
      <c r="A946" s="228" t="str">
        <f aca="false">'☆掛負収入'!A946</f>
        <v>文化財団　市長部局</v>
      </c>
      <c r="B946" s="625"/>
      <c r="C946" s="221"/>
      <c r="D946" s="474" t="n">
        <f aca="false">'☆掛負収入'!D946</f>
        <v>1196820</v>
      </c>
      <c r="E946" s="478" t="n">
        <f aca="false">'☆掛負収入'!E946</f>
        <v>98100</v>
      </c>
      <c r="F946" s="481" t="n">
        <f aca="false">'☆掛負収入'!F946</f>
        <v>1224</v>
      </c>
      <c r="G946" s="693" t="n">
        <f aca="false">SUM(B946:F946)</f>
        <v>1296144</v>
      </c>
      <c r="H946" s="627"/>
      <c r="I946" s="481" t="n">
        <f aca="false">'☆掛負収入'!I946</f>
        <v>722488</v>
      </c>
      <c r="J946" s="160" t="n">
        <f aca="false">SUM(H946:I946)</f>
        <v>722488</v>
      </c>
      <c r="K946" s="637"/>
      <c r="L946" s="481" t="n">
        <f aca="false">'☆掛負収入'!L946</f>
        <v>97012</v>
      </c>
      <c r="M946" s="160" t="n">
        <f aca="false">SUM(K946:L946)</f>
        <v>97012</v>
      </c>
      <c r="N946" s="637"/>
      <c r="O946" s="481" t="n">
        <f aca="false">'☆掛負収入'!O946</f>
        <v>1</v>
      </c>
      <c r="P946" s="160" t="n">
        <f aca="false">SUM(N946:O946)</f>
        <v>1</v>
      </c>
    </row>
    <row r="947" customFormat="false" ht="18.75" hidden="false" customHeight="true" outlineLevel="0" collapsed="false">
      <c r="A947" s="229"/>
      <c r="B947" s="625"/>
      <c r="C947" s="221"/>
      <c r="D947" s="474"/>
      <c r="E947" s="478"/>
      <c r="F947" s="481"/>
      <c r="G947" s="693"/>
      <c r="H947" s="627"/>
      <c r="I947" s="481"/>
      <c r="J947" s="160"/>
      <c r="K947" s="637"/>
      <c r="L947" s="481"/>
      <c r="M947" s="160" t="n">
        <f aca="false">SUM(K947:L947)</f>
        <v>0</v>
      </c>
      <c r="N947" s="637"/>
      <c r="O947" s="481"/>
      <c r="P947" s="160" t="n">
        <f aca="false">SUM(N947:O947)</f>
        <v>0</v>
      </c>
    </row>
    <row r="948" customFormat="false" ht="18.75" hidden="false" customHeight="true" outlineLevel="0" collapsed="false">
      <c r="A948" s="125" t="str">
        <f aca="false">'☆掛負収入'!A948</f>
        <v>みどり生きもの協会</v>
      </c>
      <c r="B948" s="625"/>
      <c r="C948" s="221"/>
      <c r="D948" s="474" t="n">
        <f aca="false">'☆掛負収入'!D948</f>
        <v>402600</v>
      </c>
      <c r="E948" s="478" t="n">
        <f aca="false">'☆掛負収入'!E948</f>
        <v>33000</v>
      </c>
      <c r="F948" s="481" t="n">
        <f aca="false">'☆掛負収入'!F948</f>
        <v>412</v>
      </c>
      <c r="G948" s="693" t="n">
        <f aca="false">SUM(B948:F948)</f>
        <v>436012</v>
      </c>
      <c r="H948" s="627"/>
      <c r="I948" s="481" t="n">
        <f aca="false">'☆掛負収入'!I948</f>
        <v>242482</v>
      </c>
      <c r="J948" s="160" t="n">
        <f aca="false">SUM(H948:I948)</f>
        <v>242482</v>
      </c>
      <c r="K948" s="637"/>
      <c r="L948" s="481" t="n">
        <f aca="false">'☆掛負収入'!L948</f>
        <v>34760</v>
      </c>
      <c r="M948" s="160" t="n">
        <f aca="false">SUM(K948:L948)</f>
        <v>34760</v>
      </c>
      <c r="N948" s="637"/>
      <c r="O948" s="481" t="n">
        <f aca="false">'☆掛負収入'!O948</f>
        <v>1</v>
      </c>
      <c r="P948" s="160" t="n">
        <f aca="false">SUM(N948:O948)</f>
        <v>1</v>
      </c>
    </row>
    <row r="949" customFormat="false" ht="18.75" hidden="false" customHeight="true" outlineLevel="0" collapsed="false">
      <c r="A949" s="146" t="str">
        <f aca="false">'☆掛負収入'!A949</f>
        <v>県下水道公社</v>
      </c>
      <c r="B949" s="474" t="n">
        <f aca="false">'☆掛負収入'!B949</f>
        <v>137250</v>
      </c>
      <c r="C949" s="248" t="n">
        <f aca="false">'☆掛負収入'!C949</f>
        <v>11250</v>
      </c>
      <c r="D949" s="474" t="n">
        <f aca="false">'☆掛負収入'!D949</f>
        <v>137250</v>
      </c>
      <c r="E949" s="478" t="n">
        <f aca="false">'☆掛負収入'!E949</f>
        <v>11250</v>
      </c>
      <c r="F949" s="481" t="n">
        <f aca="false">'☆掛負収入'!F949</f>
        <v>140</v>
      </c>
      <c r="G949" s="693" t="n">
        <f aca="false">SUM(B949:F949)</f>
        <v>297140</v>
      </c>
      <c r="H949" s="473" t="n">
        <f aca="false">'☆掛負収入'!H949</f>
        <v>82514</v>
      </c>
      <c r="I949" s="481" t="n">
        <f aca="false">'☆掛負収入'!I949</f>
        <v>82665</v>
      </c>
      <c r="J949" s="160" t="n">
        <f aca="false">SUM(H949:I949)</f>
        <v>165179</v>
      </c>
      <c r="K949" s="478" t="n">
        <f aca="false">'☆掛負収入'!K949</f>
        <v>8611</v>
      </c>
      <c r="L949" s="481" t="n">
        <f aca="false">'☆掛負収入'!L949</f>
        <v>8611</v>
      </c>
      <c r="M949" s="160" t="n">
        <f aca="false">SUM(K949:L949)</f>
        <v>17222</v>
      </c>
      <c r="N949" s="478" t="n">
        <f aca="false">'☆掛負収入'!N949</f>
        <v>1</v>
      </c>
      <c r="O949" s="481" t="n">
        <f aca="false">'☆掛負収入'!O949</f>
        <v>1</v>
      </c>
      <c r="P949" s="160" t="n">
        <f aca="false">SUM(N949:O949)</f>
        <v>2</v>
      </c>
    </row>
    <row r="950" customFormat="false" ht="18.75" hidden="false" customHeight="true" outlineLevel="0" collapsed="false">
      <c r="A950" s="146" t="str">
        <f aca="false">'☆掛負収入'!A950</f>
        <v>バス協調・共創
プラットフォーム</v>
      </c>
      <c r="B950" s="482"/>
      <c r="C950" s="484"/>
      <c r="D950" s="476" t="n">
        <f aca="false">'☆掛負収入'!D950</f>
        <v>48495</v>
      </c>
      <c r="E950" s="498" t="n">
        <f aca="false">'☆掛負収入'!E950</f>
        <v>3975</v>
      </c>
      <c r="F950" s="481" t="n">
        <f aca="false">'☆掛負収入'!F950</f>
        <v>50</v>
      </c>
      <c r="G950" s="693" t="n">
        <f aca="false">SUM(B950:F950)</f>
        <v>52520</v>
      </c>
      <c r="H950" s="641"/>
      <c r="I950" s="481" t="n">
        <f aca="false">'☆掛負収入'!I950</f>
        <v>29208</v>
      </c>
      <c r="J950" s="160" t="n">
        <f aca="false">SUM(H950:I950)</f>
        <v>29208</v>
      </c>
      <c r="K950" s="642" t="n">
        <f aca="false">'☆掛負収入'!K950</f>
        <v>0</v>
      </c>
      <c r="L950" s="481" t="n">
        <f aca="false">'☆掛負収入'!L950</f>
        <v>4452</v>
      </c>
      <c r="M950" s="160" t="n">
        <f aca="false">SUM(K950:L950)</f>
        <v>4452</v>
      </c>
      <c r="N950" s="642" t="n">
        <f aca="false">'☆掛負収入'!N950</f>
        <v>0</v>
      </c>
      <c r="O950" s="481" t="n">
        <f aca="false">'☆掛負収入'!O950</f>
        <v>1</v>
      </c>
      <c r="P950" s="160" t="n">
        <f aca="false">SUM(N950:O950)</f>
        <v>1</v>
      </c>
    </row>
    <row r="951" customFormat="false" ht="18.75" hidden="false" customHeight="true" outlineLevel="0" collapsed="false">
      <c r="A951" s="146" t="str">
        <f aca="false">'☆掛負収入'!A951</f>
        <v>広島県市長会</v>
      </c>
      <c r="B951" s="474" t="n">
        <f aca="false">'☆掛負収入'!B951</f>
        <v>56730</v>
      </c>
      <c r="C951" s="248" t="n">
        <f aca="false">'☆掛負収入'!C951</f>
        <v>4650</v>
      </c>
      <c r="D951" s="474" t="n">
        <f aca="false">'☆掛負収入'!D951</f>
        <v>56730</v>
      </c>
      <c r="E951" s="478" t="n">
        <f aca="false">'☆掛負収入'!E951</f>
        <v>4650</v>
      </c>
      <c r="F951" s="475" t="n">
        <f aca="false">'☆掛負収入'!F951</f>
        <v>58</v>
      </c>
      <c r="G951" s="693" t="n">
        <f aca="false">SUM(B951:F951)</f>
        <v>122818</v>
      </c>
      <c r="H951" s="473" t="n">
        <f aca="false">'☆掛負収入'!H951</f>
        <v>34106</v>
      </c>
      <c r="I951" s="475" t="n">
        <f aca="false">'☆掛負収入'!I951</f>
        <v>34168</v>
      </c>
      <c r="J951" s="160" t="n">
        <f aca="false">SUM(H951:I951)</f>
        <v>68274</v>
      </c>
      <c r="K951" s="464" t="n">
        <f aca="false">'☆掛負収入'!K951</f>
        <v>4898</v>
      </c>
      <c r="L951" s="475" t="n">
        <f aca="false">'☆掛負収入'!L951</f>
        <v>4898</v>
      </c>
      <c r="M951" s="160" t="n">
        <f aca="false">SUM(K951:L951)</f>
        <v>9796</v>
      </c>
      <c r="N951" s="464" t="n">
        <f aca="false">'☆掛負収入'!N951</f>
        <v>1</v>
      </c>
      <c r="O951" s="475" t="n">
        <f aca="false">'☆掛負収入'!O951</f>
        <v>1</v>
      </c>
      <c r="P951" s="160" t="n">
        <f aca="false">SUM(N951:O951)</f>
        <v>2</v>
      </c>
    </row>
    <row r="952" customFormat="false" ht="18.75" hidden="false" customHeight="true" outlineLevel="0" collapsed="false">
      <c r="A952" s="214" t="str">
        <f aca="false">'☆掛負収入'!A952</f>
        <v>全国市町村研修財団</v>
      </c>
      <c r="B952" s="476" t="n">
        <f aca="false">'☆掛負収入'!B952</f>
        <v>59475</v>
      </c>
      <c r="C952" s="248" t="n">
        <f aca="false">'☆掛負収入'!C952</f>
        <v>4875</v>
      </c>
      <c r="D952" s="474" t="n">
        <f aca="false">'☆掛負収入'!D952</f>
        <v>59475</v>
      </c>
      <c r="E952" s="478" t="n">
        <f aca="false">'☆掛負収入'!E952</f>
        <v>4875</v>
      </c>
      <c r="F952" s="475" t="n">
        <f aca="false">'☆掛負収入'!F952</f>
        <v>61</v>
      </c>
      <c r="G952" s="693" t="n">
        <f aca="false">SUM(B952:F952)</f>
        <v>128761</v>
      </c>
      <c r="H952" s="473" t="n">
        <f aca="false">'☆掛負収入'!H952</f>
        <v>41257</v>
      </c>
      <c r="I952" s="475" t="n">
        <f aca="false">'☆掛負収入'!I952</f>
        <v>41332</v>
      </c>
      <c r="J952" s="160" t="n">
        <f aca="false">SUM(H952:I952)</f>
        <v>82589</v>
      </c>
      <c r="K952" s="478" t="n">
        <f aca="false">'☆掛負収入'!K952</f>
        <v>5925</v>
      </c>
      <c r="L952" s="475" t="n">
        <f aca="false">'☆掛負収入'!L952</f>
        <v>5925</v>
      </c>
      <c r="M952" s="160" t="n">
        <f aca="false">SUM(K952:L952)</f>
        <v>11850</v>
      </c>
      <c r="N952" s="478" t="n">
        <f aca="false">'☆掛負収入'!N952</f>
        <v>1</v>
      </c>
      <c r="O952" s="475" t="n">
        <f aca="false">'☆掛負収入'!O952</f>
        <v>1</v>
      </c>
      <c r="P952" s="160" t="n">
        <f aca="false">SUM(N952:O952)</f>
        <v>2</v>
      </c>
    </row>
    <row r="953" customFormat="false" ht="18.75" hidden="false" customHeight="true" outlineLevel="0" collapsed="false">
      <c r="A953" s="214" t="str">
        <f aca="false">'☆掛負収入'!A953</f>
        <v>都市再生機構</v>
      </c>
      <c r="B953" s="474" t="n">
        <f aca="false">'☆掛負収入'!B953</f>
        <v>53985</v>
      </c>
      <c r="C953" s="248" t="n">
        <f aca="false">'☆掛負収入'!C953</f>
        <v>4425</v>
      </c>
      <c r="D953" s="474" t="n">
        <f aca="false">'☆掛負収入'!D953</f>
        <v>53985</v>
      </c>
      <c r="E953" s="478" t="n">
        <f aca="false">'☆掛負収入'!E953</f>
        <v>4425</v>
      </c>
      <c r="F953" s="475" t="n">
        <f aca="false">'☆掛負収入'!F953</f>
        <v>55</v>
      </c>
      <c r="G953" s="693" t="n">
        <f aca="false">SUM(B953:F953)</f>
        <v>116875</v>
      </c>
      <c r="H953" s="473" t="n">
        <f aca="false">'☆掛負収入'!H953</f>
        <v>32455</v>
      </c>
      <c r="I953" s="475" t="n">
        <f aca="false">'☆掛負収入'!I953</f>
        <v>32514</v>
      </c>
      <c r="J953" s="160" t="n">
        <f aca="false">SUM(H953:I953)</f>
        <v>64969</v>
      </c>
      <c r="K953" s="478" t="n">
        <f aca="false">'☆掛負収入'!K953</f>
        <v>0</v>
      </c>
      <c r="L953" s="475" t="n">
        <f aca="false">'☆掛負収入'!L953</f>
        <v>0</v>
      </c>
      <c r="M953" s="160" t="n">
        <f aca="false">SUM(K953:L953)</f>
        <v>0</v>
      </c>
      <c r="N953" s="478" t="n">
        <f aca="false">'☆掛負収入'!N953</f>
        <v>1</v>
      </c>
      <c r="O953" s="475" t="n">
        <f aca="false">'☆掛負収入'!O953</f>
        <v>1</v>
      </c>
      <c r="P953" s="160" t="n">
        <f aca="false">SUM(N953:O953)</f>
        <v>2</v>
      </c>
    </row>
    <row r="954" customFormat="false" ht="18.75" hidden="false" customHeight="true" outlineLevel="0" collapsed="false">
      <c r="A954" s="146" t="str">
        <f aca="false">'☆掛負収入'!A954</f>
        <v>広島市立大学</v>
      </c>
      <c r="B954" s="474" t="n">
        <f aca="false">'☆掛負収入'!B954</f>
        <v>1216950</v>
      </c>
      <c r="C954" s="248" t="n">
        <f aca="false">'☆掛負収入'!C954</f>
        <v>99750</v>
      </c>
      <c r="D954" s="474" t="n">
        <f aca="false">'☆掛負収入'!D954</f>
        <v>1216950</v>
      </c>
      <c r="E954" s="478" t="n">
        <f aca="false">'☆掛負収入'!E954</f>
        <v>99750</v>
      </c>
      <c r="F954" s="475" t="n">
        <f aca="false">'☆掛負収入'!F954</f>
        <v>1360</v>
      </c>
      <c r="G954" s="693" t="n">
        <f aca="false">SUM(B954:F954)</f>
        <v>2634760</v>
      </c>
      <c r="H954" s="473" t="n">
        <f aca="false">'☆掛負収入'!H954</f>
        <v>731621</v>
      </c>
      <c r="I954" s="475" t="n">
        <f aca="false">'☆掛負収入'!I954</f>
        <v>733082</v>
      </c>
      <c r="J954" s="160" t="n">
        <f aca="false">SUM(H954:I954)</f>
        <v>1464703</v>
      </c>
      <c r="K954" s="464" t="n">
        <f aca="false">'☆掛負収入'!K954</f>
        <v>69599</v>
      </c>
      <c r="L954" s="449" t="n">
        <f aca="false">'☆掛負収入'!L954</f>
        <v>69599</v>
      </c>
      <c r="M954" s="160" t="n">
        <f aca="false">SUM(K954:L954)</f>
        <v>139198</v>
      </c>
      <c r="N954" s="464" t="n">
        <f aca="false">'☆掛負収入'!N954</f>
        <v>1</v>
      </c>
      <c r="O954" s="449" t="n">
        <f aca="false">'☆掛負収入'!O954</f>
        <v>1</v>
      </c>
      <c r="P954" s="160" t="n">
        <f aca="false">SUM(N954:O954)</f>
        <v>2</v>
      </c>
    </row>
    <row r="955" customFormat="false" ht="18.75" hidden="false" customHeight="true" outlineLevel="0" collapsed="false">
      <c r="A955" s="146" t="str">
        <f aca="false">'☆掛負収入'!A955</f>
        <v>社会福祉協議会</v>
      </c>
      <c r="B955" s="474" t="n">
        <f aca="false">'☆掛負収入'!B955</f>
        <v>0</v>
      </c>
      <c r="C955" s="248" t="n">
        <f aca="false">'☆掛負収入'!C955</f>
        <v>0</v>
      </c>
      <c r="D955" s="474" t="n">
        <f aca="false">'☆掛負収入'!D955</f>
        <v>245220</v>
      </c>
      <c r="E955" s="478" t="n">
        <f aca="false">'☆掛負収入'!E955</f>
        <v>20100</v>
      </c>
      <c r="F955" s="475" t="n">
        <f aca="false">'☆掛負収入'!F955</f>
        <v>251</v>
      </c>
      <c r="G955" s="693" t="n">
        <f aca="false">SUM(B955:F955)</f>
        <v>265571</v>
      </c>
      <c r="H955" s="473" t="n">
        <f aca="false">'☆掛負収入'!H955</f>
        <v>0</v>
      </c>
      <c r="I955" s="475" t="n">
        <f aca="false">'☆掛負収入'!I955</f>
        <v>151001</v>
      </c>
      <c r="J955" s="160" t="n">
        <f aca="false">SUM(H955:I955)</f>
        <v>151001</v>
      </c>
      <c r="K955" s="464" t="n">
        <f aca="false">'☆掛負収入'!K955</f>
        <v>0</v>
      </c>
      <c r="L955" s="449" t="n">
        <f aca="false">'☆掛負収入'!L955</f>
        <v>10744</v>
      </c>
      <c r="M955" s="160" t="n">
        <f aca="false">SUM(K955:L955)</f>
        <v>10744</v>
      </c>
      <c r="N955" s="464" t="n">
        <f aca="false">'☆掛負収入'!N955</f>
        <v>0</v>
      </c>
      <c r="O955" s="449" t="n">
        <f aca="false">'☆掛負収入'!O955</f>
        <v>1</v>
      </c>
      <c r="P955" s="160" t="n">
        <f aca="false">SUM(N955:O955)</f>
        <v>1</v>
      </c>
    </row>
    <row r="956" customFormat="false" ht="18.75" hidden="false" customHeight="true" outlineLevel="0" collapsed="false">
      <c r="A956" s="228" t="s">
        <v>532</v>
      </c>
      <c r="B956" s="476" t="n">
        <f aca="false">'☆掛負収入'!B958</f>
        <v>0</v>
      </c>
      <c r="C956" s="470" t="n">
        <f aca="false">'☆掛負収入'!C958</f>
        <v>0</v>
      </c>
      <c r="D956" s="476" t="n">
        <f aca="false">'☆掛負収入'!D958</f>
        <v>0</v>
      </c>
      <c r="E956" s="487" t="n">
        <f aca="false">'☆掛負収入'!E958</f>
        <v>0</v>
      </c>
      <c r="F956" s="478" t="n">
        <f aca="false">'☆掛負収入'!F958</f>
        <v>0</v>
      </c>
      <c r="G956" s="693" t="n">
        <f aca="false">SUM(B956:F956)</f>
        <v>0</v>
      </c>
      <c r="H956" s="487" t="n">
        <f aca="false">'☆掛負収入'!H958</f>
        <v>0</v>
      </c>
      <c r="I956" s="487" t="n">
        <f aca="false">'☆掛負収入'!I958</f>
        <v>0</v>
      </c>
      <c r="J956" s="160" t="n">
        <f aca="false">SUM(H956:I956)</f>
        <v>0</v>
      </c>
      <c r="K956" s="464" t="n">
        <f aca="false">'☆掛負収入'!K958</f>
        <v>0</v>
      </c>
      <c r="L956" s="449" t="n">
        <f aca="false">'☆掛負収入'!L958</f>
        <v>0</v>
      </c>
      <c r="M956" s="160" t="n">
        <f aca="false">SUM(K956:L956)</f>
        <v>0</v>
      </c>
      <c r="N956" s="464" t="n">
        <f aca="false">'☆掛負収入'!N958</f>
        <v>0</v>
      </c>
      <c r="O956" s="449" t="n">
        <f aca="false">'☆掛負収入'!O958</f>
        <v>0</v>
      </c>
      <c r="P956" s="160" t="n">
        <f aca="false">SUM(N956:O956)</f>
        <v>0</v>
      </c>
    </row>
    <row r="957" customFormat="false" ht="18.75" hidden="false" customHeight="true" outlineLevel="0" collapsed="false">
      <c r="A957" s="146" t="str">
        <f aca="false">'☆掛負収入'!A959</f>
        <v>全国市長会</v>
      </c>
      <c r="B957" s="476" t="n">
        <f aca="false">'☆掛負収入'!B959</f>
        <v>59475</v>
      </c>
      <c r="C957" s="470" t="n">
        <f aca="false">'☆掛負収入'!C959</f>
        <v>4875</v>
      </c>
      <c r="D957" s="476" t="n">
        <f aca="false">'☆掛負収入'!D959</f>
        <v>59475</v>
      </c>
      <c r="E957" s="487" t="n">
        <f aca="false">'☆掛負収入'!E959</f>
        <v>4875</v>
      </c>
      <c r="F957" s="478" t="n">
        <f aca="false">'☆掛負収入'!F959</f>
        <v>61</v>
      </c>
      <c r="G957" s="693" t="n">
        <f aca="false">SUM(B957:F957)</f>
        <v>128761</v>
      </c>
      <c r="H957" s="487" t="n">
        <f aca="false">'☆掛負収入'!H959</f>
        <v>41257</v>
      </c>
      <c r="I957" s="487" t="n">
        <f aca="false">'☆掛負収入'!I959</f>
        <v>41332</v>
      </c>
      <c r="J957" s="160" t="n">
        <f aca="false">SUM(H957:I957)</f>
        <v>82589</v>
      </c>
      <c r="K957" s="464" t="n">
        <f aca="false">'☆掛負収入'!K959</f>
        <v>5925</v>
      </c>
      <c r="L957" s="449" t="n">
        <f aca="false">'☆掛負収入'!L959</f>
        <v>5925</v>
      </c>
      <c r="M957" s="160" t="n">
        <f aca="false">SUM(K957:L957)</f>
        <v>11850</v>
      </c>
      <c r="N957" s="464" t="n">
        <f aca="false">'☆掛負収入'!N959</f>
        <v>1</v>
      </c>
      <c r="O957" s="449" t="n">
        <f aca="false">'☆掛負収入'!O959</f>
        <v>1</v>
      </c>
      <c r="P957" s="160" t="n">
        <f aca="false">SUM(N957:O957)</f>
        <v>2</v>
      </c>
    </row>
    <row r="958" customFormat="false" ht="18.75" hidden="false" customHeight="true" outlineLevel="0" collapsed="false">
      <c r="A958" s="233"/>
      <c r="B958" s="431"/>
      <c r="C958" s="418"/>
      <c r="D958" s="474"/>
      <c r="E958" s="478"/>
      <c r="F958" s="475"/>
      <c r="G958" s="693"/>
      <c r="H958" s="619"/>
      <c r="I958" s="449"/>
      <c r="J958" s="160"/>
      <c r="K958" s="464"/>
      <c r="L958" s="449"/>
      <c r="M958" s="160"/>
      <c r="N958" s="464"/>
      <c r="O958" s="449"/>
      <c r="P958" s="160"/>
    </row>
    <row r="959" customFormat="false" ht="18.75" hidden="false" customHeight="true" outlineLevel="0" collapsed="false">
      <c r="A959" s="233"/>
      <c r="B959" s="620"/>
      <c r="C959" s="391"/>
      <c r="D959" s="620"/>
      <c r="E959" s="621"/>
      <c r="F959" s="432"/>
      <c r="G959" s="693"/>
      <c r="H959" s="620"/>
      <c r="I959" s="465"/>
      <c r="J959" s="160"/>
      <c r="K959" s="621"/>
      <c r="L959" s="465"/>
      <c r="M959" s="160"/>
      <c r="N959" s="621"/>
      <c r="O959" s="465"/>
      <c r="P959" s="160"/>
    </row>
    <row r="960" customFormat="false" ht="18.75" hidden="false" customHeight="true" outlineLevel="0" collapsed="false">
      <c r="A960" s="217"/>
      <c r="B960" s="431"/>
      <c r="C960" s="206"/>
      <c r="D960" s="431"/>
      <c r="E960" s="617"/>
      <c r="F960" s="449"/>
      <c r="G960" s="693"/>
      <c r="H960" s="431"/>
      <c r="I960" s="644"/>
      <c r="J960" s="160"/>
      <c r="K960" s="617"/>
      <c r="L960" s="644"/>
      <c r="M960" s="160"/>
      <c r="N960" s="617"/>
      <c r="O960" s="644"/>
      <c r="P960" s="160"/>
    </row>
    <row r="961" customFormat="false" ht="18.75" hidden="false" customHeight="true" outlineLevel="0" collapsed="false">
      <c r="A961" s="217"/>
      <c r="B961" s="620"/>
      <c r="C961" s="418"/>
      <c r="D961" s="621"/>
      <c r="E961" s="465"/>
      <c r="F961" s="432"/>
      <c r="G961" s="417"/>
      <c r="H961" s="431"/>
      <c r="I961" s="465"/>
      <c r="J961" s="160"/>
      <c r="K961" s="621"/>
      <c r="L961" s="465"/>
      <c r="M961" s="160"/>
      <c r="N961" s="621"/>
      <c r="O961" s="465"/>
      <c r="P961" s="160"/>
    </row>
    <row r="962" customFormat="false" ht="18.75" hidden="false" customHeight="true" outlineLevel="0" collapsed="false">
      <c r="A962" s="630"/>
      <c r="B962" s="647"/>
      <c r="C962" s="278"/>
      <c r="D962" s="648"/>
      <c r="E962" s="649"/>
      <c r="F962" s="695"/>
      <c r="G962" s="696"/>
      <c r="H962" s="647"/>
      <c r="I962" s="648"/>
      <c r="J962" s="648" t="n">
        <f aca="false">SUM(H962:I962)</f>
        <v>0</v>
      </c>
      <c r="K962" s="647"/>
      <c r="L962" s="648"/>
      <c r="M962" s="722" t="n">
        <f aca="false">SUM(K962:L962)</f>
        <v>0</v>
      </c>
      <c r="N962" s="647"/>
      <c r="O962" s="648"/>
      <c r="P962" s="722" t="n">
        <f aca="false">SUM(N962:O962)</f>
        <v>0</v>
      </c>
    </row>
    <row r="963" customFormat="false" ht="18.75" hidden="false" customHeight="true" outlineLevel="0" collapsed="false">
      <c r="A963" s="196" t="str">
        <f aca="false">'☆掛負収入'!A963</f>
        <v>小　計</v>
      </c>
      <c r="B963" s="429" t="n">
        <f aca="false">SUM(B933:B962)</f>
        <v>2902380</v>
      </c>
      <c r="C963" s="200" t="n">
        <f aca="false">SUM(C933:C962)</f>
        <v>237900</v>
      </c>
      <c r="D963" s="429" t="n">
        <f aca="false">SUM(D933:D962)</f>
        <v>8382315</v>
      </c>
      <c r="E963" s="301" t="n">
        <f aca="false">SUM(E933:E962)</f>
        <v>687075</v>
      </c>
      <c r="F963" s="200" t="n">
        <f aca="false">SUM(F933:F962)</f>
        <v>8845</v>
      </c>
      <c r="G963" s="201" t="n">
        <f aca="false">SUM(B963:F963)</f>
        <v>12218515</v>
      </c>
      <c r="H963" s="429" t="n">
        <f aca="false">SUM(H933:H962)</f>
        <v>1755890</v>
      </c>
      <c r="I963" s="199" t="n">
        <f aca="false">SUM(I933:I962)</f>
        <v>5203713</v>
      </c>
      <c r="J963" s="200" t="n">
        <f aca="false">SUM(H963:I963)</f>
        <v>6959603</v>
      </c>
      <c r="K963" s="429" t="n">
        <f aca="false">SUM(K933:K962)</f>
        <v>176841</v>
      </c>
      <c r="L963" s="199" t="n">
        <f aca="false">SUM(L933:L962)</f>
        <v>582839</v>
      </c>
      <c r="M963" s="198" t="n">
        <f aca="false">SUM(K963:L963)</f>
        <v>759680</v>
      </c>
      <c r="N963" s="429" t="n">
        <f aca="false">SUM(N933:N962)</f>
        <v>9</v>
      </c>
      <c r="O963" s="199" t="n">
        <f aca="false">SUM(O933:O962)</f>
        <v>20</v>
      </c>
      <c r="P963" s="198" t="n">
        <f aca="false">SUM(N963:O963)</f>
        <v>29</v>
      </c>
    </row>
    <row r="964" customFormat="false" ht="18.75" hidden="true" customHeight="true" outlineLevel="0" collapsed="false">
      <c r="A964" s="629"/>
      <c r="B964" s="647"/>
      <c r="C964" s="278"/>
      <c r="D964" s="648"/>
      <c r="E964" s="649"/>
      <c r="F964" s="650"/>
      <c r="G964" s="651"/>
      <c r="H964" s="773"/>
      <c r="I964" s="774"/>
      <c r="J964" s="200" t="n">
        <f aca="false">SUM(H964:I964)</f>
        <v>0</v>
      </c>
      <c r="K964" s="773"/>
      <c r="L964" s="774"/>
      <c r="M964" s="198" t="n">
        <f aca="false">SUM(K964:L964)</f>
        <v>0</v>
      </c>
      <c r="N964" s="773"/>
      <c r="O964" s="774"/>
      <c r="P964" s="198" t="n">
        <f aca="false">SUM(N964:O964)</f>
        <v>0</v>
      </c>
    </row>
    <row r="965" customFormat="false" ht="18.75" hidden="true" customHeight="true" outlineLevel="0" collapsed="false">
      <c r="A965" s="658"/>
      <c r="B965" s="631"/>
      <c r="C965" s="633"/>
      <c r="D965" s="648"/>
      <c r="E965" s="649"/>
      <c r="F965" s="278"/>
      <c r="G965" s="646"/>
      <c r="H965" s="773"/>
      <c r="I965" s="774"/>
      <c r="J965" s="200" t="n">
        <f aca="false">SUM(H965:I965)</f>
        <v>0</v>
      </c>
      <c r="K965" s="773"/>
      <c r="L965" s="774"/>
      <c r="M965" s="198" t="n">
        <f aca="false">SUM(K965:L965)</f>
        <v>0</v>
      </c>
      <c r="N965" s="773"/>
      <c r="O965" s="774"/>
      <c r="P965" s="198" t="n">
        <f aca="false">SUM(N965:O965)</f>
        <v>0</v>
      </c>
    </row>
    <row r="966" customFormat="false" ht="18.75" hidden="false" customHeight="true" outlineLevel="0" collapsed="false">
      <c r="A966" s="214" t="str">
        <f aca="false">'☆掛負収入'!A966</f>
        <v>高速交通（株）</v>
      </c>
      <c r="B966" s="489" t="n">
        <f aca="false">'☆掛負収入'!B966</f>
        <v>185745</v>
      </c>
      <c r="C966" s="491" t="n">
        <f aca="false">'☆掛負収入'!C966</f>
        <v>15225</v>
      </c>
      <c r="D966" s="477" t="n">
        <f aca="false">'☆掛負収入'!D966</f>
        <v>185745</v>
      </c>
      <c r="E966" s="487" t="n">
        <f aca="false">'☆掛負収入'!E966</f>
        <v>15225</v>
      </c>
      <c r="F966" s="481" t="n">
        <f aca="false">'☆掛負収入'!F966</f>
        <v>193</v>
      </c>
      <c r="G966" s="691" t="n">
        <f aca="false">SUM(B966:F966)</f>
        <v>402133</v>
      </c>
      <c r="H966" s="469" t="n">
        <f aca="false">'☆掛負収入'!H966</f>
        <v>0</v>
      </c>
      <c r="I966" s="472" t="n">
        <f aca="false">'☆掛負収入'!I966</f>
        <v>0</v>
      </c>
      <c r="J966" s="160" t="n">
        <f aca="false">SUM(H966:I966)</f>
        <v>0</v>
      </c>
      <c r="K966" s="616" t="n">
        <f aca="false">'☆掛負収入'!K966</f>
        <v>0</v>
      </c>
      <c r="L966" s="618" t="n">
        <f aca="false">'☆掛負収入'!L966</f>
        <v>0</v>
      </c>
      <c r="M966" s="160" t="n">
        <f aca="false">SUM(K966:L966)</f>
        <v>0</v>
      </c>
      <c r="N966" s="616" t="n">
        <f aca="false">'☆掛負収入'!N966</f>
        <v>0</v>
      </c>
      <c r="O966" s="618" t="n">
        <f aca="false">'☆掛負収入'!O966</f>
        <v>0</v>
      </c>
      <c r="P966" s="160" t="n">
        <f aca="false">SUM(N966:O966)</f>
        <v>0</v>
      </c>
    </row>
    <row r="967" customFormat="false" ht="18.75" hidden="false" customHeight="true" outlineLevel="0" collapsed="false">
      <c r="A967" s="666" t="s">
        <v>209</v>
      </c>
      <c r="B967" s="667" t="n">
        <f aca="false">'☆掛負収入'!B967</f>
        <v>53985</v>
      </c>
      <c r="C967" s="692" t="n">
        <f aca="false">'☆掛負収入'!C967</f>
        <v>4425</v>
      </c>
      <c r="D967" s="667" t="n">
        <f aca="false">'☆掛負収入'!D967</f>
        <v>53985</v>
      </c>
      <c r="E967" s="492" t="n">
        <f aca="false">'☆掛負収入'!E967</f>
        <v>4425</v>
      </c>
      <c r="F967" s="495" t="n">
        <f aca="false">'☆掛負収入'!F967</f>
        <v>55</v>
      </c>
      <c r="G967" s="417" t="n">
        <f aca="false">SUM(B967:F967)</f>
        <v>116875</v>
      </c>
      <c r="H967" s="647"/>
      <c r="I967" s="648"/>
      <c r="J967" s="200" t="n">
        <f aca="false">SUM(H967:I967)</f>
        <v>0</v>
      </c>
      <c r="K967" s="647"/>
      <c r="L967" s="648"/>
      <c r="M967" s="776"/>
      <c r="N967" s="647"/>
      <c r="O967" s="648"/>
      <c r="P967" s="776"/>
    </row>
    <row r="968" customFormat="false" ht="18.75" hidden="false" customHeight="true" outlineLevel="0" collapsed="false">
      <c r="A968" s="196" t="str">
        <f aca="false">'☆掛負収入'!A968</f>
        <v>小　計</v>
      </c>
      <c r="B968" s="197" t="n">
        <f aca="false">SUM(B966:B967)</f>
        <v>239730</v>
      </c>
      <c r="C968" s="200" t="n">
        <f aca="false">SUM(C964:C967)</f>
        <v>19650</v>
      </c>
      <c r="D968" s="681" t="n">
        <f aca="false">SUM(D964:D967)</f>
        <v>239730</v>
      </c>
      <c r="E968" s="199" t="n">
        <f aca="false">SUM(E964:E967)</f>
        <v>19650</v>
      </c>
      <c r="F968" s="301" t="n">
        <f aca="false">SUM(F964:F967)</f>
        <v>248</v>
      </c>
      <c r="G968" s="772" t="n">
        <f aca="false">SUM(B968:F968)</f>
        <v>519008</v>
      </c>
      <c r="H968" s="197" t="n">
        <f aca="false">'☆掛負収入'!H968</f>
        <v>0</v>
      </c>
      <c r="I968" s="198" t="n">
        <f aca="false">'☆掛負収入'!I968</f>
        <v>0</v>
      </c>
      <c r="J968" s="198" t="n">
        <f aca="false">SUM(H968:I968)</f>
        <v>0</v>
      </c>
      <c r="K968" s="197" t="n">
        <f aca="false">'☆掛負収入'!K968</f>
        <v>0</v>
      </c>
      <c r="L968" s="198" t="n">
        <f aca="false">'☆掛負収入'!L968</f>
        <v>0</v>
      </c>
      <c r="M968" s="198" t="n">
        <f aca="false">SUM(K968:L968)</f>
        <v>0</v>
      </c>
      <c r="N968" s="197" t="n">
        <f aca="false">'☆掛負収入'!N968</f>
        <v>0</v>
      </c>
      <c r="O968" s="198" t="n">
        <f aca="false">'☆掛負収入'!O968</f>
        <v>0</v>
      </c>
      <c r="P968" s="198" t="n">
        <f aca="false">SUM(N968:O968)</f>
        <v>0</v>
      </c>
    </row>
    <row r="969" customFormat="false" ht="18.75" hidden="false" customHeight="true" outlineLevel="0" collapsed="false">
      <c r="A969" s="125" t="str">
        <f aca="false">'☆掛負収入'!A969</f>
        <v>市職員労働組合</v>
      </c>
      <c r="B969" s="474" t="n">
        <f aca="false">'☆掛負収入'!B969</f>
        <v>29280</v>
      </c>
      <c r="C969" s="248" t="n">
        <f aca="false">'☆掛負収入'!C969</f>
        <v>2400</v>
      </c>
      <c r="D969" s="470" t="n">
        <f aca="false">'☆掛負収入'!D969</f>
        <v>29280</v>
      </c>
      <c r="E969" s="488" t="n">
        <f aca="false">'☆掛負収入'!E969</f>
        <v>2400</v>
      </c>
      <c r="F969" s="221"/>
      <c r="G969" s="206" t="n">
        <f aca="false">SUM(B969:F969)</f>
        <v>63360</v>
      </c>
      <c r="H969" s="473" t="n">
        <f aca="false">'☆掛負収入'!H969</f>
        <v>17603</v>
      </c>
      <c r="I969" s="475" t="n">
        <f aca="false">'☆掛負収入'!I969</f>
        <v>17635</v>
      </c>
      <c r="J969" s="160" t="n">
        <f aca="false">SUM(H969:I969)</f>
        <v>35238</v>
      </c>
      <c r="K969" s="476" t="n">
        <f aca="false">'☆掛負収入'!K969</f>
        <v>2528</v>
      </c>
      <c r="L969" s="487" t="n">
        <f aca="false">'☆掛負収入'!L969</f>
        <v>2528</v>
      </c>
      <c r="M969" s="209" t="n">
        <f aca="false">SUM(K969:L969)</f>
        <v>5056</v>
      </c>
      <c r="N969" s="476" t="n">
        <f aca="false">'☆掛負収入'!N969</f>
        <v>1</v>
      </c>
      <c r="O969" s="487" t="n">
        <f aca="false">'☆掛負収入'!O969</f>
        <v>1</v>
      </c>
      <c r="P969" s="209" t="n">
        <f aca="false">SUM(N969:O969)</f>
        <v>2</v>
      </c>
    </row>
    <row r="970" customFormat="false" ht="18.75" hidden="false" customHeight="true" outlineLevel="0" collapsed="false">
      <c r="A970" s="125" t="str">
        <f aca="false">'☆掛負収入'!A970</f>
        <v>自治労労働組合</v>
      </c>
      <c r="B970" s="474" t="n">
        <f aca="false">'☆掛負収入'!B970</f>
        <v>0</v>
      </c>
      <c r="C970" s="402" t="n">
        <f aca="false">'☆掛負収入'!C970</f>
        <v>0</v>
      </c>
      <c r="D970" s="474" t="n">
        <f aca="false">'☆掛負収入'!D970</f>
        <v>0</v>
      </c>
      <c r="E970" s="488" t="n">
        <f aca="false">'☆掛負収入'!E970</f>
        <v>0</v>
      </c>
      <c r="F970" s="221"/>
      <c r="G970" s="206" t="n">
        <f aca="false">SUM(B970:F970)</f>
        <v>0</v>
      </c>
      <c r="H970" s="473" t="n">
        <f aca="false">'☆掛負収入'!H970</f>
        <v>0</v>
      </c>
      <c r="I970" s="475" t="n">
        <f aca="false">'☆掛負収入'!I970</f>
        <v>0</v>
      </c>
      <c r="J970" s="160" t="n">
        <f aca="false">SUM(H970:I970)</f>
        <v>0</v>
      </c>
      <c r="K970" s="473" t="n">
        <f aca="false">'☆掛負収入'!K970</f>
        <v>0</v>
      </c>
      <c r="L970" s="475" t="n">
        <f aca="false">'☆掛負収入'!L970</f>
        <v>0</v>
      </c>
      <c r="M970" s="160" t="n">
        <f aca="false">SUM(K970:L970)</f>
        <v>0</v>
      </c>
      <c r="N970" s="473" t="n">
        <f aca="false">'☆掛負収入'!N970</f>
        <v>0</v>
      </c>
      <c r="O970" s="475" t="n">
        <f aca="false">'☆掛負収入'!O970</f>
        <v>0</v>
      </c>
      <c r="P970" s="160" t="n">
        <f aca="false">SUM(N970:O970)</f>
        <v>0</v>
      </c>
    </row>
    <row r="971" customFormat="false" ht="18.75" hidden="false" customHeight="true" outlineLevel="0" collapsed="false">
      <c r="A971" s="125" t="str">
        <f aca="false">'☆掛負収入'!A971</f>
        <v>病院労働組合</v>
      </c>
      <c r="B971" s="474" t="n">
        <f aca="false">'☆掛負収入'!B971</f>
        <v>27450</v>
      </c>
      <c r="C971" s="402" t="n">
        <f aca="false">'☆掛負収入'!C971</f>
        <v>2250</v>
      </c>
      <c r="D971" s="474" t="n">
        <f aca="false">'☆掛負収入'!D971</f>
        <v>27450</v>
      </c>
      <c r="E971" s="488" t="n">
        <f aca="false">'☆掛負収入'!E971</f>
        <v>2250</v>
      </c>
      <c r="F971" s="221"/>
      <c r="G971" s="206" t="n">
        <f aca="false">SUM(B971:F971)</f>
        <v>59400</v>
      </c>
      <c r="H971" s="473" t="n">
        <f aca="false">'☆掛負収入'!H971</f>
        <v>33006</v>
      </c>
      <c r="I971" s="475" t="n">
        <f aca="false">'☆掛負収入'!I971</f>
        <v>33066</v>
      </c>
      <c r="J971" s="160" t="n">
        <f aca="false">SUM(H971:I971)</f>
        <v>66072</v>
      </c>
      <c r="K971" s="473" t="n">
        <f aca="false">'☆掛負収入'!K971</f>
        <v>2370</v>
      </c>
      <c r="L971" s="475" t="n">
        <f aca="false">'☆掛負収入'!L971</f>
        <v>2370</v>
      </c>
      <c r="M971" s="160" t="n">
        <f aca="false">SUM(K971:L971)</f>
        <v>4740</v>
      </c>
      <c r="N971" s="473" t="n">
        <f aca="false">'☆掛負収入'!N971</f>
        <v>1</v>
      </c>
      <c r="O971" s="475" t="n">
        <f aca="false">'☆掛負収入'!O971</f>
        <v>1</v>
      </c>
      <c r="P971" s="160" t="n">
        <f aca="false">SUM(N971:O971)</f>
        <v>2</v>
      </c>
    </row>
    <row r="972" customFormat="false" ht="18.75" hidden="false" customHeight="true" outlineLevel="0" collapsed="false">
      <c r="A972" s="302" t="str">
        <f aca="false">'☆掛負収入'!A972</f>
        <v>水道労働組合</v>
      </c>
      <c r="B972" s="516"/>
      <c r="C972" s="517"/>
      <c r="D972" s="516"/>
      <c r="E972" s="492"/>
      <c r="F972" s="296"/>
      <c r="G972" s="206" t="n">
        <f aca="false">SUM(B972:F972)</f>
        <v>0</v>
      </c>
      <c r="H972" s="521"/>
      <c r="I972" s="519"/>
      <c r="J972" s="160" t="n">
        <f aca="false">SUM(H972:I972)</f>
        <v>0</v>
      </c>
      <c r="K972" s="667"/>
      <c r="L972" s="518"/>
      <c r="M972" s="160" t="n">
        <f aca="false">SUM(K972:L972)</f>
        <v>0</v>
      </c>
      <c r="N972" s="667"/>
      <c r="O972" s="518"/>
      <c r="P972" s="160" t="n">
        <f aca="false">SUM(N972:O972)</f>
        <v>0</v>
      </c>
    </row>
    <row r="973" customFormat="false" ht="18.75" hidden="false" customHeight="true" outlineLevel="0" collapsed="false">
      <c r="A973" s="196" t="str">
        <f aca="false">'☆掛負収入'!A973</f>
        <v>小　計</v>
      </c>
      <c r="B973" s="429" t="n">
        <f aca="false">SUM(B969:B972)</f>
        <v>56730</v>
      </c>
      <c r="C973" s="200" t="n">
        <f aca="false">SUM(C969:C972)</f>
        <v>4650</v>
      </c>
      <c r="D973" s="429" t="n">
        <f aca="false">SUM(D969:D972)</f>
        <v>56730</v>
      </c>
      <c r="E973" s="199" t="n">
        <f aca="false">SUM(E969:E972)</f>
        <v>4650</v>
      </c>
      <c r="F973" s="198" t="n">
        <f aca="false">SUM(F969:F972)</f>
        <v>0</v>
      </c>
      <c r="G973" s="197" t="n">
        <f aca="false">SUM(B973:F973)</f>
        <v>122760</v>
      </c>
      <c r="H973" s="429" t="n">
        <f aca="false">SUM(H969:H972)</f>
        <v>50609</v>
      </c>
      <c r="I973" s="199" t="n">
        <f aca="false">SUM(I969:I972)</f>
        <v>50701</v>
      </c>
      <c r="J973" s="200" t="n">
        <f aca="false">SUM(H973:I973)</f>
        <v>101310</v>
      </c>
      <c r="K973" s="197" t="n">
        <f aca="false">SUM(K969:K972)</f>
        <v>4898</v>
      </c>
      <c r="L973" s="198" t="n">
        <f aca="false">SUM(L969:L972)</f>
        <v>4898</v>
      </c>
      <c r="M973" s="200" t="n">
        <f aca="false">SUM(K973:L973)</f>
        <v>9796</v>
      </c>
      <c r="N973" s="197" t="n">
        <f aca="false">SUM(N969:N972)</f>
        <v>2</v>
      </c>
      <c r="O973" s="198" t="n">
        <f aca="false">SUM(O969:O972)</f>
        <v>2</v>
      </c>
      <c r="P973" s="200" t="n">
        <f aca="false">SUM(N973:O973)</f>
        <v>4</v>
      </c>
    </row>
    <row r="974" customFormat="false" ht="18.75" hidden="false" customHeight="true" outlineLevel="0" collapsed="false">
      <c r="A974" s="302" t="str">
        <f aca="false">'☆掛負収入'!A974</f>
        <v>任意継続組合員</v>
      </c>
      <c r="B974" s="281"/>
      <c r="C974" s="523"/>
      <c r="D974" s="524"/>
      <c r="E974" s="525"/>
      <c r="F974" s="296"/>
      <c r="G974" s="293"/>
      <c r="H974" s="678"/>
      <c r="I974" s="282"/>
      <c r="J974" s="283"/>
      <c r="K974" s="524"/>
      <c r="L974" s="679"/>
      <c r="M974" s="292"/>
      <c r="N974" s="524"/>
      <c r="O974" s="679"/>
      <c r="P974" s="292"/>
    </row>
    <row r="975" customFormat="false" ht="30" hidden="false" customHeight="true" outlineLevel="0" collapsed="false">
      <c r="A975" s="680" t="str">
        <f aca="false">'☆掛負収入'!A975</f>
        <v>総　　計</v>
      </c>
      <c r="B975" s="429" t="n">
        <f aca="false">SUM(B932+B963+B968+B973)</f>
        <v>3198840</v>
      </c>
      <c r="C975" s="200" t="n">
        <f aca="false">SUM(C932+C963+C968+C973)</f>
        <v>262200</v>
      </c>
      <c r="D975" s="681" t="n">
        <f aca="false">SUM(D932+D963+D968+D973)</f>
        <v>8678775</v>
      </c>
      <c r="E975" s="199" t="n">
        <f aca="false">SUM(E932+E963+E968+E973)</f>
        <v>711375</v>
      </c>
      <c r="F975" s="201" t="n">
        <f aca="false">SUM(F932+F963+F968+F973)</f>
        <v>9093</v>
      </c>
      <c r="G975" s="197" t="n">
        <f aca="false">SUM(B975:F975)</f>
        <v>12860283</v>
      </c>
      <c r="H975" s="429" t="n">
        <f aca="false">SUM(H932+H963+H968+H973+H974)</f>
        <v>1806499</v>
      </c>
      <c r="I975" s="199" t="n">
        <f aca="false">SUM(I932+I963+I968+I973+I974)</f>
        <v>5254414</v>
      </c>
      <c r="J975" s="200" t="n">
        <f aca="false">SUM(H975:I975)</f>
        <v>7060913</v>
      </c>
      <c r="K975" s="197" t="n">
        <f aca="false">K932+K963+K968+K973+K974</f>
        <v>181739</v>
      </c>
      <c r="L975" s="198" t="n">
        <f aca="false">L932+L963+L968+L973</f>
        <v>587737</v>
      </c>
      <c r="M975" s="200" t="n">
        <f aca="false">SUM(K975:L975)</f>
        <v>769476</v>
      </c>
      <c r="N975" s="197" t="n">
        <f aca="false">N932+N963+N968+N973+N974</f>
        <v>11</v>
      </c>
      <c r="O975" s="198" t="n">
        <f aca="false">O932+O963+O968+O973</f>
        <v>22</v>
      </c>
      <c r="P975" s="200" t="n">
        <f aca="false">SUM(N975:O975)</f>
        <v>33</v>
      </c>
    </row>
    <row r="976" customFormat="false" ht="18.75" hidden="false" customHeight="true" outlineLevel="0" collapsed="false">
      <c r="A976" s="340"/>
      <c r="B976" s="341"/>
      <c r="C976" s="341"/>
      <c r="D976" s="341"/>
      <c r="E976" s="341"/>
      <c r="F976" s="341"/>
      <c r="G976" s="341"/>
      <c r="H976" s="341"/>
      <c r="I976" s="341"/>
      <c r="J976" s="341"/>
      <c r="K976" s="341"/>
      <c r="L976" s="341"/>
      <c r="M976" s="341"/>
      <c r="N976" s="341"/>
      <c r="O976" s="341"/>
      <c r="P976" s="341"/>
    </row>
    <row r="977" customFormat="false" ht="30" hidden="false" customHeight="true" outlineLevel="0" collapsed="false">
      <c r="A977" s="320"/>
      <c r="B977" s="777" t="str">
        <f aca="false">'☆掛負収入'!B977</f>
        <v>令和8年度</v>
      </c>
      <c r="C977" s="777"/>
      <c r="D977" s="778" t="str">
        <f aca="false">'☆掛負収入'!D977</f>
        <v>給与改定差額分（賞与）　6月分 </v>
      </c>
      <c r="E977" s="778"/>
      <c r="F977" s="778"/>
      <c r="G977" s="778"/>
      <c r="H977" s="777" t="str">
        <f aca="false">B977</f>
        <v>令和8年度</v>
      </c>
      <c r="I977" s="779" t="str">
        <f aca="false">D977</f>
        <v>給与改定差額分（賞与）　6月分 </v>
      </c>
      <c r="J977" s="779"/>
      <c r="K977" s="777" t="str">
        <f aca="false">H977</f>
        <v>令和8年度</v>
      </c>
      <c r="L977" s="779" t="str">
        <f aca="false">I977</f>
        <v>給与改定差額分（賞与）　6月分 </v>
      </c>
      <c r="M977" s="779"/>
      <c r="N977" s="777" t="str">
        <f aca="false">K977</f>
        <v>令和8年度</v>
      </c>
      <c r="O977" s="779" t="str">
        <f aca="false">L977</f>
        <v>給与改定差額分（賞与）　6月分 </v>
      </c>
      <c r="P977" s="779"/>
    </row>
    <row r="978" customFormat="false" ht="22.5" hidden="false" customHeight="true" outlineLevel="0" collapsed="false">
      <c r="A978" s="114" t="str">
        <f aca="false">'☆掛負収入'!A978</f>
        <v>区　　分</v>
      </c>
      <c r="B978" s="114" t="str">
        <f aca="false">'☆掛負収入'!B978</f>
        <v>長　期　経　理</v>
      </c>
      <c r="C978" s="114" t="n">
        <f aca="false">'☆掛負収入'!C978</f>
        <v>0</v>
      </c>
      <c r="D978" s="114" t="n">
        <f aca="false">'☆掛負収入'!D978</f>
        <v>0</v>
      </c>
      <c r="E978" s="114" t="n">
        <f aca="false">'☆掛負収入'!E978</f>
        <v>0</v>
      </c>
      <c r="F978" s="114" t="n">
        <f aca="false">'☆掛負収入'!F978</f>
        <v>0</v>
      </c>
      <c r="G978" s="114" t="n">
        <f aca="false">'☆掛負収入'!G978</f>
        <v>0</v>
      </c>
      <c r="H978" s="116" t="str">
        <f aca="false">'☆掛負収入'!H978</f>
        <v>短　期　経　理</v>
      </c>
      <c r="I978" s="116" t="n">
        <f aca="false">'☆掛負収入'!I978</f>
        <v>0</v>
      </c>
      <c r="J978" s="116" t="n">
        <f aca="false">'☆掛負収入'!J978</f>
        <v>0</v>
      </c>
      <c r="K978" s="116" t="str">
        <f aca="false">'☆掛負収入'!K978</f>
        <v>介　護　納　付　金</v>
      </c>
      <c r="L978" s="116" t="n">
        <f aca="false">'☆掛負収入'!L978</f>
        <v>0</v>
      </c>
      <c r="M978" s="116" t="n">
        <f aca="false">'☆掛負収入'!M978</f>
        <v>0</v>
      </c>
      <c r="N978" s="116" t="str">
        <f aca="false">'☆掛負収入'!N978</f>
        <v>子ども・子育て支援納付金</v>
      </c>
      <c r="O978" s="116" t="n">
        <f aca="false">'☆掛負収入'!O978</f>
        <v>0</v>
      </c>
      <c r="P978" s="116" t="n">
        <f aca="false">'☆掛負収入'!P978</f>
        <v>0</v>
      </c>
    </row>
    <row r="979" customFormat="false" ht="22.5" hidden="false" customHeight="true" outlineLevel="0" collapsed="false">
      <c r="A979" s="114" t="n">
        <f aca="false">'☆掛負収入'!A979</f>
        <v>0</v>
      </c>
      <c r="B979" s="117" t="str">
        <f aca="false">'☆掛負収入'!B979</f>
        <v>組合員負担分</v>
      </c>
      <c r="C979" s="117" t="n">
        <f aca="false">'☆掛負収入'!C979</f>
        <v>0</v>
      </c>
      <c r="D979" s="117" t="str">
        <f aca="false">'☆掛負収入'!D979</f>
        <v>事業主負担分</v>
      </c>
      <c r="E979" s="117" t="n">
        <f aca="false">'☆掛負収入'!E979</f>
        <v>0</v>
      </c>
      <c r="F979" s="117" t="n">
        <f aca="false">'☆掛負収入'!F979</f>
        <v>0</v>
      </c>
      <c r="G979" s="611" t="str">
        <f aca="false">'☆掛負収入'!G979</f>
        <v>計</v>
      </c>
      <c r="H979" s="121" t="str">
        <f aca="false">'☆掛負収入'!H979</f>
        <v>掛　金</v>
      </c>
      <c r="I979" s="119" t="str">
        <f aca="false">'☆掛負収入'!I979</f>
        <v>負担金</v>
      </c>
      <c r="J979" s="120" t="str">
        <f aca="false">'☆掛負収入'!J979</f>
        <v>計</v>
      </c>
      <c r="K979" s="121" t="str">
        <f aca="false">'☆掛負収入'!K979</f>
        <v>掛　金</v>
      </c>
      <c r="L979" s="119" t="str">
        <f aca="false">'☆掛負収入'!L979</f>
        <v>負担金</v>
      </c>
      <c r="M979" s="120" t="str">
        <f aca="false">'☆掛負収入'!M979</f>
        <v>計</v>
      </c>
      <c r="N979" s="121" t="str">
        <f aca="false">'☆掛負収入'!N979</f>
        <v>掛　金</v>
      </c>
      <c r="O979" s="119" t="str">
        <f aca="false">'☆掛負収入'!O979</f>
        <v>負担金</v>
      </c>
      <c r="P979" s="120" t="str">
        <f aca="false">'☆掛負収入'!P979</f>
        <v>計</v>
      </c>
    </row>
    <row r="980" customFormat="false" ht="22.5" hidden="false" customHeight="true" outlineLevel="0" collapsed="false">
      <c r="A980" s="114" t="n">
        <f aca="false">'☆掛負収入'!A980</f>
        <v>0</v>
      </c>
      <c r="B980" s="612" t="str">
        <f aca="false">'☆掛負収入'!B980</f>
        <v>厚生年金保険料</v>
      </c>
      <c r="C980" s="613" t="str">
        <f aca="false">'☆掛負収入'!C980</f>
        <v>退職等年金掛金</v>
      </c>
      <c r="D980" s="614" t="str">
        <f aca="false">'☆掛負収入'!D980</f>
        <v>厚生年金保険料</v>
      </c>
      <c r="E980" s="614" t="str">
        <f aca="false">'☆掛負収入'!E980</f>
        <v>退職等年金負担金</v>
      </c>
      <c r="F980" s="615" t="str">
        <f aca="false">'☆掛負収入'!F980</f>
        <v>経過的長期</v>
      </c>
      <c r="G980" s="611" t="n">
        <f aca="false">'☆掛負収入'!G980</f>
        <v>0</v>
      </c>
      <c r="H980" s="121" t="n">
        <f aca="false">'☆掛負収入'!H980</f>
        <v>0</v>
      </c>
      <c r="I980" s="119" t="n">
        <f aca="false">'☆掛負収入'!I980</f>
        <v>0</v>
      </c>
      <c r="J980" s="120" t="n">
        <f aca="false">'☆掛負収入'!J980</f>
        <v>0</v>
      </c>
      <c r="K980" s="121" t="n">
        <f aca="false">'☆掛負収入'!K980</f>
        <v>0</v>
      </c>
      <c r="L980" s="119" t="n">
        <f aca="false">'☆掛負収入'!L980</f>
        <v>0</v>
      </c>
      <c r="M980" s="120" t="n">
        <f aca="false">'☆掛負収入'!M980</f>
        <v>0</v>
      </c>
      <c r="N980" s="121" t="n">
        <f aca="false">'☆掛負収入'!N980</f>
        <v>0</v>
      </c>
      <c r="O980" s="119" t="n">
        <f aca="false">'☆掛負収入'!O980</f>
        <v>0</v>
      </c>
      <c r="P980" s="120" t="n">
        <f aca="false">'☆掛負収入'!P980</f>
        <v>0</v>
      </c>
    </row>
    <row r="981" customFormat="false" ht="18.75" hidden="false" customHeight="true" outlineLevel="0" collapsed="false">
      <c r="A981" s="125" t="str">
        <f aca="false">'☆掛負収入'!A981</f>
        <v>市長部局</v>
      </c>
      <c r="B981" s="616"/>
      <c r="C981" s="389"/>
      <c r="D981" s="617"/>
      <c r="E981" s="617"/>
      <c r="F981" s="209"/>
      <c r="G981" s="389"/>
      <c r="H981" s="616"/>
      <c r="I981" s="618"/>
      <c r="J981" s="206"/>
      <c r="K981" s="619"/>
      <c r="L981" s="618"/>
      <c r="M981" s="206"/>
      <c r="N981" s="619"/>
      <c r="O981" s="618"/>
      <c r="P981" s="206"/>
    </row>
    <row r="982" customFormat="false" ht="18.75" hidden="false" customHeight="true" outlineLevel="0" collapsed="false">
      <c r="A982" s="125" t="str">
        <f aca="false">'☆掛負収入'!A982</f>
        <v>下水道局</v>
      </c>
      <c r="B982" s="431"/>
      <c r="C982" s="206"/>
      <c r="D982" s="617"/>
      <c r="E982" s="617"/>
      <c r="F982" s="160"/>
      <c r="G982" s="206"/>
      <c r="H982" s="619"/>
      <c r="I982" s="449"/>
      <c r="J982" s="160"/>
      <c r="K982" s="620"/>
      <c r="L982" s="621"/>
      <c r="M982" s="160"/>
      <c r="N982" s="620"/>
      <c r="O982" s="621"/>
      <c r="P982" s="160"/>
    </row>
    <row r="983" customFormat="false" ht="18.75" hidden="false" customHeight="true" outlineLevel="0" collapsed="false">
      <c r="A983" s="125" t="str">
        <f aca="false">'☆掛負収入'!A983</f>
        <v>消防局</v>
      </c>
      <c r="B983" s="431"/>
      <c r="C983" s="206"/>
      <c r="D983" s="617"/>
      <c r="E983" s="617"/>
      <c r="F983" s="160"/>
      <c r="G983" s="206"/>
      <c r="H983" s="620"/>
      <c r="I983" s="464"/>
      <c r="J983" s="160"/>
      <c r="K983" s="620"/>
      <c r="L983" s="464"/>
      <c r="M983" s="160"/>
      <c r="N983" s="620"/>
      <c r="O983" s="464"/>
      <c r="P983" s="160"/>
    </row>
    <row r="984" customFormat="false" ht="18.75" hidden="false" customHeight="true" outlineLevel="0" collapsed="false">
      <c r="A984" s="125" t="str">
        <f aca="false">'☆掛負収入'!A984</f>
        <v>議会事務局</v>
      </c>
      <c r="B984" s="431"/>
      <c r="C984" s="206"/>
      <c r="D984" s="617"/>
      <c r="E984" s="617"/>
      <c r="F984" s="160"/>
      <c r="G984" s="206"/>
      <c r="H984" s="431"/>
      <c r="I984" s="464"/>
      <c r="J984" s="160"/>
      <c r="K984" s="431"/>
      <c r="L984" s="464"/>
      <c r="M984" s="160"/>
      <c r="N984" s="431"/>
      <c r="O984" s="464"/>
      <c r="P984" s="160"/>
    </row>
    <row r="985" customFormat="false" ht="18.75" hidden="false" customHeight="true" outlineLevel="0" collapsed="false">
      <c r="A985" s="125" t="str">
        <f aca="false">'☆掛負収入'!A985</f>
        <v>教育委員会（総務課）</v>
      </c>
      <c r="B985" s="431"/>
      <c r="C985" s="206"/>
      <c r="D985" s="617"/>
      <c r="E985" s="617"/>
      <c r="F985" s="160"/>
      <c r="G985" s="206"/>
      <c r="H985" s="431"/>
      <c r="I985" s="464"/>
      <c r="J985" s="160"/>
      <c r="K985" s="431"/>
      <c r="L985" s="464"/>
      <c r="M985" s="160"/>
      <c r="N985" s="431"/>
      <c r="O985" s="464"/>
      <c r="P985" s="160"/>
    </row>
    <row r="986" customFormat="false" ht="18.75" hidden="false" customHeight="true" outlineLevel="0" collapsed="false">
      <c r="A986" s="125" t="str">
        <f aca="false">'☆掛負収入'!A986</f>
        <v>選挙管理委員会</v>
      </c>
      <c r="B986" s="431"/>
      <c r="C986" s="206"/>
      <c r="D986" s="617"/>
      <c r="E986" s="617"/>
      <c r="F986" s="160"/>
      <c r="G986" s="206"/>
      <c r="H986" s="619"/>
      <c r="I986" s="449"/>
      <c r="J986" s="160"/>
      <c r="K986" s="431"/>
      <c r="L986" s="464"/>
      <c r="M986" s="160"/>
      <c r="N986" s="431"/>
      <c r="O986" s="464"/>
      <c r="P986" s="160"/>
    </row>
    <row r="987" customFormat="false" ht="18.75" hidden="false" customHeight="true" outlineLevel="0" collapsed="false">
      <c r="A987" s="125" t="str">
        <f aca="false">'☆掛負収入'!A987</f>
        <v>人事委員会</v>
      </c>
      <c r="B987" s="431"/>
      <c r="C987" s="206"/>
      <c r="D987" s="617"/>
      <c r="E987" s="617"/>
      <c r="F987" s="160"/>
      <c r="G987" s="206"/>
      <c r="H987" s="619"/>
      <c r="I987" s="449"/>
      <c r="J987" s="160"/>
      <c r="K987" s="619"/>
      <c r="L987" s="449"/>
      <c r="M987" s="160"/>
      <c r="N987" s="619"/>
      <c r="O987" s="449"/>
      <c r="P987" s="160"/>
    </row>
    <row r="988" customFormat="false" ht="18.75" hidden="false" customHeight="true" outlineLevel="0" collapsed="false">
      <c r="A988" s="125" t="str">
        <f aca="false">'☆掛負収入'!A988</f>
        <v>監査事務局</v>
      </c>
      <c r="B988" s="431"/>
      <c r="C988" s="206"/>
      <c r="D988" s="617"/>
      <c r="E988" s="617"/>
      <c r="F988" s="160"/>
      <c r="G988" s="206"/>
      <c r="H988" s="619"/>
      <c r="I988" s="449"/>
      <c r="J988" s="160"/>
      <c r="K988" s="619"/>
      <c r="L988" s="449"/>
      <c r="M988" s="160"/>
      <c r="N988" s="619"/>
      <c r="O988" s="449"/>
      <c r="P988" s="160"/>
    </row>
    <row r="989" customFormat="false" ht="18.75" hidden="false" customHeight="true" outlineLevel="0" collapsed="false">
      <c r="A989" s="125" t="str">
        <f aca="false">'☆掛負収入'!A989</f>
        <v>農業委員会</v>
      </c>
      <c r="B989" s="431"/>
      <c r="C989" s="206"/>
      <c r="D989" s="617"/>
      <c r="E989" s="617"/>
      <c r="F989" s="160"/>
      <c r="G989" s="206"/>
      <c r="H989" s="619"/>
      <c r="I989" s="449"/>
      <c r="J989" s="160"/>
      <c r="K989" s="619"/>
      <c r="L989" s="449"/>
      <c r="M989" s="160"/>
      <c r="N989" s="619"/>
      <c r="O989" s="449"/>
      <c r="P989" s="160"/>
    </row>
    <row r="990" customFormat="false" ht="18.75" hidden="false" customHeight="true" outlineLevel="0" collapsed="false">
      <c r="A990" s="125" t="str">
        <f aca="false">'☆掛負収入'!A990</f>
        <v>水道局</v>
      </c>
      <c r="B990" s="431"/>
      <c r="C990" s="206"/>
      <c r="D990" s="617"/>
      <c r="E990" s="617"/>
      <c r="F990" s="160"/>
      <c r="G990" s="206"/>
      <c r="H990" s="619"/>
      <c r="I990" s="449"/>
      <c r="J990" s="160"/>
      <c r="K990" s="619"/>
      <c r="L990" s="449"/>
      <c r="M990" s="160"/>
      <c r="N990" s="619"/>
      <c r="O990" s="449"/>
      <c r="P990" s="160"/>
    </row>
    <row r="991" customFormat="false" ht="18.75" hidden="false" customHeight="true" outlineLevel="0" collapsed="false">
      <c r="A991" s="146" t="str">
        <f aca="false">'☆掛負収入'!A991</f>
        <v>医療政策課(安芸市民)</v>
      </c>
      <c r="B991" s="620"/>
      <c r="C991" s="391"/>
      <c r="D991" s="620"/>
      <c r="E991" s="621"/>
      <c r="F991" s="418"/>
      <c r="G991" s="206"/>
      <c r="H991" s="622"/>
      <c r="I991" s="432"/>
      <c r="J991" s="160"/>
      <c r="K991" s="619"/>
      <c r="L991" s="449"/>
      <c r="M991" s="160"/>
      <c r="N991" s="619"/>
      <c r="O991" s="449"/>
      <c r="P991" s="160"/>
    </row>
    <row r="992" customFormat="false" ht="18.75" hidden="false" customHeight="true" outlineLevel="0" collapsed="false">
      <c r="A992" s="146" t="str">
        <f aca="false">'☆掛負収入'!A992</f>
        <v>教育委員会（教育給与課）</v>
      </c>
      <c r="B992" s="620"/>
      <c r="C992" s="206"/>
      <c r="D992" s="431"/>
      <c r="E992" s="623"/>
      <c r="F992" s="309"/>
      <c r="G992" s="206"/>
      <c r="H992" s="619"/>
      <c r="I992" s="449"/>
      <c r="J992" s="160"/>
      <c r="K992" s="619"/>
      <c r="L992" s="449"/>
      <c r="M992" s="160"/>
      <c r="N992" s="619"/>
      <c r="O992" s="449"/>
      <c r="P992" s="160"/>
    </row>
    <row r="993" customFormat="false" ht="18.75" hidden="true" customHeight="true" outlineLevel="0" collapsed="false">
      <c r="A993" s="624"/>
      <c r="B993" s="625"/>
      <c r="C993" s="235"/>
      <c r="D993" s="625"/>
      <c r="E993" s="626"/>
      <c r="F993" s="221"/>
      <c r="G993" s="712"/>
      <c r="H993" s="627"/>
      <c r="I993" s="628"/>
      <c r="J993" s="628"/>
      <c r="K993" s="627"/>
      <c r="L993" s="628"/>
      <c r="M993" s="220"/>
      <c r="N993" s="627"/>
      <c r="O993" s="628"/>
      <c r="P993" s="220"/>
    </row>
    <row r="994" customFormat="false" ht="18.75" hidden="true" customHeight="true" outlineLevel="0" collapsed="false">
      <c r="A994" s="629"/>
      <c r="B994" s="482"/>
      <c r="C994" s="157"/>
      <c r="D994" s="482"/>
      <c r="E994" s="483"/>
      <c r="F994" s="484"/>
      <c r="G994" s="460"/>
      <c r="H994" s="482"/>
      <c r="I994" s="483"/>
      <c r="J994" s="483"/>
      <c r="K994" s="482"/>
      <c r="L994" s="483"/>
      <c r="M994" s="155"/>
      <c r="N994" s="482"/>
      <c r="O994" s="483"/>
      <c r="P994" s="155"/>
    </row>
    <row r="995" customFormat="false" ht="18.75" hidden="true" customHeight="true" outlineLevel="0" collapsed="false">
      <c r="A995" s="629"/>
      <c r="B995" s="625"/>
      <c r="C995" s="235"/>
      <c r="D995" s="625"/>
      <c r="E995" s="626"/>
      <c r="F995" s="221"/>
      <c r="G995" s="712"/>
      <c r="H995" s="625"/>
      <c r="I995" s="626"/>
      <c r="J995" s="626"/>
      <c r="K995" s="625"/>
      <c r="L995" s="626"/>
      <c r="M995" s="721"/>
      <c r="N995" s="625"/>
      <c r="O995" s="626"/>
      <c r="P995" s="721"/>
    </row>
    <row r="996" customFormat="false" ht="18.75" hidden="true" customHeight="true" outlineLevel="0" collapsed="false">
      <c r="A996" s="630"/>
      <c r="B996" s="631"/>
      <c r="C996" s="632"/>
      <c r="D996" s="631"/>
      <c r="E996" s="515"/>
      <c r="F996" s="633"/>
      <c r="G996" s="714"/>
      <c r="H996" s="482"/>
      <c r="I996" s="634"/>
      <c r="J996" s="634"/>
      <c r="K996" s="482"/>
      <c r="L996" s="483"/>
      <c r="M996" s="155"/>
      <c r="N996" s="482"/>
      <c r="O996" s="483"/>
      <c r="P996" s="155"/>
    </row>
    <row r="997" customFormat="false" ht="18.75" hidden="false" customHeight="true" outlineLevel="0" collapsed="false">
      <c r="A997" s="196" t="str">
        <f aca="false">'☆掛負収入'!A997</f>
        <v>市長部局等　計</v>
      </c>
      <c r="B997" s="429"/>
      <c r="C997" s="199"/>
      <c r="D997" s="429"/>
      <c r="E997" s="199"/>
      <c r="F997" s="200"/>
      <c r="G997" s="201"/>
      <c r="H997" s="429"/>
      <c r="I997" s="199"/>
      <c r="J997" s="198"/>
      <c r="K997" s="429"/>
      <c r="L997" s="199"/>
      <c r="M997" s="198"/>
      <c r="N997" s="429"/>
      <c r="O997" s="199"/>
      <c r="P997" s="198"/>
    </row>
    <row r="998" customFormat="false" ht="18.75" hidden="false" customHeight="true" outlineLevel="0" collapsed="false">
      <c r="A998" s="202" t="str">
        <f aca="false">'☆掛負収入'!A998</f>
        <v>地方税共同機構</v>
      </c>
      <c r="B998" s="474" t="n">
        <f aca="false">'☆掛負収入'!B998</f>
        <v>0</v>
      </c>
      <c r="C998" s="402" t="n">
        <f aca="false">'☆掛負収入'!C998</f>
        <v>0</v>
      </c>
      <c r="D998" s="494" t="n">
        <f aca="false">'☆掛負収入'!D998</f>
        <v>0</v>
      </c>
      <c r="E998" s="488" t="n">
        <f aca="false">'☆掛負収入'!E998</f>
        <v>0</v>
      </c>
      <c r="F998" s="475" t="n">
        <f aca="false">'☆掛負収入'!F998</f>
        <v>0</v>
      </c>
      <c r="G998" s="691" t="n">
        <f aca="false">SUM(B998:F998)</f>
        <v>0</v>
      </c>
      <c r="H998" s="619" t="n">
        <f aca="false">'☆掛負収入'!H998</f>
        <v>0</v>
      </c>
      <c r="I998" s="449" t="n">
        <f aca="false">'☆掛負収入'!I998</f>
        <v>0</v>
      </c>
      <c r="J998" s="160" t="n">
        <f aca="false">SUM(H998:I998)</f>
        <v>0</v>
      </c>
      <c r="K998" s="464" t="n">
        <f aca="false">'☆掛負収入'!K998</f>
        <v>0</v>
      </c>
      <c r="L998" s="449" t="n">
        <f aca="false">'☆掛負収入'!L998</f>
        <v>0</v>
      </c>
      <c r="M998" s="160" t="n">
        <f aca="false">SUM(K998:L998)</f>
        <v>0</v>
      </c>
      <c r="N998" s="464" t="n">
        <f aca="false">'☆掛負収入'!N998</f>
        <v>0</v>
      </c>
      <c r="O998" s="449" t="n">
        <f aca="false">'☆掛負収入'!O998</f>
        <v>0</v>
      </c>
      <c r="P998" s="160" t="n">
        <f aca="false">SUM(N998:O998)</f>
        <v>0</v>
      </c>
    </row>
    <row r="999" customFormat="false" ht="18.75" hidden="false" customHeight="true" outlineLevel="0" collapsed="false">
      <c r="A999" s="125" t="str">
        <f aca="false">'☆掛負収入'!A999</f>
        <v>平和文化センター</v>
      </c>
      <c r="B999" s="474" t="n">
        <f aca="false">'☆掛負収入'!B999</f>
        <v>0</v>
      </c>
      <c r="C999" s="402" t="n">
        <f aca="false">'☆掛負収入'!C999</f>
        <v>0</v>
      </c>
      <c r="D999" s="489" t="n">
        <f aca="false">'☆掛負収入'!D999</f>
        <v>35318</v>
      </c>
      <c r="E999" s="477" t="n">
        <f aca="false">'☆掛負収入'!E999</f>
        <v>2894</v>
      </c>
      <c r="F999" s="475" t="n">
        <f aca="false">'☆掛負収入'!F999</f>
        <v>39</v>
      </c>
      <c r="G999" s="693" t="n">
        <f aca="false">SUM(B999:F999)</f>
        <v>38251</v>
      </c>
      <c r="H999" s="619" t="n">
        <f aca="false">'☆掛負収入'!H999</f>
        <v>0</v>
      </c>
      <c r="I999" s="475" t="n">
        <f aca="false">'☆掛負収入'!I999</f>
        <v>23174</v>
      </c>
      <c r="J999" s="160" t="n">
        <f aca="false">SUM(H999:I999)</f>
        <v>23174</v>
      </c>
      <c r="K999" s="464" t="n">
        <f aca="false">'☆掛負収入'!K999</f>
        <v>0</v>
      </c>
      <c r="L999" s="449" t="n">
        <f aca="false">'☆掛負収入'!L999</f>
        <v>2583</v>
      </c>
      <c r="M999" s="160" t="n">
        <f aca="false">SUM(K999:L999)</f>
        <v>2583</v>
      </c>
      <c r="N999" s="464" t="n">
        <f aca="false">'☆掛負収入'!N999</f>
        <v>0</v>
      </c>
      <c r="O999" s="449" t="n">
        <f aca="false">'☆掛負収入'!O999</f>
        <v>1</v>
      </c>
      <c r="P999" s="160" t="n">
        <f aca="false">SUM(N999:O999)</f>
        <v>1</v>
      </c>
    </row>
    <row r="1000" customFormat="false" ht="18.75" hidden="false" customHeight="true" outlineLevel="0" collapsed="false">
      <c r="A1000" s="125" t="str">
        <f aca="false">'☆掛負収入'!A1000</f>
        <v>社会福祉事業団</v>
      </c>
      <c r="B1000" s="625"/>
      <c r="C1000" s="235"/>
      <c r="D1000" s="476" t="n">
        <f aca="false">'☆掛負収入'!D1000</f>
        <v>98681</v>
      </c>
      <c r="E1000" s="478" t="n">
        <f aca="false">'☆掛負収入'!E1000</f>
        <v>8089</v>
      </c>
      <c r="F1000" s="475" t="n">
        <f aca="false">'☆掛負収入'!F1000</f>
        <v>100</v>
      </c>
      <c r="G1000" s="693" t="n">
        <f aca="false">SUM(B1000:F1000)</f>
        <v>106870</v>
      </c>
      <c r="H1000" s="627"/>
      <c r="I1000" s="475" t="n">
        <f aca="false">'☆掛負収入'!I1000</f>
        <v>66823</v>
      </c>
      <c r="J1000" s="160" t="n">
        <f aca="false">SUM(H1000:I1000)</f>
        <v>66823</v>
      </c>
      <c r="K1000" s="478" t="n">
        <f aca="false">'☆掛負収入'!K1000</f>
        <v>0</v>
      </c>
      <c r="L1000" s="475" t="n">
        <f aca="false">'☆掛負収入'!L1000</f>
        <v>6660</v>
      </c>
      <c r="M1000" s="160" t="n">
        <f aca="false">SUM(K1000:L1000)</f>
        <v>6660</v>
      </c>
      <c r="N1000" s="478" t="n">
        <f aca="false">'☆掛負収入'!N1000</f>
        <v>0</v>
      </c>
      <c r="O1000" s="475" t="n">
        <f aca="false">'☆掛負収入'!O1000</f>
        <v>1</v>
      </c>
      <c r="P1000" s="160" t="n">
        <f aca="false">SUM(N1000:O1000)</f>
        <v>1</v>
      </c>
    </row>
    <row r="1001" customFormat="false" ht="18.75" hidden="false" customHeight="true" outlineLevel="0" collapsed="false">
      <c r="A1001" s="125" t="str">
        <f aca="false">'☆掛負収入'!A1001</f>
        <v>原爆障害対策協議会</v>
      </c>
      <c r="B1001" s="625"/>
      <c r="C1001" s="235"/>
      <c r="D1001" s="470" t="n">
        <f aca="false">'☆掛負収入'!D1001</f>
        <v>2562</v>
      </c>
      <c r="E1001" s="478" t="n">
        <f aca="false">'☆掛負収入'!E1001</f>
        <v>210</v>
      </c>
      <c r="F1001" s="475" t="n">
        <f aca="false">'☆掛負収入'!F1001</f>
        <v>3</v>
      </c>
      <c r="G1001" s="693" t="n">
        <f aca="false">SUM(B1001:F1001)</f>
        <v>2775</v>
      </c>
      <c r="H1001" s="627"/>
      <c r="I1001" s="475" t="n">
        <f aca="false">'☆掛負収入'!I1001</f>
        <v>1543</v>
      </c>
      <c r="J1001" s="160" t="n">
        <f aca="false">SUM(H1001:I1001)</f>
        <v>1543</v>
      </c>
      <c r="K1001" s="637"/>
      <c r="L1001" s="475" t="n">
        <f aca="false">'☆掛負収入'!L1001</f>
        <v>221</v>
      </c>
      <c r="M1001" s="160" t="n">
        <f aca="false">SUM(K1001:L1001)</f>
        <v>221</v>
      </c>
      <c r="N1001" s="637"/>
      <c r="O1001" s="475" t="n">
        <f aca="false">'☆掛負収入'!O1001</f>
        <v>1</v>
      </c>
      <c r="P1001" s="160" t="n">
        <f aca="false">SUM(N1001:O1001)</f>
        <v>1</v>
      </c>
    </row>
    <row r="1002" customFormat="false" ht="18.75" hidden="false" customHeight="true" outlineLevel="0" collapsed="false">
      <c r="A1002" s="214" t="str">
        <f aca="false">'☆掛負収入'!A1002</f>
        <v>産業振興センター</v>
      </c>
      <c r="B1002" s="625"/>
      <c r="C1002" s="235"/>
      <c r="D1002" s="470" t="n">
        <f aca="false">'☆掛負収入'!D1002</f>
        <v>21914</v>
      </c>
      <c r="E1002" s="478" t="n">
        <f aca="false">'☆掛負収入'!E1002</f>
        <v>1796</v>
      </c>
      <c r="F1002" s="475" t="n">
        <f aca="false">'☆掛負収入'!F1002</f>
        <v>21</v>
      </c>
      <c r="G1002" s="693" t="n">
        <f aca="false">SUM(B1002:F1002)</f>
        <v>23731</v>
      </c>
      <c r="H1002" s="627"/>
      <c r="I1002" s="475" t="n">
        <f aca="false">'☆掛負収入'!I1002</f>
        <v>13199</v>
      </c>
      <c r="J1002" s="160" t="n">
        <f aca="false">SUM(H1002:I1002)</f>
        <v>13199</v>
      </c>
      <c r="K1002" s="637"/>
      <c r="L1002" s="475" t="n">
        <f aca="false">'☆掛負収入'!L1002</f>
        <v>1749</v>
      </c>
      <c r="M1002" s="160" t="n">
        <f aca="false">SUM(K1002:L1002)</f>
        <v>1749</v>
      </c>
      <c r="N1002" s="637"/>
      <c r="O1002" s="475" t="n">
        <f aca="false">'☆掛負収入'!O1002</f>
        <v>1</v>
      </c>
      <c r="P1002" s="160" t="n">
        <f aca="false">SUM(N1002:O1002)</f>
        <v>1</v>
      </c>
    </row>
    <row r="1003" customFormat="false" ht="18.75" hidden="false" customHeight="true" outlineLevel="0" collapsed="false">
      <c r="A1003" s="146" t="str">
        <f aca="false">'☆掛負収入'!A1003</f>
        <v>ひろしま産業振興</v>
      </c>
      <c r="B1003" s="625"/>
      <c r="C1003" s="484"/>
      <c r="D1003" s="470" t="n">
        <f aca="false">'☆掛負収入'!D1003</f>
        <v>4941</v>
      </c>
      <c r="E1003" s="478" t="n">
        <f aca="false">'☆掛負収入'!E1003</f>
        <v>405</v>
      </c>
      <c r="F1003" s="481" t="n">
        <f aca="false">'☆掛負収入'!F1003</f>
        <v>5</v>
      </c>
      <c r="G1003" s="693" t="n">
        <f aca="false">SUM(B1003:F1003)</f>
        <v>5351</v>
      </c>
      <c r="H1003" s="627"/>
      <c r="I1003" s="481" t="n">
        <f aca="false">'☆掛負収入'!I1003</f>
        <v>2976</v>
      </c>
      <c r="J1003" s="160" t="n">
        <f aca="false">SUM(H1003:I1003)</f>
        <v>2976</v>
      </c>
      <c r="K1003" s="637"/>
      <c r="L1003" s="481" t="n">
        <f aca="false">'☆掛負収入'!L1003</f>
        <v>426</v>
      </c>
      <c r="M1003" s="160" t="n">
        <f aca="false">SUM(K1003:L1003)</f>
        <v>426</v>
      </c>
      <c r="N1003" s="637"/>
      <c r="O1003" s="481" t="n">
        <f aca="false">'☆掛負収入'!O1003</f>
        <v>1</v>
      </c>
      <c r="P1003" s="160" t="n">
        <f aca="false">SUM(N1003:O1003)</f>
        <v>1</v>
      </c>
    </row>
    <row r="1004" customFormat="false" ht="18.75" hidden="false" customHeight="true" outlineLevel="0" collapsed="false">
      <c r="A1004" s="146" t="str">
        <f aca="false">'☆掛負収入'!A1004</f>
        <v>都市整備公社　市</v>
      </c>
      <c r="B1004" s="625"/>
      <c r="C1004" s="484"/>
      <c r="D1004" s="476" t="n">
        <f aca="false">'☆掛負収入'!D1004</f>
        <v>2608</v>
      </c>
      <c r="E1004" s="478" t="n">
        <f aca="false">'☆掛負収入'!E1004</f>
        <v>213</v>
      </c>
      <c r="F1004" s="475" t="n">
        <f aca="false">'☆掛負収入'!F1004</f>
        <v>3</v>
      </c>
      <c r="G1004" s="693" t="n">
        <f aca="false">SUM(B1004:F1004)</f>
        <v>2824</v>
      </c>
      <c r="H1004" s="627"/>
      <c r="I1004" s="475" t="n">
        <f aca="false">'☆掛負収入'!I1004</f>
        <v>1571</v>
      </c>
      <c r="J1004" s="160" t="n">
        <f aca="false">SUM(H1004:I1004)</f>
        <v>1571</v>
      </c>
      <c r="K1004" s="637"/>
      <c r="L1004" s="475" t="n">
        <f aca="false">'☆掛負収入'!L1004</f>
        <v>225</v>
      </c>
      <c r="M1004" s="160" t="n">
        <f aca="false">SUM(K1004:L1004)</f>
        <v>225</v>
      </c>
      <c r="N1004" s="637"/>
      <c r="O1004" s="475" t="n">
        <f aca="false">'☆掛負収入'!O1004</f>
        <v>1</v>
      </c>
      <c r="P1004" s="160" t="n">
        <f aca="false">SUM(N1004:O1004)</f>
        <v>1</v>
      </c>
    </row>
    <row r="1005" customFormat="false" ht="18.75" hidden="false" customHeight="true" outlineLevel="0" collapsed="false">
      <c r="A1005" s="217"/>
      <c r="B1005" s="625"/>
      <c r="C1005" s="221"/>
      <c r="D1005" s="474"/>
      <c r="E1005" s="478"/>
      <c r="F1005" s="475"/>
      <c r="G1005" s="693"/>
      <c r="H1005" s="627"/>
      <c r="I1005" s="475"/>
      <c r="J1005" s="160"/>
      <c r="K1005" s="637"/>
      <c r="L1005" s="475"/>
      <c r="M1005" s="160" t="n">
        <f aca="false">SUM(K1005:L1005)</f>
        <v>0</v>
      </c>
      <c r="N1005" s="637"/>
      <c r="O1005" s="475"/>
      <c r="P1005" s="160" t="n">
        <f aca="false">SUM(N1005:O1005)</f>
        <v>0</v>
      </c>
    </row>
    <row r="1006" customFormat="false" ht="18.75" hidden="false" customHeight="true" outlineLevel="0" collapsed="false">
      <c r="A1006" s="146" t="str">
        <f aca="false">'☆掛負収入'!A1006</f>
        <v>日本下水道事業団</v>
      </c>
      <c r="B1006" s="476" t="n">
        <f aca="false">'☆掛負収入'!B1006</f>
        <v>20541</v>
      </c>
      <c r="C1006" s="248" t="n">
        <f aca="false">'☆掛負収入'!C1006</f>
        <v>1683</v>
      </c>
      <c r="D1006" s="474" t="n">
        <f aca="false">'☆掛負収入'!D1006</f>
        <v>20542</v>
      </c>
      <c r="E1006" s="478" t="n">
        <f aca="false">'☆掛負収入'!E1006</f>
        <v>1683</v>
      </c>
      <c r="F1006" s="475" t="n">
        <f aca="false">'☆掛負収入'!F1006</f>
        <v>20</v>
      </c>
      <c r="G1006" s="693" t="n">
        <f aca="false">SUM(B1006:F1006)</f>
        <v>44469</v>
      </c>
      <c r="H1006" s="473" t="n">
        <f aca="false">'☆掛負収入'!H1006</f>
        <v>12350</v>
      </c>
      <c r="I1006" s="475" t="n">
        <f aca="false">'☆掛負収入'!I1006</f>
        <v>12372</v>
      </c>
      <c r="J1006" s="160" t="n">
        <f aca="false">SUM(H1006:I1006)</f>
        <v>24722</v>
      </c>
      <c r="K1006" s="478" t="n">
        <f aca="false">'☆掛負収入'!K1006</f>
        <v>668</v>
      </c>
      <c r="L1006" s="475" t="n">
        <f aca="false">'☆掛負収入'!L1006</f>
        <v>667</v>
      </c>
      <c r="M1006" s="160" t="n">
        <f aca="false">SUM(K1006:L1006)</f>
        <v>1335</v>
      </c>
      <c r="N1006" s="478" t="n">
        <f aca="false">'☆掛負収入'!N1006</f>
        <v>1</v>
      </c>
      <c r="O1006" s="475" t="n">
        <f aca="false">'☆掛負収入'!O1006</f>
        <v>1</v>
      </c>
      <c r="P1006" s="160" t="n">
        <f aca="false">SUM(N1006:O1006)</f>
        <v>2</v>
      </c>
    </row>
    <row r="1007" customFormat="false" ht="18.75" hidden="false" customHeight="true" outlineLevel="0" collapsed="false">
      <c r="A1007" s="125" t="str">
        <f aca="false">'☆掛負収入'!A1007</f>
        <v>地方公務員災害補償基金本部</v>
      </c>
      <c r="B1007" s="476" t="n">
        <f aca="false">'☆掛負収入'!B1007</f>
        <v>3156</v>
      </c>
      <c r="C1007" s="248" t="n">
        <f aca="false">'☆掛負収入'!C1007</f>
        <v>258</v>
      </c>
      <c r="D1007" s="474" t="n">
        <f aca="false">'☆掛負収入'!D1007</f>
        <v>3157</v>
      </c>
      <c r="E1007" s="478" t="n">
        <f aca="false">'☆掛負収入'!E1007</f>
        <v>258</v>
      </c>
      <c r="F1007" s="475" t="n">
        <f aca="false">'☆掛負収入'!F1007</f>
        <v>3</v>
      </c>
      <c r="G1007" s="693" t="n">
        <f aca="false">SUM(B1007:F1007)</f>
        <v>6832</v>
      </c>
      <c r="H1007" s="473" t="n">
        <f aca="false">'☆掛負収入'!H1007</f>
        <v>1897</v>
      </c>
      <c r="I1007" s="475" t="n">
        <f aca="false">'☆掛負収入'!I1007</f>
        <v>1901</v>
      </c>
      <c r="J1007" s="160" t="n">
        <f aca="false">SUM(H1007:I1007)</f>
        <v>3798</v>
      </c>
      <c r="K1007" s="478" t="n">
        <f aca="false">'☆掛負収入'!K1007</f>
        <v>0</v>
      </c>
      <c r="L1007" s="475" t="n">
        <f aca="false">'☆掛負収入'!L1007</f>
        <v>0</v>
      </c>
      <c r="M1007" s="160" t="n">
        <f aca="false">SUM(K1007:L1007)</f>
        <v>0</v>
      </c>
      <c r="N1007" s="478" t="n">
        <f aca="false">'☆掛負収入'!N1007</f>
        <v>1</v>
      </c>
      <c r="O1007" s="475" t="n">
        <f aca="false">'☆掛負収入'!O1007</f>
        <v>1</v>
      </c>
      <c r="P1007" s="160" t="n">
        <f aca="false">SUM(N1007:O1007)</f>
        <v>2</v>
      </c>
    </row>
    <row r="1008" customFormat="false" ht="18.75" hidden="false" customHeight="true" outlineLevel="0" collapsed="false">
      <c r="A1008" s="222"/>
      <c r="B1008" s="474"/>
      <c r="C1008" s="248"/>
      <c r="D1008" s="474"/>
      <c r="E1008" s="478"/>
      <c r="F1008" s="475"/>
      <c r="G1008" s="693"/>
      <c r="H1008" s="619"/>
      <c r="I1008" s="475"/>
      <c r="J1008" s="160"/>
      <c r="K1008" s="464"/>
      <c r="L1008" s="449"/>
      <c r="M1008" s="160" t="n">
        <f aca="false">SUM(K1008:L1008)</f>
        <v>0</v>
      </c>
      <c r="N1008" s="464"/>
      <c r="O1008" s="449"/>
      <c r="P1008" s="160" t="n">
        <f aca="false">SUM(N1008:O1008)</f>
        <v>0</v>
      </c>
    </row>
    <row r="1009" customFormat="false" ht="18.75" hidden="false" customHeight="true" outlineLevel="0" collapsed="false">
      <c r="A1009" s="125" t="str">
        <f aca="false">'☆掛負収入'!A1009</f>
        <v>高速道路公社</v>
      </c>
      <c r="B1009" s="489" t="n">
        <f aca="false">'☆掛負収入'!B1009</f>
        <v>47211</v>
      </c>
      <c r="C1009" s="479" t="n">
        <f aca="false">'☆掛負収入'!C1009</f>
        <v>3867</v>
      </c>
      <c r="D1009" s="489" t="n">
        <f aca="false">'☆掛負収入'!D1009</f>
        <v>47214</v>
      </c>
      <c r="E1009" s="495" t="n">
        <f aca="false">'☆掛負収入'!E1009</f>
        <v>3869</v>
      </c>
      <c r="F1009" s="497" t="n">
        <f aca="false">'☆掛負収入'!F1009</f>
        <v>49</v>
      </c>
      <c r="G1009" s="693" t="n">
        <f aca="false">SUM(B1009:F1009)</f>
        <v>102210</v>
      </c>
      <c r="H1009" s="496" t="n">
        <f aca="false">'☆掛負収入'!H1009</f>
        <v>29266</v>
      </c>
      <c r="I1009" s="497" t="n">
        <f aca="false">'☆掛負収入'!I1009</f>
        <v>29319</v>
      </c>
      <c r="J1009" s="160" t="n">
        <f aca="false">SUM(H1009:I1009)</f>
        <v>58585</v>
      </c>
      <c r="K1009" s="495" t="n">
        <f aca="false">'☆掛負収入'!K1009</f>
        <v>2587</v>
      </c>
      <c r="L1009" s="497" t="n">
        <f aca="false">'☆掛負収入'!L1009</f>
        <v>2587</v>
      </c>
      <c r="M1009" s="160" t="n">
        <f aca="false">SUM(K1009:L1009)</f>
        <v>5174</v>
      </c>
      <c r="N1009" s="495" t="n">
        <f aca="false">'☆掛負収入'!N1009</f>
        <v>1</v>
      </c>
      <c r="O1009" s="497" t="n">
        <f aca="false">'☆掛負収入'!O1009</f>
        <v>1</v>
      </c>
      <c r="P1009" s="160" t="n">
        <f aca="false">SUM(N1009:O1009)</f>
        <v>2</v>
      </c>
    </row>
    <row r="1010" customFormat="false" ht="18.75" hidden="false" customHeight="true" outlineLevel="0" collapsed="false">
      <c r="A1010" s="125" t="str">
        <f aca="false">'☆掛負収入'!A1010</f>
        <v>農林水産振興センタ</v>
      </c>
      <c r="B1010" s="482"/>
      <c r="C1010" s="484"/>
      <c r="D1010" s="476" t="n">
        <f aca="false">'☆掛負収入'!D1010</f>
        <v>31613</v>
      </c>
      <c r="E1010" s="498" t="n">
        <f aca="false">'☆掛負収入'!E1010</f>
        <v>2591</v>
      </c>
      <c r="F1010" s="481" t="n">
        <f aca="false">'☆掛負収入'!F1010</f>
        <v>34</v>
      </c>
      <c r="G1010" s="693" t="n">
        <f aca="false">SUM(B1010:F1010)</f>
        <v>34238</v>
      </c>
      <c r="H1010" s="641"/>
      <c r="I1010" s="481" t="n">
        <f aca="false">'☆掛負収入'!I1010</f>
        <v>19041</v>
      </c>
      <c r="J1010" s="160" t="n">
        <f aca="false">SUM(H1010:I1010)</f>
        <v>19041</v>
      </c>
      <c r="K1010" s="642"/>
      <c r="L1010" s="481" t="n">
        <f aca="false">'☆掛負収入'!L1010</f>
        <v>1434</v>
      </c>
      <c r="M1010" s="160" t="n">
        <f aca="false">SUM(K1010:L1010)</f>
        <v>1434</v>
      </c>
      <c r="N1010" s="642"/>
      <c r="O1010" s="481" t="n">
        <f aca="false">'☆掛負収入'!O1010</f>
        <v>1</v>
      </c>
      <c r="P1010" s="160" t="n">
        <f aca="false">SUM(N1010:O1010)</f>
        <v>1</v>
      </c>
    </row>
    <row r="1011" customFormat="false" ht="18.75" hidden="false" customHeight="true" outlineLevel="0" collapsed="false">
      <c r="A1011" s="228" t="str">
        <f aca="false">'☆掛負収入'!A1011</f>
        <v>文化財団　市長部局</v>
      </c>
      <c r="B1011" s="625"/>
      <c r="C1011" s="221"/>
      <c r="D1011" s="474" t="n">
        <f aca="false">'☆掛負収入'!D1011</f>
        <v>64508</v>
      </c>
      <c r="E1011" s="478" t="n">
        <f aca="false">'☆掛負収入'!E1011</f>
        <v>5287</v>
      </c>
      <c r="F1011" s="481" t="n">
        <f aca="false">'☆掛負収入'!F1011</f>
        <v>67</v>
      </c>
      <c r="G1011" s="693" t="n">
        <f aca="false">SUM(B1011:F1011)</f>
        <v>69862</v>
      </c>
      <c r="H1011" s="627"/>
      <c r="I1011" s="481" t="n">
        <f aca="false">'☆掛負収入'!I1011</f>
        <v>38852</v>
      </c>
      <c r="J1011" s="160" t="n">
        <f aca="false">SUM(H1011:I1011)</f>
        <v>38852</v>
      </c>
      <c r="K1011" s="637"/>
      <c r="L1011" s="481" t="n">
        <f aca="false">'☆掛負収入'!L1011</f>
        <v>5218</v>
      </c>
      <c r="M1011" s="160" t="n">
        <f aca="false">SUM(K1011:L1011)</f>
        <v>5218</v>
      </c>
      <c r="N1011" s="637"/>
      <c r="O1011" s="481" t="n">
        <f aca="false">'☆掛負収入'!O1011</f>
        <v>1</v>
      </c>
      <c r="P1011" s="160" t="n">
        <f aca="false">SUM(N1011:O1011)</f>
        <v>1</v>
      </c>
    </row>
    <row r="1012" customFormat="false" ht="18.75" hidden="false" customHeight="true" outlineLevel="0" collapsed="false">
      <c r="A1012" s="229"/>
      <c r="B1012" s="625"/>
      <c r="C1012" s="221"/>
      <c r="D1012" s="474"/>
      <c r="E1012" s="478"/>
      <c r="F1012" s="481"/>
      <c r="G1012" s="693"/>
      <c r="H1012" s="627"/>
      <c r="I1012" s="481"/>
      <c r="J1012" s="160"/>
      <c r="K1012" s="637"/>
      <c r="L1012" s="481"/>
      <c r="M1012" s="160" t="n">
        <f aca="false">SUM(K1012:L1012)</f>
        <v>0</v>
      </c>
      <c r="N1012" s="637"/>
      <c r="O1012" s="481"/>
      <c r="P1012" s="160" t="n">
        <f aca="false">SUM(N1012:O1012)</f>
        <v>0</v>
      </c>
    </row>
    <row r="1013" customFormat="false" ht="18.75" hidden="false" customHeight="true" outlineLevel="0" collapsed="false">
      <c r="A1013" s="125" t="str">
        <f aca="false">'☆掛負収入'!A1013</f>
        <v>みどり生きもの協会</v>
      </c>
      <c r="B1013" s="625"/>
      <c r="C1013" s="221"/>
      <c r="D1013" s="474" t="n">
        <f aca="false">'☆掛負収入'!D1013</f>
        <v>22739</v>
      </c>
      <c r="E1013" s="478" t="n">
        <f aca="false">'☆掛負収入'!E1013</f>
        <v>1864</v>
      </c>
      <c r="F1013" s="481" t="n">
        <f aca="false">'☆掛負収入'!F1013</f>
        <v>23</v>
      </c>
      <c r="G1013" s="693" t="n">
        <f aca="false">SUM(B1013:F1013)</f>
        <v>24626</v>
      </c>
      <c r="H1013" s="627"/>
      <c r="I1013" s="481" t="n">
        <f aca="false">'☆掛負収入'!I1013</f>
        <v>13694</v>
      </c>
      <c r="J1013" s="160" t="n">
        <f aca="false">SUM(H1013:I1013)</f>
        <v>13694</v>
      </c>
      <c r="K1013" s="637"/>
      <c r="L1013" s="481" t="n">
        <f aca="false">'☆掛負収入'!L1013</f>
        <v>1964</v>
      </c>
      <c r="M1013" s="160" t="n">
        <f aca="false">SUM(K1013:L1013)</f>
        <v>1964</v>
      </c>
      <c r="N1013" s="637"/>
      <c r="O1013" s="481" t="n">
        <f aca="false">'☆掛負収入'!O1013</f>
        <v>1</v>
      </c>
      <c r="P1013" s="160" t="n">
        <f aca="false">SUM(N1013:O1013)</f>
        <v>1</v>
      </c>
    </row>
    <row r="1014" customFormat="false" ht="18.75" hidden="false" customHeight="true" outlineLevel="0" collapsed="false">
      <c r="A1014" s="146" t="str">
        <f aca="false">'☆掛負収入'!A1014</f>
        <v>県下水道公社</v>
      </c>
      <c r="B1014" s="474" t="n">
        <f aca="false">'☆掛負収入'!B1014</f>
        <v>7778</v>
      </c>
      <c r="C1014" s="248" t="n">
        <f aca="false">'☆掛負収入'!C1014</f>
        <v>638</v>
      </c>
      <c r="D1014" s="474" t="n">
        <f aca="false">'☆掛負収入'!D1014</f>
        <v>7777</v>
      </c>
      <c r="E1014" s="478" t="n">
        <f aca="false">'☆掛負収入'!E1014</f>
        <v>638</v>
      </c>
      <c r="F1014" s="481" t="n">
        <f aca="false">'☆掛負収入'!F1014</f>
        <v>8</v>
      </c>
      <c r="G1014" s="693" t="n">
        <f aca="false">SUM(B1014:F1014)</f>
        <v>16839</v>
      </c>
      <c r="H1014" s="473" t="n">
        <f aca="false">'☆掛負収入'!H1014</f>
        <v>4675</v>
      </c>
      <c r="I1014" s="481" t="n">
        <f aca="false">'☆掛負収入'!I1014</f>
        <v>4685</v>
      </c>
      <c r="J1014" s="160" t="n">
        <f aca="false">SUM(H1014:I1014)</f>
        <v>9360</v>
      </c>
      <c r="K1014" s="478" t="n">
        <f aca="false">'☆掛負収入'!K1014</f>
        <v>466</v>
      </c>
      <c r="L1014" s="481" t="n">
        <f aca="false">'☆掛負収入'!L1014</f>
        <v>466</v>
      </c>
      <c r="M1014" s="160" t="n">
        <f aca="false">SUM(K1014:L1014)</f>
        <v>932</v>
      </c>
      <c r="N1014" s="478" t="n">
        <f aca="false">'☆掛負収入'!N1014</f>
        <v>1</v>
      </c>
      <c r="O1014" s="481" t="n">
        <f aca="false">'☆掛負収入'!O1014</f>
        <v>1</v>
      </c>
      <c r="P1014" s="160" t="n">
        <f aca="false">SUM(N1014:O1014)</f>
        <v>2</v>
      </c>
    </row>
    <row r="1015" customFormat="false" ht="18.75" hidden="false" customHeight="true" outlineLevel="0" collapsed="false">
      <c r="A1015" s="146" t="str">
        <f aca="false">'☆掛負収入'!A1015</f>
        <v>バス協調・共創
プラットフォーム</v>
      </c>
      <c r="B1015" s="482"/>
      <c r="C1015" s="484"/>
      <c r="D1015" s="476" t="n">
        <f aca="false">'☆掛負収入'!D1015</f>
        <v>21640</v>
      </c>
      <c r="E1015" s="498" t="n">
        <f aca="false">'☆掛負収入'!E1015</f>
        <v>1773</v>
      </c>
      <c r="F1015" s="481" t="n">
        <f aca="false">'☆掛負収入'!F1015</f>
        <v>22</v>
      </c>
      <c r="G1015" s="693" t="n">
        <f aca="false">SUM(B1015:F1015)</f>
        <v>23435</v>
      </c>
      <c r="H1015" s="641"/>
      <c r="I1015" s="481" t="n">
        <f aca="false">'☆掛負収入'!I1015</f>
        <v>14191</v>
      </c>
      <c r="J1015" s="160" t="n">
        <f aca="false">SUM(H1015:I1015)</f>
        <v>14191</v>
      </c>
      <c r="K1015" s="642"/>
      <c r="L1015" s="481" t="n">
        <f aca="false">'☆掛負収入'!L1015</f>
        <v>1220</v>
      </c>
      <c r="M1015" s="160" t="n">
        <f aca="false">SUM(K1015:L1015)</f>
        <v>1220</v>
      </c>
      <c r="N1015" s="642"/>
      <c r="O1015" s="481" t="n">
        <f aca="false">'☆掛負収入'!O1015</f>
        <v>1</v>
      </c>
      <c r="P1015" s="160" t="n">
        <f aca="false">SUM(N1015:O1015)</f>
        <v>1</v>
      </c>
    </row>
    <row r="1016" customFormat="false" ht="18.75" hidden="false" customHeight="true" outlineLevel="0" collapsed="false">
      <c r="A1016" s="146" t="str">
        <f aca="false">'☆掛負収入'!A1016</f>
        <v>広島県市長会</v>
      </c>
      <c r="B1016" s="474" t="n">
        <f aca="false">'☆掛負収入'!B1016</f>
        <v>2837</v>
      </c>
      <c r="C1016" s="248" t="n">
        <f aca="false">'☆掛負収入'!C1016</f>
        <v>233</v>
      </c>
      <c r="D1016" s="474" t="n">
        <f aca="false">'☆掛負収入'!D1016</f>
        <v>2836</v>
      </c>
      <c r="E1016" s="478" t="n">
        <f aca="false">'☆掛負収入'!E1016</f>
        <v>233</v>
      </c>
      <c r="F1016" s="475" t="n">
        <f aca="false">'☆掛負収入'!F1016</f>
        <v>3</v>
      </c>
      <c r="G1016" s="693" t="n">
        <f aca="false">SUM(B1016:F1016)</f>
        <v>6142</v>
      </c>
      <c r="H1016" s="619" t="n">
        <f aca="false">'☆掛負収入'!H1016</f>
        <v>1706</v>
      </c>
      <c r="I1016" s="475" t="n">
        <f aca="false">'☆掛負収入'!I1016</f>
        <v>1709</v>
      </c>
      <c r="J1016" s="160" t="n">
        <f aca="false">SUM(H1016:I1016)</f>
        <v>3415</v>
      </c>
      <c r="K1016" s="464" t="n">
        <f aca="false">'☆掛負収入'!K1016</f>
        <v>245</v>
      </c>
      <c r="L1016" s="475" t="n">
        <f aca="false">'☆掛負収入'!L1016</f>
        <v>245</v>
      </c>
      <c r="M1016" s="160" t="n">
        <f aca="false">SUM(K1016:L1016)</f>
        <v>490</v>
      </c>
      <c r="N1016" s="464" t="n">
        <f aca="false">'☆掛負収入'!N1016</f>
        <v>1</v>
      </c>
      <c r="O1016" s="475" t="n">
        <f aca="false">'☆掛負収入'!O1016</f>
        <v>1</v>
      </c>
      <c r="P1016" s="160" t="n">
        <f aca="false">SUM(N1016:O1016)</f>
        <v>2</v>
      </c>
    </row>
    <row r="1017" customFormat="false" ht="18.75" hidden="false" customHeight="true" outlineLevel="0" collapsed="false">
      <c r="A1017" s="214" t="str">
        <f aca="false">'☆掛負収入'!A1017</f>
        <v>全国市町村研修財団</v>
      </c>
      <c r="B1017" s="476" t="n">
        <f aca="false">'☆掛負収入'!B1017</f>
        <v>1052</v>
      </c>
      <c r="C1017" s="248" t="n">
        <f aca="false">'☆掛負収入'!C1017</f>
        <v>86</v>
      </c>
      <c r="D1017" s="474" t="n">
        <f aca="false">'☆掛負収入'!D1017</f>
        <v>1052</v>
      </c>
      <c r="E1017" s="478" t="n">
        <f aca="false">'☆掛負収入'!E1017</f>
        <v>86</v>
      </c>
      <c r="F1017" s="475" t="n">
        <f aca="false">'☆掛負収入'!F1017</f>
        <v>1</v>
      </c>
      <c r="G1017" s="693" t="n">
        <f aca="false">SUM(B1017:F1017)</f>
        <v>2277</v>
      </c>
      <c r="H1017" s="473" t="n">
        <f aca="false">'☆掛負収入'!H1017</f>
        <v>3026</v>
      </c>
      <c r="I1017" s="475" t="n">
        <f aca="false">'☆掛負収入'!I1017</f>
        <v>3031</v>
      </c>
      <c r="J1017" s="160" t="n">
        <f aca="false">SUM(H1017:I1017)</f>
        <v>6057</v>
      </c>
      <c r="K1017" s="478" t="n">
        <f aca="false">'☆掛負収入'!K1017</f>
        <v>434</v>
      </c>
      <c r="L1017" s="475" t="n">
        <f aca="false">'☆掛負収入'!L1017</f>
        <v>434</v>
      </c>
      <c r="M1017" s="160" t="n">
        <f aca="false">SUM(K1017:L1017)</f>
        <v>868</v>
      </c>
      <c r="N1017" s="478" t="n">
        <f aca="false">'☆掛負収入'!N1017</f>
        <v>1</v>
      </c>
      <c r="O1017" s="475" t="n">
        <f aca="false">'☆掛負収入'!O1017</f>
        <v>1</v>
      </c>
      <c r="P1017" s="160" t="n">
        <f aca="false">SUM(N1017:O1017)</f>
        <v>2</v>
      </c>
    </row>
    <row r="1018" customFormat="false" ht="18.75" hidden="false" customHeight="true" outlineLevel="0" collapsed="false">
      <c r="A1018" s="214" t="str">
        <f aca="false">'☆掛負収入'!A1018</f>
        <v>都市再生機構</v>
      </c>
      <c r="B1018" s="474" t="n">
        <f aca="false">'☆掛負収入'!B1018</f>
        <v>1875</v>
      </c>
      <c r="C1018" s="248" t="n">
        <f aca="false">'☆掛負収入'!C1018</f>
        <v>153</v>
      </c>
      <c r="D1018" s="474" t="n">
        <f aca="false">'☆掛負収入'!D1018</f>
        <v>1876</v>
      </c>
      <c r="E1018" s="478" t="n">
        <f aca="false">'☆掛負収入'!E1018</f>
        <v>153</v>
      </c>
      <c r="F1018" s="475" t="n">
        <f aca="false">'☆掛負収入'!F1018</f>
        <v>2</v>
      </c>
      <c r="G1018" s="693" t="n">
        <f aca="false">SUM(B1018:F1018)</f>
        <v>4059</v>
      </c>
      <c r="H1018" s="473" t="n">
        <f aca="false">'☆掛負収入'!H1018</f>
        <v>1128</v>
      </c>
      <c r="I1018" s="475" t="n">
        <f aca="false">'☆掛負収入'!I1018</f>
        <v>1130</v>
      </c>
      <c r="J1018" s="160" t="n">
        <f aca="false">SUM(H1018:I1018)</f>
        <v>2258</v>
      </c>
      <c r="K1018" s="478" t="n">
        <f aca="false">'☆掛負収入'!K1018</f>
        <v>0</v>
      </c>
      <c r="L1018" s="475" t="n">
        <f aca="false">'☆掛負収入'!L1018</f>
        <v>0</v>
      </c>
      <c r="M1018" s="160" t="n">
        <f aca="false">SUM(K1018:L1018)</f>
        <v>0</v>
      </c>
      <c r="N1018" s="478" t="n">
        <f aca="false">'☆掛負収入'!N1018</f>
        <v>1</v>
      </c>
      <c r="O1018" s="475" t="n">
        <f aca="false">'☆掛負収入'!O1018</f>
        <v>1</v>
      </c>
      <c r="P1018" s="160" t="n">
        <f aca="false">SUM(N1018:O1018)</f>
        <v>2</v>
      </c>
    </row>
    <row r="1019" customFormat="false" ht="18.75" hidden="false" customHeight="true" outlineLevel="0" collapsed="false">
      <c r="A1019" s="146" t="str">
        <f aca="false">'☆掛負収入'!A1019</f>
        <v>広島市立大学</v>
      </c>
      <c r="B1019" s="474" t="n">
        <f aca="false">'☆掛負収入'!B1019</f>
        <v>66200</v>
      </c>
      <c r="C1019" s="248" t="n">
        <f aca="false">'☆掛負収入'!C1019</f>
        <v>5426</v>
      </c>
      <c r="D1019" s="474" t="n">
        <f aca="false">'☆掛負収入'!D1019</f>
        <v>66200</v>
      </c>
      <c r="E1019" s="478" t="n">
        <f aca="false">'☆掛負収入'!E1019</f>
        <v>5426</v>
      </c>
      <c r="F1019" s="475" t="n">
        <f aca="false">'☆掛負収入'!F1019</f>
        <v>71</v>
      </c>
      <c r="G1019" s="693" t="n">
        <f aca="false">SUM(B1019:F1019)</f>
        <v>143323</v>
      </c>
      <c r="H1019" s="473" t="n">
        <f aca="false">'☆掛負収入'!H1019</f>
        <v>39799</v>
      </c>
      <c r="I1019" s="475" t="n">
        <f aca="false">'☆掛負収入'!I1019</f>
        <v>39874</v>
      </c>
      <c r="J1019" s="160" t="n">
        <f aca="false">SUM(H1019:I1019)</f>
        <v>79673</v>
      </c>
      <c r="K1019" s="464" t="n">
        <f aca="false">'☆掛負収入'!K1019</f>
        <v>3368</v>
      </c>
      <c r="L1019" s="449" t="n">
        <f aca="false">'☆掛負収入'!L1019</f>
        <v>3369</v>
      </c>
      <c r="M1019" s="160" t="n">
        <f aca="false">SUM(K1019:L1019)</f>
        <v>6737</v>
      </c>
      <c r="N1019" s="464" t="n">
        <f aca="false">'☆掛負収入'!N1019</f>
        <v>1</v>
      </c>
      <c r="O1019" s="449" t="n">
        <f aca="false">'☆掛負収入'!O1019</f>
        <v>1</v>
      </c>
      <c r="P1019" s="160" t="n">
        <f aca="false">SUM(N1019:O1019)</f>
        <v>2</v>
      </c>
    </row>
    <row r="1020" customFormat="false" ht="18.75" hidden="false" customHeight="true" outlineLevel="0" collapsed="false">
      <c r="A1020" s="146" t="str">
        <f aca="false">'☆掛負収入'!A1020</f>
        <v>社会福祉協議会</v>
      </c>
      <c r="B1020" s="474" t="n">
        <f aca="false">'☆掛負収入'!B1020</f>
        <v>0</v>
      </c>
      <c r="C1020" s="248" t="n">
        <f aca="false">'☆掛負収入'!C1020</f>
        <v>0</v>
      </c>
      <c r="D1020" s="474" t="n">
        <f aca="false">'☆掛負収入'!D1020</f>
        <v>9652</v>
      </c>
      <c r="E1020" s="478" t="n">
        <f aca="false">'☆掛負収入'!E1020</f>
        <v>791</v>
      </c>
      <c r="F1020" s="475" t="n">
        <f aca="false">'☆掛負収入'!F1020</f>
        <v>10</v>
      </c>
      <c r="G1020" s="693" t="n">
        <f aca="false">SUM(B1020:F1020)</f>
        <v>10453</v>
      </c>
      <c r="H1020" s="473" t="n">
        <f aca="false">'☆掛負収入'!H1020</f>
        <v>0</v>
      </c>
      <c r="I1020" s="475" t="n">
        <f aca="false">'☆掛負収入'!I1020</f>
        <v>7853</v>
      </c>
      <c r="J1020" s="160" t="n">
        <f aca="false">SUM(H1020:I1020)</f>
        <v>7853</v>
      </c>
      <c r="K1020" s="464" t="n">
        <f aca="false">'☆掛負収入'!K1020</f>
        <v>0</v>
      </c>
      <c r="L1020" s="449" t="n">
        <f aca="false">'☆掛負収入'!L1020</f>
        <v>513</v>
      </c>
      <c r="M1020" s="160" t="n">
        <f aca="false">SUM(K1020:L1020)</f>
        <v>513</v>
      </c>
      <c r="N1020" s="464" t="n">
        <f aca="false">'☆掛負収入'!N1020</f>
        <v>0</v>
      </c>
      <c r="O1020" s="449" t="n">
        <f aca="false">'☆掛負収入'!O1020</f>
        <v>1</v>
      </c>
      <c r="P1020" s="160" t="n">
        <f aca="false">SUM(N1020:O1020)</f>
        <v>1</v>
      </c>
    </row>
    <row r="1021" customFormat="false" ht="18.75" hidden="false" customHeight="true" outlineLevel="0" collapsed="false">
      <c r="A1021" s="228" t="s">
        <v>532</v>
      </c>
      <c r="B1021" s="476" t="n">
        <f aca="false">'☆掛負収入'!B1023</f>
        <v>0</v>
      </c>
      <c r="C1021" s="470" t="n">
        <f aca="false">'☆掛負収入'!C1023</f>
        <v>0</v>
      </c>
      <c r="D1021" s="476" t="n">
        <f aca="false">'☆掛負収入'!D1023</f>
        <v>0</v>
      </c>
      <c r="E1021" s="487" t="n">
        <f aca="false">'☆掛負収入'!E1023</f>
        <v>0</v>
      </c>
      <c r="F1021" s="478" t="n">
        <f aca="false">'☆掛負収入'!F1023</f>
        <v>0</v>
      </c>
      <c r="G1021" s="693" t="n">
        <f aca="false">SUM(B1021:F1021)</f>
        <v>0</v>
      </c>
      <c r="H1021" s="487" t="n">
        <f aca="false">'☆掛負収入'!H1023</f>
        <v>0</v>
      </c>
      <c r="I1021" s="487" t="n">
        <f aca="false">'☆掛負収入'!I1023</f>
        <v>0</v>
      </c>
      <c r="J1021" s="160" t="n">
        <f aca="false">SUM(H1021:I1021)</f>
        <v>0</v>
      </c>
      <c r="K1021" s="464" t="n">
        <f aca="false">'☆掛負収入'!K1023</f>
        <v>0</v>
      </c>
      <c r="L1021" s="449" t="n">
        <f aca="false">'☆掛負収入'!L1023</f>
        <v>0</v>
      </c>
      <c r="M1021" s="160" t="n">
        <f aca="false">SUM(K1021:L1021)</f>
        <v>0</v>
      </c>
      <c r="N1021" s="464" t="n">
        <f aca="false">'☆掛負収入'!N1023</f>
        <v>0</v>
      </c>
      <c r="O1021" s="449" t="n">
        <f aca="false">'☆掛負収入'!O1023</f>
        <v>0</v>
      </c>
      <c r="P1021" s="160" t="n">
        <f aca="false">SUM(N1021:O1021)</f>
        <v>0</v>
      </c>
    </row>
    <row r="1022" customFormat="false" ht="18.75" hidden="false" customHeight="true" outlineLevel="0" collapsed="false">
      <c r="A1022" s="146" t="str">
        <f aca="false">'☆掛負収入'!A1024</f>
        <v>全国市長会</v>
      </c>
      <c r="B1022" s="476" t="n">
        <f aca="false">'☆掛負収入'!B1024</f>
        <v>0</v>
      </c>
      <c r="C1022" s="470" t="n">
        <f aca="false">'☆掛負収入'!C1024</f>
        <v>0</v>
      </c>
      <c r="D1022" s="476" t="n">
        <f aca="false">'☆掛負収入'!D1024</f>
        <v>0</v>
      </c>
      <c r="E1022" s="487" t="n">
        <f aca="false">'☆掛負収入'!E1024</f>
        <v>0</v>
      </c>
      <c r="F1022" s="478" t="n">
        <f aca="false">'☆掛負収入'!F1024</f>
        <v>0</v>
      </c>
      <c r="G1022" s="693" t="n">
        <f aca="false">SUM(B1022:F1022)</f>
        <v>0</v>
      </c>
      <c r="H1022" s="487" t="n">
        <f aca="false">'☆掛負収入'!H1024</f>
        <v>3906</v>
      </c>
      <c r="I1022" s="487" t="n">
        <f aca="false">'☆掛負収入'!I1024</f>
        <v>3912</v>
      </c>
      <c r="J1022" s="160" t="n">
        <f aca="false">SUM(H1022:I1022)</f>
        <v>7818</v>
      </c>
      <c r="K1022" s="464" t="n">
        <f aca="false">'☆掛負収入'!K1024</f>
        <v>561</v>
      </c>
      <c r="L1022" s="449" t="n">
        <f aca="false">'☆掛負収入'!L1024</f>
        <v>561</v>
      </c>
      <c r="M1022" s="160" t="n">
        <f aca="false">SUM(K1022:L1022)</f>
        <v>1122</v>
      </c>
      <c r="N1022" s="464" t="n">
        <f aca="false">'☆掛負収入'!N1024</f>
        <v>1</v>
      </c>
      <c r="O1022" s="449" t="n">
        <f aca="false">'☆掛負収入'!O1024</f>
        <v>1</v>
      </c>
      <c r="P1022" s="160" t="n">
        <f aca="false">SUM(N1022:O1022)</f>
        <v>2</v>
      </c>
    </row>
    <row r="1023" customFormat="false" ht="18.75" hidden="false" customHeight="true" outlineLevel="0" collapsed="false">
      <c r="A1023" s="233"/>
      <c r="B1023" s="431"/>
      <c r="C1023" s="418"/>
      <c r="D1023" s="431"/>
      <c r="E1023" s="464"/>
      <c r="F1023" s="449"/>
      <c r="G1023" s="693"/>
      <c r="H1023" s="619"/>
      <c r="I1023" s="449"/>
      <c r="J1023" s="160"/>
      <c r="K1023" s="464"/>
      <c r="L1023" s="449"/>
      <c r="M1023" s="160"/>
      <c r="N1023" s="464"/>
      <c r="O1023" s="449"/>
      <c r="P1023" s="160"/>
    </row>
    <row r="1024" customFormat="false" ht="18.75" hidden="false" customHeight="true" outlineLevel="0" collapsed="false">
      <c r="A1024" s="233"/>
      <c r="B1024" s="620"/>
      <c r="C1024" s="391"/>
      <c r="D1024" s="620"/>
      <c r="E1024" s="621"/>
      <c r="F1024" s="432"/>
      <c r="G1024" s="693"/>
      <c r="H1024" s="620"/>
      <c r="I1024" s="465"/>
      <c r="J1024" s="160"/>
      <c r="K1024" s="621"/>
      <c r="L1024" s="465"/>
      <c r="M1024" s="160"/>
      <c r="N1024" s="621"/>
      <c r="O1024" s="465"/>
      <c r="P1024" s="160"/>
    </row>
    <row r="1025" customFormat="false" ht="18.75" hidden="false" customHeight="true" outlineLevel="0" collapsed="false">
      <c r="A1025" s="217"/>
      <c r="B1025" s="431"/>
      <c r="C1025" s="206"/>
      <c r="D1025" s="431"/>
      <c r="E1025" s="617"/>
      <c r="F1025" s="449"/>
      <c r="G1025" s="693"/>
      <c r="H1025" s="431"/>
      <c r="I1025" s="644"/>
      <c r="J1025" s="160"/>
      <c r="K1025" s="617"/>
      <c r="L1025" s="644"/>
      <c r="M1025" s="160"/>
      <c r="N1025" s="617"/>
      <c r="O1025" s="644"/>
      <c r="P1025" s="160"/>
    </row>
    <row r="1026" customFormat="false" ht="18.75" hidden="false" customHeight="true" outlineLevel="0" collapsed="false">
      <c r="A1026" s="217"/>
      <c r="B1026" s="620"/>
      <c r="C1026" s="418"/>
      <c r="D1026" s="621"/>
      <c r="E1026" s="465"/>
      <c r="F1026" s="432"/>
      <c r="G1026" s="417"/>
      <c r="H1026" s="431"/>
      <c r="I1026" s="465"/>
      <c r="J1026" s="160"/>
      <c r="K1026" s="621"/>
      <c r="L1026" s="465"/>
      <c r="M1026" s="160"/>
      <c r="N1026" s="621"/>
      <c r="O1026" s="465"/>
      <c r="P1026" s="160"/>
    </row>
    <row r="1027" customFormat="false" ht="18.75" hidden="false" customHeight="true" outlineLevel="0" collapsed="false">
      <c r="A1027" s="630"/>
      <c r="B1027" s="647"/>
      <c r="C1027" s="278"/>
      <c r="D1027" s="648"/>
      <c r="E1027" s="649"/>
      <c r="F1027" s="695"/>
      <c r="G1027" s="696"/>
      <c r="H1027" s="647"/>
      <c r="I1027" s="648"/>
      <c r="J1027" s="648"/>
      <c r="K1027" s="647"/>
      <c r="L1027" s="648"/>
      <c r="M1027" s="722" t="n">
        <f aca="false">SUM(K1027:L1027)</f>
        <v>0</v>
      </c>
      <c r="N1027" s="647"/>
      <c r="O1027" s="648"/>
      <c r="P1027" s="722" t="n">
        <f aca="false">SUM(N1027:O1027)</f>
        <v>0</v>
      </c>
    </row>
    <row r="1028" customFormat="false" ht="18.75" hidden="false" customHeight="true" outlineLevel="0" collapsed="false">
      <c r="A1028" s="196" t="str">
        <f aca="false">'☆掛負収入'!A1028</f>
        <v>派遣団体　計</v>
      </c>
      <c r="B1028" s="429" t="n">
        <f aca="false">SUM(B998:B1027)</f>
        <v>150650</v>
      </c>
      <c r="C1028" s="200" t="n">
        <f aca="false">SUM(C998:C1027)</f>
        <v>12344</v>
      </c>
      <c r="D1028" s="429" t="n">
        <f aca="false">SUM(D998:D1027)</f>
        <v>466830</v>
      </c>
      <c r="E1028" s="301" t="n">
        <f aca="false">SUM(E998:E1027)</f>
        <v>38259</v>
      </c>
      <c r="F1028" s="200" t="n">
        <f aca="false">SUM(F998:F1027)</f>
        <v>484</v>
      </c>
      <c r="G1028" s="201" t="n">
        <f aca="false">SUM(B1028:F1028)</f>
        <v>668567</v>
      </c>
      <c r="H1028" s="429" t="n">
        <f aca="false">SUM(H998:H1027)</f>
        <v>97753</v>
      </c>
      <c r="I1028" s="199" t="n">
        <f aca="false">SUM(I998:I1027)</f>
        <v>300850</v>
      </c>
      <c r="J1028" s="200" t="n">
        <f aca="false">SUM(H1028:I1028)</f>
        <v>398603</v>
      </c>
      <c r="K1028" s="429" t="n">
        <f aca="false">SUM(K998:K1027)</f>
        <v>8329</v>
      </c>
      <c r="L1028" s="199" t="n">
        <f aca="false">SUM(L998:L1027)</f>
        <v>30542</v>
      </c>
      <c r="M1028" s="198" t="n">
        <f aca="false">SUM(K1028:L1028)</f>
        <v>38871</v>
      </c>
      <c r="N1028" s="429" t="n">
        <f aca="false">SUM(N998:N1027)</f>
        <v>9</v>
      </c>
      <c r="O1028" s="199" t="n">
        <f aca="false">SUM(O998:O1027)</f>
        <v>20</v>
      </c>
      <c r="P1028" s="198" t="n">
        <f aca="false">SUM(N1028:O1028)</f>
        <v>29</v>
      </c>
    </row>
    <row r="1029" customFormat="false" ht="18.75" hidden="true" customHeight="true" outlineLevel="0" collapsed="false">
      <c r="A1029" s="629"/>
      <c r="B1029" s="647"/>
      <c r="C1029" s="278"/>
      <c r="D1029" s="648"/>
      <c r="E1029" s="649"/>
      <c r="F1029" s="650"/>
      <c r="G1029" s="651"/>
      <c r="H1029" s="652"/>
      <c r="I1029" s="653"/>
      <c r="J1029" s="654"/>
      <c r="K1029" s="655"/>
      <c r="L1029" s="656"/>
      <c r="M1029" s="657"/>
      <c r="N1029" s="655"/>
      <c r="O1029" s="656"/>
      <c r="P1029" s="657"/>
    </row>
    <row r="1030" customFormat="false" ht="18.75" hidden="true" customHeight="true" outlineLevel="0" collapsed="false">
      <c r="A1030" s="658"/>
      <c r="B1030" s="631"/>
      <c r="C1030" s="633"/>
      <c r="D1030" s="648"/>
      <c r="E1030" s="649"/>
      <c r="F1030" s="278"/>
      <c r="G1030" s="646"/>
      <c r="H1030" s="659"/>
      <c r="I1030" s="660"/>
      <c r="J1030" s="408"/>
      <c r="K1030" s="661"/>
      <c r="L1030" s="662"/>
      <c r="M1030" s="663"/>
      <c r="N1030" s="661"/>
      <c r="O1030" s="662"/>
      <c r="P1030" s="663"/>
    </row>
    <row r="1031" customFormat="false" ht="18.75" hidden="false" customHeight="true" outlineLevel="0" collapsed="false">
      <c r="A1031" s="214" t="str">
        <f aca="false">'☆掛負収入'!A1031</f>
        <v>高速交通（株）</v>
      </c>
      <c r="B1031" s="489" t="n">
        <f aca="false">'☆掛負収入'!B1031</f>
        <v>4941</v>
      </c>
      <c r="C1031" s="491" t="n">
        <f aca="false">'☆掛負収入'!C1031</f>
        <v>405</v>
      </c>
      <c r="D1031" s="477" t="n">
        <f aca="false">'☆掛負収入'!D1031</f>
        <v>4941</v>
      </c>
      <c r="E1031" s="487" t="n">
        <f aca="false">'☆掛負収入'!E1031</f>
        <v>405</v>
      </c>
      <c r="F1031" s="481" t="n">
        <f aca="false">'☆掛負収入'!F1031</f>
        <v>5</v>
      </c>
      <c r="G1031" s="691" t="n">
        <f aca="false">SUM(B1031:F1031)</f>
        <v>10697</v>
      </c>
      <c r="H1031" s="659"/>
      <c r="I1031" s="660"/>
      <c r="J1031" s="780"/>
      <c r="K1031" s="661"/>
      <c r="L1031" s="662"/>
      <c r="M1031" s="776"/>
      <c r="N1031" s="661"/>
      <c r="O1031" s="662"/>
      <c r="P1031" s="776"/>
    </row>
    <row r="1032" customFormat="false" ht="18.75" hidden="false" customHeight="true" outlineLevel="0" collapsed="false">
      <c r="A1032" s="666" t="s">
        <v>209</v>
      </c>
      <c r="B1032" s="667" t="n">
        <f aca="false">'☆掛負収入'!B1032</f>
        <v>3019</v>
      </c>
      <c r="C1032" s="692" t="n">
        <f aca="false">'☆掛負収入'!C1032</f>
        <v>247</v>
      </c>
      <c r="D1032" s="667" t="n">
        <f aca="false">'☆掛負収入'!D1032</f>
        <v>3019</v>
      </c>
      <c r="E1032" s="492" t="n">
        <f aca="false">'☆掛負収入'!E1032</f>
        <v>247</v>
      </c>
      <c r="F1032" s="495" t="n">
        <f aca="false">'☆掛負収入'!F1032</f>
        <v>3</v>
      </c>
      <c r="G1032" s="771" t="n">
        <f aca="false">SUM(B1032:F1032)</f>
        <v>6535</v>
      </c>
      <c r="H1032" s="659"/>
      <c r="I1032" s="660"/>
      <c r="J1032" s="780"/>
      <c r="K1032" s="661"/>
      <c r="L1032" s="662"/>
      <c r="M1032" s="776"/>
      <c r="N1032" s="661"/>
      <c r="O1032" s="662"/>
      <c r="P1032" s="776"/>
    </row>
    <row r="1033" customFormat="false" ht="18.75" hidden="false" customHeight="true" outlineLevel="0" collapsed="false">
      <c r="A1033" s="196" t="str">
        <f aca="false">'☆掛負収入'!A1033</f>
        <v>株式会社　計</v>
      </c>
      <c r="B1033" s="197" t="n">
        <f aca="false">SUM(B1031:B1032)</f>
        <v>7960</v>
      </c>
      <c r="C1033" s="200" t="n">
        <f aca="false">SUM(C1029:C1032)</f>
        <v>652</v>
      </c>
      <c r="D1033" s="681" t="n">
        <f aca="false">SUM(D1029:D1032)</f>
        <v>7960</v>
      </c>
      <c r="E1033" s="199" t="n">
        <f aca="false">SUM(E1029:E1032)</f>
        <v>652</v>
      </c>
      <c r="F1033" s="201" t="n">
        <f aca="false">SUM(F1029:F1032)</f>
        <v>8</v>
      </c>
      <c r="G1033" s="200" t="n">
        <f aca="false">SUM(B1033:F1033)</f>
        <v>17232</v>
      </c>
      <c r="H1033" s="674"/>
      <c r="I1033" s="677"/>
      <c r="J1033" s="781"/>
      <c r="K1033" s="782"/>
      <c r="L1033" s="783"/>
      <c r="M1033" s="784"/>
      <c r="N1033" s="782"/>
      <c r="O1033" s="783"/>
      <c r="P1033" s="784"/>
    </row>
    <row r="1034" customFormat="false" ht="18.75" hidden="false" customHeight="true" outlineLevel="0" collapsed="false">
      <c r="A1034" s="125" t="str">
        <f aca="false">'☆掛負収入'!A1034</f>
        <v>市職員労働組合</v>
      </c>
      <c r="B1034" s="474" t="n">
        <f aca="false">'☆掛負収入'!B1034</f>
        <v>3385</v>
      </c>
      <c r="C1034" s="248" t="n">
        <f aca="false">'☆掛負収入'!C1034</f>
        <v>277</v>
      </c>
      <c r="D1034" s="470" t="n">
        <f aca="false">'☆掛負収入'!D1034</f>
        <v>3385</v>
      </c>
      <c r="E1034" s="488" t="n">
        <f aca="false">'☆掛負収入'!E1034</f>
        <v>277</v>
      </c>
      <c r="F1034" s="248" t="n">
        <f aca="false">'☆掛負収入'!F1034</f>
        <v>0</v>
      </c>
      <c r="G1034" s="206" t="n">
        <f aca="false">SUM(B1034:F1034)</f>
        <v>7324</v>
      </c>
      <c r="H1034" s="473" t="n">
        <f aca="false">'☆掛負収入'!H1034</f>
        <v>2035</v>
      </c>
      <c r="I1034" s="475" t="n">
        <f aca="false">'☆掛負収入'!I1034</f>
        <v>2039</v>
      </c>
      <c r="J1034" s="160" t="n">
        <f aca="false">SUM(H1034:I1034)</f>
        <v>4074</v>
      </c>
      <c r="K1034" s="476" t="n">
        <f aca="false">'☆掛負収入'!K1034</f>
        <v>292</v>
      </c>
      <c r="L1034" s="487" t="n">
        <f aca="false">'☆掛負収入'!L1034</f>
        <v>292</v>
      </c>
      <c r="M1034" s="471" t="n">
        <f aca="false">'☆掛負収入'!M1034</f>
        <v>584</v>
      </c>
      <c r="N1034" s="476" t="n">
        <f aca="false">'☆掛負収入'!N1034</f>
        <v>1</v>
      </c>
      <c r="O1034" s="487" t="n">
        <f aca="false">'☆掛負収入'!O1034</f>
        <v>1</v>
      </c>
      <c r="P1034" s="471" t="n">
        <f aca="false">'☆掛負収入'!P1034</f>
        <v>2</v>
      </c>
    </row>
    <row r="1035" customFormat="false" ht="18.75" hidden="false" customHeight="true" outlineLevel="0" collapsed="false">
      <c r="A1035" s="125" t="str">
        <f aca="false">'☆掛負収入'!A1035</f>
        <v>自治労労働組合</v>
      </c>
      <c r="B1035" s="474" t="n">
        <f aca="false">'☆掛負収入'!B1035</f>
        <v>0</v>
      </c>
      <c r="C1035" s="402" t="n">
        <f aca="false">'☆掛負収入'!C1035</f>
        <v>0</v>
      </c>
      <c r="D1035" s="474" t="n">
        <f aca="false">'☆掛負収入'!D1035</f>
        <v>0</v>
      </c>
      <c r="E1035" s="488" t="n">
        <f aca="false">'☆掛負収入'!E1035</f>
        <v>0</v>
      </c>
      <c r="F1035" s="248" t="n">
        <f aca="false">'☆掛負収入'!F1035</f>
        <v>0</v>
      </c>
      <c r="G1035" s="206" t="n">
        <f aca="false">SUM(B1035:F1035)</f>
        <v>0</v>
      </c>
      <c r="H1035" s="473" t="n">
        <f aca="false">'☆掛負収入'!H1035</f>
        <v>0</v>
      </c>
      <c r="I1035" s="475" t="n">
        <f aca="false">'☆掛負収入'!I1035</f>
        <v>0</v>
      </c>
      <c r="J1035" s="160" t="n">
        <f aca="false">SUM(H1035:I1035)</f>
        <v>0</v>
      </c>
      <c r="K1035" s="473" t="n">
        <f aca="false">'☆掛負収入'!K1035</f>
        <v>0</v>
      </c>
      <c r="L1035" s="475" t="n">
        <f aca="false">'☆掛負収入'!L1035</f>
        <v>0</v>
      </c>
      <c r="M1035" s="160" t="n">
        <f aca="false">SUM(K1035:L1035)</f>
        <v>0</v>
      </c>
      <c r="N1035" s="473" t="n">
        <f aca="false">'☆掛負収入'!N1035</f>
        <v>0</v>
      </c>
      <c r="O1035" s="475" t="n">
        <f aca="false">'☆掛負収入'!O1035</f>
        <v>0</v>
      </c>
      <c r="P1035" s="160" t="n">
        <f aca="false">SUM(N1035:O1035)</f>
        <v>0</v>
      </c>
    </row>
    <row r="1036" customFormat="false" ht="18.75" hidden="false" customHeight="true" outlineLevel="0" collapsed="false">
      <c r="A1036" s="125" t="str">
        <f aca="false">'☆掛負収入'!A1036</f>
        <v>病院労働組合</v>
      </c>
      <c r="B1036" s="474"/>
      <c r="C1036" s="402"/>
      <c r="D1036" s="474"/>
      <c r="E1036" s="488"/>
      <c r="F1036" s="248"/>
      <c r="G1036" s="206" t="n">
        <f aca="false">SUM(B1036:F1036)</f>
        <v>0</v>
      </c>
      <c r="H1036" s="473"/>
      <c r="I1036" s="475"/>
      <c r="J1036" s="160" t="n">
        <f aca="false">SUM(H1036:I1036)</f>
        <v>0</v>
      </c>
      <c r="K1036" s="473"/>
      <c r="L1036" s="475"/>
      <c r="M1036" s="160" t="n">
        <f aca="false">SUM(K1036:L1036)</f>
        <v>0</v>
      </c>
      <c r="N1036" s="473"/>
      <c r="O1036" s="475"/>
      <c r="P1036" s="160" t="n">
        <f aca="false">SUM(N1036:O1036)</f>
        <v>0</v>
      </c>
    </row>
    <row r="1037" customFormat="false" ht="18.75" hidden="false" customHeight="true" outlineLevel="0" collapsed="false">
      <c r="A1037" s="302" t="str">
        <f aca="false">'☆掛負収入'!A1037</f>
        <v>水道労働組合</v>
      </c>
      <c r="B1037" s="516"/>
      <c r="C1037" s="517"/>
      <c r="D1037" s="516"/>
      <c r="E1037" s="492"/>
      <c r="F1037" s="520"/>
      <c r="G1037" s="206" t="n">
        <f aca="false">SUM(B1037:F1037)</f>
        <v>0</v>
      </c>
      <c r="H1037" s="521"/>
      <c r="I1037" s="519"/>
      <c r="J1037" s="160" t="n">
        <f aca="false">SUM(H1037:I1037)</f>
        <v>0</v>
      </c>
      <c r="K1037" s="667"/>
      <c r="L1037" s="518"/>
      <c r="M1037" s="160" t="n">
        <f aca="false">SUM(K1037:L1037)</f>
        <v>0</v>
      </c>
      <c r="N1037" s="667"/>
      <c r="O1037" s="518"/>
      <c r="P1037" s="160" t="n">
        <f aca="false">SUM(N1037:O1037)</f>
        <v>0</v>
      </c>
    </row>
    <row r="1038" customFormat="false" ht="18.75" hidden="false" customHeight="true" outlineLevel="0" collapsed="false">
      <c r="A1038" s="196" t="str">
        <f aca="false">'☆掛負収入'!A1038</f>
        <v>労働組合　計</v>
      </c>
      <c r="B1038" s="429" t="n">
        <f aca="false">SUM(B1034:B1037)</f>
        <v>3385</v>
      </c>
      <c r="C1038" s="200" t="n">
        <f aca="false">SUM(C1034:C1037)</f>
        <v>277</v>
      </c>
      <c r="D1038" s="429" t="n">
        <f aca="false">SUM(D1034:D1037)</f>
        <v>3385</v>
      </c>
      <c r="E1038" s="199" t="n">
        <f aca="false">SUM(E1034:E1037)</f>
        <v>277</v>
      </c>
      <c r="F1038" s="198" t="n">
        <f aca="false">SUM(F1034:F1037)</f>
        <v>0</v>
      </c>
      <c r="G1038" s="197" t="n">
        <f aca="false">SUM(B1038:F1038)</f>
        <v>7324</v>
      </c>
      <c r="H1038" s="429" t="n">
        <f aca="false">SUM(H1034:H1037)</f>
        <v>2035</v>
      </c>
      <c r="I1038" s="199" t="n">
        <f aca="false">SUM(I1034:I1037)</f>
        <v>2039</v>
      </c>
      <c r="J1038" s="200" t="n">
        <f aca="false">SUM(H1038:I1038)</f>
        <v>4074</v>
      </c>
      <c r="K1038" s="198" t="n">
        <f aca="false">SUM(K1034:K1037)</f>
        <v>292</v>
      </c>
      <c r="L1038" s="198" t="n">
        <f aca="false">SUM(L1034:L1037)</f>
        <v>292</v>
      </c>
      <c r="M1038" s="200" t="n">
        <f aca="false">SUM(K1038:L1038)</f>
        <v>584</v>
      </c>
      <c r="N1038" s="198" t="n">
        <f aca="false">SUM(N1034:N1037)</f>
        <v>1</v>
      </c>
      <c r="O1038" s="198" t="n">
        <f aca="false">SUM(O1034:O1037)</f>
        <v>1</v>
      </c>
      <c r="P1038" s="200" t="n">
        <f aca="false">SUM(N1038:O1038)</f>
        <v>2</v>
      </c>
    </row>
    <row r="1039" customFormat="false" ht="18.75" hidden="false" customHeight="true" outlineLevel="0" collapsed="false">
      <c r="A1039" s="302" t="str">
        <f aca="false">'☆掛負収入'!A1039</f>
        <v>任意継続組合員</v>
      </c>
      <c r="B1039" s="281"/>
      <c r="C1039" s="523"/>
      <c r="D1039" s="524"/>
      <c r="E1039" s="525"/>
      <c r="F1039" s="296"/>
      <c r="G1039" s="293"/>
      <c r="H1039" s="678"/>
      <c r="I1039" s="282"/>
      <c r="J1039" s="282"/>
      <c r="K1039" s="697"/>
      <c r="L1039" s="679"/>
      <c r="M1039" s="292"/>
      <c r="N1039" s="697"/>
      <c r="O1039" s="679"/>
      <c r="P1039" s="292"/>
    </row>
    <row r="1040" customFormat="false" ht="30" hidden="false" customHeight="true" outlineLevel="0" collapsed="false">
      <c r="A1040" s="680" t="str">
        <f aca="false">'☆掛負収入'!A1040</f>
        <v>総　　計</v>
      </c>
      <c r="B1040" s="429" t="n">
        <f aca="false">SUM(B997+B1028+B1033+B1038)</f>
        <v>161995</v>
      </c>
      <c r="C1040" s="200" t="n">
        <f aca="false">SUM(C997+C1028+C1033+C1038)</f>
        <v>13273</v>
      </c>
      <c r="D1040" s="681" t="n">
        <f aca="false">SUM(D997+D1028+D1033+D1038)</f>
        <v>478175</v>
      </c>
      <c r="E1040" s="199" t="n">
        <f aca="false">SUM(E997+E1028+E1033+E1038)</f>
        <v>39188</v>
      </c>
      <c r="F1040" s="201" t="n">
        <f aca="false">SUM(F997+F1028+F1033+F1038)</f>
        <v>492</v>
      </c>
      <c r="G1040" s="197" t="n">
        <f aca="false">SUM(B1040:F1040)</f>
        <v>693123</v>
      </c>
      <c r="H1040" s="429" t="n">
        <f aca="false">SUM(H997+H1028+H1033+H1038+H1039)</f>
        <v>99788</v>
      </c>
      <c r="I1040" s="199" t="n">
        <f aca="false">SUM(I997+I1028+I1033+I1038+I1039)</f>
        <v>302889</v>
      </c>
      <c r="J1040" s="200" t="n">
        <f aca="false">SUM(H1040:I1040)</f>
        <v>402677</v>
      </c>
      <c r="K1040" s="198" t="n">
        <f aca="false">K997+K1028+K1033+K1038+K1039</f>
        <v>8621</v>
      </c>
      <c r="L1040" s="198" t="n">
        <f aca="false">L997+L1028+L1033+L1038</f>
        <v>30834</v>
      </c>
      <c r="M1040" s="200" t="n">
        <f aca="false">SUM(K1040:L1040)</f>
        <v>39455</v>
      </c>
      <c r="N1040" s="198" t="n">
        <f aca="false">N997+N1028+N1033+N1038+N1039</f>
        <v>10</v>
      </c>
      <c r="O1040" s="198" t="n">
        <f aca="false">O997+O1028+O1033+O1038</f>
        <v>21</v>
      </c>
      <c r="P1040" s="200" t="n">
        <f aca="false">SUM(N1040:O1040)</f>
        <v>31</v>
      </c>
    </row>
    <row r="1041" customFormat="false" ht="18.75" hidden="false" customHeight="true" outlineLevel="0" collapsed="false">
      <c r="A1041" s="340"/>
      <c r="B1041" s="341"/>
      <c r="C1041" s="341"/>
      <c r="D1041" s="341"/>
      <c r="E1041" s="341"/>
      <c r="F1041" s="341"/>
      <c r="G1041" s="341"/>
      <c r="H1041" s="341"/>
      <c r="I1041" s="341"/>
      <c r="J1041" s="341"/>
      <c r="K1041" s="341"/>
      <c r="L1041" s="341"/>
      <c r="M1041" s="341"/>
      <c r="N1041" s="341"/>
      <c r="O1041" s="341"/>
      <c r="P1041" s="341"/>
    </row>
    <row r="1042" customFormat="false" ht="30" hidden="false" customHeight="true" outlineLevel="0" collapsed="false">
      <c r="A1042" s="320"/>
      <c r="B1042" s="777" t="str">
        <f aca="false">'☆掛負収入'!B1042</f>
        <v>令和8年度</v>
      </c>
      <c r="C1042" s="777"/>
      <c r="D1042" s="778" t="str">
        <f aca="false">'☆掛負収入'!D1042</f>
        <v>給与改定差額分（賞与）　12月分 </v>
      </c>
      <c r="E1042" s="778"/>
      <c r="F1042" s="778"/>
      <c r="G1042" s="778"/>
      <c r="H1042" s="777" t="str">
        <f aca="false">B1042</f>
        <v>令和8年度</v>
      </c>
      <c r="I1042" s="779" t="str">
        <f aca="false">D1042</f>
        <v>給与改定差額分（賞与）　12月分 </v>
      </c>
      <c r="J1042" s="779"/>
      <c r="K1042" s="777" t="str">
        <f aca="false">H1042</f>
        <v>令和8年度</v>
      </c>
      <c r="L1042" s="779" t="str">
        <f aca="false">I1042</f>
        <v>給与改定差額分（賞与）　12月分 </v>
      </c>
      <c r="M1042" s="779"/>
      <c r="N1042" s="777" t="str">
        <f aca="false">K1042</f>
        <v>令和8年度</v>
      </c>
      <c r="O1042" s="779" t="str">
        <f aca="false">L1042</f>
        <v>給与改定差額分（賞与）　12月分 </v>
      </c>
      <c r="P1042" s="779"/>
    </row>
    <row r="1043" customFormat="false" ht="22.5" hidden="false" customHeight="true" outlineLevel="0" collapsed="false">
      <c r="A1043" s="114" t="str">
        <f aca="false">'☆掛負収入'!A1043</f>
        <v>区　　分</v>
      </c>
      <c r="B1043" s="114" t="str">
        <f aca="false">'☆掛負収入'!B1043</f>
        <v>長　期　経　理</v>
      </c>
      <c r="C1043" s="114" t="n">
        <f aca="false">'☆掛負収入'!C1043</f>
        <v>0</v>
      </c>
      <c r="D1043" s="114" t="n">
        <f aca="false">'☆掛負収入'!D1043</f>
        <v>0</v>
      </c>
      <c r="E1043" s="114" t="n">
        <f aca="false">'☆掛負収入'!E1043</f>
        <v>0</v>
      </c>
      <c r="F1043" s="114" t="n">
        <f aca="false">'☆掛負収入'!F1043</f>
        <v>0</v>
      </c>
      <c r="G1043" s="114" t="n">
        <f aca="false">'☆掛負収入'!G1043</f>
        <v>0</v>
      </c>
      <c r="H1043" s="116" t="str">
        <f aca="false">'☆掛負収入'!H1043</f>
        <v>短　期　経　理</v>
      </c>
      <c r="I1043" s="116" t="n">
        <f aca="false">'☆掛負収入'!I1043</f>
        <v>0</v>
      </c>
      <c r="J1043" s="116" t="n">
        <f aca="false">'☆掛負収入'!J1043</f>
        <v>0</v>
      </c>
      <c r="K1043" s="116" t="str">
        <f aca="false">'☆掛負収入'!K1043</f>
        <v>介　護　納　付　金</v>
      </c>
      <c r="L1043" s="116" t="n">
        <f aca="false">'☆掛負収入'!L1043</f>
        <v>0</v>
      </c>
      <c r="M1043" s="116" t="n">
        <f aca="false">'☆掛負収入'!M1043</f>
        <v>0</v>
      </c>
      <c r="N1043" s="116" t="str">
        <f aca="false">'☆掛負収入'!N1043</f>
        <v>子ども・子育て支援納付金</v>
      </c>
      <c r="O1043" s="116" t="n">
        <f aca="false">'☆掛負収入'!O1043</f>
        <v>0</v>
      </c>
      <c r="P1043" s="116" t="n">
        <f aca="false">'☆掛負収入'!P1043</f>
        <v>0</v>
      </c>
    </row>
    <row r="1044" customFormat="false" ht="22.5" hidden="false" customHeight="true" outlineLevel="0" collapsed="false">
      <c r="A1044" s="114" t="n">
        <f aca="false">'☆掛負収入'!A1044</f>
        <v>0</v>
      </c>
      <c r="B1044" s="117" t="str">
        <f aca="false">'☆掛負収入'!B1044</f>
        <v>組合員負担分</v>
      </c>
      <c r="C1044" s="117" t="n">
        <f aca="false">'☆掛負収入'!C1044</f>
        <v>0</v>
      </c>
      <c r="D1044" s="117" t="str">
        <f aca="false">'☆掛負収入'!D1044</f>
        <v>事業主負担分</v>
      </c>
      <c r="E1044" s="117" t="n">
        <f aca="false">'☆掛負収入'!E1044</f>
        <v>0</v>
      </c>
      <c r="F1044" s="117" t="n">
        <f aca="false">'☆掛負収入'!F1044</f>
        <v>0</v>
      </c>
      <c r="G1044" s="611" t="str">
        <f aca="false">'☆掛負収入'!G1044</f>
        <v>計</v>
      </c>
      <c r="H1044" s="121" t="str">
        <f aca="false">'☆掛負収入'!H1044</f>
        <v>掛　金</v>
      </c>
      <c r="I1044" s="119" t="str">
        <f aca="false">'☆掛負収入'!I1044</f>
        <v>負担金</v>
      </c>
      <c r="J1044" s="120" t="str">
        <f aca="false">'☆掛負収入'!J1044</f>
        <v>計</v>
      </c>
      <c r="K1044" s="121" t="str">
        <f aca="false">'☆掛負収入'!K1044</f>
        <v>掛　金</v>
      </c>
      <c r="L1044" s="119" t="str">
        <f aca="false">'☆掛負収入'!L1044</f>
        <v>負担金</v>
      </c>
      <c r="M1044" s="120" t="str">
        <f aca="false">'☆掛負収入'!M1044</f>
        <v>計</v>
      </c>
      <c r="N1044" s="121" t="str">
        <f aca="false">'☆掛負収入'!N1044</f>
        <v>掛　金</v>
      </c>
      <c r="O1044" s="119" t="str">
        <f aca="false">'☆掛負収入'!O1044</f>
        <v>負担金</v>
      </c>
      <c r="P1044" s="120" t="str">
        <f aca="false">'☆掛負収入'!P1044</f>
        <v>計</v>
      </c>
    </row>
    <row r="1045" customFormat="false" ht="22.5" hidden="false" customHeight="true" outlineLevel="0" collapsed="false">
      <c r="A1045" s="114" t="n">
        <f aca="false">'☆掛負収入'!A1045</f>
        <v>0</v>
      </c>
      <c r="B1045" s="612" t="str">
        <f aca="false">'☆掛負収入'!B1045</f>
        <v>厚生年金保険料</v>
      </c>
      <c r="C1045" s="613" t="str">
        <f aca="false">'☆掛負収入'!C1045</f>
        <v>退職等年金掛金</v>
      </c>
      <c r="D1045" s="614" t="str">
        <f aca="false">'☆掛負収入'!D1045</f>
        <v>厚生年金保険料</v>
      </c>
      <c r="E1045" s="614" t="str">
        <f aca="false">'☆掛負収入'!E1045</f>
        <v>退職等年金負担金</v>
      </c>
      <c r="F1045" s="615" t="str">
        <f aca="false">'☆掛負収入'!F1045</f>
        <v>経過的長期</v>
      </c>
      <c r="G1045" s="611" t="n">
        <f aca="false">'☆掛負収入'!G1045</f>
        <v>0</v>
      </c>
      <c r="H1045" s="121" t="n">
        <f aca="false">'☆掛負収入'!H1045</f>
        <v>0</v>
      </c>
      <c r="I1045" s="119" t="n">
        <f aca="false">'☆掛負収入'!I1045</f>
        <v>0</v>
      </c>
      <c r="J1045" s="120" t="n">
        <f aca="false">'☆掛負収入'!J1045</f>
        <v>0</v>
      </c>
      <c r="K1045" s="121" t="n">
        <f aca="false">'☆掛負収入'!K1045</f>
        <v>0</v>
      </c>
      <c r="L1045" s="119" t="n">
        <f aca="false">'☆掛負収入'!L1045</f>
        <v>0</v>
      </c>
      <c r="M1045" s="120" t="n">
        <f aca="false">'☆掛負収入'!M1045</f>
        <v>0</v>
      </c>
      <c r="N1045" s="121" t="n">
        <f aca="false">'☆掛負収入'!N1045</f>
        <v>0</v>
      </c>
      <c r="O1045" s="119" t="n">
        <f aca="false">'☆掛負収入'!O1045</f>
        <v>0</v>
      </c>
      <c r="P1045" s="120" t="n">
        <f aca="false">'☆掛負収入'!P1045</f>
        <v>0</v>
      </c>
    </row>
    <row r="1046" customFormat="false" ht="18.75" hidden="false" customHeight="true" outlineLevel="0" collapsed="false">
      <c r="A1046" s="125" t="str">
        <f aca="false">'☆掛負収入'!A1046</f>
        <v>市長部局</v>
      </c>
      <c r="B1046" s="616"/>
      <c r="C1046" s="389"/>
      <c r="D1046" s="617"/>
      <c r="E1046" s="617"/>
      <c r="F1046" s="209"/>
      <c r="G1046" s="389"/>
      <c r="H1046" s="616"/>
      <c r="I1046" s="618"/>
      <c r="J1046" s="206"/>
      <c r="K1046" s="619"/>
      <c r="L1046" s="618"/>
      <c r="M1046" s="206"/>
      <c r="N1046" s="619"/>
      <c r="O1046" s="618"/>
      <c r="P1046" s="206"/>
    </row>
    <row r="1047" customFormat="false" ht="18.75" hidden="false" customHeight="true" outlineLevel="0" collapsed="false">
      <c r="A1047" s="125" t="str">
        <f aca="false">'☆掛負収入'!A1047</f>
        <v>下水道局</v>
      </c>
      <c r="B1047" s="431"/>
      <c r="C1047" s="206"/>
      <c r="D1047" s="617"/>
      <c r="E1047" s="617"/>
      <c r="F1047" s="160"/>
      <c r="G1047" s="206"/>
      <c r="H1047" s="619"/>
      <c r="I1047" s="449"/>
      <c r="J1047" s="160"/>
      <c r="K1047" s="620"/>
      <c r="L1047" s="621"/>
      <c r="M1047" s="160"/>
      <c r="N1047" s="620"/>
      <c r="O1047" s="621"/>
      <c r="P1047" s="160"/>
    </row>
    <row r="1048" customFormat="false" ht="18.75" hidden="false" customHeight="true" outlineLevel="0" collapsed="false">
      <c r="A1048" s="125" t="str">
        <f aca="false">'☆掛負収入'!A1048</f>
        <v>消防局</v>
      </c>
      <c r="B1048" s="431"/>
      <c r="C1048" s="206"/>
      <c r="D1048" s="617"/>
      <c r="E1048" s="617"/>
      <c r="F1048" s="160"/>
      <c r="G1048" s="206"/>
      <c r="H1048" s="620"/>
      <c r="I1048" s="464"/>
      <c r="J1048" s="160"/>
      <c r="K1048" s="620"/>
      <c r="L1048" s="464"/>
      <c r="M1048" s="160"/>
      <c r="N1048" s="620"/>
      <c r="O1048" s="464"/>
      <c r="P1048" s="160"/>
    </row>
    <row r="1049" customFormat="false" ht="18.75" hidden="false" customHeight="true" outlineLevel="0" collapsed="false">
      <c r="A1049" s="125" t="str">
        <f aca="false">'☆掛負収入'!A1049</f>
        <v>議会事務局</v>
      </c>
      <c r="B1049" s="431"/>
      <c r="C1049" s="206"/>
      <c r="D1049" s="617"/>
      <c r="E1049" s="617"/>
      <c r="F1049" s="160"/>
      <c r="G1049" s="206"/>
      <c r="H1049" s="431"/>
      <c r="I1049" s="464"/>
      <c r="J1049" s="160"/>
      <c r="K1049" s="431"/>
      <c r="L1049" s="464"/>
      <c r="M1049" s="160"/>
      <c r="N1049" s="431"/>
      <c r="O1049" s="464"/>
      <c r="P1049" s="160"/>
    </row>
    <row r="1050" customFormat="false" ht="18.75" hidden="false" customHeight="true" outlineLevel="0" collapsed="false">
      <c r="A1050" s="125" t="str">
        <f aca="false">'☆掛負収入'!A1050</f>
        <v>教育委員会（総務課）</v>
      </c>
      <c r="B1050" s="431"/>
      <c r="C1050" s="206"/>
      <c r="D1050" s="617"/>
      <c r="E1050" s="617"/>
      <c r="F1050" s="160"/>
      <c r="G1050" s="206"/>
      <c r="H1050" s="431"/>
      <c r="I1050" s="464"/>
      <c r="J1050" s="160"/>
      <c r="K1050" s="431"/>
      <c r="L1050" s="464"/>
      <c r="M1050" s="160"/>
      <c r="N1050" s="431"/>
      <c r="O1050" s="464"/>
      <c r="P1050" s="160"/>
    </row>
    <row r="1051" customFormat="false" ht="18.75" hidden="false" customHeight="true" outlineLevel="0" collapsed="false">
      <c r="A1051" s="125" t="str">
        <f aca="false">'☆掛負収入'!A1051</f>
        <v>選挙管理委員会</v>
      </c>
      <c r="B1051" s="431"/>
      <c r="C1051" s="206"/>
      <c r="D1051" s="617"/>
      <c r="E1051" s="617"/>
      <c r="F1051" s="160"/>
      <c r="G1051" s="206"/>
      <c r="H1051" s="619"/>
      <c r="I1051" s="449"/>
      <c r="J1051" s="160"/>
      <c r="K1051" s="431"/>
      <c r="L1051" s="464"/>
      <c r="M1051" s="160"/>
      <c r="N1051" s="431"/>
      <c r="O1051" s="464"/>
      <c r="P1051" s="160"/>
    </row>
    <row r="1052" customFormat="false" ht="18.75" hidden="false" customHeight="true" outlineLevel="0" collapsed="false">
      <c r="A1052" s="125" t="str">
        <f aca="false">'☆掛負収入'!A1052</f>
        <v>人事委員会</v>
      </c>
      <c r="B1052" s="431"/>
      <c r="C1052" s="206"/>
      <c r="D1052" s="617"/>
      <c r="E1052" s="617"/>
      <c r="F1052" s="160"/>
      <c r="G1052" s="206"/>
      <c r="H1052" s="619"/>
      <c r="I1052" s="449"/>
      <c r="J1052" s="160"/>
      <c r="K1052" s="619"/>
      <c r="L1052" s="449"/>
      <c r="M1052" s="160"/>
      <c r="N1052" s="619"/>
      <c r="O1052" s="449"/>
      <c r="P1052" s="160"/>
    </row>
    <row r="1053" customFormat="false" ht="18.75" hidden="false" customHeight="true" outlineLevel="0" collapsed="false">
      <c r="A1053" s="125" t="str">
        <f aca="false">'☆掛負収入'!A1053</f>
        <v>監査事務局</v>
      </c>
      <c r="B1053" s="431"/>
      <c r="C1053" s="206"/>
      <c r="D1053" s="617"/>
      <c r="E1053" s="617"/>
      <c r="F1053" s="160"/>
      <c r="G1053" s="206"/>
      <c r="H1053" s="619"/>
      <c r="I1053" s="449"/>
      <c r="J1053" s="160"/>
      <c r="K1053" s="619"/>
      <c r="L1053" s="449"/>
      <c r="M1053" s="160"/>
      <c r="N1053" s="619"/>
      <c r="O1053" s="449"/>
      <c r="P1053" s="160"/>
    </row>
    <row r="1054" customFormat="false" ht="18.75" hidden="false" customHeight="true" outlineLevel="0" collapsed="false">
      <c r="A1054" s="125" t="str">
        <f aca="false">'☆掛負収入'!A1054</f>
        <v>農業委員会</v>
      </c>
      <c r="B1054" s="431"/>
      <c r="C1054" s="206"/>
      <c r="D1054" s="617"/>
      <c r="E1054" s="617"/>
      <c r="F1054" s="160"/>
      <c r="G1054" s="206"/>
      <c r="H1054" s="619"/>
      <c r="I1054" s="449"/>
      <c r="J1054" s="160"/>
      <c r="K1054" s="619"/>
      <c r="L1054" s="449"/>
      <c r="M1054" s="160"/>
      <c r="N1054" s="619"/>
      <c r="O1054" s="449"/>
      <c r="P1054" s="160"/>
    </row>
    <row r="1055" customFormat="false" ht="18.75" hidden="false" customHeight="true" outlineLevel="0" collapsed="false">
      <c r="A1055" s="125" t="str">
        <f aca="false">'☆掛負収入'!A1055</f>
        <v>水道局</v>
      </c>
      <c r="B1055" s="431"/>
      <c r="C1055" s="206"/>
      <c r="D1055" s="617"/>
      <c r="E1055" s="617"/>
      <c r="F1055" s="160"/>
      <c r="G1055" s="206"/>
      <c r="H1055" s="619"/>
      <c r="I1055" s="449"/>
      <c r="J1055" s="160"/>
      <c r="K1055" s="619"/>
      <c r="L1055" s="449"/>
      <c r="M1055" s="160"/>
      <c r="N1055" s="619"/>
      <c r="O1055" s="449"/>
      <c r="P1055" s="160"/>
    </row>
    <row r="1056" customFormat="false" ht="18.75" hidden="false" customHeight="true" outlineLevel="0" collapsed="false">
      <c r="A1056" s="146" t="str">
        <f aca="false">'☆掛負収入'!A1056</f>
        <v>医療政策課(安芸市民)</v>
      </c>
      <c r="B1056" s="620"/>
      <c r="C1056" s="391"/>
      <c r="D1056" s="620"/>
      <c r="E1056" s="621"/>
      <c r="F1056" s="418"/>
      <c r="G1056" s="206"/>
      <c r="H1056" s="622"/>
      <c r="I1056" s="432"/>
      <c r="J1056" s="160"/>
      <c r="K1056" s="619"/>
      <c r="L1056" s="449"/>
      <c r="M1056" s="160"/>
      <c r="N1056" s="619"/>
      <c r="O1056" s="449"/>
      <c r="P1056" s="160"/>
    </row>
    <row r="1057" customFormat="false" ht="18.75" hidden="false" customHeight="true" outlineLevel="0" collapsed="false">
      <c r="A1057" s="146" t="str">
        <f aca="false">'☆掛負収入'!A1057</f>
        <v>教育委員会（教育給与課）</v>
      </c>
      <c r="B1057" s="620"/>
      <c r="C1057" s="206"/>
      <c r="D1057" s="431"/>
      <c r="E1057" s="785"/>
      <c r="F1057" s="405"/>
      <c r="G1057" s="206"/>
      <c r="H1057" s="619"/>
      <c r="I1057" s="449"/>
      <c r="J1057" s="160"/>
      <c r="K1057" s="619"/>
      <c r="L1057" s="449"/>
      <c r="M1057" s="160"/>
      <c r="N1057" s="619"/>
      <c r="O1057" s="449"/>
      <c r="P1057" s="160"/>
    </row>
    <row r="1058" customFormat="false" ht="18.75" hidden="true" customHeight="true" outlineLevel="0" collapsed="false">
      <c r="A1058" s="624"/>
      <c r="B1058" s="625"/>
      <c r="C1058" s="235"/>
      <c r="D1058" s="625"/>
      <c r="E1058" s="483"/>
      <c r="F1058" s="484"/>
      <c r="G1058" s="712"/>
      <c r="H1058" s="627"/>
      <c r="I1058" s="628"/>
      <c r="J1058" s="628"/>
      <c r="K1058" s="627"/>
      <c r="L1058" s="628"/>
      <c r="M1058" s="220"/>
      <c r="N1058" s="627"/>
      <c r="O1058" s="628"/>
      <c r="P1058" s="220"/>
    </row>
    <row r="1059" customFormat="false" ht="18.75" hidden="true" customHeight="true" outlineLevel="0" collapsed="false">
      <c r="A1059" s="629"/>
      <c r="B1059" s="482"/>
      <c r="C1059" s="157"/>
      <c r="D1059" s="482"/>
      <c r="E1059" s="483"/>
      <c r="F1059" s="484"/>
      <c r="G1059" s="460"/>
      <c r="H1059" s="482"/>
      <c r="I1059" s="483"/>
      <c r="J1059" s="483"/>
      <c r="K1059" s="482"/>
      <c r="L1059" s="483"/>
      <c r="M1059" s="155"/>
      <c r="N1059" s="482"/>
      <c r="O1059" s="483"/>
      <c r="P1059" s="155"/>
    </row>
    <row r="1060" customFormat="false" ht="18.75" hidden="true" customHeight="true" outlineLevel="0" collapsed="false">
      <c r="A1060" s="629"/>
      <c r="B1060" s="625"/>
      <c r="C1060" s="235"/>
      <c r="D1060" s="625"/>
      <c r="E1060" s="626"/>
      <c r="F1060" s="221"/>
      <c r="G1060" s="712"/>
      <c r="H1060" s="625"/>
      <c r="I1060" s="626"/>
      <c r="J1060" s="626"/>
      <c r="K1060" s="625"/>
      <c r="L1060" s="626"/>
      <c r="M1060" s="721"/>
      <c r="N1060" s="625"/>
      <c r="O1060" s="626"/>
      <c r="P1060" s="721"/>
    </row>
    <row r="1061" customFormat="false" ht="18.75" hidden="true" customHeight="true" outlineLevel="0" collapsed="false">
      <c r="A1061" s="630"/>
      <c r="B1061" s="631"/>
      <c r="C1061" s="632"/>
      <c r="D1061" s="631"/>
      <c r="E1061" s="515"/>
      <c r="F1061" s="633"/>
      <c r="G1061" s="714"/>
      <c r="H1061" s="482"/>
      <c r="I1061" s="634"/>
      <c r="J1061" s="634"/>
      <c r="K1061" s="482"/>
      <c r="L1061" s="483"/>
      <c r="M1061" s="155"/>
      <c r="N1061" s="482"/>
      <c r="O1061" s="483"/>
      <c r="P1061" s="155"/>
    </row>
    <row r="1062" customFormat="false" ht="18.75" hidden="false" customHeight="true" outlineLevel="0" collapsed="false">
      <c r="A1062" s="196" t="str">
        <f aca="false">'☆掛負収入'!A1062</f>
        <v>市長部局等　計</v>
      </c>
      <c r="B1062" s="429"/>
      <c r="C1062" s="199"/>
      <c r="D1062" s="429"/>
      <c r="E1062" s="199"/>
      <c r="F1062" s="200"/>
      <c r="G1062" s="201"/>
      <c r="H1062" s="429"/>
      <c r="I1062" s="199"/>
      <c r="J1062" s="198"/>
      <c r="K1062" s="429"/>
      <c r="L1062" s="199"/>
      <c r="M1062" s="198"/>
      <c r="N1062" s="429"/>
      <c r="O1062" s="199"/>
      <c r="P1062" s="198"/>
    </row>
    <row r="1063" customFormat="false" ht="18.75" hidden="false" customHeight="true" outlineLevel="0" collapsed="false">
      <c r="A1063" s="202" t="str">
        <f aca="false">'☆掛負収入'!A1063</f>
        <v>地方税共同機構</v>
      </c>
      <c r="B1063" s="474" t="n">
        <f aca="false">'☆掛負収入'!B1063</f>
        <v>0</v>
      </c>
      <c r="C1063" s="402" t="n">
        <f aca="false">'☆掛負収入'!C1063</f>
        <v>0</v>
      </c>
      <c r="D1063" s="494" t="n">
        <f aca="false">'☆掛負収入'!D1063</f>
        <v>0</v>
      </c>
      <c r="E1063" s="488" t="n">
        <f aca="false">'☆掛負収入'!E1063</f>
        <v>0</v>
      </c>
      <c r="F1063" s="475" t="n">
        <f aca="false">'☆掛負収入'!F1063</f>
        <v>0</v>
      </c>
      <c r="G1063" s="691" t="n">
        <f aca="false">SUM(B1063:F1063)</f>
        <v>0</v>
      </c>
      <c r="H1063" s="619" t="n">
        <f aca="false">'☆掛負収入'!H1063</f>
        <v>0</v>
      </c>
      <c r="I1063" s="449" t="n">
        <f aca="false">'☆掛負収入'!I1063</f>
        <v>0</v>
      </c>
      <c r="J1063" s="160" t="n">
        <f aca="false">SUM(H1063:I1063)</f>
        <v>0</v>
      </c>
      <c r="K1063" s="464" t="n">
        <f aca="false">'☆掛負収入'!K1063</f>
        <v>0</v>
      </c>
      <c r="L1063" s="449" t="n">
        <f aca="false">'☆掛負収入'!L1063</f>
        <v>0</v>
      </c>
      <c r="M1063" s="160" t="n">
        <f aca="false">SUM(K1063:L1063)</f>
        <v>0</v>
      </c>
      <c r="N1063" s="464" t="n">
        <f aca="false">'☆掛負収入'!N1063</f>
        <v>0</v>
      </c>
      <c r="O1063" s="449" t="n">
        <f aca="false">'☆掛負収入'!O1063</f>
        <v>0</v>
      </c>
      <c r="P1063" s="160" t="n">
        <f aca="false">SUM(N1063:O1063)</f>
        <v>0</v>
      </c>
    </row>
    <row r="1064" customFormat="false" ht="18.75" hidden="false" customHeight="true" outlineLevel="0" collapsed="false">
      <c r="A1064" s="125" t="str">
        <f aca="false">'☆掛負収入'!A1064</f>
        <v>平和文化センター</v>
      </c>
      <c r="B1064" s="474" t="n">
        <f aca="false">'☆掛負収入'!B1064</f>
        <v>0</v>
      </c>
      <c r="C1064" s="402" t="n">
        <f aca="false">'☆掛負収入'!C1064</f>
        <v>0</v>
      </c>
      <c r="D1064" s="489" t="n">
        <f aca="false">'☆掛負収入'!D1064</f>
        <v>35318</v>
      </c>
      <c r="E1064" s="477" t="n">
        <f aca="false">'☆掛負収入'!E1064</f>
        <v>2895</v>
      </c>
      <c r="F1064" s="475" t="n">
        <f aca="false">'☆掛負収入'!F1064</f>
        <v>40</v>
      </c>
      <c r="G1064" s="693" t="n">
        <f aca="false">SUM(B1064:F1064)</f>
        <v>38253</v>
      </c>
      <c r="H1064" s="619" t="n">
        <f aca="false">'☆掛負収入'!H1064</f>
        <v>0</v>
      </c>
      <c r="I1064" s="475" t="n">
        <f aca="false">'☆掛負収入'!I1064</f>
        <v>23174</v>
      </c>
      <c r="J1064" s="160" t="n">
        <f aca="false">SUM(H1064:I1064)</f>
        <v>23174</v>
      </c>
      <c r="K1064" s="464" t="n">
        <f aca="false">'☆掛負収入'!K1064</f>
        <v>0</v>
      </c>
      <c r="L1064" s="449" t="n">
        <f aca="false">'☆掛負収入'!L1064</f>
        <v>2584</v>
      </c>
      <c r="M1064" s="160" t="n">
        <f aca="false">SUM(K1064:L1064)</f>
        <v>2584</v>
      </c>
      <c r="N1064" s="464" t="n">
        <f aca="false">'☆掛負収入'!N1064</f>
        <v>0</v>
      </c>
      <c r="O1064" s="449" t="n">
        <f aca="false">'☆掛負収入'!O1064</f>
        <v>1</v>
      </c>
      <c r="P1064" s="160" t="n">
        <f aca="false">SUM(N1064:O1064)</f>
        <v>1</v>
      </c>
    </row>
    <row r="1065" customFormat="false" ht="18.75" hidden="false" customHeight="true" outlineLevel="0" collapsed="false">
      <c r="A1065" s="125" t="str">
        <f aca="false">'☆掛負収入'!A1065</f>
        <v>社会福祉事業団</v>
      </c>
      <c r="B1065" s="625"/>
      <c r="C1065" s="235"/>
      <c r="D1065" s="476" t="n">
        <f aca="false">'☆掛負収入'!D1065</f>
        <v>98681</v>
      </c>
      <c r="E1065" s="478" t="n">
        <f aca="false">'☆掛負収入'!E1065</f>
        <v>8090</v>
      </c>
      <c r="F1065" s="475" t="n">
        <f aca="false">'☆掛負収入'!F1065</f>
        <v>101</v>
      </c>
      <c r="G1065" s="693" t="n">
        <f aca="false">SUM(B1065:F1065)</f>
        <v>106872</v>
      </c>
      <c r="H1065" s="627"/>
      <c r="I1065" s="475" t="n">
        <f aca="false">'☆掛負収入'!I1065</f>
        <v>66823</v>
      </c>
      <c r="J1065" s="160" t="n">
        <f aca="false">SUM(H1065:I1065)</f>
        <v>66823</v>
      </c>
      <c r="K1065" s="637"/>
      <c r="L1065" s="475" t="n">
        <f aca="false">'☆掛負収入'!L1065</f>
        <v>6661</v>
      </c>
      <c r="M1065" s="160" t="n">
        <f aca="false">SUM(K1065:L1065)</f>
        <v>6661</v>
      </c>
      <c r="N1065" s="637"/>
      <c r="O1065" s="475" t="n">
        <f aca="false">'☆掛負収入'!O1065</f>
        <v>1</v>
      </c>
      <c r="P1065" s="160" t="n">
        <f aca="false">SUM(N1065:O1065)</f>
        <v>1</v>
      </c>
    </row>
    <row r="1066" customFormat="false" ht="18.75" hidden="false" customHeight="true" outlineLevel="0" collapsed="false">
      <c r="A1066" s="125" t="str">
        <f aca="false">'☆掛負収入'!A1066</f>
        <v>原爆障害対策協議会</v>
      </c>
      <c r="B1066" s="625"/>
      <c r="C1066" s="235"/>
      <c r="D1066" s="470" t="n">
        <f aca="false">'☆掛負収入'!D1066</f>
        <v>2562</v>
      </c>
      <c r="E1066" s="478" t="n">
        <f aca="false">'☆掛負収入'!E1066</f>
        <v>210</v>
      </c>
      <c r="F1066" s="475" t="n">
        <f aca="false">'☆掛負収入'!F1066</f>
        <v>3</v>
      </c>
      <c r="G1066" s="693" t="n">
        <f aca="false">SUM(B1066:F1066)</f>
        <v>2775</v>
      </c>
      <c r="H1066" s="627"/>
      <c r="I1066" s="475" t="n">
        <f aca="false">'☆掛負収入'!I1066</f>
        <v>1543</v>
      </c>
      <c r="J1066" s="160" t="n">
        <f aca="false">SUM(H1066:I1066)</f>
        <v>1543</v>
      </c>
      <c r="K1066" s="637"/>
      <c r="L1066" s="475" t="n">
        <f aca="false">'☆掛負収入'!L1066</f>
        <v>221</v>
      </c>
      <c r="M1066" s="160" t="n">
        <f aca="false">SUM(K1066:L1066)</f>
        <v>221</v>
      </c>
      <c r="N1066" s="637"/>
      <c r="O1066" s="475" t="n">
        <f aca="false">'☆掛負収入'!O1066</f>
        <v>1</v>
      </c>
      <c r="P1066" s="160" t="n">
        <f aca="false">SUM(N1066:O1066)</f>
        <v>1</v>
      </c>
    </row>
    <row r="1067" customFormat="false" ht="18.75" hidden="false" customHeight="true" outlineLevel="0" collapsed="false">
      <c r="A1067" s="214" t="str">
        <f aca="false">'☆掛負収入'!A1067</f>
        <v>産業振興センター</v>
      </c>
      <c r="B1067" s="625"/>
      <c r="C1067" s="235"/>
      <c r="D1067" s="470" t="n">
        <f aca="false">'☆掛負収入'!D1067</f>
        <v>21915</v>
      </c>
      <c r="E1067" s="478" t="n">
        <f aca="false">'☆掛負収入'!E1067</f>
        <v>1796</v>
      </c>
      <c r="F1067" s="475" t="n">
        <f aca="false">'☆掛負収入'!F1067</f>
        <v>22</v>
      </c>
      <c r="G1067" s="693" t="n">
        <f aca="false">SUM(B1067:F1067)</f>
        <v>23733</v>
      </c>
      <c r="H1067" s="627"/>
      <c r="I1067" s="475" t="n">
        <f aca="false">'☆掛負収入'!I1067</f>
        <v>13199</v>
      </c>
      <c r="J1067" s="160" t="n">
        <f aca="false">SUM(H1067:I1067)</f>
        <v>13199</v>
      </c>
      <c r="K1067" s="637"/>
      <c r="L1067" s="475" t="n">
        <f aca="false">'☆掛負収入'!L1067</f>
        <v>1750</v>
      </c>
      <c r="M1067" s="160" t="n">
        <f aca="false">SUM(K1067:L1067)</f>
        <v>1750</v>
      </c>
      <c r="N1067" s="637"/>
      <c r="O1067" s="475" t="n">
        <f aca="false">'☆掛負収入'!O1067</f>
        <v>1</v>
      </c>
      <c r="P1067" s="160" t="n">
        <f aca="false">SUM(N1067:O1067)</f>
        <v>1</v>
      </c>
    </row>
    <row r="1068" customFormat="false" ht="18.75" hidden="false" customHeight="true" outlineLevel="0" collapsed="false">
      <c r="A1068" s="146" t="str">
        <f aca="false">'☆掛負収入'!A1068</f>
        <v>ひろしま産業振興</v>
      </c>
      <c r="B1068" s="625"/>
      <c r="C1068" s="484"/>
      <c r="D1068" s="470" t="n">
        <f aca="false">'☆掛負収入'!D1068</f>
        <v>4941</v>
      </c>
      <c r="E1068" s="478" t="n">
        <f aca="false">'☆掛負収入'!E1068</f>
        <v>405</v>
      </c>
      <c r="F1068" s="481" t="n">
        <f aca="false">'☆掛負収入'!F1068</f>
        <v>5</v>
      </c>
      <c r="G1068" s="693" t="n">
        <f aca="false">SUM(B1068:F1068)</f>
        <v>5351</v>
      </c>
      <c r="H1068" s="627"/>
      <c r="I1068" s="481" t="n">
        <f aca="false">'☆掛負収入'!I1068</f>
        <v>2976</v>
      </c>
      <c r="J1068" s="160" t="n">
        <f aca="false">SUM(H1068:I1068)</f>
        <v>2976</v>
      </c>
      <c r="K1068" s="637"/>
      <c r="L1068" s="481" t="n">
        <f aca="false">'☆掛負収入'!L1068</f>
        <v>426</v>
      </c>
      <c r="M1068" s="160" t="n">
        <f aca="false">SUM(K1068:L1068)</f>
        <v>426</v>
      </c>
      <c r="N1068" s="637"/>
      <c r="O1068" s="481" t="n">
        <f aca="false">'☆掛負収入'!O1068</f>
        <v>1</v>
      </c>
      <c r="P1068" s="160" t="n">
        <f aca="false">SUM(N1068:O1068)</f>
        <v>1</v>
      </c>
    </row>
    <row r="1069" customFormat="false" ht="18.75" hidden="false" customHeight="true" outlineLevel="0" collapsed="false">
      <c r="A1069" s="146" t="str">
        <f aca="false">'☆掛負収入'!A1069</f>
        <v>都市整備公社　市</v>
      </c>
      <c r="B1069" s="625"/>
      <c r="C1069" s="484"/>
      <c r="D1069" s="476" t="n">
        <f aca="false">'☆掛負収入'!D1069</f>
        <v>2608</v>
      </c>
      <c r="E1069" s="478" t="n">
        <f aca="false">'☆掛負収入'!E1069</f>
        <v>214</v>
      </c>
      <c r="F1069" s="475" t="n">
        <f aca="false">'☆掛負収入'!F1069</f>
        <v>3</v>
      </c>
      <c r="G1069" s="693" t="n">
        <f aca="false">SUM(B1069:F1069)</f>
        <v>2825</v>
      </c>
      <c r="H1069" s="627"/>
      <c r="I1069" s="475" t="n">
        <f aca="false">'☆掛負収入'!I1069</f>
        <v>1571</v>
      </c>
      <c r="J1069" s="160" t="n">
        <f aca="false">SUM(H1069:I1069)</f>
        <v>1571</v>
      </c>
      <c r="K1069" s="637"/>
      <c r="L1069" s="475" t="n">
        <f aca="false">'☆掛負収入'!L1069</f>
        <v>225</v>
      </c>
      <c r="M1069" s="160" t="n">
        <f aca="false">SUM(K1069:L1069)</f>
        <v>225</v>
      </c>
      <c r="N1069" s="637"/>
      <c r="O1069" s="475" t="n">
        <f aca="false">'☆掛負収入'!O1069</f>
        <v>1</v>
      </c>
      <c r="P1069" s="160" t="n">
        <f aca="false">SUM(N1069:O1069)</f>
        <v>1</v>
      </c>
    </row>
    <row r="1070" customFormat="false" ht="18.75" hidden="false" customHeight="true" outlineLevel="0" collapsed="false">
      <c r="A1070" s="217"/>
      <c r="B1070" s="625"/>
      <c r="C1070" s="221"/>
      <c r="D1070" s="474"/>
      <c r="E1070" s="478"/>
      <c r="F1070" s="475"/>
      <c r="G1070" s="693"/>
      <c r="H1070" s="627"/>
      <c r="I1070" s="475"/>
      <c r="J1070" s="160"/>
      <c r="K1070" s="637"/>
      <c r="L1070" s="475"/>
      <c r="M1070" s="160" t="n">
        <f aca="false">SUM(K1070:L1070)</f>
        <v>0</v>
      </c>
      <c r="N1070" s="637"/>
      <c r="O1070" s="475"/>
      <c r="P1070" s="160" t="n">
        <f aca="false">SUM(N1070:O1070)</f>
        <v>0</v>
      </c>
    </row>
    <row r="1071" customFormat="false" ht="18.75" hidden="false" customHeight="true" outlineLevel="0" collapsed="false">
      <c r="A1071" s="146" t="str">
        <f aca="false">'☆掛負収入'!A1071</f>
        <v>日本下水道事業団</v>
      </c>
      <c r="B1071" s="476" t="n">
        <f aca="false">'☆掛負収入'!B1071</f>
        <v>20542</v>
      </c>
      <c r="C1071" s="248" t="n">
        <f aca="false">'☆掛負収入'!C1071</f>
        <v>1684</v>
      </c>
      <c r="D1071" s="474" t="n">
        <f aca="false">'☆掛負収入'!D1071</f>
        <v>20542</v>
      </c>
      <c r="E1071" s="478" t="n">
        <f aca="false">'☆掛負収入'!E1071</f>
        <v>1684</v>
      </c>
      <c r="F1071" s="475" t="n">
        <f aca="false">'☆掛負収入'!F1071</f>
        <v>21</v>
      </c>
      <c r="G1071" s="693" t="n">
        <f aca="false">SUM(B1071:F1071)</f>
        <v>44473</v>
      </c>
      <c r="H1071" s="473" t="n">
        <f aca="false">'☆掛負収入'!H1071</f>
        <v>12350</v>
      </c>
      <c r="I1071" s="475" t="n">
        <f aca="false">'☆掛負収入'!I1071</f>
        <v>12373</v>
      </c>
      <c r="J1071" s="160" t="n">
        <f aca="false">SUM(H1071:I1071)</f>
        <v>24723</v>
      </c>
      <c r="K1071" s="478" t="n">
        <f aca="false">'☆掛負収入'!K1071</f>
        <v>668</v>
      </c>
      <c r="L1071" s="475" t="n">
        <f aca="false">'☆掛負収入'!L1071</f>
        <v>668</v>
      </c>
      <c r="M1071" s="160" t="n">
        <f aca="false">SUM(K1071:L1071)</f>
        <v>1336</v>
      </c>
      <c r="N1071" s="478" t="n">
        <f aca="false">'☆掛負収入'!N1071</f>
        <v>1</v>
      </c>
      <c r="O1071" s="475" t="n">
        <f aca="false">'☆掛負収入'!O1071</f>
        <v>1</v>
      </c>
      <c r="P1071" s="160" t="n">
        <f aca="false">SUM(N1071:O1071)</f>
        <v>2</v>
      </c>
    </row>
    <row r="1072" customFormat="false" ht="18.75" hidden="false" customHeight="true" outlineLevel="0" collapsed="false">
      <c r="A1072" s="125" t="str">
        <f aca="false">'☆掛負収入'!A1072</f>
        <v>地方公務員災害補償基金本部</v>
      </c>
      <c r="B1072" s="476" t="n">
        <f aca="false">'☆掛負収入'!B1072</f>
        <v>3157</v>
      </c>
      <c r="C1072" s="248" t="n">
        <f aca="false">'☆掛負収入'!C1072</f>
        <v>259</v>
      </c>
      <c r="D1072" s="474" t="n">
        <f aca="false">'☆掛負収入'!D1072</f>
        <v>3157</v>
      </c>
      <c r="E1072" s="478" t="n">
        <f aca="false">'☆掛負収入'!E1072</f>
        <v>259</v>
      </c>
      <c r="F1072" s="475" t="n">
        <f aca="false">'☆掛負収入'!F1072</f>
        <v>4</v>
      </c>
      <c r="G1072" s="693" t="n">
        <f aca="false">SUM(B1072:F1072)</f>
        <v>6836</v>
      </c>
      <c r="H1072" s="473" t="n">
        <f aca="false">'☆掛負収入'!H1072</f>
        <v>1898</v>
      </c>
      <c r="I1072" s="475" t="n">
        <f aca="false">'☆掛負収入'!I1072</f>
        <v>1902</v>
      </c>
      <c r="J1072" s="160" t="n">
        <f aca="false">SUM(H1072:I1072)</f>
        <v>3800</v>
      </c>
      <c r="K1072" s="478" t="n">
        <f aca="false">'☆掛負収入'!K1072</f>
        <v>0</v>
      </c>
      <c r="L1072" s="475" t="n">
        <f aca="false">'☆掛負収入'!L1072</f>
        <v>0</v>
      </c>
      <c r="M1072" s="160" t="n">
        <f aca="false">SUM(K1072:L1072)</f>
        <v>0</v>
      </c>
      <c r="N1072" s="478" t="n">
        <f aca="false">'☆掛負収入'!N1072</f>
        <v>1</v>
      </c>
      <c r="O1072" s="475" t="n">
        <f aca="false">'☆掛負収入'!O1072</f>
        <v>1</v>
      </c>
      <c r="P1072" s="160" t="n">
        <f aca="false">SUM(N1072:O1072)</f>
        <v>2</v>
      </c>
    </row>
    <row r="1073" customFormat="false" ht="18.75" hidden="false" customHeight="true" outlineLevel="0" collapsed="false">
      <c r="A1073" s="222"/>
      <c r="B1073" s="474"/>
      <c r="C1073" s="248"/>
      <c r="D1073" s="474"/>
      <c r="E1073" s="478"/>
      <c r="F1073" s="475"/>
      <c r="G1073" s="693"/>
      <c r="H1073" s="619"/>
      <c r="I1073" s="475"/>
      <c r="J1073" s="160"/>
      <c r="K1073" s="464"/>
      <c r="L1073" s="449"/>
      <c r="M1073" s="160" t="n">
        <f aca="false">SUM(K1073:L1073)</f>
        <v>0</v>
      </c>
      <c r="N1073" s="464"/>
      <c r="O1073" s="449"/>
      <c r="P1073" s="160" t="n">
        <f aca="false">SUM(N1073:O1073)</f>
        <v>0</v>
      </c>
    </row>
    <row r="1074" customFormat="false" ht="18.75" hidden="false" customHeight="true" outlineLevel="0" collapsed="false">
      <c r="A1074" s="125" t="str">
        <f aca="false">'☆掛負収入'!A1074</f>
        <v>高速道路公社</v>
      </c>
      <c r="B1074" s="489" t="n">
        <f aca="false">'☆掛負収入'!B1074</f>
        <v>47212</v>
      </c>
      <c r="C1074" s="479" t="n">
        <f aca="false">'☆掛負収入'!C1074</f>
        <v>3868</v>
      </c>
      <c r="D1074" s="489" t="n">
        <f aca="false">'☆掛負収入'!D1074</f>
        <v>47214</v>
      </c>
      <c r="E1074" s="495" t="n">
        <f aca="false">'☆掛負収入'!E1074</f>
        <v>3870</v>
      </c>
      <c r="F1074" s="497" t="n">
        <f aca="false">'☆掛負収入'!F1074</f>
        <v>50</v>
      </c>
      <c r="G1074" s="693" t="n">
        <f aca="false">SUM(B1074:F1074)</f>
        <v>102214</v>
      </c>
      <c r="H1074" s="496" t="n">
        <f aca="false">'☆掛負収入'!H1074</f>
        <v>29266</v>
      </c>
      <c r="I1074" s="497" t="n">
        <f aca="false">'☆掛負収入'!I1074</f>
        <v>29320</v>
      </c>
      <c r="J1074" s="160" t="n">
        <f aca="false">SUM(H1074:I1074)</f>
        <v>58586</v>
      </c>
      <c r="K1074" s="495" t="n">
        <f aca="false">'☆掛負収入'!K1074</f>
        <v>2587</v>
      </c>
      <c r="L1074" s="497" t="n">
        <f aca="false">'☆掛負収入'!L1074</f>
        <v>2588</v>
      </c>
      <c r="M1074" s="160" t="n">
        <f aca="false">SUM(K1074:L1074)</f>
        <v>5175</v>
      </c>
      <c r="N1074" s="495" t="n">
        <f aca="false">'☆掛負収入'!N1074</f>
        <v>1</v>
      </c>
      <c r="O1074" s="497" t="n">
        <f aca="false">'☆掛負収入'!O1074</f>
        <v>1</v>
      </c>
      <c r="P1074" s="160" t="n">
        <f aca="false">SUM(N1074:O1074)</f>
        <v>2</v>
      </c>
    </row>
    <row r="1075" customFormat="false" ht="18.75" hidden="false" customHeight="true" outlineLevel="0" collapsed="false">
      <c r="A1075" s="125" t="str">
        <f aca="false">'☆掛負収入'!A1075</f>
        <v>農林水産振興センタ</v>
      </c>
      <c r="B1075" s="482"/>
      <c r="C1075" s="484"/>
      <c r="D1075" s="476" t="n">
        <f aca="false">'☆掛負収入'!D1075</f>
        <v>31614</v>
      </c>
      <c r="E1075" s="498" t="n">
        <f aca="false">'☆掛負収入'!E1075</f>
        <v>2592</v>
      </c>
      <c r="F1075" s="481" t="n">
        <f aca="false">'☆掛負収入'!F1075</f>
        <v>34</v>
      </c>
      <c r="G1075" s="693" t="n">
        <f aca="false">SUM(B1075:F1075)</f>
        <v>34240</v>
      </c>
      <c r="H1075" s="641"/>
      <c r="I1075" s="481" t="n">
        <f aca="false">'☆掛負収入'!I1075</f>
        <v>19042</v>
      </c>
      <c r="J1075" s="160" t="n">
        <f aca="false">SUM(H1075:I1075)</f>
        <v>19042</v>
      </c>
      <c r="K1075" s="642"/>
      <c r="L1075" s="481" t="n">
        <f aca="false">'☆掛負収入'!L1075</f>
        <v>1434</v>
      </c>
      <c r="M1075" s="160" t="n">
        <f aca="false">SUM(K1075:L1075)</f>
        <v>1434</v>
      </c>
      <c r="N1075" s="642"/>
      <c r="O1075" s="481" t="n">
        <f aca="false">'☆掛負収入'!O1075</f>
        <v>1</v>
      </c>
      <c r="P1075" s="160" t="n">
        <f aca="false">SUM(N1075:O1075)</f>
        <v>1</v>
      </c>
    </row>
    <row r="1076" customFormat="false" ht="18.75" hidden="false" customHeight="true" outlineLevel="0" collapsed="false">
      <c r="A1076" s="228" t="str">
        <f aca="false">'☆掛負収入'!A1076</f>
        <v>文化財団　市長部局</v>
      </c>
      <c r="B1076" s="625"/>
      <c r="C1076" s="221"/>
      <c r="D1076" s="474" t="n">
        <f aca="false">'☆掛負収入'!D1076</f>
        <v>64508</v>
      </c>
      <c r="E1076" s="478" t="n">
        <f aca="false">'☆掛負収入'!E1076</f>
        <v>5287</v>
      </c>
      <c r="F1076" s="481" t="n">
        <f aca="false">'☆掛負収入'!F1076</f>
        <v>67</v>
      </c>
      <c r="G1076" s="693" t="n">
        <f aca="false">SUM(B1076:F1076)</f>
        <v>69862</v>
      </c>
      <c r="H1076" s="627"/>
      <c r="I1076" s="481" t="n">
        <f aca="false">'☆掛負収入'!I1076</f>
        <v>38853</v>
      </c>
      <c r="J1076" s="160" t="n">
        <f aca="false">SUM(H1076:I1076)</f>
        <v>38853</v>
      </c>
      <c r="K1076" s="637"/>
      <c r="L1076" s="481" t="n">
        <f aca="false">'☆掛負収入'!L1076</f>
        <v>5218</v>
      </c>
      <c r="M1076" s="160" t="n">
        <f aca="false">SUM(K1076:L1076)</f>
        <v>5218</v>
      </c>
      <c r="N1076" s="637"/>
      <c r="O1076" s="481" t="n">
        <f aca="false">'☆掛負収入'!O1076</f>
        <v>1</v>
      </c>
      <c r="P1076" s="160" t="n">
        <f aca="false">SUM(N1076:O1076)</f>
        <v>1</v>
      </c>
    </row>
    <row r="1077" customFormat="false" ht="18.75" hidden="false" customHeight="true" outlineLevel="0" collapsed="false">
      <c r="A1077" s="229"/>
      <c r="B1077" s="625"/>
      <c r="C1077" s="221"/>
      <c r="D1077" s="474"/>
      <c r="E1077" s="478"/>
      <c r="F1077" s="481"/>
      <c r="G1077" s="693"/>
      <c r="H1077" s="627"/>
      <c r="I1077" s="481"/>
      <c r="J1077" s="160"/>
      <c r="K1077" s="637"/>
      <c r="L1077" s="481"/>
      <c r="M1077" s="160" t="n">
        <f aca="false">SUM(K1077:L1077)</f>
        <v>0</v>
      </c>
      <c r="N1077" s="637"/>
      <c r="O1077" s="481"/>
      <c r="P1077" s="160" t="n">
        <f aca="false">SUM(N1077:O1077)</f>
        <v>0</v>
      </c>
    </row>
    <row r="1078" customFormat="false" ht="18.75" hidden="false" customHeight="true" outlineLevel="0" collapsed="false">
      <c r="A1078" s="125" t="str">
        <f aca="false">'☆掛負収入'!A1078</f>
        <v>みどり生きもの協会</v>
      </c>
      <c r="B1078" s="625"/>
      <c r="C1078" s="221"/>
      <c r="D1078" s="474" t="n">
        <f aca="false">'☆掛負収入'!D1078</f>
        <v>22739</v>
      </c>
      <c r="E1078" s="478" t="n">
        <f aca="false">'☆掛負収入'!E1078</f>
        <v>1865</v>
      </c>
      <c r="F1078" s="481" t="n">
        <f aca="false">'☆掛負収入'!F1078</f>
        <v>23</v>
      </c>
      <c r="G1078" s="693" t="n">
        <f aca="false">SUM(B1078:F1078)</f>
        <v>24627</v>
      </c>
      <c r="H1078" s="627"/>
      <c r="I1078" s="481" t="n">
        <f aca="false">'☆掛負収入'!I1078</f>
        <v>13695</v>
      </c>
      <c r="J1078" s="160" t="n">
        <f aca="false">SUM(H1078:I1078)</f>
        <v>13695</v>
      </c>
      <c r="K1078" s="637"/>
      <c r="L1078" s="481" t="n">
        <f aca="false">'☆掛負収入'!L1078</f>
        <v>1965</v>
      </c>
      <c r="M1078" s="160" t="n">
        <f aca="false">SUM(K1078:L1078)</f>
        <v>1965</v>
      </c>
      <c r="N1078" s="637"/>
      <c r="O1078" s="481" t="n">
        <f aca="false">'☆掛負収入'!O1078</f>
        <v>1</v>
      </c>
      <c r="P1078" s="160" t="n">
        <f aca="false">SUM(N1078:O1078)</f>
        <v>1</v>
      </c>
    </row>
    <row r="1079" customFormat="false" ht="18.75" hidden="false" customHeight="true" outlineLevel="0" collapsed="false">
      <c r="A1079" s="146" t="str">
        <f aca="false">'☆掛負収入'!A1079</f>
        <v>県下水道公社</v>
      </c>
      <c r="B1079" s="474" t="n">
        <f aca="false">'☆掛負収入'!B1079</f>
        <v>7778</v>
      </c>
      <c r="C1079" s="248" t="n">
        <f aca="false">'☆掛負収入'!C1079</f>
        <v>638</v>
      </c>
      <c r="D1079" s="474" t="n">
        <f aca="false">'☆掛負収入'!D1079</f>
        <v>7777</v>
      </c>
      <c r="E1079" s="478" t="n">
        <f aca="false">'☆掛負収入'!E1079</f>
        <v>638</v>
      </c>
      <c r="F1079" s="481" t="n">
        <f aca="false">'☆掛負収入'!F1079</f>
        <v>8</v>
      </c>
      <c r="G1079" s="693" t="n">
        <f aca="false">SUM(B1079:F1079)</f>
        <v>16839</v>
      </c>
      <c r="H1079" s="473" t="n">
        <f aca="false">'☆掛負収入'!H1079</f>
        <v>4675</v>
      </c>
      <c r="I1079" s="481" t="n">
        <f aca="false">'☆掛負収入'!I1079</f>
        <v>4685</v>
      </c>
      <c r="J1079" s="160" t="n">
        <f aca="false">SUM(H1079:I1079)</f>
        <v>9360</v>
      </c>
      <c r="K1079" s="478" t="n">
        <f aca="false">'☆掛負収入'!K1079</f>
        <v>466</v>
      </c>
      <c r="L1079" s="481" t="n">
        <f aca="false">'☆掛負収入'!L1079</f>
        <v>466</v>
      </c>
      <c r="M1079" s="160" t="n">
        <f aca="false">SUM(K1079:L1079)</f>
        <v>932</v>
      </c>
      <c r="N1079" s="478" t="n">
        <f aca="false">'☆掛負収入'!N1079</f>
        <v>1</v>
      </c>
      <c r="O1079" s="481" t="n">
        <f aca="false">'☆掛負収入'!O1079</f>
        <v>1</v>
      </c>
      <c r="P1079" s="160" t="n">
        <f aca="false">SUM(N1079:O1079)</f>
        <v>2</v>
      </c>
    </row>
    <row r="1080" customFormat="false" ht="18.75" hidden="false" customHeight="true" outlineLevel="0" collapsed="false">
      <c r="A1080" s="146" t="str">
        <f aca="false">'☆掛負収入'!A1080</f>
        <v>バス協調・共創
プラットフォーム</v>
      </c>
      <c r="B1080" s="482"/>
      <c r="C1080" s="484"/>
      <c r="D1080" s="476" t="n">
        <f aca="false">'☆掛負収入'!D1080</f>
        <v>21640</v>
      </c>
      <c r="E1080" s="498" t="n">
        <f aca="false">'☆掛負収入'!E1080</f>
        <v>1774</v>
      </c>
      <c r="F1080" s="481" t="n">
        <f aca="false">'☆掛負収入'!F1080</f>
        <v>22</v>
      </c>
      <c r="G1080" s="693" t="n">
        <f aca="false">SUM(B1080:F1080)</f>
        <v>23436</v>
      </c>
      <c r="H1080" s="641"/>
      <c r="I1080" s="481" t="n">
        <f aca="false">'☆掛負収入'!I1080</f>
        <v>14191</v>
      </c>
      <c r="J1080" s="160" t="n">
        <f aca="false">SUM(H1080:I1080)</f>
        <v>14191</v>
      </c>
      <c r="K1080" s="642"/>
      <c r="L1080" s="481" t="n">
        <f aca="false">'☆掛負収入'!L1080</f>
        <v>1221</v>
      </c>
      <c r="M1080" s="160" t="n">
        <f aca="false">SUM(K1080:L1080)</f>
        <v>1221</v>
      </c>
      <c r="N1080" s="642"/>
      <c r="O1080" s="481" t="n">
        <f aca="false">'☆掛負収入'!O1080</f>
        <v>1</v>
      </c>
      <c r="P1080" s="160" t="n">
        <f aca="false">SUM(N1080:O1080)</f>
        <v>1</v>
      </c>
    </row>
    <row r="1081" customFormat="false" ht="18.75" hidden="false" customHeight="true" outlineLevel="0" collapsed="false">
      <c r="A1081" s="146" t="str">
        <f aca="false">'☆掛負収入'!A1081</f>
        <v>広島県市長会</v>
      </c>
      <c r="B1081" s="474" t="n">
        <f aca="false">'☆掛負収入'!B1081</f>
        <v>2837</v>
      </c>
      <c r="C1081" s="248" t="n">
        <f aca="false">'☆掛負収入'!C1081</f>
        <v>233</v>
      </c>
      <c r="D1081" s="474" t="n">
        <f aca="false">'☆掛負収入'!D1081</f>
        <v>2836</v>
      </c>
      <c r="E1081" s="478" t="n">
        <f aca="false">'☆掛負収入'!E1081</f>
        <v>233</v>
      </c>
      <c r="F1081" s="475" t="n">
        <f aca="false">'☆掛負収入'!F1081</f>
        <v>3</v>
      </c>
      <c r="G1081" s="693" t="n">
        <f aca="false">SUM(B1081:F1081)</f>
        <v>6142</v>
      </c>
      <c r="H1081" s="619" t="n">
        <f aca="false">'☆掛負収入'!H1081</f>
        <v>1706</v>
      </c>
      <c r="I1081" s="475" t="n">
        <f aca="false">'☆掛負収入'!I1081</f>
        <v>1709</v>
      </c>
      <c r="J1081" s="160" t="n">
        <f aca="false">SUM(H1081:I1081)</f>
        <v>3415</v>
      </c>
      <c r="K1081" s="464" t="n">
        <f aca="false">'☆掛負収入'!K1081</f>
        <v>245</v>
      </c>
      <c r="L1081" s="475" t="n">
        <f aca="false">'☆掛負収入'!L1081</f>
        <v>245</v>
      </c>
      <c r="M1081" s="160" t="n">
        <f aca="false">SUM(K1081:L1081)</f>
        <v>490</v>
      </c>
      <c r="N1081" s="464" t="n">
        <f aca="false">'☆掛負収入'!N1081</f>
        <v>1</v>
      </c>
      <c r="O1081" s="475" t="n">
        <f aca="false">'☆掛負収入'!O1081</f>
        <v>1</v>
      </c>
      <c r="P1081" s="160" t="n">
        <f aca="false">SUM(N1081:O1081)</f>
        <v>2</v>
      </c>
    </row>
    <row r="1082" customFormat="false" ht="18.75" hidden="false" customHeight="true" outlineLevel="0" collapsed="false">
      <c r="A1082" s="214" t="str">
        <f aca="false">'☆掛負収入'!A1082</f>
        <v>全国市町村研修財団</v>
      </c>
      <c r="B1082" s="476" t="n">
        <f aca="false">'☆掛負収入'!B1082</f>
        <v>1053</v>
      </c>
      <c r="C1082" s="248" t="n">
        <f aca="false">'☆掛負収入'!C1082</f>
        <v>87</v>
      </c>
      <c r="D1082" s="474" t="n">
        <f aca="false">'☆掛負収入'!D1082</f>
        <v>1052</v>
      </c>
      <c r="E1082" s="478" t="n">
        <f aca="false">'☆掛負収入'!E1082</f>
        <v>87</v>
      </c>
      <c r="F1082" s="475" t="n">
        <f aca="false">'☆掛負収入'!F1082</f>
        <v>1</v>
      </c>
      <c r="G1082" s="693" t="n">
        <f aca="false">SUM(B1082:F1082)</f>
        <v>2280</v>
      </c>
      <c r="H1082" s="473" t="n">
        <f aca="false">'☆掛負収入'!H1082</f>
        <v>3026</v>
      </c>
      <c r="I1082" s="475" t="n">
        <f aca="false">'☆掛負収入'!I1082</f>
        <v>3031</v>
      </c>
      <c r="J1082" s="160" t="n">
        <f aca="false">SUM(H1082:I1082)</f>
        <v>6057</v>
      </c>
      <c r="K1082" s="478" t="n">
        <f aca="false">'☆掛負収入'!K1082</f>
        <v>435</v>
      </c>
      <c r="L1082" s="475" t="n">
        <f aca="false">'☆掛負収入'!L1082</f>
        <v>435</v>
      </c>
      <c r="M1082" s="160" t="n">
        <f aca="false">SUM(K1082:L1082)</f>
        <v>870</v>
      </c>
      <c r="N1082" s="478" t="n">
        <f aca="false">'☆掛負収入'!N1082</f>
        <v>1</v>
      </c>
      <c r="O1082" s="475" t="n">
        <f aca="false">'☆掛負収入'!O1082</f>
        <v>1</v>
      </c>
      <c r="P1082" s="160" t="n">
        <f aca="false">SUM(N1082:O1082)</f>
        <v>2</v>
      </c>
    </row>
    <row r="1083" customFormat="false" ht="18.75" hidden="false" customHeight="true" outlineLevel="0" collapsed="false">
      <c r="A1083" s="214" t="str">
        <f aca="false">'☆掛負収入'!A1083</f>
        <v>都市再生機構</v>
      </c>
      <c r="B1083" s="474" t="n">
        <f aca="false">'☆掛負収入'!B1083</f>
        <v>1876</v>
      </c>
      <c r="C1083" s="248" t="n">
        <f aca="false">'☆掛負収入'!C1083</f>
        <v>154</v>
      </c>
      <c r="D1083" s="474" t="n">
        <f aca="false">'☆掛負収入'!D1083</f>
        <v>1876</v>
      </c>
      <c r="E1083" s="478" t="n">
        <f aca="false">'☆掛負収入'!E1083</f>
        <v>154</v>
      </c>
      <c r="F1083" s="475" t="n">
        <f aca="false">'☆掛負収入'!F1083</f>
        <v>2</v>
      </c>
      <c r="G1083" s="693" t="n">
        <f aca="false">SUM(B1083:F1083)</f>
        <v>4062</v>
      </c>
      <c r="H1083" s="473" t="n">
        <f aca="false">'☆掛負収入'!H1083</f>
        <v>1128</v>
      </c>
      <c r="I1083" s="475" t="n">
        <f aca="false">'☆掛負収入'!I1083</f>
        <v>1130</v>
      </c>
      <c r="J1083" s="160" t="n">
        <f aca="false">SUM(H1083:I1083)</f>
        <v>2258</v>
      </c>
      <c r="K1083" s="478" t="n">
        <f aca="false">'☆掛負収入'!K1083</f>
        <v>0</v>
      </c>
      <c r="L1083" s="475" t="n">
        <f aca="false">'☆掛負収入'!L1083</f>
        <v>0</v>
      </c>
      <c r="M1083" s="160" t="n">
        <f aca="false">SUM(K1083:L1083)</f>
        <v>0</v>
      </c>
      <c r="N1083" s="478" t="n">
        <f aca="false">'☆掛負収入'!N1083</f>
        <v>1</v>
      </c>
      <c r="O1083" s="475" t="n">
        <f aca="false">'☆掛負収入'!O1083</f>
        <v>1</v>
      </c>
      <c r="P1083" s="160" t="n">
        <f aca="false">SUM(N1083:O1083)</f>
        <v>2</v>
      </c>
    </row>
    <row r="1084" customFormat="false" ht="18.75" hidden="false" customHeight="true" outlineLevel="0" collapsed="false">
      <c r="A1084" s="146" t="str">
        <f aca="false">'☆掛負収入'!A1084</f>
        <v>広島市立大学</v>
      </c>
      <c r="B1084" s="474" t="n">
        <f aca="false">'☆掛負収入'!B1084</f>
        <v>66201</v>
      </c>
      <c r="C1084" s="248" t="n">
        <f aca="false">'☆掛負収入'!C1084</f>
        <v>5427</v>
      </c>
      <c r="D1084" s="474" t="n">
        <f aca="false">'☆掛負収入'!D1084</f>
        <v>66201</v>
      </c>
      <c r="E1084" s="478" t="n">
        <f aca="false">'☆掛負収入'!E1084</f>
        <v>5427</v>
      </c>
      <c r="F1084" s="475" t="n">
        <f aca="false">'☆掛負収入'!F1084</f>
        <v>71</v>
      </c>
      <c r="G1084" s="693" t="n">
        <f aca="false">SUM(B1084:F1084)</f>
        <v>143327</v>
      </c>
      <c r="H1084" s="473" t="n">
        <f aca="false">'☆掛負収入'!H1084</f>
        <v>39799</v>
      </c>
      <c r="I1084" s="475" t="n">
        <f aca="false">'☆掛負収入'!I1084</f>
        <v>39874</v>
      </c>
      <c r="J1084" s="160" t="n">
        <f aca="false">SUM(H1084:I1084)</f>
        <v>79673</v>
      </c>
      <c r="K1084" s="464" t="n">
        <f aca="false">'☆掛負収入'!K1084</f>
        <v>3369</v>
      </c>
      <c r="L1084" s="449" t="n">
        <f aca="false">'☆掛負収入'!L1084</f>
        <v>3369</v>
      </c>
      <c r="M1084" s="160" t="n">
        <f aca="false">SUM(K1084:L1084)</f>
        <v>6738</v>
      </c>
      <c r="N1084" s="464" t="n">
        <f aca="false">'☆掛負収入'!N1084</f>
        <v>1</v>
      </c>
      <c r="O1084" s="449" t="n">
        <f aca="false">'☆掛負収入'!O1084</f>
        <v>1</v>
      </c>
      <c r="P1084" s="160" t="n">
        <f aca="false">SUM(N1084:O1084)</f>
        <v>2</v>
      </c>
    </row>
    <row r="1085" customFormat="false" ht="18.75" hidden="false" customHeight="true" outlineLevel="0" collapsed="false">
      <c r="A1085" s="146" t="str">
        <f aca="false">'☆掛負収入'!A1085</f>
        <v>社会福祉協議会</v>
      </c>
      <c r="B1085" s="474" t="n">
        <f aca="false">'☆掛負収入'!B1085</f>
        <v>0</v>
      </c>
      <c r="C1085" s="248" t="n">
        <f aca="false">'☆掛負収入'!C1085</f>
        <v>0</v>
      </c>
      <c r="D1085" s="474" t="n">
        <f aca="false">'☆掛負収入'!D1085</f>
        <v>9653</v>
      </c>
      <c r="E1085" s="478" t="n">
        <f aca="false">'☆掛負収入'!E1085</f>
        <v>792</v>
      </c>
      <c r="F1085" s="475" t="n">
        <f aca="false">'☆掛負収入'!F1085</f>
        <v>10</v>
      </c>
      <c r="G1085" s="693" t="n">
        <f aca="false">SUM(B1085:F1085)</f>
        <v>10455</v>
      </c>
      <c r="H1085" s="473" t="n">
        <f aca="false">'☆掛負収入'!H1085</f>
        <v>0</v>
      </c>
      <c r="I1085" s="475" t="n">
        <f aca="false">'☆掛負収入'!I1085</f>
        <v>7853</v>
      </c>
      <c r="J1085" s="160" t="n">
        <f aca="false">SUM(H1085:I1085)</f>
        <v>7853</v>
      </c>
      <c r="K1085" s="464" t="n">
        <f aca="false">'☆掛負収入'!K1085</f>
        <v>0</v>
      </c>
      <c r="L1085" s="449" t="n">
        <f aca="false">'☆掛負収入'!L1085</f>
        <v>513</v>
      </c>
      <c r="M1085" s="160" t="n">
        <f aca="false">SUM(K1085:L1085)</f>
        <v>513</v>
      </c>
      <c r="N1085" s="464" t="n">
        <f aca="false">'☆掛負収入'!N1085</f>
        <v>0</v>
      </c>
      <c r="O1085" s="449" t="n">
        <f aca="false">'☆掛負収入'!O1085</f>
        <v>1</v>
      </c>
      <c r="P1085" s="160" t="n">
        <f aca="false">SUM(N1085:O1085)</f>
        <v>1</v>
      </c>
    </row>
    <row r="1086" customFormat="false" ht="18.75" hidden="false" customHeight="true" outlineLevel="0" collapsed="false">
      <c r="A1086" s="228" t="s">
        <v>532</v>
      </c>
      <c r="B1086" s="476" t="n">
        <f aca="false">'☆掛負収入'!B1088</f>
        <v>0</v>
      </c>
      <c r="C1086" s="470" t="n">
        <f aca="false">'☆掛負収入'!C1088</f>
        <v>0</v>
      </c>
      <c r="D1086" s="476" t="n">
        <f aca="false">'☆掛負収入'!D1088</f>
        <v>0</v>
      </c>
      <c r="E1086" s="487" t="n">
        <f aca="false">'☆掛負収入'!E1088</f>
        <v>0</v>
      </c>
      <c r="F1086" s="478" t="n">
        <f aca="false">'☆掛負収入'!F1088</f>
        <v>0</v>
      </c>
      <c r="G1086" s="693" t="n">
        <f aca="false">SUM(B1086:F1086)</f>
        <v>0</v>
      </c>
      <c r="H1086" s="487" t="n">
        <f aca="false">'☆掛負収入'!H1088</f>
        <v>0</v>
      </c>
      <c r="I1086" s="487" t="n">
        <f aca="false">'☆掛負収入'!I1088</f>
        <v>0</v>
      </c>
      <c r="J1086" s="160" t="n">
        <f aca="false">SUM(H1086:I1086)</f>
        <v>0</v>
      </c>
      <c r="K1086" s="464" t="n">
        <f aca="false">'☆掛負収入'!K1088</f>
        <v>0</v>
      </c>
      <c r="L1086" s="449" t="n">
        <f aca="false">'☆掛負収入'!L1088</f>
        <v>0</v>
      </c>
      <c r="M1086" s="160" t="n">
        <f aca="false">SUM(K1086:L1086)</f>
        <v>0</v>
      </c>
      <c r="N1086" s="464" t="n">
        <f aca="false">'☆掛負収入'!N1088</f>
        <v>0</v>
      </c>
      <c r="O1086" s="449" t="n">
        <f aca="false">'☆掛負収入'!O1088</f>
        <v>0</v>
      </c>
      <c r="P1086" s="160" t="n">
        <f aca="false">SUM(N1086:O1086)</f>
        <v>0</v>
      </c>
    </row>
    <row r="1087" customFormat="false" ht="18.75" hidden="false" customHeight="true" outlineLevel="0" collapsed="false">
      <c r="A1087" s="146" t="str">
        <f aca="false">'☆掛負収入'!A1089</f>
        <v>全国市長会</v>
      </c>
      <c r="B1087" s="476" t="n">
        <f aca="false">'☆掛負収入'!B1089</f>
        <v>0</v>
      </c>
      <c r="C1087" s="470" t="n">
        <f aca="false">'☆掛負収入'!C1089</f>
        <v>0</v>
      </c>
      <c r="D1087" s="476" t="n">
        <f aca="false">'☆掛負収入'!D1089</f>
        <v>0</v>
      </c>
      <c r="E1087" s="487" t="n">
        <f aca="false">'☆掛負収入'!E1089</f>
        <v>0</v>
      </c>
      <c r="F1087" s="478" t="n">
        <f aca="false">'☆掛負収入'!F1089</f>
        <v>0</v>
      </c>
      <c r="G1087" s="693" t="n">
        <f aca="false">SUM(B1087:F1087)</f>
        <v>0</v>
      </c>
      <c r="H1087" s="487" t="n">
        <f aca="false">'☆掛負収入'!H1089</f>
        <v>3906</v>
      </c>
      <c r="I1087" s="487" t="n">
        <f aca="false">'☆掛負収入'!I1089</f>
        <v>3913</v>
      </c>
      <c r="J1087" s="160" t="n">
        <f aca="false">SUM(H1087:I1087)</f>
        <v>7819</v>
      </c>
      <c r="K1087" s="464" t="n">
        <f aca="false">'☆掛負収入'!K1089</f>
        <v>561</v>
      </c>
      <c r="L1087" s="449" t="n">
        <f aca="false">'☆掛負収入'!L1089</f>
        <v>561</v>
      </c>
      <c r="M1087" s="160" t="n">
        <f aca="false">SUM(K1087:L1087)</f>
        <v>1122</v>
      </c>
      <c r="N1087" s="464" t="n">
        <f aca="false">'☆掛負収入'!N1089</f>
        <v>1</v>
      </c>
      <c r="O1087" s="449" t="n">
        <f aca="false">'☆掛負収入'!O1089</f>
        <v>1</v>
      </c>
      <c r="P1087" s="160" t="n">
        <f aca="false">SUM(N1087:O1087)</f>
        <v>2</v>
      </c>
    </row>
    <row r="1088" customFormat="false" ht="18.75" hidden="false" customHeight="true" outlineLevel="0" collapsed="false">
      <c r="A1088" s="233"/>
      <c r="B1088" s="431"/>
      <c r="C1088" s="418"/>
      <c r="D1088" s="431"/>
      <c r="E1088" s="464"/>
      <c r="F1088" s="449"/>
      <c r="G1088" s="693"/>
      <c r="H1088" s="619"/>
      <c r="I1088" s="475"/>
      <c r="J1088" s="160"/>
      <c r="K1088" s="464"/>
      <c r="L1088" s="449"/>
      <c r="M1088" s="160"/>
      <c r="N1088" s="464"/>
      <c r="O1088" s="449"/>
      <c r="P1088" s="160"/>
    </row>
    <row r="1089" customFormat="false" ht="18.75" hidden="false" customHeight="true" outlineLevel="0" collapsed="false">
      <c r="A1089" s="233"/>
      <c r="B1089" s="620"/>
      <c r="C1089" s="391"/>
      <c r="D1089" s="620"/>
      <c r="E1089" s="621"/>
      <c r="F1089" s="432"/>
      <c r="G1089" s="693"/>
      <c r="H1089" s="620"/>
      <c r="I1089" s="465"/>
      <c r="J1089" s="160"/>
      <c r="K1089" s="621"/>
      <c r="L1089" s="465"/>
      <c r="M1089" s="160"/>
      <c r="N1089" s="621"/>
      <c r="O1089" s="465"/>
      <c r="P1089" s="160"/>
    </row>
    <row r="1090" customFormat="false" ht="18.75" hidden="false" customHeight="true" outlineLevel="0" collapsed="false">
      <c r="A1090" s="217"/>
      <c r="B1090" s="431"/>
      <c r="C1090" s="206"/>
      <c r="D1090" s="431"/>
      <c r="E1090" s="617"/>
      <c r="F1090" s="449"/>
      <c r="G1090" s="693"/>
      <c r="H1090" s="431"/>
      <c r="I1090" s="644"/>
      <c r="J1090" s="160"/>
      <c r="K1090" s="617"/>
      <c r="L1090" s="644"/>
      <c r="M1090" s="160"/>
      <c r="N1090" s="617"/>
      <c r="O1090" s="644"/>
      <c r="P1090" s="160"/>
    </row>
    <row r="1091" customFormat="false" ht="18.75" hidden="false" customHeight="true" outlineLevel="0" collapsed="false">
      <c r="A1091" s="217"/>
      <c r="B1091" s="620"/>
      <c r="C1091" s="418"/>
      <c r="D1091" s="621"/>
      <c r="E1091" s="465"/>
      <c r="F1091" s="432"/>
      <c r="G1091" s="417"/>
      <c r="H1091" s="431"/>
      <c r="I1091" s="465"/>
      <c r="J1091" s="160"/>
      <c r="K1091" s="621"/>
      <c r="L1091" s="465"/>
      <c r="M1091" s="160"/>
      <c r="N1091" s="621"/>
      <c r="O1091" s="465"/>
      <c r="P1091" s="160"/>
    </row>
    <row r="1092" customFormat="false" ht="18.75" hidden="false" customHeight="true" outlineLevel="0" collapsed="false">
      <c r="A1092" s="630"/>
      <c r="B1092" s="647"/>
      <c r="C1092" s="278"/>
      <c r="D1092" s="648"/>
      <c r="E1092" s="649"/>
      <c r="F1092" s="786"/>
      <c r="G1092" s="696"/>
      <c r="H1092" s="647"/>
      <c r="I1092" s="648"/>
      <c r="J1092" s="648" t="n">
        <f aca="false">SUM(H1092:I1092)</f>
        <v>0</v>
      </c>
      <c r="K1092" s="647"/>
      <c r="L1092" s="648"/>
      <c r="M1092" s="722" t="n">
        <f aca="false">SUM(K1092:L1092)</f>
        <v>0</v>
      </c>
      <c r="N1092" s="647"/>
      <c r="O1092" s="648"/>
      <c r="P1092" s="722" t="n">
        <f aca="false">SUM(N1092:O1092)</f>
        <v>0</v>
      </c>
    </row>
    <row r="1093" customFormat="false" ht="18.75" hidden="false" customHeight="true" outlineLevel="0" collapsed="false">
      <c r="A1093" s="196" t="str">
        <f aca="false">'☆掛負収入'!A1093</f>
        <v>派遣団体　計</v>
      </c>
      <c r="B1093" s="429" t="n">
        <f aca="false">SUM(B1063:B1092)</f>
        <v>150656</v>
      </c>
      <c r="C1093" s="200" t="n">
        <f aca="false">SUM(C1063:C1092)</f>
        <v>12350</v>
      </c>
      <c r="D1093" s="429" t="n">
        <f aca="false">SUM(D1063:D1092)</f>
        <v>466834</v>
      </c>
      <c r="E1093" s="301" t="n">
        <f aca="false">SUM(E1063:E1092)</f>
        <v>38272</v>
      </c>
      <c r="F1093" s="200" t="n">
        <f aca="false">SUM(F1063:F1092)</f>
        <v>490</v>
      </c>
      <c r="G1093" s="201" t="n">
        <f aca="false">SUM(B1093:F1093)</f>
        <v>668602</v>
      </c>
      <c r="H1093" s="429" t="n">
        <f aca="false">SUM(H1063:H1092)</f>
        <v>97754</v>
      </c>
      <c r="I1093" s="199" t="n">
        <f aca="false">SUM(I1063:I1092)</f>
        <v>300857</v>
      </c>
      <c r="J1093" s="200" t="n">
        <f aca="false">SUM(H1093:I1093)</f>
        <v>398611</v>
      </c>
      <c r="K1093" s="429" t="n">
        <f aca="false">SUM(K1063:K1092)</f>
        <v>8331</v>
      </c>
      <c r="L1093" s="199" t="n">
        <f aca="false">SUM(L1063:L1092)</f>
        <v>30550</v>
      </c>
      <c r="M1093" s="198" t="n">
        <f aca="false">SUM(K1093:L1093)</f>
        <v>38881</v>
      </c>
      <c r="N1093" s="429" t="n">
        <f aca="false">SUM(N1063:N1092)</f>
        <v>9</v>
      </c>
      <c r="O1093" s="199" t="n">
        <f aca="false">SUM(O1063:O1092)</f>
        <v>20</v>
      </c>
      <c r="P1093" s="198" t="n">
        <f aca="false">SUM(N1093:O1093)</f>
        <v>29</v>
      </c>
    </row>
    <row r="1094" customFormat="false" ht="18.75" hidden="true" customHeight="true" outlineLevel="0" collapsed="false">
      <c r="A1094" s="629"/>
      <c r="B1094" s="647"/>
      <c r="C1094" s="278"/>
      <c r="D1094" s="648"/>
      <c r="E1094" s="649"/>
      <c r="F1094" s="650"/>
      <c r="G1094" s="651"/>
      <c r="H1094" s="652"/>
      <c r="I1094" s="653"/>
      <c r="J1094" s="654"/>
      <c r="K1094" s="655"/>
      <c r="L1094" s="656"/>
      <c r="M1094" s="657"/>
      <c r="N1094" s="655"/>
      <c r="O1094" s="656"/>
      <c r="P1094" s="657"/>
    </row>
    <row r="1095" customFormat="false" ht="18.75" hidden="true" customHeight="true" outlineLevel="0" collapsed="false">
      <c r="A1095" s="658"/>
      <c r="B1095" s="631"/>
      <c r="C1095" s="633"/>
      <c r="D1095" s="648"/>
      <c r="E1095" s="649"/>
      <c r="F1095" s="278"/>
      <c r="G1095" s="646"/>
      <c r="H1095" s="659"/>
      <c r="I1095" s="660"/>
      <c r="J1095" s="408"/>
      <c r="K1095" s="661"/>
      <c r="L1095" s="662"/>
      <c r="M1095" s="663"/>
      <c r="N1095" s="661"/>
      <c r="O1095" s="662"/>
      <c r="P1095" s="663"/>
    </row>
    <row r="1096" customFormat="false" ht="18.75" hidden="false" customHeight="true" outlineLevel="0" collapsed="false">
      <c r="A1096" s="214" t="str">
        <f aca="false">'☆掛負収入'!A1096</f>
        <v>高速交通（株）</v>
      </c>
      <c r="B1096" s="489" t="n">
        <f aca="false">'☆掛負収入'!B1096</f>
        <v>4941</v>
      </c>
      <c r="C1096" s="491" t="n">
        <f aca="false">'☆掛負収入'!C1096</f>
        <v>405</v>
      </c>
      <c r="D1096" s="477" t="n">
        <f aca="false">'☆掛負収入'!D1096</f>
        <v>4941</v>
      </c>
      <c r="E1096" s="487" t="n">
        <f aca="false">'☆掛負収入'!E1096</f>
        <v>405</v>
      </c>
      <c r="F1096" s="479" t="n">
        <f aca="false">'☆掛負収入'!F1096</f>
        <v>5</v>
      </c>
      <c r="G1096" s="391" t="n">
        <f aca="false">SUM(B1096:F1096)</f>
        <v>10697</v>
      </c>
      <c r="H1096" s="659"/>
      <c r="I1096" s="660"/>
      <c r="J1096" s="780"/>
      <c r="K1096" s="661"/>
      <c r="L1096" s="662"/>
      <c r="M1096" s="776"/>
      <c r="N1096" s="661"/>
      <c r="O1096" s="662"/>
      <c r="P1096" s="776"/>
    </row>
    <row r="1097" customFormat="false" ht="18.75" hidden="false" customHeight="true" outlineLevel="0" collapsed="false">
      <c r="A1097" s="666" t="s">
        <v>209</v>
      </c>
      <c r="B1097" s="489" t="n">
        <f aca="false">'☆掛負収入'!B1097</f>
        <v>3020</v>
      </c>
      <c r="C1097" s="491" t="n">
        <f aca="false">'☆掛負収入'!C1097</f>
        <v>248</v>
      </c>
      <c r="D1097" s="477" t="n">
        <f aca="false">'☆掛負収入'!D1097</f>
        <v>3020</v>
      </c>
      <c r="E1097" s="487" t="n">
        <f aca="false">'☆掛負収入'!E1097</f>
        <v>248</v>
      </c>
      <c r="F1097" s="479" t="n">
        <f aca="false">'☆掛負収入'!F1097</f>
        <v>3</v>
      </c>
      <c r="G1097" s="391" t="n">
        <f aca="false">SUM(B1097:F1097)</f>
        <v>6539</v>
      </c>
      <c r="H1097" s="659"/>
      <c r="I1097" s="660"/>
      <c r="J1097" s="780"/>
      <c r="K1097" s="661"/>
      <c r="L1097" s="662"/>
      <c r="M1097" s="776"/>
      <c r="N1097" s="661"/>
      <c r="O1097" s="662"/>
      <c r="P1097" s="776"/>
    </row>
    <row r="1098" customFormat="false" ht="18.75" hidden="false" customHeight="true" outlineLevel="0" collapsed="false">
      <c r="A1098" s="196" t="str">
        <f aca="false">'☆掛負収入'!A1098</f>
        <v>株式会社　計</v>
      </c>
      <c r="B1098" s="197" t="n">
        <f aca="false">SUM(B1096:B1097)</f>
        <v>7961</v>
      </c>
      <c r="C1098" s="200" t="n">
        <f aca="false">SUM(C1094:C1097)</f>
        <v>653</v>
      </c>
      <c r="D1098" s="681" t="n">
        <f aca="false">SUM(D1094:D1097)</f>
        <v>7961</v>
      </c>
      <c r="E1098" s="199" t="n">
        <f aca="false">SUM(E1094:E1097)</f>
        <v>653</v>
      </c>
      <c r="F1098" s="201" t="n">
        <f aca="false">SUM(F1094:F1097)</f>
        <v>8</v>
      </c>
      <c r="G1098" s="200" t="n">
        <f aca="false">SUM(B1098:F1098)</f>
        <v>17236</v>
      </c>
      <c r="H1098" s="674"/>
      <c r="I1098" s="677"/>
      <c r="J1098" s="781"/>
      <c r="K1098" s="782"/>
      <c r="L1098" s="783"/>
      <c r="M1098" s="784"/>
      <c r="N1098" s="782"/>
      <c r="O1098" s="783"/>
      <c r="P1098" s="784"/>
    </row>
    <row r="1099" customFormat="false" ht="18.75" hidden="false" customHeight="true" outlineLevel="0" collapsed="false">
      <c r="A1099" s="125" t="str">
        <f aca="false">'☆掛負収入'!A1099</f>
        <v>市職員労働組合</v>
      </c>
      <c r="B1099" s="474" t="n">
        <f aca="false">'☆掛負収入'!B1099</f>
        <v>3386</v>
      </c>
      <c r="C1099" s="248" t="n">
        <f aca="false">'☆掛負収入'!C1099</f>
        <v>278</v>
      </c>
      <c r="D1099" s="470" t="n">
        <f aca="false">'☆掛負収入'!D1099</f>
        <v>3386</v>
      </c>
      <c r="E1099" s="488" t="n">
        <f aca="false">'☆掛負収入'!E1099</f>
        <v>278</v>
      </c>
      <c r="F1099" s="248" t="n">
        <f aca="false">'☆掛負収入'!F1099</f>
        <v>0</v>
      </c>
      <c r="G1099" s="206" t="n">
        <f aca="false">SUM(B1099:F1099)</f>
        <v>7328</v>
      </c>
      <c r="H1099" s="473" t="n">
        <f aca="false">'☆掛負収入'!H1099</f>
        <v>2035</v>
      </c>
      <c r="I1099" s="475" t="n">
        <f aca="false">'☆掛負収入'!I1099</f>
        <v>2039</v>
      </c>
      <c r="J1099" s="160" t="n">
        <f aca="false">SUM(H1099:I1099)</f>
        <v>4074</v>
      </c>
      <c r="K1099" s="476" t="n">
        <f aca="false">'☆掛負収入'!K1099</f>
        <v>293</v>
      </c>
      <c r="L1099" s="487" t="n">
        <f aca="false">'☆掛負収入'!L1099</f>
        <v>293</v>
      </c>
      <c r="M1099" s="160" t="n">
        <f aca="false">'☆掛負収入'!M1099</f>
        <v>586</v>
      </c>
      <c r="N1099" s="476" t="n">
        <f aca="false">'☆掛負収入'!N1099</f>
        <v>1</v>
      </c>
      <c r="O1099" s="487" t="n">
        <f aca="false">'☆掛負収入'!O1099</f>
        <v>1</v>
      </c>
      <c r="P1099" s="160" t="n">
        <f aca="false">'☆掛負収入'!P1099</f>
        <v>2</v>
      </c>
    </row>
    <row r="1100" customFormat="false" ht="18.75" hidden="false" customHeight="true" outlineLevel="0" collapsed="false">
      <c r="A1100" s="125" t="str">
        <f aca="false">'☆掛負収入'!A1100</f>
        <v>自治労労働組合</v>
      </c>
      <c r="B1100" s="474" t="n">
        <f aca="false">'☆掛負収入'!B1100</f>
        <v>0</v>
      </c>
      <c r="C1100" s="402" t="n">
        <f aca="false">'☆掛負収入'!C1100</f>
        <v>0</v>
      </c>
      <c r="D1100" s="474" t="n">
        <f aca="false">'☆掛負収入'!D1100</f>
        <v>0</v>
      </c>
      <c r="E1100" s="488" t="n">
        <f aca="false">'☆掛負収入'!E1100</f>
        <v>0</v>
      </c>
      <c r="F1100" s="248" t="n">
        <f aca="false">'☆掛負収入'!F1100</f>
        <v>0</v>
      </c>
      <c r="G1100" s="206" t="n">
        <f aca="false">SUM(B1100:F1100)</f>
        <v>0</v>
      </c>
      <c r="H1100" s="473" t="n">
        <f aca="false">'☆掛負収入'!H1100</f>
        <v>0</v>
      </c>
      <c r="I1100" s="475" t="n">
        <f aca="false">'☆掛負収入'!I1100</f>
        <v>0</v>
      </c>
      <c r="J1100" s="160" t="n">
        <f aca="false">SUM(H1100:I1100)</f>
        <v>0</v>
      </c>
      <c r="K1100" s="473" t="n">
        <f aca="false">'☆掛負収入'!K1100</f>
        <v>0</v>
      </c>
      <c r="L1100" s="475" t="n">
        <f aca="false">'☆掛負収入'!L1100</f>
        <v>0</v>
      </c>
      <c r="M1100" s="160" t="n">
        <f aca="false">SUM(K1100:L1100)</f>
        <v>0</v>
      </c>
      <c r="N1100" s="473" t="n">
        <f aca="false">'☆掛負収入'!N1100</f>
        <v>0</v>
      </c>
      <c r="O1100" s="475" t="n">
        <f aca="false">'☆掛負収入'!O1100</f>
        <v>0</v>
      </c>
      <c r="P1100" s="160" t="n">
        <f aca="false">SUM(N1100:O1100)</f>
        <v>0</v>
      </c>
    </row>
    <row r="1101" customFormat="false" ht="18.75" hidden="false" customHeight="true" outlineLevel="0" collapsed="false">
      <c r="A1101" s="125" t="str">
        <f aca="false">'☆掛負収入'!A1101</f>
        <v>病院労働組合</v>
      </c>
      <c r="B1101" s="474"/>
      <c r="C1101" s="402"/>
      <c r="D1101" s="474"/>
      <c r="E1101" s="488"/>
      <c r="F1101" s="248"/>
      <c r="G1101" s="206" t="n">
        <f aca="false">SUM(B1101:F1101)</f>
        <v>0</v>
      </c>
      <c r="H1101" s="473"/>
      <c r="I1101" s="475"/>
      <c r="J1101" s="160" t="n">
        <f aca="false">SUM(H1101:I1101)</f>
        <v>0</v>
      </c>
      <c r="K1101" s="473"/>
      <c r="L1101" s="475"/>
      <c r="M1101" s="160" t="n">
        <f aca="false">SUM(K1101:L1101)</f>
        <v>0</v>
      </c>
      <c r="N1101" s="473"/>
      <c r="O1101" s="475"/>
      <c r="P1101" s="160" t="n">
        <f aca="false">SUM(N1101:O1101)</f>
        <v>0</v>
      </c>
    </row>
    <row r="1102" customFormat="false" ht="18.75" hidden="false" customHeight="true" outlineLevel="0" collapsed="false">
      <c r="A1102" s="302" t="str">
        <f aca="false">'☆掛負収入'!A1102</f>
        <v>水道労働組合</v>
      </c>
      <c r="B1102" s="516"/>
      <c r="C1102" s="517"/>
      <c r="D1102" s="516"/>
      <c r="E1102" s="492"/>
      <c r="F1102" s="520"/>
      <c r="G1102" s="206" t="n">
        <f aca="false">SUM(B1102:F1102)</f>
        <v>0</v>
      </c>
      <c r="H1102" s="521"/>
      <c r="I1102" s="519"/>
      <c r="J1102" s="160" t="n">
        <f aca="false">SUM(H1102:I1102)</f>
        <v>0</v>
      </c>
      <c r="K1102" s="667"/>
      <c r="L1102" s="518"/>
      <c r="M1102" s="160" t="n">
        <f aca="false">SUM(K1102:L1102)</f>
        <v>0</v>
      </c>
      <c r="N1102" s="667"/>
      <c r="O1102" s="518"/>
      <c r="P1102" s="160" t="n">
        <f aca="false">SUM(N1102:O1102)</f>
        <v>0</v>
      </c>
    </row>
    <row r="1103" customFormat="false" ht="18.75" hidden="false" customHeight="true" outlineLevel="0" collapsed="false">
      <c r="A1103" s="196" t="str">
        <f aca="false">'☆掛負収入'!A1103</f>
        <v>労働組合　計</v>
      </c>
      <c r="B1103" s="429" t="n">
        <f aca="false">SUM(B1099:B1102)</f>
        <v>3386</v>
      </c>
      <c r="C1103" s="200" t="n">
        <f aca="false">SUM(C1099:C1102)</f>
        <v>278</v>
      </c>
      <c r="D1103" s="429" t="n">
        <f aca="false">SUM(D1099:D1102)</f>
        <v>3386</v>
      </c>
      <c r="E1103" s="199" t="n">
        <f aca="false">SUM(E1099:E1102)</f>
        <v>278</v>
      </c>
      <c r="F1103" s="198" t="n">
        <f aca="false">SUM(F1099:F1102)</f>
        <v>0</v>
      </c>
      <c r="G1103" s="197" t="n">
        <f aca="false">SUM(B1103:F1103)</f>
        <v>7328</v>
      </c>
      <c r="H1103" s="429" t="n">
        <f aca="false">SUM(H1099:H1102)</f>
        <v>2035</v>
      </c>
      <c r="I1103" s="199" t="n">
        <f aca="false">SUM(I1099:I1102)</f>
        <v>2039</v>
      </c>
      <c r="J1103" s="200" t="n">
        <f aca="false">SUM(H1103:I1103)</f>
        <v>4074</v>
      </c>
      <c r="K1103" s="198" t="n">
        <f aca="false">SUM(K1099:K1102)</f>
        <v>293</v>
      </c>
      <c r="L1103" s="198" t="n">
        <f aca="false">SUM(L1099:L1102)</f>
        <v>293</v>
      </c>
      <c r="M1103" s="200" t="n">
        <f aca="false">SUM(K1103:L1103)</f>
        <v>586</v>
      </c>
      <c r="N1103" s="198" t="n">
        <f aca="false">SUM(N1099:N1102)</f>
        <v>1</v>
      </c>
      <c r="O1103" s="198" t="n">
        <f aca="false">SUM(O1099:O1102)</f>
        <v>1</v>
      </c>
      <c r="P1103" s="200" t="n">
        <f aca="false">SUM(N1103:O1103)</f>
        <v>2</v>
      </c>
    </row>
    <row r="1104" customFormat="false" ht="18.75" hidden="false" customHeight="true" outlineLevel="0" collapsed="false">
      <c r="A1104" s="302" t="str">
        <f aca="false">'☆掛負収入'!A1104</f>
        <v>任意継続組合員</v>
      </c>
      <c r="B1104" s="281"/>
      <c r="C1104" s="523"/>
      <c r="D1104" s="524"/>
      <c r="E1104" s="525"/>
      <c r="F1104" s="296"/>
      <c r="G1104" s="293"/>
      <c r="H1104" s="678"/>
      <c r="I1104" s="282"/>
      <c r="J1104" s="282"/>
      <c r="K1104" s="697"/>
      <c r="L1104" s="679"/>
      <c r="M1104" s="292"/>
      <c r="N1104" s="697"/>
      <c r="O1104" s="679"/>
      <c r="P1104" s="292"/>
    </row>
    <row r="1105" customFormat="false" ht="30" hidden="false" customHeight="true" outlineLevel="0" collapsed="false">
      <c r="A1105" s="680" t="str">
        <f aca="false">'☆掛負収入'!A1105</f>
        <v>総　　計</v>
      </c>
      <c r="B1105" s="429" t="n">
        <f aca="false">SUM(B1062+B1093+B1098+B1103)</f>
        <v>162003</v>
      </c>
      <c r="C1105" s="200" t="n">
        <f aca="false">SUM(C1062+C1093+C1098+C1103)</f>
        <v>13281</v>
      </c>
      <c r="D1105" s="681" t="n">
        <f aca="false">SUM(D1062+D1093+D1098+D1103)</f>
        <v>478181</v>
      </c>
      <c r="E1105" s="199" t="n">
        <f aca="false">SUM(E1062+E1093+E1098+E1103)</f>
        <v>39203</v>
      </c>
      <c r="F1105" s="201" t="n">
        <f aca="false">SUM(F1062+F1093+F1098+F1103)</f>
        <v>498</v>
      </c>
      <c r="G1105" s="197" t="n">
        <f aca="false">SUM(B1105:F1105)</f>
        <v>693166</v>
      </c>
      <c r="H1105" s="429" t="n">
        <f aca="false">SUM(H1062+H1093+H1098+H1103+H1104)</f>
        <v>99789</v>
      </c>
      <c r="I1105" s="199" t="n">
        <f aca="false">SUM(I1062+I1093+I1098+I1103+I1104)</f>
        <v>302896</v>
      </c>
      <c r="J1105" s="200" t="n">
        <f aca="false">SUM(H1105:I1105)</f>
        <v>402685</v>
      </c>
      <c r="K1105" s="198" t="n">
        <f aca="false">K1062+K1093+K1098+K1103+K1104</f>
        <v>8624</v>
      </c>
      <c r="L1105" s="198" t="n">
        <f aca="false">L1062+L1093+L1098+L1103</f>
        <v>30843</v>
      </c>
      <c r="M1105" s="200" t="n">
        <f aca="false">SUM(K1105:L1105)</f>
        <v>39467</v>
      </c>
      <c r="N1105" s="198" t="n">
        <f aca="false">N1062+N1093+N1098+N1103+N1104</f>
        <v>10</v>
      </c>
      <c r="O1105" s="198" t="n">
        <f aca="false">O1062+O1093+O1098+O1103</f>
        <v>21</v>
      </c>
      <c r="P1105" s="200" t="n">
        <f aca="false">SUM(N1105:O1105)</f>
        <v>31</v>
      </c>
    </row>
    <row r="1106" customFormat="false" ht="17.25" hidden="true" customHeight="false" outlineLevel="0" collapsed="false"/>
    <row r="1107" customFormat="false" ht="17.25" hidden="true" customHeight="false" outlineLevel="0" collapsed="false"/>
    <row r="1108" customFormat="false" ht="17.25" hidden="true" customHeight="false" outlineLevel="0" collapsed="false"/>
    <row r="1109" customFormat="false" ht="17.25" hidden="true" customHeight="false" outlineLevel="0" collapsed="false"/>
    <row r="1110" customFormat="false" ht="17.25" hidden="true" customHeight="false" outlineLevel="0" collapsed="false"/>
    <row r="1111" customFormat="false" ht="17.25" hidden="true" customHeight="false" outlineLevel="0" collapsed="false"/>
    <row r="1112" customFormat="false" ht="17.25" hidden="true" customHeight="false" outlineLevel="0" collapsed="false"/>
    <row r="1113" customFormat="false" ht="17.25" hidden="true" customHeight="false" outlineLevel="0" collapsed="false"/>
    <row r="1114" customFormat="false" ht="17.25" hidden="true" customHeight="false" outlineLevel="0" collapsed="false"/>
    <row r="1115" customFormat="false" ht="17.25" hidden="true" customHeight="false" outlineLevel="0" collapsed="false"/>
    <row r="1116" customFormat="false" ht="17.25" hidden="true" customHeight="false" outlineLevel="0" collapsed="false"/>
    <row r="1117" customFormat="false" ht="17.25" hidden="true" customHeight="false" outlineLevel="0" collapsed="false"/>
    <row r="1118" customFormat="false" ht="17.25" hidden="true" customHeight="false" outlineLevel="0" collapsed="false"/>
    <row r="1119" customFormat="false" ht="17.25" hidden="true" customHeight="false" outlineLevel="0" collapsed="false"/>
    <row r="1120" customFormat="false" ht="17.25" hidden="true" customHeight="false" outlineLevel="0" collapsed="false"/>
    <row r="1121" customFormat="false" ht="17.25" hidden="true" customHeight="false" outlineLevel="0" collapsed="false"/>
    <row r="1122" customFormat="false" ht="17.25" hidden="true" customHeight="false" outlineLevel="0" collapsed="false"/>
    <row r="1123" customFormat="false" ht="17.25" hidden="true" customHeight="false" outlineLevel="0" collapsed="false"/>
    <row r="1124" customFormat="false" ht="17.25" hidden="true" customHeight="false" outlineLevel="0" collapsed="false"/>
    <row r="1125" customFormat="false" ht="17.25" hidden="true" customHeight="false" outlineLevel="0" collapsed="false"/>
    <row r="1126" customFormat="false" ht="17.25" hidden="true" customHeight="false" outlineLevel="0" collapsed="false"/>
    <row r="1127" customFormat="false" ht="17.25" hidden="true" customHeight="false" outlineLevel="0" collapsed="false"/>
    <row r="1128" customFormat="false" ht="17.25" hidden="true" customHeight="false" outlineLevel="0" collapsed="false"/>
    <row r="1129" customFormat="false" ht="30" hidden="false" customHeight="true" outlineLevel="0" collapsed="false">
      <c r="A1129" s="320"/>
      <c r="B1129" s="777" t="str">
        <f aca="false">'☆掛負収入'!B1129</f>
        <v>令和8年度</v>
      </c>
      <c r="C1129" s="777"/>
      <c r="D1129" s="778" t="str">
        <f aca="false">'☆掛負収入'!D1129</f>
        <v>給与改定差額分（賞与）　6月+12月分 </v>
      </c>
      <c r="E1129" s="778"/>
      <c r="F1129" s="778"/>
      <c r="G1129" s="778"/>
      <c r="H1129" s="777" t="str">
        <f aca="false">B1129</f>
        <v>令和8年度</v>
      </c>
      <c r="I1129" s="779" t="str">
        <f aca="false">D1129</f>
        <v>給与改定差額分（賞与）　6月+12月分 </v>
      </c>
      <c r="J1129" s="779"/>
      <c r="K1129" s="777" t="str">
        <f aca="false">H1129</f>
        <v>令和8年度</v>
      </c>
      <c r="L1129" s="779" t="str">
        <f aca="false">I1129</f>
        <v>給与改定差額分（賞与）　6月+12月分 </v>
      </c>
      <c r="M1129" s="779"/>
      <c r="N1129" s="777" t="str">
        <f aca="false">K1129</f>
        <v>令和8年度</v>
      </c>
      <c r="O1129" s="779" t="str">
        <f aca="false">L1129</f>
        <v>給与改定差額分（賞与）　6月+12月分 </v>
      </c>
      <c r="P1129" s="779"/>
    </row>
    <row r="1130" customFormat="false" ht="22.5" hidden="false" customHeight="true" outlineLevel="0" collapsed="false">
      <c r="A1130" s="114" t="str">
        <f aca="false">'☆掛負収入'!A1130</f>
        <v>区　　分</v>
      </c>
      <c r="B1130" s="114" t="str">
        <f aca="false">'☆掛負収入'!B1130</f>
        <v>長　期　経　理</v>
      </c>
      <c r="C1130" s="114" t="n">
        <f aca="false">'☆掛負収入'!C1130</f>
        <v>0</v>
      </c>
      <c r="D1130" s="114" t="n">
        <f aca="false">'☆掛負収入'!D1130</f>
        <v>0</v>
      </c>
      <c r="E1130" s="114" t="n">
        <f aca="false">'☆掛負収入'!E1130</f>
        <v>0</v>
      </c>
      <c r="F1130" s="114" t="n">
        <f aca="false">'☆掛負収入'!F1130</f>
        <v>0</v>
      </c>
      <c r="G1130" s="114" t="n">
        <f aca="false">'☆掛負収入'!G1130</f>
        <v>0</v>
      </c>
      <c r="H1130" s="116" t="str">
        <f aca="false">'☆掛負収入'!H1130</f>
        <v>短　期　経　理</v>
      </c>
      <c r="I1130" s="116" t="n">
        <f aca="false">'☆掛負収入'!I1130</f>
        <v>0</v>
      </c>
      <c r="J1130" s="116" t="n">
        <f aca="false">'☆掛負収入'!J1130</f>
        <v>0</v>
      </c>
      <c r="K1130" s="116" t="str">
        <f aca="false">'☆掛負収入'!K1130</f>
        <v>介　護　納　付　金</v>
      </c>
      <c r="L1130" s="116" t="n">
        <f aca="false">'☆掛負収入'!L1130</f>
        <v>0</v>
      </c>
      <c r="M1130" s="116" t="n">
        <f aca="false">'☆掛負収入'!M1130</f>
        <v>0</v>
      </c>
      <c r="N1130" s="116" t="str">
        <f aca="false">'☆掛負収入'!N1130</f>
        <v>子ども・子育て支援納付金</v>
      </c>
      <c r="O1130" s="116" t="n">
        <f aca="false">'☆掛負収入'!O1130</f>
        <v>0</v>
      </c>
      <c r="P1130" s="116" t="n">
        <f aca="false">'☆掛負収入'!P1130</f>
        <v>0</v>
      </c>
    </row>
    <row r="1131" customFormat="false" ht="22.5" hidden="false" customHeight="true" outlineLevel="0" collapsed="false">
      <c r="A1131" s="114" t="n">
        <f aca="false">'☆掛負収入'!A1131</f>
        <v>0</v>
      </c>
      <c r="B1131" s="117" t="str">
        <f aca="false">'☆掛負収入'!B1131</f>
        <v>組合員負担分</v>
      </c>
      <c r="C1131" s="117" t="n">
        <f aca="false">'☆掛負収入'!C1131</f>
        <v>0</v>
      </c>
      <c r="D1131" s="117" t="str">
        <f aca="false">'☆掛負収入'!D1131</f>
        <v>事業主負担分</v>
      </c>
      <c r="E1131" s="117" t="n">
        <f aca="false">'☆掛負収入'!E1131</f>
        <v>0</v>
      </c>
      <c r="F1131" s="117" t="n">
        <f aca="false">'☆掛負収入'!F1131</f>
        <v>0</v>
      </c>
      <c r="G1131" s="611" t="str">
        <f aca="false">'☆掛負収入'!G1131</f>
        <v>計</v>
      </c>
      <c r="H1131" s="121" t="str">
        <f aca="false">'☆掛負収入'!H1131</f>
        <v>掛　金</v>
      </c>
      <c r="I1131" s="119" t="str">
        <f aca="false">'☆掛負収入'!I1131</f>
        <v>負担金</v>
      </c>
      <c r="J1131" s="120" t="str">
        <f aca="false">'☆掛負収入'!J1131</f>
        <v>計</v>
      </c>
      <c r="K1131" s="121" t="str">
        <f aca="false">'☆掛負収入'!K1131</f>
        <v>掛　金</v>
      </c>
      <c r="L1131" s="119" t="str">
        <f aca="false">'☆掛負収入'!L1131</f>
        <v>負担金</v>
      </c>
      <c r="M1131" s="120" t="str">
        <f aca="false">'☆掛負収入'!M1131</f>
        <v>計</v>
      </c>
      <c r="N1131" s="121" t="str">
        <f aca="false">'☆掛負収入'!N1131</f>
        <v>掛　金</v>
      </c>
      <c r="O1131" s="119" t="str">
        <f aca="false">'☆掛負収入'!O1131</f>
        <v>負担金</v>
      </c>
      <c r="P1131" s="120" t="str">
        <f aca="false">'☆掛負収入'!P1131</f>
        <v>計</v>
      </c>
    </row>
    <row r="1132" customFormat="false" ht="22.5" hidden="false" customHeight="true" outlineLevel="0" collapsed="false">
      <c r="A1132" s="114" t="n">
        <f aca="false">'☆掛負収入'!A1132</f>
        <v>0</v>
      </c>
      <c r="B1132" s="612" t="str">
        <f aca="false">'☆掛負収入'!B1132</f>
        <v>厚生年金保険料</v>
      </c>
      <c r="C1132" s="613" t="str">
        <f aca="false">'☆掛負収入'!C1132</f>
        <v>退職等年金掛金</v>
      </c>
      <c r="D1132" s="614" t="str">
        <f aca="false">'☆掛負収入'!D1132</f>
        <v>厚生年金保険料</v>
      </c>
      <c r="E1132" s="614" t="str">
        <f aca="false">'☆掛負収入'!E1132</f>
        <v>退職等年金負担金</v>
      </c>
      <c r="F1132" s="615" t="str">
        <f aca="false">'☆掛負収入'!F1132</f>
        <v>経過的長期</v>
      </c>
      <c r="G1132" s="611" t="n">
        <f aca="false">'☆掛負収入'!G1132</f>
        <v>0</v>
      </c>
      <c r="H1132" s="121" t="n">
        <f aca="false">'☆掛負収入'!H1132</f>
        <v>0</v>
      </c>
      <c r="I1132" s="119" t="n">
        <f aca="false">'☆掛負収入'!I1132</f>
        <v>0</v>
      </c>
      <c r="J1132" s="120" t="n">
        <f aca="false">'☆掛負収入'!J1132</f>
        <v>0</v>
      </c>
      <c r="K1132" s="121" t="n">
        <f aca="false">'☆掛負収入'!K1132</f>
        <v>0</v>
      </c>
      <c r="L1132" s="119" t="n">
        <f aca="false">'☆掛負収入'!L1132</f>
        <v>0</v>
      </c>
      <c r="M1132" s="120" t="n">
        <f aca="false">'☆掛負収入'!M1132</f>
        <v>0</v>
      </c>
      <c r="N1132" s="121" t="n">
        <f aca="false">'☆掛負収入'!N1132</f>
        <v>0</v>
      </c>
      <c r="O1132" s="119" t="n">
        <f aca="false">'☆掛負収入'!O1132</f>
        <v>0</v>
      </c>
      <c r="P1132" s="120" t="n">
        <f aca="false">'☆掛負収入'!P1132</f>
        <v>0</v>
      </c>
    </row>
    <row r="1133" customFormat="false" ht="18.75" hidden="false" customHeight="true" outlineLevel="0" collapsed="false">
      <c r="A1133" s="125" t="str">
        <f aca="false">'☆掛負収入'!A1133</f>
        <v>市長部局</v>
      </c>
      <c r="B1133" s="616"/>
      <c r="C1133" s="389"/>
      <c r="D1133" s="617"/>
      <c r="E1133" s="617"/>
      <c r="F1133" s="209"/>
      <c r="G1133" s="389"/>
      <c r="H1133" s="616"/>
      <c r="I1133" s="618"/>
      <c r="J1133" s="206"/>
      <c r="K1133" s="619"/>
      <c r="L1133" s="618"/>
      <c r="M1133" s="206"/>
      <c r="N1133" s="619"/>
      <c r="O1133" s="618"/>
      <c r="P1133" s="206"/>
    </row>
    <row r="1134" customFormat="false" ht="18.75" hidden="false" customHeight="true" outlineLevel="0" collapsed="false">
      <c r="A1134" s="125" t="str">
        <f aca="false">'☆掛負収入'!A1134</f>
        <v>下水道局</v>
      </c>
      <c r="B1134" s="431"/>
      <c r="C1134" s="206"/>
      <c r="D1134" s="617"/>
      <c r="E1134" s="617"/>
      <c r="F1134" s="160"/>
      <c r="G1134" s="206"/>
      <c r="H1134" s="619"/>
      <c r="I1134" s="449"/>
      <c r="J1134" s="160"/>
      <c r="K1134" s="620"/>
      <c r="L1134" s="621"/>
      <c r="M1134" s="160"/>
      <c r="N1134" s="620"/>
      <c r="O1134" s="621"/>
      <c r="P1134" s="160"/>
    </row>
    <row r="1135" customFormat="false" ht="18.75" hidden="false" customHeight="true" outlineLevel="0" collapsed="false">
      <c r="A1135" s="125" t="str">
        <f aca="false">'☆掛負収入'!A1135</f>
        <v>消防局</v>
      </c>
      <c r="B1135" s="431"/>
      <c r="C1135" s="206"/>
      <c r="D1135" s="617"/>
      <c r="E1135" s="617"/>
      <c r="F1135" s="160"/>
      <c r="G1135" s="206"/>
      <c r="H1135" s="620"/>
      <c r="I1135" s="464"/>
      <c r="J1135" s="160"/>
      <c r="K1135" s="620"/>
      <c r="L1135" s="464"/>
      <c r="M1135" s="160"/>
      <c r="N1135" s="620"/>
      <c r="O1135" s="464"/>
      <c r="P1135" s="160"/>
    </row>
    <row r="1136" customFormat="false" ht="18.75" hidden="false" customHeight="true" outlineLevel="0" collapsed="false">
      <c r="A1136" s="125" t="str">
        <f aca="false">'☆掛負収入'!A1136</f>
        <v>議会事務局</v>
      </c>
      <c r="B1136" s="431"/>
      <c r="C1136" s="206"/>
      <c r="D1136" s="617"/>
      <c r="E1136" s="617"/>
      <c r="F1136" s="160"/>
      <c r="G1136" s="206"/>
      <c r="H1136" s="431"/>
      <c r="I1136" s="464"/>
      <c r="J1136" s="160"/>
      <c r="K1136" s="431"/>
      <c r="L1136" s="464"/>
      <c r="M1136" s="160"/>
      <c r="N1136" s="431"/>
      <c r="O1136" s="464"/>
      <c r="P1136" s="160"/>
    </row>
    <row r="1137" customFormat="false" ht="18.75" hidden="false" customHeight="true" outlineLevel="0" collapsed="false">
      <c r="A1137" s="125" t="str">
        <f aca="false">'☆掛負収入'!A1137</f>
        <v>教育委員会</v>
      </c>
      <c r="B1137" s="431"/>
      <c r="C1137" s="206"/>
      <c r="D1137" s="617"/>
      <c r="E1137" s="617"/>
      <c r="F1137" s="160"/>
      <c r="G1137" s="206"/>
      <c r="H1137" s="431"/>
      <c r="I1137" s="464"/>
      <c r="J1137" s="160"/>
      <c r="K1137" s="431"/>
      <c r="L1137" s="464"/>
      <c r="M1137" s="160"/>
      <c r="N1137" s="431"/>
      <c r="O1137" s="464"/>
      <c r="P1137" s="160"/>
    </row>
    <row r="1138" customFormat="false" ht="18.75" hidden="false" customHeight="true" outlineLevel="0" collapsed="false">
      <c r="A1138" s="125" t="str">
        <f aca="false">'☆掛負収入'!A1138</f>
        <v>選挙管理委員会</v>
      </c>
      <c r="B1138" s="431"/>
      <c r="C1138" s="206"/>
      <c r="D1138" s="617"/>
      <c r="E1138" s="617"/>
      <c r="F1138" s="160"/>
      <c r="G1138" s="206"/>
      <c r="H1138" s="619"/>
      <c r="I1138" s="449"/>
      <c r="J1138" s="160"/>
      <c r="K1138" s="431"/>
      <c r="L1138" s="464"/>
      <c r="M1138" s="160"/>
      <c r="N1138" s="431"/>
      <c r="O1138" s="464"/>
      <c r="P1138" s="160"/>
    </row>
    <row r="1139" customFormat="false" ht="18.75" hidden="false" customHeight="true" outlineLevel="0" collapsed="false">
      <c r="A1139" s="125" t="str">
        <f aca="false">'☆掛負収入'!A1139</f>
        <v>人事委員会</v>
      </c>
      <c r="B1139" s="431"/>
      <c r="C1139" s="206"/>
      <c r="D1139" s="617"/>
      <c r="E1139" s="617"/>
      <c r="F1139" s="160"/>
      <c r="G1139" s="206"/>
      <c r="H1139" s="619"/>
      <c r="I1139" s="449"/>
      <c r="J1139" s="160"/>
      <c r="K1139" s="619"/>
      <c r="L1139" s="449"/>
      <c r="M1139" s="160"/>
      <c r="N1139" s="619"/>
      <c r="O1139" s="449"/>
      <c r="P1139" s="160"/>
    </row>
    <row r="1140" customFormat="false" ht="18.75" hidden="false" customHeight="true" outlineLevel="0" collapsed="false">
      <c r="A1140" s="125" t="str">
        <f aca="false">'☆掛負収入'!A1140</f>
        <v>監査事務局</v>
      </c>
      <c r="B1140" s="431"/>
      <c r="C1140" s="206"/>
      <c r="D1140" s="617"/>
      <c r="E1140" s="617"/>
      <c r="F1140" s="160"/>
      <c r="G1140" s="206"/>
      <c r="H1140" s="619"/>
      <c r="I1140" s="449"/>
      <c r="J1140" s="160"/>
      <c r="K1140" s="619"/>
      <c r="L1140" s="449"/>
      <c r="M1140" s="160"/>
      <c r="N1140" s="619"/>
      <c r="O1140" s="449"/>
      <c r="P1140" s="160"/>
    </row>
    <row r="1141" customFormat="false" ht="18.75" hidden="false" customHeight="true" outlineLevel="0" collapsed="false">
      <c r="A1141" s="125" t="str">
        <f aca="false">'☆掛負収入'!A1141</f>
        <v>農業委員会</v>
      </c>
      <c r="B1141" s="431"/>
      <c r="C1141" s="206"/>
      <c r="D1141" s="617"/>
      <c r="E1141" s="617"/>
      <c r="F1141" s="160"/>
      <c r="G1141" s="206"/>
      <c r="H1141" s="619"/>
      <c r="I1141" s="449"/>
      <c r="J1141" s="160"/>
      <c r="K1141" s="619"/>
      <c r="L1141" s="449"/>
      <c r="M1141" s="160"/>
      <c r="N1141" s="619"/>
      <c r="O1141" s="449"/>
      <c r="P1141" s="160"/>
    </row>
    <row r="1142" customFormat="false" ht="18.75" hidden="false" customHeight="true" outlineLevel="0" collapsed="false">
      <c r="A1142" s="125" t="str">
        <f aca="false">'☆掛負収入'!A1142</f>
        <v>水道局</v>
      </c>
      <c r="B1142" s="431"/>
      <c r="C1142" s="206"/>
      <c r="D1142" s="617"/>
      <c r="E1142" s="617"/>
      <c r="F1142" s="160"/>
      <c r="G1142" s="206"/>
      <c r="H1142" s="619"/>
      <c r="I1142" s="449"/>
      <c r="J1142" s="160"/>
      <c r="K1142" s="619"/>
      <c r="L1142" s="449"/>
      <c r="M1142" s="160"/>
      <c r="N1142" s="619"/>
      <c r="O1142" s="449"/>
      <c r="P1142" s="160"/>
    </row>
    <row r="1143" customFormat="false" ht="18.75" hidden="false" customHeight="true" outlineLevel="0" collapsed="false">
      <c r="A1143" s="146" t="str">
        <f aca="false">'☆掛負収入'!A1143</f>
        <v>医療政策課(安芸市民)</v>
      </c>
      <c r="B1143" s="620"/>
      <c r="C1143" s="391"/>
      <c r="D1143" s="620"/>
      <c r="E1143" s="621"/>
      <c r="F1143" s="418"/>
      <c r="G1143" s="206"/>
      <c r="H1143" s="622"/>
      <c r="I1143" s="432"/>
      <c r="J1143" s="160"/>
      <c r="K1143" s="619"/>
      <c r="L1143" s="449"/>
      <c r="M1143" s="160"/>
      <c r="N1143" s="619"/>
      <c r="O1143" s="449"/>
      <c r="P1143" s="160"/>
    </row>
    <row r="1144" customFormat="false" ht="18.75" hidden="false" customHeight="true" outlineLevel="0" collapsed="false">
      <c r="A1144" s="146" t="str">
        <f aca="false">'☆掛負収入'!A1144</f>
        <v>教育委員会（教育給与課）</v>
      </c>
      <c r="B1144" s="620"/>
      <c r="C1144" s="206"/>
      <c r="D1144" s="431"/>
      <c r="E1144" s="785"/>
      <c r="F1144" s="405"/>
      <c r="G1144" s="206"/>
      <c r="H1144" s="619"/>
      <c r="I1144" s="449"/>
      <c r="J1144" s="160"/>
      <c r="K1144" s="619"/>
      <c r="L1144" s="449"/>
      <c r="M1144" s="160"/>
      <c r="N1144" s="619"/>
      <c r="O1144" s="449"/>
      <c r="P1144" s="160"/>
    </row>
    <row r="1145" customFormat="false" ht="18.75" hidden="true" customHeight="true" outlineLevel="0" collapsed="false">
      <c r="A1145" s="624"/>
      <c r="B1145" s="625"/>
      <c r="C1145" s="235"/>
      <c r="D1145" s="625"/>
      <c r="E1145" s="483"/>
      <c r="F1145" s="484"/>
      <c r="G1145" s="712"/>
      <c r="H1145" s="627"/>
      <c r="I1145" s="628"/>
      <c r="J1145" s="628"/>
      <c r="K1145" s="627"/>
      <c r="L1145" s="628"/>
      <c r="M1145" s="220"/>
      <c r="N1145" s="627"/>
      <c r="O1145" s="628"/>
      <c r="P1145" s="220"/>
    </row>
    <row r="1146" customFormat="false" ht="18.75" hidden="true" customHeight="true" outlineLevel="0" collapsed="false">
      <c r="A1146" s="629"/>
      <c r="B1146" s="482"/>
      <c r="C1146" s="157"/>
      <c r="D1146" s="482"/>
      <c r="E1146" s="483"/>
      <c r="F1146" s="484"/>
      <c r="G1146" s="460"/>
      <c r="H1146" s="482"/>
      <c r="I1146" s="483"/>
      <c r="J1146" s="483"/>
      <c r="K1146" s="482"/>
      <c r="L1146" s="483"/>
      <c r="M1146" s="155"/>
      <c r="N1146" s="482"/>
      <c r="O1146" s="483"/>
      <c r="P1146" s="155"/>
    </row>
    <row r="1147" customFormat="false" ht="18.75" hidden="true" customHeight="true" outlineLevel="0" collapsed="false">
      <c r="A1147" s="629"/>
      <c r="B1147" s="625"/>
      <c r="C1147" s="235"/>
      <c r="D1147" s="625"/>
      <c r="E1147" s="626"/>
      <c r="F1147" s="221"/>
      <c r="G1147" s="712"/>
      <c r="H1147" s="625"/>
      <c r="I1147" s="626"/>
      <c r="J1147" s="626"/>
      <c r="K1147" s="625"/>
      <c r="L1147" s="626"/>
      <c r="M1147" s="721"/>
      <c r="N1147" s="625"/>
      <c r="O1147" s="626"/>
      <c r="P1147" s="721"/>
    </row>
    <row r="1148" customFormat="false" ht="18.75" hidden="true" customHeight="true" outlineLevel="0" collapsed="false">
      <c r="A1148" s="630"/>
      <c r="B1148" s="631"/>
      <c r="C1148" s="632"/>
      <c r="D1148" s="631"/>
      <c r="E1148" s="515"/>
      <c r="F1148" s="633"/>
      <c r="G1148" s="714"/>
      <c r="H1148" s="482"/>
      <c r="I1148" s="634"/>
      <c r="J1148" s="634"/>
      <c r="K1148" s="482"/>
      <c r="L1148" s="483"/>
      <c r="M1148" s="155"/>
      <c r="N1148" s="482"/>
      <c r="O1148" s="483"/>
      <c r="P1148" s="155"/>
    </row>
    <row r="1149" customFormat="false" ht="18.75" hidden="false" customHeight="true" outlineLevel="0" collapsed="false">
      <c r="A1149" s="196" t="str">
        <f aca="false">'☆掛負収入'!A1149</f>
        <v>小　計</v>
      </c>
      <c r="B1149" s="429"/>
      <c r="C1149" s="199"/>
      <c r="D1149" s="429"/>
      <c r="E1149" s="199"/>
      <c r="F1149" s="200"/>
      <c r="G1149" s="201"/>
      <c r="H1149" s="429"/>
      <c r="I1149" s="199"/>
      <c r="J1149" s="198"/>
      <c r="K1149" s="429"/>
      <c r="L1149" s="199"/>
      <c r="M1149" s="198"/>
      <c r="N1149" s="429"/>
      <c r="O1149" s="199"/>
      <c r="P1149" s="198"/>
    </row>
    <row r="1150" customFormat="false" ht="18.75" hidden="false" customHeight="true" outlineLevel="0" collapsed="false">
      <c r="A1150" s="202" t="str">
        <f aca="false">'☆掛負収入'!A1150</f>
        <v>地方税共同機構</v>
      </c>
      <c r="B1150" s="474" t="n">
        <f aca="false">'☆掛負収入'!B1150</f>
        <v>0</v>
      </c>
      <c r="C1150" s="402" t="n">
        <f aca="false">'☆掛負収入'!C1150</f>
        <v>0</v>
      </c>
      <c r="D1150" s="494" t="n">
        <f aca="false">'☆掛負収入'!D1150</f>
        <v>0</v>
      </c>
      <c r="E1150" s="488" t="n">
        <f aca="false">'☆掛負収入'!E1150</f>
        <v>0</v>
      </c>
      <c r="F1150" s="475" t="n">
        <f aca="false">'☆掛負収入'!F1150</f>
        <v>0</v>
      </c>
      <c r="G1150" s="691" t="n">
        <f aca="false">SUM(B1150:F1150)</f>
        <v>0</v>
      </c>
      <c r="H1150" s="619" t="n">
        <f aca="false">'☆掛負収入'!H1150</f>
        <v>0</v>
      </c>
      <c r="I1150" s="449" t="n">
        <f aca="false">'☆掛負収入'!I1150</f>
        <v>0</v>
      </c>
      <c r="J1150" s="160" t="n">
        <f aca="false">SUM(H1150:I1150)</f>
        <v>0</v>
      </c>
      <c r="K1150" s="464" t="n">
        <f aca="false">'☆掛負収入'!K1150</f>
        <v>0</v>
      </c>
      <c r="L1150" s="449" t="n">
        <f aca="false">'☆掛負収入'!L1150</f>
        <v>0</v>
      </c>
      <c r="M1150" s="160" t="n">
        <f aca="false">SUM(K1150:L1150)</f>
        <v>0</v>
      </c>
      <c r="N1150" s="464" t="n">
        <f aca="false">'☆掛負収入'!N1150</f>
        <v>0</v>
      </c>
      <c r="O1150" s="449" t="n">
        <f aca="false">'☆掛負収入'!O1150</f>
        <v>0</v>
      </c>
      <c r="P1150" s="160" t="n">
        <f aca="false">SUM(N1150:O1150)</f>
        <v>0</v>
      </c>
    </row>
    <row r="1151" customFormat="false" ht="18.75" hidden="false" customHeight="true" outlineLevel="0" collapsed="false">
      <c r="A1151" s="125" t="str">
        <f aca="false">'☆掛負収入'!A1151</f>
        <v>平和文化センター</v>
      </c>
      <c r="B1151" s="474" t="n">
        <f aca="false">'☆掛負収入'!B1151</f>
        <v>0</v>
      </c>
      <c r="C1151" s="402" t="n">
        <f aca="false">'☆掛負収入'!C1151</f>
        <v>0</v>
      </c>
      <c r="D1151" s="489" t="n">
        <f aca="false">'☆掛負収入'!D1151</f>
        <v>70636</v>
      </c>
      <c r="E1151" s="477" t="n">
        <f aca="false">'☆掛負収入'!E1151</f>
        <v>5789</v>
      </c>
      <c r="F1151" s="475" t="n">
        <f aca="false">'☆掛負収入'!F1151</f>
        <v>79</v>
      </c>
      <c r="G1151" s="693" t="n">
        <f aca="false">SUM(B1151:F1151)</f>
        <v>76504</v>
      </c>
      <c r="H1151" s="619" t="n">
        <f aca="false">'☆掛負収入'!H1151</f>
        <v>0</v>
      </c>
      <c r="I1151" s="475" t="n">
        <f aca="false">'☆掛負収入'!I1151</f>
        <v>46348</v>
      </c>
      <c r="J1151" s="160" t="n">
        <f aca="false">SUM(H1151:I1151)</f>
        <v>46348</v>
      </c>
      <c r="K1151" s="464" t="n">
        <f aca="false">'☆掛負収入'!K1151</f>
        <v>0</v>
      </c>
      <c r="L1151" s="449" t="n">
        <f aca="false">'☆掛負収入'!L1151</f>
        <v>5167</v>
      </c>
      <c r="M1151" s="160" t="n">
        <f aca="false">SUM(K1151:L1151)</f>
        <v>5167</v>
      </c>
      <c r="N1151" s="464" t="n">
        <f aca="false">'☆掛負収入'!N1151</f>
        <v>0</v>
      </c>
      <c r="O1151" s="449" t="n">
        <f aca="false">'☆掛負収入'!O1151</f>
        <v>2</v>
      </c>
      <c r="P1151" s="160" t="n">
        <f aca="false">SUM(N1151:O1151)</f>
        <v>2</v>
      </c>
    </row>
    <row r="1152" customFormat="false" ht="18.75" hidden="false" customHeight="true" outlineLevel="0" collapsed="false">
      <c r="A1152" s="125" t="str">
        <f aca="false">'☆掛負収入'!A1152</f>
        <v>社会福祉事業団</v>
      </c>
      <c r="B1152" s="625"/>
      <c r="C1152" s="235"/>
      <c r="D1152" s="476" t="n">
        <f aca="false">'☆掛負収入'!D1152</f>
        <v>197362</v>
      </c>
      <c r="E1152" s="478" t="n">
        <f aca="false">'☆掛負収入'!E1152</f>
        <v>16179</v>
      </c>
      <c r="F1152" s="475" t="n">
        <f aca="false">'☆掛負収入'!F1152</f>
        <v>201</v>
      </c>
      <c r="G1152" s="693" t="n">
        <f aca="false">SUM(B1152:F1152)</f>
        <v>213742</v>
      </c>
      <c r="H1152" s="627"/>
      <c r="I1152" s="475" t="n">
        <f aca="false">'☆掛負収入'!I1152</f>
        <v>133646</v>
      </c>
      <c r="J1152" s="160" t="n">
        <f aca="false">SUM(H1152:I1152)</f>
        <v>133646</v>
      </c>
      <c r="K1152" s="637"/>
      <c r="L1152" s="475" t="n">
        <f aca="false">'☆掛負収入'!L1152</f>
        <v>13321</v>
      </c>
      <c r="M1152" s="160" t="n">
        <f aca="false">SUM(K1152:L1152)</f>
        <v>13321</v>
      </c>
      <c r="N1152" s="637"/>
      <c r="O1152" s="475" t="n">
        <f aca="false">'☆掛負収入'!O1152</f>
        <v>2</v>
      </c>
      <c r="P1152" s="160" t="n">
        <f aca="false">SUM(N1152:O1152)</f>
        <v>2</v>
      </c>
    </row>
    <row r="1153" customFormat="false" ht="18.75" hidden="false" customHeight="true" outlineLevel="0" collapsed="false">
      <c r="A1153" s="125" t="str">
        <f aca="false">'☆掛負収入'!A1153</f>
        <v>原爆障害対策協議会</v>
      </c>
      <c r="B1153" s="625"/>
      <c r="C1153" s="235"/>
      <c r="D1153" s="470" t="n">
        <f aca="false">'☆掛負収入'!D1153</f>
        <v>5124</v>
      </c>
      <c r="E1153" s="478" t="n">
        <f aca="false">'☆掛負収入'!E1153</f>
        <v>420</v>
      </c>
      <c r="F1153" s="475" t="n">
        <f aca="false">'☆掛負収入'!F1153</f>
        <v>6</v>
      </c>
      <c r="G1153" s="693" t="n">
        <f aca="false">SUM(B1153:F1153)</f>
        <v>5550</v>
      </c>
      <c r="H1153" s="627"/>
      <c r="I1153" s="475" t="n">
        <f aca="false">'☆掛負収入'!I1153</f>
        <v>3086</v>
      </c>
      <c r="J1153" s="160" t="n">
        <f aca="false">SUM(H1153:I1153)</f>
        <v>3086</v>
      </c>
      <c r="K1153" s="637"/>
      <c r="L1153" s="475" t="n">
        <f aca="false">'☆掛負収入'!L1153</f>
        <v>442</v>
      </c>
      <c r="M1153" s="160" t="n">
        <f aca="false">SUM(K1153:L1153)</f>
        <v>442</v>
      </c>
      <c r="N1153" s="637"/>
      <c r="O1153" s="475" t="n">
        <f aca="false">'☆掛負収入'!O1153</f>
        <v>2</v>
      </c>
      <c r="P1153" s="160" t="n">
        <f aca="false">SUM(N1153:O1153)</f>
        <v>2</v>
      </c>
    </row>
    <row r="1154" customFormat="false" ht="18.75" hidden="false" customHeight="true" outlineLevel="0" collapsed="false">
      <c r="A1154" s="214" t="str">
        <f aca="false">'☆掛負収入'!A1154</f>
        <v>産業振興センター</v>
      </c>
      <c r="B1154" s="625"/>
      <c r="C1154" s="235"/>
      <c r="D1154" s="470" t="n">
        <f aca="false">'☆掛負収入'!D1154</f>
        <v>43829</v>
      </c>
      <c r="E1154" s="478" t="n">
        <f aca="false">'☆掛負収入'!E1154</f>
        <v>3592</v>
      </c>
      <c r="F1154" s="475" t="n">
        <f aca="false">'☆掛負収入'!F1154</f>
        <v>43</v>
      </c>
      <c r="G1154" s="693" t="n">
        <f aca="false">SUM(B1154:F1154)</f>
        <v>47464</v>
      </c>
      <c r="H1154" s="627"/>
      <c r="I1154" s="475" t="n">
        <f aca="false">'☆掛負収入'!I1154</f>
        <v>26398</v>
      </c>
      <c r="J1154" s="160" t="n">
        <f aca="false">SUM(H1154:I1154)</f>
        <v>26398</v>
      </c>
      <c r="K1154" s="637"/>
      <c r="L1154" s="475" t="n">
        <f aca="false">'☆掛負収入'!L1154</f>
        <v>3499</v>
      </c>
      <c r="M1154" s="160" t="n">
        <f aca="false">SUM(K1154:L1154)</f>
        <v>3499</v>
      </c>
      <c r="N1154" s="637"/>
      <c r="O1154" s="475" t="n">
        <f aca="false">'☆掛負収入'!O1154</f>
        <v>2</v>
      </c>
      <c r="P1154" s="160" t="n">
        <f aca="false">SUM(N1154:O1154)</f>
        <v>2</v>
      </c>
    </row>
    <row r="1155" customFormat="false" ht="18.75" hidden="false" customHeight="true" outlineLevel="0" collapsed="false">
      <c r="A1155" s="146" t="str">
        <f aca="false">'☆掛負収入'!A1155</f>
        <v>ひろしま産業振興</v>
      </c>
      <c r="B1155" s="625"/>
      <c r="C1155" s="484"/>
      <c r="D1155" s="470" t="n">
        <f aca="false">'☆掛負収入'!D1155</f>
        <v>9882</v>
      </c>
      <c r="E1155" s="478" t="n">
        <f aca="false">'☆掛負収入'!E1155</f>
        <v>810</v>
      </c>
      <c r="F1155" s="481" t="n">
        <f aca="false">'☆掛負収入'!F1155</f>
        <v>10</v>
      </c>
      <c r="G1155" s="693" t="n">
        <f aca="false">SUM(B1155:F1155)</f>
        <v>10702</v>
      </c>
      <c r="H1155" s="627"/>
      <c r="I1155" s="481" t="n">
        <f aca="false">'☆掛負収入'!I1155</f>
        <v>5952</v>
      </c>
      <c r="J1155" s="160" t="n">
        <f aca="false">SUM(H1155:I1155)</f>
        <v>5952</v>
      </c>
      <c r="K1155" s="637"/>
      <c r="L1155" s="481" t="n">
        <f aca="false">'☆掛負収入'!L1155</f>
        <v>852</v>
      </c>
      <c r="M1155" s="160" t="n">
        <f aca="false">SUM(K1155:L1155)</f>
        <v>852</v>
      </c>
      <c r="N1155" s="637"/>
      <c r="O1155" s="481" t="n">
        <f aca="false">'☆掛負収入'!O1155</f>
        <v>2</v>
      </c>
      <c r="P1155" s="160" t="n">
        <f aca="false">SUM(N1155:O1155)</f>
        <v>2</v>
      </c>
    </row>
    <row r="1156" customFormat="false" ht="18.75" hidden="false" customHeight="true" outlineLevel="0" collapsed="false">
      <c r="A1156" s="146" t="str">
        <f aca="false">'☆掛負収入'!A1156</f>
        <v>都市整備公社　市</v>
      </c>
      <c r="B1156" s="625"/>
      <c r="C1156" s="484"/>
      <c r="D1156" s="476" t="n">
        <f aca="false">'☆掛負収入'!D1156</f>
        <v>5216</v>
      </c>
      <c r="E1156" s="478" t="n">
        <f aca="false">'☆掛負収入'!E1156</f>
        <v>427</v>
      </c>
      <c r="F1156" s="475" t="n">
        <f aca="false">'☆掛負収入'!F1156</f>
        <v>6</v>
      </c>
      <c r="G1156" s="693" t="n">
        <f aca="false">SUM(B1156:F1156)</f>
        <v>5649</v>
      </c>
      <c r="H1156" s="627"/>
      <c r="I1156" s="475" t="n">
        <f aca="false">'☆掛負収入'!I1156</f>
        <v>3142</v>
      </c>
      <c r="J1156" s="160" t="n">
        <f aca="false">SUM(H1156:I1156)</f>
        <v>3142</v>
      </c>
      <c r="K1156" s="637"/>
      <c r="L1156" s="475" t="n">
        <f aca="false">'☆掛負収入'!L1156</f>
        <v>450</v>
      </c>
      <c r="M1156" s="160" t="n">
        <f aca="false">SUM(K1156:L1156)</f>
        <v>450</v>
      </c>
      <c r="N1156" s="637"/>
      <c r="O1156" s="475" t="n">
        <f aca="false">'☆掛負収入'!O1156</f>
        <v>2</v>
      </c>
      <c r="P1156" s="160" t="n">
        <f aca="false">SUM(N1156:O1156)</f>
        <v>2</v>
      </c>
    </row>
    <row r="1157" customFormat="false" ht="18.75" hidden="false" customHeight="true" outlineLevel="0" collapsed="false">
      <c r="A1157" s="217"/>
      <c r="B1157" s="625"/>
      <c r="C1157" s="221"/>
      <c r="D1157" s="474"/>
      <c r="E1157" s="478"/>
      <c r="F1157" s="475"/>
      <c r="G1157" s="693"/>
      <c r="H1157" s="627"/>
      <c r="I1157" s="475"/>
      <c r="J1157" s="160"/>
      <c r="K1157" s="637"/>
      <c r="L1157" s="475"/>
      <c r="M1157" s="160" t="n">
        <f aca="false">SUM(K1157:L1157)</f>
        <v>0</v>
      </c>
      <c r="N1157" s="637"/>
      <c r="O1157" s="475"/>
      <c r="P1157" s="160" t="n">
        <f aca="false">SUM(N1157:O1157)</f>
        <v>0</v>
      </c>
    </row>
    <row r="1158" customFormat="false" ht="18.75" hidden="false" customHeight="true" outlineLevel="0" collapsed="false">
      <c r="A1158" s="146" t="str">
        <f aca="false">'☆掛負収入'!A1158</f>
        <v>日本下水道事業団</v>
      </c>
      <c r="B1158" s="476" t="n">
        <f aca="false">'☆掛負収入'!B1158</f>
        <v>41083</v>
      </c>
      <c r="C1158" s="248" t="n">
        <f aca="false">'☆掛負収入'!C1158</f>
        <v>3367</v>
      </c>
      <c r="D1158" s="474" t="n">
        <f aca="false">'☆掛負収入'!D1158</f>
        <v>41084</v>
      </c>
      <c r="E1158" s="478" t="n">
        <f aca="false">'☆掛負収入'!E1158</f>
        <v>3367</v>
      </c>
      <c r="F1158" s="475" t="n">
        <f aca="false">'☆掛負収入'!F1158</f>
        <v>41</v>
      </c>
      <c r="G1158" s="693" t="n">
        <f aca="false">SUM(B1158:F1158)</f>
        <v>88942</v>
      </c>
      <c r="H1158" s="473" t="n">
        <f aca="false">'☆掛負収入'!H1158</f>
        <v>24700</v>
      </c>
      <c r="I1158" s="475" t="n">
        <f aca="false">'☆掛負収入'!I1158</f>
        <v>24745</v>
      </c>
      <c r="J1158" s="160" t="n">
        <f aca="false">SUM(H1158:I1158)</f>
        <v>49445</v>
      </c>
      <c r="K1158" s="478" t="n">
        <f aca="false">'☆掛負収入'!K1158</f>
        <v>1336</v>
      </c>
      <c r="L1158" s="475" t="n">
        <f aca="false">'☆掛負収入'!L1158</f>
        <v>1335</v>
      </c>
      <c r="M1158" s="160" t="n">
        <f aca="false">SUM(K1158:L1158)</f>
        <v>2671</v>
      </c>
      <c r="N1158" s="478" t="n">
        <f aca="false">'☆掛負収入'!N1158</f>
        <v>2</v>
      </c>
      <c r="O1158" s="475" t="n">
        <f aca="false">'☆掛負収入'!O1158</f>
        <v>2</v>
      </c>
      <c r="P1158" s="160" t="n">
        <f aca="false">SUM(N1158:O1158)</f>
        <v>4</v>
      </c>
    </row>
    <row r="1159" customFormat="false" ht="18.75" hidden="false" customHeight="true" outlineLevel="0" collapsed="false">
      <c r="A1159" s="125" t="str">
        <f aca="false">'☆掛負収入'!A1159</f>
        <v>地方公務員災害補償基金本部</v>
      </c>
      <c r="B1159" s="476" t="n">
        <f aca="false">'☆掛負収入'!B1159</f>
        <v>6313</v>
      </c>
      <c r="C1159" s="248" t="n">
        <f aca="false">'☆掛負収入'!C1159</f>
        <v>517</v>
      </c>
      <c r="D1159" s="474" t="n">
        <f aca="false">'☆掛負収入'!D1159</f>
        <v>6314</v>
      </c>
      <c r="E1159" s="478" t="n">
        <f aca="false">'☆掛負収入'!E1159</f>
        <v>517</v>
      </c>
      <c r="F1159" s="475" t="n">
        <f aca="false">'☆掛負収入'!F1159</f>
        <v>7</v>
      </c>
      <c r="G1159" s="693" t="n">
        <f aca="false">SUM(B1159:F1159)</f>
        <v>13668</v>
      </c>
      <c r="H1159" s="473" t="n">
        <f aca="false">'☆掛負収入'!H1159</f>
        <v>3795</v>
      </c>
      <c r="I1159" s="475" t="n">
        <f aca="false">'☆掛負収入'!I1159</f>
        <v>3803</v>
      </c>
      <c r="J1159" s="160" t="n">
        <f aca="false">SUM(H1159:I1159)</f>
        <v>7598</v>
      </c>
      <c r="K1159" s="478" t="n">
        <f aca="false">'☆掛負収入'!K1159</f>
        <v>0</v>
      </c>
      <c r="L1159" s="475" t="n">
        <f aca="false">'☆掛負収入'!L1159</f>
        <v>0</v>
      </c>
      <c r="M1159" s="160" t="n">
        <f aca="false">SUM(K1159:L1159)</f>
        <v>0</v>
      </c>
      <c r="N1159" s="478" t="n">
        <f aca="false">'☆掛負収入'!N1159</f>
        <v>2</v>
      </c>
      <c r="O1159" s="475" t="n">
        <f aca="false">'☆掛負収入'!O1159</f>
        <v>2</v>
      </c>
      <c r="P1159" s="160" t="n">
        <f aca="false">SUM(N1159:O1159)</f>
        <v>4</v>
      </c>
    </row>
    <row r="1160" customFormat="false" ht="18.75" hidden="false" customHeight="true" outlineLevel="0" collapsed="false">
      <c r="A1160" s="222"/>
      <c r="B1160" s="474"/>
      <c r="C1160" s="248"/>
      <c r="D1160" s="474"/>
      <c r="E1160" s="478"/>
      <c r="F1160" s="475"/>
      <c r="G1160" s="693"/>
      <c r="H1160" s="619"/>
      <c r="I1160" s="475"/>
      <c r="J1160" s="160"/>
      <c r="K1160" s="464"/>
      <c r="L1160" s="449"/>
      <c r="M1160" s="160" t="n">
        <f aca="false">SUM(K1160:L1160)</f>
        <v>0</v>
      </c>
      <c r="N1160" s="464"/>
      <c r="O1160" s="449"/>
      <c r="P1160" s="160" t="n">
        <f aca="false">SUM(N1160:O1160)</f>
        <v>0</v>
      </c>
    </row>
    <row r="1161" customFormat="false" ht="18.75" hidden="false" customHeight="true" outlineLevel="0" collapsed="false">
      <c r="A1161" s="125" t="str">
        <f aca="false">'☆掛負収入'!A1161</f>
        <v>高速道路公社</v>
      </c>
      <c r="B1161" s="489" t="n">
        <f aca="false">'☆掛負収入'!B1161</f>
        <v>94423</v>
      </c>
      <c r="C1161" s="479" t="n">
        <f aca="false">'☆掛負収入'!C1161</f>
        <v>7735</v>
      </c>
      <c r="D1161" s="489" t="n">
        <f aca="false">'☆掛負収入'!D1161</f>
        <v>94428</v>
      </c>
      <c r="E1161" s="495" t="n">
        <f aca="false">'☆掛負収入'!E1161</f>
        <v>7739</v>
      </c>
      <c r="F1161" s="497" t="n">
        <f aca="false">'☆掛負収入'!F1161</f>
        <v>99</v>
      </c>
      <c r="G1161" s="693" t="n">
        <f aca="false">SUM(B1161:F1161)</f>
        <v>204424</v>
      </c>
      <c r="H1161" s="496" t="n">
        <f aca="false">'☆掛負収入'!H1161</f>
        <v>58532</v>
      </c>
      <c r="I1161" s="497" t="n">
        <f aca="false">'☆掛負収入'!I1161</f>
        <v>58639</v>
      </c>
      <c r="J1161" s="160" t="n">
        <f aca="false">SUM(H1161:I1161)</f>
        <v>117171</v>
      </c>
      <c r="K1161" s="495" t="n">
        <f aca="false">'☆掛負収入'!K1161</f>
        <v>5174</v>
      </c>
      <c r="L1161" s="497" t="n">
        <f aca="false">'☆掛負収入'!L1161</f>
        <v>5175</v>
      </c>
      <c r="M1161" s="160" t="n">
        <f aca="false">SUM(K1161:L1161)</f>
        <v>10349</v>
      </c>
      <c r="N1161" s="495" t="n">
        <f aca="false">'☆掛負収入'!N1161</f>
        <v>2</v>
      </c>
      <c r="O1161" s="497" t="n">
        <f aca="false">'☆掛負収入'!O1161</f>
        <v>2</v>
      </c>
      <c r="P1161" s="160" t="n">
        <f aca="false">SUM(N1161:O1161)</f>
        <v>4</v>
      </c>
    </row>
    <row r="1162" customFormat="false" ht="18.75" hidden="false" customHeight="true" outlineLevel="0" collapsed="false">
      <c r="A1162" s="125" t="str">
        <f aca="false">'☆掛負収入'!A1162</f>
        <v>農林水産振興センタ</v>
      </c>
      <c r="B1162" s="482"/>
      <c r="C1162" s="484"/>
      <c r="D1162" s="476" t="n">
        <f aca="false">'☆掛負収入'!D1162</f>
        <v>63227</v>
      </c>
      <c r="E1162" s="498" t="n">
        <f aca="false">'☆掛負収入'!E1162</f>
        <v>5183</v>
      </c>
      <c r="F1162" s="481" t="n">
        <f aca="false">'☆掛負収入'!F1162</f>
        <v>68</v>
      </c>
      <c r="G1162" s="693" t="n">
        <f aca="false">SUM(B1162:F1162)</f>
        <v>68478</v>
      </c>
      <c r="H1162" s="641"/>
      <c r="I1162" s="481" t="n">
        <f aca="false">'☆掛負収入'!I1162</f>
        <v>38083</v>
      </c>
      <c r="J1162" s="160" t="n">
        <f aca="false">SUM(H1162:I1162)</f>
        <v>38083</v>
      </c>
      <c r="K1162" s="642"/>
      <c r="L1162" s="481" t="n">
        <f aca="false">'☆掛負収入'!L1162</f>
        <v>2868</v>
      </c>
      <c r="M1162" s="160" t="n">
        <f aca="false">SUM(K1162:L1162)</f>
        <v>2868</v>
      </c>
      <c r="N1162" s="642"/>
      <c r="O1162" s="481" t="n">
        <f aca="false">'☆掛負収入'!O1162</f>
        <v>2</v>
      </c>
      <c r="P1162" s="160" t="n">
        <f aca="false">SUM(N1162:O1162)</f>
        <v>2</v>
      </c>
    </row>
    <row r="1163" customFormat="false" ht="18.75" hidden="false" customHeight="true" outlineLevel="0" collapsed="false">
      <c r="A1163" s="228" t="str">
        <f aca="false">'☆掛負収入'!A1163</f>
        <v>文化財団　市長部局</v>
      </c>
      <c r="B1163" s="625"/>
      <c r="C1163" s="221"/>
      <c r="D1163" s="474" t="n">
        <f aca="false">'☆掛負収入'!D1163</f>
        <v>129016</v>
      </c>
      <c r="E1163" s="478" t="n">
        <f aca="false">'☆掛負収入'!E1163</f>
        <v>10574</v>
      </c>
      <c r="F1163" s="481" t="n">
        <f aca="false">'☆掛負収入'!F1163</f>
        <v>134</v>
      </c>
      <c r="G1163" s="693" t="n">
        <f aca="false">SUM(B1163:F1163)</f>
        <v>139724</v>
      </c>
      <c r="H1163" s="627"/>
      <c r="I1163" s="481" t="n">
        <f aca="false">'☆掛負収入'!I1163</f>
        <v>77705</v>
      </c>
      <c r="J1163" s="160" t="n">
        <f aca="false">SUM(H1163:I1163)</f>
        <v>77705</v>
      </c>
      <c r="K1163" s="637"/>
      <c r="L1163" s="481" t="n">
        <f aca="false">'☆掛負収入'!L1163</f>
        <v>10436</v>
      </c>
      <c r="M1163" s="160" t="n">
        <f aca="false">SUM(K1163:L1163)</f>
        <v>10436</v>
      </c>
      <c r="N1163" s="637"/>
      <c r="O1163" s="481" t="n">
        <f aca="false">'☆掛負収入'!O1163</f>
        <v>2</v>
      </c>
      <c r="P1163" s="160" t="n">
        <f aca="false">SUM(N1163:O1163)</f>
        <v>2</v>
      </c>
    </row>
    <row r="1164" customFormat="false" ht="18.75" hidden="false" customHeight="true" outlineLevel="0" collapsed="false">
      <c r="A1164" s="229"/>
      <c r="B1164" s="625"/>
      <c r="C1164" s="221"/>
      <c r="D1164" s="474"/>
      <c r="E1164" s="478"/>
      <c r="F1164" s="481"/>
      <c r="G1164" s="693"/>
      <c r="H1164" s="627"/>
      <c r="I1164" s="481"/>
      <c r="J1164" s="160"/>
      <c r="K1164" s="637"/>
      <c r="L1164" s="481"/>
      <c r="M1164" s="160" t="n">
        <f aca="false">SUM(K1164:L1164)</f>
        <v>0</v>
      </c>
      <c r="N1164" s="637"/>
      <c r="O1164" s="481"/>
      <c r="P1164" s="160" t="n">
        <f aca="false">SUM(N1164:O1164)</f>
        <v>0</v>
      </c>
    </row>
    <row r="1165" customFormat="false" ht="18.75" hidden="false" customHeight="true" outlineLevel="0" collapsed="false">
      <c r="A1165" s="125" t="str">
        <f aca="false">'☆掛負収入'!A1165</f>
        <v>みどり生きもの協会</v>
      </c>
      <c r="B1165" s="625"/>
      <c r="C1165" s="221"/>
      <c r="D1165" s="474" t="n">
        <f aca="false">'☆掛負収入'!D1165</f>
        <v>45478</v>
      </c>
      <c r="E1165" s="478" t="n">
        <f aca="false">'☆掛負収入'!E1165</f>
        <v>3729</v>
      </c>
      <c r="F1165" s="481" t="n">
        <f aca="false">'☆掛負収入'!F1165</f>
        <v>46</v>
      </c>
      <c r="G1165" s="693" t="n">
        <f aca="false">SUM(B1165:F1165)</f>
        <v>49253</v>
      </c>
      <c r="H1165" s="627"/>
      <c r="I1165" s="481" t="n">
        <f aca="false">'☆掛負収入'!I1165</f>
        <v>27389</v>
      </c>
      <c r="J1165" s="160" t="n">
        <f aca="false">SUM(H1165:I1165)</f>
        <v>27389</v>
      </c>
      <c r="K1165" s="637"/>
      <c r="L1165" s="481" t="n">
        <f aca="false">'☆掛負収入'!L1165</f>
        <v>3929</v>
      </c>
      <c r="M1165" s="160" t="n">
        <f aca="false">SUM(K1165:L1165)</f>
        <v>3929</v>
      </c>
      <c r="N1165" s="637"/>
      <c r="O1165" s="481" t="n">
        <f aca="false">'☆掛負収入'!O1165</f>
        <v>2</v>
      </c>
      <c r="P1165" s="160" t="n">
        <f aca="false">SUM(N1165:O1165)</f>
        <v>2</v>
      </c>
    </row>
    <row r="1166" customFormat="false" ht="18.75" hidden="false" customHeight="true" outlineLevel="0" collapsed="false">
      <c r="A1166" s="146" t="str">
        <f aca="false">'☆掛負収入'!A1166</f>
        <v>県下水道公社</v>
      </c>
      <c r="B1166" s="474" t="n">
        <f aca="false">'☆掛負収入'!B1166</f>
        <v>15556</v>
      </c>
      <c r="C1166" s="248" t="n">
        <f aca="false">'☆掛負収入'!C1166</f>
        <v>1276</v>
      </c>
      <c r="D1166" s="474" t="n">
        <f aca="false">'☆掛負収入'!D1166</f>
        <v>15554</v>
      </c>
      <c r="E1166" s="478" t="n">
        <f aca="false">'☆掛負収入'!E1166</f>
        <v>1276</v>
      </c>
      <c r="F1166" s="481" t="n">
        <f aca="false">'☆掛負収入'!F1166</f>
        <v>16</v>
      </c>
      <c r="G1166" s="693" t="n">
        <f aca="false">SUM(B1166:F1166)</f>
        <v>33678</v>
      </c>
      <c r="H1166" s="473" t="n">
        <f aca="false">'☆掛負収入'!H1166</f>
        <v>9350</v>
      </c>
      <c r="I1166" s="481" t="n">
        <f aca="false">'☆掛負収入'!I1166</f>
        <v>9370</v>
      </c>
      <c r="J1166" s="160" t="n">
        <f aca="false">SUM(H1166:I1166)</f>
        <v>18720</v>
      </c>
      <c r="K1166" s="478" t="n">
        <f aca="false">'☆掛負収入'!K1166</f>
        <v>932</v>
      </c>
      <c r="L1166" s="481" t="n">
        <f aca="false">'☆掛負収入'!L1166</f>
        <v>932</v>
      </c>
      <c r="M1166" s="160" t="n">
        <f aca="false">SUM(K1166:L1166)</f>
        <v>1864</v>
      </c>
      <c r="N1166" s="478" t="n">
        <f aca="false">'☆掛負収入'!N1166</f>
        <v>2</v>
      </c>
      <c r="O1166" s="481" t="n">
        <f aca="false">'☆掛負収入'!O1166</f>
        <v>2</v>
      </c>
      <c r="P1166" s="160" t="n">
        <f aca="false">SUM(N1166:O1166)</f>
        <v>4</v>
      </c>
    </row>
    <row r="1167" customFormat="false" ht="18.75" hidden="false" customHeight="true" outlineLevel="0" collapsed="false">
      <c r="A1167" s="146" t="str">
        <f aca="false">'☆掛負収入'!A1167</f>
        <v>バス協調・共創
プラットフォーム</v>
      </c>
      <c r="B1167" s="482"/>
      <c r="C1167" s="484"/>
      <c r="D1167" s="476" t="n">
        <f aca="false">'☆掛負収入'!D1167</f>
        <v>43280</v>
      </c>
      <c r="E1167" s="498" t="n">
        <f aca="false">'☆掛負収入'!E1167</f>
        <v>3547</v>
      </c>
      <c r="F1167" s="481" t="n">
        <f aca="false">'☆掛負収入'!F1167</f>
        <v>44</v>
      </c>
      <c r="G1167" s="693" t="n">
        <f aca="false">SUM(B1167:F1167)</f>
        <v>46871</v>
      </c>
      <c r="H1167" s="641"/>
      <c r="I1167" s="481" t="n">
        <f aca="false">'☆掛負収入'!I1167</f>
        <v>28382</v>
      </c>
      <c r="J1167" s="160" t="n">
        <f aca="false">SUM(H1167:I1167)</f>
        <v>28382</v>
      </c>
      <c r="K1167" s="642"/>
      <c r="L1167" s="481" t="n">
        <f aca="false">'☆掛負収入'!L1167</f>
        <v>2441</v>
      </c>
      <c r="M1167" s="160" t="n">
        <f aca="false">SUM(K1167:L1167)</f>
        <v>2441</v>
      </c>
      <c r="N1167" s="642"/>
      <c r="O1167" s="481" t="n">
        <f aca="false">'☆掛負収入'!O1167</f>
        <v>2</v>
      </c>
      <c r="P1167" s="160" t="n">
        <f aca="false">SUM(N1167:O1167)</f>
        <v>2</v>
      </c>
    </row>
    <row r="1168" customFormat="false" ht="18.75" hidden="false" customHeight="true" outlineLevel="0" collapsed="false">
      <c r="A1168" s="146" t="str">
        <f aca="false">'☆掛負収入'!A1168</f>
        <v>広島県市長会</v>
      </c>
      <c r="B1168" s="474" t="n">
        <f aca="false">'☆掛負収入'!B1168</f>
        <v>5674</v>
      </c>
      <c r="C1168" s="248" t="n">
        <f aca="false">'☆掛負収入'!C1168</f>
        <v>466</v>
      </c>
      <c r="D1168" s="474" t="n">
        <f aca="false">'☆掛負収入'!D1168</f>
        <v>5672</v>
      </c>
      <c r="E1168" s="478" t="n">
        <f aca="false">'☆掛負収入'!E1168</f>
        <v>466</v>
      </c>
      <c r="F1168" s="475" t="n">
        <f aca="false">'☆掛負収入'!F1168</f>
        <v>6</v>
      </c>
      <c r="G1168" s="693" t="n">
        <f aca="false">SUM(B1168:F1168)</f>
        <v>12284</v>
      </c>
      <c r="H1168" s="619" t="n">
        <f aca="false">'☆掛負収入'!H1168</f>
        <v>3412</v>
      </c>
      <c r="I1168" s="475" t="n">
        <f aca="false">'☆掛負収入'!I1168</f>
        <v>3418</v>
      </c>
      <c r="J1168" s="160" t="n">
        <f aca="false">SUM(H1168:I1168)</f>
        <v>6830</v>
      </c>
      <c r="K1168" s="464" t="n">
        <f aca="false">'☆掛負収入'!K1168</f>
        <v>490</v>
      </c>
      <c r="L1168" s="475" t="n">
        <f aca="false">'☆掛負収入'!L1168</f>
        <v>490</v>
      </c>
      <c r="M1168" s="160" t="n">
        <f aca="false">SUM(K1168:L1168)</f>
        <v>980</v>
      </c>
      <c r="N1168" s="464" t="n">
        <f aca="false">'☆掛負収入'!N1168</f>
        <v>2</v>
      </c>
      <c r="O1168" s="475" t="n">
        <f aca="false">'☆掛負収入'!O1168</f>
        <v>2</v>
      </c>
      <c r="P1168" s="160" t="n">
        <f aca="false">SUM(N1168:O1168)</f>
        <v>4</v>
      </c>
    </row>
    <row r="1169" customFormat="false" ht="18.75" hidden="false" customHeight="true" outlineLevel="0" collapsed="false">
      <c r="A1169" s="214" t="str">
        <f aca="false">'☆掛負収入'!A1169</f>
        <v>全国市町村研修財団</v>
      </c>
      <c r="B1169" s="476" t="n">
        <f aca="false">'☆掛負収入'!B1169</f>
        <v>2105</v>
      </c>
      <c r="C1169" s="248" t="n">
        <f aca="false">'☆掛負収入'!C1169</f>
        <v>173</v>
      </c>
      <c r="D1169" s="474" t="n">
        <f aca="false">'☆掛負収入'!D1169</f>
        <v>2104</v>
      </c>
      <c r="E1169" s="478" t="n">
        <f aca="false">'☆掛負収入'!E1169</f>
        <v>173</v>
      </c>
      <c r="F1169" s="475" t="n">
        <f aca="false">'☆掛負収入'!F1169</f>
        <v>2</v>
      </c>
      <c r="G1169" s="693" t="n">
        <f aca="false">SUM(B1169:F1169)</f>
        <v>4557</v>
      </c>
      <c r="H1169" s="473" t="n">
        <f aca="false">'☆掛負収入'!H1169</f>
        <v>6052</v>
      </c>
      <c r="I1169" s="475" t="n">
        <f aca="false">'☆掛負収入'!I1169</f>
        <v>6062</v>
      </c>
      <c r="J1169" s="160" t="n">
        <f aca="false">SUM(H1169:I1169)</f>
        <v>12114</v>
      </c>
      <c r="K1169" s="478" t="n">
        <f aca="false">'☆掛負収入'!K1169</f>
        <v>869</v>
      </c>
      <c r="L1169" s="475" t="n">
        <f aca="false">'☆掛負収入'!L1169</f>
        <v>869</v>
      </c>
      <c r="M1169" s="160" t="n">
        <f aca="false">SUM(K1169:L1169)</f>
        <v>1738</v>
      </c>
      <c r="N1169" s="478" t="n">
        <f aca="false">'☆掛負収入'!N1169</f>
        <v>2</v>
      </c>
      <c r="O1169" s="475" t="n">
        <f aca="false">'☆掛負収入'!O1169</f>
        <v>2</v>
      </c>
      <c r="P1169" s="160" t="n">
        <f aca="false">SUM(N1169:O1169)</f>
        <v>4</v>
      </c>
    </row>
    <row r="1170" customFormat="false" ht="18.75" hidden="false" customHeight="true" outlineLevel="0" collapsed="false">
      <c r="A1170" s="214" t="str">
        <f aca="false">'☆掛負収入'!A1170</f>
        <v>都市再生機構</v>
      </c>
      <c r="B1170" s="474" t="n">
        <f aca="false">'☆掛負収入'!B1170</f>
        <v>3751</v>
      </c>
      <c r="C1170" s="248" t="n">
        <f aca="false">'☆掛負収入'!C1170</f>
        <v>307</v>
      </c>
      <c r="D1170" s="474" t="n">
        <f aca="false">'☆掛負収入'!D1170</f>
        <v>3752</v>
      </c>
      <c r="E1170" s="478" t="n">
        <f aca="false">'☆掛負収入'!E1170</f>
        <v>307</v>
      </c>
      <c r="F1170" s="475" t="n">
        <f aca="false">'☆掛負収入'!F1170</f>
        <v>4</v>
      </c>
      <c r="G1170" s="693" t="n">
        <f aca="false">SUM(B1170:F1170)</f>
        <v>8121</v>
      </c>
      <c r="H1170" s="473" t="n">
        <f aca="false">'☆掛負収入'!H1170</f>
        <v>2256</v>
      </c>
      <c r="I1170" s="475" t="n">
        <f aca="false">'☆掛負収入'!I1170</f>
        <v>2260</v>
      </c>
      <c r="J1170" s="160" t="n">
        <f aca="false">SUM(H1170:I1170)</f>
        <v>4516</v>
      </c>
      <c r="K1170" s="478" t="n">
        <f aca="false">'☆掛負収入'!K1170</f>
        <v>0</v>
      </c>
      <c r="L1170" s="475" t="n">
        <f aca="false">'☆掛負収入'!L1170</f>
        <v>0</v>
      </c>
      <c r="M1170" s="160" t="n">
        <f aca="false">SUM(K1170:L1170)</f>
        <v>0</v>
      </c>
      <c r="N1170" s="478" t="n">
        <f aca="false">'☆掛負収入'!N1170</f>
        <v>2</v>
      </c>
      <c r="O1170" s="475" t="n">
        <f aca="false">'☆掛負収入'!O1170</f>
        <v>2</v>
      </c>
      <c r="P1170" s="160" t="n">
        <f aca="false">SUM(N1170:O1170)</f>
        <v>4</v>
      </c>
    </row>
    <row r="1171" customFormat="false" ht="18.75" hidden="false" customHeight="true" outlineLevel="0" collapsed="false">
      <c r="A1171" s="146" t="str">
        <f aca="false">'☆掛負収入'!A1171</f>
        <v>広島市立大学</v>
      </c>
      <c r="B1171" s="474" t="n">
        <f aca="false">'☆掛負収入'!B1171</f>
        <v>132401</v>
      </c>
      <c r="C1171" s="248" t="n">
        <f aca="false">'☆掛負収入'!C1171</f>
        <v>10853</v>
      </c>
      <c r="D1171" s="474" t="n">
        <f aca="false">'☆掛負収入'!D1171</f>
        <v>132401</v>
      </c>
      <c r="E1171" s="478" t="n">
        <f aca="false">'☆掛負収入'!E1171</f>
        <v>10853</v>
      </c>
      <c r="F1171" s="475" t="n">
        <f aca="false">'☆掛負収入'!F1171</f>
        <v>142</v>
      </c>
      <c r="G1171" s="693" t="n">
        <f aca="false">SUM(B1171:F1171)</f>
        <v>286650</v>
      </c>
      <c r="H1171" s="473" t="n">
        <f aca="false">'☆掛負収入'!H1171</f>
        <v>79598</v>
      </c>
      <c r="I1171" s="475" t="n">
        <f aca="false">'☆掛負収入'!I1171</f>
        <v>79748</v>
      </c>
      <c r="J1171" s="160" t="n">
        <f aca="false">SUM(H1171:I1171)</f>
        <v>159346</v>
      </c>
      <c r="K1171" s="464" t="n">
        <f aca="false">'☆掛負収入'!K1171</f>
        <v>6737</v>
      </c>
      <c r="L1171" s="449" t="n">
        <f aca="false">'☆掛負収入'!L1171</f>
        <v>6738</v>
      </c>
      <c r="M1171" s="160" t="n">
        <f aca="false">SUM(K1171:L1171)</f>
        <v>13475</v>
      </c>
      <c r="N1171" s="464" t="n">
        <f aca="false">'☆掛負収入'!N1171</f>
        <v>2</v>
      </c>
      <c r="O1171" s="449" t="n">
        <f aca="false">'☆掛負収入'!O1171</f>
        <v>2</v>
      </c>
      <c r="P1171" s="160" t="n">
        <f aca="false">SUM(N1171:O1171)</f>
        <v>4</v>
      </c>
    </row>
    <row r="1172" customFormat="false" ht="18.75" hidden="false" customHeight="true" outlineLevel="0" collapsed="false">
      <c r="A1172" s="146" t="str">
        <f aca="false">'☆掛負収入'!A1172</f>
        <v>社会福祉協議会</v>
      </c>
      <c r="B1172" s="787" t="n">
        <f aca="false">'☆掛負収入'!B1172</f>
        <v>0</v>
      </c>
      <c r="C1172" s="248" t="n">
        <f aca="false">'☆掛負収入'!C1172</f>
        <v>0</v>
      </c>
      <c r="D1172" s="474" t="n">
        <f aca="false">'☆掛負収入'!D1172</f>
        <v>19305</v>
      </c>
      <c r="E1172" s="478" t="n">
        <f aca="false">'☆掛負収入'!E1172</f>
        <v>1583</v>
      </c>
      <c r="F1172" s="475" t="n">
        <f aca="false">'☆掛負収入'!F1172</f>
        <v>20</v>
      </c>
      <c r="G1172" s="693" t="n">
        <f aca="false">SUM(B1172:F1172)</f>
        <v>20908</v>
      </c>
      <c r="H1172" s="473" t="n">
        <f aca="false">'☆掛負収入'!H1172</f>
        <v>0</v>
      </c>
      <c r="I1172" s="475" t="n">
        <f aca="false">'☆掛負収入'!I1172</f>
        <v>15706</v>
      </c>
      <c r="J1172" s="160" t="n">
        <f aca="false">SUM(H1172:I1172)</f>
        <v>15706</v>
      </c>
      <c r="K1172" s="464" t="n">
        <f aca="false">'☆掛負収入'!K1172</f>
        <v>0</v>
      </c>
      <c r="L1172" s="449" t="n">
        <f aca="false">'☆掛負収入'!L1172</f>
        <v>1026</v>
      </c>
      <c r="M1172" s="160" t="n">
        <f aca="false">SUM(K1172:L1172)</f>
        <v>1026</v>
      </c>
      <c r="N1172" s="464" t="n">
        <f aca="false">'☆掛負収入'!N1172</f>
        <v>0</v>
      </c>
      <c r="O1172" s="449" t="n">
        <f aca="false">'☆掛負収入'!O1172</f>
        <v>2</v>
      </c>
      <c r="P1172" s="160" t="n">
        <f aca="false">SUM(N1172:O1172)</f>
        <v>2</v>
      </c>
    </row>
    <row r="1173" customFormat="false" ht="18.75" hidden="false" customHeight="true" outlineLevel="0" collapsed="false">
      <c r="A1173" s="788" t="s">
        <v>532</v>
      </c>
      <c r="B1173" s="476" t="n">
        <f aca="false">'☆掛負収入'!B1175</f>
        <v>0</v>
      </c>
      <c r="C1173" s="470" t="n">
        <f aca="false">'☆掛負収入'!C1175</f>
        <v>0</v>
      </c>
      <c r="D1173" s="476" t="n">
        <f aca="false">'☆掛負収入'!D1175</f>
        <v>0</v>
      </c>
      <c r="E1173" s="487" t="n">
        <f aca="false">'☆掛負収入'!E1175</f>
        <v>0</v>
      </c>
      <c r="F1173" s="478" t="n">
        <f aca="false">'☆掛負収入'!F1175</f>
        <v>0</v>
      </c>
      <c r="G1173" s="693" t="n">
        <f aca="false">SUM(B1173:F1173)</f>
        <v>0</v>
      </c>
      <c r="H1173" s="487" t="n">
        <f aca="false">'☆掛負収入'!H1175</f>
        <v>0</v>
      </c>
      <c r="I1173" s="487" t="n">
        <f aca="false">'☆掛負収入'!I1175</f>
        <v>0</v>
      </c>
      <c r="J1173" s="160" t="n">
        <f aca="false">SUM(H1173:I1173)</f>
        <v>0</v>
      </c>
      <c r="K1173" s="464" t="n">
        <f aca="false">'☆掛負収入'!K1175</f>
        <v>0</v>
      </c>
      <c r="L1173" s="449" t="n">
        <f aca="false">'☆掛負収入'!L1175</f>
        <v>0</v>
      </c>
      <c r="M1173" s="160" t="n">
        <f aca="false">SUM(K1173:L1173)</f>
        <v>0</v>
      </c>
      <c r="N1173" s="464" t="n">
        <f aca="false">'☆掛負収入'!N1175</f>
        <v>0</v>
      </c>
      <c r="O1173" s="449" t="n">
        <f aca="false">'☆掛負収入'!O1175</f>
        <v>0</v>
      </c>
      <c r="P1173" s="160" t="n">
        <f aca="false">SUM(N1173:O1173)</f>
        <v>0</v>
      </c>
    </row>
    <row r="1174" customFormat="false" ht="18.75" hidden="false" customHeight="true" outlineLevel="0" collapsed="false">
      <c r="A1174" s="146" t="str">
        <f aca="false">'☆掛負収入'!A1176</f>
        <v>全国市長会</v>
      </c>
      <c r="B1174" s="476" t="n">
        <f aca="false">'☆掛負収入'!B1176</f>
        <v>0</v>
      </c>
      <c r="C1174" s="470" t="n">
        <f aca="false">'☆掛負収入'!C1176</f>
        <v>0</v>
      </c>
      <c r="D1174" s="476" t="n">
        <f aca="false">'☆掛負収入'!D1176</f>
        <v>0</v>
      </c>
      <c r="E1174" s="487" t="n">
        <f aca="false">'☆掛負収入'!E1176</f>
        <v>0</v>
      </c>
      <c r="F1174" s="478" t="n">
        <f aca="false">'☆掛負収入'!F1176</f>
        <v>0</v>
      </c>
      <c r="G1174" s="693" t="n">
        <f aca="false">SUM(B1174:F1174)</f>
        <v>0</v>
      </c>
      <c r="H1174" s="487" t="n">
        <f aca="false">'☆掛負収入'!H1176</f>
        <v>7812</v>
      </c>
      <c r="I1174" s="487" t="n">
        <f aca="false">'☆掛負収入'!I1176</f>
        <v>7825</v>
      </c>
      <c r="J1174" s="160" t="n">
        <f aca="false">SUM(H1174:I1174)</f>
        <v>15637</v>
      </c>
      <c r="K1174" s="464" t="n">
        <f aca="false">'☆掛負収入'!K1176</f>
        <v>1122</v>
      </c>
      <c r="L1174" s="449" t="n">
        <f aca="false">'☆掛負収入'!L1176</f>
        <v>1122</v>
      </c>
      <c r="M1174" s="160" t="n">
        <f aca="false">SUM(K1174:L1174)</f>
        <v>2244</v>
      </c>
      <c r="N1174" s="464" t="n">
        <f aca="false">'☆掛負収入'!N1176</f>
        <v>2</v>
      </c>
      <c r="O1174" s="449" t="n">
        <f aca="false">'☆掛負収入'!O1176</f>
        <v>2</v>
      </c>
      <c r="P1174" s="160" t="n">
        <f aca="false">SUM(N1174:O1174)</f>
        <v>4</v>
      </c>
    </row>
    <row r="1175" customFormat="false" ht="18.75" hidden="false" customHeight="true" outlineLevel="0" collapsed="false">
      <c r="A1175" s="233"/>
      <c r="B1175" s="431"/>
      <c r="C1175" s="418"/>
      <c r="D1175" s="431"/>
      <c r="E1175" s="464"/>
      <c r="F1175" s="449"/>
      <c r="G1175" s="693"/>
      <c r="H1175" s="619"/>
      <c r="I1175" s="475"/>
      <c r="J1175" s="160"/>
      <c r="K1175" s="464"/>
      <c r="L1175" s="449"/>
      <c r="M1175" s="160"/>
      <c r="N1175" s="464"/>
      <c r="O1175" s="449"/>
      <c r="P1175" s="160"/>
    </row>
    <row r="1176" customFormat="false" ht="18.75" hidden="false" customHeight="true" outlineLevel="0" collapsed="false">
      <c r="A1176" s="233"/>
      <c r="B1176" s="620"/>
      <c r="C1176" s="391"/>
      <c r="D1176" s="620"/>
      <c r="E1176" s="621"/>
      <c r="F1176" s="432"/>
      <c r="G1176" s="693"/>
      <c r="H1176" s="620"/>
      <c r="I1176" s="465"/>
      <c r="J1176" s="160"/>
      <c r="K1176" s="621"/>
      <c r="L1176" s="465"/>
      <c r="M1176" s="160"/>
      <c r="N1176" s="621"/>
      <c r="O1176" s="465"/>
      <c r="P1176" s="160"/>
    </row>
    <row r="1177" customFormat="false" ht="18.75" hidden="false" customHeight="true" outlineLevel="0" collapsed="false">
      <c r="A1177" s="217"/>
      <c r="B1177" s="431"/>
      <c r="C1177" s="206"/>
      <c r="D1177" s="431"/>
      <c r="E1177" s="617"/>
      <c r="F1177" s="449"/>
      <c r="G1177" s="693"/>
      <c r="H1177" s="431"/>
      <c r="I1177" s="644"/>
      <c r="J1177" s="160"/>
      <c r="K1177" s="617"/>
      <c r="L1177" s="644"/>
      <c r="M1177" s="160"/>
      <c r="N1177" s="617"/>
      <c r="O1177" s="644"/>
      <c r="P1177" s="160"/>
    </row>
    <row r="1178" customFormat="false" ht="18.75" hidden="false" customHeight="true" outlineLevel="0" collapsed="false">
      <c r="A1178" s="217"/>
      <c r="B1178" s="620"/>
      <c r="C1178" s="418"/>
      <c r="D1178" s="621"/>
      <c r="E1178" s="465"/>
      <c r="F1178" s="432"/>
      <c r="G1178" s="417"/>
      <c r="H1178" s="431"/>
      <c r="I1178" s="465"/>
      <c r="J1178" s="160"/>
      <c r="K1178" s="621"/>
      <c r="L1178" s="465"/>
      <c r="M1178" s="160"/>
      <c r="N1178" s="621"/>
      <c r="O1178" s="465"/>
      <c r="P1178" s="160"/>
    </row>
    <row r="1179" customFormat="false" ht="18.75" hidden="false" customHeight="true" outlineLevel="0" collapsed="false">
      <c r="A1179" s="630"/>
      <c r="B1179" s="647"/>
      <c r="C1179" s="278"/>
      <c r="D1179" s="648"/>
      <c r="E1179" s="649"/>
      <c r="F1179" s="786"/>
      <c r="G1179" s="696"/>
      <c r="H1179" s="647"/>
      <c r="I1179" s="648"/>
      <c r="J1179" s="648" t="n">
        <f aca="false">SUM(H1179:I1179)</f>
        <v>0</v>
      </c>
      <c r="K1179" s="647"/>
      <c r="L1179" s="648"/>
      <c r="M1179" s="722" t="n">
        <f aca="false">SUM(K1179:L1179)</f>
        <v>0</v>
      </c>
      <c r="N1179" s="647"/>
      <c r="O1179" s="648"/>
      <c r="P1179" s="722" t="n">
        <f aca="false">SUM(N1179:O1179)</f>
        <v>0</v>
      </c>
    </row>
    <row r="1180" customFormat="false" ht="18.75" hidden="false" customHeight="true" outlineLevel="0" collapsed="false">
      <c r="A1180" s="196" t="str">
        <f aca="false">'☆掛負収入'!A1180</f>
        <v>小　計</v>
      </c>
      <c r="B1180" s="429" t="n">
        <f aca="false">SUM(B1150:B1179)</f>
        <v>301306</v>
      </c>
      <c r="C1180" s="200" t="n">
        <f aca="false">SUM(C1150:C1179)</f>
        <v>24694</v>
      </c>
      <c r="D1180" s="429" t="n">
        <f aca="false">SUM(D1150:D1179)</f>
        <v>933664</v>
      </c>
      <c r="E1180" s="301" t="n">
        <f aca="false">SUM(E1150:E1179)</f>
        <v>76531</v>
      </c>
      <c r="F1180" s="200" t="n">
        <f aca="false">SUM(F1150:F1179)</f>
        <v>974</v>
      </c>
      <c r="G1180" s="201" t="n">
        <f aca="false">SUM(B1180:F1180)</f>
        <v>1337169</v>
      </c>
      <c r="H1180" s="429" t="n">
        <f aca="false">SUM(H1150:H1179)</f>
        <v>195507</v>
      </c>
      <c r="I1180" s="199" t="n">
        <f aca="false">SUM(I1150:I1179)</f>
        <v>601707</v>
      </c>
      <c r="J1180" s="200" t="n">
        <f aca="false">SUM(H1180:I1180)</f>
        <v>797214</v>
      </c>
      <c r="K1180" s="429" t="n">
        <f aca="false">SUM(K1150:K1179)</f>
        <v>16660</v>
      </c>
      <c r="L1180" s="199" t="n">
        <f aca="false">SUM(L1150:L1179)</f>
        <v>61092</v>
      </c>
      <c r="M1180" s="198" t="n">
        <f aca="false">SUM(K1180:L1180)</f>
        <v>77752</v>
      </c>
      <c r="N1180" s="429" t="n">
        <f aca="false">SUM(N1150:N1179)</f>
        <v>18</v>
      </c>
      <c r="O1180" s="199" t="n">
        <f aca="false">SUM(O1150:O1179)</f>
        <v>40</v>
      </c>
      <c r="P1180" s="198" t="n">
        <f aca="false">SUM(N1180:O1180)</f>
        <v>58</v>
      </c>
    </row>
    <row r="1181" customFormat="false" ht="18.75" hidden="true" customHeight="true" outlineLevel="0" collapsed="false">
      <c r="A1181" s="629"/>
      <c r="B1181" s="647"/>
      <c r="C1181" s="278"/>
      <c r="D1181" s="648"/>
      <c r="E1181" s="649"/>
      <c r="F1181" s="650"/>
      <c r="G1181" s="651"/>
      <c r="H1181" s="652"/>
      <c r="I1181" s="653"/>
      <c r="J1181" s="654"/>
      <c r="K1181" s="655"/>
      <c r="L1181" s="656"/>
      <c r="M1181" s="657"/>
      <c r="N1181" s="655"/>
      <c r="O1181" s="656"/>
      <c r="P1181" s="657"/>
    </row>
    <row r="1182" customFormat="false" ht="18.75" hidden="true" customHeight="true" outlineLevel="0" collapsed="false">
      <c r="A1182" s="658"/>
      <c r="B1182" s="631"/>
      <c r="C1182" s="633"/>
      <c r="D1182" s="648"/>
      <c r="E1182" s="649"/>
      <c r="F1182" s="278"/>
      <c r="G1182" s="646"/>
      <c r="H1182" s="659"/>
      <c r="I1182" s="660"/>
      <c r="J1182" s="408"/>
      <c r="K1182" s="661"/>
      <c r="L1182" s="662"/>
      <c r="M1182" s="663"/>
      <c r="N1182" s="661"/>
      <c r="O1182" s="662"/>
      <c r="P1182" s="663"/>
    </row>
    <row r="1183" customFormat="false" ht="18.75" hidden="false" customHeight="true" outlineLevel="0" collapsed="false">
      <c r="A1183" s="214" t="str">
        <f aca="false">'☆掛負収入'!A1183</f>
        <v>高速交通（株）</v>
      </c>
      <c r="B1183" s="489" t="n">
        <f aca="false">'☆掛負収入'!B1183</f>
        <v>9882</v>
      </c>
      <c r="C1183" s="491" t="n">
        <f aca="false">'☆掛負収入'!C1183</f>
        <v>810</v>
      </c>
      <c r="D1183" s="477" t="n">
        <f aca="false">'☆掛負収入'!D1183</f>
        <v>9882</v>
      </c>
      <c r="E1183" s="487" t="n">
        <f aca="false">'☆掛負収入'!E1183</f>
        <v>810</v>
      </c>
      <c r="F1183" s="479" t="n">
        <f aca="false">'☆掛負収入'!F1183</f>
        <v>10</v>
      </c>
      <c r="G1183" s="391" t="n">
        <f aca="false">SUM(B1183:F1183)</f>
        <v>21394</v>
      </c>
      <c r="H1183" s="659"/>
      <c r="I1183" s="660"/>
      <c r="J1183" s="780"/>
      <c r="K1183" s="661"/>
      <c r="L1183" s="662"/>
      <c r="M1183" s="776"/>
      <c r="N1183" s="661"/>
      <c r="O1183" s="662"/>
      <c r="P1183" s="776"/>
    </row>
    <row r="1184" customFormat="false" ht="18.75" hidden="false" customHeight="true" outlineLevel="0" collapsed="false">
      <c r="A1184" s="666" t="s">
        <v>209</v>
      </c>
      <c r="B1184" s="489" t="n">
        <f aca="false">'☆掛負収入'!B1184</f>
        <v>6039</v>
      </c>
      <c r="C1184" s="491" t="n">
        <f aca="false">'☆掛負収入'!C1184</f>
        <v>495</v>
      </c>
      <c r="D1184" s="477" t="n">
        <f aca="false">'☆掛負収入'!D1184</f>
        <v>6039</v>
      </c>
      <c r="E1184" s="487" t="n">
        <f aca="false">'☆掛負収入'!E1184</f>
        <v>495</v>
      </c>
      <c r="F1184" s="479" t="n">
        <f aca="false">'☆掛負収入'!F1184</f>
        <v>6</v>
      </c>
      <c r="G1184" s="391" t="n">
        <f aca="false">SUM(B1184:F1184)</f>
        <v>13074</v>
      </c>
      <c r="H1184" s="659"/>
      <c r="I1184" s="660"/>
      <c r="J1184" s="780"/>
      <c r="K1184" s="661"/>
      <c r="L1184" s="662"/>
      <c r="M1184" s="776"/>
      <c r="N1184" s="661"/>
      <c r="O1184" s="662"/>
      <c r="P1184" s="776"/>
    </row>
    <row r="1185" customFormat="false" ht="18.75" hidden="false" customHeight="true" outlineLevel="0" collapsed="false">
      <c r="A1185" s="196" t="str">
        <f aca="false">'☆掛負収入'!A1185</f>
        <v>小　計</v>
      </c>
      <c r="B1185" s="197" t="n">
        <f aca="false">SUM(B1183:B1184)</f>
        <v>15921</v>
      </c>
      <c r="C1185" s="200" t="n">
        <f aca="false">SUM(C1181:C1184)</f>
        <v>1305</v>
      </c>
      <c r="D1185" s="681" t="n">
        <f aca="false">SUM(D1181:D1184)</f>
        <v>15921</v>
      </c>
      <c r="E1185" s="199" t="n">
        <f aca="false">SUM(E1181:E1184)</f>
        <v>1305</v>
      </c>
      <c r="F1185" s="201" t="n">
        <f aca="false">SUM(F1181:F1184)</f>
        <v>16</v>
      </c>
      <c r="G1185" s="200" t="n">
        <f aca="false">SUM(B1185:F1185)</f>
        <v>34468</v>
      </c>
      <c r="H1185" s="674"/>
      <c r="I1185" s="677"/>
      <c r="J1185" s="781"/>
      <c r="K1185" s="782"/>
      <c r="L1185" s="783"/>
      <c r="M1185" s="784"/>
      <c r="N1185" s="782"/>
      <c r="O1185" s="783"/>
      <c r="P1185" s="784"/>
    </row>
    <row r="1186" customFormat="false" ht="18.75" hidden="false" customHeight="true" outlineLevel="0" collapsed="false">
      <c r="A1186" s="125" t="str">
        <f aca="false">'☆掛負収入'!A1186</f>
        <v>市職員労働組合</v>
      </c>
      <c r="B1186" s="474" t="n">
        <f aca="false">'☆掛負収入'!B1186</f>
        <v>6771</v>
      </c>
      <c r="C1186" s="248" t="n">
        <f aca="false">'☆掛負収入'!C1186</f>
        <v>555</v>
      </c>
      <c r="D1186" s="470" t="n">
        <f aca="false">'☆掛負収入'!D1186</f>
        <v>6771</v>
      </c>
      <c r="E1186" s="488" t="n">
        <f aca="false">'☆掛負収入'!E1186</f>
        <v>555</v>
      </c>
      <c r="F1186" s="248" t="n">
        <f aca="false">'☆掛負収入'!F1186</f>
        <v>0</v>
      </c>
      <c r="G1186" s="206" t="n">
        <f aca="false">SUM(B1186:F1186)</f>
        <v>14652</v>
      </c>
      <c r="H1186" s="473" t="n">
        <f aca="false">'☆掛負収入'!H1186</f>
        <v>4070</v>
      </c>
      <c r="I1186" s="475" t="n">
        <f aca="false">'☆掛負収入'!I1186</f>
        <v>4078</v>
      </c>
      <c r="J1186" s="160" t="n">
        <f aca="false">SUM(H1186:I1186)</f>
        <v>8148</v>
      </c>
      <c r="K1186" s="476" t="n">
        <f aca="false">'☆掛負収入'!K1186</f>
        <v>585</v>
      </c>
      <c r="L1186" s="487" t="n">
        <f aca="false">'☆掛負収入'!L1186</f>
        <v>585</v>
      </c>
      <c r="M1186" s="160" t="n">
        <f aca="false">'☆掛負収入'!M1186</f>
        <v>1170</v>
      </c>
      <c r="N1186" s="476" t="n">
        <f aca="false">'☆掛負収入'!N1186</f>
        <v>2</v>
      </c>
      <c r="O1186" s="487" t="n">
        <f aca="false">'☆掛負収入'!O1186</f>
        <v>2</v>
      </c>
      <c r="P1186" s="160" t="n">
        <f aca="false">'☆掛負収入'!P1186</f>
        <v>4</v>
      </c>
    </row>
    <row r="1187" customFormat="false" ht="18.75" hidden="false" customHeight="true" outlineLevel="0" collapsed="false">
      <c r="A1187" s="125" t="str">
        <f aca="false">'☆掛負収入'!A1187</f>
        <v>自治労労働組合</v>
      </c>
      <c r="B1187" s="474" t="n">
        <f aca="false">'☆掛負収入'!B1187</f>
        <v>0</v>
      </c>
      <c r="C1187" s="402" t="n">
        <f aca="false">'☆掛負収入'!C1187</f>
        <v>0</v>
      </c>
      <c r="D1187" s="474" t="n">
        <f aca="false">'☆掛負収入'!D1187</f>
        <v>0</v>
      </c>
      <c r="E1187" s="488" t="n">
        <f aca="false">'☆掛負収入'!E1187</f>
        <v>0</v>
      </c>
      <c r="F1187" s="248" t="n">
        <f aca="false">'☆掛負収入'!F1187</f>
        <v>0</v>
      </c>
      <c r="G1187" s="206" t="n">
        <f aca="false">SUM(B1187:F1187)</f>
        <v>0</v>
      </c>
      <c r="H1187" s="473" t="n">
        <f aca="false">'☆掛負収入'!H1187</f>
        <v>0</v>
      </c>
      <c r="I1187" s="475" t="n">
        <f aca="false">'☆掛負収入'!I1187</f>
        <v>0</v>
      </c>
      <c r="J1187" s="160" t="n">
        <f aca="false">SUM(H1187:I1187)</f>
        <v>0</v>
      </c>
      <c r="K1187" s="473" t="n">
        <f aca="false">'☆掛負収入'!K1187</f>
        <v>0</v>
      </c>
      <c r="L1187" s="475" t="n">
        <f aca="false">'☆掛負収入'!L1187</f>
        <v>0</v>
      </c>
      <c r="M1187" s="160" t="n">
        <f aca="false">SUM(K1187:L1187)</f>
        <v>0</v>
      </c>
      <c r="N1187" s="473" t="n">
        <f aca="false">'☆掛負収入'!N1187</f>
        <v>0</v>
      </c>
      <c r="O1187" s="475" t="n">
        <f aca="false">'☆掛負収入'!O1187</f>
        <v>0</v>
      </c>
      <c r="P1187" s="160" t="n">
        <f aca="false">SUM(N1187:O1187)</f>
        <v>0</v>
      </c>
    </row>
    <row r="1188" customFormat="false" ht="18.75" hidden="false" customHeight="true" outlineLevel="0" collapsed="false">
      <c r="A1188" s="125" t="str">
        <f aca="false">'☆掛負収入'!A1188</f>
        <v>病院労働組合</v>
      </c>
      <c r="B1188" s="474"/>
      <c r="C1188" s="402"/>
      <c r="D1188" s="474"/>
      <c r="E1188" s="488"/>
      <c r="F1188" s="248"/>
      <c r="G1188" s="206" t="n">
        <f aca="false">SUM(B1188:F1188)</f>
        <v>0</v>
      </c>
      <c r="H1188" s="473"/>
      <c r="I1188" s="475"/>
      <c r="J1188" s="160" t="n">
        <f aca="false">SUM(H1188:I1188)</f>
        <v>0</v>
      </c>
      <c r="K1188" s="473"/>
      <c r="L1188" s="475"/>
      <c r="M1188" s="160" t="n">
        <f aca="false">SUM(K1188:L1188)</f>
        <v>0</v>
      </c>
      <c r="N1188" s="473"/>
      <c r="O1188" s="475"/>
      <c r="P1188" s="160" t="n">
        <f aca="false">SUM(N1188:O1188)</f>
        <v>0</v>
      </c>
    </row>
    <row r="1189" customFormat="false" ht="18.75" hidden="false" customHeight="true" outlineLevel="0" collapsed="false">
      <c r="A1189" s="302" t="str">
        <f aca="false">'☆掛負収入'!A1189</f>
        <v>水道労働組合</v>
      </c>
      <c r="B1189" s="516"/>
      <c r="C1189" s="517"/>
      <c r="D1189" s="516"/>
      <c r="E1189" s="492"/>
      <c r="F1189" s="520"/>
      <c r="G1189" s="206" t="n">
        <f aca="false">SUM(B1189:F1189)</f>
        <v>0</v>
      </c>
      <c r="H1189" s="521"/>
      <c r="I1189" s="519"/>
      <c r="J1189" s="160" t="n">
        <f aca="false">SUM(H1189:I1189)</f>
        <v>0</v>
      </c>
      <c r="K1189" s="667"/>
      <c r="L1189" s="518"/>
      <c r="M1189" s="160" t="n">
        <f aca="false">SUM(K1189:L1189)</f>
        <v>0</v>
      </c>
      <c r="N1189" s="667"/>
      <c r="O1189" s="518"/>
      <c r="P1189" s="160" t="n">
        <f aca="false">SUM(N1189:O1189)</f>
        <v>0</v>
      </c>
    </row>
    <row r="1190" customFormat="false" ht="18.75" hidden="false" customHeight="true" outlineLevel="0" collapsed="false">
      <c r="A1190" s="196" t="str">
        <f aca="false">'☆掛負収入'!A1190</f>
        <v>小　計</v>
      </c>
      <c r="B1190" s="429" t="n">
        <f aca="false">SUM(B1186:B1189)</f>
        <v>6771</v>
      </c>
      <c r="C1190" s="200" t="n">
        <f aca="false">SUM(C1186:C1189)</f>
        <v>555</v>
      </c>
      <c r="D1190" s="429" t="n">
        <f aca="false">SUM(D1186:D1189)</f>
        <v>6771</v>
      </c>
      <c r="E1190" s="199" t="n">
        <f aca="false">SUM(E1186:E1189)</f>
        <v>555</v>
      </c>
      <c r="F1190" s="198" t="n">
        <f aca="false">SUM(F1186:F1189)</f>
        <v>0</v>
      </c>
      <c r="G1190" s="197" t="n">
        <f aca="false">SUM(B1190:F1190)</f>
        <v>14652</v>
      </c>
      <c r="H1190" s="429" t="n">
        <f aca="false">SUM(H1186:H1189)</f>
        <v>4070</v>
      </c>
      <c r="I1190" s="199" t="n">
        <f aca="false">SUM(I1186:I1189)</f>
        <v>4078</v>
      </c>
      <c r="J1190" s="200" t="n">
        <f aca="false">SUM(H1190:I1190)</f>
        <v>8148</v>
      </c>
      <c r="K1190" s="198" t="n">
        <f aca="false">SUM(K1186:K1189)</f>
        <v>585</v>
      </c>
      <c r="L1190" s="198" t="n">
        <f aca="false">SUM(L1186:L1189)</f>
        <v>585</v>
      </c>
      <c r="M1190" s="200" t="n">
        <f aca="false">SUM(K1190:L1190)</f>
        <v>1170</v>
      </c>
      <c r="N1190" s="198" t="n">
        <f aca="false">SUM(N1186:N1189)</f>
        <v>2</v>
      </c>
      <c r="O1190" s="198" t="n">
        <f aca="false">SUM(O1186:O1189)</f>
        <v>2</v>
      </c>
      <c r="P1190" s="200" t="n">
        <f aca="false">SUM(N1190:O1190)</f>
        <v>4</v>
      </c>
    </row>
    <row r="1191" customFormat="false" ht="18.75" hidden="false" customHeight="true" outlineLevel="0" collapsed="false">
      <c r="A1191" s="302" t="str">
        <f aca="false">'☆掛負収入'!A1191</f>
        <v>任意継続組合員</v>
      </c>
      <c r="B1191" s="281"/>
      <c r="C1191" s="523"/>
      <c r="D1191" s="524"/>
      <c r="E1191" s="525"/>
      <c r="F1191" s="296"/>
      <c r="G1191" s="293"/>
      <c r="H1191" s="678"/>
      <c r="I1191" s="282"/>
      <c r="J1191" s="282"/>
      <c r="K1191" s="697"/>
      <c r="L1191" s="679"/>
      <c r="M1191" s="292"/>
      <c r="N1191" s="697"/>
      <c r="O1191" s="679"/>
      <c r="P1191" s="292"/>
    </row>
    <row r="1192" customFormat="false" ht="30" hidden="false" customHeight="true" outlineLevel="0" collapsed="false">
      <c r="A1192" s="680" t="str">
        <f aca="false">'☆掛負収入'!A1192</f>
        <v>総　　計</v>
      </c>
      <c r="B1192" s="429" t="n">
        <f aca="false">SUM(B1149+B1180+B1185+B1190)</f>
        <v>323998</v>
      </c>
      <c r="C1192" s="200" t="n">
        <f aca="false">SUM(C1149+C1180+C1185+C1190)</f>
        <v>26554</v>
      </c>
      <c r="D1192" s="681" t="n">
        <f aca="false">SUM(D1149+D1180+D1185+D1190)</f>
        <v>956356</v>
      </c>
      <c r="E1192" s="199" t="n">
        <f aca="false">SUM(E1149+E1180+E1185+E1190)</f>
        <v>78391</v>
      </c>
      <c r="F1192" s="201" t="n">
        <f aca="false">SUM(F1149+F1180+F1185+F1190)</f>
        <v>990</v>
      </c>
      <c r="G1192" s="197" t="n">
        <f aca="false">SUM(B1192:F1192)</f>
        <v>1386289</v>
      </c>
      <c r="H1192" s="429" t="n">
        <f aca="false">SUM(H1149+H1180+H1185+H1190+H1191)</f>
        <v>199577</v>
      </c>
      <c r="I1192" s="199" t="n">
        <f aca="false">SUM(I1149+I1180+I1185+I1190+I1191)</f>
        <v>605785</v>
      </c>
      <c r="J1192" s="200" t="n">
        <f aca="false">SUM(H1192:I1192)</f>
        <v>805362</v>
      </c>
      <c r="K1192" s="198" t="n">
        <f aca="false">K1149+K1180+K1185+K1190+K1191</f>
        <v>17245</v>
      </c>
      <c r="L1192" s="198" t="n">
        <f aca="false">L1149+L1180+L1185+L1190</f>
        <v>61677</v>
      </c>
      <c r="M1192" s="200" t="n">
        <f aca="false">SUM(K1192:L1192)</f>
        <v>78922</v>
      </c>
      <c r="N1192" s="198" t="n">
        <f aca="false">N1149+N1180+N1185+N1190+N1191</f>
        <v>20</v>
      </c>
      <c r="O1192" s="198" t="n">
        <f aca="false">O1149+O1180+O1185+O1190</f>
        <v>42</v>
      </c>
      <c r="P1192" s="200" t="n">
        <f aca="false">SUM(N1192:O1192)</f>
        <v>62</v>
      </c>
    </row>
  </sheetData>
  <mergeCells count="420">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H56:J58"/>
    <mergeCell ref="K56:M58"/>
    <mergeCell ref="N56:P58"/>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H121:J123"/>
    <mergeCell ref="K121:M123"/>
    <mergeCell ref="N121:P123"/>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H186:J188"/>
    <mergeCell ref="K186:M188"/>
    <mergeCell ref="N186:P188"/>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H251:J253"/>
    <mergeCell ref="K251:M253"/>
    <mergeCell ref="N251:P253"/>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H316:J318"/>
    <mergeCell ref="K316:M318"/>
    <mergeCell ref="N316:P318"/>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H381:J383"/>
    <mergeCell ref="K381:M383"/>
    <mergeCell ref="N381:P383"/>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H446:J448"/>
    <mergeCell ref="K446:M448"/>
    <mergeCell ref="N446:P448"/>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H511:J513"/>
    <mergeCell ref="K511:M513"/>
    <mergeCell ref="N511:P513"/>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H576:J578"/>
    <mergeCell ref="K576:M578"/>
    <mergeCell ref="N576:P578"/>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H641:J643"/>
    <mergeCell ref="K641:M643"/>
    <mergeCell ref="N641:P643"/>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H706:J708"/>
    <mergeCell ref="K706:M708"/>
    <mergeCell ref="N706:P708"/>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H771:J773"/>
    <mergeCell ref="K771:M773"/>
    <mergeCell ref="N771:P773"/>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H836:J838"/>
    <mergeCell ref="K836:M838"/>
    <mergeCell ref="N836:P838"/>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printOptions headings="false" gridLines="false" gridLinesSet="true" horizontalCentered="true" verticalCentered="false"/>
  <pageMargins left="0.196527777777778" right="0.196527777777778" top="0.196527777777778" bottom="0.196527777777778" header="0.511811023622047" footer="0.511811023622047"/>
  <pageSetup paperSize="9" scale="75" fitToWidth="1" fitToHeight="1" pageOrder="downThenOver" orientation="portrait" blackAndWhite="false" draft="false" cellComments="none" horizontalDpi="300" verticalDpi="300" copies="1"/>
  <headerFooter differentFirst="false" differentOddEven="false">
    <oddHeader/>
    <oddFooter/>
  </headerFooter>
  <rowBreaks count="17" manualBreakCount="17">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rowBreaks>
  <colBreaks count="3" manualBreakCount="3">
    <brk id="7" man="true" max="65535" min="0"/>
    <brk id="10" man="true" max="65535" min="0"/>
    <brk id="13" man="true" max="65535" min="0"/>
  </colBreak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false"/>
  </sheetPr>
  <dimension ref="A1:AA114"/>
  <sheetViews>
    <sheetView showFormulas="false" showGridLines="true" showRowColHeaders="true" showZeros="true" rightToLeft="false" tabSelected="false" showOutlineSymbols="true" defaultGridColor="true" view="normal" topLeftCell="A24" colorId="64" zoomScale="100" zoomScaleNormal="100" zoomScalePageLayoutView="84" workbookViewId="0">
      <selection pane="topLeft" activeCell="D53" activeCellId="0" sqref="D53"/>
    </sheetView>
  </sheetViews>
  <sheetFormatPr defaultColWidth="8.79296875" defaultRowHeight="14.25" zeroHeight="false" outlineLevelRow="0" outlineLevelCol="0"/>
  <cols>
    <col collapsed="false" customWidth="true" hidden="false" outlineLevel="0" max="1" min="1" style="789" width="5.99"/>
    <col collapsed="false" customWidth="true" hidden="false" outlineLevel="0" max="7" min="2" style="790" width="9.29"/>
    <col collapsed="false" customWidth="true" hidden="false" outlineLevel="0" max="8" min="8" style="790" width="0.89"/>
    <col collapsed="false" customWidth="true" hidden="false" outlineLevel="0" max="9" min="9" style="790" width="5.69"/>
    <col collapsed="false" customWidth="true" hidden="false" outlineLevel="0" max="10" min="10" style="790" width="9.29"/>
    <col collapsed="false" customWidth="true" hidden="false" outlineLevel="0" max="12" min="11" style="790" width="7.19"/>
    <col collapsed="false" customWidth="true" hidden="false" outlineLevel="0" max="17" min="13" style="789" width="7.19"/>
    <col collapsed="false" customWidth="true" hidden="false" outlineLevel="0" max="18" min="18" style="790" width="7.19"/>
    <col collapsed="false" customWidth="true" hidden="false" outlineLevel="0" max="19" min="19" style="791" width="7.19"/>
    <col collapsed="false" customWidth="true" hidden="false" outlineLevel="0" max="20" min="20" style="789" width="7.19"/>
    <col collapsed="false" customWidth="false" hidden="false" outlineLevel="0" max="21" min="21" style="789" width="8.79"/>
    <col collapsed="false" customWidth="true" hidden="false" outlineLevel="0" max="25" min="22" style="789" width="6.69"/>
    <col collapsed="false" customWidth="true" hidden="false" outlineLevel="0" max="26" min="26" style="789" width="0.79"/>
    <col collapsed="false" customWidth="true" hidden="false" outlineLevel="0" max="27" min="27" style="789" width="11.19"/>
    <col collapsed="false" customWidth="false" hidden="false" outlineLevel="0" max="257" min="28" style="789" width="8.79"/>
  </cols>
  <sheetData>
    <row r="1" customFormat="false" ht="22.5" hidden="false" customHeight="true" outlineLevel="0" collapsed="false">
      <c r="A1" s="792" t="str">
        <f aca="false">'☆掛負収入'!A2</f>
        <v>令和8年度</v>
      </c>
      <c r="C1" s="793" t="s">
        <v>533</v>
      </c>
      <c r="D1" s="789"/>
      <c r="E1" s="789"/>
      <c r="F1" s="789"/>
      <c r="I1" s="789"/>
      <c r="J1" s="789"/>
      <c r="K1" s="789"/>
      <c r="L1" s="789"/>
      <c r="R1" s="789"/>
    </row>
    <row r="2" customFormat="false" ht="10.5" hidden="false" customHeight="true" outlineLevel="0" collapsed="false">
      <c r="D2" s="789"/>
      <c r="E2" s="789"/>
      <c r="F2" s="789"/>
      <c r="I2" s="789"/>
      <c r="J2" s="789"/>
      <c r="K2" s="789"/>
      <c r="L2" s="789"/>
      <c r="R2" s="789"/>
    </row>
    <row r="3" customFormat="false" ht="22.5" hidden="false" customHeight="true" outlineLevel="0" collapsed="false">
      <c r="A3" s="794" t="s">
        <v>534</v>
      </c>
      <c r="B3" s="789"/>
      <c r="C3" s="789"/>
      <c r="D3" s="789"/>
      <c r="E3" s="789"/>
      <c r="F3" s="789"/>
      <c r="G3" s="795" t="s">
        <v>535</v>
      </c>
      <c r="H3" s="795"/>
      <c r="I3" s="796" t="s">
        <v>536</v>
      </c>
      <c r="J3" s="797"/>
      <c r="K3" s="798"/>
      <c r="L3" s="798"/>
      <c r="M3" s="798"/>
      <c r="N3" s="798"/>
      <c r="O3" s="798"/>
      <c r="P3" s="798"/>
      <c r="Q3" s="797"/>
      <c r="Y3" s="799" t="s">
        <v>535</v>
      </c>
    </row>
    <row r="4" customFormat="false" ht="30" hidden="false" customHeight="true" outlineLevel="0" collapsed="false">
      <c r="A4" s="800" t="s">
        <v>537</v>
      </c>
      <c r="B4" s="801" t="s">
        <v>538</v>
      </c>
      <c r="C4" s="802" t="s">
        <v>539</v>
      </c>
      <c r="D4" s="801" t="s">
        <v>81</v>
      </c>
      <c r="E4" s="803" t="s">
        <v>82</v>
      </c>
      <c r="F4" s="804" t="s">
        <v>540</v>
      </c>
      <c r="G4" s="805" t="s">
        <v>541</v>
      </c>
      <c r="H4" s="806"/>
      <c r="I4" s="800" t="s">
        <v>542</v>
      </c>
      <c r="J4" s="807" t="s">
        <v>543</v>
      </c>
      <c r="K4" s="808" t="s">
        <v>544</v>
      </c>
      <c r="L4" s="809" t="s">
        <v>545</v>
      </c>
      <c r="M4" s="809" t="s">
        <v>546</v>
      </c>
      <c r="N4" s="810" t="s">
        <v>547</v>
      </c>
      <c r="O4" s="810" t="s">
        <v>548</v>
      </c>
      <c r="P4" s="810" t="s">
        <v>549</v>
      </c>
      <c r="Q4" s="811" t="s">
        <v>550</v>
      </c>
      <c r="R4" s="812" t="s">
        <v>551</v>
      </c>
      <c r="S4" s="812" t="s">
        <v>552</v>
      </c>
      <c r="T4" s="812" t="s">
        <v>553</v>
      </c>
      <c r="U4" s="812" t="s">
        <v>554</v>
      </c>
      <c r="V4" s="813" t="s">
        <v>555</v>
      </c>
      <c r="W4" s="813" t="s">
        <v>556</v>
      </c>
      <c r="X4" s="813" t="s">
        <v>557</v>
      </c>
      <c r="Y4" s="814" t="s">
        <v>558</v>
      </c>
    </row>
    <row r="5" customFormat="false" ht="22.5" hidden="false" customHeight="true" outlineLevel="0" collapsed="false">
      <c r="A5" s="815" t="s">
        <v>559</v>
      </c>
      <c r="B5" s="816" t="n">
        <v>492726</v>
      </c>
      <c r="C5" s="816" t="n">
        <v>40386</v>
      </c>
      <c r="D5" s="816" t="n">
        <v>357223</v>
      </c>
      <c r="E5" s="817" t="n">
        <v>6920</v>
      </c>
      <c r="F5" s="818" t="n">
        <v>0</v>
      </c>
      <c r="G5" s="819" t="n">
        <f aca="false">SUM(B5:F5)</f>
        <v>897255</v>
      </c>
      <c r="H5" s="820"/>
      <c r="I5" s="821" t="s">
        <v>559</v>
      </c>
      <c r="J5" s="822" t="n">
        <f aca="false">SUM(K5:Y5)</f>
        <v>231571</v>
      </c>
      <c r="K5" s="823" t="n">
        <v>12238</v>
      </c>
      <c r="L5" s="824" t="n">
        <v>219333</v>
      </c>
      <c r="M5" s="824"/>
      <c r="N5" s="825"/>
      <c r="O5" s="825"/>
      <c r="P5" s="825"/>
      <c r="Q5" s="826"/>
      <c r="R5" s="827"/>
      <c r="S5" s="827"/>
      <c r="T5" s="827"/>
      <c r="U5" s="827"/>
      <c r="V5" s="827"/>
      <c r="W5" s="827"/>
      <c r="X5" s="827"/>
      <c r="Y5" s="828"/>
    </row>
    <row r="6" customFormat="false" ht="22.5" hidden="false" customHeight="true" outlineLevel="0" collapsed="false">
      <c r="A6" s="829" t="s">
        <v>560</v>
      </c>
      <c r="B6" s="830" t="n">
        <v>168360</v>
      </c>
      <c r="C6" s="831" t="n">
        <v>13800</v>
      </c>
      <c r="D6" s="830" t="n">
        <v>102683</v>
      </c>
      <c r="E6" s="832" t="n">
        <v>3950</v>
      </c>
      <c r="F6" s="833" t="n">
        <v>1794</v>
      </c>
      <c r="G6" s="819" t="n">
        <f aca="false">SUM(B6:F6)</f>
        <v>290587</v>
      </c>
      <c r="H6" s="820"/>
      <c r="I6" s="834" t="s">
        <v>560</v>
      </c>
      <c r="J6" s="835" t="n">
        <f aca="false">SUM(K6:Y6)</f>
        <v>706919</v>
      </c>
      <c r="K6" s="836" t="n">
        <v>154568</v>
      </c>
      <c r="L6" s="837" t="n">
        <v>226696</v>
      </c>
      <c r="M6" s="837" t="n">
        <v>246943</v>
      </c>
      <c r="N6" s="838" t="n">
        <v>45108</v>
      </c>
      <c r="O6" s="838" t="n">
        <v>19706</v>
      </c>
      <c r="P6" s="838" t="n">
        <v>13898</v>
      </c>
      <c r="Q6" s="839"/>
      <c r="R6" s="840"/>
      <c r="S6" s="840"/>
      <c r="T6" s="840"/>
      <c r="U6" s="840"/>
      <c r="V6" s="840"/>
      <c r="W6" s="840"/>
      <c r="X6" s="840"/>
      <c r="Y6" s="841"/>
    </row>
    <row r="7" customFormat="false" ht="22.5" hidden="false" customHeight="true" outlineLevel="0" collapsed="false">
      <c r="A7" s="829" t="s">
        <v>561</v>
      </c>
      <c r="B7" s="842" t="n">
        <v>363894</v>
      </c>
      <c r="C7" s="843" t="n">
        <v>29826</v>
      </c>
      <c r="D7" s="842" t="n">
        <v>223534</v>
      </c>
      <c r="E7" s="844" t="n">
        <v>3239</v>
      </c>
      <c r="F7" s="845" t="n">
        <v>1874</v>
      </c>
      <c r="G7" s="819" t="n">
        <f aca="false">SUM(B7:F7)</f>
        <v>622367</v>
      </c>
      <c r="H7" s="820"/>
      <c r="I7" s="834" t="s">
        <v>561</v>
      </c>
      <c r="J7" s="835" t="n">
        <f aca="false">SUM(K7:Y7)</f>
        <v>0</v>
      </c>
      <c r="K7" s="836"/>
      <c r="L7" s="837"/>
      <c r="M7" s="838"/>
      <c r="N7" s="838"/>
      <c r="O7" s="838"/>
      <c r="P7" s="838"/>
      <c r="Q7" s="839"/>
      <c r="R7" s="840"/>
      <c r="S7" s="840"/>
      <c r="T7" s="840"/>
      <c r="U7" s="840"/>
      <c r="V7" s="840"/>
      <c r="W7" s="840"/>
      <c r="X7" s="840"/>
      <c r="Y7" s="841"/>
    </row>
    <row r="8" customFormat="false" ht="22.5" hidden="false" customHeight="true" outlineLevel="0" collapsed="false">
      <c r="A8" s="829" t="s">
        <v>562</v>
      </c>
      <c r="B8" s="842" t="n">
        <v>503707</v>
      </c>
      <c r="C8" s="843" t="n">
        <v>41287</v>
      </c>
      <c r="D8" s="842" t="n">
        <v>285482</v>
      </c>
      <c r="E8" s="844" t="n">
        <v>3476</v>
      </c>
      <c r="F8" s="845" t="n">
        <v>6328</v>
      </c>
      <c r="G8" s="819" t="n">
        <f aca="false">SUM(B8:F8)</f>
        <v>840280</v>
      </c>
      <c r="H8" s="820"/>
      <c r="I8" s="834" t="s">
        <v>562</v>
      </c>
      <c r="J8" s="846" t="n">
        <f aca="false">SUM(K8:Y8)</f>
        <v>998736</v>
      </c>
      <c r="K8" s="838" t="n">
        <v>31116</v>
      </c>
      <c r="L8" s="837" t="n">
        <v>42525</v>
      </c>
      <c r="M8" s="837" t="n">
        <v>306631</v>
      </c>
      <c r="N8" s="838" t="n">
        <v>22818</v>
      </c>
      <c r="O8" s="838" t="n">
        <v>14728</v>
      </c>
      <c r="P8" s="838" t="n">
        <v>92738</v>
      </c>
      <c r="Q8" s="847" t="n">
        <v>212568</v>
      </c>
      <c r="R8" s="840" t="n">
        <v>91272</v>
      </c>
      <c r="S8" s="840" t="n">
        <v>145136</v>
      </c>
      <c r="T8" s="840" t="n">
        <v>39204</v>
      </c>
      <c r="U8" s="840"/>
      <c r="V8" s="840"/>
      <c r="W8" s="840"/>
      <c r="X8" s="840"/>
      <c r="Y8" s="841"/>
    </row>
    <row r="9" customFormat="false" ht="22.5" hidden="false" customHeight="true" outlineLevel="0" collapsed="false">
      <c r="A9" s="829" t="s">
        <v>563</v>
      </c>
      <c r="B9" s="842" t="n">
        <v>367830</v>
      </c>
      <c r="C9" s="843" t="n">
        <v>30150</v>
      </c>
      <c r="D9" s="842" t="n">
        <v>208471</v>
      </c>
      <c r="E9" s="844" t="n">
        <v>2844</v>
      </c>
      <c r="F9" s="845" t="n">
        <v>4621</v>
      </c>
      <c r="G9" s="819" t="n">
        <f aca="false">SUM(B9:F9)</f>
        <v>613916</v>
      </c>
      <c r="H9" s="820"/>
      <c r="I9" s="834" t="s">
        <v>563</v>
      </c>
      <c r="J9" s="835" t="n">
        <f aca="false">SUM(K9:Y9)</f>
        <v>1560321</v>
      </c>
      <c r="K9" s="836" t="n">
        <v>204420</v>
      </c>
      <c r="L9" s="837" t="n">
        <v>45636</v>
      </c>
      <c r="M9" s="837" t="n">
        <v>194191</v>
      </c>
      <c r="N9" s="838" t="n">
        <v>405404</v>
      </c>
      <c r="O9" s="838" t="n">
        <v>405404</v>
      </c>
      <c r="P9" s="838" t="n">
        <v>91272</v>
      </c>
      <c r="Q9" s="847" t="n">
        <v>19803</v>
      </c>
      <c r="R9" s="840" t="n">
        <v>194191</v>
      </c>
      <c r="S9" s="840"/>
      <c r="T9" s="840"/>
      <c r="U9" s="840"/>
      <c r="V9" s="840"/>
      <c r="W9" s="840"/>
      <c r="X9" s="840"/>
      <c r="Y9" s="841"/>
    </row>
    <row r="10" customFormat="false" ht="22.5" hidden="false" customHeight="true" outlineLevel="0" collapsed="false">
      <c r="A10" s="829" t="s">
        <v>564</v>
      </c>
      <c r="B10" s="842" t="n">
        <v>342210</v>
      </c>
      <c r="C10" s="843" t="n">
        <v>28050</v>
      </c>
      <c r="D10" s="842" t="n">
        <v>204325</v>
      </c>
      <c r="E10" s="844" t="n">
        <v>5609</v>
      </c>
      <c r="F10" s="845" t="n">
        <v>4530</v>
      </c>
      <c r="G10" s="819" t="n">
        <f aca="false">SUM(B10:F10)</f>
        <v>584724</v>
      </c>
      <c r="H10" s="820"/>
      <c r="I10" s="834" t="s">
        <v>564</v>
      </c>
      <c r="J10" s="835" t="n">
        <f aca="false">SUM(K10:Y10)</f>
        <v>1942502</v>
      </c>
      <c r="K10" s="836" t="n">
        <v>59118</v>
      </c>
      <c r="L10" s="837" t="n">
        <v>70528</v>
      </c>
      <c r="M10" s="837" t="n">
        <v>449717</v>
      </c>
      <c r="N10" s="838" t="n">
        <v>184278</v>
      </c>
      <c r="O10" s="838" t="n">
        <v>19706</v>
      </c>
      <c r="P10" s="838" t="n">
        <v>164069</v>
      </c>
      <c r="Q10" s="847" t="n">
        <v>184278</v>
      </c>
      <c r="R10" s="848" t="n">
        <v>405404</v>
      </c>
      <c r="S10" s="849" t="n">
        <v>405404</v>
      </c>
      <c r="T10" s="840"/>
      <c r="U10" s="840"/>
      <c r="V10" s="840"/>
      <c r="W10" s="840"/>
      <c r="X10" s="840"/>
      <c r="Y10" s="841"/>
    </row>
    <row r="11" customFormat="false" ht="22.5" hidden="false" customHeight="true" outlineLevel="0" collapsed="false">
      <c r="A11" s="829" t="s">
        <v>565</v>
      </c>
      <c r="B11" s="842"/>
      <c r="C11" s="843"/>
      <c r="D11" s="842"/>
      <c r="E11" s="844"/>
      <c r="F11" s="845"/>
      <c r="G11" s="819" t="n">
        <f aca="false">SUM(B11:F11)</f>
        <v>0</v>
      </c>
      <c r="H11" s="820"/>
      <c r="I11" s="834" t="s">
        <v>565</v>
      </c>
      <c r="J11" s="835" t="n">
        <f aca="false">SUM(K11:Y11)</f>
        <v>338855</v>
      </c>
      <c r="K11" s="836" t="n">
        <v>202702</v>
      </c>
      <c r="L11" s="837" t="n">
        <v>136153</v>
      </c>
      <c r="M11" s="837"/>
      <c r="N11" s="838"/>
      <c r="O11" s="838"/>
      <c r="P11" s="838"/>
      <c r="Q11" s="847"/>
      <c r="R11" s="840"/>
      <c r="S11" s="840"/>
      <c r="T11" s="840"/>
      <c r="U11" s="840"/>
      <c r="V11" s="840"/>
      <c r="W11" s="840"/>
      <c r="X11" s="840"/>
      <c r="Y11" s="841"/>
    </row>
    <row r="12" customFormat="false" ht="22.5" hidden="false" customHeight="true" outlineLevel="0" collapsed="false">
      <c r="A12" s="829" t="s">
        <v>566</v>
      </c>
      <c r="B12" s="842"/>
      <c r="C12" s="843"/>
      <c r="D12" s="842"/>
      <c r="E12" s="844"/>
      <c r="F12" s="845"/>
      <c r="G12" s="819" t="n">
        <f aca="false">SUM(B12:F12)</f>
        <v>0</v>
      </c>
      <c r="H12" s="820"/>
      <c r="I12" s="834" t="s">
        <v>566</v>
      </c>
      <c r="J12" s="835" t="n">
        <f aca="false">SUM(K12:Y12)</f>
        <v>352644</v>
      </c>
      <c r="K12" s="836" t="n">
        <v>20744</v>
      </c>
      <c r="L12" s="837" t="n">
        <v>15558</v>
      </c>
      <c r="M12" s="837" t="n">
        <v>316342</v>
      </c>
      <c r="N12" s="838"/>
      <c r="O12" s="838"/>
      <c r="P12" s="838"/>
      <c r="Q12" s="847"/>
      <c r="R12" s="840"/>
      <c r="S12" s="840"/>
      <c r="T12" s="840"/>
      <c r="U12" s="840"/>
      <c r="V12" s="840"/>
      <c r="W12" s="840"/>
      <c r="X12" s="840"/>
      <c r="Y12" s="841"/>
    </row>
    <row r="13" customFormat="false" ht="22.5" hidden="false" customHeight="true" outlineLevel="0" collapsed="false">
      <c r="A13" s="829" t="s">
        <v>567</v>
      </c>
      <c r="B13" s="842"/>
      <c r="C13" s="843"/>
      <c r="D13" s="850"/>
      <c r="E13" s="851"/>
      <c r="F13" s="818"/>
      <c r="G13" s="819" t="n">
        <f aca="false">SUM(B13:F13)</f>
        <v>0</v>
      </c>
      <c r="H13" s="820"/>
      <c r="I13" s="834" t="s">
        <v>567</v>
      </c>
      <c r="J13" s="835" t="n">
        <f aca="false">SUM(K13:Y13)</f>
        <v>0</v>
      </c>
      <c r="K13" s="836"/>
      <c r="L13" s="836"/>
      <c r="M13" s="837"/>
      <c r="N13" s="838"/>
      <c r="O13" s="838"/>
      <c r="P13" s="838"/>
      <c r="Q13" s="847"/>
      <c r="R13" s="840"/>
      <c r="S13" s="840"/>
      <c r="T13" s="840"/>
      <c r="U13" s="840"/>
      <c r="V13" s="840"/>
      <c r="W13" s="840"/>
      <c r="X13" s="840"/>
      <c r="Y13" s="841"/>
    </row>
    <row r="14" customFormat="false" ht="22.5" hidden="false" customHeight="true" outlineLevel="0" collapsed="false">
      <c r="A14" s="829" t="s">
        <v>568</v>
      </c>
      <c r="B14" s="843"/>
      <c r="C14" s="852"/>
      <c r="D14" s="842"/>
      <c r="E14" s="844"/>
      <c r="F14" s="845"/>
      <c r="G14" s="819" t="n">
        <f aca="false">SUM(B14:F14)</f>
        <v>0</v>
      </c>
      <c r="H14" s="820"/>
      <c r="I14" s="834" t="s">
        <v>568</v>
      </c>
      <c r="J14" s="835" t="n">
        <f aca="false">SUM(K14:Y14)</f>
        <v>0</v>
      </c>
      <c r="K14" s="853"/>
      <c r="L14" s="854"/>
      <c r="M14" s="837"/>
      <c r="N14" s="838"/>
      <c r="O14" s="855"/>
      <c r="P14" s="838"/>
      <c r="Q14" s="847"/>
      <c r="R14" s="840"/>
      <c r="S14" s="840"/>
      <c r="T14" s="840"/>
      <c r="U14" s="840"/>
      <c r="V14" s="840"/>
      <c r="W14" s="840"/>
      <c r="X14" s="840"/>
      <c r="Y14" s="841"/>
    </row>
    <row r="15" customFormat="false" ht="22.5" hidden="false" customHeight="true" outlineLevel="0" collapsed="false">
      <c r="A15" s="829" t="s">
        <v>569</v>
      </c>
      <c r="B15" s="830"/>
      <c r="C15" s="831"/>
      <c r="D15" s="830"/>
      <c r="E15" s="832"/>
      <c r="F15" s="833"/>
      <c r="G15" s="819" t="n">
        <f aca="false">SUM(B15:F15)</f>
        <v>0</v>
      </c>
      <c r="H15" s="820"/>
      <c r="I15" s="834" t="s">
        <v>569</v>
      </c>
      <c r="J15" s="835" t="n">
        <f aca="false">SUM(K15:Y15)</f>
        <v>0</v>
      </c>
      <c r="K15" s="853"/>
      <c r="L15" s="856"/>
      <c r="M15" s="837"/>
      <c r="N15" s="838"/>
      <c r="O15" s="838"/>
      <c r="P15" s="838"/>
      <c r="Q15" s="847"/>
      <c r="R15" s="840"/>
      <c r="S15" s="840"/>
      <c r="T15" s="840"/>
      <c r="U15" s="840"/>
      <c r="V15" s="840"/>
      <c r="W15" s="840"/>
      <c r="X15" s="840"/>
      <c r="Y15" s="841"/>
    </row>
    <row r="16" customFormat="false" ht="22.5" hidden="false" customHeight="true" outlineLevel="0" collapsed="false">
      <c r="A16" s="857" t="s">
        <v>570</v>
      </c>
      <c r="B16" s="858"/>
      <c r="C16" s="858"/>
      <c r="D16" s="858"/>
      <c r="E16" s="859"/>
      <c r="F16" s="860"/>
      <c r="G16" s="861" t="n">
        <f aca="false">SUM(B16:F16)</f>
        <v>0</v>
      </c>
      <c r="H16" s="820"/>
      <c r="I16" s="862" t="s">
        <v>570</v>
      </c>
      <c r="J16" s="863" t="n">
        <f aca="false">SUM(K16:Y16)</f>
        <v>0</v>
      </c>
      <c r="K16" s="864"/>
      <c r="L16" s="865"/>
      <c r="M16" s="865"/>
      <c r="N16" s="866"/>
      <c r="O16" s="866"/>
      <c r="P16" s="866"/>
      <c r="Q16" s="867"/>
      <c r="R16" s="868"/>
      <c r="S16" s="868"/>
      <c r="T16" s="868"/>
      <c r="U16" s="868"/>
      <c r="V16" s="868"/>
      <c r="W16" s="868"/>
      <c r="X16" s="868"/>
      <c r="Y16" s="869"/>
    </row>
    <row r="17" customFormat="false" ht="22.5" hidden="false" customHeight="true" outlineLevel="0" collapsed="false">
      <c r="A17" s="870" t="s">
        <v>571</v>
      </c>
      <c r="B17" s="871" t="n">
        <f aca="false">SUM(B5:B16)</f>
        <v>2238727</v>
      </c>
      <c r="C17" s="871" t="n">
        <f aca="false">SUM(C5:C16)</f>
        <v>183499</v>
      </c>
      <c r="D17" s="871" t="n">
        <f aca="false">SUM(D5:D16)</f>
        <v>1381718</v>
      </c>
      <c r="E17" s="872" t="n">
        <f aca="false">SUM(E5:E16)</f>
        <v>26038</v>
      </c>
      <c r="F17" s="873" t="n">
        <f aca="false">SUM(F5:F16)</f>
        <v>19147</v>
      </c>
      <c r="G17" s="874" t="n">
        <f aca="false">SUM(B17:F17)</f>
        <v>3849129</v>
      </c>
      <c r="H17" s="820"/>
      <c r="I17" s="875" t="s">
        <v>571</v>
      </c>
      <c r="J17" s="876" t="n">
        <f aca="false">SUM(J5:J16)</f>
        <v>6131548</v>
      </c>
      <c r="K17" s="877"/>
      <c r="L17" s="878"/>
      <c r="M17" s="878"/>
      <c r="N17" s="879"/>
      <c r="O17" s="879"/>
      <c r="P17" s="879"/>
      <c r="Q17" s="880"/>
      <c r="R17" s="881"/>
      <c r="S17" s="881"/>
      <c r="T17" s="881"/>
      <c r="U17" s="881"/>
      <c r="V17" s="881"/>
      <c r="W17" s="881"/>
      <c r="X17" s="881"/>
      <c r="Y17" s="882"/>
      <c r="AA17" s="883" t="n">
        <f aca="false">SUM(K5:Y16)</f>
        <v>6131548</v>
      </c>
    </row>
    <row r="18" customFormat="false" ht="28.5" hidden="false" customHeight="true" outlineLevel="0" collapsed="false">
      <c r="B18" s="820"/>
      <c r="C18" s="820"/>
      <c r="D18" s="820"/>
      <c r="E18" s="820"/>
      <c r="F18" s="820"/>
      <c r="S18" s="884"/>
    </row>
    <row r="19" s="886" customFormat="true" ht="28.5" hidden="false" customHeight="true" outlineLevel="0" collapsed="false">
      <c r="A19" s="794" t="s">
        <v>572</v>
      </c>
      <c r="B19" s="789"/>
      <c r="C19" s="789"/>
      <c r="D19" s="789"/>
      <c r="E19" s="789"/>
      <c r="F19" s="789"/>
      <c r="G19" s="795" t="s">
        <v>535</v>
      </c>
      <c r="H19" s="820"/>
      <c r="I19" s="796" t="s">
        <v>573</v>
      </c>
      <c r="J19" s="797"/>
      <c r="K19" s="885"/>
      <c r="L19" s="885"/>
      <c r="M19" s="885"/>
      <c r="N19" s="885"/>
      <c r="O19" s="885"/>
      <c r="P19" s="885"/>
      <c r="Q19" s="797"/>
      <c r="S19" s="791"/>
      <c r="Y19" s="799" t="s">
        <v>535</v>
      </c>
    </row>
    <row r="20" s="886" customFormat="true" ht="30" hidden="false" customHeight="true" outlineLevel="0" collapsed="false">
      <c r="A20" s="887" t="s">
        <v>537</v>
      </c>
      <c r="B20" s="888" t="s">
        <v>538</v>
      </c>
      <c r="C20" s="889" t="s">
        <v>539</v>
      </c>
      <c r="D20" s="888" t="s">
        <v>81</v>
      </c>
      <c r="E20" s="888" t="s">
        <v>82</v>
      </c>
      <c r="F20" s="890" t="s">
        <v>540</v>
      </c>
      <c r="G20" s="891" t="s">
        <v>541</v>
      </c>
      <c r="H20" s="820"/>
      <c r="I20" s="800" t="s">
        <v>542</v>
      </c>
      <c r="J20" s="807" t="s">
        <v>574</v>
      </c>
      <c r="K20" s="808" t="s">
        <v>544</v>
      </c>
      <c r="L20" s="809" t="s">
        <v>545</v>
      </c>
      <c r="M20" s="809" t="s">
        <v>546</v>
      </c>
      <c r="N20" s="810" t="s">
        <v>547</v>
      </c>
      <c r="O20" s="810" t="s">
        <v>548</v>
      </c>
      <c r="P20" s="810" t="s">
        <v>549</v>
      </c>
      <c r="Q20" s="811" t="s">
        <v>550</v>
      </c>
      <c r="R20" s="812" t="s">
        <v>551</v>
      </c>
      <c r="S20" s="812" t="s">
        <v>552</v>
      </c>
      <c r="T20" s="812" t="s">
        <v>553</v>
      </c>
      <c r="U20" s="812" t="s">
        <v>554</v>
      </c>
      <c r="V20" s="813" t="s">
        <v>555</v>
      </c>
      <c r="W20" s="813" t="s">
        <v>556</v>
      </c>
      <c r="X20" s="813" t="s">
        <v>557</v>
      </c>
      <c r="Y20" s="814" t="s">
        <v>558</v>
      </c>
    </row>
    <row r="21" s="886" customFormat="true" ht="23.1" hidden="false" customHeight="true" outlineLevel="0" collapsed="false">
      <c r="A21" s="892" t="s">
        <v>559</v>
      </c>
      <c r="B21" s="893" t="n">
        <f aca="false">B37+B53+J53+B70+J70+B86+J86+B102+J102</f>
        <v>0</v>
      </c>
      <c r="C21" s="893" t="n">
        <f aca="false">C37+C53+K53+C70+K70+C86+K86+C102+K102</f>
        <v>0</v>
      </c>
      <c r="D21" s="893" t="n">
        <f aca="false">D37+D53+L53+D70+L70+D86+L86+D102+L102</f>
        <v>0</v>
      </c>
      <c r="E21" s="893" t="n">
        <f aca="false">E37+E53+M53+E70+M70+E86+M86+E102+M102</f>
        <v>0</v>
      </c>
      <c r="F21" s="894" t="n">
        <f aca="false">F37+F53+N53+F70+N70+F86+N86+F102+N102</f>
        <v>0</v>
      </c>
      <c r="G21" s="895" t="n">
        <f aca="false">SUM(B21:E22)</f>
        <v>0</v>
      </c>
      <c r="H21" s="820"/>
      <c r="I21" s="821" t="s">
        <v>559</v>
      </c>
      <c r="J21" s="822" t="n">
        <f aca="false">SUM(K21:Y21)</f>
        <v>0</v>
      </c>
      <c r="K21" s="823" t="n">
        <v>0</v>
      </c>
      <c r="L21" s="824" t="n">
        <v>0</v>
      </c>
      <c r="M21" s="824"/>
      <c r="N21" s="825"/>
      <c r="O21" s="825"/>
      <c r="P21" s="825"/>
      <c r="Q21" s="824"/>
      <c r="R21" s="896"/>
      <c r="S21" s="897"/>
      <c r="T21" s="827"/>
      <c r="U21" s="827"/>
      <c r="V21" s="898"/>
      <c r="W21" s="827"/>
      <c r="X21" s="827"/>
      <c r="Y21" s="828"/>
    </row>
    <row r="22" s="886" customFormat="true" ht="23.1" hidden="false" customHeight="true" outlineLevel="0" collapsed="false">
      <c r="A22" s="899" t="s">
        <v>560</v>
      </c>
      <c r="B22" s="900" t="n">
        <f aca="false">B38+B54+J54+B71+J71+B87+J87+B103+J103</f>
        <v>0</v>
      </c>
      <c r="C22" s="893" t="n">
        <f aca="false">C38+C54+K54+C71+K71+C87+K87+C103+K103</f>
        <v>0</v>
      </c>
      <c r="D22" s="900" t="n">
        <f aca="false">D38+D54+L54+D71+L71+D87+L87+D103+L103</f>
        <v>0</v>
      </c>
      <c r="E22" s="900" t="n">
        <f aca="false">E38+E54+M54+E71+M71+E87+M87+E103+M103</f>
        <v>0</v>
      </c>
      <c r="F22" s="901" t="n">
        <f aca="false">F38+F54+N54+F71+N71+F87+N87+F103+N103</f>
        <v>0</v>
      </c>
      <c r="G22" s="895" t="n">
        <v>0</v>
      </c>
      <c r="H22" s="820"/>
      <c r="I22" s="834" t="s">
        <v>560</v>
      </c>
      <c r="J22" s="835" t="n">
        <f aca="false">SUM(K22:Y22)</f>
        <v>34534</v>
      </c>
      <c r="K22" s="836" t="n">
        <v>0</v>
      </c>
      <c r="L22" s="837" t="n">
        <v>34534</v>
      </c>
      <c r="M22" s="837" t="n">
        <v>0</v>
      </c>
      <c r="N22" s="838" t="n">
        <v>0</v>
      </c>
      <c r="O22" s="838" t="n">
        <v>0</v>
      </c>
      <c r="P22" s="838" t="n">
        <v>0</v>
      </c>
      <c r="Q22" s="902"/>
      <c r="R22" s="848"/>
      <c r="S22" s="849"/>
      <c r="T22" s="840"/>
      <c r="U22" s="840"/>
      <c r="V22" s="903"/>
      <c r="W22" s="840"/>
      <c r="X22" s="840"/>
      <c r="Y22" s="841"/>
    </row>
    <row r="23" s="886" customFormat="true" ht="23.1" hidden="false" customHeight="true" outlineLevel="0" collapsed="false">
      <c r="A23" s="899" t="s">
        <v>561</v>
      </c>
      <c r="B23" s="900" t="n">
        <f aca="false">B39+B55+J55+B72+J72+B88+J88+B104+J104</f>
        <v>0</v>
      </c>
      <c r="C23" s="893" t="n">
        <f aca="false">C39+C55+K55+C72+K72+C88+K88+C104+K104</f>
        <v>0</v>
      </c>
      <c r="D23" s="900" t="n">
        <f aca="false">D39+D55+L55+D72+L72+D88+L88+D104+L104</f>
        <v>0</v>
      </c>
      <c r="E23" s="900" t="n">
        <f aca="false">E39+E55+M55+E72+M72+E88+M88+E104+M104</f>
        <v>0</v>
      </c>
      <c r="F23" s="901" t="n">
        <f aca="false">F39+F55+N55+F72+N72+F88+N88+F104+N104</f>
        <v>0</v>
      </c>
      <c r="G23" s="895" t="n">
        <v>0</v>
      </c>
      <c r="H23" s="820"/>
      <c r="I23" s="834" t="s">
        <v>561</v>
      </c>
      <c r="J23" s="835" t="n">
        <f aca="false">SUM(K23:Y23)</f>
        <v>0</v>
      </c>
      <c r="K23" s="836"/>
      <c r="L23" s="837"/>
      <c r="M23" s="838"/>
      <c r="N23" s="838"/>
      <c r="O23" s="838"/>
      <c r="P23" s="838"/>
      <c r="Q23" s="902"/>
      <c r="R23" s="904"/>
      <c r="S23" s="849"/>
      <c r="T23" s="840"/>
      <c r="U23" s="840"/>
      <c r="V23" s="903"/>
      <c r="W23" s="840"/>
      <c r="X23" s="840"/>
      <c r="Y23" s="841"/>
    </row>
    <row r="24" s="886" customFormat="true" ht="23.1" hidden="false" customHeight="true" outlineLevel="0" collapsed="false">
      <c r="A24" s="899" t="s">
        <v>562</v>
      </c>
      <c r="B24" s="900" t="n">
        <f aca="false">B40+B56+J56+B73+J73+B89+J89+B105+J105</f>
        <v>0</v>
      </c>
      <c r="C24" s="893" t="n">
        <f aca="false">C40+C56+K56+C73+K73+C89+K89+C105+K105</f>
        <v>0</v>
      </c>
      <c r="D24" s="900" t="n">
        <f aca="false">D40+D56+L56+D73+L73+D89+L89+D105+L105</f>
        <v>0</v>
      </c>
      <c r="E24" s="900" t="n">
        <f aca="false">E40+E56+M56+E73+M73+E89+M89+E105+M105</f>
        <v>0</v>
      </c>
      <c r="F24" s="901" t="n">
        <f aca="false">F40+F56+N56+F73+N73+F89+N89+F105+N105</f>
        <v>0</v>
      </c>
      <c r="G24" s="895" t="n">
        <v>0</v>
      </c>
      <c r="H24" s="820"/>
      <c r="I24" s="834" t="s">
        <v>562</v>
      </c>
      <c r="J24" s="846" t="n">
        <f aca="false">SUM(K24:Y24)</f>
        <v>13904</v>
      </c>
      <c r="K24" s="838" t="n">
        <v>0</v>
      </c>
      <c r="L24" s="837" t="n">
        <v>0</v>
      </c>
      <c r="M24" s="837" t="n">
        <v>0</v>
      </c>
      <c r="N24" s="838" t="n">
        <v>0</v>
      </c>
      <c r="O24" s="838" t="n">
        <v>0</v>
      </c>
      <c r="P24" s="838" t="n">
        <v>0</v>
      </c>
      <c r="Q24" s="837" t="n">
        <v>0</v>
      </c>
      <c r="R24" s="848" t="n">
        <v>13904</v>
      </c>
      <c r="S24" s="849" t="n">
        <v>0</v>
      </c>
      <c r="T24" s="840" t="n">
        <v>0</v>
      </c>
      <c r="U24" s="840"/>
      <c r="V24" s="903"/>
      <c r="W24" s="840"/>
      <c r="X24" s="840"/>
      <c r="Y24" s="841"/>
    </row>
    <row r="25" s="886" customFormat="true" ht="23.1" hidden="false" customHeight="true" outlineLevel="0" collapsed="false">
      <c r="A25" s="899" t="s">
        <v>563</v>
      </c>
      <c r="B25" s="900" t="n">
        <f aca="false">B41+B57+J57+B74+J74+B90+J90+B106+J106</f>
        <v>0</v>
      </c>
      <c r="C25" s="893" t="n">
        <f aca="false">C41+C57+K57+C74+K74+C90+K90+C106+K106</f>
        <v>0</v>
      </c>
      <c r="D25" s="900" t="n">
        <f aca="false">D41+D57+L57+D74+L74+D90+L90+D106+L106</f>
        <v>0</v>
      </c>
      <c r="E25" s="900" t="n">
        <f aca="false">E41+E57+M57+E74+M74+E90+M90+E106+M106</f>
        <v>0</v>
      </c>
      <c r="F25" s="901" t="n">
        <f aca="false">F41+F57+N57+F74+N74+F90+N90+F106+N106</f>
        <v>0</v>
      </c>
      <c r="G25" s="895" t="n">
        <v>0</v>
      </c>
      <c r="H25" s="820"/>
      <c r="I25" s="834" t="s">
        <v>563</v>
      </c>
      <c r="J25" s="835" t="n">
        <f aca="false">SUM(K25:Y25)</f>
        <v>144372</v>
      </c>
      <c r="K25" s="836" t="n">
        <v>0</v>
      </c>
      <c r="L25" s="837" t="n">
        <v>6952</v>
      </c>
      <c r="M25" s="837" t="n">
        <v>0</v>
      </c>
      <c r="N25" s="838" t="n">
        <v>61758</v>
      </c>
      <c r="O25" s="838" t="n">
        <v>61758</v>
      </c>
      <c r="P25" s="838" t="n">
        <v>13904</v>
      </c>
      <c r="Q25" s="854" t="n">
        <v>0</v>
      </c>
      <c r="R25" s="848" t="n">
        <v>0</v>
      </c>
      <c r="S25" s="849"/>
      <c r="T25" s="840"/>
      <c r="U25" s="840"/>
      <c r="V25" s="903"/>
      <c r="W25" s="840"/>
      <c r="X25" s="840"/>
      <c r="Y25" s="841"/>
    </row>
    <row r="26" s="886" customFormat="true" ht="23.1" hidden="false" customHeight="true" outlineLevel="0" collapsed="false">
      <c r="A26" s="899" t="s">
        <v>564</v>
      </c>
      <c r="B26" s="900" t="n">
        <f aca="false">B42+B58+J58+B75+J75+B91+J91+B107+J107</f>
        <v>0</v>
      </c>
      <c r="C26" s="893" t="n">
        <f aca="false">C42+C58+K58+C75+K75+C91+K91+C107+K107</f>
        <v>0</v>
      </c>
      <c r="D26" s="900" t="n">
        <f aca="false">D42+D58+L58+D75+L75+D91+L91+D107+L107</f>
        <v>0</v>
      </c>
      <c r="E26" s="900" t="n">
        <f aca="false">E42+E58+M58+E75+M75+E91+M91+E107+M107</f>
        <v>0</v>
      </c>
      <c r="F26" s="901" t="n">
        <f aca="false">F42+F58+N58+F75+N75+F91+N91+F107+N107</f>
        <v>0</v>
      </c>
      <c r="G26" s="895" t="n">
        <v>0</v>
      </c>
      <c r="H26" s="820"/>
      <c r="I26" s="834" t="s">
        <v>564</v>
      </c>
      <c r="J26" s="835" t="n">
        <f aca="false">SUM(K26:Y26)</f>
        <v>220096</v>
      </c>
      <c r="K26" s="836" t="n">
        <v>0</v>
      </c>
      <c r="L26" s="837" t="n">
        <v>0</v>
      </c>
      <c r="M26" s="837" t="n">
        <v>68508</v>
      </c>
      <c r="N26" s="837" t="n">
        <v>0</v>
      </c>
      <c r="O26" s="837" t="n">
        <v>0</v>
      </c>
      <c r="P26" s="837" t="n">
        <v>0</v>
      </c>
      <c r="Q26" s="837" t="n">
        <v>28072</v>
      </c>
      <c r="R26" s="848" t="n">
        <v>61758</v>
      </c>
      <c r="S26" s="849" t="n">
        <v>61758</v>
      </c>
      <c r="T26" s="840"/>
      <c r="U26" s="840"/>
      <c r="V26" s="903"/>
      <c r="W26" s="840"/>
      <c r="X26" s="840"/>
      <c r="Y26" s="841"/>
    </row>
    <row r="27" s="886" customFormat="true" ht="23.1" hidden="false" customHeight="true" outlineLevel="0" collapsed="false">
      <c r="A27" s="899" t="s">
        <v>565</v>
      </c>
      <c r="B27" s="900" t="n">
        <f aca="false">B43+B59+J59+B76+J76+B92+J92+B108+J108</f>
        <v>0</v>
      </c>
      <c r="C27" s="893" t="n">
        <f aca="false">C43+C59+K59+C76+K76+C92+K92+C108+K108</f>
        <v>0</v>
      </c>
      <c r="D27" s="900" t="n">
        <f aca="false">D43+D59+L59+D76+L76+D92+L92+D108+L108</f>
        <v>0</v>
      </c>
      <c r="E27" s="900" t="n">
        <f aca="false">E43+E59+M59+E76+M76+E92+M92+E108+M108</f>
        <v>0</v>
      </c>
      <c r="F27" s="901" t="n">
        <f aca="false">F43+F59+N59+F76+N76+F92+N92+F108+N108</f>
        <v>0</v>
      </c>
      <c r="G27" s="895" t="n">
        <v>0</v>
      </c>
      <c r="H27" s="820"/>
      <c r="I27" s="834" t="s">
        <v>565</v>
      </c>
      <c r="J27" s="835" t="n">
        <f aca="false">SUM(K27:Y27)</f>
        <v>0</v>
      </c>
      <c r="K27" s="836" t="n">
        <v>0</v>
      </c>
      <c r="L27" s="837" t="n">
        <v>0</v>
      </c>
      <c r="M27" s="837"/>
      <c r="N27" s="837"/>
      <c r="O27" s="837"/>
      <c r="P27" s="837"/>
      <c r="Q27" s="837"/>
      <c r="R27" s="848"/>
      <c r="S27" s="849"/>
      <c r="T27" s="840"/>
      <c r="U27" s="840"/>
      <c r="V27" s="903"/>
      <c r="W27" s="840"/>
      <c r="X27" s="840"/>
      <c r="Y27" s="841"/>
    </row>
    <row r="28" s="886" customFormat="true" ht="23.1" hidden="false" customHeight="true" outlineLevel="0" collapsed="false">
      <c r="A28" s="899" t="s">
        <v>566</v>
      </c>
      <c r="B28" s="900" t="n">
        <f aca="false">B44+B60+J60+B77+J77+B93+J93+B109+J109</f>
        <v>0</v>
      </c>
      <c r="C28" s="893" t="n">
        <f aca="false">C44+C60+K60+C77+K77+C93+K93+C109+K109</f>
        <v>0</v>
      </c>
      <c r="D28" s="900" t="n">
        <f aca="false">D44+D60+L60+D77+L77+D93+L93+D109+L109</f>
        <v>0</v>
      </c>
      <c r="E28" s="900" t="n">
        <f aca="false">E44+E60+M60+E77+M77+E93+M93+E109+M109</f>
        <v>0</v>
      </c>
      <c r="F28" s="901" t="n">
        <f aca="false">F44+F60+N60+F77+N77+F93+N93+F109+N109</f>
        <v>0</v>
      </c>
      <c r="G28" s="895" t="n">
        <v>0</v>
      </c>
      <c r="H28" s="820"/>
      <c r="I28" s="834" t="s">
        <v>566</v>
      </c>
      <c r="J28" s="835" t="n">
        <f aca="false">SUM(K28:Y28)</f>
        <v>0</v>
      </c>
      <c r="K28" s="836" t="n">
        <v>0</v>
      </c>
      <c r="L28" s="837" t="n">
        <v>0</v>
      </c>
      <c r="M28" s="837" t="n">
        <v>0</v>
      </c>
      <c r="N28" s="837"/>
      <c r="O28" s="837"/>
      <c r="P28" s="837"/>
      <c r="Q28" s="837"/>
      <c r="R28" s="848"/>
      <c r="S28" s="849"/>
      <c r="T28" s="840"/>
      <c r="U28" s="840"/>
      <c r="V28" s="903"/>
      <c r="W28" s="840"/>
      <c r="X28" s="840"/>
      <c r="Y28" s="841"/>
    </row>
    <row r="29" s="886" customFormat="true" ht="23.1" hidden="false" customHeight="true" outlineLevel="0" collapsed="false">
      <c r="A29" s="899" t="s">
        <v>567</v>
      </c>
      <c r="B29" s="900" t="n">
        <f aca="false">B45+B61+J61+B78+J78+B94+J94+B110+J110</f>
        <v>0</v>
      </c>
      <c r="C29" s="893" t="n">
        <f aca="false">C45+C61+K61+C78+K78+C94+K94+C110+K110</f>
        <v>0</v>
      </c>
      <c r="D29" s="900" t="n">
        <f aca="false">D45+D61+L61+D78+L78+D94+L94+D110+L110</f>
        <v>0</v>
      </c>
      <c r="E29" s="900" t="n">
        <f aca="false">E45+E61+M61+E78+M78+E94+M94+E110+M110</f>
        <v>0</v>
      </c>
      <c r="F29" s="901" t="n">
        <f aca="false">F45+F61+N61+F78+N78+F94+N94+F110+N110</f>
        <v>0</v>
      </c>
      <c r="G29" s="895" t="n">
        <v>0</v>
      </c>
      <c r="H29" s="820"/>
      <c r="I29" s="834" t="s">
        <v>567</v>
      </c>
      <c r="J29" s="835" t="n">
        <f aca="false">SUM(K29:Y29)</f>
        <v>0</v>
      </c>
      <c r="K29" s="836"/>
      <c r="L29" s="837"/>
      <c r="M29" s="837"/>
      <c r="N29" s="837"/>
      <c r="O29" s="837"/>
      <c r="P29" s="837"/>
      <c r="Q29" s="837"/>
      <c r="R29" s="848"/>
      <c r="S29" s="849"/>
      <c r="T29" s="840"/>
      <c r="U29" s="840"/>
      <c r="V29" s="903"/>
      <c r="W29" s="840"/>
      <c r="X29" s="840"/>
      <c r="Y29" s="841"/>
    </row>
    <row r="30" s="886" customFormat="true" ht="23.1" hidden="false" customHeight="true" outlineLevel="0" collapsed="false">
      <c r="A30" s="899" t="s">
        <v>568</v>
      </c>
      <c r="B30" s="900" t="n">
        <f aca="false">B46+B62+J62+B79+J79+B95+J95+B111+J111</f>
        <v>0</v>
      </c>
      <c r="C30" s="893" t="n">
        <f aca="false">C46+C62+K62+C79+K79+C95+K95+C111+K111</f>
        <v>0</v>
      </c>
      <c r="D30" s="900" t="n">
        <f aca="false">D46+D62+L62+D79+L79+D95+L95+D111+L111</f>
        <v>0</v>
      </c>
      <c r="E30" s="900" t="n">
        <f aca="false">E46+E62+M62+E79+M79+E95+M95+E111+M111</f>
        <v>0</v>
      </c>
      <c r="F30" s="901" t="n">
        <f aca="false">F46+F62+N62+F79+N79+F95+N95+F111+N111</f>
        <v>0</v>
      </c>
      <c r="G30" s="895" t="n">
        <v>0</v>
      </c>
      <c r="H30" s="820"/>
      <c r="I30" s="834" t="s">
        <v>568</v>
      </c>
      <c r="J30" s="835" t="n">
        <f aca="false">SUM(K30:Y30)</f>
        <v>0</v>
      </c>
      <c r="K30" s="836"/>
      <c r="L30" s="854"/>
      <c r="M30" s="837"/>
      <c r="N30" s="838"/>
      <c r="O30" s="838"/>
      <c r="P30" s="838"/>
      <c r="Q30" s="837"/>
      <c r="R30" s="848"/>
      <c r="S30" s="849"/>
      <c r="T30" s="840"/>
      <c r="U30" s="840"/>
      <c r="V30" s="903"/>
      <c r="W30" s="840"/>
      <c r="X30" s="840"/>
      <c r="Y30" s="841"/>
    </row>
    <row r="31" s="886" customFormat="true" ht="23.1" hidden="false" customHeight="true" outlineLevel="0" collapsed="false">
      <c r="A31" s="899" t="s">
        <v>569</v>
      </c>
      <c r="B31" s="900" t="n">
        <f aca="false">B47+B63+J63+B80+J80+B96+J96+B112+J112</f>
        <v>0</v>
      </c>
      <c r="C31" s="893" t="n">
        <f aca="false">C47+C63+K63+C80+K80+C96+K96+C112+K112</f>
        <v>0</v>
      </c>
      <c r="D31" s="900" t="n">
        <f aca="false">D47+D63+L63+D80+L80+D96+L96+D112+L112</f>
        <v>0</v>
      </c>
      <c r="E31" s="900" t="n">
        <f aca="false">E47+E63+M63+E80+M80+E96+M96+E112+M112</f>
        <v>0</v>
      </c>
      <c r="F31" s="901" t="n">
        <f aca="false">F47+F63+N63+F80+N80+F96+N96+F112+N112</f>
        <v>0</v>
      </c>
      <c r="G31" s="895" t="n">
        <v>0</v>
      </c>
      <c r="H31" s="820"/>
      <c r="I31" s="834" t="s">
        <v>569</v>
      </c>
      <c r="J31" s="835" t="n">
        <f aca="false">SUM(K31:Y31)</f>
        <v>0</v>
      </c>
      <c r="K31" s="836"/>
      <c r="L31" s="837"/>
      <c r="M31" s="837"/>
      <c r="N31" s="838"/>
      <c r="O31" s="838"/>
      <c r="P31" s="838"/>
      <c r="Q31" s="837"/>
      <c r="R31" s="848"/>
      <c r="S31" s="849"/>
      <c r="T31" s="840"/>
      <c r="U31" s="840"/>
      <c r="V31" s="903"/>
      <c r="W31" s="840"/>
      <c r="X31" s="840"/>
      <c r="Y31" s="841"/>
    </row>
    <row r="32" s="886" customFormat="true" ht="23.1" hidden="false" customHeight="true" outlineLevel="0" collapsed="false">
      <c r="A32" s="905" t="s">
        <v>570</v>
      </c>
      <c r="B32" s="906" t="n">
        <f aca="false">B48+B64+J64+B81+J81+B97+J97+B113+J113</f>
        <v>0</v>
      </c>
      <c r="C32" s="906" t="n">
        <f aca="false">C48+C64+K64+C81+K81+C97+K97+C113+K113</f>
        <v>0</v>
      </c>
      <c r="D32" s="906" t="n">
        <f aca="false">D48+D64+L64+D81+L81+D97+L97+D113+L113</f>
        <v>0</v>
      </c>
      <c r="E32" s="906" t="n">
        <f aca="false">E48+E64+M64+E81+M81+E97+M97+E113+M113</f>
        <v>0</v>
      </c>
      <c r="F32" s="907" t="n">
        <f aca="false">F48+F64+N64+F81+N81+F97+N97+F113+N113</f>
        <v>0</v>
      </c>
      <c r="G32" s="908" t="n">
        <v>0</v>
      </c>
      <c r="H32" s="820"/>
      <c r="I32" s="862" t="s">
        <v>570</v>
      </c>
      <c r="J32" s="863" t="n">
        <f aca="false">SUM(K32:Y32)</f>
        <v>0</v>
      </c>
      <c r="K32" s="864"/>
      <c r="L32" s="865"/>
      <c r="M32" s="865"/>
      <c r="N32" s="866"/>
      <c r="O32" s="866"/>
      <c r="P32" s="866"/>
      <c r="Q32" s="865"/>
      <c r="R32" s="909"/>
      <c r="S32" s="910"/>
      <c r="T32" s="868"/>
      <c r="U32" s="868"/>
      <c r="V32" s="911"/>
      <c r="W32" s="868"/>
      <c r="X32" s="868"/>
      <c r="Y32" s="869"/>
    </row>
    <row r="33" s="886" customFormat="true" ht="23.1" hidden="false" customHeight="true" outlineLevel="0" collapsed="false">
      <c r="A33" s="912" t="s">
        <v>571</v>
      </c>
      <c r="B33" s="913" t="n">
        <f aca="false">SUM(B21:B32)</f>
        <v>0</v>
      </c>
      <c r="C33" s="913" t="n">
        <f aca="false">SUM(C21:C32)</f>
        <v>0</v>
      </c>
      <c r="D33" s="913" t="n">
        <f aca="false">SUM(D21:D32)</f>
        <v>0</v>
      </c>
      <c r="E33" s="913" t="n">
        <f aca="false">SUM(E21:E32)</f>
        <v>0</v>
      </c>
      <c r="F33" s="913" t="n">
        <f aca="false">SUM(F21:F32)</f>
        <v>0</v>
      </c>
      <c r="G33" s="914" t="n">
        <f aca="false">SUM(B33:F33)</f>
        <v>0</v>
      </c>
      <c r="H33" s="820"/>
      <c r="I33" s="875" t="s">
        <v>571</v>
      </c>
      <c r="J33" s="876" t="n">
        <f aca="false">SUM(J21:J32)</f>
        <v>412906</v>
      </c>
      <c r="K33" s="877"/>
      <c r="L33" s="878"/>
      <c r="M33" s="878"/>
      <c r="N33" s="879"/>
      <c r="O33" s="879"/>
      <c r="P33" s="879"/>
      <c r="Q33" s="915"/>
      <c r="R33" s="916"/>
      <c r="S33" s="917"/>
      <c r="T33" s="881"/>
      <c r="U33" s="881"/>
      <c r="V33" s="918"/>
      <c r="W33" s="881"/>
      <c r="X33" s="881"/>
      <c r="Y33" s="882"/>
      <c r="AA33" s="919" t="n">
        <f aca="false">SUM(K21:Y32)</f>
        <v>412906</v>
      </c>
    </row>
    <row r="34" s="886" customFormat="true" ht="10.5" hidden="false" customHeight="true" outlineLevel="0" collapsed="false">
      <c r="A34" s="789"/>
      <c r="B34" s="790"/>
      <c r="C34" s="790"/>
      <c r="D34" s="790"/>
      <c r="E34" s="790"/>
      <c r="F34" s="790"/>
      <c r="G34" s="790"/>
      <c r="H34" s="790"/>
      <c r="I34" s="790"/>
      <c r="J34" s="790"/>
      <c r="K34" s="790"/>
      <c r="L34" s="790"/>
      <c r="M34" s="789"/>
      <c r="N34" s="789"/>
      <c r="O34" s="789"/>
      <c r="P34" s="789"/>
      <c r="Q34" s="789"/>
      <c r="R34" s="790"/>
      <c r="S34" s="791"/>
    </row>
    <row r="35" s="886" customFormat="true" ht="28.5" hidden="false" customHeight="true" outlineLevel="0" collapsed="false">
      <c r="A35" s="920" t="s">
        <v>575</v>
      </c>
      <c r="B35" s="921"/>
      <c r="C35" s="922" t="s">
        <v>576</v>
      </c>
      <c r="D35" s="922"/>
      <c r="E35" s="922"/>
      <c r="F35" s="923"/>
      <c r="G35" s="924" t="s">
        <v>535</v>
      </c>
      <c r="H35" s="820"/>
      <c r="I35" s="796" t="s">
        <v>577</v>
      </c>
      <c r="J35" s="797"/>
      <c r="K35" s="885"/>
      <c r="L35" s="885"/>
      <c r="M35" s="885"/>
      <c r="N35" s="885"/>
      <c r="O35" s="885"/>
      <c r="P35" s="885"/>
      <c r="Q35" s="797"/>
      <c r="S35" s="791"/>
      <c r="Y35" s="799" t="s">
        <v>535</v>
      </c>
    </row>
    <row r="36" s="886" customFormat="true" ht="30" hidden="false" customHeight="true" outlineLevel="0" collapsed="false">
      <c r="A36" s="800" t="s">
        <v>537</v>
      </c>
      <c r="B36" s="801" t="s">
        <v>538</v>
      </c>
      <c r="C36" s="802" t="s">
        <v>539</v>
      </c>
      <c r="D36" s="801" t="s">
        <v>81</v>
      </c>
      <c r="E36" s="803" t="s">
        <v>82</v>
      </c>
      <c r="F36" s="804" t="str">
        <f aca="false">F20</f>
        <v>子ども・子育て支援</v>
      </c>
      <c r="G36" s="925" t="s">
        <v>541</v>
      </c>
      <c r="H36" s="820"/>
      <c r="I36" s="800" t="s">
        <v>542</v>
      </c>
      <c r="J36" s="807" t="s">
        <v>574</v>
      </c>
      <c r="K36" s="808" t="s">
        <v>544</v>
      </c>
      <c r="L36" s="809" t="s">
        <v>545</v>
      </c>
      <c r="M36" s="809" t="s">
        <v>546</v>
      </c>
      <c r="N36" s="810" t="s">
        <v>547</v>
      </c>
      <c r="O36" s="810" t="s">
        <v>548</v>
      </c>
      <c r="P36" s="810" t="s">
        <v>549</v>
      </c>
      <c r="Q36" s="811" t="s">
        <v>550</v>
      </c>
      <c r="R36" s="812" t="s">
        <v>551</v>
      </c>
      <c r="S36" s="812" t="s">
        <v>552</v>
      </c>
      <c r="T36" s="812" t="s">
        <v>553</v>
      </c>
      <c r="U36" s="812" t="s">
        <v>554</v>
      </c>
      <c r="V36" s="813" t="s">
        <v>555</v>
      </c>
      <c r="W36" s="813" t="s">
        <v>556</v>
      </c>
      <c r="X36" s="813" t="s">
        <v>557</v>
      </c>
      <c r="Y36" s="814" t="s">
        <v>558</v>
      </c>
    </row>
    <row r="37" s="886" customFormat="true" ht="23.1" hidden="false" customHeight="true" outlineLevel="0" collapsed="false">
      <c r="A37" s="926" t="s">
        <v>559</v>
      </c>
      <c r="B37" s="843"/>
      <c r="C37" s="843"/>
      <c r="D37" s="843"/>
      <c r="E37" s="817"/>
      <c r="F37" s="818"/>
      <c r="G37" s="819" t="n">
        <f aca="false">SUM(B37:F37)</f>
        <v>0</v>
      </c>
      <c r="H37" s="820"/>
      <c r="I37" s="821" t="s">
        <v>559</v>
      </c>
      <c r="J37" s="822" t="n">
        <f aca="false">SUM(K37:Y37)</f>
        <v>5135</v>
      </c>
      <c r="K37" s="823" t="n">
        <v>271</v>
      </c>
      <c r="L37" s="824" t="n">
        <v>4864</v>
      </c>
      <c r="M37" s="824"/>
      <c r="N37" s="825"/>
      <c r="O37" s="825"/>
      <c r="P37" s="825"/>
      <c r="Q37" s="824"/>
      <c r="R37" s="896"/>
      <c r="S37" s="897"/>
      <c r="T37" s="827"/>
      <c r="U37" s="827"/>
      <c r="V37" s="898"/>
      <c r="W37" s="827"/>
      <c r="X37" s="827"/>
      <c r="Y37" s="828"/>
    </row>
    <row r="38" s="886" customFormat="true" ht="23.1" hidden="false" customHeight="true" outlineLevel="0" collapsed="false">
      <c r="A38" s="829" t="s">
        <v>560</v>
      </c>
      <c r="B38" s="843"/>
      <c r="C38" s="843"/>
      <c r="D38" s="843"/>
      <c r="E38" s="832"/>
      <c r="F38" s="833"/>
      <c r="G38" s="819" t="n">
        <f aca="false">SUM(B38:F38)</f>
        <v>0</v>
      </c>
      <c r="H38" s="820"/>
      <c r="I38" s="834" t="s">
        <v>560</v>
      </c>
      <c r="J38" s="835" t="n">
        <f aca="false">SUM(K38:Y38)</f>
        <v>14676</v>
      </c>
      <c r="K38" s="836" t="n">
        <v>3428</v>
      </c>
      <c r="L38" s="837" t="n">
        <v>5027</v>
      </c>
      <c r="M38" s="837" t="n">
        <v>5476</v>
      </c>
      <c r="N38" s="838" t="n">
        <v>0</v>
      </c>
      <c r="O38" s="838" t="n">
        <v>437</v>
      </c>
      <c r="P38" s="838" t="n">
        <v>308</v>
      </c>
      <c r="Q38" s="902"/>
      <c r="R38" s="848"/>
      <c r="S38" s="849"/>
      <c r="T38" s="840"/>
      <c r="U38" s="840"/>
      <c r="V38" s="903"/>
      <c r="W38" s="840"/>
      <c r="X38" s="840"/>
      <c r="Y38" s="841"/>
    </row>
    <row r="39" s="886" customFormat="true" ht="23.1" hidden="false" customHeight="true" outlineLevel="0" collapsed="false">
      <c r="A39" s="829" t="s">
        <v>561</v>
      </c>
      <c r="B39" s="842"/>
      <c r="C39" s="843"/>
      <c r="D39" s="842"/>
      <c r="E39" s="844"/>
      <c r="F39" s="845"/>
      <c r="G39" s="819" t="n">
        <f aca="false">SUM(B39:F39)</f>
        <v>0</v>
      </c>
      <c r="H39" s="820"/>
      <c r="I39" s="834" t="s">
        <v>561</v>
      </c>
      <c r="J39" s="835" t="n">
        <f aca="false">SUM(K39:Y39)</f>
        <v>0</v>
      </c>
      <c r="K39" s="836"/>
      <c r="L39" s="837"/>
      <c r="M39" s="838"/>
      <c r="N39" s="838"/>
      <c r="O39" s="838"/>
      <c r="P39" s="838"/>
      <c r="Q39" s="902"/>
      <c r="R39" s="904"/>
      <c r="S39" s="849"/>
      <c r="T39" s="840"/>
      <c r="U39" s="840"/>
      <c r="V39" s="903"/>
      <c r="W39" s="840"/>
      <c r="X39" s="840"/>
      <c r="Y39" s="841"/>
    </row>
    <row r="40" s="886" customFormat="true" ht="23.1" hidden="false" customHeight="true" outlineLevel="0" collapsed="false">
      <c r="A40" s="829" t="s">
        <v>562</v>
      </c>
      <c r="B40" s="842"/>
      <c r="C40" s="843"/>
      <c r="D40" s="842"/>
      <c r="E40" s="844"/>
      <c r="F40" s="845"/>
      <c r="G40" s="819" t="n">
        <f aca="false">SUM(B40:F40)</f>
        <v>0</v>
      </c>
      <c r="H40" s="820"/>
      <c r="I40" s="834" t="s">
        <v>562</v>
      </c>
      <c r="J40" s="846" t="n">
        <f aca="false">SUM(K40:Y40)</f>
        <v>22140</v>
      </c>
      <c r="K40" s="838" t="n">
        <v>690</v>
      </c>
      <c r="L40" s="837" t="n">
        <v>943</v>
      </c>
      <c r="M40" s="837" t="n">
        <v>6800</v>
      </c>
      <c r="N40" s="838" t="n">
        <v>506</v>
      </c>
      <c r="O40" s="838" t="n">
        <v>326</v>
      </c>
      <c r="P40" s="838" t="n">
        <v>2057</v>
      </c>
      <c r="Q40" s="837" t="n">
        <v>4714</v>
      </c>
      <c r="R40" s="848" t="n">
        <v>2024</v>
      </c>
      <c r="S40" s="849" t="n">
        <v>3213</v>
      </c>
      <c r="T40" s="840" t="n">
        <v>867</v>
      </c>
      <c r="U40" s="840"/>
      <c r="V40" s="903"/>
      <c r="W40" s="840"/>
      <c r="X40" s="840"/>
      <c r="Y40" s="841"/>
    </row>
    <row r="41" s="886" customFormat="true" ht="23.1" hidden="false" customHeight="true" outlineLevel="0" collapsed="false">
      <c r="A41" s="829" t="s">
        <v>563</v>
      </c>
      <c r="B41" s="842"/>
      <c r="C41" s="843"/>
      <c r="D41" s="842"/>
      <c r="E41" s="844"/>
      <c r="F41" s="845"/>
      <c r="G41" s="819" t="n">
        <f aca="false">SUM(B41:F41)</f>
        <v>0</v>
      </c>
      <c r="H41" s="820"/>
      <c r="I41" s="834" t="s">
        <v>563</v>
      </c>
      <c r="J41" s="835" t="n">
        <f aca="false">SUM(K41:Y41)</f>
        <v>34161</v>
      </c>
      <c r="K41" s="836" t="n">
        <v>4533</v>
      </c>
      <c r="L41" s="837" t="n">
        <v>1012</v>
      </c>
      <c r="M41" s="837" t="n">
        <v>4306</v>
      </c>
      <c r="N41" s="838" t="n">
        <v>8990</v>
      </c>
      <c r="O41" s="838" t="n">
        <v>8990</v>
      </c>
      <c r="P41" s="838" t="n">
        <v>2024</v>
      </c>
      <c r="Q41" s="854" t="n">
        <v>0</v>
      </c>
      <c r="R41" s="848" t="n">
        <v>4306</v>
      </c>
      <c r="S41" s="849"/>
      <c r="T41" s="840"/>
      <c r="U41" s="840"/>
      <c r="V41" s="903"/>
      <c r="W41" s="840"/>
      <c r="X41" s="840"/>
      <c r="Y41" s="841"/>
    </row>
    <row r="42" s="886" customFormat="true" ht="23.1" hidden="false" customHeight="true" outlineLevel="0" collapsed="false">
      <c r="A42" s="829" t="s">
        <v>564</v>
      </c>
      <c r="B42" s="842"/>
      <c r="C42" s="843"/>
      <c r="D42" s="842"/>
      <c r="E42" s="844"/>
      <c r="F42" s="845"/>
      <c r="G42" s="819" t="n">
        <f aca="false">SUM(B42:F42)</f>
        <v>0</v>
      </c>
      <c r="H42" s="820"/>
      <c r="I42" s="834" t="s">
        <v>564</v>
      </c>
      <c r="J42" s="835" t="n">
        <f aca="false">SUM(K42:Y42)</f>
        <v>43075</v>
      </c>
      <c r="K42" s="836" t="n">
        <v>1311</v>
      </c>
      <c r="L42" s="837" t="n">
        <v>1564</v>
      </c>
      <c r="M42" s="837" t="n">
        <v>9973</v>
      </c>
      <c r="N42" s="837" t="n">
        <v>4086</v>
      </c>
      <c r="O42" s="837" t="n">
        <v>437</v>
      </c>
      <c r="P42" s="837" t="n">
        <v>3638</v>
      </c>
      <c r="Q42" s="837" t="n">
        <v>4086</v>
      </c>
      <c r="R42" s="848" t="n">
        <v>8990</v>
      </c>
      <c r="S42" s="849" t="n">
        <v>8990</v>
      </c>
      <c r="T42" s="840"/>
      <c r="U42" s="840"/>
      <c r="V42" s="903"/>
      <c r="W42" s="840"/>
      <c r="X42" s="840"/>
      <c r="Y42" s="841"/>
    </row>
    <row r="43" s="886" customFormat="true" ht="23.1" hidden="false" customHeight="true" outlineLevel="0" collapsed="false">
      <c r="A43" s="829" t="s">
        <v>565</v>
      </c>
      <c r="B43" s="842"/>
      <c r="C43" s="843"/>
      <c r="D43" s="842"/>
      <c r="E43" s="844"/>
      <c r="F43" s="845"/>
      <c r="G43" s="819" t="n">
        <f aca="false">SUM(B43:F43)</f>
        <v>0</v>
      </c>
      <c r="H43" s="820"/>
      <c r="I43" s="834" t="s">
        <v>565</v>
      </c>
      <c r="J43" s="835" t="n">
        <f aca="false">SUM(K43:Y43)</f>
        <v>7514</v>
      </c>
      <c r="K43" s="836" t="n">
        <v>4495</v>
      </c>
      <c r="L43" s="837" t="n">
        <v>3019</v>
      </c>
      <c r="M43" s="837"/>
      <c r="N43" s="837"/>
      <c r="O43" s="837"/>
      <c r="P43" s="837"/>
      <c r="Q43" s="837"/>
      <c r="R43" s="848"/>
      <c r="S43" s="849"/>
      <c r="T43" s="840"/>
      <c r="U43" s="840"/>
      <c r="V43" s="903"/>
      <c r="W43" s="840"/>
      <c r="X43" s="840"/>
      <c r="Y43" s="841"/>
    </row>
    <row r="44" s="886" customFormat="true" ht="23.1" hidden="false" customHeight="true" outlineLevel="0" collapsed="false">
      <c r="A44" s="829" t="s">
        <v>566</v>
      </c>
      <c r="B44" s="842"/>
      <c r="C44" s="843"/>
      <c r="D44" s="842"/>
      <c r="E44" s="844"/>
      <c r="F44" s="845"/>
      <c r="G44" s="819" t="n">
        <f aca="false">SUM(B44:F44)</f>
        <v>0</v>
      </c>
      <c r="H44" s="820"/>
      <c r="I44" s="834" t="s">
        <v>566</v>
      </c>
      <c r="J44" s="835" t="n">
        <f aca="false">SUM(K44:Y44)</f>
        <v>7820</v>
      </c>
      <c r="K44" s="836" t="n">
        <v>460</v>
      </c>
      <c r="L44" s="837" t="n">
        <v>345</v>
      </c>
      <c r="M44" s="837" t="n">
        <v>7015</v>
      </c>
      <c r="N44" s="837"/>
      <c r="O44" s="837"/>
      <c r="P44" s="837"/>
      <c r="Q44" s="837"/>
      <c r="R44" s="848"/>
      <c r="S44" s="849"/>
      <c r="T44" s="840"/>
      <c r="U44" s="840"/>
      <c r="V44" s="903"/>
      <c r="W44" s="840"/>
      <c r="X44" s="840"/>
      <c r="Y44" s="841"/>
    </row>
    <row r="45" s="886" customFormat="true" ht="23.1" hidden="false" customHeight="true" outlineLevel="0" collapsed="false">
      <c r="A45" s="829" t="s">
        <v>567</v>
      </c>
      <c r="B45" s="927"/>
      <c r="C45" s="928"/>
      <c r="D45" s="929"/>
      <c r="E45" s="851"/>
      <c r="F45" s="818"/>
      <c r="G45" s="819" t="n">
        <f aca="false">SUM(B45:F45)</f>
        <v>0</v>
      </c>
      <c r="H45" s="820"/>
      <c r="I45" s="834" t="s">
        <v>567</v>
      </c>
      <c r="J45" s="835" t="n">
        <f aca="false">SUM(K45:Y45)</f>
        <v>0</v>
      </c>
      <c r="K45" s="836"/>
      <c r="L45" s="837"/>
      <c r="M45" s="837"/>
      <c r="N45" s="837"/>
      <c r="O45" s="837"/>
      <c r="P45" s="837"/>
      <c r="Q45" s="837"/>
      <c r="R45" s="848"/>
      <c r="S45" s="849"/>
      <c r="T45" s="840"/>
      <c r="U45" s="840"/>
      <c r="V45" s="903"/>
      <c r="W45" s="840"/>
      <c r="X45" s="840"/>
      <c r="Y45" s="841"/>
    </row>
    <row r="46" s="886" customFormat="true" ht="23.1" hidden="false" customHeight="true" outlineLevel="0" collapsed="false">
      <c r="A46" s="829" t="s">
        <v>568</v>
      </c>
      <c r="B46" s="927"/>
      <c r="C46" s="928"/>
      <c r="D46" s="927"/>
      <c r="E46" s="844"/>
      <c r="F46" s="845"/>
      <c r="G46" s="819" t="n">
        <f aca="false">SUM(B46:F46)</f>
        <v>0</v>
      </c>
      <c r="H46" s="820"/>
      <c r="I46" s="834" t="s">
        <v>568</v>
      </c>
      <c r="J46" s="835" t="n">
        <f aca="false">SUM(K46:Y46)</f>
        <v>0</v>
      </c>
      <c r="K46" s="836"/>
      <c r="L46" s="854"/>
      <c r="M46" s="837"/>
      <c r="N46" s="838"/>
      <c r="O46" s="838"/>
      <c r="P46" s="838"/>
      <c r="Q46" s="837"/>
      <c r="R46" s="848"/>
      <c r="S46" s="849"/>
      <c r="T46" s="840"/>
      <c r="U46" s="840"/>
      <c r="V46" s="903"/>
      <c r="W46" s="840"/>
      <c r="X46" s="840"/>
      <c r="Y46" s="841"/>
    </row>
    <row r="47" s="886" customFormat="true" ht="23.1" hidden="false" customHeight="true" outlineLevel="0" collapsed="false">
      <c r="A47" s="829" t="s">
        <v>569</v>
      </c>
      <c r="B47" s="927"/>
      <c r="C47" s="928"/>
      <c r="D47" s="927"/>
      <c r="E47" s="832"/>
      <c r="F47" s="833"/>
      <c r="G47" s="819" t="n">
        <f aca="false">SUM(B47:F47)</f>
        <v>0</v>
      </c>
      <c r="H47" s="820"/>
      <c r="I47" s="834" t="s">
        <v>569</v>
      </c>
      <c r="J47" s="835" t="n">
        <f aca="false">SUM(K47:Y47)</f>
        <v>0</v>
      </c>
      <c r="K47" s="836"/>
      <c r="L47" s="837"/>
      <c r="M47" s="837"/>
      <c r="N47" s="838"/>
      <c r="O47" s="838"/>
      <c r="P47" s="838"/>
      <c r="Q47" s="837"/>
      <c r="R47" s="848"/>
      <c r="S47" s="849"/>
      <c r="T47" s="840"/>
      <c r="U47" s="840"/>
      <c r="V47" s="903"/>
      <c r="W47" s="840"/>
      <c r="X47" s="840"/>
      <c r="Y47" s="841"/>
    </row>
    <row r="48" s="886" customFormat="true" ht="23.1" hidden="false" customHeight="true" outlineLevel="0" collapsed="false">
      <c r="A48" s="930" t="s">
        <v>570</v>
      </c>
      <c r="B48" s="931"/>
      <c r="C48" s="931"/>
      <c r="D48" s="932"/>
      <c r="E48" s="859"/>
      <c r="F48" s="860"/>
      <c r="G48" s="861" t="n">
        <f aca="false">SUM(B48:F48)</f>
        <v>0</v>
      </c>
      <c r="H48" s="820"/>
      <c r="I48" s="862" t="s">
        <v>570</v>
      </c>
      <c r="J48" s="863" t="n">
        <f aca="false">SUM(K48:Y48)</f>
        <v>0</v>
      </c>
      <c r="K48" s="864"/>
      <c r="L48" s="865"/>
      <c r="M48" s="865"/>
      <c r="N48" s="866"/>
      <c r="O48" s="866"/>
      <c r="P48" s="866"/>
      <c r="Q48" s="865"/>
      <c r="R48" s="909"/>
      <c r="S48" s="910"/>
      <c r="T48" s="868"/>
      <c r="U48" s="868"/>
      <c r="V48" s="911"/>
      <c r="W48" s="868"/>
      <c r="X48" s="868"/>
      <c r="Y48" s="869"/>
    </row>
    <row r="49" s="886" customFormat="true" ht="23.1" hidden="false" customHeight="true" outlineLevel="0" collapsed="false">
      <c r="A49" s="933" t="s">
        <v>571</v>
      </c>
      <c r="B49" s="934" t="n">
        <f aca="false">SUM(B37:B48)</f>
        <v>0</v>
      </c>
      <c r="C49" s="934" t="n">
        <f aca="false">SUM(C37:C48)</f>
        <v>0</v>
      </c>
      <c r="D49" s="934" t="n">
        <f aca="false">SUM(D37:D48)</f>
        <v>0</v>
      </c>
      <c r="E49" s="872" t="n">
        <f aca="false">SUM(E37:E48)</f>
        <v>0</v>
      </c>
      <c r="F49" s="873" t="n">
        <f aca="false">SUM(F37:F48)</f>
        <v>0</v>
      </c>
      <c r="G49" s="874" t="n">
        <f aca="false">SUM(B49:F49)</f>
        <v>0</v>
      </c>
      <c r="H49" s="820"/>
      <c r="I49" s="875" t="s">
        <v>571</v>
      </c>
      <c r="J49" s="876" t="n">
        <f aca="false">SUM(J37:J48)</f>
        <v>134521</v>
      </c>
      <c r="K49" s="877"/>
      <c r="L49" s="878"/>
      <c r="M49" s="878"/>
      <c r="N49" s="879"/>
      <c r="O49" s="879"/>
      <c r="P49" s="879"/>
      <c r="Q49" s="915"/>
      <c r="R49" s="916"/>
      <c r="S49" s="917"/>
      <c r="T49" s="881"/>
      <c r="U49" s="881"/>
      <c r="V49" s="918"/>
      <c r="W49" s="881"/>
      <c r="X49" s="881"/>
      <c r="Y49" s="882"/>
      <c r="AA49" s="919" t="n">
        <f aca="false">SUM(K37:Y48)</f>
        <v>134521</v>
      </c>
    </row>
    <row r="50" s="886" customFormat="true" ht="9" hidden="false" customHeight="true" outlineLevel="0" collapsed="false">
      <c r="A50" s="789"/>
      <c r="B50" s="790"/>
      <c r="C50" s="790"/>
      <c r="D50" s="790"/>
      <c r="E50" s="790"/>
      <c r="F50" s="790"/>
      <c r="G50" s="790"/>
      <c r="H50" s="790"/>
      <c r="I50" s="790"/>
      <c r="J50" s="790"/>
      <c r="K50" s="790"/>
      <c r="L50" s="790"/>
      <c r="M50" s="789"/>
      <c r="N50" s="789"/>
      <c r="O50" s="789"/>
      <c r="P50" s="789"/>
      <c r="Q50" s="789"/>
      <c r="R50" s="790"/>
      <c r="S50" s="791"/>
    </row>
    <row r="51" s="941" customFormat="true" ht="23.1" hidden="false" customHeight="true" outlineLevel="0" collapsed="false">
      <c r="A51" s="920" t="s">
        <v>575</v>
      </c>
      <c r="B51" s="921"/>
      <c r="C51" s="922" t="s">
        <v>576</v>
      </c>
      <c r="D51" s="922"/>
      <c r="E51" s="922"/>
      <c r="F51" s="923"/>
      <c r="G51" s="924" t="s">
        <v>535</v>
      </c>
      <c r="H51" s="935"/>
      <c r="I51" s="920" t="s">
        <v>575</v>
      </c>
      <c r="J51" s="921"/>
      <c r="K51" s="936" t="s">
        <v>578</v>
      </c>
      <c r="L51" s="936"/>
      <c r="M51" s="936"/>
      <c r="N51" s="937"/>
      <c r="O51" s="924" t="s">
        <v>535</v>
      </c>
      <c r="P51" s="938"/>
      <c r="Q51" s="938"/>
      <c r="R51" s="939"/>
      <c r="S51" s="940"/>
    </row>
    <row r="52" s="886" customFormat="true" ht="23.1" hidden="false" customHeight="true" outlineLevel="0" collapsed="false">
      <c r="A52" s="800" t="s">
        <v>537</v>
      </c>
      <c r="B52" s="801" t="s">
        <v>538</v>
      </c>
      <c r="C52" s="802" t="s">
        <v>539</v>
      </c>
      <c r="D52" s="801" t="s">
        <v>81</v>
      </c>
      <c r="E52" s="803" t="s">
        <v>82</v>
      </c>
      <c r="F52" s="804" t="str">
        <f aca="false">F36</f>
        <v>子ども・子育て支援</v>
      </c>
      <c r="G52" s="925" t="s">
        <v>541</v>
      </c>
      <c r="H52" s="820"/>
      <c r="I52" s="800" t="s">
        <v>537</v>
      </c>
      <c r="J52" s="801" t="s">
        <v>538</v>
      </c>
      <c r="K52" s="802" t="s">
        <v>539</v>
      </c>
      <c r="L52" s="801" t="s">
        <v>81</v>
      </c>
      <c r="M52" s="803" t="s">
        <v>82</v>
      </c>
      <c r="N52" s="804" t="str">
        <f aca="false">F52</f>
        <v>子ども・子育て支援</v>
      </c>
      <c r="O52" s="925" t="s">
        <v>541</v>
      </c>
      <c r="P52" s="789"/>
      <c r="Q52" s="789"/>
      <c r="R52" s="790"/>
      <c r="S52" s="791"/>
    </row>
    <row r="53" s="886" customFormat="true" ht="23.1" hidden="false" customHeight="true" outlineLevel="0" collapsed="false">
      <c r="A53" s="926" t="s">
        <v>559</v>
      </c>
      <c r="B53" s="843"/>
      <c r="C53" s="843"/>
      <c r="D53" s="843"/>
      <c r="E53" s="817"/>
      <c r="F53" s="818"/>
      <c r="G53" s="819" t="n">
        <f aca="false">SUM(B53:F53)</f>
        <v>0</v>
      </c>
      <c r="H53" s="820"/>
      <c r="I53" s="926" t="s">
        <v>559</v>
      </c>
      <c r="J53" s="843"/>
      <c r="K53" s="843"/>
      <c r="L53" s="843"/>
      <c r="M53" s="817"/>
      <c r="N53" s="818"/>
      <c r="O53" s="819" t="n">
        <f aca="false">SUM(J53:N53)</f>
        <v>0</v>
      </c>
      <c r="P53" s="789"/>
      <c r="Q53" s="789"/>
      <c r="R53" s="790"/>
      <c r="S53" s="791"/>
      <c r="T53" s="789"/>
      <c r="U53" s="789"/>
      <c r="V53" s="789"/>
    </row>
    <row r="54" s="886" customFormat="true" ht="23.1" hidden="false" customHeight="true" outlineLevel="0" collapsed="false">
      <c r="A54" s="829" t="s">
        <v>560</v>
      </c>
      <c r="B54" s="843"/>
      <c r="C54" s="843"/>
      <c r="D54" s="843"/>
      <c r="E54" s="832"/>
      <c r="F54" s="833"/>
      <c r="G54" s="819" t="n">
        <f aca="false">SUM(B54:F54)</f>
        <v>0</v>
      </c>
      <c r="H54" s="820"/>
      <c r="I54" s="829" t="s">
        <v>560</v>
      </c>
      <c r="J54" s="842"/>
      <c r="K54" s="843"/>
      <c r="L54" s="842"/>
      <c r="M54" s="832"/>
      <c r="N54" s="833"/>
      <c r="O54" s="819" t="n">
        <f aca="false">SUM(J54:N54)</f>
        <v>0</v>
      </c>
      <c r="P54" s="789"/>
      <c r="Q54" s="789"/>
      <c r="R54" s="790"/>
      <c r="S54" s="791"/>
      <c r="T54" s="789"/>
      <c r="U54" s="789"/>
      <c r="V54" s="789"/>
    </row>
    <row r="55" s="886" customFormat="true" ht="23.1" hidden="false" customHeight="true" outlineLevel="0" collapsed="false">
      <c r="A55" s="829" t="s">
        <v>561</v>
      </c>
      <c r="B55" s="842"/>
      <c r="C55" s="843"/>
      <c r="D55" s="842"/>
      <c r="E55" s="844"/>
      <c r="F55" s="845"/>
      <c r="G55" s="819" t="n">
        <f aca="false">SUM(B55:F55)</f>
        <v>0</v>
      </c>
      <c r="H55" s="820"/>
      <c r="I55" s="829" t="s">
        <v>561</v>
      </c>
      <c r="J55" s="842"/>
      <c r="K55" s="843"/>
      <c r="L55" s="842"/>
      <c r="M55" s="844"/>
      <c r="N55" s="845"/>
      <c r="O55" s="819" t="n">
        <f aca="false">SUM(J55:N55)</f>
        <v>0</v>
      </c>
      <c r="P55" s="789"/>
      <c r="Q55" s="789"/>
      <c r="R55" s="790"/>
      <c r="S55" s="791"/>
      <c r="T55" s="789"/>
      <c r="U55" s="789"/>
      <c r="V55" s="789"/>
    </row>
    <row r="56" s="886" customFormat="true" ht="23.1" hidden="false" customHeight="true" outlineLevel="0" collapsed="false">
      <c r="A56" s="829" t="s">
        <v>562</v>
      </c>
      <c r="B56" s="842"/>
      <c r="C56" s="843"/>
      <c r="D56" s="842"/>
      <c r="E56" s="844"/>
      <c r="F56" s="845"/>
      <c r="G56" s="819" t="n">
        <f aca="false">SUM(B56:F56)</f>
        <v>0</v>
      </c>
      <c r="H56" s="820"/>
      <c r="I56" s="829" t="s">
        <v>562</v>
      </c>
      <c r="J56" s="842"/>
      <c r="K56" s="843"/>
      <c r="L56" s="842"/>
      <c r="M56" s="844"/>
      <c r="N56" s="845"/>
      <c r="O56" s="819" t="n">
        <f aca="false">SUM(J56:N56)</f>
        <v>0</v>
      </c>
      <c r="P56" s="789"/>
      <c r="Q56" s="789"/>
      <c r="R56" s="790"/>
      <c r="S56" s="791"/>
      <c r="T56" s="789"/>
      <c r="U56" s="789"/>
      <c r="V56" s="789"/>
    </row>
    <row r="57" s="886" customFormat="true" ht="23.1" hidden="false" customHeight="true" outlineLevel="0" collapsed="false">
      <c r="A57" s="829" t="s">
        <v>563</v>
      </c>
      <c r="B57" s="842"/>
      <c r="C57" s="843"/>
      <c r="D57" s="842"/>
      <c r="E57" s="844"/>
      <c r="F57" s="845"/>
      <c r="G57" s="819" t="n">
        <f aca="false">SUM(B57:F57)</f>
        <v>0</v>
      </c>
      <c r="H57" s="820"/>
      <c r="I57" s="829" t="s">
        <v>563</v>
      </c>
      <c r="J57" s="842"/>
      <c r="K57" s="843"/>
      <c r="L57" s="842"/>
      <c r="M57" s="844"/>
      <c r="N57" s="845"/>
      <c r="O57" s="819" t="n">
        <f aca="false">SUM(J57:N57)</f>
        <v>0</v>
      </c>
      <c r="P57" s="789"/>
      <c r="Q57" s="789"/>
      <c r="R57" s="790"/>
      <c r="S57" s="791"/>
      <c r="T57" s="789"/>
      <c r="U57" s="789"/>
      <c r="V57" s="789"/>
    </row>
    <row r="58" s="886" customFormat="true" ht="23.1" hidden="false" customHeight="true" outlineLevel="0" collapsed="false">
      <c r="A58" s="829" t="s">
        <v>564</v>
      </c>
      <c r="B58" s="842"/>
      <c r="C58" s="843"/>
      <c r="D58" s="842"/>
      <c r="E58" s="844"/>
      <c r="F58" s="845"/>
      <c r="G58" s="819" t="n">
        <f aca="false">SUM(B58:F58)</f>
        <v>0</v>
      </c>
      <c r="H58" s="820"/>
      <c r="I58" s="829" t="s">
        <v>564</v>
      </c>
      <c r="J58" s="842"/>
      <c r="K58" s="843"/>
      <c r="L58" s="842"/>
      <c r="M58" s="844"/>
      <c r="N58" s="845"/>
      <c r="O58" s="819" t="n">
        <f aca="false">SUM(J58:N58)</f>
        <v>0</v>
      </c>
      <c r="P58" s="789"/>
      <c r="Q58" s="789"/>
      <c r="R58" s="790"/>
      <c r="S58" s="791"/>
      <c r="T58" s="789"/>
      <c r="U58" s="789"/>
      <c r="V58" s="789"/>
    </row>
    <row r="59" s="886" customFormat="true" ht="23.1" hidden="false" customHeight="true" outlineLevel="0" collapsed="false">
      <c r="A59" s="829" t="s">
        <v>565</v>
      </c>
      <c r="B59" s="842"/>
      <c r="C59" s="843"/>
      <c r="D59" s="842"/>
      <c r="E59" s="844"/>
      <c r="F59" s="845"/>
      <c r="G59" s="819" t="n">
        <f aca="false">SUM(B59:F59)</f>
        <v>0</v>
      </c>
      <c r="H59" s="820"/>
      <c r="I59" s="829" t="s">
        <v>565</v>
      </c>
      <c r="J59" s="842"/>
      <c r="K59" s="843"/>
      <c r="L59" s="842"/>
      <c r="M59" s="844"/>
      <c r="N59" s="845"/>
      <c r="O59" s="819" t="n">
        <f aca="false">SUM(J59:N59)</f>
        <v>0</v>
      </c>
      <c r="P59" s="789"/>
      <c r="Q59" s="789"/>
      <c r="R59" s="790"/>
      <c r="S59" s="791"/>
      <c r="T59" s="789"/>
      <c r="U59" s="789"/>
      <c r="V59" s="789"/>
    </row>
    <row r="60" s="886" customFormat="true" ht="23.1" hidden="false" customHeight="true" outlineLevel="0" collapsed="false">
      <c r="A60" s="829" t="s">
        <v>566</v>
      </c>
      <c r="B60" s="842"/>
      <c r="C60" s="843"/>
      <c r="D60" s="842"/>
      <c r="E60" s="844"/>
      <c r="F60" s="845"/>
      <c r="G60" s="819" t="n">
        <f aca="false">SUM(B60:F60)</f>
        <v>0</v>
      </c>
      <c r="H60" s="820"/>
      <c r="I60" s="829" t="s">
        <v>566</v>
      </c>
      <c r="J60" s="842"/>
      <c r="K60" s="843"/>
      <c r="L60" s="842"/>
      <c r="M60" s="844"/>
      <c r="N60" s="845"/>
      <c r="O60" s="819" t="n">
        <f aca="false">SUM(J60:N60)</f>
        <v>0</v>
      </c>
      <c r="P60" s="789"/>
      <c r="Q60" s="789"/>
      <c r="R60" s="790"/>
      <c r="S60" s="791"/>
      <c r="T60" s="789"/>
      <c r="U60" s="789"/>
      <c r="V60" s="789"/>
    </row>
    <row r="61" s="886" customFormat="true" ht="23.1" hidden="false" customHeight="true" outlineLevel="0" collapsed="false">
      <c r="A61" s="829" t="s">
        <v>567</v>
      </c>
      <c r="B61" s="927"/>
      <c r="C61" s="928"/>
      <c r="D61" s="929"/>
      <c r="E61" s="851"/>
      <c r="F61" s="818"/>
      <c r="G61" s="819" t="n">
        <f aca="false">SUM(B61:F61)</f>
        <v>0</v>
      </c>
      <c r="H61" s="820"/>
      <c r="I61" s="829" t="s">
        <v>567</v>
      </c>
      <c r="J61" s="927"/>
      <c r="K61" s="928"/>
      <c r="L61" s="929"/>
      <c r="M61" s="851"/>
      <c r="N61" s="818"/>
      <c r="O61" s="819" t="n">
        <f aca="false">SUM(J61:N61)</f>
        <v>0</v>
      </c>
      <c r="P61" s="789"/>
      <c r="Q61" s="789"/>
      <c r="R61" s="790"/>
      <c r="S61" s="791"/>
      <c r="T61" s="789"/>
      <c r="U61" s="789"/>
      <c r="V61" s="789"/>
    </row>
    <row r="62" s="886" customFormat="true" ht="23.1" hidden="false" customHeight="true" outlineLevel="0" collapsed="false">
      <c r="A62" s="829" t="s">
        <v>568</v>
      </c>
      <c r="B62" s="927"/>
      <c r="C62" s="928"/>
      <c r="D62" s="927"/>
      <c r="E62" s="844"/>
      <c r="F62" s="845"/>
      <c r="G62" s="819" t="n">
        <f aca="false">SUM(B62:F62)</f>
        <v>0</v>
      </c>
      <c r="H62" s="820"/>
      <c r="I62" s="829" t="s">
        <v>568</v>
      </c>
      <c r="J62" s="927"/>
      <c r="K62" s="928"/>
      <c r="L62" s="927"/>
      <c r="M62" s="844"/>
      <c r="N62" s="845"/>
      <c r="O62" s="819" t="n">
        <f aca="false">SUM(J62:N62)</f>
        <v>0</v>
      </c>
      <c r="P62" s="789"/>
      <c r="Q62" s="789"/>
      <c r="R62" s="790"/>
      <c r="S62" s="791"/>
      <c r="T62" s="789"/>
      <c r="U62" s="789"/>
      <c r="V62" s="789"/>
    </row>
    <row r="63" s="886" customFormat="true" ht="23.1" hidden="false" customHeight="true" outlineLevel="0" collapsed="false">
      <c r="A63" s="829" t="s">
        <v>569</v>
      </c>
      <c r="B63" s="927"/>
      <c r="C63" s="928"/>
      <c r="D63" s="927"/>
      <c r="E63" s="832"/>
      <c r="F63" s="833"/>
      <c r="G63" s="819" t="n">
        <f aca="false">SUM(B63:F63)</f>
        <v>0</v>
      </c>
      <c r="H63" s="820"/>
      <c r="I63" s="829" t="s">
        <v>569</v>
      </c>
      <c r="J63" s="927"/>
      <c r="K63" s="928"/>
      <c r="L63" s="927"/>
      <c r="M63" s="832"/>
      <c r="N63" s="833"/>
      <c r="O63" s="819" t="n">
        <f aca="false">SUM(J63:N63)</f>
        <v>0</v>
      </c>
      <c r="P63" s="789"/>
      <c r="Q63" s="789"/>
      <c r="R63" s="790"/>
      <c r="S63" s="791"/>
      <c r="T63" s="789"/>
      <c r="U63" s="789"/>
      <c r="V63" s="789"/>
    </row>
    <row r="64" s="886" customFormat="true" ht="23.1" hidden="false" customHeight="true" outlineLevel="0" collapsed="false">
      <c r="A64" s="930" t="s">
        <v>570</v>
      </c>
      <c r="B64" s="931"/>
      <c r="C64" s="931"/>
      <c r="D64" s="932"/>
      <c r="E64" s="859"/>
      <c r="F64" s="860"/>
      <c r="G64" s="861" t="n">
        <f aca="false">SUM(B64:F64)</f>
        <v>0</v>
      </c>
      <c r="H64" s="820"/>
      <c r="I64" s="930" t="s">
        <v>570</v>
      </c>
      <c r="J64" s="931"/>
      <c r="K64" s="931"/>
      <c r="L64" s="932"/>
      <c r="M64" s="859"/>
      <c r="N64" s="860"/>
      <c r="O64" s="861" t="n">
        <f aca="false">SUM(J64:N64)</f>
        <v>0</v>
      </c>
      <c r="P64" s="789"/>
      <c r="Q64" s="789"/>
      <c r="R64" s="790"/>
      <c r="S64" s="791"/>
      <c r="T64" s="789"/>
      <c r="U64" s="789"/>
      <c r="V64" s="789"/>
    </row>
    <row r="65" s="886" customFormat="true" ht="23.1" hidden="false" customHeight="true" outlineLevel="0" collapsed="false">
      <c r="A65" s="933" t="s">
        <v>571</v>
      </c>
      <c r="B65" s="934" t="n">
        <f aca="false">SUM(B53:B64)</f>
        <v>0</v>
      </c>
      <c r="C65" s="934" t="n">
        <f aca="false">SUM(C53:C64)</f>
        <v>0</v>
      </c>
      <c r="D65" s="934" t="n">
        <f aca="false">SUM(D53:D64)</f>
        <v>0</v>
      </c>
      <c r="E65" s="872" t="n">
        <f aca="false">SUM(E53:E64)</f>
        <v>0</v>
      </c>
      <c r="F65" s="873" t="n">
        <f aca="false">SUM(F53:F64)</f>
        <v>0</v>
      </c>
      <c r="G65" s="874" t="n">
        <f aca="false">SUM(B65:F65)</f>
        <v>0</v>
      </c>
      <c r="H65" s="820"/>
      <c r="I65" s="933" t="s">
        <v>571</v>
      </c>
      <c r="J65" s="934" t="n">
        <f aca="false">SUM(J53:J64)</f>
        <v>0</v>
      </c>
      <c r="K65" s="934" t="n">
        <f aca="false">SUM(K53:K64)</f>
        <v>0</v>
      </c>
      <c r="L65" s="934" t="n">
        <f aca="false">SUM(L53:L64)</f>
        <v>0</v>
      </c>
      <c r="M65" s="872" t="n">
        <f aca="false">SUM(M53:M64)</f>
        <v>0</v>
      </c>
      <c r="N65" s="873" t="n">
        <f aca="false">SUM(N53:N64)</f>
        <v>0</v>
      </c>
      <c r="O65" s="874" t="n">
        <f aca="false">SUM(J65:N65)</f>
        <v>0</v>
      </c>
      <c r="P65" s="789"/>
      <c r="Q65" s="789"/>
      <c r="R65" s="790"/>
      <c r="S65" s="791"/>
      <c r="T65" s="789"/>
      <c r="U65" s="789"/>
      <c r="V65" s="789"/>
    </row>
    <row r="66" s="886" customFormat="true" ht="9" hidden="false" customHeight="true" outlineLevel="0" collapsed="false">
      <c r="A66" s="789"/>
      <c r="B66" s="790"/>
      <c r="C66" s="790"/>
      <c r="D66" s="790"/>
      <c r="E66" s="790"/>
      <c r="F66" s="790"/>
      <c r="G66" s="790"/>
      <c r="H66" s="790"/>
      <c r="I66" s="790"/>
      <c r="J66" s="790"/>
      <c r="K66" s="790"/>
      <c r="L66" s="790"/>
      <c r="M66" s="789"/>
      <c r="N66" s="789"/>
      <c r="O66" s="789"/>
      <c r="P66" s="789"/>
      <c r="Q66" s="789"/>
      <c r="R66" s="790"/>
      <c r="S66" s="791"/>
      <c r="T66" s="789"/>
      <c r="U66" s="789"/>
      <c r="V66" s="789"/>
    </row>
    <row r="67" customFormat="false" ht="6" hidden="false" customHeight="true" outlineLevel="0" collapsed="false"/>
    <row r="68" s="941" customFormat="true" ht="23.1" hidden="false" customHeight="true" outlineLevel="0" collapsed="false">
      <c r="A68" s="920" t="s">
        <v>575</v>
      </c>
      <c r="B68" s="921"/>
      <c r="C68" s="936" t="s">
        <v>579</v>
      </c>
      <c r="D68" s="936"/>
      <c r="E68" s="936"/>
      <c r="F68" s="937"/>
      <c r="G68" s="924" t="s">
        <v>535</v>
      </c>
      <c r="H68" s="935"/>
      <c r="I68" s="920" t="s">
        <v>575</v>
      </c>
      <c r="J68" s="921"/>
      <c r="K68" s="942" t="s">
        <v>580</v>
      </c>
      <c r="L68" s="921"/>
      <c r="M68" s="921"/>
      <c r="N68" s="921"/>
      <c r="O68" s="924" t="s">
        <v>535</v>
      </c>
      <c r="P68" s="938"/>
      <c r="Q68" s="938"/>
      <c r="R68" s="939"/>
      <c r="S68" s="940"/>
      <c r="T68" s="938"/>
      <c r="U68" s="938"/>
      <c r="V68" s="938"/>
    </row>
    <row r="69" s="886" customFormat="true" ht="23.1" hidden="false" customHeight="true" outlineLevel="0" collapsed="false">
      <c r="A69" s="800" t="s">
        <v>537</v>
      </c>
      <c r="B69" s="801" t="s">
        <v>538</v>
      </c>
      <c r="C69" s="802" t="s">
        <v>539</v>
      </c>
      <c r="D69" s="801" t="s">
        <v>81</v>
      </c>
      <c r="E69" s="803" t="s">
        <v>82</v>
      </c>
      <c r="F69" s="804" t="str">
        <f aca="false">F52</f>
        <v>子ども・子育て支援</v>
      </c>
      <c r="G69" s="925" t="s">
        <v>541</v>
      </c>
      <c r="H69" s="820"/>
      <c r="I69" s="800" t="s">
        <v>537</v>
      </c>
      <c r="J69" s="801" t="s">
        <v>538</v>
      </c>
      <c r="K69" s="802" t="s">
        <v>539</v>
      </c>
      <c r="L69" s="801" t="s">
        <v>81</v>
      </c>
      <c r="M69" s="803" t="s">
        <v>82</v>
      </c>
      <c r="N69" s="804" t="str">
        <f aca="false">F52</f>
        <v>子ども・子育て支援</v>
      </c>
      <c r="O69" s="925" t="s">
        <v>541</v>
      </c>
      <c r="P69" s="789"/>
      <c r="Q69" s="789"/>
      <c r="R69" s="790"/>
      <c r="S69" s="791"/>
      <c r="T69" s="789"/>
      <c r="U69" s="789"/>
      <c r="V69" s="789"/>
    </row>
    <row r="70" s="886" customFormat="true" ht="23.1" hidden="false" customHeight="true" outlineLevel="0" collapsed="false">
      <c r="A70" s="926" t="s">
        <v>559</v>
      </c>
      <c r="B70" s="843"/>
      <c r="C70" s="843"/>
      <c r="D70" s="843"/>
      <c r="E70" s="817"/>
      <c r="F70" s="818"/>
      <c r="G70" s="819" t="n">
        <f aca="false">SUM(B70:F70)</f>
        <v>0</v>
      </c>
      <c r="H70" s="820"/>
      <c r="I70" s="926" t="s">
        <v>559</v>
      </c>
      <c r="J70" s="843"/>
      <c r="K70" s="843"/>
      <c r="L70" s="843"/>
      <c r="M70" s="817"/>
      <c r="N70" s="818"/>
      <c r="O70" s="819" t="n">
        <f aca="false">SUM(J70:N70)</f>
        <v>0</v>
      </c>
      <c r="P70" s="789"/>
      <c r="Q70" s="789"/>
      <c r="R70" s="790"/>
      <c r="S70" s="791"/>
      <c r="T70" s="789"/>
      <c r="U70" s="789"/>
      <c r="V70" s="789"/>
    </row>
    <row r="71" s="886" customFormat="true" ht="23.1" hidden="false" customHeight="true" outlineLevel="0" collapsed="false">
      <c r="A71" s="829" t="s">
        <v>560</v>
      </c>
      <c r="B71" s="842"/>
      <c r="C71" s="843"/>
      <c r="D71" s="842"/>
      <c r="E71" s="832"/>
      <c r="F71" s="833"/>
      <c r="G71" s="819" t="n">
        <f aca="false">SUM(B71:F71)</f>
        <v>0</v>
      </c>
      <c r="H71" s="820"/>
      <c r="I71" s="829" t="s">
        <v>560</v>
      </c>
      <c r="J71" s="842"/>
      <c r="K71" s="843"/>
      <c r="L71" s="842"/>
      <c r="M71" s="832"/>
      <c r="N71" s="833"/>
      <c r="O71" s="819" t="n">
        <f aca="false">SUM(J71:N71)</f>
        <v>0</v>
      </c>
      <c r="P71" s="789"/>
      <c r="Q71" s="789"/>
      <c r="R71" s="790"/>
      <c r="S71" s="791"/>
      <c r="T71" s="789"/>
      <c r="U71" s="789"/>
      <c r="V71" s="789"/>
    </row>
    <row r="72" s="886" customFormat="true" ht="23.1" hidden="false" customHeight="true" outlineLevel="0" collapsed="false">
      <c r="A72" s="829" t="s">
        <v>561</v>
      </c>
      <c r="B72" s="842"/>
      <c r="C72" s="843"/>
      <c r="D72" s="842"/>
      <c r="E72" s="844"/>
      <c r="F72" s="845"/>
      <c r="G72" s="819" t="n">
        <f aca="false">SUM(B72:F72)</f>
        <v>0</v>
      </c>
      <c r="H72" s="820"/>
      <c r="I72" s="829" t="s">
        <v>561</v>
      </c>
      <c r="J72" s="842"/>
      <c r="K72" s="843"/>
      <c r="L72" s="842"/>
      <c r="M72" s="844"/>
      <c r="N72" s="845"/>
      <c r="O72" s="819" t="n">
        <f aca="false">SUM(J72:N72)</f>
        <v>0</v>
      </c>
      <c r="P72" s="789"/>
      <c r="Q72" s="789"/>
      <c r="R72" s="790"/>
      <c r="S72" s="791"/>
      <c r="T72" s="789"/>
      <c r="U72" s="789"/>
      <c r="V72" s="789"/>
    </row>
    <row r="73" s="886" customFormat="true" ht="23.1" hidden="false" customHeight="true" outlineLevel="0" collapsed="false">
      <c r="A73" s="829" t="s">
        <v>562</v>
      </c>
      <c r="B73" s="843"/>
      <c r="C73" s="843"/>
      <c r="D73" s="843"/>
      <c r="E73" s="844"/>
      <c r="F73" s="845"/>
      <c r="G73" s="819" t="n">
        <f aca="false">SUM(B73:F73)</f>
        <v>0</v>
      </c>
      <c r="H73" s="820"/>
      <c r="I73" s="829" t="s">
        <v>562</v>
      </c>
      <c r="J73" s="943"/>
      <c r="K73" s="944"/>
      <c r="L73" s="943"/>
      <c r="M73" s="844"/>
      <c r="N73" s="845"/>
      <c r="O73" s="819" t="n">
        <f aca="false">SUM(J73:N73)</f>
        <v>0</v>
      </c>
      <c r="P73" s="789"/>
      <c r="Q73" s="789"/>
      <c r="R73" s="790"/>
      <c r="S73" s="791"/>
      <c r="T73" s="789"/>
      <c r="U73" s="789"/>
      <c r="V73" s="789"/>
    </row>
    <row r="74" s="886" customFormat="true" ht="23.1" hidden="false" customHeight="true" outlineLevel="0" collapsed="false">
      <c r="A74" s="829" t="s">
        <v>563</v>
      </c>
      <c r="B74" s="842"/>
      <c r="C74" s="843"/>
      <c r="D74" s="842"/>
      <c r="E74" s="844"/>
      <c r="F74" s="845"/>
      <c r="G74" s="819" t="n">
        <f aca="false">SUM(B74:F74)</f>
        <v>0</v>
      </c>
      <c r="H74" s="820"/>
      <c r="I74" s="829" t="s">
        <v>563</v>
      </c>
      <c r="J74" s="842"/>
      <c r="K74" s="843"/>
      <c r="L74" s="842"/>
      <c r="M74" s="844"/>
      <c r="N74" s="845"/>
      <c r="O74" s="819" t="n">
        <f aca="false">SUM(J74:N74)</f>
        <v>0</v>
      </c>
      <c r="P74" s="789"/>
      <c r="Q74" s="789"/>
      <c r="R74" s="790"/>
      <c r="S74" s="791"/>
      <c r="T74" s="789"/>
      <c r="U74" s="789"/>
      <c r="V74" s="789"/>
    </row>
    <row r="75" s="886" customFormat="true" ht="23.1" hidden="false" customHeight="true" outlineLevel="0" collapsed="false">
      <c r="A75" s="829" t="s">
        <v>564</v>
      </c>
      <c r="B75" s="842"/>
      <c r="C75" s="843"/>
      <c r="D75" s="842"/>
      <c r="E75" s="844"/>
      <c r="F75" s="845"/>
      <c r="G75" s="819" t="n">
        <f aca="false">SUM(B75:F75)</f>
        <v>0</v>
      </c>
      <c r="H75" s="820"/>
      <c r="I75" s="829" t="s">
        <v>564</v>
      </c>
      <c r="J75" s="842"/>
      <c r="K75" s="843"/>
      <c r="L75" s="842"/>
      <c r="M75" s="844"/>
      <c r="N75" s="845"/>
      <c r="O75" s="819" t="n">
        <f aca="false">SUM(J75:N75)</f>
        <v>0</v>
      </c>
      <c r="P75" s="789"/>
      <c r="Q75" s="789"/>
      <c r="R75" s="790"/>
      <c r="S75" s="791"/>
      <c r="T75" s="789"/>
      <c r="U75" s="789"/>
      <c r="V75" s="789"/>
    </row>
    <row r="76" s="886" customFormat="true" ht="23.1" hidden="false" customHeight="true" outlineLevel="0" collapsed="false">
      <c r="A76" s="829" t="s">
        <v>565</v>
      </c>
      <c r="B76" s="842"/>
      <c r="C76" s="843"/>
      <c r="D76" s="842"/>
      <c r="E76" s="844"/>
      <c r="F76" s="845"/>
      <c r="G76" s="819" t="n">
        <f aca="false">SUM(B76:F76)</f>
        <v>0</v>
      </c>
      <c r="H76" s="820"/>
      <c r="I76" s="829" t="s">
        <v>565</v>
      </c>
      <c r="J76" s="842"/>
      <c r="K76" s="843"/>
      <c r="L76" s="842"/>
      <c r="M76" s="844"/>
      <c r="N76" s="845"/>
      <c r="O76" s="819" t="n">
        <f aca="false">SUM(J76:N76)</f>
        <v>0</v>
      </c>
      <c r="P76" s="789"/>
      <c r="Q76" s="789"/>
      <c r="R76" s="790"/>
      <c r="S76" s="791"/>
      <c r="T76" s="789"/>
      <c r="U76" s="789"/>
      <c r="V76" s="789"/>
    </row>
    <row r="77" s="886" customFormat="true" ht="23.1" hidden="false" customHeight="true" outlineLevel="0" collapsed="false">
      <c r="A77" s="829" t="s">
        <v>566</v>
      </c>
      <c r="B77" s="842"/>
      <c r="C77" s="843"/>
      <c r="D77" s="842"/>
      <c r="E77" s="844"/>
      <c r="F77" s="845"/>
      <c r="G77" s="819" t="n">
        <f aca="false">SUM(B77:F77)</f>
        <v>0</v>
      </c>
      <c r="H77" s="820"/>
      <c r="I77" s="829" t="s">
        <v>566</v>
      </c>
      <c r="J77" s="842"/>
      <c r="K77" s="843"/>
      <c r="L77" s="842"/>
      <c r="M77" s="844"/>
      <c r="N77" s="845"/>
      <c r="O77" s="819" t="n">
        <f aca="false">SUM(J77:N77)</f>
        <v>0</v>
      </c>
      <c r="P77" s="789"/>
      <c r="Q77" s="789"/>
      <c r="R77" s="790"/>
      <c r="S77" s="791"/>
      <c r="T77" s="789"/>
      <c r="U77" s="789"/>
      <c r="V77" s="789"/>
    </row>
    <row r="78" s="886" customFormat="true" ht="23.1" hidden="false" customHeight="true" outlineLevel="0" collapsed="false">
      <c r="A78" s="829" t="s">
        <v>567</v>
      </c>
      <c r="B78" s="927"/>
      <c r="C78" s="928"/>
      <c r="D78" s="929"/>
      <c r="E78" s="851"/>
      <c r="F78" s="818"/>
      <c r="G78" s="819" t="n">
        <f aca="false">SUM(B78:F78)</f>
        <v>0</v>
      </c>
      <c r="H78" s="820"/>
      <c r="I78" s="829" t="s">
        <v>567</v>
      </c>
      <c r="J78" s="927"/>
      <c r="K78" s="928"/>
      <c r="L78" s="929"/>
      <c r="M78" s="851"/>
      <c r="N78" s="818"/>
      <c r="O78" s="819" t="n">
        <f aca="false">SUM(J78:N78)</f>
        <v>0</v>
      </c>
      <c r="P78" s="789"/>
      <c r="Q78" s="789"/>
      <c r="R78" s="790"/>
      <c r="S78" s="791"/>
      <c r="T78" s="789"/>
      <c r="U78" s="789"/>
      <c r="V78" s="789"/>
    </row>
    <row r="79" s="886" customFormat="true" ht="23.1" hidden="false" customHeight="true" outlineLevel="0" collapsed="false">
      <c r="A79" s="829" t="s">
        <v>568</v>
      </c>
      <c r="B79" s="927"/>
      <c r="C79" s="928"/>
      <c r="D79" s="927"/>
      <c r="E79" s="844"/>
      <c r="F79" s="845"/>
      <c r="G79" s="819" t="n">
        <f aca="false">SUM(B79:F79)</f>
        <v>0</v>
      </c>
      <c r="H79" s="820"/>
      <c r="I79" s="829" t="s">
        <v>568</v>
      </c>
      <c r="J79" s="927"/>
      <c r="K79" s="928"/>
      <c r="L79" s="927"/>
      <c r="M79" s="844"/>
      <c r="N79" s="845"/>
      <c r="O79" s="819" t="n">
        <f aca="false">SUM(J79:N79)</f>
        <v>0</v>
      </c>
      <c r="P79" s="789"/>
      <c r="Q79" s="789"/>
      <c r="R79" s="790"/>
      <c r="S79" s="791"/>
      <c r="T79" s="789"/>
      <c r="U79" s="789"/>
      <c r="V79" s="789"/>
    </row>
    <row r="80" s="886" customFormat="true" ht="23.1" hidden="false" customHeight="true" outlineLevel="0" collapsed="false">
      <c r="A80" s="829" t="s">
        <v>569</v>
      </c>
      <c r="B80" s="927"/>
      <c r="C80" s="928"/>
      <c r="D80" s="927"/>
      <c r="E80" s="832"/>
      <c r="F80" s="833"/>
      <c r="G80" s="819" t="n">
        <f aca="false">SUM(B80:F80)</f>
        <v>0</v>
      </c>
      <c r="H80" s="820"/>
      <c r="I80" s="829" t="s">
        <v>569</v>
      </c>
      <c r="J80" s="927"/>
      <c r="K80" s="928"/>
      <c r="L80" s="927"/>
      <c r="M80" s="832"/>
      <c r="N80" s="833"/>
      <c r="O80" s="819" t="n">
        <f aca="false">SUM(J80:N80)</f>
        <v>0</v>
      </c>
      <c r="P80" s="789"/>
      <c r="Q80" s="789"/>
      <c r="R80" s="790"/>
      <c r="S80" s="791"/>
      <c r="T80" s="789"/>
      <c r="U80" s="789"/>
      <c r="V80" s="789"/>
    </row>
    <row r="81" s="886" customFormat="true" ht="23.1" hidden="false" customHeight="true" outlineLevel="0" collapsed="false">
      <c r="A81" s="930" t="s">
        <v>570</v>
      </c>
      <c r="B81" s="931"/>
      <c r="C81" s="931"/>
      <c r="D81" s="932"/>
      <c r="E81" s="859"/>
      <c r="F81" s="860"/>
      <c r="G81" s="861" t="n">
        <f aca="false">SUM(B81:F81)</f>
        <v>0</v>
      </c>
      <c r="H81" s="820"/>
      <c r="I81" s="930" t="s">
        <v>570</v>
      </c>
      <c r="J81" s="931"/>
      <c r="K81" s="931"/>
      <c r="L81" s="932"/>
      <c r="M81" s="859"/>
      <c r="N81" s="860"/>
      <c r="O81" s="861" t="n">
        <f aca="false">SUM(J81:N81)</f>
        <v>0</v>
      </c>
      <c r="P81" s="789"/>
      <c r="Q81" s="789"/>
      <c r="R81" s="790"/>
      <c r="S81" s="791"/>
      <c r="T81" s="789"/>
      <c r="U81" s="789"/>
      <c r="V81" s="789"/>
    </row>
    <row r="82" s="886" customFormat="true" ht="23.1" hidden="false" customHeight="true" outlineLevel="0" collapsed="false">
      <c r="A82" s="933" t="s">
        <v>571</v>
      </c>
      <c r="B82" s="934" t="n">
        <f aca="false">SUM(B70:B81)</f>
        <v>0</v>
      </c>
      <c r="C82" s="934" t="n">
        <f aca="false">SUM(C70:C81)</f>
        <v>0</v>
      </c>
      <c r="D82" s="934" t="n">
        <f aca="false">SUM(D70:D81)</f>
        <v>0</v>
      </c>
      <c r="E82" s="872" t="n">
        <f aca="false">SUM(E70:E81)</f>
        <v>0</v>
      </c>
      <c r="F82" s="873" t="n">
        <f aca="false">SUM(F70:F81)</f>
        <v>0</v>
      </c>
      <c r="G82" s="874" t="n">
        <f aca="false">SUM(B82:F82)</f>
        <v>0</v>
      </c>
      <c r="H82" s="820"/>
      <c r="I82" s="933" t="s">
        <v>571</v>
      </c>
      <c r="J82" s="934" t="n">
        <f aca="false">SUM(J70:J81)</f>
        <v>0</v>
      </c>
      <c r="K82" s="934" t="n">
        <f aca="false">SUM(K70:K81)</f>
        <v>0</v>
      </c>
      <c r="L82" s="934" t="n">
        <f aca="false">SUM(L70:L81)</f>
        <v>0</v>
      </c>
      <c r="M82" s="872" t="n">
        <f aca="false">SUM(M70:M81)</f>
        <v>0</v>
      </c>
      <c r="N82" s="873" t="n">
        <f aca="false">SUM(N70:N81)</f>
        <v>0</v>
      </c>
      <c r="O82" s="874" t="n">
        <f aca="false">SUM(J82:N82)</f>
        <v>0</v>
      </c>
      <c r="P82" s="789"/>
      <c r="Q82" s="789"/>
      <c r="R82" s="790"/>
      <c r="S82" s="791"/>
      <c r="T82" s="789"/>
      <c r="U82" s="789"/>
      <c r="V82" s="789"/>
    </row>
    <row r="83" s="886" customFormat="true" ht="15" hidden="false" customHeight="false" outlineLevel="0" collapsed="false">
      <c r="A83" s="789"/>
      <c r="B83" s="790"/>
      <c r="C83" s="790"/>
      <c r="D83" s="790"/>
      <c r="E83" s="790"/>
      <c r="F83" s="790"/>
      <c r="G83" s="790"/>
      <c r="H83" s="790"/>
      <c r="I83" s="790"/>
      <c r="J83" s="790"/>
      <c r="K83" s="790"/>
      <c r="L83" s="790"/>
      <c r="M83" s="789"/>
      <c r="N83" s="789"/>
      <c r="O83" s="789"/>
      <c r="P83" s="789"/>
      <c r="Q83" s="789"/>
      <c r="R83" s="790"/>
      <c r="S83" s="791"/>
      <c r="T83" s="789"/>
      <c r="U83" s="789"/>
      <c r="V83" s="789"/>
    </row>
    <row r="84" s="941" customFormat="true" ht="23.1" hidden="false" customHeight="true" outlineLevel="0" collapsed="false">
      <c r="A84" s="920" t="s">
        <v>575</v>
      </c>
      <c r="B84" s="921"/>
      <c r="C84" s="936" t="s">
        <v>581</v>
      </c>
      <c r="D84" s="936"/>
      <c r="E84" s="936"/>
      <c r="F84" s="937"/>
      <c r="G84" s="924" t="s">
        <v>535</v>
      </c>
      <c r="H84" s="935"/>
      <c r="I84" s="920" t="s">
        <v>575</v>
      </c>
      <c r="J84" s="921"/>
      <c r="K84" s="945" t="s">
        <v>582</v>
      </c>
      <c r="L84" s="945"/>
      <c r="M84" s="945"/>
      <c r="N84" s="945"/>
      <c r="O84" s="924" t="s">
        <v>535</v>
      </c>
      <c r="P84" s="938"/>
      <c r="Q84" s="938"/>
      <c r="R84" s="939"/>
      <c r="S84" s="940"/>
      <c r="T84" s="938"/>
      <c r="U84" s="938"/>
      <c r="V84" s="938"/>
    </row>
    <row r="85" s="886" customFormat="true" ht="23.1" hidden="false" customHeight="true" outlineLevel="0" collapsed="false">
      <c r="A85" s="800" t="s">
        <v>537</v>
      </c>
      <c r="B85" s="801" t="s">
        <v>538</v>
      </c>
      <c r="C85" s="802" t="s">
        <v>539</v>
      </c>
      <c r="D85" s="801" t="s">
        <v>81</v>
      </c>
      <c r="E85" s="803" t="s">
        <v>82</v>
      </c>
      <c r="F85" s="804" t="str">
        <f aca="false">F69</f>
        <v>子ども・子育て支援</v>
      </c>
      <c r="G85" s="925" t="s">
        <v>541</v>
      </c>
      <c r="H85" s="820"/>
      <c r="I85" s="800" t="s">
        <v>537</v>
      </c>
      <c r="J85" s="801" t="s">
        <v>538</v>
      </c>
      <c r="K85" s="802" t="s">
        <v>539</v>
      </c>
      <c r="L85" s="801" t="s">
        <v>81</v>
      </c>
      <c r="M85" s="803" t="s">
        <v>82</v>
      </c>
      <c r="N85" s="804" t="str">
        <f aca="false">N69</f>
        <v>子ども・子育て支援</v>
      </c>
      <c r="O85" s="925" t="s">
        <v>541</v>
      </c>
      <c r="P85" s="789"/>
      <c r="Q85" s="789"/>
      <c r="R85" s="790"/>
      <c r="S85" s="791"/>
      <c r="T85" s="789"/>
      <c r="U85" s="789"/>
      <c r="V85" s="789"/>
    </row>
    <row r="86" s="886" customFormat="true" ht="23.1" hidden="false" customHeight="true" outlineLevel="0" collapsed="false">
      <c r="A86" s="926" t="s">
        <v>559</v>
      </c>
      <c r="B86" s="843"/>
      <c r="C86" s="843"/>
      <c r="D86" s="843"/>
      <c r="E86" s="817"/>
      <c r="F86" s="818"/>
      <c r="G86" s="819" t="n">
        <f aca="false">SUM(B86:F86)</f>
        <v>0</v>
      </c>
      <c r="H86" s="820"/>
      <c r="I86" s="926" t="s">
        <v>559</v>
      </c>
      <c r="J86" s="843"/>
      <c r="K86" s="843"/>
      <c r="L86" s="843"/>
      <c r="M86" s="817"/>
      <c r="N86" s="818"/>
      <c r="O86" s="819" t="n">
        <f aca="false">SUM(J86:N86)</f>
        <v>0</v>
      </c>
      <c r="P86" s="789"/>
      <c r="Q86" s="789"/>
      <c r="R86" s="790"/>
      <c r="S86" s="791"/>
      <c r="T86" s="789"/>
      <c r="U86" s="789"/>
      <c r="V86" s="789"/>
    </row>
    <row r="87" s="886" customFormat="true" ht="23.1" hidden="false" customHeight="true" outlineLevel="0" collapsed="false">
      <c r="A87" s="829" t="s">
        <v>560</v>
      </c>
      <c r="B87" s="842"/>
      <c r="C87" s="843"/>
      <c r="D87" s="842"/>
      <c r="E87" s="832"/>
      <c r="F87" s="833"/>
      <c r="G87" s="819" t="n">
        <f aca="false">SUM(B87:F87)</f>
        <v>0</v>
      </c>
      <c r="H87" s="820"/>
      <c r="I87" s="829" t="s">
        <v>560</v>
      </c>
      <c r="J87" s="842"/>
      <c r="K87" s="843"/>
      <c r="L87" s="842"/>
      <c r="M87" s="832"/>
      <c r="N87" s="833"/>
      <c r="O87" s="819" t="n">
        <f aca="false">SUM(J87:N87)</f>
        <v>0</v>
      </c>
      <c r="P87" s="789"/>
      <c r="Q87" s="789"/>
      <c r="R87" s="790"/>
      <c r="S87" s="791"/>
      <c r="T87" s="789"/>
      <c r="U87" s="789"/>
      <c r="V87" s="789"/>
    </row>
    <row r="88" s="886" customFormat="true" ht="23.1" hidden="false" customHeight="true" outlineLevel="0" collapsed="false">
      <c r="A88" s="829" t="s">
        <v>561</v>
      </c>
      <c r="B88" s="842"/>
      <c r="C88" s="843"/>
      <c r="D88" s="842"/>
      <c r="E88" s="844"/>
      <c r="F88" s="845"/>
      <c r="G88" s="819" t="n">
        <f aca="false">SUM(B88:F88)</f>
        <v>0</v>
      </c>
      <c r="H88" s="820"/>
      <c r="I88" s="829" t="s">
        <v>561</v>
      </c>
      <c r="J88" s="842"/>
      <c r="K88" s="843"/>
      <c r="L88" s="842"/>
      <c r="M88" s="844"/>
      <c r="N88" s="845"/>
      <c r="O88" s="819" t="n">
        <f aca="false">SUM(J88:N88)</f>
        <v>0</v>
      </c>
      <c r="P88" s="789"/>
      <c r="Q88" s="789"/>
      <c r="R88" s="790"/>
      <c r="S88" s="791"/>
      <c r="T88" s="789"/>
      <c r="U88" s="789"/>
      <c r="V88" s="789"/>
    </row>
    <row r="89" s="886" customFormat="true" ht="23.1" hidden="false" customHeight="true" outlineLevel="0" collapsed="false">
      <c r="A89" s="829" t="s">
        <v>562</v>
      </c>
      <c r="B89" s="943"/>
      <c r="C89" s="944"/>
      <c r="D89" s="943"/>
      <c r="E89" s="844"/>
      <c r="F89" s="845"/>
      <c r="G89" s="819" t="n">
        <f aca="false">SUM(B89:F89)</f>
        <v>0</v>
      </c>
      <c r="H89" s="820"/>
      <c r="I89" s="829" t="s">
        <v>562</v>
      </c>
      <c r="J89" s="842"/>
      <c r="K89" s="843"/>
      <c r="L89" s="842"/>
      <c r="M89" s="844"/>
      <c r="N89" s="845"/>
      <c r="O89" s="819" t="n">
        <f aca="false">SUM(J89:N89)</f>
        <v>0</v>
      </c>
      <c r="P89" s="789"/>
      <c r="Q89" s="789"/>
      <c r="R89" s="790"/>
      <c r="S89" s="791"/>
      <c r="T89" s="789"/>
      <c r="U89" s="789"/>
      <c r="V89" s="789"/>
    </row>
    <row r="90" s="886" customFormat="true" ht="23.1" hidden="false" customHeight="true" outlineLevel="0" collapsed="false">
      <c r="A90" s="829" t="s">
        <v>563</v>
      </c>
      <c r="B90" s="842"/>
      <c r="C90" s="843"/>
      <c r="D90" s="842"/>
      <c r="E90" s="844"/>
      <c r="F90" s="845"/>
      <c r="G90" s="819" t="n">
        <f aca="false">SUM(B90:F90)</f>
        <v>0</v>
      </c>
      <c r="H90" s="820"/>
      <c r="I90" s="829" t="s">
        <v>563</v>
      </c>
      <c r="J90" s="842"/>
      <c r="K90" s="843"/>
      <c r="L90" s="842"/>
      <c r="M90" s="844"/>
      <c r="N90" s="845"/>
      <c r="O90" s="819" t="n">
        <f aca="false">SUM(J90:N90)</f>
        <v>0</v>
      </c>
      <c r="P90" s="789"/>
      <c r="Q90" s="789"/>
      <c r="R90" s="790"/>
      <c r="S90" s="791"/>
      <c r="T90" s="789"/>
      <c r="U90" s="789"/>
      <c r="V90" s="789"/>
    </row>
    <row r="91" s="886" customFormat="true" ht="23.1" hidden="false" customHeight="true" outlineLevel="0" collapsed="false">
      <c r="A91" s="829" t="s">
        <v>564</v>
      </c>
      <c r="B91" s="842"/>
      <c r="C91" s="843"/>
      <c r="D91" s="842"/>
      <c r="E91" s="844"/>
      <c r="F91" s="845"/>
      <c r="G91" s="819" t="n">
        <f aca="false">SUM(B91:F91)</f>
        <v>0</v>
      </c>
      <c r="H91" s="820"/>
      <c r="I91" s="829" t="s">
        <v>564</v>
      </c>
      <c r="J91" s="842"/>
      <c r="K91" s="843"/>
      <c r="L91" s="842"/>
      <c r="M91" s="844"/>
      <c r="N91" s="845"/>
      <c r="O91" s="819" t="n">
        <f aca="false">SUM(J91:N91)</f>
        <v>0</v>
      </c>
      <c r="P91" s="789"/>
      <c r="Q91" s="789"/>
      <c r="R91" s="790"/>
      <c r="S91" s="791"/>
      <c r="T91" s="789"/>
      <c r="U91" s="789"/>
      <c r="V91" s="789"/>
    </row>
    <row r="92" s="886" customFormat="true" ht="23.1" hidden="false" customHeight="true" outlineLevel="0" collapsed="false">
      <c r="A92" s="829" t="s">
        <v>565</v>
      </c>
      <c r="B92" s="842"/>
      <c r="C92" s="843"/>
      <c r="D92" s="842"/>
      <c r="E92" s="844"/>
      <c r="F92" s="845"/>
      <c r="G92" s="819" t="n">
        <f aca="false">SUM(B92:F92)</f>
        <v>0</v>
      </c>
      <c r="H92" s="820"/>
      <c r="I92" s="829" t="s">
        <v>565</v>
      </c>
      <c r="J92" s="842"/>
      <c r="K92" s="843"/>
      <c r="L92" s="842"/>
      <c r="M92" s="844"/>
      <c r="N92" s="845"/>
      <c r="O92" s="819" t="n">
        <f aca="false">SUM(J92:N92)</f>
        <v>0</v>
      </c>
      <c r="P92" s="789"/>
      <c r="Q92" s="789"/>
      <c r="R92" s="790"/>
      <c r="S92" s="791"/>
      <c r="T92" s="789"/>
      <c r="U92" s="789"/>
      <c r="V92" s="789"/>
    </row>
    <row r="93" s="886" customFormat="true" ht="23.1" hidden="false" customHeight="true" outlineLevel="0" collapsed="false">
      <c r="A93" s="829" t="s">
        <v>566</v>
      </c>
      <c r="B93" s="842"/>
      <c r="C93" s="843"/>
      <c r="D93" s="842"/>
      <c r="E93" s="844"/>
      <c r="F93" s="845"/>
      <c r="G93" s="819" t="n">
        <f aca="false">SUM(B93:F93)</f>
        <v>0</v>
      </c>
      <c r="H93" s="820"/>
      <c r="I93" s="829" t="s">
        <v>566</v>
      </c>
      <c r="J93" s="842"/>
      <c r="K93" s="843"/>
      <c r="L93" s="842"/>
      <c r="M93" s="844"/>
      <c r="N93" s="845"/>
      <c r="O93" s="819" t="n">
        <f aca="false">SUM(J93:N93)</f>
        <v>0</v>
      </c>
      <c r="P93" s="789"/>
      <c r="Q93" s="789"/>
      <c r="R93" s="790"/>
      <c r="S93" s="791"/>
      <c r="T93" s="789"/>
      <c r="U93" s="789"/>
      <c r="V93" s="789"/>
    </row>
    <row r="94" s="886" customFormat="true" ht="23.1" hidden="false" customHeight="true" outlineLevel="0" collapsed="false">
      <c r="A94" s="829" t="s">
        <v>567</v>
      </c>
      <c r="B94" s="927"/>
      <c r="C94" s="928"/>
      <c r="D94" s="946"/>
      <c r="E94" s="851"/>
      <c r="F94" s="818"/>
      <c r="G94" s="819" t="n">
        <f aca="false">SUM(B94:F94)</f>
        <v>0</v>
      </c>
      <c r="H94" s="820"/>
      <c r="I94" s="829" t="s">
        <v>567</v>
      </c>
      <c r="J94" s="927"/>
      <c r="K94" s="928"/>
      <c r="L94" s="946"/>
      <c r="M94" s="851"/>
      <c r="N94" s="818"/>
      <c r="O94" s="819" t="n">
        <f aca="false">SUM(J94:N94)</f>
        <v>0</v>
      </c>
      <c r="P94" s="789"/>
      <c r="Q94" s="789"/>
      <c r="R94" s="790"/>
      <c r="S94" s="791"/>
      <c r="T94" s="789"/>
      <c r="U94" s="789"/>
      <c r="V94" s="789"/>
    </row>
    <row r="95" s="886" customFormat="true" ht="23.1" hidden="false" customHeight="true" outlineLevel="0" collapsed="false">
      <c r="A95" s="829" t="s">
        <v>568</v>
      </c>
      <c r="B95" s="927"/>
      <c r="C95" s="928"/>
      <c r="D95" s="927"/>
      <c r="E95" s="844"/>
      <c r="F95" s="845"/>
      <c r="G95" s="819" t="n">
        <f aca="false">SUM(B95:F95)</f>
        <v>0</v>
      </c>
      <c r="H95" s="820"/>
      <c r="I95" s="829" t="s">
        <v>568</v>
      </c>
      <c r="J95" s="927"/>
      <c r="K95" s="928"/>
      <c r="L95" s="927"/>
      <c r="M95" s="844"/>
      <c r="N95" s="845"/>
      <c r="O95" s="819" t="n">
        <f aca="false">SUM(J95:N95)</f>
        <v>0</v>
      </c>
      <c r="P95" s="789"/>
      <c r="Q95" s="789"/>
      <c r="R95" s="790"/>
      <c r="S95" s="791"/>
      <c r="T95" s="789"/>
      <c r="U95" s="789"/>
      <c r="V95" s="789"/>
    </row>
    <row r="96" s="886" customFormat="true" ht="23.1" hidden="false" customHeight="true" outlineLevel="0" collapsed="false">
      <c r="A96" s="829" t="s">
        <v>569</v>
      </c>
      <c r="B96" s="927"/>
      <c r="C96" s="928"/>
      <c r="D96" s="927"/>
      <c r="E96" s="832"/>
      <c r="F96" s="833"/>
      <c r="G96" s="819" t="n">
        <f aca="false">SUM(B96:F96)</f>
        <v>0</v>
      </c>
      <c r="H96" s="820"/>
      <c r="I96" s="829" t="s">
        <v>569</v>
      </c>
      <c r="J96" s="927"/>
      <c r="K96" s="928"/>
      <c r="L96" s="927"/>
      <c r="M96" s="832"/>
      <c r="N96" s="833"/>
      <c r="O96" s="819" t="n">
        <f aca="false">SUM(J96:N96)</f>
        <v>0</v>
      </c>
      <c r="P96" s="789"/>
      <c r="Q96" s="789"/>
      <c r="R96" s="790"/>
      <c r="S96" s="791"/>
      <c r="T96" s="789"/>
      <c r="U96" s="789"/>
      <c r="V96" s="789"/>
    </row>
    <row r="97" s="886" customFormat="true" ht="23.1" hidden="false" customHeight="true" outlineLevel="0" collapsed="false">
      <c r="A97" s="930" t="s">
        <v>570</v>
      </c>
      <c r="B97" s="931"/>
      <c r="C97" s="931"/>
      <c r="D97" s="932"/>
      <c r="E97" s="859"/>
      <c r="F97" s="860"/>
      <c r="G97" s="861" t="n">
        <f aca="false">SUM(B97:F97)</f>
        <v>0</v>
      </c>
      <c r="H97" s="820"/>
      <c r="I97" s="930" t="s">
        <v>570</v>
      </c>
      <c r="J97" s="931"/>
      <c r="K97" s="931"/>
      <c r="L97" s="932"/>
      <c r="M97" s="859"/>
      <c r="N97" s="860"/>
      <c r="O97" s="861" t="n">
        <f aca="false">SUM(J97:N97)</f>
        <v>0</v>
      </c>
      <c r="P97" s="789"/>
      <c r="Q97" s="789"/>
      <c r="R97" s="790"/>
      <c r="S97" s="791"/>
      <c r="T97" s="789"/>
      <c r="U97" s="789"/>
      <c r="V97" s="789"/>
    </row>
    <row r="98" s="886" customFormat="true" ht="23.1" hidden="false" customHeight="true" outlineLevel="0" collapsed="false">
      <c r="A98" s="933" t="s">
        <v>571</v>
      </c>
      <c r="B98" s="934" t="n">
        <f aca="false">SUM(B86:B97)</f>
        <v>0</v>
      </c>
      <c r="C98" s="934" t="n">
        <f aca="false">SUM(C86:C97)</f>
        <v>0</v>
      </c>
      <c r="D98" s="934" t="n">
        <f aca="false">SUM(D86:D97)</f>
        <v>0</v>
      </c>
      <c r="E98" s="872" t="n">
        <f aca="false">SUM(E86:E97)</f>
        <v>0</v>
      </c>
      <c r="F98" s="873" t="n">
        <f aca="false">SUM(F86:F97)</f>
        <v>0</v>
      </c>
      <c r="G98" s="874" t="n">
        <f aca="false">SUM(B98:F98)</f>
        <v>0</v>
      </c>
      <c r="H98" s="820"/>
      <c r="I98" s="933" t="s">
        <v>571</v>
      </c>
      <c r="J98" s="934" t="n">
        <f aca="false">SUM(J86:J97)</f>
        <v>0</v>
      </c>
      <c r="K98" s="934" t="n">
        <f aca="false">SUM(K86:K97)</f>
        <v>0</v>
      </c>
      <c r="L98" s="934" t="n">
        <f aca="false">SUM(L86:L97)</f>
        <v>0</v>
      </c>
      <c r="M98" s="872" t="n">
        <f aca="false">SUM(M86:M97)</f>
        <v>0</v>
      </c>
      <c r="N98" s="873" t="n">
        <f aca="false">SUM(N86:N97)</f>
        <v>0</v>
      </c>
      <c r="O98" s="874" t="n">
        <f aca="false">SUM(J98:N98)</f>
        <v>0</v>
      </c>
      <c r="P98" s="789"/>
      <c r="Q98" s="789"/>
      <c r="R98" s="790"/>
      <c r="S98" s="791"/>
      <c r="T98" s="789"/>
      <c r="U98" s="789"/>
      <c r="V98" s="789"/>
    </row>
    <row r="99" customFormat="false" ht="8.25" hidden="false" customHeight="true" outlineLevel="0" collapsed="false"/>
    <row r="100" s="941" customFormat="true" ht="23.1" hidden="false" customHeight="true" outlineLevel="0" collapsed="false">
      <c r="A100" s="920" t="s">
        <v>575</v>
      </c>
      <c r="B100" s="945"/>
      <c r="C100" s="945" t="s">
        <v>582</v>
      </c>
      <c r="D100" s="945"/>
      <c r="E100" s="947"/>
      <c r="F100" s="947"/>
      <c r="G100" s="924" t="s">
        <v>535</v>
      </c>
      <c r="H100" s="935"/>
      <c r="I100" s="920" t="s">
        <v>575</v>
      </c>
      <c r="J100" s="945"/>
      <c r="K100" s="945" t="s">
        <v>582</v>
      </c>
      <c r="L100" s="945"/>
      <c r="M100" s="945"/>
      <c r="N100" s="945"/>
      <c r="O100" s="924" t="s">
        <v>535</v>
      </c>
      <c r="P100" s="938"/>
      <c r="Q100" s="938"/>
      <c r="R100" s="939"/>
      <c r="S100" s="940"/>
      <c r="T100" s="938"/>
      <c r="U100" s="938"/>
      <c r="V100" s="938"/>
    </row>
    <row r="101" s="886" customFormat="true" ht="23.1" hidden="false" customHeight="true" outlineLevel="0" collapsed="false">
      <c r="A101" s="800" t="s">
        <v>537</v>
      </c>
      <c r="B101" s="801" t="s">
        <v>538</v>
      </c>
      <c r="C101" s="802" t="s">
        <v>539</v>
      </c>
      <c r="D101" s="801" t="s">
        <v>81</v>
      </c>
      <c r="E101" s="803" t="s">
        <v>82</v>
      </c>
      <c r="F101" s="804" t="str">
        <f aca="false">F85</f>
        <v>子ども・子育て支援</v>
      </c>
      <c r="G101" s="925" t="s">
        <v>541</v>
      </c>
      <c r="H101" s="820"/>
      <c r="I101" s="800" t="s">
        <v>537</v>
      </c>
      <c r="J101" s="801" t="s">
        <v>538</v>
      </c>
      <c r="K101" s="802" t="s">
        <v>539</v>
      </c>
      <c r="L101" s="801" t="s">
        <v>81</v>
      </c>
      <c r="M101" s="803" t="s">
        <v>82</v>
      </c>
      <c r="N101" s="804" t="str">
        <f aca="false">N85</f>
        <v>子ども・子育て支援</v>
      </c>
      <c r="O101" s="925" t="s">
        <v>541</v>
      </c>
      <c r="P101" s="789"/>
      <c r="Q101" s="789"/>
      <c r="R101" s="790"/>
      <c r="S101" s="791"/>
      <c r="T101" s="789"/>
      <c r="U101" s="789"/>
      <c r="V101" s="789"/>
    </row>
    <row r="102" s="886" customFormat="true" ht="23.1" hidden="false" customHeight="true" outlineLevel="0" collapsed="false">
      <c r="A102" s="926" t="s">
        <v>559</v>
      </c>
      <c r="B102" s="843"/>
      <c r="C102" s="843"/>
      <c r="D102" s="843"/>
      <c r="E102" s="817" t="n">
        <v>0</v>
      </c>
      <c r="F102" s="818"/>
      <c r="G102" s="819" t="n">
        <f aca="false">SUM(B102:F102)</f>
        <v>0</v>
      </c>
      <c r="H102" s="820"/>
      <c r="I102" s="926" t="s">
        <v>559</v>
      </c>
      <c r="J102" s="843"/>
      <c r="K102" s="843"/>
      <c r="L102" s="843"/>
      <c r="M102" s="817" t="n">
        <v>0</v>
      </c>
      <c r="N102" s="818"/>
      <c r="O102" s="819" t="n">
        <f aca="false">SUM(J102:N102)</f>
        <v>0</v>
      </c>
      <c r="P102" s="789"/>
      <c r="Q102" s="789"/>
      <c r="R102" s="790"/>
      <c r="S102" s="791"/>
      <c r="T102" s="789"/>
      <c r="U102" s="789"/>
      <c r="V102" s="789"/>
    </row>
    <row r="103" s="886" customFormat="true" ht="23.1" hidden="false" customHeight="true" outlineLevel="0" collapsed="false">
      <c r="A103" s="829" t="s">
        <v>560</v>
      </c>
      <c r="B103" s="842"/>
      <c r="C103" s="843"/>
      <c r="D103" s="842"/>
      <c r="E103" s="832" t="n">
        <v>0</v>
      </c>
      <c r="F103" s="833"/>
      <c r="G103" s="819" t="n">
        <f aca="false">SUM(B103:F103)</f>
        <v>0</v>
      </c>
      <c r="H103" s="820"/>
      <c r="I103" s="829" t="s">
        <v>560</v>
      </c>
      <c r="J103" s="842"/>
      <c r="K103" s="843"/>
      <c r="L103" s="842"/>
      <c r="M103" s="832" t="n">
        <v>0</v>
      </c>
      <c r="N103" s="833"/>
      <c r="O103" s="819" t="n">
        <f aca="false">SUM(J103:N103)</f>
        <v>0</v>
      </c>
      <c r="P103" s="789"/>
      <c r="Q103" s="789"/>
      <c r="R103" s="790"/>
      <c r="S103" s="791"/>
      <c r="T103" s="789"/>
      <c r="U103" s="789"/>
      <c r="V103" s="789"/>
    </row>
    <row r="104" s="886" customFormat="true" ht="23.1" hidden="false" customHeight="true" outlineLevel="0" collapsed="false">
      <c r="A104" s="829" t="s">
        <v>561</v>
      </c>
      <c r="B104" s="842"/>
      <c r="C104" s="843"/>
      <c r="D104" s="842"/>
      <c r="E104" s="844" t="n">
        <v>0</v>
      </c>
      <c r="F104" s="845"/>
      <c r="G104" s="819" t="n">
        <f aca="false">SUM(B104:F104)</f>
        <v>0</v>
      </c>
      <c r="H104" s="820"/>
      <c r="I104" s="829" t="s">
        <v>561</v>
      </c>
      <c r="J104" s="842"/>
      <c r="K104" s="843"/>
      <c r="L104" s="842"/>
      <c r="M104" s="844" t="n">
        <v>0</v>
      </c>
      <c r="N104" s="845"/>
      <c r="O104" s="819" t="n">
        <f aca="false">SUM(J104:N104)</f>
        <v>0</v>
      </c>
      <c r="P104" s="789"/>
      <c r="Q104" s="789"/>
      <c r="R104" s="790"/>
      <c r="S104" s="791"/>
      <c r="T104" s="789"/>
      <c r="U104" s="789"/>
      <c r="V104" s="789"/>
    </row>
    <row r="105" s="886" customFormat="true" ht="23.1" hidden="false" customHeight="true" outlineLevel="0" collapsed="false">
      <c r="A105" s="829" t="s">
        <v>562</v>
      </c>
      <c r="B105" s="842"/>
      <c r="C105" s="843"/>
      <c r="D105" s="842"/>
      <c r="E105" s="844" t="n">
        <v>0</v>
      </c>
      <c r="F105" s="845"/>
      <c r="G105" s="819" t="n">
        <f aca="false">SUM(B105:F105)</f>
        <v>0</v>
      </c>
      <c r="H105" s="820"/>
      <c r="I105" s="829" t="s">
        <v>562</v>
      </c>
      <c r="J105" s="842"/>
      <c r="K105" s="843"/>
      <c r="L105" s="842"/>
      <c r="M105" s="844" t="n">
        <v>0</v>
      </c>
      <c r="N105" s="845"/>
      <c r="O105" s="819" t="n">
        <f aca="false">SUM(J105:N105)</f>
        <v>0</v>
      </c>
      <c r="P105" s="789"/>
      <c r="Q105" s="789"/>
      <c r="R105" s="790"/>
      <c r="S105" s="791"/>
      <c r="T105" s="789"/>
      <c r="U105" s="789"/>
      <c r="V105" s="789"/>
    </row>
    <row r="106" s="886" customFormat="true" ht="23.1" hidden="false" customHeight="true" outlineLevel="0" collapsed="false">
      <c r="A106" s="829" t="s">
        <v>563</v>
      </c>
      <c r="B106" s="842"/>
      <c r="C106" s="843"/>
      <c r="D106" s="842"/>
      <c r="E106" s="844" t="n">
        <v>0</v>
      </c>
      <c r="F106" s="845"/>
      <c r="G106" s="819" t="n">
        <f aca="false">SUM(B106:F106)</f>
        <v>0</v>
      </c>
      <c r="H106" s="820"/>
      <c r="I106" s="829" t="s">
        <v>563</v>
      </c>
      <c r="J106" s="842"/>
      <c r="K106" s="843"/>
      <c r="L106" s="842"/>
      <c r="M106" s="844" t="n">
        <v>0</v>
      </c>
      <c r="N106" s="845"/>
      <c r="O106" s="819" t="n">
        <f aca="false">SUM(J106:N106)</f>
        <v>0</v>
      </c>
      <c r="P106" s="789"/>
      <c r="Q106" s="789"/>
      <c r="R106" s="790"/>
      <c r="S106" s="791"/>
      <c r="T106" s="789"/>
      <c r="U106" s="789"/>
      <c r="V106" s="789"/>
    </row>
    <row r="107" s="886" customFormat="true" ht="23.1" hidden="false" customHeight="true" outlineLevel="0" collapsed="false">
      <c r="A107" s="829" t="s">
        <v>564</v>
      </c>
      <c r="B107" s="842"/>
      <c r="C107" s="843"/>
      <c r="D107" s="842"/>
      <c r="E107" s="844"/>
      <c r="F107" s="845"/>
      <c r="G107" s="819" t="n">
        <f aca="false">SUM(B107:F107)</f>
        <v>0</v>
      </c>
      <c r="H107" s="820"/>
      <c r="I107" s="829" t="s">
        <v>564</v>
      </c>
      <c r="J107" s="842"/>
      <c r="K107" s="843"/>
      <c r="L107" s="842"/>
      <c r="M107" s="844"/>
      <c r="N107" s="845"/>
      <c r="O107" s="819" t="n">
        <f aca="false">SUM(J107:N107)</f>
        <v>0</v>
      </c>
      <c r="P107" s="789"/>
      <c r="Q107" s="789"/>
      <c r="R107" s="790"/>
      <c r="S107" s="791"/>
      <c r="T107" s="789"/>
      <c r="U107" s="789"/>
      <c r="V107" s="789"/>
    </row>
    <row r="108" s="886" customFormat="true" ht="23.1" hidden="false" customHeight="true" outlineLevel="0" collapsed="false">
      <c r="A108" s="829" t="s">
        <v>565</v>
      </c>
      <c r="B108" s="842"/>
      <c r="C108" s="843"/>
      <c r="D108" s="842"/>
      <c r="E108" s="844" t="n">
        <v>0</v>
      </c>
      <c r="F108" s="845"/>
      <c r="G108" s="819" t="n">
        <f aca="false">SUM(B108:F108)</f>
        <v>0</v>
      </c>
      <c r="H108" s="820"/>
      <c r="I108" s="829" t="s">
        <v>565</v>
      </c>
      <c r="J108" s="842"/>
      <c r="K108" s="843"/>
      <c r="L108" s="842"/>
      <c r="M108" s="844" t="n">
        <v>0</v>
      </c>
      <c r="N108" s="845"/>
      <c r="O108" s="819" t="n">
        <f aca="false">SUM(J108:N108)</f>
        <v>0</v>
      </c>
      <c r="P108" s="789"/>
      <c r="Q108" s="789"/>
      <c r="R108" s="790"/>
      <c r="S108" s="791"/>
      <c r="T108" s="789"/>
      <c r="U108" s="789"/>
      <c r="V108" s="789"/>
    </row>
    <row r="109" s="886" customFormat="true" ht="23.1" hidden="false" customHeight="true" outlineLevel="0" collapsed="false">
      <c r="A109" s="829" t="s">
        <v>566</v>
      </c>
      <c r="B109" s="842"/>
      <c r="C109" s="843"/>
      <c r="D109" s="842"/>
      <c r="E109" s="844" t="n">
        <v>0</v>
      </c>
      <c r="F109" s="845"/>
      <c r="G109" s="819" t="n">
        <f aca="false">SUM(B109:F109)</f>
        <v>0</v>
      </c>
      <c r="H109" s="820"/>
      <c r="I109" s="829" t="s">
        <v>566</v>
      </c>
      <c r="J109" s="842"/>
      <c r="K109" s="843"/>
      <c r="L109" s="842"/>
      <c r="M109" s="844" t="n">
        <v>0</v>
      </c>
      <c r="N109" s="845"/>
      <c r="O109" s="819" t="n">
        <f aca="false">SUM(J109:N109)</f>
        <v>0</v>
      </c>
      <c r="P109" s="789"/>
      <c r="Q109" s="789"/>
      <c r="R109" s="790"/>
      <c r="S109" s="791"/>
      <c r="T109" s="789"/>
      <c r="U109" s="789"/>
      <c r="V109" s="789"/>
    </row>
    <row r="110" s="886" customFormat="true" ht="23.1" hidden="false" customHeight="true" outlineLevel="0" collapsed="false">
      <c r="A110" s="829" t="s">
        <v>567</v>
      </c>
      <c r="B110" s="927"/>
      <c r="C110" s="928"/>
      <c r="D110" s="929"/>
      <c r="E110" s="851" t="n">
        <v>0</v>
      </c>
      <c r="F110" s="818"/>
      <c r="G110" s="819" t="n">
        <f aca="false">SUM(B110:F110)</f>
        <v>0</v>
      </c>
      <c r="H110" s="820"/>
      <c r="I110" s="829" t="s">
        <v>567</v>
      </c>
      <c r="J110" s="927"/>
      <c r="K110" s="928"/>
      <c r="L110" s="929"/>
      <c r="M110" s="851" t="n">
        <v>0</v>
      </c>
      <c r="N110" s="818"/>
      <c r="O110" s="819" t="n">
        <f aca="false">SUM(J110:N110)</f>
        <v>0</v>
      </c>
      <c r="P110" s="789"/>
      <c r="Q110" s="789"/>
      <c r="R110" s="790"/>
      <c r="S110" s="791"/>
      <c r="T110" s="789"/>
      <c r="U110" s="789"/>
      <c r="V110" s="789"/>
    </row>
    <row r="111" s="886" customFormat="true" ht="23.1" hidden="false" customHeight="true" outlineLevel="0" collapsed="false">
      <c r="A111" s="829" t="s">
        <v>568</v>
      </c>
      <c r="B111" s="830"/>
      <c r="C111" s="831"/>
      <c r="D111" s="830"/>
      <c r="E111" s="844" t="n">
        <v>0</v>
      </c>
      <c r="F111" s="845"/>
      <c r="G111" s="819" t="n">
        <f aca="false">SUM(B111:F111)</f>
        <v>0</v>
      </c>
      <c r="H111" s="820"/>
      <c r="I111" s="829" t="s">
        <v>568</v>
      </c>
      <c r="J111" s="927"/>
      <c r="K111" s="928"/>
      <c r="L111" s="927"/>
      <c r="M111" s="844" t="n">
        <v>0</v>
      </c>
      <c r="N111" s="845"/>
      <c r="O111" s="819" t="n">
        <f aca="false">SUM(J111:N111)</f>
        <v>0</v>
      </c>
      <c r="P111" s="789"/>
      <c r="Q111" s="789"/>
      <c r="R111" s="790"/>
      <c r="S111" s="791"/>
      <c r="T111" s="789"/>
      <c r="U111" s="789"/>
      <c r="V111" s="789"/>
    </row>
    <row r="112" s="886" customFormat="true" ht="23.1" hidden="false" customHeight="true" outlineLevel="0" collapsed="false">
      <c r="A112" s="829" t="s">
        <v>569</v>
      </c>
      <c r="B112" s="927"/>
      <c r="C112" s="928"/>
      <c r="D112" s="927"/>
      <c r="E112" s="832"/>
      <c r="F112" s="833"/>
      <c r="G112" s="819" t="n">
        <f aca="false">SUM(B112:F112)</f>
        <v>0</v>
      </c>
      <c r="H112" s="820"/>
      <c r="I112" s="829" t="s">
        <v>569</v>
      </c>
      <c r="J112" s="927"/>
      <c r="K112" s="928"/>
      <c r="L112" s="927"/>
      <c r="M112" s="832"/>
      <c r="N112" s="833"/>
      <c r="O112" s="819" t="n">
        <f aca="false">SUM(J112:N112)</f>
        <v>0</v>
      </c>
      <c r="P112" s="789"/>
      <c r="Q112" s="789"/>
      <c r="R112" s="790"/>
      <c r="S112" s="791"/>
      <c r="T112" s="789"/>
      <c r="U112" s="789"/>
      <c r="V112" s="789"/>
    </row>
    <row r="113" s="886" customFormat="true" ht="23.1" hidden="false" customHeight="true" outlineLevel="0" collapsed="false">
      <c r="A113" s="930" t="s">
        <v>570</v>
      </c>
      <c r="B113" s="931"/>
      <c r="C113" s="931"/>
      <c r="D113" s="932"/>
      <c r="E113" s="859" t="n">
        <v>0</v>
      </c>
      <c r="F113" s="860"/>
      <c r="G113" s="861" t="n">
        <f aca="false">SUM(B113:F113)</f>
        <v>0</v>
      </c>
      <c r="H113" s="820"/>
      <c r="I113" s="930" t="s">
        <v>570</v>
      </c>
      <c r="J113" s="931"/>
      <c r="K113" s="931"/>
      <c r="L113" s="948"/>
      <c r="M113" s="859" t="n">
        <v>0</v>
      </c>
      <c r="N113" s="860"/>
      <c r="O113" s="861" t="n">
        <f aca="false">SUM(J113:N113)</f>
        <v>0</v>
      </c>
      <c r="P113" s="789"/>
      <c r="Q113" s="789"/>
      <c r="R113" s="790"/>
      <c r="S113" s="791"/>
      <c r="T113" s="789"/>
      <c r="U113" s="789"/>
      <c r="V113" s="789"/>
    </row>
    <row r="114" s="886" customFormat="true" ht="23.1" hidden="false" customHeight="true" outlineLevel="0" collapsed="false">
      <c r="A114" s="933" t="s">
        <v>571</v>
      </c>
      <c r="B114" s="934" t="n">
        <f aca="false">SUM(B102:B113)</f>
        <v>0</v>
      </c>
      <c r="C114" s="934" t="n">
        <f aca="false">SUM(C102:C113)</f>
        <v>0</v>
      </c>
      <c r="D114" s="934" t="n">
        <f aca="false">SUM(D102:D113)</f>
        <v>0</v>
      </c>
      <c r="E114" s="872" t="n">
        <f aca="false">SUM(E102:E113)</f>
        <v>0</v>
      </c>
      <c r="F114" s="873" t="n">
        <f aca="false">SUM(F102:F113)</f>
        <v>0</v>
      </c>
      <c r="G114" s="874" t="n">
        <f aca="false">SUM(B114:F114)</f>
        <v>0</v>
      </c>
      <c r="H114" s="820"/>
      <c r="I114" s="933" t="s">
        <v>571</v>
      </c>
      <c r="J114" s="934" t="n">
        <f aca="false">SUM(J102:J113)</f>
        <v>0</v>
      </c>
      <c r="K114" s="934" t="n">
        <f aca="false">SUM(K102:K113)</f>
        <v>0</v>
      </c>
      <c r="L114" s="934" t="n">
        <f aca="false">SUM(L102:L113)</f>
        <v>0</v>
      </c>
      <c r="M114" s="872" t="n">
        <f aca="false">SUM(M102:M113)</f>
        <v>0</v>
      </c>
      <c r="N114" s="873" t="n">
        <f aca="false">SUM(N102:N113)</f>
        <v>0</v>
      </c>
      <c r="O114" s="874" t="n">
        <f aca="false">SUM(J114:N114)</f>
        <v>0</v>
      </c>
      <c r="P114" s="789"/>
      <c r="Q114" s="789"/>
      <c r="R114" s="790"/>
      <c r="S114" s="791"/>
      <c r="T114" s="789"/>
      <c r="U114" s="789"/>
      <c r="V114" s="789"/>
    </row>
  </sheetData>
  <mergeCells count="5">
    <mergeCell ref="C35:E35"/>
    <mergeCell ref="C51:E51"/>
    <mergeCell ref="K51:M51"/>
    <mergeCell ref="C68:E68"/>
    <mergeCell ref="C84:E84"/>
  </mergeCells>
  <printOptions headings="false" gridLines="false" gridLinesSet="true" horizontalCentered="true" verticalCentered="false"/>
  <pageMargins left="0.196527777777778" right="0.196527777777778" top="0.590277777777778" bottom="0" header="0.511811023622047" footer="0"/>
  <pageSetup paperSize="9" scale="55" fitToWidth="1" fitToHeight="1" pageOrder="downThenOver" orientation="landscape" blackAndWhite="false" draft="false" cellComments="none" horizontalDpi="300" verticalDpi="300" copies="1"/>
  <headerFooter differentFirst="false" differentOddEven="false">
    <oddHeader/>
    <oddFooter>&amp;R&amp;8&amp;Z&amp;F&amp;A</oddFooter>
  </headerFooter>
  <rowBreaks count="2" manualBreakCount="2">
    <brk id="33" man="true" max="16383" min="0"/>
    <brk id="82" man="true" max="16383" min="0"/>
  </rowBreaks>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true"/>
  </sheetPr>
  <dimension ref="A1:X168"/>
  <sheetViews>
    <sheetView showFormulas="false" showGridLines="true" showRowColHeaders="true" showZeros="true" rightToLeft="false" tabSelected="false" showOutlineSymbols="true" defaultGridColor="true" view="normal" topLeftCell="A1" colorId="64" zoomScale="100" zoomScaleNormal="100" zoomScalePageLayoutView="70" workbookViewId="0">
      <selection pane="topLeft" activeCell="H25" activeCellId="0" sqref="H25"/>
    </sheetView>
  </sheetViews>
  <sheetFormatPr defaultColWidth="8.79296875" defaultRowHeight="14.25" zeroHeight="false" outlineLevelRow="0" outlineLevelCol="0"/>
  <cols>
    <col collapsed="false" customWidth="true" hidden="false" outlineLevel="0" max="1" min="1" style="789" width="14.59"/>
    <col collapsed="false" customWidth="true" hidden="false" outlineLevel="0" max="9" min="2" style="790" width="9.69"/>
    <col collapsed="false" customWidth="true" hidden="false" outlineLevel="0" max="10" min="10" style="790" width="7.89"/>
    <col collapsed="false" customWidth="true" hidden="false" outlineLevel="0" max="11" min="11" style="790" width="1.79"/>
    <col collapsed="false" customWidth="true" hidden="false" outlineLevel="0" max="12" min="12" style="790" width="14.19"/>
    <col collapsed="false" customWidth="true" hidden="false" outlineLevel="0" max="15" min="13" style="790" width="9.59"/>
    <col collapsed="false" customWidth="true" hidden="false" outlineLevel="0" max="16" min="16" style="789" width="9.59"/>
    <col collapsed="false" customWidth="true" hidden="false" outlineLevel="0" max="17" min="17" style="789" width="9.69"/>
    <col collapsed="false" customWidth="true" hidden="false" outlineLevel="0" max="20" min="18" style="789" width="9.59"/>
    <col collapsed="false" customWidth="true" hidden="false" outlineLevel="0" max="21" min="21" style="789" width="7.89"/>
    <col collapsed="false" customWidth="true" hidden="false" outlineLevel="0" max="22" min="22" style="790" width="3.89"/>
    <col collapsed="false" customWidth="true" hidden="false" outlineLevel="0" max="23" min="23" style="791" width="6.89"/>
    <col collapsed="false" customWidth="true" hidden="false" outlineLevel="0" max="24" min="24" style="789" width="2.99"/>
    <col collapsed="false" customWidth="false" hidden="false" outlineLevel="0" max="257" min="25" style="789" width="8.79"/>
  </cols>
  <sheetData>
    <row r="1" customFormat="false" ht="22.5" hidden="false" customHeight="true" outlineLevel="0" collapsed="false">
      <c r="A1" s="949" t="str">
        <f aca="false">還付!A1</f>
        <v>令和8年度</v>
      </c>
      <c r="B1" s="950" t="s">
        <v>583</v>
      </c>
      <c r="D1" s="789"/>
      <c r="E1" s="789"/>
      <c r="F1" s="789"/>
      <c r="G1" s="789"/>
      <c r="H1" s="789"/>
      <c r="I1" s="789"/>
      <c r="L1" s="789"/>
      <c r="M1" s="789"/>
      <c r="N1" s="789"/>
      <c r="O1" s="789"/>
      <c r="V1" s="789"/>
    </row>
    <row r="2" customFormat="false" ht="10.5" hidden="false" customHeight="true" outlineLevel="0" collapsed="false">
      <c r="D2" s="789"/>
      <c r="E2" s="789"/>
      <c r="F2" s="789"/>
      <c r="G2" s="789"/>
      <c r="H2" s="789"/>
      <c r="I2" s="789"/>
      <c r="L2" s="789"/>
      <c r="M2" s="789"/>
      <c r="N2" s="789"/>
      <c r="O2" s="789"/>
      <c r="V2" s="789"/>
    </row>
    <row r="3" customFormat="false" ht="27" hidden="false" customHeight="true" outlineLevel="0" collapsed="false">
      <c r="A3" s="794" t="s">
        <v>584</v>
      </c>
      <c r="B3" s="789"/>
      <c r="C3" s="789"/>
      <c r="D3" s="789"/>
      <c r="E3" s="789"/>
      <c r="F3" s="789"/>
      <c r="G3" s="789"/>
      <c r="H3" s="789"/>
      <c r="I3" s="789"/>
      <c r="J3" s="795" t="s">
        <v>535</v>
      </c>
      <c r="K3" s="789"/>
      <c r="L3" s="794" t="s">
        <v>585</v>
      </c>
      <c r="M3" s="789"/>
      <c r="N3" s="789"/>
      <c r="O3" s="789"/>
      <c r="T3" s="795"/>
      <c r="U3" s="951" t="s">
        <v>535</v>
      </c>
      <c r="V3" s="789"/>
      <c r="W3" s="952" t="s">
        <v>586</v>
      </c>
      <c r="X3" s="886"/>
    </row>
    <row r="4" customFormat="false" ht="30" hidden="false" customHeight="true" outlineLevel="0" collapsed="false">
      <c r="A4" s="887" t="s">
        <v>587</v>
      </c>
      <c r="B4" s="888" t="s">
        <v>538</v>
      </c>
      <c r="C4" s="889" t="s">
        <v>539</v>
      </c>
      <c r="D4" s="888" t="s">
        <v>81</v>
      </c>
      <c r="E4" s="953" t="s">
        <v>588</v>
      </c>
      <c r="F4" s="953"/>
      <c r="G4" s="953" t="s">
        <v>589</v>
      </c>
      <c r="H4" s="953"/>
      <c r="I4" s="954" t="s">
        <v>541</v>
      </c>
      <c r="J4" s="955" t="n">
        <f aca="false">'☆掛負収入'!B2</f>
        <v>46113</v>
      </c>
      <c r="K4" s="820"/>
      <c r="L4" s="800" t="s">
        <v>587</v>
      </c>
      <c r="M4" s="801" t="s">
        <v>538</v>
      </c>
      <c r="N4" s="802" t="s">
        <v>539</v>
      </c>
      <c r="O4" s="801" t="s">
        <v>81</v>
      </c>
      <c r="P4" s="956" t="s">
        <v>82</v>
      </c>
      <c r="Q4" s="957" t="s">
        <v>590</v>
      </c>
      <c r="R4" s="958" t="s">
        <v>591</v>
      </c>
      <c r="S4" s="959" t="s">
        <v>592</v>
      </c>
      <c r="T4" s="925" t="s">
        <v>541</v>
      </c>
      <c r="U4" s="955" t="n">
        <f aca="false">J4</f>
        <v>46113</v>
      </c>
      <c r="V4" s="960" t="s">
        <v>593</v>
      </c>
      <c r="W4" s="884"/>
    </row>
    <row r="5" customFormat="false" ht="22.5" hidden="false" customHeight="true" outlineLevel="0" collapsed="false">
      <c r="A5" s="961" t="n">
        <f aca="false">'☆掛負収入'!B2</f>
        <v>46113</v>
      </c>
      <c r="B5" s="962" t="n">
        <f aca="false">M5+B26+M26+B56+M56+B77+M77+B116+M116+B137+M137</f>
        <v>0</v>
      </c>
      <c r="C5" s="962" t="n">
        <f aca="false">N5+C26+N26+C56+N56+C77+N77+C116+N116+C137+N137</f>
        <v>0</v>
      </c>
      <c r="D5" s="962" t="n">
        <f aca="false">O5+D26+O26+D56+O56+D77+O77+D116+O116+D137+O137</f>
        <v>0</v>
      </c>
      <c r="E5" s="963"/>
      <c r="F5" s="964" t="n">
        <f aca="false">P5+Q5+E26+F26+P26+Q26+E56+F56+P56+Q56+E77+F77+P77+Q77+E116+F116+P116+Q116+E137+F137+P137+Q137</f>
        <v>0</v>
      </c>
      <c r="G5" s="963"/>
      <c r="H5" s="964" t="n">
        <f aca="false">R5+S5+G26+H26+R26+S26+G56+H56+R56+S56+G77+H77+R77+S77+G116+H116+R116+S116+G137+H137+R137+S137</f>
        <v>2200000</v>
      </c>
      <c r="I5" s="965" t="n">
        <f aca="false">SUM(B5:H5)</f>
        <v>2200000</v>
      </c>
      <c r="J5" s="966" t="n">
        <f aca="false">U5</f>
        <v>0</v>
      </c>
      <c r="K5" s="820"/>
      <c r="L5" s="961" t="n">
        <f aca="false">A5</f>
        <v>46113</v>
      </c>
      <c r="M5" s="967"/>
      <c r="N5" s="967"/>
      <c r="O5" s="968"/>
      <c r="P5" s="969"/>
      <c r="Q5" s="970"/>
      <c r="R5" s="969" t="n">
        <v>100000</v>
      </c>
      <c r="S5" s="971" t="n">
        <v>100000</v>
      </c>
      <c r="T5" s="972" t="n">
        <f aca="false">SUM(M5:S5)</f>
        <v>200000</v>
      </c>
      <c r="U5" s="972" t="n">
        <f aca="false">0+W5</f>
        <v>0</v>
      </c>
      <c r="V5" s="973"/>
      <c r="W5" s="974"/>
    </row>
    <row r="6" customFormat="false" ht="22.5" hidden="false" customHeight="true" outlineLevel="0" collapsed="false">
      <c r="A6" s="961" t="n">
        <f aca="false">EOMONTH(A5,1)</f>
        <v>46173</v>
      </c>
      <c r="B6" s="962" t="n">
        <f aca="false">M6+B27+M27+B57+M57+B78+M78+B117+M117+B138+M138</f>
        <v>0</v>
      </c>
      <c r="C6" s="975" t="n">
        <f aca="false">N6+C27+N27+C57+N57+C78+N78+C117+N117+C138+N138</f>
        <v>0</v>
      </c>
      <c r="D6" s="962" t="n">
        <f aca="false">O6+D27+O27+D57+O57+D78+O78+D117+O117+D138+O138</f>
        <v>0</v>
      </c>
      <c r="E6" s="976"/>
      <c r="F6" s="977" t="n">
        <f aca="false">P6+Q6+E27+F27+P27+Q27+E57+F57+P57+Q57+E78+F78+P78+Q78+E117+F117+P117+Q117+E138+F138+P138+Q138</f>
        <v>0</v>
      </c>
      <c r="G6" s="976"/>
      <c r="H6" s="977" t="n">
        <f aca="false">R6+S6+G27+H27+R27+S27+G57+H57+R57+S57+G78+H78+R78+S78+G117+H117+R117+S117+G138+H138+R138+S138</f>
        <v>2200000</v>
      </c>
      <c r="I6" s="965" t="n">
        <f aca="false">SUM(B6:H6)</f>
        <v>2200000</v>
      </c>
      <c r="J6" s="966" t="n">
        <f aca="false">U6</f>
        <v>-200000</v>
      </c>
      <c r="K6" s="820"/>
      <c r="L6" s="961" t="n">
        <f aca="false">A6</f>
        <v>46173</v>
      </c>
      <c r="M6" s="978"/>
      <c r="N6" s="978"/>
      <c r="O6" s="979"/>
      <c r="P6" s="980"/>
      <c r="Q6" s="981"/>
      <c r="R6" s="982" t="n">
        <v>100000</v>
      </c>
      <c r="S6" s="983" t="n">
        <v>100000</v>
      </c>
      <c r="T6" s="972" t="n">
        <f aca="false">SUM(M6:S6)</f>
        <v>200000</v>
      </c>
      <c r="U6" s="972" t="n">
        <f aca="false">U5+W6-T6</f>
        <v>-200000</v>
      </c>
      <c r="V6" s="973"/>
      <c r="W6" s="974"/>
    </row>
    <row r="7" customFormat="false" ht="22.5" hidden="false" customHeight="true" outlineLevel="0" collapsed="false">
      <c r="A7" s="961" t="n">
        <f aca="false">EOMONTH(A6,1)</f>
        <v>46203</v>
      </c>
      <c r="B7" s="962" t="n">
        <f aca="false">M7+B28+M28+B58+M58+B79+M79+B118+M118+B139+M139</f>
        <v>0</v>
      </c>
      <c r="C7" s="975" t="n">
        <f aca="false">N7+C28+N28+C58+N58+C79+N79+C118+N118+C139+N139</f>
        <v>0</v>
      </c>
      <c r="D7" s="962" t="n">
        <f aca="false">O7+D28+O28+D58+O58+D79+O79+D118+O118+D139+O139</f>
        <v>0</v>
      </c>
      <c r="E7" s="976"/>
      <c r="F7" s="977" t="n">
        <f aca="false">P7+Q7+E28+F28+P28+Q28+E58+F58+P58+Q58+E79+F79+P79+Q79+E118+F118+P118+Q118+E139+F139+P139+Q139</f>
        <v>0</v>
      </c>
      <c r="G7" s="976"/>
      <c r="H7" s="977" t="n">
        <f aca="false">R7+S7+G28+H28+R28+S28+G58+H58+R58+S58+G79+H79+R79+S79+G118+H118+R118+S118+G139+H139+R139+S139</f>
        <v>2200000</v>
      </c>
      <c r="I7" s="965" t="n">
        <f aca="false">SUM(B7:H7)</f>
        <v>2200000</v>
      </c>
      <c r="J7" s="966" t="n">
        <f aca="false">U7</f>
        <v>-400000</v>
      </c>
      <c r="K7" s="820"/>
      <c r="L7" s="961" t="n">
        <f aca="false">A7</f>
        <v>46203</v>
      </c>
      <c r="M7" s="842"/>
      <c r="N7" s="842"/>
      <c r="O7" s="984"/>
      <c r="P7" s="980"/>
      <c r="Q7" s="981"/>
      <c r="R7" s="982" t="n">
        <v>100000</v>
      </c>
      <c r="S7" s="983" t="n">
        <v>100000</v>
      </c>
      <c r="T7" s="972" t="n">
        <f aca="false">SUM(M7:S7)</f>
        <v>200000</v>
      </c>
      <c r="U7" s="972" t="n">
        <f aca="false">U6+W7-T7</f>
        <v>-400000</v>
      </c>
      <c r="V7" s="973"/>
      <c r="W7" s="974"/>
    </row>
    <row r="8" customFormat="false" ht="22.5" hidden="false" customHeight="true" outlineLevel="0" collapsed="false">
      <c r="A8" s="985" t="n">
        <f aca="false">A7</f>
        <v>46203</v>
      </c>
      <c r="B8" s="975" t="n">
        <f aca="false">M8+B29+M29+B59+M59+B80+M80+B119+M119+B140+M140</f>
        <v>0</v>
      </c>
      <c r="C8" s="975" t="n">
        <f aca="false">N8+C29+N29+C59+N59+C80+N80+C119+N119+C140+N140</f>
        <v>0</v>
      </c>
      <c r="D8" s="975" t="n">
        <f aca="false">O8+D29+O29+D59+O59+D80+O80+D119+O119+D140+O140</f>
        <v>0</v>
      </c>
      <c r="E8" s="986"/>
      <c r="F8" s="977" t="n">
        <f aca="false">P8+Q8+E29+F29+P29+Q29+E59+F59+P59+Q59+E80+F80+P80+Q80+E119+F119+P119+Q119+E140+F140+P140+Q140</f>
        <v>0</v>
      </c>
      <c r="G8" s="986"/>
      <c r="H8" s="977" t="n">
        <f aca="false">R8+S8+G29+H29+R29+S29+G59+H59+R59+S59+G80+H80+R80+S80+G119+H119+R119+S119+G140+H140+R140+S140</f>
        <v>2200000</v>
      </c>
      <c r="I8" s="965" t="n">
        <f aca="false">SUM(B8:H8)</f>
        <v>2200000</v>
      </c>
      <c r="J8" s="966" t="n">
        <f aca="false">U8</f>
        <v>-600000</v>
      </c>
      <c r="K8" s="820"/>
      <c r="L8" s="985" t="n">
        <f aca="false">A8</f>
        <v>46203</v>
      </c>
      <c r="M8" s="987"/>
      <c r="N8" s="987"/>
      <c r="O8" s="988"/>
      <c r="P8" s="980"/>
      <c r="Q8" s="989"/>
      <c r="R8" s="982" t="n">
        <v>100000</v>
      </c>
      <c r="S8" s="990" t="n">
        <v>100000</v>
      </c>
      <c r="T8" s="819" t="n">
        <f aca="false">SUM(M8:S8)</f>
        <v>200000</v>
      </c>
      <c r="U8" s="972" t="n">
        <f aca="false">U7+W8-T8</f>
        <v>-600000</v>
      </c>
      <c r="V8" s="973"/>
      <c r="W8" s="974"/>
    </row>
    <row r="9" customFormat="false" ht="22.5" hidden="false" customHeight="true" outlineLevel="0" collapsed="false">
      <c r="A9" s="961" t="n">
        <f aca="false">EOMONTH(A7,1)</f>
        <v>46234</v>
      </c>
      <c r="B9" s="962" t="n">
        <f aca="false">M9+B30+M30+B60+M60+B81+M81+B120+M120+B141+M141</f>
        <v>0</v>
      </c>
      <c r="C9" s="975" t="n">
        <f aca="false">N9+C30+N30+C60+N60+C81+N81+C120+N120+C141+N141</f>
        <v>0</v>
      </c>
      <c r="D9" s="962" t="n">
        <f aca="false">O9+D30+O30+D60+O60+D81+O81+D120+O120+D141+O141</f>
        <v>0</v>
      </c>
      <c r="E9" s="976"/>
      <c r="F9" s="977" t="n">
        <f aca="false">P9+Q9+E30+F30+P30+Q30+E60+F60+P60+Q60+E81+F81+P81+Q81+E120+F120+P120+Q120+E141+F141+P141+Q141</f>
        <v>0</v>
      </c>
      <c r="G9" s="976"/>
      <c r="H9" s="977" t="n">
        <f aca="false">R9+S9+G30+H30+R30+S30+G60+H60+R60+S60+G81+H81+R81+S81+G120+H120+R120+S120+G141+H141+R141+S141</f>
        <v>2200000</v>
      </c>
      <c r="I9" s="965" t="n">
        <f aca="false">SUM(B9:H9)</f>
        <v>2200000</v>
      </c>
      <c r="J9" s="966" t="n">
        <f aca="false">U9</f>
        <v>-800000</v>
      </c>
      <c r="K9" s="820"/>
      <c r="L9" s="961" t="n">
        <f aca="false">A9</f>
        <v>46234</v>
      </c>
      <c r="M9" s="978"/>
      <c r="N9" s="978"/>
      <c r="O9" s="979"/>
      <c r="P9" s="980"/>
      <c r="Q9" s="981"/>
      <c r="R9" s="982" t="n">
        <v>100000</v>
      </c>
      <c r="S9" s="983" t="n">
        <v>100000</v>
      </c>
      <c r="T9" s="972" t="n">
        <f aca="false">SUM(M9:S9)</f>
        <v>200000</v>
      </c>
      <c r="U9" s="972" t="n">
        <f aca="false">U8+W9-T9</f>
        <v>-800000</v>
      </c>
      <c r="V9" s="973"/>
      <c r="W9" s="974"/>
    </row>
    <row r="10" customFormat="false" ht="22.5" hidden="false" customHeight="true" outlineLevel="0" collapsed="false">
      <c r="A10" s="961" t="n">
        <f aca="false">EOMONTH(A9,1)</f>
        <v>46265</v>
      </c>
      <c r="B10" s="962" t="n">
        <f aca="false">M10+B31+M31+B61+M61+B82+M82+B121+M121+B142+M142</f>
        <v>0</v>
      </c>
      <c r="C10" s="975" t="n">
        <f aca="false">N10+C31+N31+C61+N61+C82+N82+C121+N121+C142+N142</f>
        <v>0</v>
      </c>
      <c r="D10" s="962" t="n">
        <f aca="false">O10+D31+O31+D61+O61+D82+O82+D121+O121+D142+O142</f>
        <v>0</v>
      </c>
      <c r="E10" s="976"/>
      <c r="F10" s="977" t="n">
        <f aca="false">P10+Q10+E31+F31+P31+Q31+E61+F61+P61+Q61+E82+F82+P82+Q82+E121+F121+P121+Q121+E142+F142+P142+Q142</f>
        <v>0</v>
      </c>
      <c r="G10" s="976"/>
      <c r="H10" s="977" t="n">
        <f aca="false">R10+S10+G31+H31+R31+S31+G61+H61+R61+S61+G82+H82+R82+S82+G121+H121+R121+S121+G142+H142+R142+S142</f>
        <v>2200000</v>
      </c>
      <c r="I10" s="965" t="n">
        <f aca="false">SUM(B10:H10)</f>
        <v>2200000</v>
      </c>
      <c r="J10" s="966" t="n">
        <f aca="false">U10</f>
        <v>-1000000</v>
      </c>
      <c r="K10" s="820"/>
      <c r="L10" s="961" t="n">
        <f aca="false">A10</f>
        <v>46265</v>
      </c>
      <c r="M10" s="943"/>
      <c r="N10" s="943"/>
      <c r="O10" s="991"/>
      <c r="P10" s="980"/>
      <c r="Q10" s="981"/>
      <c r="R10" s="982" t="n">
        <v>100000</v>
      </c>
      <c r="S10" s="983" t="n">
        <v>100000</v>
      </c>
      <c r="T10" s="972" t="n">
        <f aca="false">SUM(M10:S10)</f>
        <v>200000</v>
      </c>
      <c r="U10" s="972" t="n">
        <f aca="false">U9+W10-T10</f>
        <v>-1000000</v>
      </c>
      <c r="V10" s="973"/>
      <c r="W10" s="974"/>
    </row>
    <row r="11" customFormat="false" ht="22.5" hidden="false" customHeight="true" outlineLevel="0" collapsed="false">
      <c r="A11" s="961" t="n">
        <f aca="false">EOMONTH(A10,1)</f>
        <v>46295</v>
      </c>
      <c r="B11" s="962" t="n">
        <f aca="false">M11+B32+M32+B62+M62+B83+M83+B122+M122+B143+M143</f>
        <v>0</v>
      </c>
      <c r="C11" s="975" t="n">
        <f aca="false">N11+C32+N32+C62+N62+C83+N83+C122+N122+C143+N143</f>
        <v>0</v>
      </c>
      <c r="D11" s="962" t="n">
        <f aca="false">O11+D32+O32+D62+O62+D83+O83+D122+O122+D143+O143</f>
        <v>0</v>
      </c>
      <c r="E11" s="976"/>
      <c r="F11" s="977" t="n">
        <f aca="false">P11+Q11+E32+F32+P32+Q32+E62+F62+P62+Q62+E83+F83+P83+Q83+E122+F122+P122+Q122+E143+F143+P143+Q143</f>
        <v>0</v>
      </c>
      <c r="G11" s="976"/>
      <c r="H11" s="977" t="n">
        <f aca="false">R11+S11+G32+H32+R32+S32+G62+H62+R62+S62+G83+H83+R83+S83+G122+H122+R122+S122+G143+H143+R143+S143</f>
        <v>2200000</v>
      </c>
      <c r="I11" s="965" t="n">
        <f aca="false">SUM(B11:H11)</f>
        <v>2200000</v>
      </c>
      <c r="J11" s="966" t="n">
        <f aca="false">U11</f>
        <v>-1200000</v>
      </c>
      <c r="K11" s="820"/>
      <c r="L11" s="961" t="n">
        <f aca="false">A11</f>
        <v>46295</v>
      </c>
      <c r="M11" s="978"/>
      <c r="N11" s="978"/>
      <c r="O11" s="979"/>
      <c r="P11" s="980"/>
      <c r="Q11" s="981"/>
      <c r="R11" s="982" t="n">
        <v>100000</v>
      </c>
      <c r="S11" s="983" t="n">
        <v>100000</v>
      </c>
      <c r="T11" s="972" t="n">
        <f aca="false">SUM(M11:S11)</f>
        <v>200000</v>
      </c>
      <c r="U11" s="972" t="n">
        <f aca="false">U10+W11-T11</f>
        <v>-1200000</v>
      </c>
      <c r="V11" s="973"/>
      <c r="W11" s="974"/>
    </row>
    <row r="12" customFormat="false" ht="22.5" hidden="false" customHeight="true" outlineLevel="0" collapsed="false">
      <c r="A12" s="961" t="n">
        <f aca="false">EOMONTH(A11,1)</f>
        <v>46326</v>
      </c>
      <c r="B12" s="975" t="n">
        <f aca="false">M12+B33+M33+B63+M63+B84+M84+B123+M123+B144+M144</f>
        <v>0</v>
      </c>
      <c r="C12" s="975" t="n">
        <f aca="false">N12+C33+N33+C63+N63+C84+N84+C123+N123+C144+N144</f>
        <v>0</v>
      </c>
      <c r="D12" s="975" t="n">
        <f aca="false">O12+D33+O33+D63+O63+D84+O84+D123+O123+D144+O144</f>
        <v>0</v>
      </c>
      <c r="E12" s="986"/>
      <c r="F12" s="977" t="n">
        <f aca="false">P12+Q12+E33+F33+P33+Q33+E63+F63+P63+Q63+E84+F84+P84+Q84+E123+F123+P123+Q123+E144+F144+P144+Q144</f>
        <v>0</v>
      </c>
      <c r="G12" s="986"/>
      <c r="H12" s="977" t="n">
        <f aca="false">R12+S12+G33+H33+R33+S33+G63+H63+R63+S63+G84+H84+R84+S84+G123+H123+R123+S123+G144+H144+R144+S144</f>
        <v>2200000</v>
      </c>
      <c r="I12" s="965" t="n">
        <f aca="false">SUM(B12:H12)</f>
        <v>2200000</v>
      </c>
      <c r="J12" s="966" t="n">
        <f aca="false">U12</f>
        <v>-1400000</v>
      </c>
      <c r="K12" s="820"/>
      <c r="L12" s="961" t="n">
        <f aca="false">A12</f>
        <v>46326</v>
      </c>
      <c r="M12" s="978"/>
      <c r="N12" s="978"/>
      <c r="O12" s="979"/>
      <c r="P12" s="980"/>
      <c r="Q12" s="981"/>
      <c r="R12" s="982" t="n">
        <v>100000</v>
      </c>
      <c r="S12" s="983" t="n">
        <v>100000</v>
      </c>
      <c r="T12" s="972" t="n">
        <f aca="false">SUM(M12:S12)</f>
        <v>200000</v>
      </c>
      <c r="U12" s="972" t="n">
        <f aca="false">U11+W12-T12</f>
        <v>-1400000</v>
      </c>
      <c r="V12" s="973"/>
      <c r="W12" s="974"/>
    </row>
    <row r="13" customFormat="false" ht="22.5" hidden="false" customHeight="true" outlineLevel="0" collapsed="false">
      <c r="A13" s="961" t="n">
        <f aca="false">EOMONTH(A12,1)</f>
        <v>46356</v>
      </c>
      <c r="B13" s="975" t="n">
        <f aca="false">M13+B34+M34+B64+M64+B85+M85+B124+M124+B145+M145</f>
        <v>0</v>
      </c>
      <c r="C13" s="975" t="n">
        <f aca="false">N13+C34+N34+C64+N64+C85+N85+C124+N124+C145+N145</f>
        <v>0</v>
      </c>
      <c r="D13" s="975" t="n">
        <f aca="false">O13+D34+O34+D64+O64+D85+O85+D124+O124+D145+O145</f>
        <v>0</v>
      </c>
      <c r="E13" s="986"/>
      <c r="F13" s="977" t="n">
        <f aca="false">P13+Q13+E34+F34+P34+Q34+E64+F64+P64+Q64+E85+F85+P85+Q85+E124+F124+P124+Q124+E145+F145+P145+Q145</f>
        <v>0</v>
      </c>
      <c r="G13" s="986"/>
      <c r="H13" s="977" t="n">
        <f aca="false">R13+S13+G34+H34+R34+S34+G64+H64+R64+S64+G85+H85+R85+S85+G124+H124+R124+S124+G145+H145+R145+S145</f>
        <v>2200000</v>
      </c>
      <c r="I13" s="965" t="n">
        <f aca="false">SUM(B13:H13)</f>
        <v>2200000</v>
      </c>
      <c r="J13" s="966" t="n">
        <f aca="false">U13</f>
        <v>-1600000</v>
      </c>
      <c r="K13" s="820"/>
      <c r="L13" s="961" t="n">
        <f aca="false">A13</f>
        <v>46356</v>
      </c>
      <c r="M13" s="943"/>
      <c r="N13" s="943"/>
      <c r="O13" s="991"/>
      <c r="P13" s="980"/>
      <c r="Q13" s="992"/>
      <c r="R13" s="982" t="n">
        <v>100000</v>
      </c>
      <c r="S13" s="993" t="n">
        <v>100000</v>
      </c>
      <c r="T13" s="972" t="n">
        <f aca="false">SUM(M13:S13)</f>
        <v>200000</v>
      </c>
      <c r="U13" s="972" t="n">
        <f aca="false">U12+W13-T13</f>
        <v>-1600000</v>
      </c>
      <c r="V13" s="973"/>
      <c r="W13" s="974"/>
    </row>
    <row r="14" customFormat="false" ht="22.5" hidden="false" customHeight="true" outlineLevel="0" collapsed="false">
      <c r="A14" s="985" t="n">
        <f aca="false">A15</f>
        <v>46387</v>
      </c>
      <c r="B14" s="975" t="n">
        <f aca="false">M14+B35+M35+B65+M65+B86+M86+B125+M125+B146+M146</f>
        <v>0</v>
      </c>
      <c r="C14" s="975" t="n">
        <f aca="false">N14+C35+N35+C65+N65+C86+N86+C125+N125+C146+N146</f>
        <v>0</v>
      </c>
      <c r="D14" s="975" t="n">
        <f aca="false">O14+D35+O35+D65+O65+D86+O86+D125+O125+D146+O146</f>
        <v>0</v>
      </c>
      <c r="E14" s="986"/>
      <c r="F14" s="977" t="n">
        <f aca="false">P14+Q14+E35+F35+P35+Q35+E65+F65+P65+Q65+E86+F86+P86+Q86+E125+F125+P125+Q125+E146+F146+P146+Q146</f>
        <v>0</v>
      </c>
      <c r="G14" s="986"/>
      <c r="H14" s="977" t="n">
        <f aca="false">R14+S14+G35+H35+R35+S35+G65+H65+R65+S65+G86+H86+R86+S86+G125+H125+R125+S125+G146+H146+R146+S146</f>
        <v>2200000</v>
      </c>
      <c r="I14" s="965" t="n">
        <f aca="false">SUM(B14:H14)</f>
        <v>2200000</v>
      </c>
      <c r="J14" s="966" t="n">
        <f aca="false">U14</f>
        <v>-1800000</v>
      </c>
      <c r="K14" s="820"/>
      <c r="L14" s="985" t="n">
        <f aca="false">A14</f>
        <v>46387</v>
      </c>
      <c r="M14" s="987"/>
      <c r="N14" s="987"/>
      <c r="O14" s="988"/>
      <c r="P14" s="980"/>
      <c r="Q14" s="994"/>
      <c r="R14" s="982" t="n">
        <v>100000</v>
      </c>
      <c r="S14" s="995" t="n">
        <v>100000</v>
      </c>
      <c r="T14" s="819" t="n">
        <f aca="false">SUM(M14:S14)</f>
        <v>200000</v>
      </c>
      <c r="U14" s="972" t="n">
        <f aca="false">U13+W14-T14</f>
        <v>-1800000</v>
      </c>
      <c r="V14" s="973"/>
      <c r="W14" s="974"/>
    </row>
    <row r="15" customFormat="false" ht="22.5" hidden="false" customHeight="true" outlineLevel="0" collapsed="false">
      <c r="A15" s="961" t="n">
        <f aca="false">EOMONTH(A13,1)</f>
        <v>46387</v>
      </c>
      <c r="B15" s="975" t="n">
        <f aca="false">M15+B36+M36+B66+M66+B87+M87+B126+M126+B147+M147</f>
        <v>0</v>
      </c>
      <c r="C15" s="975" t="n">
        <f aca="false">N15+C36+N36+C66+N66+C87+N87+C126+N126+C147+N147</f>
        <v>0</v>
      </c>
      <c r="D15" s="975" t="n">
        <f aca="false">O15+D36+O36+D66+O66+D87+O87+D126+O126+D147+O147</f>
        <v>0</v>
      </c>
      <c r="E15" s="986"/>
      <c r="F15" s="977" t="n">
        <f aca="false">P15+Q15+E36+F36+P36+Q36+E66+F66+P66+Q66+E87+F87+P87+Q87+E126+F126+P126+Q126+E147+F147+P147+Q147</f>
        <v>0</v>
      </c>
      <c r="G15" s="986"/>
      <c r="H15" s="977" t="n">
        <f aca="false">R15+S15+G36+H36+R36+S36+G66+H66+R66+S66+G87+H87+R87+S87+G126+H126+R126+S126+G147+H147+R147+S147</f>
        <v>2200000</v>
      </c>
      <c r="I15" s="965" t="n">
        <f aca="false">SUM(B15:H15)</f>
        <v>2200000</v>
      </c>
      <c r="J15" s="966" t="n">
        <f aca="false">U15</f>
        <v>-2000000</v>
      </c>
      <c r="K15" s="820"/>
      <c r="L15" s="961" t="n">
        <f aca="false">A15</f>
        <v>46387</v>
      </c>
      <c r="M15" s="996"/>
      <c r="N15" s="996"/>
      <c r="O15" s="997"/>
      <c r="P15" s="980"/>
      <c r="Q15" s="992"/>
      <c r="R15" s="982" t="n">
        <v>100000</v>
      </c>
      <c r="S15" s="993" t="n">
        <v>100000</v>
      </c>
      <c r="T15" s="819" t="n">
        <f aca="false">SUM(M15:S15)</f>
        <v>200000</v>
      </c>
      <c r="U15" s="972" t="n">
        <f aca="false">U14+W15-T15</f>
        <v>-2000000</v>
      </c>
      <c r="V15" s="973"/>
      <c r="W15" s="974"/>
    </row>
    <row r="16" customFormat="false" ht="22.5" hidden="false" customHeight="true" outlineLevel="0" collapsed="false">
      <c r="A16" s="961" t="n">
        <f aca="false">EOMONTH(A15,1)</f>
        <v>46418</v>
      </c>
      <c r="B16" s="975" t="n">
        <f aca="false">M16+B37+M37+B67+M67+B88+M88+B127+M127+B148+M148</f>
        <v>0</v>
      </c>
      <c r="C16" s="975" t="n">
        <f aca="false">N16+C37+N37+C67+N67+C88+N88+C127+N127+C148+N148</f>
        <v>0</v>
      </c>
      <c r="D16" s="975" t="n">
        <f aca="false">O16+D37+O37+D67+O67+D88+O88+D127+O127+D148+O148</f>
        <v>0</v>
      </c>
      <c r="E16" s="986"/>
      <c r="F16" s="998" t="n">
        <f aca="false">P16+Q16+E37+F37+P37+Q37+E67+F67+P67+Q67+E88+F88+P88+Q88+E127+F127+P127+Q127+E148+F148+P148+Q148</f>
        <v>0</v>
      </c>
      <c r="G16" s="986"/>
      <c r="H16" s="998" t="n">
        <f aca="false">R16+S16+G37+H37+R37+S37+G67+H67+R67+S67+G88+H88+R88+S88+G127+H127+R127+S127+G148+H148+R148+S148</f>
        <v>2200000</v>
      </c>
      <c r="I16" s="965" t="n">
        <f aca="false">SUM(B16:H16)</f>
        <v>2200000</v>
      </c>
      <c r="J16" s="966" t="n">
        <f aca="false">U16</f>
        <v>-2200000</v>
      </c>
      <c r="K16" s="820"/>
      <c r="L16" s="961" t="n">
        <f aca="false">A16</f>
        <v>46418</v>
      </c>
      <c r="M16" s="943"/>
      <c r="N16" s="943"/>
      <c r="O16" s="991"/>
      <c r="P16" s="999"/>
      <c r="Q16" s="992"/>
      <c r="R16" s="1000" t="n">
        <v>100000</v>
      </c>
      <c r="S16" s="993" t="n">
        <v>100000</v>
      </c>
      <c r="T16" s="819" t="n">
        <f aca="false">SUM(M16:S16)</f>
        <v>200000</v>
      </c>
      <c r="U16" s="972" t="n">
        <f aca="false">U15+W16-T16</f>
        <v>-2200000</v>
      </c>
      <c r="V16" s="973"/>
      <c r="W16" s="974"/>
    </row>
    <row r="17" customFormat="false" ht="22.5" hidden="false" customHeight="true" outlineLevel="0" collapsed="false">
      <c r="A17" s="961" t="n">
        <f aca="false">EOMONTH(A16,1)</f>
        <v>46446</v>
      </c>
      <c r="B17" s="975" t="n">
        <f aca="false">M17+B38+M38+B68+M68+B89+M89+B128+M128+B149+M149</f>
        <v>0</v>
      </c>
      <c r="C17" s="975" t="n">
        <f aca="false">N17+C38+N38+C68+N68+C89+N89+C128+N128+C149+N149</f>
        <v>0</v>
      </c>
      <c r="D17" s="975" t="n">
        <f aca="false">O17+D38+O38+D68+O68+D89+O89+D128+O128+D149+O149</f>
        <v>0</v>
      </c>
      <c r="E17" s="986"/>
      <c r="F17" s="977" t="n">
        <f aca="false">P17+Q17+E38+F38+P38+Q38+E68+F68+P68+Q68+E89+F89+P89+Q89+E128+F128+P128+Q128+E149+F149+P149+Q149</f>
        <v>0</v>
      </c>
      <c r="G17" s="986"/>
      <c r="H17" s="977" t="n">
        <f aca="false">R17+S17+G38+H38+R38+S38+G68+H68+R68+S68+G89+H89+R89+S89+G128+H128+R128+S128+G149+H149+R149+S149</f>
        <v>2200000</v>
      </c>
      <c r="I17" s="965" t="n">
        <f aca="false">SUM(B17:H17)</f>
        <v>2200000</v>
      </c>
      <c r="J17" s="966" t="n">
        <f aca="false">U17</f>
        <v>-2400000</v>
      </c>
      <c r="K17" s="820"/>
      <c r="L17" s="961" t="n">
        <f aca="false">A17</f>
        <v>46446</v>
      </c>
      <c r="M17" s="943"/>
      <c r="N17" s="943"/>
      <c r="O17" s="991"/>
      <c r="P17" s="1001"/>
      <c r="Q17" s="992"/>
      <c r="R17" s="1002" t="n">
        <v>100000</v>
      </c>
      <c r="S17" s="993" t="n">
        <v>100000</v>
      </c>
      <c r="T17" s="819" t="n">
        <f aca="false">SUM(M17:S17)</f>
        <v>200000</v>
      </c>
      <c r="U17" s="972" t="n">
        <f aca="false">U16+W17-T17</f>
        <v>-2400000</v>
      </c>
      <c r="V17" s="973"/>
      <c r="W17" s="974"/>
    </row>
    <row r="18" customFormat="false" ht="22.5" hidden="false" customHeight="true" outlineLevel="0" collapsed="false">
      <c r="A18" s="985" t="n">
        <f aca="false">A19</f>
        <v>46477</v>
      </c>
      <c r="B18" s="975" t="n">
        <f aca="false">M18+B39+M39+B69+M69+B90+M90+B129+M129+B150+M150</f>
        <v>0</v>
      </c>
      <c r="C18" s="975" t="n">
        <f aca="false">N18+C39+N39+C69+N69+C90+N90+C129+N129+C150+N150</f>
        <v>0</v>
      </c>
      <c r="D18" s="1003" t="n">
        <f aca="false">O18+D39+O39+D69+O69+D90+O90+D129+O129+D150+O150</f>
        <v>0</v>
      </c>
      <c r="E18" s="1004"/>
      <c r="F18" s="1005" t="n">
        <f aca="false">P18+Q18+E39+F39+P39+Q39+E69+F69+P69+Q69+E90+F90+P90+Q90+E129+F129+P129+Q129+E150+F150+P150+Q150</f>
        <v>0</v>
      </c>
      <c r="G18" s="1004"/>
      <c r="H18" s="1005" t="n">
        <f aca="false">R18+S18+G39+H39+R39+S39+G69+H69+R69+S69+G90+H90+R90+S90+G129+H129+R129+S129+G150+H150+R150+S150</f>
        <v>2200000</v>
      </c>
      <c r="I18" s="1006" t="n">
        <f aca="false">SUM(B18:H18)</f>
        <v>2200000</v>
      </c>
      <c r="J18" s="966" t="n">
        <f aca="false">U18</f>
        <v>-2600000</v>
      </c>
      <c r="K18" s="820"/>
      <c r="L18" s="985" t="n">
        <f aca="false">A18</f>
        <v>46477</v>
      </c>
      <c r="M18" s="987"/>
      <c r="N18" s="987"/>
      <c r="O18" s="1007"/>
      <c r="P18" s="1008"/>
      <c r="Q18" s="1009"/>
      <c r="R18" s="1010" t="n">
        <v>100000</v>
      </c>
      <c r="S18" s="1011" t="n">
        <v>100000</v>
      </c>
      <c r="T18" s="819" t="n">
        <f aca="false">SUM(M18:S18)</f>
        <v>200000</v>
      </c>
      <c r="U18" s="972" t="n">
        <f aca="false">U17+W18-T18</f>
        <v>-2600000</v>
      </c>
      <c r="V18" s="886"/>
      <c r="W18" s="974"/>
    </row>
    <row r="19" customFormat="false" ht="22.5" hidden="false" customHeight="true" outlineLevel="0" collapsed="false">
      <c r="A19" s="961" t="n">
        <f aca="false">EOMONTH(A17,1)</f>
        <v>46477</v>
      </c>
      <c r="B19" s="975" t="n">
        <f aca="false">M19+B40+M40+B70+M70+B91+M91+B130+M130+B151+M151</f>
        <v>0</v>
      </c>
      <c r="C19" s="975" t="n">
        <f aca="false">N19+C40+N40+C70+N70+C91+N91+C130+N130+C151+N151</f>
        <v>0</v>
      </c>
      <c r="D19" s="975" t="n">
        <f aca="false">O19+D40+O40+D70+O70+D91+O91+D130+O130+D151+O151</f>
        <v>0</v>
      </c>
      <c r="E19" s="986"/>
      <c r="F19" s="998" t="n">
        <f aca="false">P19+Q19+E40+F40+P40+Q40+E70+F70+P70+Q70+E91+F91+P91+Q91+E130+F130+P130+Q130+E151+F151+P151+Q151</f>
        <v>0</v>
      </c>
      <c r="G19" s="986"/>
      <c r="H19" s="998" t="n">
        <f aca="false">R19+S19+G40+H40+R40+S40+G70+H70+R70+S70+G91+H91+R91+S91+G130+H130+R130+S130+G151+H151+R151+S151</f>
        <v>2200000</v>
      </c>
      <c r="I19" s="1012" t="n">
        <f aca="false">SUM(B19:H19)</f>
        <v>2200000</v>
      </c>
      <c r="J19" s="966" t="n">
        <f aca="false">U19</f>
        <v>-2800000</v>
      </c>
      <c r="K19" s="820"/>
      <c r="L19" s="961" t="n">
        <f aca="false">A19</f>
        <v>46477</v>
      </c>
      <c r="M19" s="943"/>
      <c r="N19" s="943"/>
      <c r="O19" s="991"/>
      <c r="P19" s="1001"/>
      <c r="Q19" s="994"/>
      <c r="R19" s="1002" t="n">
        <v>100000</v>
      </c>
      <c r="S19" s="995" t="n">
        <v>100000</v>
      </c>
      <c r="T19" s="819" t="n">
        <f aca="false">SUM(M19:S19)</f>
        <v>200000</v>
      </c>
      <c r="U19" s="972" t="n">
        <f aca="false">U18+W19-T19</f>
        <v>-2800000</v>
      </c>
      <c r="V19" s="1013"/>
      <c r="W19" s="974"/>
      <c r="X19" s="886"/>
    </row>
    <row r="20" customFormat="false" ht="22.5" hidden="false" customHeight="true" outlineLevel="0" collapsed="false">
      <c r="A20" s="1014" t="s">
        <v>594</v>
      </c>
      <c r="B20" s="975" t="n">
        <f aca="false">M20+B41+M41+B71+M71+B92+M92+B131+M131+B152+M152</f>
        <v>0</v>
      </c>
      <c r="C20" s="975" t="n">
        <f aca="false">N20+C41+N41+C71+N71+C92+N92+C131+N131+C152+N152</f>
        <v>0</v>
      </c>
      <c r="D20" s="975" t="n">
        <f aca="false">O20+D41+O41+D71+O71+D92+O92+D131+O131+D152+O152</f>
        <v>0</v>
      </c>
      <c r="E20" s="986"/>
      <c r="F20" s="977" t="n">
        <f aca="false">P20+Q20+E41+F41+P41+Q41+E71+F71+P71+Q71+E92+F92+P92+Q92+E131+F131+P131+Q131+E152+F152+P152+Q152</f>
        <v>0</v>
      </c>
      <c r="G20" s="986"/>
      <c r="H20" s="977" t="n">
        <f aca="false">R20+S20+G41+H41+R41+S41+G71+H71+R71+S71+G92+H92+R92+S92+G131+H131+R131+S131+G152+H152+R152+S152</f>
        <v>2200000</v>
      </c>
      <c r="I20" s="965" t="n">
        <f aca="false">SUM(B20:H20)</f>
        <v>2200000</v>
      </c>
      <c r="J20" s="966" t="n">
        <f aca="false">U20</f>
        <v>-3000000</v>
      </c>
      <c r="K20" s="820"/>
      <c r="L20" s="1015" t="str">
        <f aca="false">A20</f>
        <v>差額賞与6月</v>
      </c>
      <c r="M20" s="1016"/>
      <c r="N20" s="1016"/>
      <c r="O20" s="1017"/>
      <c r="P20" s="1017"/>
      <c r="Q20" s="1017"/>
      <c r="R20" s="1017" t="n">
        <v>100000</v>
      </c>
      <c r="S20" s="1017" t="n">
        <v>100000</v>
      </c>
      <c r="T20" s="1018" t="n">
        <f aca="false">SUM(M20:S20)</f>
        <v>200000</v>
      </c>
      <c r="U20" s="1019" t="n">
        <f aca="false">U19+W20-T20</f>
        <v>-3000000</v>
      </c>
      <c r="V20" s="1013"/>
      <c r="W20" s="1020"/>
      <c r="X20" s="886"/>
    </row>
    <row r="21" customFormat="false" ht="22.5" hidden="false" customHeight="true" outlineLevel="0" collapsed="false">
      <c r="A21" s="1021" t="s">
        <v>595</v>
      </c>
      <c r="B21" s="1022" t="n">
        <f aca="false">M21+B42+M42+B72+M72+B93+M93+B132+M132+B153+M153</f>
        <v>0</v>
      </c>
      <c r="C21" s="1022" t="n">
        <f aca="false">N21+C42+N42+C72+N72+C93+N93+C132+N132+C153+N153</f>
        <v>0</v>
      </c>
      <c r="D21" s="1022" t="n">
        <f aca="false">O21+D42+O42+D72+O72+D93+O93+D132+O132+D153+O153</f>
        <v>0</v>
      </c>
      <c r="E21" s="1004"/>
      <c r="F21" s="1005" t="n">
        <f aca="false">P21+Q21+E42+F42+P42+Q42+E72+F72+P72+Q72+E93+F93+P93+Q93+E132+F132+P132+Q132+E153+F153+P153+Q153</f>
        <v>0</v>
      </c>
      <c r="G21" s="1004"/>
      <c r="H21" s="1005" t="n">
        <f aca="false">R21+S21+G42+H42+R42+S42+G72+H72+R72+S72+G93+H93+R93+S93+G132+H132+R132+S132+G153+H153+R153+S153</f>
        <v>2200000</v>
      </c>
      <c r="I21" s="1006" t="n">
        <f aca="false">SUM(B21:H21)</f>
        <v>2200000</v>
      </c>
      <c r="J21" s="966" t="n">
        <f aca="false">U21</f>
        <v>-3200000</v>
      </c>
      <c r="K21" s="820"/>
      <c r="L21" s="1023" t="str">
        <f aca="false">A21</f>
        <v>差額賞与12月</v>
      </c>
      <c r="M21" s="1024"/>
      <c r="N21" s="1024"/>
      <c r="O21" s="1025"/>
      <c r="P21" s="1025"/>
      <c r="Q21" s="1025"/>
      <c r="R21" s="1025" t="n">
        <v>100000</v>
      </c>
      <c r="S21" s="1025" t="n">
        <v>100000</v>
      </c>
      <c r="T21" s="1026" t="n">
        <f aca="false">SUM(M21:S21)</f>
        <v>200000</v>
      </c>
      <c r="U21" s="1027" t="n">
        <f aca="false">U20+W21-T21</f>
        <v>-3200000</v>
      </c>
      <c r="V21" s="1013"/>
      <c r="W21" s="1020"/>
      <c r="X21" s="886"/>
    </row>
    <row r="22" customFormat="false" ht="22.5" hidden="false" customHeight="true" outlineLevel="0" collapsed="false">
      <c r="A22" s="887" t="s">
        <v>571</v>
      </c>
      <c r="B22" s="1028" t="n">
        <f aca="false">SUM(B5:B21)</f>
        <v>0</v>
      </c>
      <c r="C22" s="1028" t="n">
        <f aca="false">SUM(C5:C21)</f>
        <v>0</v>
      </c>
      <c r="D22" s="1028" t="n">
        <f aca="false">SUM(D5:D21)</f>
        <v>0</v>
      </c>
      <c r="E22" s="1029"/>
      <c r="F22" s="1030" t="n">
        <f aca="false">SUM(F5:F21)</f>
        <v>0</v>
      </c>
      <c r="G22" s="1029"/>
      <c r="H22" s="1030" t="n">
        <f aca="false">SUM(H5:H21)</f>
        <v>37400000</v>
      </c>
      <c r="I22" s="1031" t="n">
        <f aca="false">SUM(I5:I21)</f>
        <v>37400000</v>
      </c>
      <c r="J22" s="1032" t="n">
        <f aca="false">SUM(J5:J21)</f>
        <v>-27200000</v>
      </c>
      <c r="K22" s="820"/>
      <c r="L22" s="800" t="s">
        <v>571</v>
      </c>
      <c r="M22" s="1033" t="n">
        <f aca="false">SUM(M5:M21)</f>
        <v>0</v>
      </c>
      <c r="N22" s="1033" t="n">
        <f aca="false">SUM(N5:N21)</f>
        <v>0</v>
      </c>
      <c r="O22" s="1033" t="n">
        <f aca="false">SUM(O5:O21)</f>
        <v>0</v>
      </c>
      <c r="P22" s="1034" t="n">
        <f aca="false">SUM(P5:P21)</f>
        <v>0</v>
      </c>
      <c r="Q22" s="1035" t="n">
        <f aca="false">SUM(Q5:Q21)</f>
        <v>0</v>
      </c>
      <c r="R22" s="1036" t="n">
        <f aca="false">SUM(R5:R21)</f>
        <v>1700000</v>
      </c>
      <c r="S22" s="1037" t="n">
        <f aca="false">SUM(S5:S21)</f>
        <v>1700000</v>
      </c>
      <c r="T22" s="1038" t="n">
        <f aca="false">SUM(M22:S22)</f>
        <v>3400000</v>
      </c>
      <c r="U22" s="1039" t="n">
        <f aca="false">SUM(U5:U21)</f>
        <v>-27200000</v>
      </c>
      <c r="V22" s="1013"/>
      <c r="W22" s="1020"/>
      <c r="X22" s="886"/>
    </row>
    <row r="23" customFormat="false" ht="22.5" hidden="false" customHeight="true" outlineLevel="0" collapsed="false">
      <c r="A23" s="794"/>
      <c r="B23" s="789"/>
      <c r="C23" s="789"/>
      <c r="D23" s="789"/>
      <c r="E23" s="789"/>
      <c r="F23" s="789"/>
      <c r="G23" s="789"/>
      <c r="H23" s="789"/>
      <c r="I23" s="789"/>
      <c r="J23" s="795"/>
      <c r="K23" s="795"/>
      <c r="L23" s="1040"/>
      <c r="M23" s="1041"/>
      <c r="N23" s="1042"/>
      <c r="O23" s="1041"/>
      <c r="P23" s="1041"/>
      <c r="Q23" s="886"/>
      <c r="R23" s="1041"/>
      <c r="S23" s="886"/>
      <c r="T23" s="886"/>
      <c r="U23" s="886"/>
      <c r="V23" s="789"/>
    </row>
    <row r="24" customFormat="false" ht="22.5" hidden="false" customHeight="true" outlineLevel="0" collapsed="false">
      <c r="A24" s="794" t="s">
        <v>596</v>
      </c>
      <c r="B24" s="789"/>
      <c r="C24" s="789"/>
      <c r="D24" s="789"/>
      <c r="E24" s="789"/>
      <c r="F24" s="789"/>
      <c r="G24" s="789"/>
      <c r="H24" s="789"/>
      <c r="I24" s="789"/>
      <c r="J24" s="795" t="s">
        <v>535</v>
      </c>
      <c r="K24" s="789"/>
      <c r="L24" s="794" t="s">
        <v>597</v>
      </c>
      <c r="M24" s="789"/>
      <c r="N24" s="789"/>
      <c r="O24" s="789"/>
      <c r="Q24" s="795" t="s">
        <v>535</v>
      </c>
      <c r="S24" s="795"/>
      <c r="T24" s="951"/>
      <c r="U24" s="951" t="s">
        <v>535</v>
      </c>
      <c r="V24" s="886"/>
      <c r="W24" s="884"/>
    </row>
    <row r="25" customFormat="false" ht="29.25" hidden="false" customHeight="true" outlineLevel="0" collapsed="false">
      <c r="A25" s="800" t="s">
        <v>587</v>
      </c>
      <c r="B25" s="801" t="s">
        <v>538</v>
      </c>
      <c r="C25" s="802" t="s">
        <v>539</v>
      </c>
      <c r="D25" s="801" t="s">
        <v>81</v>
      </c>
      <c r="E25" s="956" t="s">
        <v>82</v>
      </c>
      <c r="F25" s="957" t="s">
        <v>590</v>
      </c>
      <c r="G25" s="958" t="s">
        <v>591</v>
      </c>
      <c r="H25" s="959" t="s">
        <v>592</v>
      </c>
      <c r="I25" s="925" t="s">
        <v>541</v>
      </c>
      <c r="J25" s="1043" t="n">
        <f aca="false">J4</f>
        <v>46113</v>
      </c>
      <c r="K25" s="820"/>
      <c r="L25" s="800" t="s">
        <v>587</v>
      </c>
      <c r="M25" s="801" t="s">
        <v>538</v>
      </c>
      <c r="N25" s="802" t="s">
        <v>539</v>
      </c>
      <c r="O25" s="801" t="s">
        <v>81</v>
      </c>
      <c r="P25" s="956" t="s">
        <v>82</v>
      </c>
      <c r="Q25" s="957" t="s">
        <v>590</v>
      </c>
      <c r="R25" s="958" t="s">
        <v>591</v>
      </c>
      <c r="S25" s="959" t="s">
        <v>592</v>
      </c>
      <c r="T25" s="925" t="s">
        <v>541</v>
      </c>
      <c r="U25" s="1043" t="n">
        <f aca="false">J4</f>
        <v>46113</v>
      </c>
      <c r="V25" s="886"/>
      <c r="W25" s="884"/>
    </row>
    <row r="26" customFormat="false" ht="22.5" hidden="false" customHeight="true" outlineLevel="0" collapsed="false">
      <c r="A26" s="961" t="n">
        <f aca="false">A5</f>
        <v>46113</v>
      </c>
      <c r="B26" s="843"/>
      <c r="C26" s="843"/>
      <c r="D26" s="1044"/>
      <c r="E26" s="1045"/>
      <c r="F26" s="970"/>
      <c r="G26" s="969" t="n">
        <v>100000</v>
      </c>
      <c r="H26" s="971" t="n">
        <v>100000</v>
      </c>
      <c r="I26" s="972" t="n">
        <f aca="false">SUM(B26:H26)</f>
        <v>200000</v>
      </c>
      <c r="J26" s="1046"/>
      <c r="K26" s="820"/>
      <c r="L26" s="961" t="n">
        <f aca="false">A5</f>
        <v>46113</v>
      </c>
      <c r="M26" s="843"/>
      <c r="N26" s="843"/>
      <c r="O26" s="1044"/>
      <c r="P26" s="969"/>
      <c r="Q26" s="970"/>
      <c r="R26" s="969" t="n">
        <v>100000</v>
      </c>
      <c r="S26" s="971" t="n">
        <v>100000</v>
      </c>
      <c r="T26" s="972" t="n">
        <f aca="false">SUM(M26:S26)</f>
        <v>200000</v>
      </c>
      <c r="U26" s="1046"/>
    </row>
    <row r="27" customFormat="false" ht="22.5" hidden="false" customHeight="true" outlineLevel="0" collapsed="false">
      <c r="A27" s="961" t="n">
        <f aca="false">A6</f>
        <v>46173</v>
      </c>
      <c r="B27" s="843"/>
      <c r="C27" s="842"/>
      <c r="D27" s="1044"/>
      <c r="E27" s="980"/>
      <c r="F27" s="1047"/>
      <c r="G27" s="982" t="n">
        <v>100000</v>
      </c>
      <c r="H27" s="983" t="n">
        <v>100000</v>
      </c>
      <c r="I27" s="972" t="n">
        <f aca="false">SUM(B27:H27)</f>
        <v>200000</v>
      </c>
      <c r="J27" s="1048"/>
      <c r="K27" s="820"/>
      <c r="L27" s="961" t="n">
        <f aca="false">A6</f>
        <v>46173</v>
      </c>
      <c r="M27" s="843"/>
      <c r="N27" s="842"/>
      <c r="O27" s="1044"/>
      <c r="P27" s="980"/>
      <c r="Q27" s="981"/>
      <c r="R27" s="982" t="n">
        <v>100000</v>
      </c>
      <c r="S27" s="983" t="n">
        <v>100000</v>
      </c>
      <c r="T27" s="972" t="n">
        <f aca="false">SUM(M27:S27)</f>
        <v>200000</v>
      </c>
      <c r="U27" s="1048"/>
    </row>
    <row r="28" customFormat="false" ht="22.5" hidden="false" customHeight="true" outlineLevel="0" collapsed="false">
      <c r="A28" s="961" t="n">
        <f aca="false">A7</f>
        <v>46203</v>
      </c>
      <c r="B28" s="843"/>
      <c r="C28" s="842"/>
      <c r="D28" s="1044"/>
      <c r="E28" s="980"/>
      <c r="F28" s="1047"/>
      <c r="G28" s="982" t="n">
        <v>100000</v>
      </c>
      <c r="H28" s="983" t="n">
        <v>100000</v>
      </c>
      <c r="I28" s="972" t="n">
        <f aca="false">SUM(B28:H28)</f>
        <v>200000</v>
      </c>
      <c r="J28" s="1048"/>
      <c r="K28" s="820"/>
      <c r="L28" s="961" t="n">
        <f aca="false">A7</f>
        <v>46203</v>
      </c>
      <c r="M28" s="843"/>
      <c r="N28" s="842"/>
      <c r="O28" s="1044"/>
      <c r="P28" s="980"/>
      <c r="Q28" s="981"/>
      <c r="R28" s="982" t="n">
        <v>100000</v>
      </c>
      <c r="S28" s="983" t="n">
        <v>100000</v>
      </c>
      <c r="T28" s="972" t="n">
        <f aca="false">SUM(M28:S28)</f>
        <v>200000</v>
      </c>
      <c r="U28" s="1048"/>
    </row>
    <row r="29" customFormat="false" ht="22.5" hidden="false" customHeight="true" outlineLevel="0" collapsed="false">
      <c r="A29" s="985" t="n">
        <f aca="false">A8</f>
        <v>46203</v>
      </c>
      <c r="B29" s="842"/>
      <c r="C29" s="842"/>
      <c r="D29" s="1044"/>
      <c r="E29" s="980"/>
      <c r="F29" s="1049"/>
      <c r="G29" s="982" t="n">
        <v>100000</v>
      </c>
      <c r="H29" s="990" t="n">
        <v>100000</v>
      </c>
      <c r="I29" s="819" t="n">
        <f aca="false">SUM(B29:H29)</f>
        <v>200000</v>
      </c>
      <c r="J29" s="1050"/>
      <c r="K29" s="820"/>
      <c r="L29" s="985" t="n">
        <f aca="false">A8</f>
        <v>46203</v>
      </c>
      <c r="M29" s="987"/>
      <c r="N29" s="987"/>
      <c r="O29" s="988"/>
      <c r="P29" s="980"/>
      <c r="Q29" s="989"/>
      <c r="R29" s="982" t="n">
        <v>100000</v>
      </c>
      <c r="S29" s="990" t="n">
        <v>100000</v>
      </c>
      <c r="T29" s="819" t="n">
        <f aca="false">SUM(M29:S29)</f>
        <v>200000</v>
      </c>
      <c r="U29" s="1050"/>
    </row>
    <row r="30" customFormat="false" ht="22.5" hidden="false" customHeight="true" outlineLevel="0" collapsed="false">
      <c r="A30" s="961" t="n">
        <f aca="false">A9</f>
        <v>46234</v>
      </c>
      <c r="B30" s="843"/>
      <c r="C30" s="842"/>
      <c r="D30" s="1044"/>
      <c r="E30" s="980"/>
      <c r="F30" s="1047"/>
      <c r="G30" s="982" t="n">
        <v>100000</v>
      </c>
      <c r="H30" s="983" t="n">
        <v>100000</v>
      </c>
      <c r="I30" s="972" t="n">
        <f aca="false">SUM(B30:H30)</f>
        <v>200000</v>
      </c>
      <c r="J30" s="1048"/>
      <c r="K30" s="820"/>
      <c r="L30" s="961" t="n">
        <f aca="false">A9</f>
        <v>46234</v>
      </c>
      <c r="M30" s="1051"/>
      <c r="N30" s="850"/>
      <c r="O30" s="1052"/>
      <c r="P30" s="980"/>
      <c r="Q30" s="981"/>
      <c r="R30" s="982" t="n">
        <v>100000</v>
      </c>
      <c r="S30" s="983" t="n">
        <v>100000</v>
      </c>
      <c r="T30" s="972" t="n">
        <f aca="false">SUM(M30:S30)</f>
        <v>200000</v>
      </c>
      <c r="U30" s="1048"/>
    </row>
    <row r="31" customFormat="false" ht="22.5" hidden="false" customHeight="true" outlineLevel="0" collapsed="false">
      <c r="A31" s="961" t="n">
        <f aca="false">A10</f>
        <v>46265</v>
      </c>
      <c r="B31" s="843"/>
      <c r="C31" s="842"/>
      <c r="D31" s="1044"/>
      <c r="E31" s="980"/>
      <c r="F31" s="1047"/>
      <c r="G31" s="982" t="n">
        <v>100000</v>
      </c>
      <c r="H31" s="983" t="n">
        <v>100000</v>
      </c>
      <c r="I31" s="972" t="n">
        <f aca="false">SUM(B31:H31)</f>
        <v>200000</v>
      </c>
      <c r="J31" s="1048"/>
      <c r="K31" s="820"/>
      <c r="L31" s="961" t="n">
        <f aca="false">A10</f>
        <v>46265</v>
      </c>
      <c r="M31" s="1051"/>
      <c r="N31" s="850"/>
      <c r="O31" s="1052"/>
      <c r="P31" s="980"/>
      <c r="Q31" s="981"/>
      <c r="R31" s="982" t="n">
        <v>100000</v>
      </c>
      <c r="S31" s="983" t="n">
        <v>100000</v>
      </c>
      <c r="T31" s="972" t="n">
        <f aca="false">SUM(M31:S31)</f>
        <v>200000</v>
      </c>
      <c r="U31" s="1048"/>
    </row>
    <row r="32" customFormat="false" ht="22.5" hidden="false" customHeight="true" outlineLevel="0" collapsed="false">
      <c r="A32" s="961" t="n">
        <f aca="false">A11</f>
        <v>46295</v>
      </c>
      <c r="B32" s="843"/>
      <c r="C32" s="842"/>
      <c r="D32" s="1044"/>
      <c r="E32" s="980"/>
      <c r="F32" s="1047"/>
      <c r="G32" s="982" t="n">
        <v>100000</v>
      </c>
      <c r="H32" s="983" t="n">
        <v>100000</v>
      </c>
      <c r="I32" s="972" t="n">
        <f aca="false">SUM(B32:H32)</f>
        <v>200000</v>
      </c>
      <c r="J32" s="1048"/>
      <c r="K32" s="820"/>
      <c r="L32" s="961" t="n">
        <f aca="false">A11</f>
        <v>46295</v>
      </c>
      <c r="M32" s="1051"/>
      <c r="N32" s="850"/>
      <c r="O32" s="1052"/>
      <c r="P32" s="980"/>
      <c r="Q32" s="981"/>
      <c r="R32" s="982" t="n">
        <v>100000</v>
      </c>
      <c r="S32" s="983" t="n">
        <v>100000</v>
      </c>
      <c r="T32" s="972" t="n">
        <f aca="false">SUM(M32:S32)</f>
        <v>200000</v>
      </c>
      <c r="U32" s="1048"/>
    </row>
    <row r="33" customFormat="false" ht="22.5" hidden="false" customHeight="true" outlineLevel="0" collapsed="false">
      <c r="A33" s="961" t="n">
        <f aca="false">A12</f>
        <v>46326</v>
      </c>
      <c r="B33" s="843"/>
      <c r="C33" s="842"/>
      <c r="D33" s="1044"/>
      <c r="E33" s="980"/>
      <c r="F33" s="1047"/>
      <c r="G33" s="982" t="n">
        <v>100000</v>
      </c>
      <c r="H33" s="983" t="n">
        <v>100000</v>
      </c>
      <c r="I33" s="972" t="n">
        <f aca="false">SUM(B33:H33)</f>
        <v>200000</v>
      </c>
      <c r="J33" s="1053"/>
      <c r="K33" s="820"/>
      <c r="L33" s="961" t="n">
        <f aca="false">A12</f>
        <v>46326</v>
      </c>
      <c r="M33" s="850"/>
      <c r="N33" s="850"/>
      <c r="O33" s="1054"/>
      <c r="P33" s="980"/>
      <c r="Q33" s="981"/>
      <c r="R33" s="982" t="n">
        <v>100000</v>
      </c>
      <c r="S33" s="983" t="n">
        <v>100000</v>
      </c>
      <c r="T33" s="972" t="n">
        <f aca="false">SUM(M33:S33)</f>
        <v>200000</v>
      </c>
      <c r="U33" s="1053"/>
    </row>
    <row r="34" customFormat="false" ht="22.5" hidden="false" customHeight="true" outlineLevel="0" collapsed="false">
      <c r="A34" s="961" t="n">
        <f aca="false">A13</f>
        <v>46356</v>
      </c>
      <c r="B34" s="843"/>
      <c r="C34" s="842"/>
      <c r="D34" s="1044"/>
      <c r="E34" s="980"/>
      <c r="F34" s="1055"/>
      <c r="G34" s="982" t="n">
        <v>100000</v>
      </c>
      <c r="H34" s="993" t="n">
        <v>100000</v>
      </c>
      <c r="I34" s="972" t="n">
        <f aca="false">SUM(B34:H34)</f>
        <v>200000</v>
      </c>
      <c r="J34" s="1053"/>
      <c r="K34" s="820"/>
      <c r="L34" s="961" t="n">
        <f aca="false">A13</f>
        <v>46356</v>
      </c>
      <c r="M34" s="850"/>
      <c r="N34" s="850"/>
      <c r="O34" s="1054"/>
      <c r="P34" s="980"/>
      <c r="Q34" s="992"/>
      <c r="R34" s="982" t="n">
        <v>100000</v>
      </c>
      <c r="S34" s="993" t="n">
        <v>100000</v>
      </c>
      <c r="T34" s="972" t="n">
        <f aca="false">SUM(M34:S34)</f>
        <v>200000</v>
      </c>
      <c r="U34" s="1053"/>
    </row>
    <row r="35" customFormat="false" ht="22.5" hidden="false" customHeight="true" outlineLevel="0" collapsed="false">
      <c r="A35" s="985" t="n">
        <f aca="false">A14</f>
        <v>46387</v>
      </c>
      <c r="B35" s="843"/>
      <c r="C35" s="842"/>
      <c r="D35" s="1044"/>
      <c r="E35" s="980"/>
      <c r="F35" s="1056"/>
      <c r="G35" s="982" t="n">
        <v>100000</v>
      </c>
      <c r="H35" s="995" t="n">
        <v>100000</v>
      </c>
      <c r="I35" s="819" t="n">
        <f aca="false">SUM(B35:H35)</f>
        <v>200000</v>
      </c>
      <c r="J35" s="1057"/>
      <c r="K35" s="820"/>
      <c r="L35" s="985" t="n">
        <f aca="false">A14</f>
        <v>46387</v>
      </c>
      <c r="M35" s="987"/>
      <c r="N35" s="987"/>
      <c r="O35" s="988"/>
      <c r="P35" s="980"/>
      <c r="Q35" s="994"/>
      <c r="R35" s="982" t="n">
        <v>100000</v>
      </c>
      <c r="S35" s="995" t="n">
        <v>100000</v>
      </c>
      <c r="T35" s="819" t="n">
        <f aca="false">SUM(M35:S35)</f>
        <v>200000</v>
      </c>
      <c r="U35" s="1057"/>
    </row>
    <row r="36" customFormat="false" ht="22.5" hidden="false" customHeight="true" outlineLevel="0" collapsed="false">
      <c r="A36" s="961" t="n">
        <f aca="false">A15</f>
        <v>46387</v>
      </c>
      <c r="B36" s="843"/>
      <c r="C36" s="842"/>
      <c r="D36" s="1044"/>
      <c r="E36" s="980"/>
      <c r="F36" s="1055"/>
      <c r="G36" s="982" t="n">
        <v>100000</v>
      </c>
      <c r="H36" s="993" t="n">
        <v>100000</v>
      </c>
      <c r="I36" s="819" t="n">
        <f aca="false">SUM(B36:H36)</f>
        <v>200000</v>
      </c>
      <c r="J36" s="1053"/>
      <c r="K36" s="820"/>
      <c r="L36" s="961" t="n">
        <f aca="false">A15</f>
        <v>46387</v>
      </c>
      <c r="M36" s="850"/>
      <c r="N36" s="850"/>
      <c r="O36" s="1054"/>
      <c r="P36" s="980"/>
      <c r="Q36" s="992"/>
      <c r="R36" s="982" t="n">
        <v>100000</v>
      </c>
      <c r="S36" s="993" t="n">
        <v>100000</v>
      </c>
      <c r="T36" s="819" t="n">
        <f aca="false">SUM(M36:S36)</f>
        <v>200000</v>
      </c>
      <c r="U36" s="1053"/>
    </row>
    <row r="37" customFormat="false" ht="22.5" hidden="false" customHeight="true" outlineLevel="0" collapsed="false">
      <c r="A37" s="961" t="n">
        <f aca="false">A16</f>
        <v>46418</v>
      </c>
      <c r="B37" s="928"/>
      <c r="C37" s="927"/>
      <c r="D37" s="1058"/>
      <c r="E37" s="999"/>
      <c r="F37" s="1055"/>
      <c r="G37" s="1000" t="n">
        <v>100000</v>
      </c>
      <c r="H37" s="993" t="n">
        <v>100000</v>
      </c>
      <c r="I37" s="819" t="n">
        <f aca="false">SUM(B37:H37)</f>
        <v>200000</v>
      </c>
      <c r="J37" s="1053"/>
      <c r="K37" s="820"/>
      <c r="L37" s="961" t="n">
        <f aca="false">A16</f>
        <v>46418</v>
      </c>
      <c r="M37" s="850"/>
      <c r="N37" s="850"/>
      <c r="O37" s="1054"/>
      <c r="P37" s="999"/>
      <c r="Q37" s="992"/>
      <c r="R37" s="1000" t="n">
        <v>100000</v>
      </c>
      <c r="S37" s="993" t="n">
        <v>100000</v>
      </c>
      <c r="T37" s="819" t="n">
        <f aca="false">SUM(M37:S37)</f>
        <v>200000</v>
      </c>
      <c r="U37" s="1053"/>
    </row>
    <row r="38" customFormat="false" ht="22.5" hidden="false" customHeight="true" outlineLevel="0" collapsed="false">
      <c r="A38" s="961" t="n">
        <f aca="false">A17</f>
        <v>46446</v>
      </c>
      <c r="B38" s="928"/>
      <c r="C38" s="927"/>
      <c r="D38" s="1058"/>
      <c r="E38" s="999"/>
      <c r="F38" s="1055"/>
      <c r="G38" s="1000" t="n">
        <v>100000</v>
      </c>
      <c r="H38" s="993" t="n">
        <v>100000</v>
      </c>
      <c r="I38" s="819" t="n">
        <f aca="false">SUM(B38:H38)</f>
        <v>200000</v>
      </c>
      <c r="J38" s="1053"/>
      <c r="K38" s="820"/>
      <c r="L38" s="961" t="n">
        <f aca="false">A17</f>
        <v>46446</v>
      </c>
      <c r="M38" s="987"/>
      <c r="N38" s="987"/>
      <c r="O38" s="988"/>
      <c r="P38" s="1001"/>
      <c r="Q38" s="992"/>
      <c r="R38" s="1002" t="n">
        <v>100000</v>
      </c>
      <c r="S38" s="993" t="n">
        <v>100000</v>
      </c>
      <c r="T38" s="819" t="n">
        <f aca="false">SUM(M38:S38)</f>
        <v>200000</v>
      </c>
      <c r="U38" s="1053"/>
      <c r="X38" s="886"/>
    </row>
    <row r="39" customFormat="false" ht="22.5" hidden="false" customHeight="true" outlineLevel="0" collapsed="false">
      <c r="A39" s="985" t="n">
        <f aca="false">A18</f>
        <v>46477</v>
      </c>
      <c r="B39" s="1059"/>
      <c r="C39" s="1059"/>
      <c r="D39" s="1060"/>
      <c r="E39" s="1061"/>
      <c r="F39" s="1062"/>
      <c r="G39" s="1063" t="n">
        <v>100000</v>
      </c>
      <c r="H39" s="1064" t="n">
        <v>100000</v>
      </c>
      <c r="I39" s="1018" t="n">
        <f aca="false">SUM(B39:H39)</f>
        <v>200000</v>
      </c>
      <c r="J39" s="1065"/>
      <c r="K39" s="820"/>
      <c r="L39" s="985" t="n">
        <f aca="false">A18</f>
        <v>46477</v>
      </c>
      <c r="M39" s="987"/>
      <c r="N39" s="987"/>
      <c r="O39" s="1007"/>
      <c r="P39" s="1008"/>
      <c r="Q39" s="1009"/>
      <c r="R39" s="1010" t="n">
        <v>100000</v>
      </c>
      <c r="S39" s="1011" t="n">
        <v>100000</v>
      </c>
      <c r="T39" s="819" t="n">
        <f aca="false">SUM(M39:S39)</f>
        <v>200000</v>
      </c>
      <c r="U39" s="1066"/>
      <c r="X39" s="886"/>
    </row>
    <row r="40" customFormat="false" ht="22.5" hidden="false" customHeight="true" outlineLevel="0" collapsed="false">
      <c r="A40" s="961" t="n">
        <f aca="false">A19</f>
        <v>46477</v>
      </c>
      <c r="B40" s="1059"/>
      <c r="C40" s="1059"/>
      <c r="D40" s="1060"/>
      <c r="E40" s="1061"/>
      <c r="F40" s="1067"/>
      <c r="G40" s="1063" t="n">
        <v>100000</v>
      </c>
      <c r="H40" s="1068" t="n">
        <v>100000</v>
      </c>
      <c r="I40" s="1018" t="n">
        <f aca="false">SUM(B40:H40)</f>
        <v>200000</v>
      </c>
      <c r="J40" s="1069"/>
      <c r="K40" s="820"/>
      <c r="L40" s="961" t="n">
        <f aca="false">A19</f>
        <v>46477</v>
      </c>
      <c r="M40" s="987"/>
      <c r="N40" s="987"/>
      <c r="O40" s="988"/>
      <c r="P40" s="1001"/>
      <c r="Q40" s="994"/>
      <c r="R40" s="1002" t="n">
        <v>100000</v>
      </c>
      <c r="S40" s="995" t="n">
        <v>100000</v>
      </c>
      <c r="T40" s="819" t="n">
        <f aca="false">SUM(M40:S40)</f>
        <v>200000</v>
      </c>
      <c r="U40" s="1057"/>
      <c r="X40" s="886"/>
    </row>
    <row r="41" customFormat="false" ht="22.5" hidden="false" customHeight="true" outlineLevel="0" collapsed="false">
      <c r="A41" s="1015" t="str">
        <f aca="false">A20</f>
        <v>差額賞与6月</v>
      </c>
      <c r="B41" s="1059"/>
      <c r="C41" s="1059"/>
      <c r="D41" s="1070"/>
      <c r="E41" s="1071"/>
      <c r="F41" s="1072"/>
      <c r="G41" s="1073" t="n">
        <v>100000</v>
      </c>
      <c r="H41" s="1074" t="n">
        <v>100000</v>
      </c>
      <c r="I41" s="1018" t="n">
        <f aca="false">SUM(B41:H41)</f>
        <v>200000</v>
      </c>
      <c r="J41" s="1075"/>
      <c r="K41" s="820"/>
      <c r="L41" s="1015" t="str">
        <f aca="false">A20</f>
        <v>差額賞与6月</v>
      </c>
      <c r="M41" s="929"/>
      <c r="N41" s="929"/>
      <c r="O41" s="1076"/>
      <c r="P41" s="1001"/>
      <c r="Q41" s="989"/>
      <c r="R41" s="1002" t="n">
        <v>100000</v>
      </c>
      <c r="S41" s="990" t="n">
        <v>100000</v>
      </c>
      <c r="T41" s="819" t="n">
        <f aca="false">SUM(M41:S41)</f>
        <v>200000</v>
      </c>
      <c r="U41" s="1050"/>
      <c r="X41" s="886"/>
    </row>
    <row r="42" customFormat="false" ht="22.5" hidden="false" customHeight="true" outlineLevel="0" collapsed="false">
      <c r="A42" s="1023" t="str">
        <f aca="false">A21</f>
        <v>差額賞与12月</v>
      </c>
      <c r="B42" s="1077"/>
      <c r="C42" s="1077"/>
      <c r="D42" s="1078"/>
      <c r="E42" s="1061"/>
      <c r="F42" s="1079"/>
      <c r="G42" s="1063" t="n">
        <v>100000</v>
      </c>
      <c r="H42" s="1080" t="n">
        <v>100000</v>
      </c>
      <c r="I42" s="1026" t="n">
        <f aca="false">SUM(B42:H42)</f>
        <v>200000</v>
      </c>
      <c r="J42" s="1081"/>
      <c r="K42" s="820"/>
      <c r="L42" s="1023" t="str">
        <f aca="false">A21</f>
        <v>差額賞与12月</v>
      </c>
      <c r="M42" s="1082"/>
      <c r="N42" s="1082"/>
      <c r="O42" s="1083"/>
      <c r="P42" s="1008"/>
      <c r="Q42" s="1084"/>
      <c r="R42" s="1010" t="n">
        <v>100000</v>
      </c>
      <c r="S42" s="1085" t="n">
        <v>100000</v>
      </c>
      <c r="T42" s="1086" t="n">
        <f aca="false">SUM(M42:S42)</f>
        <v>200000</v>
      </c>
      <c r="U42" s="1087"/>
      <c r="X42" s="886"/>
    </row>
    <row r="43" customFormat="false" ht="22.5" hidden="false" customHeight="true" outlineLevel="0" collapsed="false">
      <c r="A43" s="800" t="s">
        <v>571</v>
      </c>
      <c r="B43" s="1033" t="n">
        <f aca="false">SUM(B26:B42)</f>
        <v>0</v>
      </c>
      <c r="C43" s="1033" t="n">
        <f aca="false">SUM(C26:C42)</f>
        <v>0</v>
      </c>
      <c r="D43" s="1033" t="n">
        <f aca="false">SUM(D26:D42)</f>
        <v>0</v>
      </c>
      <c r="E43" s="1034" t="n">
        <f aca="false">SUM(E26:E42)</f>
        <v>0</v>
      </c>
      <c r="F43" s="1088" t="n">
        <f aca="false">SUM(F26:F42)</f>
        <v>0</v>
      </c>
      <c r="G43" s="1036" t="n">
        <f aca="false">SUM(G26:G42)</f>
        <v>1700000</v>
      </c>
      <c r="H43" s="1037" t="n">
        <f aca="false">SUM(H26:H42)</f>
        <v>1700000</v>
      </c>
      <c r="I43" s="1038" t="n">
        <f aca="false">SUM(B43:H43)</f>
        <v>3400000</v>
      </c>
      <c r="J43" s="1039" t="n">
        <f aca="false">SUM(J26:J42)</f>
        <v>0</v>
      </c>
      <c r="K43" s="820"/>
      <c r="L43" s="800" t="s">
        <v>571</v>
      </c>
      <c r="M43" s="1033" t="n">
        <f aca="false">SUM(M26:M42)</f>
        <v>0</v>
      </c>
      <c r="N43" s="1033" t="n">
        <f aca="false">SUM(N26:N42)</f>
        <v>0</v>
      </c>
      <c r="O43" s="1033" t="n">
        <f aca="false">SUM(O26:O42)</f>
        <v>0</v>
      </c>
      <c r="P43" s="1034" t="n">
        <f aca="false">SUM(P26:P42)</f>
        <v>0</v>
      </c>
      <c r="Q43" s="1035" t="n">
        <f aca="false">SUM(Q26:Q42)</f>
        <v>0</v>
      </c>
      <c r="R43" s="1036" t="n">
        <f aca="false">SUM(R26:R42)</f>
        <v>1700000</v>
      </c>
      <c r="S43" s="1037" t="n">
        <f aca="false">SUM(S26:S42)</f>
        <v>1700000</v>
      </c>
      <c r="T43" s="1038" t="n">
        <f aca="false">SUM(M43:S43)</f>
        <v>3400000</v>
      </c>
      <c r="U43" s="1039" t="n">
        <f aca="false">SUM(U26:U42)</f>
        <v>0</v>
      </c>
      <c r="X43" s="886"/>
    </row>
    <row r="44" customFormat="false" ht="12.75" hidden="false" customHeight="true" outlineLevel="0" collapsed="false">
      <c r="L44" s="886"/>
      <c r="P44" s="790"/>
      <c r="Q44" s="790"/>
      <c r="R44" s="790"/>
      <c r="S44" s="790"/>
      <c r="X44" s="886"/>
    </row>
    <row r="45" s="1089" customFormat="true" ht="12.75" hidden="false" customHeight="true" outlineLevel="0" collapsed="false">
      <c r="B45" s="1090"/>
      <c r="C45" s="1090"/>
      <c r="D45" s="1090"/>
      <c r="E45" s="1090"/>
      <c r="F45" s="1090"/>
      <c r="G45" s="1090"/>
      <c r="H45" s="1090"/>
      <c r="I45" s="1090"/>
      <c r="J45" s="1090"/>
      <c r="K45" s="1090"/>
      <c r="L45" s="1091"/>
      <c r="M45" s="1092" t="n">
        <v>91.5</v>
      </c>
      <c r="N45" s="1093" t="n">
        <v>7.5</v>
      </c>
      <c r="O45" s="1092" t="n">
        <v>37.41</v>
      </c>
      <c r="P45" s="1090"/>
      <c r="Q45" s="1090"/>
      <c r="R45" s="1090"/>
      <c r="S45" s="1090"/>
      <c r="V45" s="1090"/>
      <c r="W45" s="1094"/>
      <c r="X45" s="1095"/>
    </row>
    <row r="46" s="1089" customFormat="true" ht="12.75" hidden="false" customHeight="true" outlineLevel="0" collapsed="false">
      <c r="B46" s="1090"/>
      <c r="C46" s="1090"/>
      <c r="D46" s="1090"/>
      <c r="E46" s="1090"/>
      <c r="F46" s="1090"/>
      <c r="G46" s="1090"/>
      <c r="H46" s="1090"/>
      <c r="I46" s="1090"/>
      <c r="J46" s="1090"/>
      <c r="K46" s="1090"/>
      <c r="L46" s="1096" t="s">
        <v>368</v>
      </c>
      <c r="M46" s="1097" t="n">
        <f aca="false">ROUNDDOWN($L$47*M45/1000,0)</f>
        <v>45750</v>
      </c>
      <c r="N46" s="1097" t="n">
        <f aca="false">ROUNDDOWN($L$47*N45/1000,0)</f>
        <v>3750</v>
      </c>
      <c r="O46" s="1097" t="n">
        <f aca="false">ROUNDDOWN($L$47*O45/1000,0)</f>
        <v>18705</v>
      </c>
      <c r="P46" s="1098"/>
      <c r="Q46" s="1090"/>
      <c r="R46" s="1098"/>
      <c r="S46" s="1090"/>
      <c r="V46" s="1090"/>
      <c r="W46" s="1094"/>
    </row>
    <row r="47" s="1089" customFormat="true" ht="12.75" hidden="false" customHeight="true" outlineLevel="0" collapsed="false">
      <c r="B47" s="1090"/>
      <c r="C47" s="1090"/>
      <c r="D47" s="1090"/>
      <c r="E47" s="1090"/>
      <c r="F47" s="1090"/>
      <c r="G47" s="1090"/>
      <c r="H47" s="1090"/>
      <c r="I47" s="1090"/>
      <c r="J47" s="1090"/>
      <c r="K47" s="1090"/>
      <c r="L47" s="1099" t="n">
        <v>500000</v>
      </c>
      <c r="M47" s="1100"/>
      <c r="N47" s="1101"/>
      <c r="O47" s="1100"/>
      <c r="P47" s="1098"/>
      <c r="Q47" s="1090"/>
      <c r="R47" s="1098"/>
      <c r="S47" s="1090"/>
      <c r="V47" s="1090"/>
      <c r="W47" s="1094"/>
    </row>
    <row r="48" s="1089" customFormat="true" ht="12.75" hidden="false" customHeight="true" outlineLevel="0" collapsed="false">
      <c r="B48" s="1090"/>
      <c r="C48" s="1090"/>
      <c r="D48" s="1090"/>
      <c r="E48" s="1090"/>
      <c r="F48" s="1090"/>
      <c r="G48" s="1090"/>
      <c r="H48" s="1090"/>
      <c r="I48" s="1090"/>
      <c r="J48" s="1090"/>
      <c r="K48" s="1090"/>
      <c r="M48" s="1097"/>
      <c r="N48" s="1097"/>
      <c r="O48" s="1097"/>
      <c r="P48" s="1098"/>
      <c r="Q48" s="1090"/>
      <c r="R48" s="1098"/>
      <c r="S48" s="1090"/>
      <c r="V48" s="1090"/>
      <c r="W48" s="1094"/>
    </row>
    <row r="49" s="1089" customFormat="true" ht="12.75" hidden="false" customHeight="true" outlineLevel="0" collapsed="false">
      <c r="B49" s="1090"/>
      <c r="C49" s="1090"/>
      <c r="D49" s="1090"/>
      <c r="E49" s="1090"/>
      <c r="F49" s="1090"/>
      <c r="G49" s="1090"/>
      <c r="H49" s="1090"/>
      <c r="I49" s="1090"/>
      <c r="J49" s="1090"/>
      <c r="K49" s="1090"/>
      <c r="M49" s="1097"/>
      <c r="N49" s="1097"/>
      <c r="O49" s="1097"/>
      <c r="P49" s="1098"/>
      <c r="Q49" s="1090"/>
      <c r="R49" s="1098"/>
      <c r="S49" s="1090"/>
      <c r="V49" s="1090"/>
      <c r="W49" s="1094"/>
    </row>
    <row r="50" s="1089" customFormat="true" ht="12.75" hidden="false" customHeight="true" outlineLevel="0" collapsed="false">
      <c r="B50" s="1090"/>
      <c r="C50" s="1090"/>
      <c r="D50" s="1090"/>
      <c r="E50" s="1090"/>
      <c r="F50" s="1090"/>
      <c r="G50" s="1090"/>
      <c r="H50" s="1090"/>
      <c r="I50" s="1090"/>
      <c r="J50" s="1090"/>
      <c r="K50" s="1090"/>
      <c r="M50" s="1090"/>
      <c r="N50" s="1090"/>
      <c r="O50" s="1090"/>
      <c r="P50" s="1090"/>
      <c r="Q50" s="1090"/>
      <c r="R50" s="1090"/>
      <c r="S50" s="1090"/>
      <c r="V50" s="1090"/>
      <c r="W50" s="1094"/>
    </row>
    <row r="51" s="1089" customFormat="true" ht="12.75" hidden="false" customHeight="true" outlineLevel="0" collapsed="false">
      <c r="B51" s="1090"/>
      <c r="C51" s="1090"/>
      <c r="D51" s="1090"/>
      <c r="E51" s="1090"/>
      <c r="F51" s="1090"/>
      <c r="G51" s="1090"/>
      <c r="H51" s="1090"/>
      <c r="I51" s="1090"/>
      <c r="J51" s="1090"/>
      <c r="K51" s="1090"/>
      <c r="M51" s="1090"/>
      <c r="N51" s="1090"/>
      <c r="O51" s="1090"/>
      <c r="P51" s="1090"/>
      <c r="Q51" s="1090"/>
      <c r="R51" s="1090"/>
      <c r="S51" s="1090"/>
      <c r="V51" s="1090"/>
      <c r="W51" s="1094"/>
    </row>
    <row r="52" s="1089" customFormat="true" ht="12.75" hidden="false" customHeight="true" outlineLevel="0" collapsed="false">
      <c r="B52" s="1090"/>
      <c r="C52" s="1090"/>
      <c r="D52" s="1090"/>
      <c r="E52" s="1090"/>
      <c r="F52" s="1090"/>
      <c r="G52" s="1090"/>
      <c r="H52" s="1090"/>
      <c r="I52" s="1090"/>
      <c r="J52" s="1090"/>
      <c r="K52" s="1090"/>
      <c r="M52" s="1090"/>
      <c r="N52" s="1090"/>
      <c r="O52" s="1090"/>
      <c r="P52" s="1090"/>
      <c r="Q52" s="1090"/>
      <c r="R52" s="1090"/>
      <c r="S52" s="1090"/>
      <c r="V52" s="1090"/>
      <c r="W52" s="1094"/>
    </row>
    <row r="53" s="1089" customFormat="true" ht="12.75" hidden="false" customHeight="true" outlineLevel="0" collapsed="false">
      <c r="B53" s="1090"/>
      <c r="C53" s="1090"/>
      <c r="D53" s="1090"/>
      <c r="E53" s="1090"/>
      <c r="F53" s="1090"/>
      <c r="G53" s="1090"/>
      <c r="H53" s="1090"/>
      <c r="I53" s="1090"/>
      <c r="J53" s="1090"/>
      <c r="K53" s="1090"/>
      <c r="M53" s="1090"/>
      <c r="N53" s="1090"/>
      <c r="O53" s="1090"/>
      <c r="P53" s="1090"/>
      <c r="Q53" s="1090"/>
      <c r="R53" s="1090"/>
      <c r="S53" s="1090"/>
      <c r="V53" s="1090"/>
      <c r="W53" s="1094"/>
    </row>
    <row r="54" customFormat="false" ht="22.5" hidden="false" customHeight="true" outlineLevel="0" collapsed="false">
      <c r="A54" s="794" t="s">
        <v>596</v>
      </c>
      <c r="B54" s="789"/>
      <c r="C54" s="789"/>
      <c r="D54" s="789"/>
      <c r="E54" s="789"/>
      <c r="F54" s="789"/>
      <c r="G54" s="789"/>
      <c r="H54" s="789"/>
      <c r="I54" s="789"/>
      <c r="J54" s="795" t="s">
        <v>535</v>
      </c>
      <c r="K54" s="789"/>
      <c r="L54" s="794" t="s">
        <v>596</v>
      </c>
      <c r="M54" s="789"/>
      <c r="N54" s="789"/>
      <c r="O54" s="789"/>
      <c r="U54" s="795" t="s">
        <v>535</v>
      </c>
    </row>
    <row r="55" customFormat="false" ht="29.25" hidden="false" customHeight="true" outlineLevel="0" collapsed="false">
      <c r="A55" s="800" t="s">
        <v>587</v>
      </c>
      <c r="B55" s="801" t="s">
        <v>538</v>
      </c>
      <c r="C55" s="802" t="s">
        <v>539</v>
      </c>
      <c r="D55" s="801" t="s">
        <v>81</v>
      </c>
      <c r="E55" s="956" t="s">
        <v>82</v>
      </c>
      <c r="F55" s="957" t="s">
        <v>590</v>
      </c>
      <c r="G55" s="958" t="s">
        <v>591</v>
      </c>
      <c r="H55" s="959" t="s">
        <v>592</v>
      </c>
      <c r="I55" s="925" t="s">
        <v>541</v>
      </c>
      <c r="J55" s="1043" t="n">
        <f aca="false">J4</f>
        <v>46113</v>
      </c>
      <c r="K55" s="820"/>
      <c r="L55" s="800" t="s">
        <v>587</v>
      </c>
      <c r="M55" s="801" t="s">
        <v>538</v>
      </c>
      <c r="N55" s="802" t="s">
        <v>539</v>
      </c>
      <c r="O55" s="801" t="s">
        <v>81</v>
      </c>
      <c r="P55" s="956" t="s">
        <v>82</v>
      </c>
      <c r="Q55" s="957" t="s">
        <v>590</v>
      </c>
      <c r="R55" s="958" t="s">
        <v>591</v>
      </c>
      <c r="S55" s="959" t="s">
        <v>592</v>
      </c>
      <c r="T55" s="925" t="s">
        <v>541</v>
      </c>
      <c r="U55" s="1043" t="n">
        <f aca="false">J4</f>
        <v>46113</v>
      </c>
    </row>
    <row r="56" customFormat="false" ht="22.5" hidden="false" customHeight="true" outlineLevel="0" collapsed="false">
      <c r="A56" s="961" t="n">
        <f aca="false">A5</f>
        <v>46113</v>
      </c>
      <c r="B56" s="843"/>
      <c r="C56" s="843"/>
      <c r="D56" s="1044"/>
      <c r="E56" s="969"/>
      <c r="F56" s="970"/>
      <c r="G56" s="969" t="n">
        <v>100000</v>
      </c>
      <c r="H56" s="971" t="n">
        <v>100000</v>
      </c>
      <c r="I56" s="972" t="n">
        <f aca="false">SUM(B56:H56)</f>
        <v>200000</v>
      </c>
      <c r="J56" s="1046"/>
      <c r="K56" s="820"/>
      <c r="L56" s="961" t="n">
        <f aca="false">A5</f>
        <v>46113</v>
      </c>
      <c r="M56" s="843"/>
      <c r="N56" s="843"/>
      <c r="O56" s="1044"/>
      <c r="P56" s="969"/>
      <c r="Q56" s="970"/>
      <c r="R56" s="969" t="n">
        <v>100000</v>
      </c>
      <c r="S56" s="971" t="n">
        <v>100000</v>
      </c>
      <c r="T56" s="972" t="n">
        <f aca="false">SUM(M56:S56)</f>
        <v>200000</v>
      </c>
      <c r="U56" s="1046"/>
    </row>
    <row r="57" customFormat="false" ht="22.5" hidden="false" customHeight="true" outlineLevel="0" collapsed="false">
      <c r="A57" s="961" t="n">
        <f aca="false">A6</f>
        <v>46173</v>
      </c>
      <c r="B57" s="843"/>
      <c r="C57" s="842"/>
      <c r="D57" s="1044"/>
      <c r="E57" s="980"/>
      <c r="F57" s="981"/>
      <c r="G57" s="982" t="n">
        <v>100000</v>
      </c>
      <c r="H57" s="983" t="n">
        <v>100000</v>
      </c>
      <c r="I57" s="972" t="n">
        <f aca="false">SUM(B57:H57)</f>
        <v>200000</v>
      </c>
      <c r="J57" s="1048"/>
      <c r="K57" s="820"/>
      <c r="L57" s="961" t="n">
        <f aca="false">A6</f>
        <v>46173</v>
      </c>
      <c r="M57" s="843"/>
      <c r="N57" s="842"/>
      <c r="O57" s="1044"/>
      <c r="P57" s="980"/>
      <c r="Q57" s="981"/>
      <c r="R57" s="982" t="n">
        <v>100000</v>
      </c>
      <c r="S57" s="983" t="n">
        <v>100000</v>
      </c>
      <c r="T57" s="972" t="n">
        <f aca="false">SUM(M57:S57)</f>
        <v>200000</v>
      </c>
      <c r="U57" s="1048"/>
    </row>
    <row r="58" customFormat="false" ht="22.5" hidden="false" customHeight="true" outlineLevel="0" collapsed="false">
      <c r="A58" s="961" t="n">
        <f aca="false">A7</f>
        <v>46203</v>
      </c>
      <c r="B58" s="843"/>
      <c r="C58" s="842"/>
      <c r="D58" s="1044"/>
      <c r="E58" s="980"/>
      <c r="F58" s="981"/>
      <c r="G58" s="982" t="n">
        <v>100000</v>
      </c>
      <c r="H58" s="983" t="n">
        <v>100000</v>
      </c>
      <c r="I58" s="972" t="n">
        <f aca="false">SUM(B58:H58)</f>
        <v>200000</v>
      </c>
      <c r="J58" s="1048"/>
      <c r="K58" s="820"/>
      <c r="L58" s="961" t="n">
        <f aca="false">A7</f>
        <v>46203</v>
      </c>
      <c r="M58" s="843"/>
      <c r="N58" s="842"/>
      <c r="O58" s="1044"/>
      <c r="P58" s="980"/>
      <c r="Q58" s="981"/>
      <c r="R58" s="982" t="n">
        <v>100000</v>
      </c>
      <c r="S58" s="983" t="n">
        <v>100000</v>
      </c>
      <c r="T58" s="972" t="n">
        <f aca="false">SUM(M58:S58)</f>
        <v>200000</v>
      </c>
      <c r="U58" s="1048"/>
    </row>
    <row r="59" customFormat="false" ht="22.5" hidden="false" customHeight="true" outlineLevel="0" collapsed="false">
      <c r="A59" s="985" t="n">
        <f aca="false">A8</f>
        <v>46203</v>
      </c>
      <c r="B59" s="850"/>
      <c r="C59" s="850"/>
      <c r="D59" s="1054"/>
      <c r="E59" s="980"/>
      <c r="F59" s="989"/>
      <c r="G59" s="982" t="n">
        <v>100000</v>
      </c>
      <c r="H59" s="990" t="n">
        <v>100000</v>
      </c>
      <c r="I59" s="819" t="n">
        <f aca="false">SUM(B59:H59)</f>
        <v>200000</v>
      </c>
      <c r="J59" s="1050"/>
      <c r="K59" s="820"/>
      <c r="L59" s="985" t="n">
        <f aca="false">A8</f>
        <v>46203</v>
      </c>
      <c r="M59" s="850"/>
      <c r="N59" s="850"/>
      <c r="O59" s="1054"/>
      <c r="P59" s="980"/>
      <c r="Q59" s="989"/>
      <c r="R59" s="982" t="n">
        <v>100000</v>
      </c>
      <c r="S59" s="990" t="n">
        <v>100000</v>
      </c>
      <c r="T59" s="819" t="n">
        <f aca="false">SUM(M59:S59)</f>
        <v>200000</v>
      </c>
      <c r="U59" s="1050"/>
    </row>
    <row r="60" customFormat="false" ht="22.5" hidden="false" customHeight="true" outlineLevel="0" collapsed="false">
      <c r="A60" s="961" t="n">
        <f aca="false">A9</f>
        <v>46234</v>
      </c>
      <c r="B60" s="1051"/>
      <c r="C60" s="850"/>
      <c r="D60" s="1052"/>
      <c r="E60" s="980"/>
      <c r="F60" s="981"/>
      <c r="G60" s="982" t="n">
        <v>100000</v>
      </c>
      <c r="H60" s="983" t="n">
        <v>100000</v>
      </c>
      <c r="I60" s="972" t="n">
        <f aca="false">SUM(B60:H60)</f>
        <v>200000</v>
      </c>
      <c r="J60" s="1048"/>
      <c r="K60" s="820"/>
      <c r="L60" s="961" t="n">
        <f aca="false">A9</f>
        <v>46234</v>
      </c>
      <c r="M60" s="1051"/>
      <c r="N60" s="850"/>
      <c r="O60" s="1052"/>
      <c r="P60" s="980"/>
      <c r="Q60" s="981"/>
      <c r="R60" s="982" t="n">
        <v>100000</v>
      </c>
      <c r="S60" s="983" t="n">
        <v>100000</v>
      </c>
      <c r="T60" s="972" t="n">
        <f aca="false">SUM(M60:S60)</f>
        <v>200000</v>
      </c>
      <c r="U60" s="1048"/>
    </row>
    <row r="61" customFormat="false" ht="22.5" hidden="false" customHeight="true" outlineLevel="0" collapsed="false">
      <c r="A61" s="961" t="n">
        <f aca="false">A10</f>
        <v>46265</v>
      </c>
      <c r="B61" s="1051"/>
      <c r="C61" s="850"/>
      <c r="D61" s="1052"/>
      <c r="E61" s="980"/>
      <c r="F61" s="981"/>
      <c r="G61" s="982" t="n">
        <v>100000</v>
      </c>
      <c r="H61" s="983" t="n">
        <v>100000</v>
      </c>
      <c r="I61" s="972" t="n">
        <f aca="false">SUM(B61:H61)</f>
        <v>200000</v>
      </c>
      <c r="J61" s="1048"/>
      <c r="K61" s="820"/>
      <c r="L61" s="961" t="n">
        <f aca="false">A10</f>
        <v>46265</v>
      </c>
      <c r="M61" s="1051"/>
      <c r="N61" s="850"/>
      <c r="O61" s="1052"/>
      <c r="P61" s="980"/>
      <c r="Q61" s="981"/>
      <c r="R61" s="982" t="n">
        <v>100000</v>
      </c>
      <c r="S61" s="983" t="n">
        <v>100000</v>
      </c>
      <c r="T61" s="972" t="n">
        <f aca="false">SUM(M61:S61)</f>
        <v>200000</v>
      </c>
      <c r="U61" s="1048"/>
    </row>
    <row r="62" customFormat="false" ht="22.5" hidden="false" customHeight="true" outlineLevel="0" collapsed="false">
      <c r="A62" s="961" t="n">
        <f aca="false">A11</f>
        <v>46295</v>
      </c>
      <c r="B62" s="1051"/>
      <c r="C62" s="850"/>
      <c r="D62" s="1052"/>
      <c r="E62" s="980"/>
      <c r="F62" s="981"/>
      <c r="G62" s="982" t="n">
        <v>100000</v>
      </c>
      <c r="H62" s="983" t="n">
        <v>100000</v>
      </c>
      <c r="I62" s="972" t="n">
        <f aca="false">SUM(B62:H62)</f>
        <v>200000</v>
      </c>
      <c r="J62" s="1048"/>
      <c r="K62" s="820"/>
      <c r="L62" s="961" t="n">
        <f aca="false">A11</f>
        <v>46295</v>
      </c>
      <c r="M62" s="1051"/>
      <c r="N62" s="850"/>
      <c r="O62" s="1052"/>
      <c r="P62" s="980"/>
      <c r="Q62" s="981"/>
      <c r="R62" s="982" t="n">
        <v>100000</v>
      </c>
      <c r="S62" s="983" t="n">
        <v>100000</v>
      </c>
      <c r="T62" s="972" t="n">
        <f aca="false">SUM(M62:S62)</f>
        <v>200000</v>
      </c>
      <c r="U62" s="1048"/>
    </row>
    <row r="63" customFormat="false" ht="22.5" hidden="false" customHeight="true" outlineLevel="0" collapsed="false">
      <c r="A63" s="961" t="n">
        <f aca="false">A12</f>
        <v>46326</v>
      </c>
      <c r="B63" s="850"/>
      <c r="C63" s="850"/>
      <c r="D63" s="1054"/>
      <c r="E63" s="980"/>
      <c r="F63" s="981"/>
      <c r="G63" s="982" t="n">
        <v>100000</v>
      </c>
      <c r="H63" s="983" t="n">
        <v>100000</v>
      </c>
      <c r="I63" s="972" t="n">
        <f aca="false">SUM(B63:H63)</f>
        <v>200000</v>
      </c>
      <c r="J63" s="1053"/>
      <c r="K63" s="820"/>
      <c r="L63" s="961" t="n">
        <f aca="false">A12</f>
        <v>46326</v>
      </c>
      <c r="M63" s="850"/>
      <c r="N63" s="850"/>
      <c r="O63" s="1054"/>
      <c r="P63" s="980"/>
      <c r="Q63" s="981"/>
      <c r="R63" s="982" t="n">
        <v>100000</v>
      </c>
      <c r="S63" s="983" t="n">
        <v>100000</v>
      </c>
      <c r="T63" s="972" t="n">
        <f aca="false">SUM(M63:S63)</f>
        <v>200000</v>
      </c>
      <c r="U63" s="1053"/>
    </row>
    <row r="64" customFormat="false" ht="22.5" hidden="false" customHeight="true" outlineLevel="0" collapsed="false">
      <c r="A64" s="961" t="n">
        <f aca="false">A13</f>
        <v>46356</v>
      </c>
      <c r="B64" s="929"/>
      <c r="C64" s="929"/>
      <c r="D64" s="1076"/>
      <c r="E64" s="980"/>
      <c r="F64" s="992"/>
      <c r="G64" s="982" t="n">
        <v>100000</v>
      </c>
      <c r="H64" s="993" t="n">
        <v>100000</v>
      </c>
      <c r="I64" s="972" t="n">
        <f aca="false">SUM(B64:H64)</f>
        <v>200000</v>
      </c>
      <c r="J64" s="1053"/>
      <c r="K64" s="820"/>
      <c r="L64" s="961" t="n">
        <f aca="false">A13</f>
        <v>46356</v>
      </c>
      <c r="M64" s="929"/>
      <c r="N64" s="929"/>
      <c r="O64" s="1076"/>
      <c r="P64" s="980"/>
      <c r="Q64" s="992"/>
      <c r="R64" s="982" t="n">
        <v>100000</v>
      </c>
      <c r="S64" s="993" t="n">
        <v>100000</v>
      </c>
      <c r="T64" s="972" t="n">
        <f aca="false">SUM(M64:S64)</f>
        <v>200000</v>
      </c>
      <c r="U64" s="1053"/>
    </row>
    <row r="65" customFormat="false" ht="22.5" hidden="false" customHeight="true" outlineLevel="0" collapsed="false">
      <c r="A65" s="985" t="n">
        <f aca="false">A14</f>
        <v>46387</v>
      </c>
      <c r="B65" s="929"/>
      <c r="C65" s="929"/>
      <c r="D65" s="1076"/>
      <c r="E65" s="980"/>
      <c r="F65" s="994"/>
      <c r="G65" s="982" t="n">
        <v>100000</v>
      </c>
      <c r="H65" s="995" t="n">
        <v>100000</v>
      </c>
      <c r="I65" s="819" t="n">
        <f aca="false">SUM(B65:H65)</f>
        <v>200000</v>
      </c>
      <c r="J65" s="1057"/>
      <c r="K65" s="820"/>
      <c r="L65" s="985" t="n">
        <f aca="false">A14</f>
        <v>46387</v>
      </c>
      <c r="M65" s="929"/>
      <c r="N65" s="929"/>
      <c r="O65" s="1076"/>
      <c r="P65" s="980"/>
      <c r="Q65" s="994"/>
      <c r="R65" s="982" t="n">
        <v>100000</v>
      </c>
      <c r="S65" s="995" t="n">
        <v>100000</v>
      </c>
      <c r="T65" s="819" t="n">
        <f aca="false">SUM(M65:S65)</f>
        <v>200000</v>
      </c>
      <c r="U65" s="1057"/>
    </row>
    <row r="66" s="886" customFormat="true" ht="23.25" hidden="false" customHeight="true" outlineLevel="0" collapsed="false">
      <c r="A66" s="961" t="n">
        <f aca="false">A15</f>
        <v>46387</v>
      </c>
      <c r="B66" s="929"/>
      <c r="C66" s="929"/>
      <c r="D66" s="1076"/>
      <c r="E66" s="980"/>
      <c r="F66" s="992"/>
      <c r="G66" s="982" t="n">
        <v>100000</v>
      </c>
      <c r="H66" s="993" t="n">
        <v>100000</v>
      </c>
      <c r="I66" s="819" t="n">
        <f aca="false">SUM(B66:H66)</f>
        <v>200000</v>
      </c>
      <c r="J66" s="1053"/>
      <c r="K66" s="820"/>
      <c r="L66" s="961" t="n">
        <f aca="false">A15</f>
        <v>46387</v>
      </c>
      <c r="M66" s="929"/>
      <c r="N66" s="929"/>
      <c r="O66" s="1076"/>
      <c r="P66" s="980"/>
      <c r="Q66" s="992"/>
      <c r="R66" s="982" t="n">
        <v>100000</v>
      </c>
      <c r="S66" s="993" t="n">
        <v>100000</v>
      </c>
      <c r="T66" s="819" t="n">
        <f aca="false">SUM(M66:S66)</f>
        <v>200000</v>
      </c>
      <c r="U66" s="1053"/>
      <c r="V66" s="790"/>
      <c r="W66" s="791"/>
      <c r="X66" s="789"/>
    </row>
    <row r="67" s="886" customFormat="true" ht="18.75" hidden="false" customHeight="true" outlineLevel="0" collapsed="false">
      <c r="A67" s="961" t="n">
        <f aca="false">A16</f>
        <v>46418</v>
      </c>
      <c r="B67" s="929"/>
      <c r="C67" s="929"/>
      <c r="D67" s="1076"/>
      <c r="E67" s="999"/>
      <c r="F67" s="992"/>
      <c r="G67" s="1000" t="n">
        <v>100000</v>
      </c>
      <c r="H67" s="993" t="n">
        <v>100000</v>
      </c>
      <c r="I67" s="819" t="n">
        <f aca="false">SUM(B67:H67)</f>
        <v>200000</v>
      </c>
      <c r="J67" s="1053"/>
      <c r="K67" s="820"/>
      <c r="L67" s="961" t="n">
        <f aca="false">A16</f>
        <v>46418</v>
      </c>
      <c r="M67" s="929"/>
      <c r="N67" s="929"/>
      <c r="O67" s="1076"/>
      <c r="P67" s="999"/>
      <c r="Q67" s="992"/>
      <c r="R67" s="1000" t="n">
        <v>100000</v>
      </c>
      <c r="S67" s="993" t="n">
        <v>100000</v>
      </c>
      <c r="T67" s="819" t="n">
        <f aca="false">SUM(M67:S67)</f>
        <v>200000</v>
      </c>
      <c r="U67" s="1053"/>
      <c r="V67" s="790"/>
      <c r="W67" s="791"/>
      <c r="X67" s="789"/>
    </row>
    <row r="68" s="886" customFormat="true" ht="18.75" hidden="false" customHeight="true" outlineLevel="0" collapsed="false">
      <c r="A68" s="961" t="n">
        <f aca="false">A17</f>
        <v>46446</v>
      </c>
      <c r="B68" s="929"/>
      <c r="C68" s="929"/>
      <c r="D68" s="1076"/>
      <c r="E68" s="1001"/>
      <c r="F68" s="992"/>
      <c r="G68" s="1002" t="n">
        <v>100000</v>
      </c>
      <c r="H68" s="993" t="n">
        <v>100000</v>
      </c>
      <c r="I68" s="819" t="n">
        <f aca="false">SUM(B68:H68)</f>
        <v>200000</v>
      </c>
      <c r="J68" s="1053"/>
      <c r="K68" s="820"/>
      <c r="L68" s="961" t="n">
        <f aca="false">A17</f>
        <v>46446</v>
      </c>
      <c r="M68" s="929"/>
      <c r="N68" s="929"/>
      <c r="O68" s="1076"/>
      <c r="P68" s="1001"/>
      <c r="Q68" s="992"/>
      <c r="R68" s="1002" t="n">
        <v>100000</v>
      </c>
      <c r="S68" s="993" t="n">
        <v>100000</v>
      </c>
      <c r="T68" s="819" t="n">
        <f aca="false">SUM(M68:S68)</f>
        <v>200000</v>
      </c>
      <c r="U68" s="1053"/>
      <c r="V68" s="790"/>
      <c r="W68" s="791"/>
      <c r="X68" s="789"/>
    </row>
    <row r="69" s="886" customFormat="true" ht="18.75" hidden="false" customHeight="true" outlineLevel="0" collapsed="false">
      <c r="A69" s="985" t="n">
        <f aca="false">A18</f>
        <v>46477</v>
      </c>
      <c r="B69" s="929"/>
      <c r="C69" s="929"/>
      <c r="D69" s="1102"/>
      <c r="E69" s="1008"/>
      <c r="F69" s="1009"/>
      <c r="G69" s="1010" t="n">
        <v>100000</v>
      </c>
      <c r="H69" s="1011" t="n">
        <v>100000</v>
      </c>
      <c r="I69" s="819" t="n">
        <f aca="false">SUM(B69:H69)</f>
        <v>200000</v>
      </c>
      <c r="J69" s="1066"/>
      <c r="K69" s="820"/>
      <c r="L69" s="985" t="n">
        <f aca="false">A18</f>
        <v>46477</v>
      </c>
      <c r="M69" s="929"/>
      <c r="N69" s="929"/>
      <c r="O69" s="1102"/>
      <c r="P69" s="1008"/>
      <c r="Q69" s="1009"/>
      <c r="R69" s="1010" t="n">
        <v>100000</v>
      </c>
      <c r="S69" s="1011" t="n">
        <v>100000</v>
      </c>
      <c r="T69" s="819" t="n">
        <f aca="false">SUM(M69:S69)</f>
        <v>200000</v>
      </c>
      <c r="U69" s="1066"/>
      <c r="V69" s="790"/>
      <c r="W69" s="791"/>
      <c r="X69" s="789"/>
    </row>
    <row r="70" s="886" customFormat="true" ht="18.75" hidden="false" customHeight="true" outlineLevel="0" collapsed="false">
      <c r="A70" s="961" t="n">
        <f aca="false">A19</f>
        <v>46477</v>
      </c>
      <c r="B70" s="929"/>
      <c r="C70" s="929"/>
      <c r="D70" s="1076"/>
      <c r="E70" s="1001"/>
      <c r="F70" s="994"/>
      <c r="G70" s="1002" t="n">
        <v>100000</v>
      </c>
      <c r="H70" s="995" t="n">
        <v>100000</v>
      </c>
      <c r="I70" s="819" t="n">
        <f aca="false">SUM(B70:H70)</f>
        <v>200000</v>
      </c>
      <c r="J70" s="1057"/>
      <c r="K70" s="820"/>
      <c r="L70" s="961" t="n">
        <f aca="false">A19</f>
        <v>46477</v>
      </c>
      <c r="M70" s="929"/>
      <c r="N70" s="929"/>
      <c r="O70" s="1076"/>
      <c r="P70" s="1001"/>
      <c r="Q70" s="994"/>
      <c r="R70" s="1002" t="n">
        <v>100000</v>
      </c>
      <c r="S70" s="995" t="n">
        <v>100000</v>
      </c>
      <c r="T70" s="819" t="n">
        <f aca="false">SUM(M70:S70)</f>
        <v>200000</v>
      </c>
      <c r="U70" s="1057"/>
      <c r="V70" s="790"/>
      <c r="W70" s="791"/>
      <c r="X70" s="789"/>
    </row>
    <row r="71" s="886" customFormat="true" ht="18.75" hidden="false" customHeight="true" outlineLevel="0" collapsed="false">
      <c r="A71" s="1015" t="str">
        <f aca="false">A20</f>
        <v>差額賞与6月</v>
      </c>
      <c r="B71" s="929"/>
      <c r="C71" s="929"/>
      <c r="D71" s="1076"/>
      <c r="E71" s="1001"/>
      <c r="F71" s="989"/>
      <c r="G71" s="1002" t="n">
        <v>100000</v>
      </c>
      <c r="H71" s="990" t="n">
        <v>100000</v>
      </c>
      <c r="I71" s="819" t="n">
        <f aca="false">SUM(B71:H71)</f>
        <v>200000</v>
      </c>
      <c r="J71" s="1050"/>
      <c r="K71" s="820"/>
      <c r="L71" s="1015" t="str">
        <f aca="false">A20</f>
        <v>差額賞与6月</v>
      </c>
      <c r="M71" s="929"/>
      <c r="N71" s="929"/>
      <c r="O71" s="1076"/>
      <c r="P71" s="1001"/>
      <c r="Q71" s="989"/>
      <c r="R71" s="1002" t="n">
        <v>100000</v>
      </c>
      <c r="S71" s="990" t="n">
        <v>100000</v>
      </c>
      <c r="T71" s="819" t="n">
        <f aca="false">SUM(M71:S71)</f>
        <v>200000</v>
      </c>
      <c r="U71" s="1050"/>
      <c r="V71" s="790"/>
      <c r="W71" s="791"/>
      <c r="X71" s="789"/>
    </row>
    <row r="72" s="886" customFormat="true" ht="23.1" hidden="false" customHeight="true" outlineLevel="0" collapsed="false">
      <c r="A72" s="1023" t="str">
        <f aca="false">A21</f>
        <v>差額賞与12月</v>
      </c>
      <c r="B72" s="1082"/>
      <c r="C72" s="1082"/>
      <c r="D72" s="1083"/>
      <c r="E72" s="1008"/>
      <c r="F72" s="1084"/>
      <c r="G72" s="1010" t="n">
        <v>100000</v>
      </c>
      <c r="H72" s="1085" t="n">
        <v>100000</v>
      </c>
      <c r="I72" s="1086" t="n">
        <f aca="false">SUM(B72:H72)</f>
        <v>200000</v>
      </c>
      <c r="J72" s="1087"/>
      <c r="K72" s="820"/>
      <c r="L72" s="1023" t="str">
        <f aca="false">A21</f>
        <v>差額賞与12月</v>
      </c>
      <c r="M72" s="1082"/>
      <c r="N72" s="1082"/>
      <c r="O72" s="1083"/>
      <c r="P72" s="1008"/>
      <c r="Q72" s="1084"/>
      <c r="R72" s="1010" t="n">
        <v>100000</v>
      </c>
      <c r="S72" s="1085" t="n">
        <v>100000</v>
      </c>
      <c r="T72" s="1086" t="n">
        <f aca="false">SUM(M72:S72)</f>
        <v>200000</v>
      </c>
      <c r="U72" s="1087"/>
      <c r="V72" s="790"/>
      <c r="W72" s="791"/>
      <c r="X72" s="789"/>
    </row>
    <row r="73" s="886" customFormat="true" ht="23.1" hidden="false" customHeight="true" outlineLevel="0" collapsed="false">
      <c r="A73" s="800" t="s">
        <v>571</v>
      </c>
      <c r="B73" s="1033" t="n">
        <f aca="false">SUM(B56:B72)</f>
        <v>0</v>
      </c>
      <c r="C73" s="1033" t="n">
        <f aca="false">SUM(C56:C72)</f>
        <v>0</v>
      </c>
      <c r="D73" s="1033" t="n">
        <f aca="false">SUM(D56:D72)</f>
        <v>0</v>
      </c>
      <c r="E73" s="1034" t="n">
        <f aca="false">SUM(E56:E72)</f>
        <v>0</v>
      </c>
      <c r="F73" s="1035" t="n">
        <f aca="false">SUM(F56:F72)</f>
        <v>0</v>
      </c>
      <c r="G73" s="1036" t="n">
        <f aca="false">SUM(G56:G72)</f>
        <v>1700000</v>
      </c>
      <c r="H73" s="1037" t="n">
        <f aca="false">SUM(H56:H72)</f>
        <v>1700000</v>
      </c>
      <c r="I73" s="1038" t="n">
        <f aca="false">SUM(B73:H73)</f>
        <v>3400000</v>
      </c>
      <c r="J73" s="1039" t="n">
        <f aca="false">SUM(J56:J72)</f>
        <v>0</v>
      </c>
      <c r="K73" s="820"/>
      <c r="L73" s="800" t="s">
        <v>571</v>
      </c>
      <c r="M73" s="1033" t="n">
        <f aca="false">SUM(M56:M72)</f>
        <v>0</v>
      </c>
      <c r="N73" s="1033" t="n">
        <f aca="false">SUM(N56:N72)</f>
        <v>0</v>
      </c>
      <c r="O73" s="1033" t="n">
        <f aca="false">SUM(O56:O72)</f>
        <v>0</v>
      </c>
      <c r="P73" s="1034" t="n">
        <f aca="false">SUM(P56:P72)</f>
        <v>0</v>
      </c>
      <c r="Q73" s="1035" t="n">
        <f aca="false">SUM(Q56:Q72)</f>
        <v>0</v>
      </c>
      <c r="R73" s="1036" t="n">
        <f aca="false">SUM(R56:R72)</f>
        <v>1700000</v>
      </c>
      <c r="S73" s="1037" t="n">
        <f aca="false">SUM(S56:S72)</f>
        <v>1700000</v>
      </c>
      <c r="T73" s="1038" t="n">
        <f aca="false">SUM(M73:S73)</f>
        <v>3400000</v>
      </c>
      <c r="U73" s="1039" t="n">
        <f aca="false">SUM(U56:U72)</f>
        <v>0</v>
      </c>
      <c r="V73" s="790"/>
      <c r="W73" s="791"/>
      <c r="X73" s="789"/>
    </row>
    <row r="74" customFormat="false" ht="24.75" hidden="false" customHeight="true" outlineLevel="0" collapsed="false"/>
    <row r="75" s="886" customFormat="true" ht="22.5" hidden="false" customHeight="true" outlineLevel="0" collapsed="false">
      <c r="A75" s="794" t="s">
        <v>596</v>
      </c>
      <c r="B75" s="789"/>
      <c r="C75" s="789"/>
      <c r="D75" s="789"/>
      <c r="E75" s="789"/>
      <c r="F75" s="789"/>
      <c r="G75" s="789"/>
      <c r="H75" s="789"/>
      <c r="I75" s="789"/>
      <c r="J75" s="795" t="s">
        <v>535</v>
      </c>
      <c r="K75" s="820"/>
      <c r="L75" s="794" t="s">
        <v>596</v>
      </c>
      <c r="M75" s="789"/>
      <c r="N75" s="789"/>
      <c r="O75" s="789"/>
      <c r="P75" s="789"/>
      <c r="Q75" s="789"/>
      <c r="R75" s="789"/>
      <c r="S75" s="789"/>
      <c r="T75" s="789"/>
      <c r="U75" s="795" t="s">
        <v>535</v>
      </c>
      <c r="V75" s="790"/>
      <c r="W75" s="791"/>
      <c r="X75" s="789"/>
    </row>
    <row r="76" s="886" customFormat="true" ht="29.25" hidden="false" customHeight="true" outlineLevel="0" collapsed="false">
      <c r="A76" s="800" t="s">
        <v>587</v>
      </c>
      <c r="B76" s="801" t="s">
        <v>538</v>
      </c>
      <c r="C76" s="802" t="s">
        <v>539</v>
      </c>
      <c r="D76" s="801" t="s">
        <v>81</v>
      </c>
      <c r="E76" s="956" t="s">
        <v>82</v>
      </c>
      <c r="F76" s="957" t="s">
        <v>590</v>
      </c>
      <c r="G76" s="958" t="s">
        <v>591</v>
      </c>
      <c r="H76" s="959" t="s">
        <v>592</v>
      </c>
      <c r="I76" s="925" t="s">
        <v>541</v>
      </c>
      <c r="J76" s="1043" t="n">
        <f aca="false">J4</f>
        <v>46113</v>
      </c>
      <c r="K76" s="820"/>
      <c r="L76" s="800" t="s">
        <v>587</v>
      </c>
      <c r="M76" s="801" t="s">
        <v>538</v>
      </c>
      <c r="N76" s="802" t="s">
        <v>539</v>
      </c>
      <c r="O76" s="801" t="s">
        <v>81</v>
      </c>
      <c r="P76" s="956" t="s">
        <v>82</v>
      </c>
      <c r="Q76" s="957" t="s">
        <v>590</v>
      </c>
      <c r="R76" s="958" t="s">
        <v>591</v>
      </c>
      <c r="S76" s="959" t="s">
        <v>592</v>
      </c>
      <c r="T76" s="925" t="s">
        <v>541</v>
      </c>
      <c r="U76" s="1043" t="n">
        <f aca="false">J4</f>
        <v>46113</v>
      </c>
      <c r="V76" s="790"/>
      <c r="W76" s="791"/>
      <c r="X76" s="789"/>
    </row>
    <row r="77" s="886" customFormat="true" ht="22.5" hidden="false" customHeight="true" outlineLevel="0" collapsed="false">
      <c r="A77" s="961" t="n">
        <f aca="false">A5</f>
        <v>46113</v>
      </c>
      <c r="B77" s="843"/>
      <c r="C77" s="843"/>
      <c r="D77" s="1044"/>
      <c r="E77" s="969"/>
      <c r="F77" s="970"/>
      <c r="G77" s="969" t="n">
        <v>100000</v>
      </c>
      <c r="H77" s="971" t="n">
        <v>100000</v>
      </c>
      <c r="I77" s="972" t="n">
        <f aca="false">SUM(B77:H77)</f>
        <v>200000</v>
      </c>
      <c r="J77" s="1046"/>
      <c r="K77" s="820"/>
      <c r="L77" s="961" t="n">
        <f aca="false">A5</f>
        <v>46113</v>
      </c>
      <c r="M77" s="843"/>
      <c r="N77" s="843"/>
      <c r="O77" s="1044"/>
      <c r="P77" s="969"/>
      <c r="Q77" s="970"/>
      <c r="R77" s="969" t="n">
        <v>100000</v>
      </c>
      <c r="S77" s="971" t="n">
        <v>100000</v>
      </c>
      <c r="T77" s="972" t="n">
        <f aca="false">SUM(M77:S77)</f>
        <v>200000</v>
      </c>
      <c r="U77" s="1046"/>
      <c r="V77" s="790"/>
      <c r="W77" s="791"/>
      <c r="X77" s="789"/>
    </row>
    <row r="78" s="886" customFormat="true" ht="22.5" hidden="false" customHeight="true" outlineLevel="0" collapsed="false">
      <c r="A78" s="961" t="n">
        <f aca="false">A6</f>
        <v>46173</v>
      </c>
      <c r="B78" s="843"/>
      <c r="C78" s="842"/>
      <c r="D78" s="1044"/>
      <c r="E78" s="980"/>
      <c r="F78" s="981"/>
      <c r="G78" s="982" t="n">
        <v>100000</v>
      </c>
      <c r="H78" s="983" t="n">
        <v>100000</v>
      </c>
      <c r="I78" s="972" t="n">
        <f aca="false">SUM(B78:H78)</f>
        <v>200000</v>
      </c>
      <c r="J78" s="1048"/>
      <c r="K78" s="820"/>
      <c r="L78" s="961" t="n">
        <f aca="false">A6</f>
        <v>46173</v>
      </c>
      <c r="M78" s="843"/>
      <c r="N78" s="842"/>
      <c r="O78" s="1044"/>
      <c r="P78" s="980"/>
      <c r="Q78" s="981"/>
      <c r="R78" s="982" t="n">
        <v>100000</v>
      </c>
      <c r="S78" s="983" t="n">
        <v>100000</v>
      </c>
      <c r="T78" s="972" t="n">
        <f aca="false">SUM(M78:S78)</f>
        <v>200000</v>
      </c>
      <c r="U78" s="1048"/>
      <c r="V78" s="790"/>
      <c r="W78" s="791"/>
      <c r="X78" s="789"/>
    </row>
    <row r="79" s="886" customFormat="true" ht="22.5" hidden="false" customHeight="true" outlineLevel="0" collapsed="false">
      <c r="A79" s="961" t="n">
        <f aca="false">A7</f>
        <v>46203</v>
      </c>
      <c r="B79" s="843"/>
      <c r="C79" s="842"/>
      <c r="D79" s="1044"/>
      <c r="E79" s="980"/>
      <c r="F79" s="981"/>
      <c r="G79" s="982" t="n">
        <v>100000</v>
      </c>
      <c r="H79" s="983" t="n">
        <v>100000</v>
      </c>
      <c r="I79" s="972" t="n">
        <f aca="false">SUM(B79:H79)</f>
        <v>200000</v>
      </c>
      <c r="J79" s="1048"/>
      <c r="K79" s="820"/>
      <c r="L79" s="961" t="n">
        <f aca="false">A7</f>
        <v>46203</v>
      </c>
      <c r="M79" s="843"/>
      <c r="N79" s="842"/>
      <c r="O79" s="1044"/>
      <c r="P79" s="980"/>
      <c r="Q79" s="981"/>
      <c r="R79" s="982" t="n">
        <v>100000</v>
      </c>
      <c r="S79" s="983" t="n">
        <v>100000</v>
      </c>
      <c r="T79" s="972" t="n">
        <f aca="false">SUM(M79:S79)</f>
        <v>200000</v>
      </c>
      <c r="U79" s="1048"/>
      <c r="V79" s="790"/>
      <c r="W79" s="791"/>
      <c r="X79" s="789"/>
    </row>
    <row r="80" s="886" customFormat="true" ht="22.5" hidden="false" customHeight="true" outlineLevel="0" collapsed="false">
      <c r="A80" s="985" t="n">
        <f aca="false">A8</f>
        <v>46203</v>
      </c>
      <c r="B80" s="850"/>
      <c r="C80" s="850"/>
      <c r="D80" s="1054"/>
      <c r="E80" s="980"/>
      <c r="F80" s="989"/>
      <c r="G80" s="982" t="n">
        <v>100000</v>
      </c>
      <c r="H80" s="990" t="n">
        <v>100000</v>
      </c>
      <c r="I80" s="819" t="n">
        <f aca="false">SUM(B80:H80)</f>
        <v>200000</v>
      </c>
      <c r="J80" s="1050"/>
      <c r="K80" s="820"/>
      <c r="L80" s="985" t="n">
        <f aca="false">A8</f>
        <v>46203</v>
      </c>
      <c r="M80" s="850"/>
      <c r="N80" s="850"/>
      <c r="O80" s="1054"/>
      <c r="P80" s="980"/>
      <c r="Q80" s="989"/>
      <c r="R80" s="982" t="n">
        <v>100000</v>
      </c>
      <c r="S80" s="990" t="n">
        <v>100000</v>
      </c>
      <c r="T80" s="819" t="n">
        <f aca="false">SUM(M80:S80)</f>
        <v>200000</v>
      </c>
      <c r="U80" s="1050"/>
      <c r="V80" s="790"/>
      <c r="W80" s="791"/>
      <c r="X80" s="789"/>
    </row>
    <row r="81" s="886" customFormat="true" ht="22.5" hidden="false" customHeight="true" outlineLevel="0" collapsed="false">
      <c r="A81" s="961" t="n">
        <f aca="false">A9</f>
        <v>46234</v>
      </c>
      <c r="B81" s="1051"/>
      <c r="C81" s="850"/>
      <c r="D81" s="1052"/>
      <c r="E81" s="980"/>
      <c r="F81" s="981"/>
      <c r="G81" s="982" t="n">
        <v>100000</v>
      </c>
      <c r="H81" s="983" t="n">
        <v>100000</v>
      </c>
      <c r="I81" s="972" t="n">
        <f aca="false">SUM(B81:H81)</f>
        <v>200000</v>
      </c>
      <c r="J81" s="1048"/>
      <c r="K81" s="820"/>
      <c r="L81" s="961" t="n">
        <f aca="false">A9</f>
        <v>46234</v>
      </c>
      <c r="M81" s="1051"/>
      <c r="N81" s="850"/>
      <c r="O81" s="1052"/>
      <c r="P81" s="980"/>
      <c r="Q81" s="981"/>
      <c r="R81" s="982" t="n">
        <v>100000</v>
      </c>
      <c r="S81" s="983" t="n">
        <v>100000</v>
      </c>
      <c r="T81" s="972" t="n">
        <f aca="false">SUM(M81:S81)</f>
        <v>200000</v>
      </c>
      <c r="U81" s="1048"/>
      <c r="V81" s="790"/>
      <c r="W81" s="791"/>
      <c r="X81" s="789"/>
    </row>
    <row r="82" s="886" customFormat="true" ht="22.5" hidden="false" customHeight="true" outlineLevel="0" collapsed="false">
      <c r="A82" s="961" t="n">
        <f aca="false">A10</f>
        <v>46265</v>
      </c>
      <c r="B82" s="1051"/>
      <c r="C82" s="850"/>
      <c r="D82" s="1052"/>
      <c r="E82" s="980"/>
      <c r="F82" s="981"/>
      <c r="G82" s="982" t="n">
        <v>100000</v>
      </c>
      <c r="H82" s="983" t="n">
        <v>100000</v>
      </c>
      <c r="I82" s="972" t="n">
        <f aca="false">SUM(B82:H82)</f>
        <v>200000</v>
      </c>
      <c r="J82" s="1048"/>
      <c r="K82" s="820"/>
      <c r="L82" s="961" t="n">
        <f aca="false">A10</f>
        <v>46265</v>
      </c>
      <c r="M82" s="1051"/>
      <c r="N82" s="850"/>
      <c r="O82" s="1052"/>
      <c r="P82" s="980"/>
      <c r="Q82" s="981"/>
      <c r="R82" s="982" t="n">
        <v>100000</v>
      </c>
      <c r="S82" s="983" t="n">
        <v>100000</v>
      </c>
      <c r="T82" s="972" t="n">
        <f aca="false">SUM(M82:S82)</f>
        <v>200000</v>
      </c>
      <c r="U82" s="1048"/>
      <c r="V82" s="790"/>
      <c r="W82" s="791"/>
      <c r="X82" s="789"/>
    </row>
    <row r="83" s="886" customFormat="true" ht="22.5" hidden="false" customHeight="true" outlineLevel="0" collapsed="false">
      <c r="A83" s="961" t="n">
        <f aca="false">A11</f>
        <v>46295</v>
      </c>
      <c r="B83" s="1051"/>
      <c r="C83" s="850"/>
      <c r="D83" s="1052"/>
      <c r="E83" s="980"/>
      <c r="F83" s="981"/>
      <c r="G83" s="982" t="n">
        <v>100000</v>
      </c>
      <c r="H83" s="983" t="n">
        <v>100000</v>
      </c>
      <c r="I83" s="972" t="n">
        <f aca="false">SUM(B83:H83)</f>
        <v>200000</v>
      </c>
      <c r="J83" s="1048"/>
      <c r="K83" s="820"/>
      <c r="L83" s="961" t="n">
        <f aca="false">A11</f>
        <v>46295</v>
      </c>
      <c r="M83" s="1051"/>
      <c r="N83" s="850"/>
      <c r="O83" s="1052"/>
      <c r="P83" s="980"/>
      <c r="Q83" s="981"/>
      <c r="R83" s="982" t="n">
        <v>100000</v>
      </c>
      <c r="S83" s="983" t="n">
        <v>100000</v>
      </c>
      <c r="T83" s="972" t="n">
        <f aca="false">SUM(M83:S83)</f>
        <v>200000</v>
      </c>
      <c r="U83" s="1048"/>
      <c r="V83" s="790"/>
      <c r="W83" s="791"/>
      <c r="X83" s="789"/>
    </row>
    <row r="84" s="886" customFormat="true" ht="22.5" hidden="false" customHeight="true" outlineLevel="0" collapsed="false">
      <c r="A84" s="961" t="n">
        <f aca="false">A12</f>
        <v>46326</v>
      </c>
      <c r="B84" s="850"/>
      <c r="C84" s="850"/>
      <c r="D84" s="1054"/>
      <c r="E84" s="980"/>
      <c r="F84" s="981"/>
      <c r="G84" s="982" t="n">
        <v>100000</v>
      </c>
      <c r="H84" s="983" t="n">
        <v>100000</v>
      </c>
      <c r="I84" s="972" t="n">
        <f aca="false">SUM(B84:H84)</f>
        <v>200000</v>
      </c>
      <c r="J84" s="1053"/>
      <c r="K84" s="820"/>
      <c r="L84" s="961" t="n">
        <f aca="false">A12</f>
        <v>46326</v>
      </c>
      <c r="M84" s="850"/>
      <c r="N84" s="850"/>
      <c r="O84" s="1054"/>
      <c r="P84" s="980"/>
      <c r="Q84" s="981"/>
      <c r="R84" s="982" t="n">
        <v>100000</v>
      </c>
      <c r="S84" s="983" t="n">
        <v>100000</v>
      </c>
      <c r="T84" s="972" t="n">
        <f aca="false">SUM(M84:S84)</f>
        <v>200000</v>
      </c>
      <c r="U84" s="1053"/>
      <c r="V84" s="790"/>
      <c r="W84" s="791"/>
      <c r="X84" s="789"/>
    </row>
    <row r="85" s="886" customFormat="true" ht="22.5" hidden="false" customHeight="true" outlineLevel="0" collapsed="false">
      <c r="A85" s="961" t="n">
        <f aca="false">A13</f>
        <v>46356</v>
      </c>
      <c r="B85" s="929"/>
      <c r="C85" s="929"/>
      <c r="D85" s="1076"/>
      <c r="E85" s="980"/>
      <c r="F85" s="992"/>
      <c r="G85" s="982" t="n">
        <v>100000</v>
      </c>
      <c r="H85" s="993" t="n">
        <v>100000</v>
      </c>
      <c r="I85" s="972" t="n">
        <f aca="false">SUM(B85:H85)</f>
        <v>200000</v>
      </c>
      <c r="J85" s="1053"/>
      <c r="K85" s="820"/>
      <c r="L85" s="961" t="n">
        <f aca="false">A13</f>
        <v>46356</v>
      </c>
      <c r="M85" s="929"/>
      <c r="N85" s="929"/>
      <c r="O85" s="1076"/>
      <c r="P85" s="980"/>
      <c r="Q85" s="992"/>
      <c r="R85" s="982" t="n">
        <v>100000</v>
      </c>
      <c r="S85" s="993" t="n">
        <v>100000</v>
      </c>
      <c r="T85" s="972" t="n">
        <f aca="false">SUM(M85:S85)</f>
        <v>200000</v>
      </c>
      <c r="U85" s="1053"/>
      <c r="V85" s="790"/>
      <c r="W85" s="791"/>
      <c r="X85" s="789"/>
    </row>
    <row r="86" customFormat="false" ht="22.5" hidden="false" customHeight="true" outlineLevel="0" collapsed="false">
      <c r="A86" s="985" t="n">
        <f aca="false">A14</f>
        <v>46387</v>
      </c>
      <c r="B86" s="929"/>
      <c r="C86" s="929"/>
      <c r="D86" s="1076"/>
      <c r="E86" s="980"/>
      <c r="F86" s="994"/>
      <c r="G86" s="982" t="n">
        <v>100000</v>
      </c>
      <c r="H86" s="995" t="n">
        <v>100000</v>
      </c>
      <c r="I86" s="819" t="n">
        <f aca="false">SUM(B86:H86)</f>
        <v>200000</v>
      </c>
      <c r="J86" s="1057"/>
      <c r="K86" s="820"/>
      <c r="L86" s="985" t="n">
        <f aca="false">A14</f>
        <v>46387</v>
      </c>
      <c r="M86" s="929"/>
      <c r="N86" s="929"/>
      <c r="O86" s="1076"/>
      <c r="P86" s="980"/>
      <c r="Q86" s="994"/>
      <c r="R86" s="982" t="n">
        <v>100000</v>
      </c>
      <c r="S86" s="995" t="n">
        <v>100000</v>
      </c>
      <c r="T86" s="819" t="n">
        <f aca="false">SUM(M86:S86)</f>
        <v>200000</v>
      </c>
      <c r="U86" s="1057"/>
    </row>
    <row r="87" customFormat="false" ht="22.5" hidden="false" customHeight="true" outlineLevel="0" collapsed="false">
      <c r="A87" s="961" t="n">
        <f aca="false">A15</f>
        <v>46387</v>
      </c>
      <c r="B87" s="929"/>
      <c r="C87" s="929"/>
      <c r="D87" s="1076"/>
      <c r="E87" s="980"/>
      <c r="F87" s="992"/>
      <c r="G87" s="982" t="n">
        <v>100000</v>
      </c>
      <c r="H87" s="993" t="n">
        <v>100000</v>
      </c>
      <c r="I87" s="819" t="n">
        <f aca="false">SUM(B87:H87)</f>
        <v>200000</v>
      </c>
      <c r="J87" s="1053"/>
      <c r="K87" s="820"/>
      <c r="L87" s="961" t="n">
        <f aca="false">A15</f>
        <v>46387</v>
      </c>
      <c r="M87" s="929"/>
      <c r="N87" s="929"/>
      <c r="O87" s="1076"/>
      <c r="P87" s="980"/>
      <c r="Q87" s="992"/>
      <c r="R87" s="982" t="n">
        <v>100000</v>
      </c>
      <c r="S87" s="993" t="n">
        <v>100000</v>
      </c>
      <c r="T87" s="819" t="n">
        <f aca="false">SUM(M87:S87)</f>
        <v>200000</v>
      </c>
      <c r="U87" s="1053"/>
    </row>
    <row r="88" customFormat="false" ht="22.5" hidden="false" customHeight="true" outlineLevel="0" collapsed="false">
      <c r="A88" s="961" t="n">
        <f aca="false">A16</f>
        <v>46418</v>
      </c>
      <c r="B88" s="929"/>
      <c r="C88" s="929"/>
      <c r="D88" s="1076"/>
      <c r="E88" s="999"/>
      <c r="F88" s="992"/>
      <c r="G88" s="1000" t="n">
        <v>100000</v>
      </c>
      <c r="H88" s="993" t="n">
        <v>100000</v>
      </c>
      <c r="I88" s="819" t="n">
        <f aca="false">SUM(B88:H88)</f>
        <v>200000</v>
      </c>
      <c r="J88" s="1053"/>
      <c r="K88" s="820"/>
      <c r="L88" s="961" t="n">
        <f aca="false">A16</f>
        <v>46418</v>
      </c>
      <c r="M88" s="929"/>
      <c r="N88" s="929"/>
      <c r="O88" s="1076"/>
      <c r="P88" s="999"/>
      <c r="Q88" s="992"/>
      <c r="R88" s="1000" t="n">
        <v>100000</v>
      </c>
      <c r="S88" s="993" t="n">
        <v>100000</v>
      </c>
      <c r="T88" s="819" t="n">
        <f aca="false">SUM(M88:S88)</f>
        <v>200000</v>
      </c>
      <c r="U88" s="1053"/>
    </row>
    <row r="89" customFormat="false" ht="22.5" hidden="false" customHeight="true" outlineLevel="0" collapsed="false">
      <c r="A89" s="961" t="n">
        <f aca="false">A17</f>
        <v>46446</v>
      </c>
      <c r="B89" s="929"/>
      <c r="C89" s="929"/>
      <c r="D89" s="1076"/>
      <c r="E89" s="1001"/>
      <c r="F89" s="992"/>
      <c r="G89" s="1002" t="n">
        <v>100000</v>
      </c>
      <c r="H89" s="993" t="n">
        <v>100000</v>
      </c>
      <c r="I89" s="819" t="n">
        <f aca="false">SUM(B89:H89)</f>
        <v>200000</v>
      </c>
      <c r="J89" s="1053"/>
      <c r="K89" s="820"/>
      <c r="L89" s="961" t="n">
        <f aca="false">A17</f>
        <v>46446</v>
      </c>
      <c r="M89" s="929"/>
      <c r="N89" s="929"/>
      <c r="O89" s="1076"/>
      <c r="P89" s="1001"/>
      <c r="Q89" s="992"/>
      <c r="R89" s="1002" t="n">
        <v>100000</v>
      </c>
      <c r="S89" s="993" t="n">
        <v>100000</v>
      </c>
      <c r="T89" s="819" t="n">
        <f aca="false">SUM(M89:S89)</f>
        <v>200000</v>
      </c>
      <c r="U89" s="1053"/>
    </row>
    <row r="90" customFormat="false" ht="22.5" hidden="false" customHeight="true" outlineLevel="0" collapsed="false">
      <c r="A90" s="985" t="n">
        <f aca="false">A18</f>
        <v>46477</v>
      </c>
      <c r="B90" s="929"/>
      <c r="C90" s="929"/>
      <c r="D90" s="1102"/>
      <c r="E90" s="1008"/>
      <c r="F90" s="1009"/>
      <c r="G90" s="1010" t="n">
        <v>100000</v>
      </c>
      <c r="H90" s="1011" t="n">
        <v>100000</v>
      </c>
      <c r="I90" s="819" t="n">
        <f aca="false">SUM(B90:H90)</f>
        <v>200000</v>
      </c>
      <c r="J90" s="1066"/>
      <c r="L90" s="985" t="n">
        <f aca="false">A18</f>
        <v>46477</v>
      </c>
      <c r="M90" s="929"/>
      <c r="N90" s="929"/>
      <c r="O90" s="1102"/>
      <c r="P90" s="1008"/>
      <c r="Q90" s="1009"/>
      <c r="R90" s="1010" t="n">
        <v>100000</v>
      </c>
      <c r="S90" s="1011" t="n">
        <v>100000</v>
      </c>
      <c r="T90" s="819" t="n">
        <f aca="false">SUM(M90:S90)</f>
        <v>200000</v>
      </c>
      <c r="U90" s="1066"/>
    </row>
    <row r="91" customFormat="false" ht="22.5" hidden="false" customHeight="true" outlineLevel="0" collapsed="false">
      <c r="A91" s="961" t="n">
        <f aca="false">A19</f>
        <v>46477</v>
      </c>
      <c r="B91" s="929"/>
      <c r="C91" s="929"/>
      <c r="D91" s="1076"/>
      <c r="E91" s="1001"/>
      <c r="F91" s="994"/>
      <c r="G91" s="1002" t="n">
        <v>100000</v>
      </c>
      <c r="H91" s="995" t="n">
        <v>100000</v>
      </c>
      <c r="I91" s="819" t="n">
        <f aca="false">SUM(B91:H91)</f>
        <v>200000</v>
      </c>
      <c r="J91" s="1057"/>
      <c r="L91" s="961" t="n">
        <f aca="false">A19</f>
        <v>46477</v>
      </c>
      <c r="M91" s="929"/>
      <c r="N91" s="929"/>
      <c r="O91" s="1076"/>
      <c r="P91" s="1001"/>
      <c r="Q91" s="994"/>
      <c r="R91" s="1002" t="n">
        <v>100000</v>
      </c>
      <c r="S91" s="995" t="n">
        <v>100000</v>
      </c>
      <c r="T91" s="819" t="n">
        <f aca="false">SUM(M91:S91)</f>
        <v>200000</v>
      </c>
      <c r="U91" s="1057"/>
    </row>
    <row r="92" customFormat="false" ht="22.5" hidden="false" customHeight="true" outlineLevel="0" collapsed="false">
      <c r="A92" s="1015" t="str">
        <f aca="false">A20</f>
        <v>差額賞与6月</v>
      </c>
      <c r="B92" s="929"/>
      <c r="C92" s="929"/>
      <c r="D92" s="1076"/>
      <c r="E92" s="1001"/>
      <c r="F92" s="989"/>
      <c r="G92" s="1002" t="n">
        <v>100000</v>
      </c>
      <c r="H92" s="990" t="n">
        <v>100000</v>
      </c>
      <c r="I92" s="819" t="n">
        <f aca="false">SUM(B92:H92)</f>
        <v>200000</v>
      </c>
      <c r="J92" s="1050"/>
      <c r="L92" s="1015" t="str">
        <f aca="false">A20</f>
        <v>差額賞与6月</v>
      </c>
      <c r="M92" s="929"/>
      <c r="N92" s="929"/>
      <c r="O92" s="1076"/>
      <c r="P92" s="1001"/>
      <c r="Q92" s="989"/>
      <c r="R92" s="1002" t="n">
        <v>100000</v>
      </c>
      <c r="S92" s="990" t="n">
        <v>100000</v>
      </c>
      <c r="T92" s="819" t="n">
        <f aca="false">SUM(M92:S92)</f>
        <v>200000</v>
      </c>
      <c r="U92" s="1050"/>
    </row>
    <row r="93" customFormat="false" ht="22.5" hidden="false" customHeight="true" outlineLevel="0" collapsed="false">
      <c r="A93" s="1023" t="str">
        <f aca="false">A21</f>
        <v>差額賞与12月</v>
      </c>
      <c r="B93" s="1082"/>
      <c r="C93" s="1082"/>
      <c r="D93" s="1083"/>
      <c r="E93" s="1008"/>
      <c r="F93" s="1084"/>
      <c r="G93" s="1010" t="n">
        <v>100000</v>
      </c>
      <c r="H93" s="1085" t="n">
        <v>100000</v>
      </c>
      <c r="I93" s="1086" t="n">
        <f aca="false">SUM(B93:H93)</f>
        <v>200000</v>
      </c>
      <c r="J93" s="1087"/>
      <c r="L93" s="1023" t="str">
        <f aca="false">A21</f>
        <v>差額賞与12月</v>
      </c>
      <c r="M93" s="1082"/>
      <c r="N93" s="1082"/>
      <c r="O93" s="1083"/>
      <c r="P93" s="1008"/>
      <c r="Q93" s="1084"/>
      <c r="R93" s="1010" t="n">
        <v>100000</v>
      </c>
      <c r="S93" s="1085" t="n">
        <v>100000</v>
      </c>
      <c r="T93" s="1086" t="n">
        <f aca="false">SUM(M93:S93)</f>
        <v>200000</v>
      </c>
      <c r="U93" s="1087"/>
    </row>
    <row r="94" customFormat="false" ht="22.5" hidden="false" customHeight="true" outlineLevel="0" collapsed="false">
      <c r="A94" s="800" t="s">
        <v>571</v>
      </c>
      <c r="B94" s="1033" t="n">
        <f aca="false">SUM(B77:B93)</f>
        <v>0</v>
      </c>
      <c r="C94" s="1033" t="n">
        <f aca="false">SUM(C77:C93)</f>
        <v>0</v>
      </c>
      <c r="D94" s="1033" t="n">
        <f aca="false">SUM(D77:D93)</f>
        <v>0</v>
      </c>
      <c r="E94" s="1034" t="n">
        <f aca="false">SUM(E77:E93)</f>
        <v>0</v>
      </c>
      <c r="F94" s="1035" t="n">
        <f aca="false">SUM(F77:F93)</f>
        <v>0</v>
      </c>
      <c r="G94" s="1036" t="n">
        <f aca="false">SUM(G77:G93)</f>
        <v>1700000</v>
      </c>
      <c r="H94" s="1037" t="n">
        <f aca="false">SUM(H77:H93)</f>
        <v>1700000</v>
      </c>
      <c r="I94" s="1038" t="n">
        <f aca="false">SUM(B94:H94)</f>
        <v>3400000</v>
      </c>
      <c r="J94" s="1039" t="n">
        <f aca="false">SUM(J77:J93)</f>
        <v>0</v>
      </c>
      <c r="L94" s="800" t="s">
        <v>571</v>
      </c>
      <c r="M94" s="1033" t="n">
        <f aca="false">SUM(M77:M93)</f>
        <v>0</v>
      </c>
      <c r="N94" s="1033" t="n">
        <f aca="false">SUM(N77:N93)</f>
        <v>0</v>
      </c>
      <c r="O94" s="1033" t="n">
        <f aca="false">SUM(O77:O93)</f>
        <v>0</v>
      </c>
      <c r="P94" s="1034" t="n">
        <f aca="false">SUM(P77:P93)</f>
        <v>0</v>
      </c>
      <c r="Q94" s="1035" t="n">
        <f aca="false">SUM(Q77:Q93)</f>
        <v>0</v>
      </c>
      <c r="R94" s="1036" t="n">
        <f aca="false">SUM(R77:R93)</f>
        <v>1700000</v>
      </c>
      <c r="S94" s="1037" t="n">
        <f aca="false">SUM(S77:S93)</f>
        <v>1700000</v>
      </c>
      <c r="T94" s="1038" t="n">
        <f aca="false">SUM(M94:S94)</f>
        <v>3400000</v>
      </c>
      <c r="U94" s="1039" t="n">
        <f aca="false">SUM(U77:U93)</f>
        <v>0</v>
      </c>
    </row>
    <row r="95" customFormat="false" ht="11.25" hidden="false" customHeight="true" outlineLevel="0" collapsed="false">
      <c r="A95" s="886"/>
      <c r="L95" s="886"/>
      <c r="P95" s="790"/>
      <c r="Q95" s="790"/>
      <c r="R95" s="790"/>
      <c r="S95" s="790"/>
      <c r="T95" s="790"/>
      <c r="U95" s="790"/>
    </row>
    <row r="96" s="1095" customFormat="true" ht="11.25" hidden="false" customHeight="true" outlineLevel="0" collapsed="false">
      <c r="A96" s="1103"/>
      <c r="B96" s="1100" t="n">
        <f aca="false">M45</f>
        <v>91.5</v>
      </c>
      <c r="C96" s="1100" t="n">
        <f aca="false">N45</f>
        <v>7.5</v>
      </c>
      <c r="D96" s="1100" t="n">
        <f aca="false">O45</f>
        <v>37.41</v>
      </c>
      <c r="E96" s="1090"/>
      <c r="F96" s="1090"/>
      <c r="G96" s="1090"/>
      <c r="H96" s="1090"/>
      <c r="I96" s="1090"/>
      <c r="J96" s="1090"/>
      <c r="K96" s="1097"/>
      <c r="L96" s="1103"/>
      <c r="M96" s="1100" t="n">
        <f aca="false">B96</f>
        <v>91.5</v>
      </c>
      <c r="N96" s="1100" t="n">
        <f aca="false">C96</f>
        <v>7.5</v>
      </c>
      <c r="O96" s="1100" t="n">
        <f aca="false">D96</f>
        <v>37.41</v>
      </c>
      <c r="P96" s="1090"/>
      <c r="Q96" s="1090"/>
      <c r="R96" s="1090"/>
      <c r="S96" s="1090"/>
      <c r="T96" s="1090"/>
      <c r="U96" s="1090"/>
      <c r="V96" s="1090"/>
      <c r="W96" s="1094"/>
      <c r="X96" s="1089"/>
    </row>
    <row r="97" s="1095" customFormat="true" ht="11.25" hidden="false" customHeight="true" outlineLevel="0" collapsed="false">
      <c r="A97" s="1104" t="s">
        <v>368</v>
      </c>
      <c r="B97" s="1097" t="n">
        <f aca="false">ROUNDDOWN($A$98*B96/1000,0)</f>
        <v>0</v>
      </c>
      <c r="C97" s="1097" t="n">
        <f aca="false">ROUNDDOWN($A$98*C96/1000,0)</f>
        <v>0</v>
      </c>
      <c r="D97" s="1097" t="n">
        <f aca="false">ROUNDDOWN($A$98*D96/1000,0)</f>
        <v>0</v>
      </c>
      <c r="E97" s="1098"/>
      <c r="F97" s="1098"/>
      <c r="G97" s="1098"/>
      <c r="H97" s="1098"/>
      <c r="I97" s="1098"/>
      <c r="J97" s="1090"/>
      <c r="K97" s="1097"/>
      <c r="L97" s="1104" t="s">
        <v>368</v>
      </c>
      <c r="M97" s="1097" t="n">
        <f aca="false">ROUNDDOWN($A$107*M96/1000,0)</f>
        <v>0</v>
      </c>
      <c r="N97" s="1097" t="n">
        <f aca="false">ROUNDDOWN($A$107*N96/1000,0)</f>
        <v>0</v>
      </c>
      <c r="O97" s="1097" t="n">
        <f aca="false">ROUNDDOWN($A$107*O96/1000,0)</f>
        <v>0</v>
      </c>
      <c r="P97" s="1098"/>
      <c r="Q97" s="1098"/>
      <c r="R97" s="1098"/>
      <c r="S97" s="1098"/>
      <c r="T97" s="1098"/>
      <c r="U97" s="1090"/>
      <c r="V97" s="1090"/>
      <c r="W97" s="1094"/>
      <c r="X97" s="1089"/>
    </row>
    <row r="98" s="1095" customFormat="true" ht="11.25" hidden="false" customHeight="true" outlineLevel="0" collapsed="false">
      <c r="A98" s="1105"/>
      <c r="B98" s="1100"/>
      <c r="C98" s="1101"/>
      <c r="D98" s="1100"/>
      <c r="E98" s="1098"/>
      <c r="F98" s="1098"/>
      <c r="G98" s="1098"/>
      <c r="H98" s="1098"/>
      <c r="I98" s="1098"/>
      <c r="J98" s="1090"/>
      <c r="K98" s="1097"/>
      <c r="L98" s="1105"/>
      <c r="M98" s="1100"/>
      <c r="N98" s="1101"/>
      <c r="O98" s="1100"/>
      <c r="P98" s="1098"/>
      <c r="Q98" s="1098"/>
      <c r="R98" s="1098"/>
      <c r="S98" s="1098"/>
      <c r="T98" s="1098"/>
      <c r="U98" s="1090"/>
      <c r="V98" s="1090"/>
      <c r="W98" s="1094"/>
      <c r="X98" s="1089"/>
    </row>
    <row r="99" s="1095" customFormat="true" ht="11.25" hidden="false" customHeight="true" outlineLevel="0" collapsed="false">
      <c r="A99" s="1089"/>
      <c r="B99" s="1097"/>
      <c r="C99" s="1097"/>
      <c r="D99" s="1097"/>
      <c r="E99" s="1098"/>
      <c r="F99" s="1098"/>
      <c r="G99" s="1098"/>
      <c r="H99" s="1098"/>
      <c r="I99" s="1098"/>
      <c r="J99" s="1090"/>
      <c r="K99" s="1097"/>
      <c r="L99" s="1089"/>
      <c r="M99" s="1097"/>
      <c r="N99" s="1097"/>
      <c r="O99" s="1097"/>
      <c r="P99" s="1098"/>
      <c r="Q99" s="1098"/>
      <c r="R99" s="1098"/>
      <c r="S99" s="1098"/>
      <c r="T99" s="1098"/>
      <c r="U99" s="1090"/>
      <c r="V99" s="1090"/>
      <c r="W99" s="1094"/>
      <c r="X99" s="1089"/>
    </row>
    <row r="100" s="1095" customFormat="true" ht="11.25" hidden="false" customHeight="true" outlineLevel="0" collapsed="false">
      <c r="A100" s="1089"/>
      <c r="B100" s="1097"/>
      <c r="C100" s="1097"/>
      <c r="D100" s="1097"/>
      <c r="E100" s="1098"/>
      <c r="F100" s="1098"/>
      <c r="G100" s="1098"/>
      <c r="H100" s="1098"/>
      <c r="I100" s="1098"/>
      <c r="J100" s="1090"/>
      <c r="K100" s="1097"/>
      <c r="L100" s="1089"/>
      <c r="M100" s="1097"/>
      <c r="N100" s="1097"/>
      <c r="O100" s="1097"/>
      <c r="P100" s="1098"/>
      <c r="Q100" s="1098"/>
      <c r="R100" s="1098"/>
      <c r="S100" s="1098"/>
      <c r="T100" s="1098"/>
      <c r="U100" s="1090"/>
      <c r="V100" s="1090"/>
      <c r="W100" s="1094"/>
      <c r="X100" s="1089"/>
    </row>
    <row r="101" s="1095" customFormat="true" ht="11.25" hidden="false" customHeight="true" outlineLevel="0" collapsed="false">
      <c r="A101" s="1089"/>
      <c r="B101" s="1097"/>
      <c r="C101" s="1097"/>
      <c r="D101" s="1097"/>
      <c r="E101" s="1098"/>
      <c r="F101" s="1098"/>
      <c r="G101" s="1098"/>
      <c r="H101" s="1098"/>
      <c r="I101" s="1098"/>
      <c r="J101" s="1090"/>
      <c r="K101" s="1097"/>
      <c r="L101" s="1089"/>
      <c r="M101" s="1097"/>
      <c r="N101" s="1097"/>
      <c r="O101" s="1097"/>
      <c r="P101" s="1098"/>
      <c r="Q101" s="1098"/>
      <c r="R101" s="1098"/>
      <c r="S101" s="1098"/>
      <c r="T101" s="1098"/>
      <c r="U101" s="1090"/>
      <c r="V101" s="1090"/>
      <c r="W101" s="1094"/>
      <c r="X101" s="1089"/>
    </row>
    <row r="102" s="1095" customFormat="true" ht="11.25" hidden="false" customHeight="true" outlineLevel="0" collapsed="false">
      <c r="A102" s="1089"/>
      <c r="B102" s="1097"/>
      <c r="C102" s="1097"/>
      <c r="D102" s="1097"/>
      <c r="E102" s="1098"/>
      <c r="F102" s="1098"/>
      <c r="G102" s="1098"/>
      <c r="H102" s="1098"/>
      <c r="I102" s="1098"/>
      <c r="J102" s="1090"/>
      <c r="K102" s="1097"/>
      <c r="L102" s="1089"/>
      <c r="M102" s="1097"/>
      <c r="N102" s="1097"/>
      <c r="O102" s="1097"/>
      <c r="P102" s="1098"/>
      <c r="Q102" s="1098"/>
      <c r="R102" s="1098"/>
      <c r="S102" s="1098"/>
      <c r="T102" s="1098"/>
      <c r="U102" s="1090"/>
      <c r="V102" s="1090"/>
      <c r="W102" s="1094"/>
      <c r="X102" s="1089"/>
    </row>
    <row r="103" s="1095" customFormat="true" ht="11.25" hidden="false" customHeight="true" outlineLevel="0" collapsed="false">
      <c r="A103" s="1089"/>
      <c r="B103" s="1097"/>
      <c r="C103" s="1097"/>
      <c r="D103" s="1097"/>
      <c r="E103" s="1098"/>
      <c r="F103" s="1098"/>
      <c r="G103" s="1098"/>
      <c r="H103" s="1098"/>
      <c r="I103" s="1098"/>
      <c r="J103" s="1090"/>
      <c r="K103" s="1097"/>
      <c r="L103" s="1089"/>
      <c r="M103" s="1097"/>
      <c r="N103" s="1097"/>
      <c r="O103" s="1097"/>
      <c r="P103" s="1098"/>
      <c r="Q103" s="1098"/>
      <c r="R103" s="1098"/>
      <c r="S103" s="1098"/>
      <c r="T103" s="1098"/>
      <c r="U103" s="1090"/>
      <c r="V103" s="1090"/>
      <c r="W103" s="1094"/>
      <c r="X103" s="1089"/>
    </row>
    <row r="104" s="886" customFormat="true" ht="11.25" hidden="false" customHeight="true" outlineLevel="0" collapsed="false">
      <c r="B104" s="790"/>
      <c r="C104" s="790"/>
      <c r="D104" s="790"/>
      <c r="E104" s="790"/>
      <c r="F104" s="790"/>
      <c r="G104" s="790"/>
      <c r="H104" s="790"/>
      <c r="I104" s="790"/>
      <c r="J104" s="790"/>
      <c r="K104" s="790"/>
      <c r="M104" s="790"/>
      <c r="N104" s="790"/>
      <c r="O104" s="790"/>
      <c r="P104" s="790"/>
      <c r="Q104" s="790"/>
      <c r="R104" s="790"/>
      <c r="S104" s="790"/>
      <c r="T104" s="790"/>
      <c r="U104" s="790"/>
      <c r="V104" s="790"/>
      <c r="W104" s="791"/>
      <c r="X104" s="789"/>
    </row>
    <row r="105" s="1095" customFormat="true" ht="11.25" hidden="false" customHeight="true" outlineLevel="0" collapsed="false">
      <c r="A105" s="1103"/>
      <c r="B105" s="1100" t="n">
        <f aca="false">B96</f>
        <v>91.5</v>
      </c>
      <c r="C105" s="1100" t="n">
        <f aca="false">C96</f>
        <v>7.5</v>
      </c>
      <c r="D105" s="1100" t="n">
        <f aca="false">D96</f>
        <v>37.41</v>
      </c>
      <c r="E105" s="1090"/>
      <c r="F105" s="1090"/>
      <c r="G105" s="1090"/>
      <c r="H105" s="1090"/>
      <c r="I105" s="1090"/>
      <c r="J105" s="1090"/>
      <c r="K105" s="1097"/>
      <c r="L105" s="1103"/>
      <c r="M105" s="1100" t="n">
        <f aca="false">M96</f>
        <v>91.5</v>
      </c>
      <c r="N105" s="1100" t="n">
        <f aca="false">N96</f>
        <v>7.5</v>
      </c>
      <c r="O105" s="1100" t="n">
        <f aca="false">O96</f>
        <v>37.41</v>
      </c>
      <c r="P105" s="1090"/>
      <c r="Q105" s="1090"/>
      <c r="R105" s="1090"/>
      <c r="S105" s="1090"/>
      <c r="T105" s="1090"/>
      <c r="U105" s="1090"/>
      <c r="V105" s="1090"/>
      <c r="W105" s="1094"/>
      <c r="X105" s="1089"/>
    </row>
    <row r="106" s="1095" customFormat="true" ht="11.25" hidden="false" customHeight="true" outlineLevel="0" collapsed="false">
      <c r="A106" s="1104" t="s">
        <v>368</v>
      </c>
      <c r="B106" s="1097" t="n">
        <f aca="false">ROUNDDOWN($A$107*B105/1000,0)</f>
        <v>0</v>
      </c>
      <c r="C106" s="1097" t="n">
        <f aca="false">ROUNDDOWN($A$107*C105/1000,0)</f>
        <v>0</v>
      </c>
      <c r="D106" s="1097" t="n">
        <f aca="false">ROUNDDOWN($A$107*D105/1000,0)</f>
        <v>0</v>
      </c>
      <c r="E106" s="1098"/>
      <c r="F106" s="1098"/>
      <c r="G106" s="1098"/>
      <c r="H106" s="1098"/>
      <c r="I106" s="1098"/>
      <c r="J106" s="1090"/>
      <c r="K106" s="1097"/>
      <c r="L106" s="1104" t="s">
        <v>368</v>
      </c>
      <c r="M106" s="1097" t="n">
        <f aca="false">ROUNDDOWN($A$107*M105/1000,0)</f>
        <v>0</v>
      </c>
      <c r="N106" s="1097" t="n">
        <f aca="false">ROUNDDOWN($A$107*N105/1000,0)</f>
        <v>0</v>
      </c>
      <c r="O106" s="1097" t="n">
        <f aca="false">ROUNDDOWN($A$107*O105/1000,0)</f>
        <v>0</v>
      </c>
      <c r="P106" s="1098"/>
      <c r="Q106" s="1098"/>
      <c r="R106" s="1098"/>
      <c r="S106" s="1098"/>
      <c r="T106" s="1098"/>
      <c r="U106" s="1090"/>
      <c r="V106" s="1090"/>
      <c r="W106" s="1094"/>
      <c r="X106" s="1089"/>
    </row>
    <row r="107" s="1095" customFormat="true" ht="11.25" hidden="false" customHeight="true" outlineLevel="0" collapsed="false">
      <c r="A107" s="1105"/>
      <c r="B107" s="1100"/>
      <c r="C107" s="1101"/>
      <c r="D107" s="1100"/>
      <c r="E107" s="1098"/>
      <c r="F107" s="1098"/>
      <c r="G107" s="1098"/>
      <c r="H107" s="1098"/>
      <c r="I107" s="1098"/>
      <c r="J107" s="1090"/>
      <c r="K107" s="1097"/>
      <c r="L107" s="1105"/>
      <c r="M107" s="1100"/>
      <c r="N107" s="1101"/>
      <c r="O107" s="1100"/>
      <c r="P107" s="1098"/>
      <c r="Q107" s="1098"/>
      <c r="R107" s="1098"/>
      <c r="S107" s="1098"/>
      <c r="T107" s="1098"/>
      <c r="U107" s="1090"/>
      <c r="V107" s="1090"/>
      <c r="W107" s="1094"/>
      <c r="X107" s="1089"/>
    </row>
    <row r="108" s="1095" customFormat="true" ht="11.25" hidden="false" customHeight="true" outlineLevel="0" collapsed="false">
      <c r="A108" s="1089"/>
      <c r="B108" s="1097"/>
      <c r="C108" s="1097"/>
      <c r="D108" s="1097"/>
      <c r="E108" s="1098"/>
      <c r="F108" s="1098"/>
      <c r="G108" s="1098"/>
      <c r="H108" s="1098"/>
      <c r="I108" s="1098"/>
      <c r="J108" s="1090"/>
      <c r="K108" s="1097"/>
      <c r="L108" s="1089"/>
      <c r="M108" s="1097"/>
      <c r="N108" s="1097"/>
      <c r="O108" s="1097"/>
      <c r="P108" s="1098"/>
      <c r="Q108" s="1098"/>
      <c r="R108" s="1098"/>
      <c r="S108" s="1098"/>
      <c r="T108" s="1098"/>
      <c r="U108" s="1090"/>
      <c r="V108" s="1090"/>
      <c r="W108" s="1094"/>
      <c r="X108" s="1089"/>
    </row>
    <row r="109" s="1095" customFormat="true" ht="11.25" hidden="false" customHeight="true" outlineLevel="0" collapsed="false">
      <c r="A109" s="1089"/>
      <c r="B109" s="1097"/>
      <c r="C109" s="1097"/>
      <c r="D109" s="1097"/>
      <c r="E109" s="1098"/>
      <c r="F109" s="1098"/>
      <c r="G109" s="1098"/>
      <c r="H109" s="1098"/>
      <c r="I109" s="1098"/>
      <c r="J109" s="1090"/>
      <c r="K109" s="1097"/>
      <c r="L109" s="1089"/>
      <c r="M109" s="1097"/>
      <c r="N109" s="1097"/>
      <c r="O109" s="1097"/>
      <c r="P109" s="1098"/>
      <c r="Q109" s="1098"/>
      <c r="R109" s="1098"/>
      <c r="S109" s="1098"/>
      <c r="T109" s="1098"/>
      <c r="U109" s="1090"/>
      <c r="V109" s="1090"/>
      <c r="W109" s="1094"/>
      <c r="X109" s="1089"/>
    </row>
    <row r="110" s="1095" customFormat="true" ht="11.25" hidden="false" customHeight="true" outlineLevel="0" collapsed="false">
      <c r="A110" s="1089"/>
      <c r="B110" s="1097"/>
      <c r="C110" s="1097"/>
      <c r="D110" s="1097"/>
      <c r="E110" s="1098"/>
      <c r="F110" s="1098"/>
      <c r="G110" s="1098"/>
      <c r="H110" s="1098"/>
      <c r="I110" s="1098"/>
      <c r="J110" s="1090"/>
      <c r="K110" s="1097"/>
      <c r="L110" s="1089"/>
      <c r="M110" s="1097"/>
      <c r="N110" s="1097"/>
      <c r="O110" s="1097"/>
      <c r="P110" s="1098"/>
      <c r="Q110" s="1098"/>
      <c r="R110" s="1098"/>
      <c r="S110" s="1098"/>
      <c r="T110" s="1098"/>
      <c r="U110" s="1090"/>
      <c r="V110" s="1090"/>
      <c r="W110" s="1094"/>
      <c r="X110" s="1089"/>
    </row>
    <row r="111" s="1095" customFormat="true" ht="11.25" hidden="false" customHeight="true" outlineLevel="0" collapsed="false">
      <c r="A111" s="1089"/>
      <c r="B111" s="1097"/>
      <c r="C111" s="1097"/>
      <c r="D111" s="1097"/>
      <c r="E111" s="1098"/>
      <c r="F111" s="1098"/>
      <c r="G111" s="1098"/>
      <c r="H111" s="1098"/>
      <c r="I111" s="1098"/>
      <c r="J111" s="1090"/>
      <c r="K111" s="1097"/>
      <c r="L111" s="1089"/>
      <c r="M111" s="1097"/>
      <c r="N111" s="1097"/>
      <c r="O111" s="1097"/>
      <c r="P111" s="1098"/>
      <c r="Q111" s="1098"/>
      <c r="R111" s="1098"/>
      <c r="S111" s="1098"/>
      <c r="T111" s="1098"/>
      <c r="U111" s="1090"/>
      <c r="V111" s="1090"/>
      <c r="W111" s="1094"/>
      <c r="X111" s="1089"/>
    </row>
    <row r="112" s="1095" customFormat="true" ht="11.25" hidden="false" customHeight="true" outlineLevel="0" collapsed="false">
      <c r="A112" s="1089"/>
      <c r="B112" s="1097"/>
      <c r="C112" s="1097"/>
      <c r="D112" s="1097"/>
      <c r="E112" s="1098"/>
      <c r="F112" s="1098"/>
      <c r="G112" s="1098"/>
      <c r="H112" s="1098"/>
      <c r="I112" s="1098"/>
      <c r="J112" s="1090"/>
      <c r="K112" s="1097"/>
      <c r="L112" s="1089"/>
      <c r="M112" s="1097"/>
      <c r="N112" s="1097"/>
      <c r="O112" s="1097"/>
      <c r="P112" s="1098"/>
      <c r="Q112" s="1098"/>
      <c r="R112" s="1098"/>
      <c r="S112" s="1098"/>
      <c r="T112" s="1098"/>
      <c r="U112" s="1090"/>
      <c r="V112" s="1090"/>
      <c r="W112" s="1094"/>
      <c r="X112" s="1089"/>
    </row>
    <row r="113" s="1095" customFormat="true" ht="11.25" hidden="false" customHeight="true" outlineLevel="0" collapsed="false">
      <c r="A113" s="1089"/>
      <c r="B113" s="1097"/>
      <c r="C113" s="1097"/>
      <c r="D113" s="1097"/>
      <c r="E113" s="1098"/>
      <c r="F113" s="1098"/>
      <c r="G113" s="1098"/>
      <c r="H113" s="1098"/>
      <c r="I113" s="1098"/>
      <c r="J113" s="1090"/>
      <c r="K113" s="1097"/>
      <c r="L113" s="1089"/>
      <c r="M113" s="1097"/>
      <c r="N113" s="1097"/>
      <c r="O113" s="1097"/>
      <c r="P113" s="1098"/>
      <c r="Q113" s="1098"/>
      <c r="R113" s="1098"/>
      <c r="S113" s="1098"/>
      <c r="T113" s="1098"/>
      <c r="U113" s="1090"/>
      <c r="V113" s="1090"/>
      <c r="W113" s="1094"/>
      <c r="X113" s="1089"/>
    </row>
    <row r="114" customFormat="false" ht="22.5" hidden="false" customHeight="true" outlineLevel="0" collapsed="false">
      <c r="A114" s="794" t="s">
        <v>596</v>
      </c>
      <c r="B114" s="789"/>
      <c r="C114" s="789"/>
      <c r="D114" s="789"/>
      <c r="E114" s="789"/>
      <c r="F114" s="789"/>
      <c r="G114" s="789"/>
      <c r="H114" s="789"/>
      <c r="I114" s="789"/>
      <c r="J114" s="795" t="s">
        <v>535</v>
      </c>
      <c r="K114" s="789"/>
      <c r="L114" s="794" t="s">
        <v>596</v>
      </c>
      <c r="M114" s="789"/>
      <c r="N114" s="789"/>
      <c r="O114" s="789"/>
      <c r="U114" s="795" t="s">
        <v>535</v>
      </c>
    </row>
    <row r="115" customFormat="false" ht="30" hidden="false" customHeight="true" outlineLevel="0" collapsed="false">
      <c r="A115" s="800" t="s">
        <v>587</v>
      </c>
      <c r="B115" s="801" t="s">
        <v>538</v>
      </c>
      <c r="C115" s="802" t="s">
        <v>539</v>
      </c>
      <c r="D115" s="801" t="s">
        <v>81</v>
      </c>
      <c r="E115" s="956" t="s">
        <v>82</v>
      </c>
      <c r="F115" s="957" t="s">
        <v>590</v>
      </c>
      <c r="G115" s="958" t="s">
        <v>591</v>
      </c>
      <c r="H115" s="959" t="s">
        <v>592</v>
      </c>
      <c r="I115" s="925" t="s">
        <v>541</v>
      </c>
      <c r="J115" s="1043" t="n">
        <f aca="false">J4</f>
        <v>46113</v>
      </c>
      <c r="K115" s="820"/>
      <c r="L115" s="800" t="s">
        <v>587</v>
      </c>
      <c r="M115" s="801" t="s">
        <v>538</v>
      </c>
      <c r="N115" s="802" t="s">
        <v>539</v>
      </c>
      <c r="O115" s="801" t="s">
        <v>81</v>
      </c>
      <c r="P115" s="956" t="s">
        <v>82</v>
      </c>
      <c r="Q115" s="957" t="s">
        <v>590</v>
      </c>
      <c r="R115" s="958" t="s">
        <v>591</v>
      </c>
      <c r="S115" s="959" t="s">
        <v>592</v>
      </c>
      <c r="T115" s="925" t="s">
        <v>541</v>
      </c>
      <c r="U115" s="1043" t="n">
        <f aca="false">J4</f>
        <v>46113</v>
      </c>
    </row>
    <row r="116" customFormat="false" ht="22.5" hidden="false" customHeight="true" outlineLevel="0" collapsed="false">
      <c r="A116" s="1106" t="n">
        <f aca="false">A5</f>
        <v>46113</v>
      </c>
      <c r="B116" s="843"/>
      <c r="C116" s="843"/>
      <c r="D116" s="1044"/>
      <c r="E116" s="969"/>
      <c r="F116" s="970"/>
      <c r="G116" s="969" t="n">
        <v>100000</v>
      </c>
      <c r="H116" s="971" t="n">
        <v>100000</v>
      </c>
      <c r="I116" s="972" t="n">
        <f aca="false">SUM(B116:H116)</f>
        <v>200000</v>
      </c>
      <c r="J116" s="1046"/>
      <c r="K116" s="820"/>
      <c r="L116" s="1106" t="n">
        <f aca="false">A5</f>
        <v>46113</v>
      </c>
      <c r="M116" s="843"/>
      <c r="N116" s="843"/>
      <c r="O116" s="1044"/>
      <c r="P116" s="969"/>
      <c r="Q116" s="970"/>
      <c r="R116" s="969" t="n">
        <v>100000</v>
      </c>
      <c r="S116" s="971" t="n">
        <v>100000</v>
      </c>
      <c r="T116" s="972" t="n">
        <f aca="false">SUM(M116:S116)</f>
        <v>200000</v>
      </c>
      <c r="U116" s="1046"/>
    </row>
    <row r="117" customFormat="false" ht="22.5" hidden="false" customHeight="true" outlineLevel="0" collapsed="false">
      <c r="A117" s="1106" t="n">
        <f aca="false">A6</f>
        <v>46173</v>
      </c>
      <c r="B117" s="843"/>
      <c r="C117" s="842"/>
      <c r="D117" s="1044"/>
      <c r="E117" s="980"/>
      <c r="F117" s="981"/>
      <c r="G117" s="982" t="n">
        <v>100000</v>
      </c>
      <c r="H117" s="983" t="n">
        <v>100000</v>
      </c>
      <c r="I117" s="972" t="n">
        <f aca="false">SUM(B117:H117)</f>
        <v>200000</v>
      </c>
      <c r="J117" s="1048"/>
      <c r="K117" s="820"/>
      <c r="L117" s="1106" t="n">
        <f aca="false">A6</f>
        <v>46173</v>
      </c>
      <c r="M117" s="843"/>
      <c r="N117" s="842"/>
      <c r="O117" s="1044"/>
      <c r="P117" s="980"/>
      <c r="Q117" s="981"/>
      <c r="R117" s="982" t="n">
        <v>100000</v>
      </c>
      <c r="S117" s="983" t="n">
        <v>100000</v>
      </c>
      <c r="T117" s="972" t="n">
        <f aca="false">SUM(M117:S117)</f>
        <v>200000</v>
      </c>
      <c r="U117" s="1048"/>
    </row>
    <row r="118" customFormat="false" ht="22.5" hidden="false" customHeight="true" outlineLevel="0" collapsed="false">
      <c r="A118" s="1106" t="n">
        <f aca="false">A7</f>
        <v>46203</v>
      </c>
      <c r="B118" s="843"/>
      <c r="C118" s="842"/>
      <c r="D118" s="1044"/>
      <c r="E118" s="980"/>
      <c r="F118" s="981"/>
      <c r="G118" s="982" t="n">
        <v>100000</v>
      </c>
      <c r="H118" s="983" t="n">
        <v>100000</v>
      </c>
      <c r="I118" s="972" t="n">
        <f aca="false">SUM(B118:H118)</f>
        <v>200000</v>
      </c>
      <c r="J118" s="1048"/>
      <c r="K118" s="820"/>
      <c r="L118" s="1106" t="n">
        <f aca="false">A7</f>
        <v>46203</v>
      </c>
      <c r="M118" s="843"/>
      <c r="N118" s="842"/>
      <c r="O118" s="1044"/>
      <c r="P118" s="980"/>
      <c r="Q118" s="981"/>
      <c r="R118" s="982" t="n">
        <v>100000</v>
      </c>
      <c r="S118" s="983" t="n">
        <v>100000</v>
      </c>
      <c r="T118" s="972" t="n">
        <f aca="false">SUM(M118:S118)</f>
        <v>200000</v>
      </c>
      <c r="U118" s="1048"/>
    </row>
    <row r="119" customFormat="false" ht="22.5" hidden="false" customHeight="true" outlineLevel="0" collapsed="false">
      <c r="A119" s="1106" t="n">
        <f aca="false">A8</f>
        <v>46203</v>
      </c>
      <c r="B119" s="850"/>
      <c r="C119" s="850"/>
      <c r="D119" s="1054"/>
      <c r="E119" s="980"/>
      <c r="F119" s="989"/>
      <c r="G119" s="982" t="n">
        <v>100000</v>
      </c>
      <c r="H119" s="990" t="n">
        <v>100000</v>
      </c>
      <c r="I119" s="819" t="n">
        <f aca="false">SUM(B119:H119)</f>
        <v>200000</v>
      </c>
      <c r="J119" s="1050"/>
      <c r="K119" s="820"/>
      <c r="L119" s="1106" t="n">
        <f aca="false">A8</f>
        <v>46203</v>
      </c>
      <c r="M119" s="850"/>
      <c r="N119" s="850"/>
      <c r="O119" s="1054"/>
      <c r="P119" s="980"/>
      <c r="Q119" s="989"/>
      <c r="R119" s="982" t="n">
        <v>100000</v>
      </c>
      <c r="S119" s="990" t="n">
        <v>100000</v>
      </c>
      <c r="T119" s="819" t="n">
        <f aca="false">SUM(M119:S119)</f>
        <v>200000</v>
      </c>
      <c r="U119" s="1050"/>
    </row>
    <row r="120" customFormat="false" ht="22.5" hidden="false" customHeight="true" outlineLevel="0" collapsed="false">
      <c r="A120" s="1106" t="n">
        <f aca="false">A9</f>
        <v>46234</v>
      </c>
      <c r="B120" s="1051"/>
      <c r="C120" s="850"/>
      <c r="D120" s="1052"/>
      <c r="E120" s="980"/>
      <c r="F120" s="981"/>
      <c r="G120" s="982" t="n">
        <v>100000</v>
      </c>
      <c r="H120" s="983" t="n">
        <v>100000</v>
      </c>
      <c r="I120" s="972" t="n">
        <f aca="false">SUM(B120:H120)</f>
        <v>200000</v>
      </c>
      <c r="J120" s="1048"/>
      <c r="K120" s="820"/>
      <c r="L120" s="1106" t="n">
        <f aca="false">A9</f>
        <v>46234</v>
      </c>
      <c r="M120" s="1051"/>
      <c r="N120" s="850"/>
      <c r="O120" s="1052"/>
      <c r="P120" s="980"/>
      <c r="Q120" s="981"/>
      <c r="R120" s="982" t="n">
        <v>100000</v>
      </c>
      <c r="S120" s="983" t="n">
        <v>100000</v>
      </c>
      <c r="T120" s="972" t="n">
        <f aca="false">SUM(M120:S120)</f>
        <v>200000</v>
      </c>
      <c r="U120" s="1048"/>
    </row>
    <row r="121" customFormat="false" ht="22.5" hidden="false" customHeight="true" outlineLevel="0" collapsed="false">
      <c r="A121" s="1106" t="n">
        <f aca="false">A10</f>
        <v>46265</v>
      </c>
      <c r="B121" s="1051"/>
      <c r="C121" s="850"/>
      <c r="D121" s="1052"/>
      <c r="E121" s="980"/>
      <c r="F121" s="981"/>
      <c r="G121" s="982" t="n">
        <v>100000</v>
      </c>
      <c r="H121" s="983" t="n">
        <v>100000</v>
      </c>
      <c r="I121" s="972" t="n">
        <f aca="false">SUM(B121:H121)</f>
        <v>200000</v>
      </c>
      <c r="J121" s="1048"/>
      <c r="K121" s="820"/>
      <c r="L121" s="1106" t="n">
        <f aca="false">A10</f>
        <v>46265</v>
      </c>
      <c r="M121" s="1051"/>
      <c r="N121" s="850"/>
      <c r="O121" s="1052"/>
      <c r="P121" s="980"/>
      <c r="Q121" s="981"/>
      <c r="R121" s="982" t="n">
        <v>100000</v>
      </c>
      <c r="S121" s="983" t="n">
        <v>100000</v>
      </c>
      <c r="T121" s="972" t="n">
        <f aca="false">SUM(M121:S121)</f>
        <v>200000</v>
      </c>
      <c r="U121" s="1048"/>
    </row>
    <row r="122" customFormat="false" ht="22.5" hidden="false" customHeight="true" outlineLevel="0" collapsed="false">
      <c r="A122" s="1106" t="n">
        <f aca="false">A11</f>
        <v>46295</v>
      </c>
      <c r="B122" s="1051"/>
      <c r="C122" s="850"/>
      <c r="D122" s="1052"/>
      <c r="E122" s="980"/>
      <c r="F122" s="981"/>
      <c r="G122" s="982" t="n">
        <v>100000</v>
      </c>
      <c r="H122" s="983" t="n">
        <v>100000</v>
      </c>
      <c r="I122" s="972" t="n">
        <f aca="false">SUM(B122:H122)</f>
        <v>200000</v>
      </c>
      <c r="J122" s="1048"/>
      <c r="K122" s="820"/>
      <c r="L122" s="1106" t="n">
        <f aca="false">A11</f>
        <v>46295</v>
      </c>
      <c r="M122" s="1051"/>
      <c r="N122" s="850"/>
      <c r="O122" s="1052"/>
      <c r="P122" s="980"/>
      <c r="Q122" s="981"/>
      <c r="R122" s="982" t="n">
        <v>100000</v>
      </c>
      <c r="S122" s="983" t="n">
        <v>100000</v>
      </c>
      <c r="T122" s="972" t="n">
        <f aca="false">SUM(M122:S122)</f>
        <v>200000</v>
      </c>
      <c r="U122" s="1048"/>
    </row>
    <row r="123" customFormat="false" ht="22.5" hidden="false" customHeight="true" outlineLevel="0" collapsed="false">
      <c r="A123" s="1106" t="n">
        <f aca="false">A12</f>
        <v>46326</v>
      </c>
      <c r="B123" s="850"/>
      <c r="C123" s="850"/>
      <c r="D123" s="1054"/>
      <c r="E123" s="980"/>
      <c r="F123" s="981"/>
      <c r="G123" s="982" t="n">
        <v>100000</v>
      </c>
      <c r="H123" s="983" t="n">
        <v>100000</v>
      </c>
      <c r="I123" s="972" t="n">
        <f aca="false">SUM(B123:H123)</f>
        <v>200000</v>
      </c>
      <c r="J123" s="1053"/>
      <c r="K123" s="820"/>
      <c r="L123" s="1106" t="n">
        <f aca="false">A12</f>
        <v>46326</v>
      </c>
      <c r="M123" s="850"/>
      <c r="N123" s="850"/>
      <c r="O123" s="1054"/>
      <c r="P123" s="980"/>
      <c r="Q123" s="981"/>
      <c r="R123" s="982" t="n">
        <v>100000</v>
      </c>
      <c r="S123" s="983" t="n">
        <v>100000</v>
      </c>
      <c r="T123" s="972" t="n">
        <f aca="false">SUM(M123:S123)</f>
        <v>200000</v>
      </c>
      <c r="U123" s="1053"/>
    </row>
    <row r="124" customFormat="false" ht="22.5" hidden="false" customHeight="true" outlineLevel="0" collapsed="false">
      <c r="A124" s="1106" t="n">
        <f aca="false">A13</f>
        <v>46356</v>
      </c>
      <c r="B124" s="929"/>
      <c r="C124" s="929"/>
      <c r="D124" s="1076"/>
      <c r="E124" s="980"/>
      <c r="F124" s="992"/>
      <c r="G124" s="982" t="n">
        <v>100000</v>
      </c>
      <c r="H124" s="993" t="n">
        <v>100000</v>
      </c>
      <c r="I124" s="972" t="n">
        <f aca="false">SUM(B124:H124)</f>
        <v>200000</v>
      </c>
      <c r="J124" s="1053"/>
      <c r="K124" s="820"/>
      <c r="L124" s="1106" t="n">
        <f aca="false">A13</f>
        <v>46356</v>
      </c>
      <c r="M124" s="929"/>
      <c r="N124" s="929"/>
      <c r="O124" s="1076"/>
      <c r="P124" s="980"/>
      <c r="Q124" s="992"/>
      <c r="R124" s="982" t="n">
        <v>100000</v>
      </c>
      <c r="S124" s="993" t="n">
        <v>100000</v>
      </c>
      <c r="T124" s="972" t="n">
        <f aca="false">SUM(M124:S124)</f>
        <v>200000</v>
      </c>
      <c r="U124" s="1053"/>
    </row>
    <row r="125" customFormat="false" ht="22.5" hidden="false" customHeight="true" outlineLevel="0" collapsed="false">
      <c r="A125" s="1106" t="n">
        <f aca="false">A14</f>
        <v>46387</v>
      </c>
      <c r="B125" s="929"/>
      <c r="C125" s="929"/>
      <c r="D125" s="1076"/>
      <c r="E125" s="980"/>
      <c r="F125" s="994"/>
      <c r="G125" s="982" t="n">
        <v>100000</v>
      </c>
      <c r="H125" s="995" t="n">
        <v>100000</v>
      </c>
      <c r="I125" s="819" t="n">
        <f aca="false">SUM(B125:H125)</f>
        <v>200000</v>
      </c>
      <c r="J125" s="1057"/>
      <c r="K125" s="820"/>
      <c r="L125" s="1106" t="n">
        <f aca="false">A14</f>
        <v>46387</v>
      </c>
      <c r="M125" s="929"/>
      <c r="N125" s="929"/>
      <c r="O125" s="1076"/>
      <c r="P125" s="980"/>
      <c r="Q125" s="994"/>
      <c r="R125" s="982" t="n">
        <v>100000</v>
      </c>
      <c r="S125" s="995" t="n">
        <v>100000</v>
      </c>
      <c r="T125" s="819" t="n">
        <f aca="false">SUM(M125:S125)</f>
        <v>200000</v>
      </c>
      <c r="U125" s="1057"/>
    </row>
    <row r="126" s="886" customFormat="true" ht="23.25" hidden="false" customHeight="true" outlineLevel="0" collapsed="false">
      <c r="A126" s="1106" t="n">
        <f aca="false">A15</f>
        <v>46387</v>
      </c>
      <c r="B126" s="929"/>
      <c r="C126" s="929"/>
      <c r="D126" s="1076"/>
      <c r="E126" s="980"/>
      <c r="F126" s="992"/>
      <c r="G126" s="982" t="n">
        <v>100000</v>
      </c>
      <c r="H126" s="993" t="n">
        <v>100000</v>
      </c>
      <c r="I126" s="819" t="n">
        <f aca="false">SUM(B126:H126)</f>
        <v>200000</v>
      </c>
      <c r="J126" s="1053"/>
      <c r="K126" s="820"/>
      <c r="L126" s="1106" t="n">
        <f aca="false">A15</f>
        <v>46387</v>
      </c>
      <c r="M126" s="929"/>
      <c r="N126" s="929"/>
      <c r="O126" s="1076"/>
      <c r="P126" s="980"/>
      <c r="Q126" s="992"/>
      <c r="R126" s="982" t="n">
        <v>100000</v>
      </c>
      <c r="S126" s="993" t="n">
        <v>100000</v>
      </c>
      <c r="T126" s="819" t="n">
        <f aca="false">SUM(M126:S126)</f>
        <v>200000</v>
      </c>
      <c r="U126" s="1053"/>
      <c r="V126" s="790"/>
      <c r="W126" s="791"/>
      <c r="X126" s="789"/>
    </row>
    <row r="127" s="886" customFormat="true" ht="18.75" hidden="false" customHeight="true" outlineLevel="0" collapsed="false">
      <c r="A127" s="1106" t="n">
        <f aca="false">A16</f>
        <v>46418</v>
      </c>
      <c r="B127" s="929"/>
      <c r="C127" s="929"/>
      <c r="D127" s="1076"/>
      <c r="E127" s="999"/>
      <c r="F127" s="992"/>
      <c r="G127" s="1000" t="n">
        <v>100000</v>
      </c>
      <c r="H127" s="993" t="n">
        <v>100000</v>
      </c>
      <c r="I127" s="819" t="n">
        <f aca="false">SUM(B127:H127)</f>
        <v>200000</v>
      </c>
      <c r="J127" s="1053"/>
      <c r="K127" s="820"/>
      <c r="L127" s="1106" t="n">
        <f aca="false">A16</f>
        <v>46418</v>
      </c>
      <c r="M127" s="929"/>
      <c r="N127" s="929"/>
      <c r="O127" s="1076"/>
      <c r="P127" s="999"/>
      <c r="Q127" s="992"/>
      <c r="R127" s="1000" t="n">
        <v>100000</v>
      </c>
      <c r="S127" s="993" t="n">
        <v>100000</v>
      </c>
      <c r="T127" s="819" t="n">
        <f aca="false">SUM(M127:S127)</f>
        <v>200000</v>
      </c>
      <c r="U127" s="1053"/>
      <c r="V127" s="790"/>
      <c r="W127" s="791"/>
      <c r="X127" s="789"/>
    </row>
    <row r="128" s="886" customFormat="true" ht="18.75" hidden="false" customHeight="true" outlineLevel="0" collapsed="false">
      <c r="A128" s="1106" t="n">
        <f aca="false">A17</f>
        <v>46446</v>
      </c>
      <c r="B128" s="929"/>
      <c r="C128" s="929"/>
      <c r="D128" s="1076"/>
      <c r="E128" s="1001"/>
      <c r="F128" s="992"/>
      <c r="G128" s="1002" t="n">
        <v>100000</v>
      </c>
      <c r="H128" s="993" t="n">
        <v>100000</v>
      </c>
      <c r="I128" s="819" t="n">
        <f aca="false">SUM(B128:H128)</f>
        <v>200000</v>
      </c>
      <c r="J128" s="1053"/>
      <c r="K128" s="820"/>
      <c r="L128" s="1106" t="n">
        <f aca="false">A17</f>
        <v>46446</v>
      </c>
      <c r="M128" s="929"/>
      <c r="N128" s="929"/>
      <c r="O128" s="1076"/>
      <c r="P128" s="1001"/>
      <c r="Q128" s="992"/>
      <c r="R128" s="1002" t="n">
        <v>100000</v>
      </c>
      <c r="S128" s="993" t="n">
        <v>100000</v>
      </c>
      <c r="T128" s="819" t="n">
        <f aca="false">SUM(M128:S128)</f>
        <v>200000</v>
      </c>
      <c r="U128" s="1053"/>
      <c r="V128" s="790"/>
      <c r="W128" s="791"/>
      <c r="X128" s="789"/>
    </row>
    <row r="129" s="886" customFormat="true" ht="18.75" hidden="false" customHeight="true" outlineLevel="0" collapsed="false">
      <c r="A129" s="1106" t="n">
        <f aca="false">A18</f>
        <v>46477</v>
      </c>
      <c r="B129" s="929"/>
      <c r="C129" s="929"/>
      <c r="D129" s="1102"/>
      <c r="E129" s="1008"/>
      <c r="F129" s="1009"/>
      <c r="G129" s="1010" t="n">
        <v>100000</v>
      </c>
      <c r="H129" s="1011" t="n">
        <v>100000</v>
      </c>
      <c r="I129" s="819" t="n">
        <f aca="false">SUM(B129:H129)</f>
        <v>200000</v>
      </c>
      <c r="J129" s="1066"/>
      <c r="K129" s="820"/>
      <c r="L129" s="1106" t="n">
        <f aca="false">A18</f>
        <v>46477</v>
      </c>
      <c r="M129" s="929"/>
      <c r="N129" s="929"/>
      <c r="O129" s="1102"/>
      <c r="P129" s="1008"/>
      <c r="Q129" s="1009"/>
      <c r="R129" s="1010" t="n">
        <v>100000</v>
      </c>
      <c r="S129" s="1011" t="n">
        <v>100000</v>
      </c>
      <c r="T129" s="819" t="n">
        <f aca="false">SUM(M129:S129)</f>
        <v>200000</v>
      </c>
      <c r="U129" s="1066"/>
      <c r="V129" s="790"/>
      <c r="W129" s="791"/>
      <c r="X129" s="789"/>
    </row>
    <row r="130" s="886" customFormat="true" ht="18.75" hidden="false" customHeight="true" outlineLevel="0" collapsed="false">
      <c r="A130" s="1106" t="n">
        <f aca="false">A19</f>
        <v>46477</v>
      </c>
      <c r="B130" s="929"/>
      <c r="C130" s="929"/>
      <c r="D130" s="1076"/>
      <c r="E130" s="1001"/>
      <c r="F130" s="994"/>
      <c r="G130" s="1002" t="n">
        <v>100000</v>
      </c>
      <c r="H130" s="995" t="n">
        <v>100000</v>
      </c>
      <c r="I130" s="819" t="n">
        <f aca="false">SUM(B130:H130)</f>
        <v>200000</v>
      </c>
      <c r="J130" s="1057"/>
      <c r="K130" s="820"/>
      <c r="L130" s="1106" t="n">
        <f aca="false">A19</f>
        <v>46477</v>
      </c>
      <c r="M130" s="929"/>
      <c r="N130" s="929"/>
      <c r="O130" s="1076"/>
      <c r="P130" s="1001"/>
      <c r="Q130" s="994"/>
      <c r="R130" s="1002" t="n">
        <v>100000</v>
      </c>
      <c r="S130" s="995" t="n">
        <v>100000</v>
      </c>
      <c r="T130" s="819" t="n">
        <f aca="false">SUM(M130:S130)</f>
        <v>200000</v>
      </c>
      <c r="U130" s="1057"/>
      <c r="V130" s="790"/>
      <c r="W130" s="791"/>
      <c r="X130" s="789"/>
    </row>
    <row r="131" s="886" customFormat="true" ht="18.75" hidden="false" customHeight="true" outlineLevel="0" collapsed="false">
      <c r="A131" s="1106" t="str">
        <f aca="false">A20</f>
        <v>差額賞与6月</v>
      </c>
      <c r="B131" s="929"/>
      <c r="C131" s="929"/>
      <c r="D131" s="1076"/>
      <c r="E131" s="1001"/>
      <c r="F131" s="989"/>
      <c r="G131" s="1002" t="n">
        <v>100000</v>
      </c>
      <c r="H131" s="990" t="n">
        <v>100000</v>
      </c>
      <c r="I131" s="819" t="n">
        <f aca="false">SUM(B131:H131)</f>
        <v>200000</v>
      </c>
      <c r="J131" s="1050"/>
      <c r="K131" s="820"/>
      <c r="L131" s="1106" t="str">
        <f aca="false">A20</f>
        <v>差額賞与6月</v>
      </c>
      <c r="M131" s="929"/>
      <c r="N131" s="929"/>
      <c r="O131" s="1076"/>
      <c r="P131" s="1001"/>
      <c r="Q131" s="989"/>
      <c r="R131" s="1002" t="n">
        <v>100000</v>
      </c>
      <c r="S131" s="990" t="n">
        <v>100000</v>
      </c>
      <c r="T131" s="819" t="n">
        <f aca="false">SUM(M131:S131)</f>
        <v>200000</v>
      </c>
      <c r="U131" s="1050"/>
      <c r="V131" s="790"/>
      <c r="W131" s="791"/>
      <c r="X131" s="789"/>
    </row>
    <row r="132" s="886" customFormat="true" ht="23.1" hidden="false" customHeight="true" outlineLevel="0" collapsed="false">
      <c r="A132" s="1106" t="str">
        <f aca="false">A21</f>
        <v>差額賞与12月</v>
      </c>
      <c r="B132" s="1082"/>
      <c r="C132" s="1082"/>
      <c r="D132" s="1083"/>
      <c r="E132" s="1008"/>
      <c r="F132" s="1084"/>
      <c r="G132" s="1010" t="n">
        <v>100000</v>
      </c>
      <c r="H132" s="1085" t="n">
        <v>100000</v>
      </c>
      <c r="I132" s="1086" t="n">
        <f aca="false">SUM(B132:H132)</f>
        <v>200000</v>
      </c>
      <c r="J132" s="1087"/>
      <c r="K132" s="820"/>
      <c r="L132" s="1106" t="str">
        <f aca="false">A21</f>
        <v>差額賞与12月</v>
      </c>
      <c r="M132" s="1082"/>
      <c r="N132" s="1082"/>
      <c r="O132" s="1083"/>
      <c r="P132" s="1008"/>
      <c r="Q132" s="1084"/>
      <c r="R132" s="1010" t="n">
        <v>100000</v>
      </c>
      <c r="S132" s="1085" t="n">
        <v>100000</v>
      </c>
      <c r="T132" s="1086" t="n">
        <f aca="false">SUM(M132:S132)</f>
        <v>200000</v>
      </c>
      <c r="U132" s="1087"/>
      <c r="V132" s="790"/>
      <c r="W132" s="791"/>
      <c r="X132" s="789"/>
    </row>
    <row r="133" s="886" customFormat="true" ht="23.1" hidden="false" customHeight="true" outlineLevel="0" collapsed="false">
      <c r="A133" s="800" t="s">
        <v>571</v>
      </c>
      <c r="B133" s="1033" t="n">
        <f aca="false">SUM(B116:B132)</f>
        <v>0</v>
      </c>
      <c r="C133" s="1033" t="n">
        <f aca="false">SUM(C116:C132)</f>
        <v>0</v>
      </c>
      <c r="D133" s="1033" t="n">
        <f aca="false">SUM(D116:D132)</f>
        <v>0</v>
      </c>
      <c r="E133" s="1034" t="n">
        <f aca="false">SUM(E116:E132)</f>
        <v>0</v>
      </c>
      <c r="F133" s="1035" t="n">
        <f aca="false">SUM(F116:F132)</f>
        <v>0</v>
      </c>
      <c r="G133" s="1036" t="n">
        <f aca="false">SUM(G116:G132)</f>
        <v>1700000</v>
      </c>
      <c r="H133" s="1037" t="n">
        <f aca="false">SUM(H116:H132)</f>
        <v>1700000</v>
      </c>
      <c r="I133" s="1038" t="n">
        <f aca="false">SUM(B133:H133)</f>
        <v>3400000</v>
      </c>
      <c r="J133" s="1039" t="n">
        <f aca="false">SUM(J116:J132)</f>
        <v>0</v>
      </c>
      <c r="K133" s="820"/>
      <c r="L133" s="800" t="s">
        <v>571</v>
      </c>
      <c r="M133" s="1033" t="n">
        <f aca="false">SUM(M116:M132)</f>
        <v>0</v>
      </c>
      <c r="N133" s="1033" t="n">
        <f aca="false">SUM(N116:N132)</f>
        <v>0</v>
      </c>
      <c r="O133" s="1033" t="n">
        <f aca="false">SUM(O116:O132)</f>
        <v>0</v>
      </c>
      <c r="P133" s="1034" t="n">
        <f aca="false">SUM(P116:P132)</f>
        <v>0</v>
      </c>
      <c r="Q133" s="1035" t="n">
        <f aca="false">SUM(Q116:Q132)</f>
        <v>0</v>
      </c>
      <c r="R133" s="1036" t="n">
        <f aca="false">SUM(R116:R132)</f>
        <v>1700000</v>
      </c>
      <c r="S133" s="1037" t="n">
        <f aca="false">SUM(S116:S132)</f>
        <v>1700000</v>
      </c>
      <c r="T133" s="1038" t="n">
        <f aca="false">SUM(M133:S133)</f>
        <v>3400000</v>
      </c>
      <c r="U133" s="1039" t="n">
        <f aca="false">SUM(U116:U132)</f>
        <v>0</v>
      </c>
      <c r="V133" s="790"/>
      <c r="W133" s="791"/>
      <c r="X133" s="789"/>
    </row>
    <row r="134" customFormat="false" ht="24.75" hidden="false" customHeight="true" outlineLevel="0" collapsed="false"/>
    <row r="135" s="886" customFormat="true" ht="22.5" hidden="false" customHeight="true" outlineLevel="0" collapsed="false">
      <c r="A135" s="794" t="s">
        <v>596</v>
      </c>
      <c r="B135" s="789"/>
      <c r="C135" s="789"/>
      <c r="D135" s="789"/>
      <c r="E135" s="789"/>
      <c r="F135" s="789"/>
      <c r="G135" s="789"/>
      <c r="H135" s="789"/>
      <c r="I135" s="789"/>
      <c r="J135" s="795" t="s">
        <v>535</v>
      </c>
      <c r="K135" s="820"/>
      <c r="L135" s="794" t="s">
        <v>596</v>
      </c>
      <c r="M135" s="789"/>
      <c r="N135" s="789"/>
      <c r="O135" s="789"/>
      <c r="P135" s="789"/>
      <c r="Q135" s="789"/>
      <c r="R135" s="789"/>
      <c r="S135" s="789"/>
      <c r="T135" s="789"/>
      <c r="U135" s="795" t="s">
        <v>535</v>
      </c>
      <c r="V135" s="790"/>
      <c r="W135" s="791"/>
      <c r="X135" s="789"/>
    </row>
    <row r="136" s="886" customFormat="true" ht="30" hidden="false" customHeight="true" outlineLevel="0" collapsed="false">
      <c r="A136" s="800" t="s">
        <v>587</v>
      </c>
      <c r="B136" s="801" t="s">
        <v>538</v>
      </c>
      <c r="C136" s="802" t="s">
        <v>539</v>
      </c>
      <c r="D136" s="801" t="s">
        <v>81</v>
      </c>
      <c r="E136" s="956" t="s">
        <v>82</v>
      </c>
      <c r="F136" s="957" t="s">
        <v>590</v>
      </c>
      <c r="G136" s="958" t="s">
        <v>591</v>
      </c>
      <c r="H136" s="959" t="s">
        <v>592</v>
      </c>
      <c r="I136" s="925" t="s">
        <v>541</v>
      </c>
      <c r="J136" s="1043" t="n">
        <f aca="false">J4</f>
        <v>46113</v>
      </c>
      <c r="K136" s="820"/>
      <c r="L136" s="800" t="s">
        <v>587</v>
      </c>
      <c r="M136" s="801" t="s">
        <v>538</v>
      </c>
      <c r="N136" s="802" t="s">
        <v>539</v>
      </c>
      <c r="O136" s="801" t="s">
        <v>81</v>
      </c>
      <c r="P136" s="956" t="s">
        <v>82</v>
      </c>
      <c r="Q136" s="957" t="s">
        <v>590</v>
      </c>
      <c r="R136" s="958" t="s">
        <v>591</v>
      </c>
      <c r="S136" s="959" t="s">
        <v>592</v>
      </c>
      <c r="T136" s="925" t="s">
        <v>541</v>
      </c>
      <c r="U136" s="1043" t="n">
        <f aca="false">J4</f>
        <v>46113</v>
      </c>
      <c r="V136" s="790"/>
      <c r="W136" s="791"/>
      <c r="X136" s="789"/>
    </row>
    <row r="137" s="886" customFormat="true" ht="22.5" hidden="false" customHeight="true" outlineLevel="0" collapsed="false">
      <c r="A137" s="1106" t="n">
        <f aca="false">A5</f>
        <v>46113</v>
      </c>
      <c r="B137" s="843"/>
      <c r="C137" s="843"/>
      <c r="D137" s="1044"/>
      <c r="E137" s="969"/>
      <c r="F137" s="970"/>
      <c r="G137" s="969" t="n">
        <v>100000</v>
      </c>
      <c r="H137" s="971" t="n">
        <v>100000</v>
      </c>
      <c r="I137" s="972" t="n">
        <f aca="false">SUM(B137:H137)</f>
        <v>200000</v>
      </c>
      <c r="J137" s="1046"/>
      <c r="K137" s="820"/>
      <c r="L137" s="1106" t="n">
        <f aca="false">A5</f>
        <v>46113</v>
      </c>
      <c r="M137" s="843"/>
      <c r="N137" s="843"/>
      <c r="O137" s="1044"/>
      <c r="P137" s="969"/>
      <c r="Q137" s="970"/>
      <c r="R137" s="969" t="n">
        <v>100000</v>
      </c>
      <c r="S137" s="971" t="n">
        <v>100000</v>
      </c>
      <c r="T137" s="972" t="n">
        <f aca="false">SUM(M137:S137)</f>
        <v>200000</v>
      </c>
      <c r="U137" s="1046"/>
      <c r="V137" s="790"/>
      <c r="W137" s="791"/>
      <c r="X137" s="789"/>
    </row>
    <row r="138" s="886" customFormat="true" ht="22.5" hidden="false" customHeight="true" outlineLevel="0" collapsed="false">
      <c r="A138" s="1106" t="n">
        <f aca="false">A6</f>
        <v>46173</v>
      </c>
      <c r="B138" s="843"/>
      <c r="C138" s="842"/>
      <c r="D138" s="1044"/>
      <c r="E138" s="980"/>
      <c r="F138" s="981"/>
      <c r="G138" s="982" t="n">
        <v>100000</v>
      </c>
      <c r="H138" s="983" t="n">
        <v>100000</v>
      </c>
      <c r="I138" s="972" t="n">
        <f aca="false">SUM(B138:H138)</f>
        <v>200000</v>
      </c>
      <c r="J138" s="1048"/>
      <c r="K138" s="820"/>
      <c r="L138" s="1106" t="n">
        <f aca="false">A6</f>
        <v>46173</v>
      </c>
      <c r="M138" s="843"/>
      <c r="N138" s="842"/>
      <c r="O138" s="1044"/>
      <c r="P138" s="980"/>
      <c r="Q138" s="981"/>
      <c r="R138" s="982" t="n">
        <v>100000</v>
      </c>
      <c r="S138" s="983" t="n">
        <v>100000</v>
      </c>
      <c r="T138" s="972" t="n">
        <f aca="false">SUM(M138:S138)</f>
        <v>200000</v>
      </c>
      <c r="U138" s="1048"/>
      <c r="V138" s="790"/>
      <c r="W138" s="791"/>
      <c r="X138" s="789"/>
    </row>
    <row r="139" s="886" customFormat="true" ht="22.5" hidden="false" customHeight="true" outlineLevel="0" collapsed="false">
      <c r="A139" s="1106" t="n">
        <f aca="false">A7</f>
        <v>46203</v>
      </c>
      <c r="B139" s="843"/>
      <c r="C139" s="842"/>
      <c r="D139" s="1044"/>
      <c r="E139" s="980"/>
      <c r="F139" s="981"/>
      <c r="G139" s="982" t="n">
        <v>100000</v>
      </c>
      <c r="H139" s="983" t="n">
        <v>100000</v>
      </c>
      <c r="I139" s="972" t="n">
        <f aca="false">SUM(B139:H139)</f>
        <v>200000</v>
      </c>
      <c r="J139" s="1048"/>
      <c r="K139" s="820"/>
      <c r="L139" s="1106" t="n">
        <f aca="false">A7</f>
        <v>46203</v>
      </c>
      <c r="M139" s="843"/>
      <c r="N139" s="842"/>
      <c r="O139" s="1044"/>
      <c r="P139" s="980"/>
      <c r="Q139" s="981"/>
      <c r="R139" s="982" t="n">
        <v>100000</v>
      </c>
      <c r="S139" s="983" t="n">
        <v>100000</v>
      </c>
      <c r="T139" s="972" t="n">
        <f aca="false">SUM(M139:S139)</f>
        <v>200000</v>
      </c>
      <c r="U139" s="1048"/>
      <c r="V139" s="790"/>
      <c r="W139" s="791"/>
      <c r="X139" s="789"/>
    </row>
    <row r="140" s="886" customFormat="true" ht="22.5" hidden="false" customHeight="true" outlineLevel="0" collapsed="false">
      <c r="A140" s="1106" t="n">
        <f aca="false">A8</f>
        <v>46203</v>
      </c>
      <c r="B140" s="850"/>
      <c r="C140" s="850"/>
      <c r="D140" s="1054"/>
      <c r="E140" s="980"/>
      <c r="F140" s="989"/>
      <c r="G140" s="982" t="n">
        <v>100000</v>
      </c>
      <c r="H140" s="990" t="n">
        <v>100000</v>
      </c>
      <c r="I140" s="819" t="n">
        <f aca="false">SUM(B140:H140)</f>
        <v>200000</v>
      </c>
      <c r="J140" s="1050"/>
      <c r="K140" s="820"/>
      <c r="L140" s="1106" t="n">
        <f aca="false">A8</f>
        <v>46203</v>
      </c>
      <c r="M140" s="850"/>
      <c r="N140" s="850"/>
      <c r="O140" s="1054"/>
      <c r="P140" s="980"/>
      <c r="Q140" s="989"/>
      <c r="R140" s="982" t="n">
        <v>100000</v>
      </c>
      <c r="S140" s="990" t="n">
        <v>100000</v>
      </c>
      <c r="T140" s="819" t="n">
        <f aca="false">SUM(M140:S140)</f>
        <v>200000</v>
      </c>
      <c r="U140" s="1050"/>
      <c r="V140" s="790"/>
      <c r="W140" s="791"/>
      <c r="X140" s="789"/>
    </row>
    <row r="141" s="886" customFormat="true" ht="22.5" hidden="false" customHeight="true" outlineLevel="0" collapsed="false">
      <c r="A141" s="1106" t="n">
        <f aca="false">A9</f>
        <v>46234</v>
      </c>
      <c r="B141" s="1051"/>
      <c r="C141" s="850"/>
      <c r="D141" s="1052"/>
      <c r="E141" s="980"/>
      <c r="F141" s="981"/>
      <c r="G141" s="982" t="n">
        <v>100000</v>
      </c>
      <c r="H141" s="983" t="n">
        <v>100000</v>
      </c>
      <c r="I141" s="972" t="n">
        <f aca="false">SUM(B141:H141)</f>
        <v>200000</v>
      </c>
      <c r="J141" s="1048"/>
      <c r="K141" s="820"/>
      <c r="L141" s="1106" t="n">
        <f aca="false">A9</f>
        <v>46234</v>
      </c>
      <c r="M141" s="1051"/>
      <c r="N141" s="850"/>
      <c r="O141" s="1052"/>
      <c r="P141" s="980"/>
      <c r="Q141" s="981"/>
      <c r="R141" s="982" t="n">
        <v>100000</v>
      </c>
      <c r="S141" s="983" t="n">
        <v>100000</v>
      </c>
      <c r="T141" s="972" t="n">
        <f aca="false">SUM(M141:S141)</f>
        <v>200000</v>
      </c>
      <c r="U141" s="1048"/>
      <c r="V141" s="790"/>
      <c r="W141" s="791"/>
      <c r="X141" s="789"/>
    </row>
    <row r="142" s="886" customFormat="true" ht="22.5" hidden="false" customHeight="true" outlineLevel="0" collapsed="false">
      <c r="A142" s="1106" t="n">
        <f aca="false">A10</f>
        <v>46265</v>
      </c>
      <c r="B142" s="1051"/>
      <c r="C142" s="850"/>
      <c r="D142" s="1052"/>
      <c r="E142" s="980"/>
      <c r="F142" s="981"/>
      <c r="G142" s="982" t="n">
        <v>100000</v>
      </c>
      <c r="H142" s="983" t="n">
        <v>100000</v>
      </c>
      <c r="I142" s="972" t="n">
        <f aca="false">SUM(B142:H142)</f>
        <v>200000</v>
      </c>
      <c r="J142" s="1048"/>
      <c r="K142" s="820"/>
      <c r="L142" s="1106" t="n">
        <f aca="false">A10</f>
        <v>46265</v>
      </c>
      <c r="M142" s="1051"/>
      <c r="N142" s="850"/>
      <c r="O142" s="1052"/>
      <c r="P142" s="980"/>
      <c r="Q142" s="981"/>
      <c r="R142" s="982" t="n">
        <v>100000</v>
      </c>
      <c r="S142" s="983" t="n">
        <v>100000</v>
      </c>
      <c r="T142" s="972" t="n">
        <f aca="false">SUM(M142:S142)</f>
        <v>200000</v>
      </c>
      <c r="U142" s="1048"/>
      <c r="V142" s="790"/>
      <c r="W142" s="791"/>
      <c r="X142" s="789"/>
    </row>
    <row r="143" s="886" customFormat="true" ht="22.5" hidden="false" customHeight="true" outlineLevel="0" collapsed="false">
      <c r="A143" s="1106" t="n">
        <f aca="false">A11</f>
        <v>46295</v>
      </c>
      <c r="B143" s="1051"/>
      <c r="C143" s="850"/>
      <c r="D143" s="1052"/>
      <c r="E143" s="980"/>
      <c r="F143" s="981"/>
      <c r="G143" s="982" t="n">
        <v>100000</v>
      </c>
      <c r="H143" s="983" t="n">
        <v>100000</v>
      </c>
      <c r="I143" s="972" t="n">
        <f aca="false">SUM(B143:H143)</f>
        <v>200000</v>
      </c>
      <c r="J143" s="1048"/>
      <c r="K143" s="820"/>
      <c r="L143" s="1106" t="n">
        <f aca="false">A11</f>
        <v>46295</v>
      </c>
      <c r="M143" s="1051"/>
      <c r="N143" s="850"/>
      <c r="O143" s="1052"/>
      <c r="P143" s="980"/>
      <c r="Q143" s="981"/>
      <c r="R143" s="982" t="n">
        <v>100000</v>
      </c>
      <c r="S143" s="983" t="n">
        <v>100000</v>
      </c>
      <c r="T143" s="972" t="n">
        <f aca="false">SUM(M143:S143)</f>
        <v>200000</v>
      </c>
      <c r="U143" s="1048"/>
      <c r="V143" s="790"/>
      <c r="W143" s="791"/>
      <c r="X143" s="789"/>
    </row>
    <row r="144" s="886" customFormat="true" ht="22.5" hidden="false" customHeight="true" outlineLevel="0" collapsed="false">
      <c r="A144" s="1106" t="n">
        <f aca="false">A12</f>
        <v>46326</v>
      </c>
      <c r="B144" s="850"/>
      <c r="C144" s="850"/>
      <c r="D144" s="1054"/>
      <c r="E144" s="980"/>
      <c r="F144" s="981"/>
      <c r="G144" s="982" t="n">
        <v>100000</v>
      </c>
      <c r="H144" s="983" t="n">
        <v>100000</v>
      </c>
      <c r="I144" s="972" t="n">
        <f aca="false">SUM(B144:H144)</f>
        <v>200000</v>
      </c>
      <c r="J144" s="1053"/>
      <c r="K144" s="820"/>
      <c r="L144" s="1106" t="n">
        <f aca="false">A12</f>
        <v>46326</v>
      </c>
      <c r="M144" s="850"/>
      <c r="N144" s="850"/>
      <c r="O144" s="1054"/>
      <c r="P144" s="980"/>
      <c r="Q144" s="981"/>
      <c r="R144" s="982" t="n">
        <v>100000</v>
      </c>
      <c r="S144" s="983" t="n">
        <v>100000</v>
      </c>
      <c r="T144" s="972" t="n">
        <f aca="false">SUM(M144:S144)</f>
        <v>200000</v>
      </c>
      <c r="U144" s="1053"/>
      <c r="V144" s="790"/>
      <c r="W144" s="791"/>
      <c r="X144" s="789"/>
    </row>
    <row r="145" s="886" customFormat="true" ht="22.5" hidden="false" customHeight="true" outlineLevel="0" collapsed="false">
      <c r="A145" s="1106" t="n">
        <f aca="false">A13</f>
        <v>46356</v>
      </c>
      <c r="B145" s="929"/>
      <c r="C145" s="929"/>
      <c r="D145" s="1076"/>
      <c r="E145" s="980"/>
      <c r="F145" s="992"/>
      <c r="G145" s="982" t="n">
        <v>100000</v>
      </c>
      <c r="H145" s="993" t="n">
        <v>100000</v>
      </c>
      <c r="I145" s="972" t="n">
        <f aca="false">SUM(B145:H145)</f>
        <v>200000</v>
      </c>
      <c r="J145" s="1053"/>
      <c r="K145" s="820"/>
      <c r="L145" s="1106" t="n">
        <f aca="false">A13</f>
        <v>46356</v>
      </c>
      <c r="M145" s="929"/>
      <c r="N145" s="929"/>
      <c r="O145" s="1076"/>
      <c r="P145" s="980"/>
      <c r="Q145" s="992"/>
      <c r="R145" s="982" t="n">
        <v>100000</v>
      </c>
      <c r="S145" s="993" t="n">
        <v>100000</v>
      </c>
      <c r="T145" s="972" t="n">
        <f aca="false">SUM(M145:S145)</f>
        <v>200000</v>
      </c>
      <c r="U145" s="1053"/>
      <c r="V145" s="790"/>
      <c r="W145" s="791"/>
      <c r="X145" s="789"/>
    </row>
    <row r="146" customFormat="false" ht="22.5" hidden="false" customHeight="true" outlineLevel="0" collapsed="false">
      <c r="A146" s="1106" t="n">
        <f aca="false">A14</f>
        <v>46387</v>
      </c>
      <c r="B146" s="929"/>
      <c r="C146" s="929"/>
      <c r="D146" s="1076"/>
      <c r="E146" s="980"/>
      <c r="F146" s="994"/>
      <c r="G146" s="982" t="n">
        <v>100000</v>
      </c>
      <c r="H146" s="995" t="n">
        <v>100000</v>
      </c>
      <c r="I146" s="819" t="n">
        <f aca="false">SUM(B146:H146)</f>
        <v>200000</v>
      </c>
      <c r="J146" s="1057"/>
      <c r="K146" s="820"/>
      <c r="L146" s="1106" t="n">
        <f aca="false">A14</f>
        <v>46387</v>
      </c>
      <c r="M146" s="929"/>
      <c r="N146" s="929"/>
      <c r="O146" s="1076"/>
      <c r="P146" s="980"/>
      <c r="Q146" s="994"/>
      <c r="R146" s="982" t="n">
        <v>100000</v>
      </c>
      <c r="S146" s="995" t="n">
        <v>100000</v>
      </c>
      <c r="T146" s="819" t="n">
        <f aca="false">SUM(M146:S146)</f>
        <v>200000</v>
      </c>
      <c r="U146" s="1057"/>
    </row>
    <row r="147" customFormat="false" ht="22.5" hidden="false" customHeight="true" outlineLevel="0" collapsed="false">
      <c r="A147" s="1106" t="n">
        <f aca="false">A15</f>
        <v>46387</v>
      </c>
      <c r="B147" s="929"/>
      <c r="C147" s="929"/>
      <c r="D147" s="1076"/>
      <c r="E147" s="980"/>
      <c r="F147" s="992"/>
      <c r="G147" s="982" t="n">
        <v>100000</v>
      </c>
      <c r="H147" s="993" t="n">
        <v>100000</v>
      </c>
      <c r="I147" s="819" t="n">
        <f aca="false">SUM(B147:H147)</f>
        <v>200000</v>
      </c>
      <c r="J147" s="1053"/>
      <c r="K147" s="820"/>
      <c r="L147" s="1106" t="n">
        <f aca="false">A15</f>
        <v>46387</v>
      </c>
      <c r="M147" s="929"/>
      <c r="N147" s="929"/>
      <c r="O147" s="1076"/>
      <c r="P147" s="980"/>
      <c r="Q147" s="992"/>
      <c r="R147" s="982" t="n">
        <v>100000</v>
      </c>
      <c r="S147" s="993" t="n">
        <v>100000</v>
      </c>
      <c r="T147" s="819" t="n">
        <f aca="false">SUM(M147:S147)</f>
        <v>200000</v>
      </c>
      <c r="U147" s="1053"/>
    </row>
    <row r="148" customFormat="false" ht="22.5" hidden="false" customHeight="true" outlineLevel="0" collapsed="false">
      <c r="A148" s="1106" t="n">
        <f aca="false">A16</f>
        <v>46418</v>
      </c>
      <c r="B148" s="929"/>
      <c r="C148" s="929"/>
      <c r="D148" s="1076"/>
      <c r="E148" s="999"/>
      <c r="F148" s="992"/>
      <c r="G148" s="1000" t="n">
        <v>100000</v>
      </c>
      <c r="H148" s="993" t="n">
        <v>100000</v>
      </c>
      <c r="I148" s="819" t="n">
        <f aca="false">SUM(B148:H148)</f>
        <v>200000</v>
      </c>
      <c r="J148" s="1053"/>
      <c r="K148" s="820"/>
      <c r="L148" s="1106" t="n">
        <f aca="false">A16</f>
        <v>46418</v>
      </c>
      <c r="M148" s="929"/>
      <c r="N148" s="929"/>
      <c r="O148" s="1076"/>
      <c r="P148" s="999"/>
      <c r="Q148" s="992"/>
      <c r="R148" s="1000" t="n">
        <v>100000</v>
      </c>
      <c r="S148" s="993" t="n">
        <v>100000</v>
      </c>
      <c r="T148" s="819" t="n">
        <f aca="false">SUM(M148:S148)</f>
        <v>200000</v>
      </c>
      <c r="U148" s="1053"/>
    </row>
    <row r="149" customFormat="false" ht="22.5" hidden="false" customHeight="true" outlineLevel="0" collapsed="false">
      <c r="A149" s="1106" t="n">
        <f aca="false">A17</f>
        <v>46446</v>
      </c>
      <c r="B149" s="929"/>
      <c r="C149" s="929"/>
      <c r="D149" s="1076"/>
      <c r="E149" s="1001"/>
      <c r="F149" s="992"/>
      <c r="G149" s="1002" t="n">
        <v>100000</v>
      </c>
      <c r="H149" s="993" t="n">
        <v>100000</v>
      </c>
      <c r="I149" s="819" t="n">
        <f aca="false">SUM(B149:H149)</f>
        <v>200000</v>
      </c>
      <c r="J149" s="1053"/>
      <c r="K149" s="820"/>
      <c r="L149" s="1106" t="n">
        <f aca="false">A17</f>
        <v>46446</v>
      </c>
      <c r="M149" s="929"/>
      <c r="N149" s="929"/>
      <c r="O149" s="1076"/>
      <c r="P149" s="1001"/>
      <c r="Q149" s="992"/>
      <c r="R149" s="1002" t="n">
        <v>100000</v>
      </c>
      <c r="S149" s="993" t="n">
        <v>100000</v>
      </c>
      <c r="T149" s="819" t="n">
        <f aca="false">SUM(M149:S149)</f>
        <v>200000</v>
      </c>
      <c r="U149" s="1053"/>
    </row>
    <row r="150" customFormat="false" ht="22.5" hidden="false" customHeight="true" outlineLevel="0" collapsed="false">
      <c r="A150" s="1106" t="n">
        <f aca="false">A18</f>
        <v>46477</v>
      </c>
      <c r="B150" s="929"/>
      <c r="C150" s="929"/>
      <c r="D150" s="1102"/>
      <c r="E150" s="1008"/>
      <c r="F150" s="1009"/>
      <c r="G150" s="1010" t="n">
        <v>100000</v>
      </c>
      <c r="H150" s="1011" t="n">
        <v>100000</v>
      </c>
      <c r="I150" s="819" t="n">
        <f aca="false">SUM(B150:H150)</f>
        <v>200000</v>
      </c>
      <c r="J150" s="1066"/>
      <c r="L150" s="1106" t="n">
        <f aca="false">A18</f>
        <v>46477</v>
      </c>
      <c r="M150" s="929"/>
      <c r="N150" s="929"/>
      <c r="O150" s="1102"/>
      <c r="P150" s="1008"/>
      <c r="Q150" s="1009"/>
      <c r="R150" s="1010" t="n">
        <v>100000</v>
      </c>
      <c r="S150" s="1011" t="n">
        <v>100000</v>
      </c>
      <c r="T150" s="819" t="n">
        <f aca="false">SUM(M150:S150)</f>
        <v>200000</v>
      </c>
      <c r="U150" s="1066"/>
    </row>
    <row r="151" customFormat="false" ht="22.5" hidden="false" customHeight="true" outlineLevel="0" collapsed="false">
      <c r="A151" s="1106" t="n">
        <f aca="false">A19</f>
        <v>46477</v>
      </c>
      <c r="B151" s="929"/>
      <c r="C151" s="929"/>
      <c r="D151" s="1076"/>
      <c r="E151" s="1001"/>
      <c r="F151" s="994"/>
      <c r="G151" s="1002" t="n">
        <v>100000</v>
      </c>
      <c r="H151" s="995" t="n">
        <v>100000</v>
      </c>
      <c r="I151" s="819" t="n">
        <f aca="false">SUM(B151:H151)</f>
        <v>200000</v>
      </c>
      <c r="J151" s="1057"/>
      <c r="L151" s="1106" t="n">
        <f aca="false">A19</f>
        <v>46477</v>
      </c>
      <c r="M151" s="929"/>
      <c r="N151" s="929"/>
      <c r="O151" s="1076"/>
      <c r="P151" s="1001"/>
      <c r="Q151" s="994"/>
      <c r="R151" s="1002" t="n">
        <v>100000</v>
      </c>
      <c r="S151" s="995" t="n">
        <v>100000</v>
      </c>
      <c r="T151" s="819" t="n">
        <f aca="false">SUM(M151:S151)</f>
        <v>200000</v>
      </c>
      <c r="U151" s="1057"/>
    </row>
    <row r="152" customFormat="false" ht="22.5" hidden="false" customHeight="true" outlineLevel="0" collapsed="false">
      <c r="A152" s="1106" t="str">
        <f aca="false">A20</f>
        <v>差額賞与6月</v>
      </c>
      <c r="B152" s="929"/>
      <c r="C152" s="929"/>
      <c r="D152" s="1076"/>
      <c r="E152" s="1001"/>
      <c r="F152" s="989"/>
      <c r="G152" s="1002" t="n">
        <v>100000</v>
      </c>
      <c r="H152" s="990" t="n">
        <v>100000</v>
      </c>
      <c r="I152" s="819" t="n">
        <f aca="false">SUM(B152:H152)</f>
        <v>200000</v>
      </c>
      <c r="J152" s="1050"/>
      <c r="L152" s="1106" t="str">
        <f aca="false">A20</f>
        <v>差額賞与6月</v>
      </c>
      <c r="M152" s="929"/>
      <c r="N152" s="929"/>
      <c r="O152" s="1076"/>
      <c r="P152" s="1001"/>
      <c r="Q152" s="989"/>
      <c r="R152" s="1002" t="n">
        <v>100000</v>
      </c>
      <c r="S152" s="990" t="n">
        <v>100000</v>
      </c>
      <c r="T152" s="819" t="n">
        <f aca="false">SUM(M152:S152)</f>
        <v>200000</v>
      </c>
      <c r="U152" s="1050"/>
    </row>
    <row r="153" customFormat="false" ht="22.5" hidden="false" customHeight="true" outlineLevel="0" collapsed="false">
      <c r="A153" s="1106" t="str">
        <f aca="false">A21</f>
        <v>差額賞与12月</v>
      </c>
      <c r="B153" s="1082"/>
      <c r="C153" s="1082"/>
      <c r="D153" s="1083"/>
      <c r="E153" s="1008"/>
      <c r="F153" s="1084"/>
      <c r="G153" s="1010" t="n">
        <v>100000</v>
      </c>
      <c r="H153" s="1085" t="n">
        <v>100000</v>
      </c>
      <c r="I153" s="1086" t="n">
        <f aca="false">SUM(B153:H153)</f>
        <v>200000</v>
      </c>
      <c r="J153" s="1087"/>
      <c r="L153" s="1106" t="str">
        <f aca="false">A21</f>
        <v>差額賞与12月</v>
      </c>
      <c r="M153" s="1082"/>
      <c r="N153" s="1082"/>
      <c r="O153" s="1083"/>
      <c r="P153" s="1008"/>
      <c r="Q153" s="1084"/>
      <c r="R153" s="1010" t="n">
        <v>100000</v>
      </c>
      <c r="S153" s="1085" t="n">
        <v>100000</v>
      </c>
      <c r="T153" s="1086" t="n">
        <f aca="false">SUM(M153:S153)</f>
        <v>200000</v>
      </c>
      <c r="U153" s="1087"/>
    </row>
    <row r="154" customFormat="false" ht="22.5" hidden="false" customHeight="true" outlineLevel="0" collapsed="false">
      <c r="A154" s="800" t="s">
        <v>571</v>
      </c>
      <c r="B154" s="1033" t="n">
        <f aca="false">SUM(B137:B153)</f>
        <v>0</v>
      </c>
      <c r="C154" s="1033" t="n">
        <f aca="false">SUM(C137:C153)</f>
        <v>0</v>
      </c>
      <c r="D154" s="1033" t="n">
        <f aca="false">SUM(D137:D153)</f>
        <v>0</v>
      </c>
      <c r="E154" s="1034" t="n">
        <f aca="false">SUM(E137:E153)</f>
        <v>0</v>
      </c>
      <c r="F154" s="1035" t="n">
        <f aca="false">SUM(F137:F153)</f>
        <v>0</v>
      </c>
      <c r="G154" s="1036" t="n">
        <f aca="false">SUM(G137:G153)</f>
        <v>1700000</v>
      </c>
      <c r="H154" s="1037" t="n">
        <f aca="false">SUM(H137:H153)</f>
        <v>1700000</v>
      </c>
      <c r="I154" s="1038" t="n">
        <f aca="false">SUM(B154:H154)</f>
        <v>3400000</v>
      </c>
      <c r="J154" s="1039" t="n">
        <f aca="false">SUM(J137:J153)</f>
        <v>0</v>
      </c>
      <c r="L154" s="800" t="s">
        <v>571</v>
      </c>
      <c r="M154" s="1033" t="n">
        <f aca="false">SUM(M137:M153)</f>
        <v>0</v>
      </c>
      <c r="N154" s="1033" t="n">
        <f aca="false">SUM(N137:N153)</f>
        <v>0</v>
      </c>
      <c r="O154" s="1033" t="n">
        <f aca="false">SUM(O137:O153)</f>
        <v>0</v>
      </c>
      <c r="P154" s="1034" t="n">
        <f aca="false">SUM(P137:P153)</f>
        <v>0</v>
      </c>
      <c r="Q154" s="1035" t="n">
        <f aca="false">SUM(Q137:Q153)</f>
        <v>0</v>
      </c>
      <c r="R154" s="1036" t="n">
        <f aca="false">SUM(R137:R153)</f>
        <v>1700000</v>
      </c>
      <c r="S154" s="1037" t="n">
        <f aca="false">SUM(S137:S153)</f>
        <v>1700000</v>
      </c>
      <c r="T154" s="1038" t="n">
        <f aca="false">SUM(M154:S154)</f>
        <v>3400000</v>
      </c>
      <c r="U154" s="1039" t="n">
        <f aca="false">SUM(U137:U153)</f>
        <v>0</v>
      </c>
    </row>
    <row r="155" customFormat="false" ht="15" hidden="false" customHeight="false" outlineLevel="0" collapsed="false">
      <c r="A155" s="886"/>
      <c r="L155" s="886"/>
      <c r="P155" s="790"/>
      <c r="Q155" s="790"/>
      <c r="R155" s="790"/>
      <c r="S155" s="790"/>
      <c r="T155" s="790"/>
      <c r="U155" s="790"/>
    </row>
    <row r="156" s="1095" customFormat="true" ht="15" hidden="false" customHeight="true" outlineLevel="0" collapsed="false">
      <c r="A156" s="1103"/>
      <c r="B156" s="1100" t="n">
        <f aca="false">B96</f>
        <v>91.5</v>
      </c>
      <c r="C156" s="1100" t="n">
        <f aca="false">C96</f>
        <v>7.5</v>
      </c>
      <c r="D156" s="1100" t="n">
        <f aca="false">D96</f>
        <v>37.41</v>
      </c>
      <c r="E156" s="1090"/>
      <c r="F156" s="1090"/>
      <c r="G156" s="1090"/>
      <c r="H156" s="1090"/>
      <c r="I156" s="1090"/>
      <c r="J156" s="1090"/>
      <c r="K156" s="1097"/>
      <c r="L156" s="1103"/>
      <c r="M156" s="1100" t="n">
        <f aca="false">B96</f>
        <v>91.5</v>
      </c>
      <c r="N156" s="1100" t="n">
        <f aca="false">C96</f>
        <v>7.5</v>
      </c>
      <c r="O156" s="1100" t="n">
        <f aca="false">D96</f>
        <v>37.41</v>
      </c>
      <c r="P156" s="1090"/>
      <c r="Q156" s="1090"/>
      <c r="R156" s="1090"/>
      <c r="S156" s="1090"/>
      <c r="T156" s="1090"/>
      <c r="U156" s="1090"/>
      <c r="V156" s="1090"/>
      <c r="W156" s="1094"/>
      <c r="X156" s="1089"/>
    </row>
    <row r="157" s="1095" customFormat="true" ht="15" hidden="false" customHeight="true" outlineLevel="0" collapsed="false">
      <c r="A157" s="1104" t="s">
        <v>368</v>
      </c>
      <c r="B157" s="1097" t="n">
        <f aca="false">ROUNDDOWN($A$107*B156/1000,0)</f>
        <v>0</v>
      </c>
      <c r="C157" s="1097" t="n">
        <f aca="false">ROUNDDOWN($A$107*C156/1000,0)</f>
        <v>0</v>
      </c>
      <c r="D157" s="1097" t="n">
        <f aca="false">ROUNDDOWN($A$107*D156/1000,0)</f>
        <v>0</v>
      </c>
      <c r="E157" s="1098"/>
      <c r="F157" s="1098"/>
      <c r="G157" s="1098"/>
      <c r="H157" s="1098"/>
      <c r="I157" s="1098"/>
      <c r="J157" s="1090"/>
      <c r="K157" s="1097"/>
      <c r="L157" s="1104" t="s">
        <v>368</v>
      </c>
      <c r="M157" s="1097" t="n">
        <f aca="false">ROUNDDOWN($A$107*M156/1000,0)</f>
        <v>0</v>
      </c>
      <c r="N157" s="1097" t="n">
        <f aca="false">ROUNDDOWN($A$107*N156/1000,0)</f>
        <v>0</v>
      </c>
      <c r="O157" s="1097" t="n">
        <f aca="false">ROUNDDOWN($A$107*O156/1000,0)</f>
        <v>0</v>
      </c>
      <c r="P157" s="1098"/>
      <c r="Q157" s="1098"/>
      <c r="R157" s="1098"/>
      <c r="S157" s="1098"/>
      <c r="T157" s="1098"/>
      <c r="U157" s="1090"/>
      <c r="V157" s="1090"/>
      <c r="W157" s="1094"/>
      <c r="X157" s="1089"/>
    </row>
    <row r="158" s="1095" customFormat="true" ht="15" hidden="false" customHeight="true" outlineLevel="0" collapsed="false">
      <c r="A158" s="1105"/>
      <c r="B158" s="1100"/>
      <c r="C158" s="1101"/>
      <c r="D158" s="1100"/>
      <c r="E158" s="1098"/>
      <c r="F158" s="1098"/>
      <c r="G158" s="1098"/>
      <c r="H158" s="1098"/>
      <c r="I158" s="1098"/>
      <c r="J158" s="1090"/>
      <c r="K158" s="1097"/>
      <c r="L158" s="1105"/>
      <c r="M158" s="1100"/>
      <c r="N158" s="1101"/>
      <c r="O158" s="1100"/>
      <c r="P158" s="1098"/>
      <c r="Q158" s="1098"/>
      <c r="R158" s="1098"/>
      <c r="S158" s="1098"/>
      <c r="T158" s="1098"/>
      <c r="U158" s="1090"/>
      <c r="V158" s="1090"/>
      <c r="W158" s="1094"/>
      <c r="X158" s="1089"/>
    </row>
    <row r="159" s="1095" customFormat="true" ht="15" hidden="false" customHeight="true" outlineLevel="0" collapsed="false">
      <c r="A159" s="1089"/>
      <c r="B159" s="1097"/>
      <c r="C159" s="1097"/>
      <c r="D159" s="1097"/>
      <c r="E159" s="1098"/>
      <c r="F159" s="1098"/>
      <c r="G159" s="1098"/>
      <c r="H159" s="1098"/>
      <c r="I159" s="1098"/>
      <c r="J159" s="1090"/>
      <c r="K159" s="1097"/>
      <c r="L159" s="1089"/>
      <c r="M159" s="1097"/>
      <c r="N159" s="1097"/>
      <c r="O159" s="1097"/>
      <c r="P159" s="1098"/>
      <c r="Q159" s="1098"/>
      <c r="R159" s="1098"/>
      <c r="S159" s="1098"/>
      <c r="T159" s="1098"/>
      <c r="U159" s="1090"/>
      <c r="V159" s="1090"/>
      <c r="W159" s="1094"/>
      <c r="X159" s="1089"/>
    </row>
    <row r="160" s="1095" customFormat="true" ht="15" hidden="false" customHeight="true" outlineLevel="0" collapsed="false">
      <c r="A160" s="1089"/>
      <c r="B160" s="1097"/>
      <c r="C160" s="1097"/>
      <c r="D160" s="1097"/>
      <c r="E160" s="1098"/>
      <c r="F160" s="1098"/>
      <c r="G160" s="1098"/>
      <c r="H160" s="1098"/>
      <c r="I160" s="1098"/>
      <c r="J160" s="1090"/>
      <c r="K160" s="1097"/>
      <c r="L160" s="1089"/>
      <c r="M160" s="1097"/>
      <c r="N160" s="1097"/>
      <c r="O160" s="1097"/>
      <c r="P160" s="1098"/>
      <c r="Q160" s="1098"/>
      <c r="R160" s="1098"/>
      <c r="S160" s="1098"/>
      <c r="T160" s="1098"/>
      <c r="U160" s="1090"/>
      <c r="V160" s="1090"/>
      <c r="W160" s="1094"/>
      <c r="X160" s="1089"/>
    </row>
    <row r="161" s="1095" customFormat="true" ht="15" hidden="false" customHeight="true" outlineLevel="0" collapsed="false">
      <c r="A161" s="1089"/>
      <c r="B161" s="1097"/>
      <c r="C161" s="1097"/>
      <c r="D161" s="1097"/>
      <c r="E161" s="1098"/>
      <c r="F161" s="1098"/>
      <c r="G161" s="1098"/>
      <c r="H161" s="1098"/>
      <c r="I161" s="1098"/>
      <c r="J161" s="1090"/>
      <c r="K161" s="1097"/>
      <c r="L161" s="1089"/>
      <c r="M161" s="1097"/>
      <c r="N161" s="1097"/>
      <c r="O161" s="1097"/>
      <c r="P161" s="1098"/>
      <c r="Q161" s="1098"/>
      <c r="R161" s="1098"/>
      <c r="S161" s="1098"/>
      <c r="T161" s="1098"/>
      <c r="U161" s="1090"/>
      <c r="V161" s="1090"/>
      <c r="W161" s="1094"/>
      <c r="X161" s="1089"/>
    </row>
    <row r="162" s="1095" customFormat="true" ht="15" hidden="false" customHeight="true" outlineLevel="0" collapsed="false">
      <c r="A162" s="1089"/>
      <c r="B162" s="1097"/>
      <c r="C162" s="1097"/>
      <c r="D162" s="1097"/>
      <c r="E162" s="1098"/>
      <c r="F162" s="1098"/>
      <c r="G162" s="1098"/>
      <c r="H162" s="1098"/>
      <c r="I162" s="1098"/>
      <c r="J162" s="1090"/>
      <c r="K162" s="1097"/>
      <c r="L162" s="1089"/>
      <c r="M162" s="1097"/>
      <c r="N162" s="1097"/>
      <c r="O162" s="1097"/>
      <c r="P162" s="1098"/>
      <c r="Q162" s="1098"/>
      <c r="R162" s="1098"/>
      <c r="S162" s="1098"/>
      <c r="T162" s="1098"/>
      <c r="U162" s="1090"/>
      <c r="V162" s="1090"/>
      <c r="W162" s="1094"/>
      <c r="X162" s="1089"/>
    </row>
    <row r="163" s="1095" customFormat="true" ht="15" hidden="false" customHeight="true" outlineLevel="0" collapsed="false">
      <c r="A163" s="1089"/>
      <c r="B163" s="1097"/>
      <c r="C163" s="1097"/>
      <c r="D163" s="1097"/>
      <c r="E163" s="1098"/>
      <c r="F163" s="1098"/>
      <c r="G163" s="1098"/>
      <c r="H163" s="1098"/>
      <c r="I163" s="1098"/>
      <c r="J163" s="1090"/>
      <c r="K163" s="1097"/>
      <c r="L163" s="1089"/>
      <c r="M163" s="1097"/>
      <c r="N163" s="1097"/>
      <c r="O163" s="1097"/>
      <c r="P163" s="1098"/>
      <c r="Q163" s="1098"/>
      <c r="R163" s="1098"/>
      <c r="S163" s="1098"/>
      <c r="T163" s="1098"/>
      <c r="U163" s="1090"/>
      <c r="V163" s="1090"/>
      <c r="W163" s="1094"/>
      <c r="X163" s="1089"/>
    </row>
    <row r="164" s="886" customFormat="true" ht="11.25" hidden="false" customHeight="true" outlineLevel="0" collapsed="false">
      <c r="B164" s="790"/>
      <c r="C164" s="790"/>
      <c r="D164" s="790"/>
      <c r="E164" s="790"/>
      <c r="F164" s="790"/>
      <c r="G164" s="790"/>
      <c r="H164" s="790"/>
      <c r="I164" s="790"/>
      <c r="J164" s="790"/>
      <c r="K164" s="790"/>
      <c r="M164" s="790"/>
      <c r="N164" s="790"/>
      <c r="O164" s="790"/>
      <c r="P164" s="790"/>
      <c r="Q164" s="790"/>
      <c r="R164" s="790"/>
      <c r="S164" s="790"/>
      <c r="T164" s="790"/>
      <c r="U164" s="790"/>
      <c r="V164" s="790"/>
      <c r="W164" s="791"/>
      <c r="X164" s="789"/>
    </row>
    <row r="165" s="1095" customFormat="true" ht="15" hidden="false" customHeight="true" outlineLevel="0" collapsed="false">
      <c r="A165" s="1103"/>
      <c r="B165" s="1100" t="n">
        <f aca="false">B96</f>
        <v>91.5</v>
      </c>
      <c r="C165" s="1100" t="n">
        <f aca="false">C96</f>
        <v>7.5</v>
      </c>
      <c r="D165" s="1100" t="n">
        <f aca="false">D96</f>
        <v>37.41</v>
      </c>
      <c r="E165" s="1090"/>
      <c r="F165" s="1090"/>
      <c r="G165" s="1090"/>
      <c r="H165" s="1090"/>
      <c r="I165" s="1090"/>
      <c r="J165" s="1090"/>
      <c r="K165" s="1097"/>
      <c r="L165" s="1103"/>
      <c r="M165" s="1100" t="n">
        <f aca="false">B96</f>
        <v>91.5</v>
      </c>
      <c r="N165" s="1100" t="n">
        <f aca="false">C96</f>
        <v>7.5</v>
      </c>
      <c r="O165" s="1100" t="n">
        <f aca="false">D96</f>
        <v>37.41</v>
      </c>
      <c r="P165" s="1090"/>
      <c r="Q165" s="1090"/>
      <c r="R165" s="1090"/>
      <c r="S165" s="1090"/>
      <c r="T165" s="1090"/>
      <c r="U165" s="1090"/>
      <c r="V165" s="1090"/>
      <c r="W165" s="1094"/>
      <c r="X165" s="1089"/>
    </row>
    <row r="166" s="1095" customFormat="true" ht="15" hidden="false" customHeight="true" outlineLevel="0" collapsed="false">
      <c r="A166" s="1104" t="s">
        <v>368</v>
      </c>
      <c r="B166" s="1097" t="n">
        <f aca="false">ROUNDDOWN($A$107*B165/1000,0)</f>
        <v>0</v>
      </c>
      <c r="C166" s="1097" t="n">
        <f aca="false">ROUNDDOWN($A$107*C165/1000,0)</f>
        <v>0</v>
      </c>
      <c r="D166" s="1097" t="n">
        <f aca="false">ROUNDDOWN($A$107*D165/1000,0)</f>
        <v>0</v>
      </c>
      <c r="E166" s="1098"/>
      <c r="F166" s="1098"/>
      <c r="G166" s="1098"/>
      <c r="H166" s="1098"/>
      <c r="I166" s="1098"/>
      <c r="J166" s="1090"/>
      <c r="K166" s="1097"/>
      <c r="L166" s="1104" t="s">
        <v>368</v>
      </c>
      <c r="M166" s="1097" t="n">
        <f aca="false">ROUNDDOWN($A$107*M165/1000,0)</f>
        <v>0</v>
      </c>
      <c r="N166" s="1097" t="n">
        <f aca="false">ROUNDDOWN($A$107*N165/1000,0)</f>
        <v>0</v>
      </c>
      <c r="O166" s="1097" t="n">
        <f aca="false">ROUNDDOWN($A$107*O165/1000,0)</f>
        <v>0</v>
      </c>
      <c r="P166" s="1098"/>
      <c r="Q166" s="1098"/>
      <c r="R166" s="1098"/>
      <c r="S166" s="1098"/>
      <c r="T166" s="1098"/>
      <c r="U166" s="1090"/>
      <c r="V166" s="1090"/>
      <c r="W166" s="1094"/>
      <c r="X166" s="1089"/>
    </row>
    <row r="167" s="1095" customFormat="true" ht="15" hidden="false" customHeight="true" outlineLevel="0" collapsed="false">
      <c r="A167" s="1105"/>
      <c r="B167" s="1100"/>
      <c r="C167" s="1101"/>
      <c r="D167" s="1100"/>
      <c r="E167" s="1098"/>
      <c r="F167" s="1098"/>
      <c r="G167" s="1098"/>
      <c r="H167" s="1098"/>
      <c r="I167" s="1098"/>
      <c r="J167" s="1090"/>
      <c r="K167" s="1097"/>
      <c r="L167" s="1105"/>
      <c r="M167" s="1100"/>
      <c r="N167" s="1101"/>
      <c r="O167" s="1100"/>
      <c r="P167" s="1098"/>
      <c r="Q167" s="1098"/>
      <c r="R167" s="1098"/>
      <c r="S167" s="1098"/>
      <c r="T167" s="1098"/>
      <c r="U167" s="1090"/>
      <c r="V167" s="1090"/>
      <c r="W167" s="1094"/>
      <c r="X167" s="1089"/>
    </row>
    <row r="168" s="1095" customFormat="true" ht="15" hidden="false" customHeight="true" outlineLevel="0" collapsed="false">
      <c r="A168" s="1089"/>
      <c r="B168" s="1097"/>
      <c r="C168" s="1097"/>
      <c r="D168" s="1097"/>
      <c r="E168" s="1098"/>
      <c r="F168" s="1098"/>
      <c r="G168" s="1098"/>
      <c r="H168" s="1098"/>
      <c r="I168" s="1098"/>
      <c r="J168" s="1090"/>
      <c r="K168" s="1097"/>
      <c r="L168" s="1089"/>
      <c r="M168" s="1097"/>
      <c r="N168" s="1097"/>
      <c r="O168" s="1097"/>
      <c r="P168" s="1098"/>
      <c r="Q168" s="1098"/>
      <c r="R168" s="1098"/>
      <c r="S168" s="1098"/>
      <c r="T168" s="1098"/>
      <c r="U168" s="1090"/>
      <c r="V168" s="1090"/>
      <c r="W168" s="1094"/>
      <c r="X168" s="1089"/>
    </row>
  </sheetData>
  <mergeCells count="2">
    <mergeCell ref="E4:F4"/>
    <mergeCell ref="G4:H4"/>
  </mergeCells>
  <printOptions headings="false" gridLines="false" gridLinesSet="true" horizontalCentered="true" verticalCentered="false"/>
  <pageMargins left="0" right="0" top="0.472222222222222" bottom="0" header="0.511811023622047" footer="0"/>
  <pageSetup paperSize="9" scale="100" fitToWidth="1" fitToHeight="0"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43"/>
  <sheetViews>
    <sheetView showFormulas="false" showGridLines="true" showRowColHeaders="true" showZeros="true" rightToLeft="false" tabSelected="false" showOutlineSymbols="true" defaultGridColor="true" view="normal" topLeftCell="AG1" colorId="64" zoomScale="80" zoomScaleNormal="80" zoomScalePageLayoutView="85" workbookViewId="0">
      <selection pane="topLeft" activeCell="AN15" activeCellId="0" sqref="AN15"/>
    </sheetView>
  </sheetViews>
  <sheetFormatPr defaultColWidth="8.79296875" defaultRowHeight="17.25" zeroHeight="false" outlineLevelRow="0" outlineLevelCol="0"/>
  <cols>
    <col collapsed="false" customWidth="true" hidden="false" outlineLevel="0" max="5" min="1" style="607" width="11.69"/>
    <col collapsed="false" customWidth="true" hidden="false" outlineLevel="0" max="6" min="6" style="607" width="1.29"/>
    <col collapsed="false" customWidth="true" hidden="false" outlineLevel="0" max="11" min="7" style="607" width="11.69"/>
    <col collapsed="false" customWidth="true" hidden="false" outlineLevel="0" max="12" min="12" style="607" width="11.49"/>
    <col collapsed="false" customWidth="true" hidden="false" outlineLevel="0" max="17" min="13" style="607" width="11.69"/>
    <col collapsed="false" customWidth="true" hidden="false" outlineLevel="0" max="18" min="18" style="607" width="11.99"/>
    <col collapsed="false" customWidth="true" hidden="false" outlineLevel="0" max="23" min="19" style="607" width="12.49"/>
    <col collapsed="false" customWidth="true" hidden="false" outlineLevel="0" max="24" min="24" style="607" width="4.29"/>
    <col collapsed="false" customWidth="true" hidden="false" outlineLevel="0" max="40" min="25" style="607" width="11.69"/>
    <col collapsed="false" customWidth="true" hidden="false" outlineLevel="0" max="41" min="41" style="607" width="11.39"/>
    <col collapsed="false" customWidth="true" hidden="false" outlineLevel="0" max="42" min="42" style="607" width="11.59"/>
    <col collapsed="false" customWidth="true" hidden="false" outlineLevel="0" max="43" min="43" style="607" width="10.79"/>
  </cols>
  <sheetData>
    <row r="1" customFormat="false" ht="24.75" hidden="false" customHeight="true" outlineLevel="0" collapsed="false">
      <c r="A1" s="1107" t="str">
        <f aca="false">未納者等入金!A1</f>
        <v>令和8年度</v>
      </c>
      <c r="B1" s="950" t="s">
        <v>598</v>
      </c>
      <c r="G1" s="950" t="s">
        <v>599</v>
      </c>
      <c r="Y1" s="1107" t="str">
        <f aca="false">A1</f>
        <v>令和8年度</v>
      </c>
      <c r="Z1" s="950" t="s">
        <v>598</v>
      </c>
      <c r="AE1" s="950" t="s">
        <v>599</v>
      </c>
    </row>
    <row r="2" customFormat="false" ht="15" hidden="false" customHeight="true" outlineLevel="0" collapsed="false"/>
    <row r="3" customFormat="false" ht="32.25" hidden="false" customHeight="true" outlineLevel="0" collapsed="false">
      <c r="A3" s="1108" t="s">
        <v>600</v>
      </c>
      <c r="B3" s="1108"/>
      <c r="C3" s="1108"/>
      <c r="D3" s="1108"/>
      <c r="E3" s="1109" t="s">
        <v>535</v>
      </c>
      <c r="G3" s="1110" t="s">
        <v>601</v>
      </c>
      <c r="H3" s="1110"/>
      <c r="I3" s="1110"/>
      <c r="J3" s="1110"/>
      <c r="K3" s="1110"/>
      <c r="L3" s="1109" t="s">
        <v>535</v>
      </c>
      <c r="N3" s="950" t="s">
        <v>602</v>
      </c>
      <c r="S3" s="1109" t="s">
        <v>535</v>
      </c>
      <c r="U3" s="1111" t="s">
        <v>603</v>
      </c>
      <c r="W3" s="609"/>
      <c r="X3" s="609"/>
      <c r="Y3" s="1112" t="s">
        <v>604</v>
      </c>
      <c r="AG3" s="1109" t="s">
        <v>535</v>
      </c>
      <c r="AN3" s="1109"/>
      <c r="AP3" s="1113" t="s">
        <v>605</v>
      </c>
      <c r="AR3" s="1114"/>
    </row>
    <row r="4" customFormat="false" ht="32.25" hidden="false" customHeight="true" outlineLevel="0" collapsed="false">
      <c r="A4" s="1115" t="s">
        <v>542</v>
      </c>
      <c r="B4" s="1115" t="s">
        <v>606</v>
      </c>
      <c r="C4" s="1115" t="s">
        <v>607</v>
      </c>
      <c r="D4" s="1115" t="s">
        <v>469</v>
      </c>
      <c r="E4" s="1115" t="s">
        <v>608</v>
      </c>
      <c r="G4" s="1115" t="s">
        <v>542</v>
      </c>
      <c r="H4" s="1115" t="s">
        <v>609</v>
      </c>
      <c r="I4" s="1116" t="s">
        <v>610</v>
      </c>
      <c r="J4" s="1116" t="s">
        <v>611</v>
      </c>
      <c r="K4" s="1116" t="s">
        <v>612</v>
      </c>
      <c r="L4" s="1115" t="s">
        <v>613</v>
      </c>
      <c r="N4" s="1117" t="s">
        <v>614</v>
      </c>
      <c r="O4" s="1117" t="s">
        <v>615</v>
      </c>
      <c r="P4" s="1117" t="s">
        <v>616</v>
      </c>
      <c r="Q4" s="1117" t="s">
        <v>617</v>
      </c>
      <c r="R4" s="1117" t="s">
        <v>618</v>
      </c>
      <c r="S4" s="1117" t="s">
        <v>619</v>
      </c>
      <c r="T4" s="1118" t="s">
        <v>620</v>
      </c>
      <c r="U4" s="1119" t="s">
        <v>621</v>
      </c>
      <c r="W4" s="1120"/>
      <c r="X4" s="1120"/>
      <c r="Y4" s="1121" t="s">
        <v>542</v>
      </c>
      <c r="Z4" s="1122" t="s">
        <v>622</v>
      </c>
      <c r="AA4" s="1123" t="s">
        <v>623</v>
      </c>
      <c r="AB4" s="1116" t="s">
        <v>624</v>
      </c>
      <c r="AC4" s="1124" t="s">
        <v>625</v>
      </c>
      <c r="AD4" s="1125" t="s">
        <v>626</v>
      </c>
      <c r="AE4" s="1126" t="s">
        <v>627</v>
      </c>
      <c r="AF4" s="1115" t="s">
        <v>628</v>
      </c>
      <c r="AG4" s="1115" t="s">
        <v>629</v>
      </c>
      <c r="AH4" s="1127" t="s">
        <v>630</v>
      </c>
      <c r="AI4" s="1128" t="s">
        <v>631</v>
      </c>
      <c r="AJ4" s="1129"/>
      <c r="AK4" s="1115" t="s">
        <v>542</v>
      </c>
      <c r="AL4" s="1130" t="s">
        <v>632</v>
      </c>
      <c r="AM4" s="1116" t="s">
        <v>633</v>
      </c>
      <c r="AN4" s="1128" t="s">
        <v>634</v>
      </c>
      <c r="AP4" s="1131" t="n">
        <v>65</v>
      </c>
      <c r="AR4" s="1114"/>
    </row>
    <row r="5" customFormat="false" ht="24.75" hidden="false" customHeight="true" outlineLevel="0" collapsed="false">
      <c r="A5" s="1132" t="s">
        <v>559</v>
      </c>
      <c r="B5" s="1133" t="n">
        <f aca="false">B26+H26+N26+T26</f>
        <v>826296324</v>
      </c>
      <c r="C5" s="1133" t="n">
        <f aca="false">C26+I26+O26+U26</f>
        <v>315263366</v>
      </c>
      <c r="D5" s="1133" t="n">
        <f aca="false">D26+J26+P26+V26</f>
        <v>115093</v>
      </c>
      <c r="E5" s="1133" t="n">
        <f aca="false">SUM(B5:D5)</f>
        <v>1141674783</v>
      </c>
      <c r="G5" s="1132" t="s">
        <v>559</v>
      </c>
      <c r="H5" s="1134" t="n">
        <f aca="true">OFFSET('☆掛負収入'!$B$65,$AP$4*$AP5,0,1,1)+OFFSET('☆掛負収入'!$C$65,$AP$4*$AP5,0,1,1)</f>
        <v>530127754</v>
      </c>
      <c r="I5" s="1134" t="n">
        <f aca="true">OFFSET('☆掛負収入'!$H$65,$AP$4*$AP5,0,1,1)</f>
        <v>446098437</v>
      </c>
      <c r="J5" s="1134" t="n">
        <f aca="true">OFFSET('☆掛負収入'!$K$65,$AP$4*$AP5,0,1,1)</f>
        <v>36272957</v>
      </c>
      <c r="K5" s="1134" t="n">
        <f aca="true">OFFSET('☆掛負収入'!$N$65,$AP$4*$AP5,0,1,1)</f>
        <v>9873033</v>
      </c>
      <c r="L5" s="1133" t="n">
        <f aca="false">SUM(H5:K5)</f>
        <v>1022372181</v>
      </c>
      <c r="N5" s="1133" t="n">
        <f aca="false">E5+L5</f>
        <v>2164046964</v>
      </c>
      <c r="O5" s="1134" t="n">
        <f aca="false">-'☆長期集計R7'!H30+'☆長期集計R7'!K27-'☆長期集計R7'!H70+'☆長期集計R7'!K70</f>
        <v>-533112</v>
      </c>
      <c r="P5" s="1134" t="n">
        <f aca="false">-'☆短期集計R7'!H4-'☆短期集計R7'!K4+'☆短期集計R7'!K25</f>
        <v>-588794</v>
      </c>
      <c r="Q5" s="1134" t="n">
        <f aca="false">-'☆介護集計R7'!H4-'☆介護集計R7'!K4+'☆介護集計R7'!K25</f>
        <v>-6920</v>
      </c>
      <c r="R5" s="1134" t="n">
        <f aca="false">-'☆子・子集計R7'!H4-'☆子・子集計R7'!K4+'☆子・子集計R7'!K25</f>
        <v>2194865</v>
      </c>
      <c r="S5" s="1133" t="n">
        <f aca="false">L5+O5+P5+Q5+R5</f>
        <v>1023438220</v>
      </c>
      <c r="T5" s="1135" t="n">
        <f aca="false">E5+S5</f>
        <v>2165113003</v>
      </c>
      <c r="U5" s="1136" t="s">
        <v>635</v>
      </c>
      <c r="W5" s="1137"/>
      <c r="X5" s="1138"/>
      <c r="Y5" s="1139" t="s">
        <v>559</v>
      </c>
      <c r="Z5" s="1140" t="n">
        <f aca="true">OFFSET('☆掛負収入'!$B$65,$AP$4*$AP5,0,1,1)</f>
        <v>489926226</v>
      </c>
      <c r="AA5" s="1141" t="n">
        <f aca="true">OFFSET('☆掛負収入'!$C$65,$AP$4*$AP5,0,1,1)</f>
        <v>40201528</v>
      </c>
      <c r="AB5" s="1133" t="n">
        <f aca="false">SUM(Z5:AA5)</f>
        <v>530127754</v>
      </c>
      <c r="AC5" s="1140" t="n">
        <f aca="true">OFFSET('☆掛負収入'!$D$65,$AP$4*$AP5,0,1,1)</f>
        <v>710721750</v>
      </c>
      <c r="AD5" s="1142" t="n">
        <f aca="true">OFFSET('☆掛負収入'!$E$65,$AP$4*$AP5,0,1,1)</f>
        <v>40068493</v>
      </c>
      <c r="AE5" s="1143" t="n">
        <f aca="true">OFFSET('☆掛負収入'!$F$65,$AP$4*$AP5,0,1,1)</f>
        <v>483168</v>
      </c>
      <c r="AF5" s="1133" t="n">
        <f aca="false">SUM(AC5:AE5)</f>
        <v>751273411</v>
      </c>
      <c r="AG5" s="1133" t="n">
        <f aca="false">AB5+AF5</f>
        <v>1281401165</v>
      </c>
      <c r="AH5" s="1144" t="n">
        <f aca="true">OFFSET('☆掛負収入'!$G$65,$AP$4*$AP5,0,1,1)</f>
        <v>1281401165</v>
      </c>
      <c r="AI5" s="1145" t="str">
        <f aca="false">IF(AG5=AH5,"○","×")</f>
        <v>○</v>
      </c>
      <c r="AJ5" s="1137"/>
      <c r="AK5" s="1132" t="s">
        <v>559</v>
      </c>
      <c r="AL5" s="1133" t="n">
        <f aca="false">AG5+AB26+AI26+AP26</f>
        <v>2164046964</v>
      </c>
      <c r="AM5" s="1133" t="n">
        <f aca="false">N5</f>
        <v>2164046964</v>
      </c>
      <c r="AN5" s="1145" t="str">
        <f aca="false">IF(AL5=AM5,"○","×")</f>
        <v>○</v>
      </c>
      <c r="AP5" s="1146" t="n">
        <v>0</v>
      </c>
      <c r="AR5" s="1114"/>
    </row>
    <row r="6" customFormat="false" ht="24.75" hidden="false" customHeight="true" outlineLevel="0" collapsed="false">
      <c r="A6" s="1132" t="s">
        <v>560</v>
      </c>
      <c r="B6" s="1133" t="n">
        <f aca="false">B27+H27+N27+T27</f>
        <v>830501465</v>
      </c>
      <c r="C6" s="1133" t="n">
        <f aca="false">C27+I27+O27+U27</f>
        <v>317216715</v>
      </c>
      <c r="D6" s="1133" t="n">
        <f aca="false">D27+J27+P27+V27</f>
        <v>115093</v>
      </c>
      <c r="E6" s="1133" t="n">
        <f aca="false">SUM(B6:D6)</f>
        <v>1147833273</v>
      </c>
      <c r="G6" s="1132" t="s">
        <v>560</v>
      </c>
      <c r="H6" s="1134" t="n">
        <f aca="true">OFFSET('☆掛負収入'!$B$65,$AP$4*$AP6,0,1,1)+OFFSET('☆掛負収入'!$C$65,$AP$4*$AP6,0,1,1)</f>
        <v>531532694</v>
      </c>
      <c r="I6" s="1134" t="n">
        <f aca="true">OFFSET('☆掛負収入'!$H$65,$AP$4*$AP6,0,1,1)</f>
        <v>353209549</v>
      </c>
      <c r="J6" s="1134" t="n">
        <f aca="true">OFFSET('☆掛負収入'!$K$65,$AP$4*$AP6,0,1,1)</f>
        <v>31474243</v>
      </c>
      <c r="K6" s="1134" t="n">
        <f aca="true">OFFSET('☆掛負収入'!$N$65,$AP$4*$AP6,0,1,1)</f>
        <v>7828424</v>
      </c>
      <c r="L6" s="1133" t="n">
        <f aca="false">SUM(H6:K6)</f>
        <v>924044910</v>
      </c>
      <c r="N6" s="1133" t="n">
        <f aca="false">E6+L6</f>
        <v>2071878183</v>
      </c>
      <c r="O6" s="1134" t="n">
        <f aca="false">-'☆長期集計R7'!H31+'☆長期集計R7'!K28-'☆長期集計R7'!H71+'☆長期集計R7'!K71</f>
        <v>-182160</v>
      </c>
      <c r="P6" s="1134" t="n">
        <f aca="false">-'☆短期集計R7'!H5-'☆短期集計R7'!K5+'☆短期集計R7'!K26</f>
        <v>-809602</v>
      </c>
      <c r="Q6" s="1134" t="n">
        <f aca="false">-'☆介護集計R7'!H5-'☆介護集計R7'!K5+'☆介護集計R7'!K26</f>
        <v>-38484</v>
      </c>
      <c r="R6" s="1134" t="n">
        <f aca="false">-'☆子・子集計R7'!H5-'☆子・子集計R7'!K5+'☆子・子集計R7'!K26</f>
        <v>2183530</v>
      </c>
      <c r="S6" s="1133" t="n">
        <f aca="false">L6+O6+P6+Q6+R6</f>
        <v>925198194</v>
      </c>
      <c r="T6" s="1135" t="n">
        <f aca="false">E6+S6</f>
        <v>2073031467</v>
      </c>
      <c r="U6" s="1136" t="s">
        <v>635</v>
      </c>
      <c r="W6" s="1137"/>
      <c r="X6" s="1138"/>
      <c r="Y6" s="1139" t="s">
        <v>560</v>
      </c>
      <c r="Z6" s="1140" t="n">
        <f aca="true">OFFSET('☆掛負収入'!$B$65,$AP$4*$AP6,0,1,1)</f>
        <v>491261760</v>
      </c>
      <c r="AA6" s="1141" t="n">
        <f aca="true">OFFSET('☆掛負収入'!$C$65,$AP$4*$AP6,0,1,1)</f>
        <v>40270934</v>
      </c>
      <c r="AB6" s="1133" t="n">
        <f aca="false">SUM(Z6:AA6)</f>
        <v>531532694</v>
      </c>
      <c r="AC6" s="1140" t="n">
        <f aca="true">OFFSET('☆掛負収入'!$D$65,$AP$4*$AP6,0,1,1)</f>
        <v>713165985</v>
      </c>
      <c r="AD6" s="1142" t="n">
        <f aca="true">OFFSET('☆掛負収入'!$E$65,$AP$4*$AP6,0,1,1)</f>
        <v>40269134</v>
      </c>
      <c r="AE6" s="1143" t="n">
        <f aca="true">OFFSET('☆掛負収入'!$F$65,$AP$4*$AP6,0,1,1)</f>
        <v>483067</v>
      </c>
      <c r="AF6" s="1133" t="n">
        <f aca="false">SUM(AC6:AE6)</f>
        <v>753918186</v>
      </c>
      <c r="AG6" s="1133" t="n">
        <f aca="false">AB6+AF6</f>
        <v>1285450880</v>
      </c>
      <c r="AH6" s="1144" t="n">
        <f aca="true">OFFSET('☆掛負収入'!$G$65,$AP$4*$AP6,0,1,1)</f>
        <v>1285450880</v>
      </c>
      <c r="AI6" s="1147" t="str">
        <f aca="false">IF(AG6=AH6,"○","×")</f>
        <v>○</v>
      </c>
      <c r="AJ6" s="1138"/>
      <c r="AK6" s="1132" t="s">
        <v>560</v>
      </c>
      <c r="AL6" s="1133" t="n">
        <f aca="false">AG6+AB27+AI27+AP27</f>
        <v>2071878183</v>
      </c>
      <c r="AM6" s="1133" t="n">
        <f aca="false">N6</f>
        <v>2071878183</v>
      </c>
      <c r="AN6" s="1147" t="str">
        <f aca="false">IF(AL6=AM6,"○","×")</f>
        <v>○</v>
      </c>
      <c r="AP6" s="1146" t="n">
        <v>1</v>
      </c>
      <c r="AR6" s="1114"/>
    </row>
    <row r="7" customFormat="false" ht="24.75" hidden="false" customHeight="true" outlineLevel="0" collapsed="false">
      <c r="A7" s="1132" t="s">
        <v>561</v>
      </c>
      <c r="B7" s="1133" t="n">
        <f aca="false">B28+H28+N28+T28</f>
        <v>829328680</v>
      </c>
      <c r="C7" s="1133" t="n">
        <f aca="false">C28+I28+O28+U28</f>
        <v>316605364</v>
      </c>
      <c r="D7" s="1133" t="n">
        <f aca="false">D28+J28+P28+V28</f>
        <v>116389</v>
      </c>
      <c r="E7" s="1133" t="n">
        <f aca="false">SUM(B7:D7)</f>
        <v>1146050433</v>
      </c>
      <c r="G7" s="1132" t="s">
        <v>561</v>
      </c>
      <c r="H7" s="1134" t="n">
        <f aca="true">OFFSET('☆掛負収入'!$B$65,$AP$4*$AP7,0,1,1)+OFFSET('☆掛負収入'!$C$65,$AP$4*$AP7,0,1,1)</f>
        <v>530774363</v>
      </c>
      <c r="I7" s="1134" t="n">
        <f aca="true">OFFSET('☆掛負収入'!$H$65,$AP$4*$AP7,0,1,1)</f>
        <v>352789873</v>
      </c>
      <c r="J7" s="1134" t="n">
        <f aca="true">OFFSET('☆掛負収入'!$K$65,$AP$4*$AP7,0,1,1)</f>
        <v>31644321</v>
      </c>
      <c r="K7" s="1134" t="n">
        <f aca="true">OFFSET('☆掛負収入'!$N$65,$AP$4*$AP7,0,1,1)</f>
        <v>7818532</v>
      </c>
      <c r="L7" s="1133" t="n">
        <f aca="false">SUM(H7:K7)</f>
        <v>923027089</v>
      </c>
      <c r="N7" s="1133" t="n">
        <f aca="false">E7+L7</f>
        <v>2069077522</v>
      </c>
      <c r="O7" s="1134" t="n">
        <f aca="false">-'☆長期集計R7'!H32+'☆長期集計R7'!K29-'☆長期集計R7'!H72+'☆長期集計R7'!K72</f>
        <v>-393720</v>
      </c>
      <c r="P7" s="1134" t="n">
        <f aca="false">-'☆短期集計R7'!H6-'☆短期集計R7'!K6+'☆短期集計R7'!K27</f>
        <v>-223534</v>
      </c>
      <c r="Q7" s="1134" t="n">
        <f aca="false">-'☆介護集計R7'!H6-'☆介護集計R7'!K6+'☆介護集計R7'!K27</f>
        <v>-3239</v>
      </c>
      <c r="R7" s="1134" t="n">
        <f aca="false">-'☆子・子集計R7'!H6-'☆子・子集計R7'!K6+'☆子・子集計R7'!K27</f>
        <v>2198126</v>
      </c>
      <c r="S7" s="1133" t="n">
        <f aca="false">L7+O7+P7+Q7+R7</f>
        <v>924604722</v>
      </c>
      <c r="T7" s="1135" t="n">
        <f aca="false">E7+S7</f>
        <v>2070655155</v>
      </c>
      <c r="U7" s="1136" t="s">
        <v>635</v>
      </c>
      <c r="W7" s="1137"/>
      <c r="X7" s="1138"/>
      <c r="Y7" s="1139" t="s">
        <v>561</v>
      </c>
      <c r="Z7" s="1140" t="n">
        <f aca="true">OFFSET('☆掛負収入'!$B$65,$AP$4*$AP7,0,1,1)</f>
        <v>490561786</v>
      </c>
      <c r="AA7" s="1141" t="n">
        <f aca="true">OFFSET('☆掛負収入'!$C$65,$AP$4*$AP7,0,1,1)</f>
        <v>40212577</v>
      </c>
      <c r="AB7" s="1133" t="n">
        <f aca="false">SUM(Z7:AA7)</f>
        <v>530774363</v>
      </c>
      <c r="AC7" s="1140" t="n">
        <f aca="true">OFFSET('☆掛負収入'!$D$65,$AP$4*$AP7,0,1,1)</f>
        <v>712084289</v>
      </c>
      <c r="AD7" s="1142" t="n">
        <f aca="true">OFFSET('☆掛負収入'!$E$65,$AP$4*$AP7,0,1,1)</f>
        <v>40180808</v>
      </c>
      <c r="AE7" s="1143" t="n">
        <f aca="true">OFFSET('☆掛負収入'!$F$65,$AP$4*$AP7,0,1,1)</f>
        <v>482919</v>
      </c>
      <c r="AF7" s="1133" t="n">
        <f aca="false">SUM(AC7:AE7)</f>
        <v>752748016</v>
      </c>
      <c r="AG7" s="1133" t="n">
        <f aca="false">AB7+AF7</f>
        <v>1283522379</v>
      </c>
      <c r="AH7" s="1144" t="n">
        <f aca="true">OFFSET('☆掛負収入'!$G$65,$AP$4*$AP7,0,1,1)</f>
        <v>1283522379</v>
      </c>
      <c r="AI7" s="1147" t="str">
        <f aca="false">IF(AG7=AH7,"○","×")</f>
        <v>○</v>
      </c>
      <c r="AJ7" s="1138"/>
      <c r="AK7" s="1132" t="s">
        <v>561</v>
      </c>
      <c r="AL7" s="1133" t="n">
        <f aca="false">AG7+AB28+AI28+AP28</f>
        <v>2069077522</v>
      </c>
      <c r="AM7" s="1133" t="n">
        <f aca="false">N7</f>
        <v>2069077522</v>
      </c>
      <c r="AN7" s="1147" t="str">
        <f aca="false">IF(AL7=AM7,"○","×")</f>
        <v>○</v>
      </c>
      <c r="AP7" s="1146" t="n">
        <v>2</v>
      </c>
      <c r="AR7" s="1114"/>
    </row>
    <row r="8" customFormat="false" ht="24.75" hidden="false" customHeight="true" outlineLevel="0" collapsed="false">
      <c r="A8" s="1132" t="s">
        <v>636</v>
      </c>
      <c r="B8" s="1133" t="n">
        <f aca="false">B29+H29+N29+T29</f>
        <v>1577686727</v>
      </c>
      <c r="C8" s="1133" t="n">
        <f aca="false">C29+I29+O29+U29</f>
        <v>500822886</v>
      </c>
      <c r="D8" s="1133" t="n">
        <f aca="false">D29+J29+P29+V29</f>
        <v>147200</v>
      </c>
      <c r="E8" s="1133" t="n">
        <f aca="false">SUM(B8:D8)</f>
        <v>2078656813</v>
      </c>
      <c r="G8" s="1132" t="s">
        <v>636</v>
      </c>
      <c r="H8" s="1134" t="n">
        <f aca="true">OFFSET('☆掛負収入'!$B$65,$AP$4*$AP8,0,1,1)+OFFSET('☆掛負収入'!$C$65,$AP$4*$AP8,0,1,1)</f>
        <v>981583502</v>
      </c>
      <c r="I8" s="1134" t="n">
        <f aca="true">OFFSET('☆掛負収入'!$H$65,$AP$4*$AP8,0,1,1)</f>
        <v>614527425</v>
      </c>
      <c r="J8" s="1134" t="n">
        <f aca="true">OFFSET('☆掛負収入'!$K$65,$AP$4*$AP8,0,1,1)</f>
        <v>58354858</v>
      </c>
      <c r="K8" s="1134" t="n">
        <f aca="true">OFFSET('☆掛負収入'!$N$65,$AP$4*$AP8,0,1,1)</f>
        <v>13618708</v>
      </c>
      <c r="L8" s="1133" t="n">
        <f aca="false">SUM(H8:K8)</f>
        <v>1668084493</v>
      </c>
      <c r="N8" s="1133" t="n">
        <f aca="false">E8+L8</f>
        <v>3746741306</v>
      </c>
      <c r="O8" s="1134" t="n">
        <f aca="false">'☆長期集計R7'!K30+'☆長期集計R7'!K73</f>
        <v>0</v>
      </c>
      <c r="P8" s="1134" t="n">
        <f aca="false">'☆短期集計R7'!K28</f>
        <v>0</v>
      </c>
      <c r="Q8" s="1134" t="n">
        <f aca="false">'☆介護集計R7'!K28</f>
        <v>0</v>
      </c>
      <c r="R8" s="1134" t="n">
        <f aca="false">-'☆子・子集計R7'!H7-'☆子・子集計R7'!K7+'☆子・子集計R7'!K28</f>
        <v>2171532</v>
      </c>
      <c r="S8" s="1133" t="n">
        <f aca="false">L8+O8+P8+Q8+R8</f>
        <v>1670256025</v>
      </c>
      <c r="T8" s="1135" t="n">
        <f aca="false">E8+S8</f>
        <v>3748912838</v>
      </c>
      <c r="U8" s="1136" t="s">
        <v>635</v>
      </c>
      <c r="W8" s="1137"/>
      <c r="X8" s="1138"/>
      <c r="Y8" s="1139" t="s">
        <v>636</v>
      </c>
      <c r="Z8" s="1140" t="n">
        <f aca="true">OFFSET('☆掛負収入'!$B$65,$AP$4*$AP8,0,1,1)</f>
        <v>907213270</v>
      </c>
      <c r="AA8" s="1141" t="n">
        <f aca="true">OFFSET('☆掛負収入'!$C$65,$AP$4*$AP8,0,1,1)</f>
        <v>74370232</v>
      </c>
      <c r="AB8" s="1133" t="n">
        <f aca="false">SUM(Z8:AA8)</f>
        <v>981583502</v>
      </c>
      <c r="AC8" s="1140" t="n">
        <f aca="true">OFFSET('☆掛負収入'!$D$65,$AP$4*$AP8,0,1,1)</f>
        <v>1308496586</v>
      </c>
      <c r="AD8" s="1142" t="n">
        <f aca="true">OFFSET('☆掛負収入'!$E$65,$AP$4*$AP8,0,1,1)</f>
        <v>74372823</v>
      </c>
      <c r="AE8" s="1143" t="n">
        <f aca="true">OFFSET('☆掛負収入'!$F$65,$AP$4*$AP8,0,1,1)</f>
        <v>874113</v>
      </c>
      <c r="AF8" s="1133" t="n">
        <f aca="false">SUM(AC8:AE8)</f>
        <v>1383743522</v>
      </c>
      <c r="AG8" s="1133" t="n">
        <f aca="false">AB8+AF8</f>
        <v>2365327024</v>
      </c>
      <c r="AH8" s="1144" t="n">
        <f aca="true">OFFSET('☆掛負収入'!$G$65,$AP$4*$AP8,0,1,1)</f>
        <v>2365327024</v>
      </c>
      <c r="AI8" s="1147" t="str">
        <f aca="false">IF(AG8=AH8,"○","×")</f>
        <v>○</v>
      </c>
      <c r="AJ8" s="1138"/>
      <c r="AK8" s="1132" t="s">
        <v>636</v>
      </c>
      <c r="AL8" s="1133" t="n">
        <f aca="false">AG8+AB29+AI29+AP29</f>
        <v>3746741306</v>
      </c>
      <c r="AM8" s="1133" t="n">
        <f aca="false">N8</f>
        <v>3746741306</v>
      </c>
      <c r="AN8" s="1147" t="str">
        <f aca="false">IF(AL8=AM8,"○","×")</f>
        <v>○</v>
      </c>
      <c r="AP8" s="1146" t="n">
        <v>3</v>
      </c>
      <c r="AR8" s="1114"/>
    </row>
    <row r="9" customFormat="false" ht="24.75" hidden="false" customHeight="true" outlineLevel="0" collapsed="false">
      <c r="A9" s="1132" t="s">
        <v>562</v>
      </c>
      <c r="B9" s="1133" t="n">
        <f aca="false">B30+H30+N30+T30</f>
        <v>847775662</v>
      </c>
      <c r="C9" s="1133" t="n">
        <f aca="false">C30+I30+O30+U30</f>
        <v>317786286</v>
      </c>
      <c r="D9" s="1133" t="n">
        <f aca="false">D30+J30+P30+V30</f>
        <v>113797</v>
      </c>
      <c r="E9" s="1133" t="n">
        <f aca="false">SUM(B9:D9)</f>
        <v>1165675745</v>
      </c>
      <c r="G9" s="1132" t="s">
        <v>562</v>
      </c>
      <c r="H9" s="1134" t="n">
        <f aca="true">OFFSET('☆掛負収入'!$B$65,$AP$4*$AP9,0,1,1)+OFFSET('☆掛負収入'!$C$65,$AP$4*$AP9,0,1,1)</f>
        <v>539580991</v>
      </c>
      <c r="I9" s="1134" t="n">
        <f aca="true">OFFSET('☆掛負収入'!$H$65,$AP$4*$AP9,0,1,1)</f>
        <v>358060395</v>
      </c>
      <c r="J9" s="1134" t="n">
        <f aca="true">OFFSET('☆掛負収入'!$K$65,$AP$4*$AP9,0,1,1)</f>
        <v>32095024</v>
      </c>
      <c r="K9" s="1134" t="n">
        <f aca="true">OFFSET('☆掛負収入'!$N$65,$AP$4*$AP9,0,1,1)</f>
        <v>7938327</v>
      </c>
      <c r="L9" s="1133" t="n">
        <f aca="false">SUM(H9:K9)</f>
        <v>937674737</v>
      </c>
      <c r="N9" s="1133" t="n">
        <f aca="false">E9+L9</f>
        <v>2103350482</v>
      </c>
      <c r="O9" s="1134" t="n">
        <f aca="false">-'☆長期集計R7'!H33+'☆長期集計R7'!K31-'☆長期集計R7'!H73+'☆長期集計R7'!K74</f>
        <v>-544994</v>
      </c>
      <c r="P9" s="1134" t="n">
        <f aca="false">-'☆短期集計R7'!H7-'☆短期集計R7'!K7+'☆短期集計R7'!K29</f>
        <v>-1284218</v>
      </c>
      <c r="Q9" s="1134" t="n">
        <f aca="false">-'☆介護集計R7'!H7-'☆介護集計R7'!K7+'☆介護集計R7'!K29</f>
        <v>-17380</v>
      </c>
      <c r="R9" s="1134" t="n">
        <f aca="false">-'☆子・子集計R7'!H8-'☆子・子集計R7'!K8+'☆子・子集計R7'!K29</f>
        <v>2161218</v>
      </c>
      <c r="S9" s="1133" t="n">
        <f aca="false">L9+O9+P9+Q9+R9</f>
        <v>937989363</v>
      </c>
      <c r="T9" s="1135" t="n">
        <f aca="false">E9+S9</f>
        <v>2103665108</v>
      </c>
      <c r="U9" s="1136" t="s">
        <v>635</v>
      </c>
      <c r="W9" s="1137"/>
      <c r="X9" s="1138"/>
      <c r="Y9" s="1139" t="s">
        <v>562</v>
      </c>
      <c r="Z9" s="1140" t="n">
        <f aca="true">OFFSET('☆掛負収入'!$B$65,$AP$4*$AP9,0,1,1)</f>
        <v>498701078</v>
      </c>
      <c r="AA9" s="1141" t="n">
        <f aca="true">OFFSET('☆掛負収入'!$C$65,$AP$4*$AP9,0,1,1)</f>
        <v>40879913</v>
      </c>
      <c r="AB9" s="1133" t="n">
        <f aca="false">SUM(Z9:AA9)</f>
        <v>539580991</v>
      </c>
      <c r="AC9" s="1140" t="n">
        <f aca="true">OFFSET('☆掛負収入'!$D$65,$AP$4*$AP9,0,1,1)</f>
        <v>724275822</v>
      </c>
      <c r="AD9" s="1142" t="n">
        <f aca="true">OFFSET('☆掛負収入'!$E$65,$AP$4*$AP9,0,1,1)</f>
        <v>40851678</v>
      </c>
      <c r="AE9" s="1143" t="n">
        <f aca="true">OFFSET('☆掛負収入'!$F$65,$AP$4*$AP9,0,1,1)</f>
        <v>491785</v>
      </c>
      <c r="AF9" s="1133" t="n">
        <f aca="false">SUM(AC9:AE9)</f>
        <v>765619285</v>
      </c>
      <c r="AG9" s="1133" t="n">
        <f aca="false">AB9+AF9</f>
        <v>1305200276</v>
      </c>
      <c r="AH9" s="1144" t="n">
        <f aca="true">OFFSET('☆掛負収入'!$G$65,$AP$4*$AP9,0,1,1)</f>
        <v>1305200276</v>
      </c>
      <c r="AI9" s="1147" t="str">
        <f aca="false">IF(AG9=AH9,"○","×")</f>
        <v>○</v>
      </c>
      <c r="AJ9" s="1138"/>
      <c r="AK9" s="1132" t="s">
        <v>562</v>
      </c>
      <c r="AL9" s="1133" t="n">
        <f aca="false">AG9+AB30+AI30+AP30</f>
        <v>2103350482</v>
      </c>
      <c r="AM9" s="1133" t="n">
        <f aca="false">N9</f>
        <v>2103350482</v>
      </c>
      <c r="AN9" s="1147" t="str">
        <f aca="false">IF(AL9=AM9,"○","×")</f>
        <v>○</v>
      </c>
      <c r="AP9" s="1146" t="n">
        <v>4</v>
      </c>
      <c r="AR9" s="1114"/>
    </row>
    <row r="10" customFormat="false" ht="24.75" hidden="false" customHeight="true" outlineLevel="0" collapsed="false">
      <c r="A10" s="1132" t="s">
        <v>563</v>
      </c>
      <c r="B10" s="1133" t="n">
        <f aca="false">B31+H31+N31+T31</f>
        <v>837484119</v>
      </c>
      <c r="C10" s="1133" t="n">
        <f aca="false">C31+I31+O31+U31</f>
        <v>315739736</v>
      </c>
      <c r="D10" s="1133" t="n">
        <f aca="false">D31+J31+P31+V31</f>
        <v>115093</v>
      </c>
      <c r="E10" s="1133" t="n">
        <f aca="false">SUM(B10:D10)</f>
        <v>1153338948</v>
      </c>
      <c r="G10" s="1132" t="s">
        <v>563</v>
      </c>
      <c r="H10" s="1134" t="n">
        <f aca="true">OFFSET('☆掛負収入'!$B$65,$AP$4*$AP10,0,1,1)+OFFSET('☆掛負収入'!$C$65,$AP$4*$AP10,0,1,1)</f>
        <v>533184688</v>
      </c>
      <c r="I10" s="1134" t="n">
        <f aca="true">OFFSET('☆掛負収入'!$H$65,$AP$4*$AP10,0,1,1)</f>
        <v>355794712</v>
      </c>
      <c r="J10" s="1134" t="n">
        <f aca="true">OFFSET('☆掛負収入'!$K$65,$AP$4*$AP10,0,1,1)</f>
        <v>31956930</v>
      </c>
      <c r="K10" s="1134" t="n">
        <f aca="true">OFFSET('☆掛負収入'!$N$65,$AP$4*$AP10,0,1,1)</f>
        <v>7887647</v>
      </c>
      <c r="L10" s="1133" t="n">
        <f aca="false">SUM(H10:K10)</f>
        <v>928823977</v>
      </c>
      <c r="N10" s="1133" t="n">
        <f aca="false">E10+L10</f>
        <v>2082162925</v>
      </c>
      <c r="O10" s="1134" t="n">
        <f aca="false">-'☆長期集計R7'!H34+'☆長期集計R7'!K32-'☆長期集計R7'!H74+'☆長期集計R7'!K75</f>
        <v>-397980</v>
      </c>
      <c r="P10" s="1134" t="n">
        <f aca="false">-'☆短期集計R7'!H8-'☆短期集計R7'!K8+'☆短期集計R7'!K30</f>
        <v>-1768792</v>
      </c>
      <c r="Q10" s="1134" t="n">
        <f aca="false">-'☆介護集計R7'!H8-'☆介護集計R7'!K8+'☆介護集計R7'!K30</f>
        <v>-147216</v>
      </c>
      <c r="R10" s="1134" t="n">
        <f aca="false">-'☆子・子集計R7'!H9-'☆子・子集計R7'!K9+'☆子・子集計R7'!K30</f>
        <v>2152395</v>
      </c>
      <c r="S10" s="1133" t="n">
        <f aca="false">L10+O10+P10+Q10+R10</f>
        <v>928662384</v>
      </c>
      <c r="T10" s="1135" t="n">
        <f aca="false">E10+S10</f>
        <v>2082001332</v>
      </c>
      <c r="U10" s="1136" t="s">
        <v>635</v>
      </c>
      <c r="W10" s="1137"/>
      <c r="X10" s="1138"/>
      <c r="Y10" s="1139" t="s">
        <v>563</v>
      </c>
      <c r="Z10" s="1140" t="n">
        <f aca="true">OFFSET('☆掛負収入'!$B$65,$AP$4*$AP10,0,1,1)</f>
        <v>492793379</v>
      </c>
      <c r="AA10" s="1141" t="n">
        <f aca="true">OFFSET('☆掛負収入'!$C$65,$AP$4*$AP10,0,1,1)</f>
        <v>40391309</v>
      </c>
      <c r="AB10" s="1133" t="n">
        <f aca="false">SUM(Z10:AA10)</f>
        <v>533184688</v>
      </c>
      <c r="AC10" s="1140" t="n">
        <f aca="true">OFFSET('☆掛負収入'!$D$65,$AP$4*$AP10,0,1,1)</f>
        <v>716056059</v>
      </c>
      <c r="AD10" s="1142" t="n">
        <f aca="true">OFFSET('☆掛負収入'!$E$65,$AP$4*$AP10,0,1,1)</f>
        <v>40367460</v>
      </c>
      <c r="AE10" s="1143" t="n">
        <f aca="true">OFFSET('☆掛負収入'!$F$65,$AP$4*$AP10,0,1,1)</f>
        <v>486781</v>
      </c>
      <c r="AF10" s="1133" t="n">
        <f aca="false">SUM(AC10:AE10)</f>
        <v>756910300</v>
      </c>
      <c r="AG10" s="1133" t="n">
        <f aca="false">AB10+AF10</f>
        <v>1290094988</v>
      </c>
      <c r="AH10" s="1144" t="n">
        <f aca="true">OFFSET('☆掛負収入'!$G$65,$AP$4*$AP10,0,1,1)</f>
        <v>1290094988</v>
      </c>
      <c r="AI10" s="1147" t="str">
        <f aca="false">IF(AG10=AH10,"○","×")</f>
        <v>○</v>
      </c>
      <c r="AJ10" s="1138"/>
      <c r="AK10" s="1132" t="s">
        <v>563</v>
      </c>
      <c r="AL10" s="1133" t="n">
        <f aca="false">AG10+AB31+AI31+AP31</f>
        <v>2082162925</v>
      </c>
      <c r="AM10" s="1133" t="n">
        <f aca="false">N10</f>
        <v>2082162925</v>
      </c>
      <c r="AN10" s="1147" t="str">
        <f aca="false">IF(AL10=AM10,"○","×")</f>
        <v>○</v>
      </c>
      <c r="AP10" s="1146" t="n">
        <v>5</v>
      </c>
      <c r="AR10" s="1114"/>
    </row>
    <row r="11" customFormat="false" ht="24.75" hidden="false" customHeight="true" outlineLevel="0" collapsed="false">
      <c r="A11" s="1132" t="s">
        <v>564</v>
      </c>
      <c r="B11" s="1133" t="n">
        <f aca="false">B32+H32+N32+T32</f>
        <v>851518792</v>
      </c>
      <c r="C11" s="1133" t="n">
        <f aca="false">C32+I32+O32+U32</f>
        <v>318011873</v>
      </c>
      <c r="D11" s="1133" t="n">
        <f aca="false">D32+J32+P32+V32</f>
        <v>121333</v>
      </c>
      <c r="E11" s="1133" t="n">
        <f aca="false">SUM(B11:D11)</f>
        <v>1169651998</v>
      </c>
      <c r="G11" s="1132" t="s">
        <v>564</v>
      </c>
      <c r="H11" s="1134" t="n">
        <f aca="true">OFFSET('☆掛負収入'!$B$65,$AP$4*$AP11,0,1,1)+OFFSET('☆掛負収入'!$C$65,$AP$4*$AP11,0,1,1)</f>
        <v>539050020</v>
      </c>
      <c r="I11" s="1134" t="n">
        <f aca="true">OFFSET('☆掛負収入'!$H$65,$AP$4*$AP11,0,1,1)</f>
        <v>362597062</v>
      </c>
      <c r="J11" s="1134" t="n">
        <f aca="true">OFFSET('☆掛負収入'!$K$65,$AP$4*$AP11,0,1,1)</f>
        <v>32643398</v>
      </c>
      <c r="K11" s="1134" t="n">
        <f aca="true">OFFSET('☆掛負収入'!$N$65,$AP$4*$AP11,0,1,1)</f>
        <v>8035595</v>
      </c>
      <c r="L11" s="1133" t="n">
        <f aca="false">SUM(H11:K11)</f>
        <v>942326075</v>
      </c>
      <c r="N11" s="1133" t="n">
        <f aca="false">E11+L11</f>
        <v>2111978073</v>
      </c>
      <c r="O11" s="1134" t="n">
        <f aca="false">-'☆長期集計R7'!H35+'☆長期集計R7'!K33-'☆長期集計R7'!H75+'☆長期集計R7'!K76</f>
        <v>-370260</v>
      </c>
      <c r="P11" s="1134" t="n">
        <f aca="false">-'☆短期集計R7'!H9-'☆短期集計R7'!K9+'☆短期集計R7'!K31</f>
        <v>-2146827</v>
      </c>
      <c r="Q11" s="1134" t="n">
        <f aca="false">-'☆介護集計R7'!H9-'☆介護集計R7'!K9+'☆介護集計R7'!K31</f>
        <v>-225705</v>
      </c>
      <c r="R11" s="1134" t="n">
        <f aca="false">-'☆子・子集計R7'!H10-'☆子・子集計R7'!K10+'☆子・子集計R7'!K31</f>
        <v>2192486</v>
      </c>
      <c r="S11" s="1133" t="n">
        <f aca="false">L11+O11+P11+Q11+R11</f>
        <v>941775769</v>
      </c>
      <c r="T11" s="1135" t="n">
        <f aca="false">E11+S11</f>
        <v>2111427767</v>
      </c>
      <c r="U11" s="1148" t="n">
        <f aca="false">'☆掛負収入'!F1127</f>
        <v>567031260</v>
      </c>
      <c r="W11" s="1137"/>
      <c r="X11" s="1138"/>
      <c r="Y11" s="1139" t="s">
        <v>564</v>
      </c>
      <c r="Z11" s="1140" t="n">
        <f aca="true">OFFSET('☆掛負収入'!$B$65,$AP$4*$AP11,0,1,1)</f>
        <v>498248439</v>
      </c>
      <c r="AA11" s="1141" t="n">
        <f aca="true">OFFSET('☆掛負収入'!$C$65,$AP$4*$AP11,0,1,1)</f>
        <v>40801581</v>
      </c>
      <c r="AB11" s="1133" t="n">
        <f aca="false">SUM(Z11:AA11)</f>
        <v>539050020</v>
      </c>
      <c r="AC11" s="1140" t="n">
        <f aca="true">OFFSET('☆掛負収入'!$D$65,$AP$4*$AP11,0,1,1)</f>
        <v>727857487</v>
      </c>
      <c r="AD11" s="1142" t="n">
        <f aca="true">OFFSET('☆掛負収入'!$E$65,$AP$4*$AP11,0,1,1)</f>
        <v>40985184</v>
      </c>
      <c r="AE11" s="1143" t="n">
        <f aca="true">OFFSET('☆掛負収入'!$F$65,$AP$4*$AP11,0,1,1)</f>
        <v>495169</v>
      </c>
      <c r="AF11" s="1133" t="n">
        <f aca="false">SUM(AC11:AE11)</f>
        <v>769337840</v>
      </c>
      <c r="AG11" s="1133" t="n">
        <f aca="false">AB11+AF11</f>
        <v>1308387860</v>
      </c>
      <c r="AH11" s="1144" t="n">
        <f aca="true">OFFSET('☆掛負収入'!$G$65,$AP$4*$AP11,0,1,1)</f>
        <v>1308387860</v>
      </c>
      <c r="AI11" s="1147" t="str">
        <f aca="false">IF(AG11=AH11,"○","×")</f>
        <v>○</v>
      </c>
      <c r="AJ11" s="1138"/>
      <c r="AK11" s="1132" t="s">
        <v>564</v>
      </c>
      <c r="AL11" s="1133" t="n">
        <f aca="false">AG11+AB32+AI32+AP32</f>
        <v>2111978073</v>
      </c>
      <c r="AM11" s="1133" t="n">
        <f aca="false">N11</f>
        <v>2111978073</v>
      </c>
      <c r="AN11" s="1147" t="str">
        <f aca="false">IF(AL11=AM11,"○","×")</f>
        <v>○</v>
      </c>
      <c r="AP11" s="1146" t="n">
        <v>6</v>
      </c>
      <c r="AR11" s="1149"/>
    </row>
    <row r="12" customFormat="false" ht="24.75" hidden="false" customHeight="true" outlineLevel="0" collapsed="false">
      <c r="A12" s="1132" t="s">
        <v>565</v>
      </c>
      <c r="B12" s="1133" t="n">
        <f aca="false">B33+H33+N33+T33</f>
        <v>836463742</v>
      </c>
      <c r="C12" s="1133" t="n">
        <f aca="false">C33+I33+O33+U33</f>
        <v>314677646</v>
      </c>
      <c r="D12" s="1133" t="n">
        <f aca="false">D33+J33+P33+V33</f>
        <v>118791</v>
      </c>
      <c r="E12" s="1133" t="n">
        <f aca="false">SUM(B12:D12)</f>
        <v>1151260179</v>
      </c>
      <c r="G12" s="1132" t="s">
        <v>565</v>
      </c>
      <c r="H12" s="1134" t="n">
        <f aca="true">OFFSET('☆掛負収入'!$B$65,$AP$4*$AP12,0,1,1)+OFFSET('☆掛負収入'!$C$65,$AP$4*$AP12,0,1,1)</f>
        <v>522095973</v>
      </c>
      <c r="I12" s="1134" t="n">
        <f aca="true">OFFSET('☆掛負収入'!$H$65,$AP$4*$AP12,0,1,1)</f>
        <v>367864881</v>
      </c>
      <c r="J12" s="1134" t="n">
        <f aca="true">OFFSET('☆掛負収入'!$K$65,$AP$4*$AP12,0,1,1)</f>
        <v>31229592</v>
      </c>
      <c r="K12" s="1134" t="n">
        <f aca="true">OFFSET('☆掛負収入'!$N$65,$AP$4*$AP12,0,1,1)</f>
        <v>8366</v>
      </c>
      <c r="L12" s="1133" t="n">
        <f aca="false">SUM(H12:K12)</f>
        <v>921198812</v>
      </c>
      <c r="N12" s="1133" t="n">
        <f aca="false">E12+L12</f>
        <v>2072458991</v>
      </c>
      <c r="O12" s="1134" t="n">
        <f aca="false">-'☆長期集計R7'!H36+'☆長期集計R7'!K34-'☆長期集計R7'!H76+'☆長期集計R7'!K77</f>
        <v>0</v>
      </c>
      <c r="P12" s="1134" t="n">
        <f aca="false">-'☆短期集計R7'!H10-'☆短期集計R7'!K10+'☆短期集計R7'!K32</f>
        <v>-338855</v>
      </c>
      <c r="Q12" s="1134" t="n">
        <f aca="false">-'☆介護集計R7'!H10-'☆介護集計R7'!K10+'☆介護集計R7'!K32</f>
        <v>0</v>
      </c>
      <c r="R12" s="1134" t="n">
        <f aca="false">-'☆子・子集計R7'!H11-'☆子・子集計R7'!K11+'☆子・子集計R7'!K32</f>
        <v>2192180</v>
      </c>
      <c r="S12" s="1133" t="n">
        <f aca="false">L12+O12+P12+Q12+R12</f>
        <v>923052137</v>
      </c>
      <c r="T12" s="1135" t="n">
        <f aca="false">E12+S12</f>
        <v>2074312316</v>
      </c>
      <c r="U12" s="1136" t="s">
        <v>635</v>
      </c>
      <c r="W12" s="1137"/>
      <c r="X12" s="1138"/>
      <c r="Y12" s="1139" t="s">
        <v>565</v>
      </c>
      <c r="Z12" s="1140" t="n">
        <f aca="true">OFFSET('☆掛負収入'!$B$65,$AP$4*$AP12,0,1,1)</f>
        <v>482544009</v>
      </c>
      <c r="AA12" s="1141" t="n">
        <f aca="true">OFFSET('☆掛負収入'!$C$65,$AP$4*$AP12,0,1,1)</f>
        <v>39551964</v>
      </c>
      <c r="AB12" s="1133" t="n">
        <f aca="false">SUM(Z12:AA12)</f>
        <v>522095973</v>
      </c>
      <c r="AC12" s="1140" t="n">
        <f aca="true">OFFSET('☆掛負収入'!$D$65,$AP$4*$AP12,0,1,1)</f>
        <v>709850896</v>
      </c>
      <c r="AD12" s="1142" t="n">
        <f aca="true">OFFSET('☆掛負収入'!$E$65,$AP$4*$AP12,0,1,1)</f>
        <v>39528595</v>
      </c>
      <c r="AE12" s="1143" t="n">
        <f aca="true">OFFSET('☆掛負収入'!$F$65,$AP$4*$AP12,0,1,1)</f>
        <v>514821</v>
      </c>
      <c r="AF12" s="1133" t="n">
        <f aca="false">SUM(AC12:AE12)</f>
        <v>749894312</v>
      </c>
      <c r="AG12" s="1133" t="n">
        <f aca="false">AB12+AF12</f>
        <v>1271990285</v>
      </c>
      <c r="AH12" s="1144" t="n">
        <f aca="true">OFFSET('☆掛負収入'!$G$65,$AP$4*$AP12,0,1,1)</f>
        <v>1271990285</v>
      </c>
      <c r="AI12" s="1147" t="str">
        <f aca="false">IF(AG12=AH12,"○","×")</f>
        <v>○</v>
      </c>
      <c r="AJ12" s="1138"/>
      <c r="AK12" s="1132" t="s">
        <v>565</v>
      </c>
      <c r="AL12" s="1133" t="n">
        <f aca="false">AG12+AB33+AI33+AP33</f>
        <v>2072458991</v>
      </c>
      <c r="AM12" s="1133" t="n">
        <f aca="false">N12</f>
        <v>2072458991</v>
      </c>
      <c r="AN12" s="1147" t="str">
        <f aca="false">IF(AL12=AM12,"○","×")</f>
        <v>○</v>
      </c>
      <c r="AP12" s="1146" t="n">
        <v>7</v>
      </c>
      <c r="AR12" s="1149"/>
    </row>
    <row r="13" customFormat="false" ht="24.75" hidden="false" customHeight="true" outlineLevel="0" collapsed="false">
      <c r="A13" s="1132" t="s">
        <v>566</v>
      </c>
      <c r="B13" s="1133" t="n">
        <f aca="false">B34+H34+N34+T34</f>
        <v>834797252</v>
      </c>
      <c r="C13" s="1133" t="n">
        <f aca="false">C34+I34+O34+U34</f>
        <v>313764566</v>
      </c>
      <c r="D13" s="1133" t="n">
        <f aca="false">D34+J34+P34+V34</f>
        <v>110816</v>
      </c>
      <c r="E13" s="1133" t="n">
        <f aca="false">SUM(B13:D13)</f>
        <v>1148672634</v>
      </c>
      <c r="G13" s="1132" t="s">
        <v>566</v>
      </c>
      <c r="H13" s="1134" t="n">
        <f aca="true">OFFSET('☆掛負収入'!$B$65,$AP$4*$AP13,0,1,1)+OFFSET('☆掛負収入'!$C$65,$AP$4*$AP13,0,1,1)</f>
        <v>520516682</v>
      </c>
      <c r="I13" s="1134" t="n">
        <f aca="true">OFFSET('☆掛負収入'!$H$65,$AP$4*$AP13,0,1,1)</f>
        <v>366177202</v>
      </c>
      <c r="J13" s="1134" t="n">
        <f aca="true">OFFSET('☆掛負収入'!$K$65,$AP$4*$AP13,0,1,1)</f>
        <v>31294719</v>
      </c>
      <c r="K13" s="1134" t="n">
        <f aca="true">OFFSET('☆掛負収入'!$N$65,$AP$4*$AP13,0,1,1)</f>
        <v>27</v>
      </c>
      <c r="L13" s="1133" t="n">
        <f aca="false">SUM(H13:K13)</f>
        <v>917988630</v>
      </c>
      <c r="N13" s="1133" t="n">
        <f aca="false">E13+L13</f>
        <v>2066661264</v>
      </c>
      <c r="O13" s="1134" t="n">
        <f aca="false">-'☆長期集計R7'!H37+'☆長期集計R7'!K35-'☆長期集計R7'!H77+'☆長期集計R7'!K78</f>
        <v>0</v>
      </c>
      <c r="P13" s="1134" t="n">
        <f aca="false">-'☆短期集計R7'!H11-'☆短期集計R7'!K11+'☆短期集計R7'!K33</f>
        <v>-352644</v>
      </c>
      <c r="Q13" s="1134" t="n">
        <f aca="false">-'☆介護集計R7'!H11-'☆介護集計R7'!K11+'☆介護集計R7'!K33</f>
        <v>0</v>
      </c>
      <c r="R13" s="1134" t="n">
        <f aca="false">-'☆子・子集計R7'!H12-'☆子・子集計R7'!K12+'☆子・子集計R7'!K33</f>
        <v>2200000</v>
      </c>
      <c r="S13" s="1133" t="n">
        <f aca="false">L13+O13+P13+Q13+R13</f>
        <v>919835986</v>
      </c>
      <c r="T13" s="1135" t="n">
        <f aca="false">E13+S13</f>
        <v>2068508620</v>
      </c>
      <c r="U13" s="1136" t="s">
        <v>635</v>
      </c>
      <c r="W13" s="1137"/>
      <c r="X13" s="1138"/>
      <c r="Y13" s="1139" t="s">
        <v>566</v>
      </c>
      <c r="Z13" s="1140" t="n">
        <f aca="true">OFFSET('☆掛負収入'!$B$65,$AP$4*$AP13,0,1,1)</f>
        <v>481072783</v>
      </c>
      <c r="AA13" s="1141" t="n">
        <f aca="true">OFFSET('☆掛負収入'!$C$65,$AP$4*$AP13,0,1,1)</f>
        <v>39443899</v>
      </c>
      <c r="AB13" s="1133" t="n">
        <f aca="false">SUM(Z13:AA13)</f>
        <v>520516682</v>
      </c>
      <c r="AC13" s="1140" t="n">
        <f aca="true">OFFSET('☆掛負収入'!$D$65,$AP$4*$AP13,0,1,1)</f>
        <v>708044487</v>
      </c>
      <c r="AD13" s="1142" t="n">
        <f aca="true">OFFSET('☆掛負収入'!$E$65,$AP$4*$AP13,0,1,1)</f>
        <v>39390420</v>
      </c>
      <c r="AE13" s="1143" t="n">
        <f aca="true">OFFSET('☆掛負収入'!$F$65,$AP$4*$AP13,0,1,1)</f>
        <v>514655</v>
      </c>
      <c r="AF13" s="1133" t="n">
        <f aca="false">SUM(AC13:AE13)</f>
        <v>747949562</v>
      </c>
      <c r="AG13" s="1133" t="n">
        <f aca="false">AB13+AF13</f>
        <v>1268466244</v>
      </c>
      <c r="AH13" s="1144" t="n">
        <f aca="true">OFFSET('☆掛負収入'!$G$65,$AP$4*$AP13,0,1,1)</f>
        <v>1268466244</v>
      </c>
      <c r="AI13" s="1147" t="str">
        <f aca="false">IF(AG13=AH13,"○","×")</f>
        <v>○</v>
      </c>
      <c r="AJ13" s="1138"/>
      <c r="AK13" s="1132" t="s">
        <v>566</v>
      </c>
      <c r="AL13" s="1133" t="n">
        <f aca="false">AG13+AB34+AI34+AP34</f>
        <v>2066661264</v>
      </c>
      <c r="AM13" s="1133" t="n">
        <f aca="false">N13</f>
        <v>2066661264</v>
      </c>
      <c r="AN13" s="1147" t="str">
        <f aca="false">IF(AL13=AM13,"○","×")</f>
        <v>○</v>
      </c>
      <c r="AP13" s="1146" t="n">
        <v>8</v>
      </c>
      <c r="AR13" s="1149"/>
    </row>
    <row r="14" customFormat="false" ht="24.75" hidden="false" customHeight="true" outlineLevel="0" collapsed="false">
      <c r="A14" s="1132" t="s">
        <v>637</v>
      </c>
      <c r="B14" s="1133" t="n">
        <f aca="false">B35+H35+N35+T35</f>
        <v>1543156676</v>
      </c>
      <c r="C14" s="1133" t="n">
        <f aca="false">C35+I35+O35+U35</f>
        <v>493640869</v>
      </c>
      <c r="D14" s="1133" t="n">
        <f aca="false">D35+J35+P35+V35</f>
        <v>137975</v>
      </c>
      <c r="E14" s="1133" t="n">
        <f aca="false">SUM(B14:D14)</f>
        <v>2036935520</v>
      </c>
      <c r="G14" s="1132" t="s">
        <v>637</v>
      </c>
      <c r="H14" s="1134" t="n">
        <f aca="true">OFFSET('☆掛負収入'!$B$65,$AP$4*$AP14,0,1,1)+OFFSET('☆掛負収入'!$C$65,$AP$4*$AP14,0,1,1)</f>
        <v>942249566</v>
      </c>
      <c r="I14" s="1134" t="n">
        <f aca="true">OFFSET('☆掛負収入'!$H$65,$AP$4*$AP14,0,1,1)</f>
        <v>628299535</v>
      </c>
      <c r="J14" s="1134" t="n">
        <f aca="true">OFFSET('☆掛負収入'!$K$65,$AP$4*$AP14,0,1,1)</f>
        <v>56098280</v>
      </c>
      <c r="K14" s="1134" t="n">
        <f aca="true">OFFSET('☆掛負収入'!$N$65,$AP$4*$AP14,0,1,1)</f>
        <v>26</v>
      </c>
      <c r="L14" s="1133" t="n">
        <f aca="false">SUM(H14:K14)</f>
        <v>1626647407</v>
      </c>
      <c r="N14" s="1133" t="n">
        <f aca="false">E14+L14</f>
        <v>3663582927</v>
      </c>
      <c r="O14" s="1134" t="n">
        <f aca="false">'☆長期集計R7'!K36+'☆長期集計R7'!K79</f>
        <v>0</v>
      </c>
      <c r="P14" s="1134" t="n">
        <f aca="false">'☆短期集計R7'!K34</f>
        <v>0</v>
      </c>
      <c r="Q14" s="1134" t="n">
        <f aca="false">'☆介護集計R7'!K34</f>
        <v>0</v>
      </c>
      <c r="R14" s="1134" t="n">
        <f aca="false">-'☆子・子集計R7'!H13-'☆子・子集計R7'!K13+'☆子・子集計R7'!K34</f>
        <v>2200000</v>
      </c>
      <c r="S14" s="1133" t="n">
        <f aca="false">L14+O14+P14+Q14+R14</f>
        <v>1628847407</v>
      </c>
      <c r="T14" s="1135" t="n">
        <f aca="false">E14+S14</f>
        <v>3665782927</v>
      </c>
      <c r="U14" s="1136" t="s">
        <v>635</v>
      </c>
      <c r="W14" s="1137"/>
      <c r="X14" s="1138"/>
      <c r="Y14" s="1139" t="s">
        <v>637</v>
      </c>
      <c r="Z14" s="1140" t="n">
        <f aca="true">OFFSET('☆掛負収入'!$B$65,$AP$4*$AP14,0,1,1)</f>
        <v>870859030</v>
      </c>
      <c r="AA14" s="1141" t="n">
        <f aca="true">OFFSET('☆掛負収入'!$C$65,$AP$4*$AP14,0,1,1)</f>
        <v>71390536</v>
      </c>
      <c r="AB14" s="1133" t="n">
        <f aca="false">SUM(Z14:AA14)</f>
        <v>942249566</v>
      </c>
      <c r="AC14" s="1140" t="n">
        <f aca="true">OFFSET('☆掛負収入'!$D$65,$AP$4*$AP14,0,1,1)</f>
        <v>1271133608</v>
      </c>
      <c r="AD14" s="1142" t="n">
        <f aca="true">OFFSET('☆掛負収入'!$E$65,$AP$4*$AP14,0,1,1)</f>
        <v>71393944</v>
      </c>
      <c r="AE14" s="1143" t="n">
        <f aca="true">OFFSET('☆掛負収入'!$F$65,$AP$4*$AP14,0,1,1)</f>
        <v>905702</v>
      </c>
      <c r="AF14" s="1133" t="n">
        <f aca="false">SUM(AC14:AE14)</f>
        <v>1343433254</v>
      </c>
      <c r="AG14" s="1133" t="n">
        <f aca="false">AB14+AF14</f>
        <v>2285682820</v>
      </c>
      <c r="AH14" s="1144" t="n">
        <f aca="true">OFFSET('☆掛負収入'!$G$65,$AP$4*$AP14,0,1,1)</f>
        <v>2285682820</v>
      </c>
      <c r="AI14" s="1147" t="str">
        <f aca="false">IF(AG14=AH14,"○","×")</f>
        <v>○</v>
      </c>
      <c r="AJ14" s="1138"/>
      <c r="AK14" s="1132" t="s">
        <v>637</v>
      </c>
      <c r="AL14" s="1133" t="n">
        <f aca="false">AG14+AB35+AI35+AP35</f>
        <v>3663582927</v>
      </c>
      <c r="AM14" s="1133" t="n">
        <f aca="false">N14</f>
        <v>3663582927</v>
      </c>
      <c r="AN14" s="1147" t="str">
        <f aca="false">IF(AL14=AM14,"○","×")</f>
        <v>○</v>
      </c>
      <c r="AP14" s="1146" t="n">
        <v>9</v>
      </c>
      <c r="AR14" s="1149"/>
    </row>
    <row r="15" customFormat="false" ht="24.75" hidden="false" customHeight="true" outlineLevel="0" collapsed="false">
      <c r="A15" s="1132" t="s">
        <v>567</v>
      </c>
      <c r="B15" s="1133" t="n">
        <f aca="false">B36+H36+N36+T36</f>
        <v>834930575</v>
      </c>
      <c r="C15" s="1133" t="n">
        <f aca="false">C36+I36+O36+U36</f>
        <v>313399749</v>
      </c>
      <c r="D15" s="1133" t="n">
        <f aca="false">D36+J36+P36+V36</f>
        <v>110816</v>
      </c>
      <c r="E15" s="1133" t="n">
        <f aca="false">SUM(B15:D15)</f>
        <v>1148441140</v>
      </c>
      <c r="G15" s="1132" t="s">
        <v>567</v>
      </c>
      <c r="H15" s="1134" t="n">
        <f aca="true">OFFSET('☆掛負収入'!$B$65,$AP$4*$AP15,0,1,1)+OFFSET('☆掛負収入'!$C$65,$AP$4*$AP15,0,1,1)</f>
        <v>520137253</v>
      </c>
      <c r="I15" s="1134" t="n">
        <f aca="true">OFFSET('☆掛負収入'!$H$65,$AP$4*$AP15,0,1,1)</f>
        <v>366311761</v>
      </c>
      <c r="J15" s="1134" t="n">
        <f aca="true">OFFSET('☆掛負収入'!$K$65,$AP$4*$AP15,0,1,1)</f>
        <v>31313778</v>
      </c>
      <c r="K15" s="1134" t="n">
        <f aca="true">OFFSET('☆掛負収入'!$N$65,$AP$4*$AP15,0,1,1)</f>
        <v>27</v>
      </c>
      <c r="L15" s="1133" t="n">
        <f aca="false">SUM(H15:K15)</f>
        <v>917762819</v>
      </c>
      <c r="N15" s="1133" t="n">
        <f aca="false">E15+L15</f>
        <v>2066203959</v>
      </c>
      <c r="O15" s="1134" t="n">
        <f aca="false">-'☆長期集計R7'!H38+'☆長期集計R7'!K37-'☆長期集計R7'!H78+'☆長期集計R7'!K80</f>
        <v>0</v>
      </c>
      <c r="P15" s="1134" t="n">
        <f aca="false">-'☆短期集計R7'!H12-'☆短期集計R7'!K12+'☆短期集計R7'!K35</f>
        <v>0</v>
      </c>
      <c r="Q15" s="1134" t="n">
        <f aca="false">-'☆介護集計R7'!H12-'☆介護集計R7'!K12+'☆介護集計R7'!K35</f>
        <v>0</v>
      </c>
      <c r="R15" s="1134" t="n">
        <f aca="false">-'☆子・子集計R7'!H14-'☆子・子集計R7'!K14+'☆子・子集計R7'!K35</f>
        <v>2200000</v>
      </c>
      <c r="S15" s="1133" t="n">
        <f aca="false">L15+O15+P15+Q15+R15</f>
        <v>919962819</v>
      </c>
      <c r="T15" s="1135" t="n">
        <f aca="false">E15+S15</f>
        <v>2068403959</v>
      </c>
      <c r="U15" s="1136" t="s">
        <v>635</v>
      </c>
      <c r="W15" s="1137"/>
      <c r="X15" s="1138"/>
      <c r="Y15" s="1139" t="s">
        <v>567</v>
      </c>
      <c r="Z15" s="1140" t="n">
        <f aca="true">OFFSET('☆掛負収入'!$B$65,$AP$4*$AP15,0,1,1)</f>
        <v>480720230</v>
      </c>
      <c r="AA15" s="1141" t="n">
        <f aca="true">OFFSET('☆掛負収入'!$C$65,$AP$4*$AP15,0,1,1)</f>
        <v>39417023</v>
      </c>
      <c r="AB15" s="1133" t="n">
        <f aca="false">SUM(Z15:AA15)</f>
        <v>520137253</v>
      </c>
      <c r="AC15" s="1140" t="n">
        <f aca="true">OFFSET('☆掛負収入'!$D$65,$AP$4*$AP15,0,1,1)</f>
        <v>707668057</v>
      </c>
      <c r="AD15" s="1142" t="n">
        <f aca="true">OFFSET('☆掛負収入'!$E$65,$AP$4*$AP15,0,1,1)</f>
        <v>39383775</v>
      </c>
      <c r="AE15" s="1143" t="n">
        <f aca="true">OFFSET('☆掛負収入'!$F$65,$AP$4*$AP15,0,1,1)</f>
        <v>514166</v>
      </c>
      <c r="AF15" s="1133" t="n">
        <f aca="false">SUM(AC15:AE15)</f>
        <v>747565998</v>
      </c>
      <c r="AG15" s="1133" t="n">
        <f aca="false">AB15+AF15</f>
        <v>1267703251</v>
      </c>
      <c r="AH15" s="1144" t="n">
        <f aca="true">OFFSET('☆掛負収入'!$G$65,$AP$4*$AP15,0,1,1)</f>
        <v>1267703251</v>
      </c>
      <c r="AI15" s="1147" t="str">
        <f aca="false">IF(AG15=AH15,"○","×")</f>
        <v>○</v>
      </c>
      <c r="AJ15" s="1138"/>
      <c r="AK15" s="1132" t="s">
        <v>567</v>
      </c>
      <c r="AL15" s="1133" t="n">
        <f aca="false">AG15+AB36+AI36+AP36</f>
        <v>2066203959</v>
      </c>
      <c r="AM15" s="1133" t="n">
        <f aca="false">N15</f>
        <v>2066203959</v>
      </c>
      <c r="AN15" s="1147" t="str">
        <f aca="false">IF(AL15=AM15,"○","×")</f>
        <v>○</v>
      </c>
      <c r="AP15" s="1146" t="n">
        <v>10</v>
      </c>
      <c r="AR15" s="1149"/>
    </row>
    <row r="16" customFormat="false" ht="24.75" hidden="false" customHeight="true" outlineLevel="0" collapsed="false">
      <c r="A16" s="1132" t="s">
        <v>568</v>
      </c>
      <c r="B16" s="1133" t="n">
        <f aca="false">B37+H37+N37+T37</f>
        <v>835419002</v>
      </c>
      <c r="C16" s="1133" t="n">
        <f aca="false">C37+I37+O37+U37</f>
        <v>315113305</v>
      </c>
      <c r="D16" s="1133" t="n">
        <f aca="false">D37+J37+P37+V37</f>
        <v>116981</v>
      </c>
      <c r="E16" s="1133" t="n">
        <f aca="false">SUM(B16:D16)</f>
        <v>1150649288</v>
      </c>
      <c r="G16" s="1132" t="s">
        <v>568</v>
      </c>
      <c r="H16" s="1134" t="n">
        <f aca="true">OFFSET('☆掛負収入'!$B$65,$AP$4*$AP16,0,1,1)+OFFSET('☆掛負収入'!$C$65,$AP$4*$AP16,0,1,1)</f>
        <v>521291317</v>
      </c>
      <c r="I16" s="1134" t="n">
        <f aca="true">OFFSET('☆掛負収入'!$H$65,$AP$4*$AP16,0,1,1)</f>
        <v>366153450</v>
      </c>
      <c r="J16" s="1134" t="n">
        <f aca="true">OFFSET('☆掛負収入'!$K$65,$AP$4*$AP16,0,1,1)</f>
        <v>31373862</v>
      </c>
      <c r="K16" s="1134" t="n">
        <f aca="true">OFFSET('☆掛負収入'!$N$65,$AP$4*$AP16,0,1,1)</f>
        <v>27</v>
      </c>
      <c r="L16" s="1133" t="n">
        <f aca="false">SUM(H16:K16)</f>
        <v>918818656</v>
      </c>
      <c r="N16" s="1133" t="n">
        <f aca="false">E16+L16</f>
        <v>2069467944</v>
      </c>
      <c r="O16" s="1134" t="n">
        <f aca="false">-'☆長期集計R7'!H39+'☆長期集計R7'!K38-'☆長期集計R7'!H79+'☆長期集計R7'!K81</f>
        <v>0</v>
      </c>
      <c r="P16" s="1134" t="n">
        <f aca="false">-'☆短期集計R7'!H13-'☆短期集計R7'!K13+'☆短期集計R7'!K36</f>
        <v>0</v>
      </c>
      <c r="Q16" s="1134" t="n">
        <f aca="false">-'☆介護集計R7'!H13-'☆介護集計R7'!K13+'☆介護集計R7'!K36</f>
        <v>0</v>
      </c>
      <c r="R16" s="1134" t="n">
        <f aca="false">-'☆子・子集計R7'!H15-'☆子・子集計R7'!K15+'☆子・子集計R7'!K36</f>
        <v>2200000</v>
      </c>
      <c r="S16" s="1133" t="n">
        <f aca="false">L16+O16+P16+Q16+R16</f>
        <v>921018656</v>
      </c>
      <c r="T16" s="1135" t="n">
        <f aca="false">E16+S16</f>
        <v>2071667944</v>
      </c>
      <c r="U16" s="1136" t="s">
        <v>635</v>
      </c>
      <c r="W16" s="1137"/>
      <c r="X16" s="1138"/>
      <c r="Y16" s="1139" t="s">
        <v>568</v>
      </c>
      <c r="Z16" s="1140" t="n">
        <f aca="true">OFFSET('☆掛負収入'!$B$65,$AP$4*$AP16,0,1,1)</f>
        <v>481803224</v>
      </c>
      <c r="AA16" s="1141" t="n">
        <f aca="true">OFFSET('☆掛負収入'!$C$65,$AP$4*$AP16,0,1,1)</f>
        <v>39488093</v>
      </c>
      <c r="AB16" s="1133" t="n">
        <f aca="false">SUM(Z16:AA16)</f>
        <v>521291317</v>
      </c>
      <c r="AC16" s="1140" t="n">
        <f aca="true">OFFSET('☆掛負収入'!$D$65,$AP$4*$AP16,0,1,1)</f>
        <v>709735266</v>
      </c>
      <c r="AD16" s="1142" t="n">
        <f aca="true">OFFSET('☆掛負収入'!$E$65,$AP$4*$AP16,0,1,1)</f>
        <v>39467325</v>
      </c>
      <c r="AE16" s="1143" t="n">
        <f aca="true">OFFSET('☆掛負収入'!$F$65,$AP$4*$AP16,0,1,1)</f>
        <v>516130</v>
      </c>
      <c r="AF16" s="1133" t="n">
        <f aca="false">SUM(AC16:AE16)</f>
        <v>749718721</v>
      </c>
      <c r="AG16" s="1133" t="n">
        <f aca="false">AB16+AF16</f>
        <v>1271010038</v>
      </c>
      <c r="AH16" s="1144" t="n">
        <f aca="true">OFFSET('☆掛負収入'!$G$65,$AP$4*$AP16,0,1,1)</f>
        <v>1271010038</v>
      </c>
      <c r="AI16" s="1147" t="str">
        <f aca="false">IF(AG16=AH16,"○","×")</f>
        <v>○</v>
      </c>
      <c r="AJ16" s="1138"/>
      <c r="AK16" s="1132" t="s">
        <v>568</v>
      </c>
      <c r="AL16" s="1133" t="n">
        <f aca="false">AG16+AB37+AI37+AP37</f>
        <v>2069467944</v>
      </c>
      <c r="AM16" s="1133" t="n">
        <f aca="false">N16</f>
        <v>2069467944</v>
      </c>
      <c r="AN16" s="1147" t="str">
        <f aca="false">IF(AL16=AM16,"○","×")</f>
        <v>○</v>
      </c>
      <c r="AP16" s="1146" t="n">
        <v>11</v>
      </c>
      <c r="AR16" s="1149"/>
    </row>
    <row r="17" customFormat="false" ht="24.75" hidden="false" customHeight="true" outlineLevel="0" collapsed="false">
      <c r="A17" s="1132" t="s">
        <v>569</v>
      </c>
      <c r="B17" s="1133" t="n">
        <f aca="false">B38+H38+N38+T38</f>
        <v>835615028</v>
      </c>
      <c r="C17" s="1133" t="n">
        <f aca="false">C38+I38+O38+U38</f>
        <v>313998284</v>
      </c>
      <c r="D17" s="1133" t="n">
        <f aca="false">D38+J38+P38+V38</f>
        <v>116981</v>
      </c>
      <c r="E17" s="1133" t="n">
        <f aca="false">SUM(B17:D17)</f>
        <v>1149730293</v>
      </c>
      <c r="G17" s="1132" t="s">
        <v>569</v>
      </c>
      <c r="H17" s="1134" t="n">
        <f aca="true">OFFSET('☆掛負収入'!$B$65,$AP$4*$AP17,0,1,1)+OFFSET('☆掛負収入'!$C$65,$AP$4*$AP17,0,1,1)</f>
        <v>520346107</v>
      </c>
      <c r="I17" s="1134" t="n">
        <f aca="true">OFFSET('☆掛負収入'!$H$65,$AP$4*$AP17,0,1,1)</f>
        <v>365515644</v>
      </c>
      <c r="J17" s="1134" t="n">
        <f aca="true">OFFSET('☆掛負収入'!$K$65,$AP$4*$AP17,0,1,1)</f>
        <v>31404529</v>
      </c>
      <c r="K17" s="1134" t="n">
        <f aca="true">OFFSET('☆掛負収入'!$N$65,$AP$4*$AP17,0,1,1)</f>
        <v>27</v>
      </c>
      <c r="L17" s="1133" t="n">
        <f aca="false">SUM(H17:K17)</f>
        <v>917266307</v>
      </c>
      <c r="N17" s="1133" t="n">
        <f aca="false">E17+L17</f>
        <v>2066996600</v>
      </c>
      <c r="O17" s="1134" t="n">
        <f aca="false">-'☆長期集計R7'!H40+'☆長期集計R7'!K39-'☆長期集計R7'!H80+'☆長期集計R7'!K82</f>
        <v>0</v>
      </c>
      <c r="P17" s="1134" t="n">
        <f aca="false">-'☆短期集計R7'!H14-'☆短期集計R7'!K14+'☆短期集計R7'!K37</f>
        <v>0</v>
      </c>
      <c r="Q17" s="1134" t="n">
        <f aca="false">-'☆介護集計R7'!H14-'☆介護集計R7'!K14+'☆介護集計R7'!K37</f>
        <v>0</v>
      </c>
      <c r="R17" s="1134" t="n">
        <f aca="false">-'☆子・子集計R7'!H16-'☆子・子集計R7'!K16+'☆子・子集計R7'!K37</f>
        <v>2046332</v>
      </c>
      <c r="S17" s="1133" t="n">
        <f aca="false">L17+O17+P17+Q17+R17</f>
        <v>919312639</v>
      </c>
      <c r="T17" s="1135" t="n">
        <f aca="false">E17+S17</f>
        <v>2069042932</v>
      </c>
      <c r="U17" s="1136" t="s">
        <v>635</v>
      </c>
      <c r="W17" s="1137"/>
      <c r="X17" s="1138"/>
      <c r="Y17" s="1139" t="s">
        <v>569</v>
      </c>
      <c r="Z17" s="1140" t="n">
        <f aca="true">OFFSET('☆掛負収入'!$B$65,$AP$4*$AP17,0,1,1)</f>
        <v>480921440</v>
      </c>
      <c r="AA17" s="1141" t="n">
        <f aca="true">OFFSET('☆掛負収入'!$C$65,$AP$4*$AP17,0,1,1)</f>
        <v>39424667</v>
      </c>
      <c r="AB17" s="1133" t="n">
        <f aca="false">SUM(Z17:AA17)</f>
        <v>520346107</v>
      </c>
      <c r="AC17" s="1140" t="n">
        <f aca="true">OFFSET('☆掛負収入'!$D$65,$AP$4*$AP17,0,1,1)</f>
        <v>708776724</v>
      </c>
      <c r="AD17" s="1142" t="n">
        <f aca="true">OFFSET('☆掛負収入'!$E$65,$AP$4*$AP17,0,1,1)</f>
        <v>39424798</v>
      </c>
      <c r="AE17" s="1143" t="n">
        <f aca="true">OFFSET('☆掛負収入'!$F$65,$AP$4*$AP17,0,1,1)</f>
        <v>515309</v>
      </c>
      <c r="AF17" s="1133" t="n">
        <f aca="false">SUM(AC17:AE17)</f>
        <v>748716831</v>
      </c>
      <c r="AG17" s="1133" t="n">
        <f aca="false">AB17+AF17</f>
        <v>1269062938</v>
      </c>
      <c r="AH17" s="1144" t="n">
        <f aca="true">OFFSET('☆掛負収入'!$G$65,$AP$4*$AP17,0,1,1)</f>
        <v>1269062938</v>
      </c>
      <c r="AI17" s="1147" t="str">
        <f aca="false">IF(AG17=AH17,"○","×")</f>
        <v>○</v>
      </c>
      <c r="AJ17" s="1138"/>
      <c r="AK17" s="1132" t="s">
        <v>569</v>
      </c>
      <c r="AL17" s="1133" t="n">
        <f aca="false">AG17+AB38+AI38+AP38</f>
        <v>2066996600</v>
      </c>
      <c r="AM17" s="1133" t="n">
        <f aca="false">N17</f>
        <v>2066996600</v>
      </c>
      <c r="AN17" s="1147" t="str">
        <f aca="false">IF(AL17=AM17,"○","×")</f>
        <v>○</v>
      </c>
      <c r="AP17" s="1146" t="n">
        <v>12</v>
      </c>
      <c r="AR17" s="1149"/>
    </row>
    <row r="18" customFormat="false" ht="24.75" hidden="false" customHeight="true" outlineLevel="0" collapsed="false">
      <c r="A18" s="1132" t="s">
        <v>638</v>
      </c>
      <c r="B18" s="1133" t="n">
        <f aca="false">B39+H39+N39+T39</f>
        <v>351448624</v>
      </c>
      <c r="C18" s="1133" t="n">
        <f aca="false">C39+I39+O39+U39</f>
        <v>103982037</v>
      </c>
      <c r="D18" s="1133" t="n">
        <f aca="false">D39+J39+P39+V39</f>
        <v>35757</v>
      </c>
      <c r="E18" s="1133" t="n">
        <f aca="false">SUM(B18:D18)</f>
        <v>455466418</v>
      </c>
      <c r="G18" s="1132" t="s">
        <v>638</v>
      </c>
      <c r="H18" s="1134" t="n">
        <f aca="true">OFFSET('☆掛負収入'!$B$65,$AP$4*$AP18,0,1,1)+OFFSET('☆掛負収入'!$C$65,$AP$4*$AP18,0,1,1)</f>
        <v>213075257</v>
      </c>
      <c r="I18" s="1134" t="n">
        <f aca="true">OFFSET('☆掛負収入'!$H$65,$AP$4*$AP18,0,1,1)</f>
        <v>139822185</v>
      </c>
      <c r="J18" s="1134" t="n">
        <f aca="true">OFFSET('☆掛負収入'!$K$65,$AP$4*$AP18,0,1,1)</f>
        <v>12910671</v>
      </c>
      <c r="K18" s="1134" t="n">
        <f aca="true">OFFSET('☆掛負収入'!$N$65,$AP$4*$AP18,0,1,1)</f>
        <v>21</v>
      </c>
      <c r="L18" s="1133" t="n">
        <f aca="false">SUM(H18:K18)</f>
        <v>365808134</v>
      </c>
      <c r="N18" s="1133" t="n">
        <f aca="false">E18+L18</f>
        <v>821274552</v>
      </c>
      <c r="O18" s="1134" t="n">
        <f aca="false">'☆長期集計R7'!K40+'☆長期集計R7'!K83</f>
        <v>0</v>
      </c>
      <c r="P18" s="1134" t="n">
        <f aca="false">'☆短期集計R7'!K38</f>
        <v>0</v>
      </c>
      <c r="Q18" s="1134" t="n">
        <f aca="false">'☆介護集計R7'!K38</f>
        <v>0</v>
      </c>
      <c r="R18" s="1134" t="n">
        <f aca="false">-'☆子・子集計R7'!H17-'☆子・子集計R7'!K17+'☆子・子集計R7'!K38</f>
        <v>2200000</v>
      </c>
      <c r="S18" s="1133" t="n">
        <f aca="false">L18+O18+P18+Q18+R18</f>
        <v>368008134</v>
      </c>
      <c r="T18" s="1135" t="n">
        <f aca="false">E18+S18</f>
        <v>823474552</v>
      </c>
      <c r="U18" s="1136" t="s">
        <v>635</v>
      </c>
      <c r="W18" s="1137"/>
      <c r="X18" s="1138"/>
      <c r="Y18" s="1139" t="s">
        <v>638</v>
      </c>
      <c r="Z18" s="1140" t="n">
        <f aca="true">OFFSET('☆掛負収入'!$B$65,$AP$4*$AP18,0,1,1)</f>
        <v>196926277</v>
      </c>
      <c r="AA18" s="1141" t="n">
        <f aca="true">OFFSET('☆掛負収入'!$C$65,$AP$4*$AP18,0,1,1)</f>
        <v>16148980</v>
      </c>
      <c r="AB18" s="1133" t="n">
        <f aca="false">SUM(Z18:AA18)</f>
        <v>213075257</v>
      </c>
      <c r="AC18" s="1140" t="n">
        <f aca="true">OFFSET('☆掛負収入'!$D$65,$AP$4*$AP18,0,1,1)</f>
        <v>279013125</v>
      </c>
      <c r="AD18" s="1142" t="n">
        <f aca="true">OFFSET('☆掛負収入'!$E$65,$AP$4*$AP18,0,1,1)</f>
        <v>16688840</v>
      </c>
      <c r="AE18" s="1143" t="n">
        <f aca="true">OFFSET('☆掛負収入'!$F$65,$AP$4*$AP18,0,1,1)</f>
        <v>214324</v>
      </c>
      <c r="AF18" s="1133" t="n">
        <f aca="false">SUM(AC18:AE18)</f>
        <v>295916289</v>
      </c>
      <c r="AG18" s="1133" t="n">
        <f aca="false">AB18+AF18</f>
        <v>508991546</v>
      </c>
      <c r="AH18" s="1144" t="n">
        <f aca="true">OFFSET('☆掛負収入'!$G$65,$AP$4*$AP18,0,1,1)</f>
        <v>508991546</v>
      </c>
      <c r="AI18" s="1147" t="str">
        <f aca="false">IF(AG18=AH18,"○","×")</f>
        <v>○</v>
      </c>
      <c r="AJ18" s="1138"/>
      <c r="AK18" s="1132" t="s">
        <v>638</v>
      </c>
      <c r="AL18" s="1133" t="n">
        <f aca="false">AG18+AB39+AI39+AP39</f>
        <v>821274552</v>
      </c>
      <c r="AM18" s="1133" t="n">
        <f aca="false">N18</f>
        <v>821274552</v>
      </c>
      <c r="AN18" s="1147" t="str">
        <f aca="false">IF(AL18=AM18,"○","×")</f>
        <v>○</v>
      </c>
      <c r="AP18" s="1146" t="n">
        <v>13</v>
      </c>
      <c r="AR18" s="1149"/>
    </row>
    <row r="19" customFormat="false" ht="24.75" hidden="false" customHeight="true" outlineLevel="0" collapsed="false">
      <c r="A19" s="1132" t="s">
        <v>570</v>
      </c>
      <c r="B19" s="1133" t="n">
        <f aca="false">B40+H40+N40+T40</f>
        <v>789150768</v>
      </c>
      <c r="C19" s="1133" t="n">
        <f aca="false">C40+I40+O40+U40</f>
        <v>299026101</v>
      </c>
      <c r="D19" s="1133" t="n">
        <f aca="false">D40+J40+P40+V40</f>
        <v>116981</v>
      </c>
      <c r="E19" s="1133" t="n">
        <f aca="false">SUM(B19:D19)</f>
        <v>1088293850</v>
      </c>
      <c r="G19" s="1132" t="s">
        <v>570</v>
      </c>
      <c r="H19" s="1134" t="n">
        <f aca="true">OFFSET('☆掛負収入'!$B$65,$AP$4*$AP19,0,1,1)+OFFSET('☆掛負収入'!$C$65,$AP$4*$AP19,0,1,1)</f>
        <v>514801432</v>
      </c>
      <c r="I19" s="1134" t="n">
        <f aca="true">OFFSET('☆掛負収入'!$H$65,$AP$4*$AP19,0,1,1)</f>
        <v>355787025</v>
      </c>
      <c r="J19" s="1134" t="n">
        <f aca="true">OFFSET('☆掛負収入'!$K$65,$AP$4*$AP19,0,1,1)</f>
        <v>32282038</v>
      </c>
      <c r="K19" s="1134" t="n">
        <f aca="true">OFFSET('☆掛負収入'!$N$65,$AP$4*$AP19,0,1,1)</f>
        <v>27</v>
      </c>
      <c r="L19" s="1133" t="n">
        <f aca="false">SUM(H19:K19)</f>
        <v>902870522</v>
      </c>
      <c r="N19" s="1133" t="n">
        <f aca="false">E19+L19</f>
        <v>1991164372</v>
      </c>
      <c r="O19" s="1134" t="n">
        <f aca="false">-'☆長期集計R7'!H41+'☆長期集計R7'!K41-'☆長期集計R7'!H81+'☆長期集計R7'!K84</f>
        <v>0</v>
      </c>
      <c r="P19" s="1134" t="n">
        <f aca="false">-'☆短期集計R7'!H15-'☆短期集計R7'!K15+'☆短期集計R7'!K39</f>
        <v>0</v>
      </c>
      <c r="Q19" s="1134" t="n">
        <f aca="false">-'☆介護集計R7'!H15-'☆介護集計R7'!K15+'☆介護集計R7'!K39</f>
        <v>0</v>
      </c>
      <c r="R19" s="1134" t="n">
        <f aca="false">-'☆子・子集計R7'!H18-'☆子・子集計R7'!K18+'☆子・子集計R7'!K39</f>
        <v>2200000</v>
      </c>
      <c r="S19" s="1133" t="n">
        <f aca="false">L19+O19+P19+Q19+R19</f>
        <v>905070522</v>
      </c>
      <c r="T19" s="1135" t="n">
        <f aca="false">E19+S19</f>
        <v>1993364372</v>
      </c>
      <c r="U19" s="1136" t="s">
        <v>635</v>
      </c>
      <c r="W19" s="1137"/>
      <c r="X19" s="1138"/>
      <c r="Y19" s="1139" t="s">
        <v>570</v>
      </c>
      <c r="Z19" s="1140" t="n">
        <f aca="true">OFFSET('☆掛負収入'!$B$65,$AP$4*$AP19,0,1,1)</f>
        <v>475792313</v>
      </c>
      <c r="AA19" s="1141" t="n">
        <f aca="true">OFFSET('☆掛負収入'!$C$65,$AP$4*$AP19,0,1,1)</f>
        <v>39009119</v>
      </c>
      <c r="AB19" s="1133" t="n">
        <f aca="false">SUM(Z19:AA19)</f>
        <v>514801432</v>
      </c>
      <c r="AC19" s="1140" t="n">
        <f aca="true">OFFSET('☆掛負収入'!$D$65,$AP$4*$AP19,0,1,1)</f>
        <v>656807401</v>
      </c>
      <c r="AD19" s="1142" t="n">
        <f aca="true">OFFSET('☆掛負収入'!$E$65,$AP$4*$AP19,0,1,1)</f>
        <v>38991344</v>
      </c>
      <c r="AE19" s="1143" t="n">
        <f aca="true">OFFSET('☆掛負収入'!$F$65,$AP$4*$AP19,0,1,1)</f>
        <v>515892</v>
      </c>
      <c r="AF19" s="1133" t="n">
        <f aca="false">SUM(AC19:AE19)</f>
        <v>696314637</v>
      </c>
      <c r="AG19" s="1133" t="n">
        <f aca="false">AB19+AF19</f>
        <v>1211116069</v>
      </c>
      <c r="AH19" s="1144" t="n">
        <f aca="true">OFFSET('☆掛負収入'!$G$65,$AP$4*$AP19,0,1,1)</f>
        <v>1211116069</v>
      </c>
      <c r="AI19" s="1147" t="str">
        <f aca="false">IF(AG19=AH19,"○","×")</f>
        <v>○</v>
      </c>
      <c r="AJ19" s="1138"/>
      <c r="AK19" s="1132" t="s">
        <v>570</v>
      </c>
      <c r="AL19" s="1133" t="n">
        <f aca="false">AG19+AB40+AI40+AP40</f>
        <v>1991164372</v>
      </c>
      <c r="AM19" s="1133" t="n">
        <f aca="false">N19</f>
        <v>1991164372</v>
      </c>
      <c r="AN19" s="1147" t="str">
        <f aca="false">IF(AL19=AM19,"○","×")</f>
        <v>○</v>
      </c>
      <c r="AP19" s="1146" t="n">
        <v>14</v>
      </c>
      <c r="AR19" s="1149"/>
    </row>
    <row r="20" customFormat="false" ht="24.75" hidden="false" customHeight="true" outlineLevel="0" collapsed="false">
      <c r="A20" s="1150" t="s">
        <v>639</v>
      </c>
      <c r="B20" s="1133" t="n">
        <f aca="false">B41+H41+N41+T41</f>
        <v>44209482</v>
      </c>
      <c r="C20" s="1133" t="n">
        <f aca="false">C41+I41+O41+U41</f>
        <v>12302787</v>
      </c>
      <c r="D20" s="1133" t="n">
        <f aca="false">D41+J41+P41+V41</f>
        <v>76270</v>
      </c>
      <c r="E20" s="1133" t="n">
        <f aca="false">SUM(B20:D20)</f>
        <v>56588539</v>
      </c>
      <c r="G20" s="1150" t="s">
        <v>639</v>
      </c>
      <c r="H20" s="1134" t="n">
        <f aca="true">OFFSET('☆掛負収入'!$B$65,$AP$4*$AP20,0,1,1)+OFFSET('☆掛負収入'!$C$65,$AP$4*$AP20,0,1,1)</f>
        <v>26367367</v>
      </c>
      <c r="I20" s="1134" t="n">
        <f aca="true">OFFSET('☆掛負収入'!$H$65,$AP$4*$AP20,0,1,1)</f>
        <v>17812876</v>
      </c>
      <c r="J20" s="1134" t="n">
        <f aca="true">OFFSET('☆掛負収入'!$K$65,$AP$4*$AP20,0,1,1)</f>
        <v>1479301</v>
      </c>
      <c r="K20" s="1134" t="n">
        <f aca="true">OFFSET('☆掛負収入'!$N$65,$AP$4*$AP20,0,1,1)</f>
        <v>25</v>
      </c>
      <c r="L20" s="1133" t="n">
        <f aca="false">SUM(H20:K20)</f>
        <v>45659569</v>
      </c>
      <c r="N20" s="1133" t="n">
        <f aca="false">E20+L20</f>
        <v>102248108</v>
      </c>
      <c r="O20" s="1134" t="n">
        <v>0</v>
      </c>
      <c r="P20" s="1134" t="n">
        <f aca="false">'☆短期集計R7'!K40</f>
        <v>0</v>
      </c>
      <c r="Q20" s="1134" t="n">
        <f aca="false">'☆介護集計R7'!K40</f>
        <v>0</v>
      </c>
      <c r="R20" s="1134" t="n">
        <f aca="false">-'☆子・子集計R7'!H19-'☆子・子集計R7'!K19+'☆子・子集計R7'!K40</f>
        <v>2200000</v>
      </c>
      <c r="S20" s="1133" t="n">
        <f aca="false">L20+O20+P20+Q20+R20</f>
        <v>47859569</v>
      </c>
      <c r="T20" s="1135" t="n">
        <f aca="false">E20+S20</f>
        <v>104448108</v>
      </c>
      <c r="U20" s="1136" t="s">
        <v>635</v>
      </c>
      <c r="W20" s="1137"/>
      <c r="X20" s="1138"/>
      <c r="Y20" s="1151" t="s">
        <v>639</v>
      </c>
      <c r="Z20" s="1140" t="n">
        <f aca="true">OFFSET('☆掛負収入'!$B$65,$AP$4*$AP20,0,1,1)</f>
        <v>24371886</v>
      </c>
      <c r="AA20" s="1141" t="n">
        <f aca="true">OFFSET('☆掛負収入'!$C$65,$AP$4*$AP20,0,1,1)</f>
        <v>1995481</v>
      </c>
      <c r="AB20" s="1133" t="n">
        <f aca="false">SUM(Z20:AA20)</f>
        <v>26367367</v>
      </c>
      <c r="AC20" s="1140" t="n">
        <f aca="true">OFFSET('☆掛負収入'!$D$65,$AP$4*$AP20,0,1,1)</f>
        <v>35318960</v>
      </c>
      <c r="AD20" s="1142" t="n">
        <f aca="true">OFFSET('☆掛負収入'!$E$65,$AP$4*$AP20,0,1,1)</f>
        <v>1962090</v>
      </c>
      <c r="AE20" s="1143" t="n">
        <f aca="true">OFFSET('☆掛負収入'!$F$65,$AP$4*$AP20,0,1,1)</f>
        <v>25771</v>
      </c>
      <c r="AF20" s="1133" t="n">
        <f aca="false">SUM(AC20:AE20)</f>
        <v>37306821</v>
      </c>
      <c r="AG20" s="1133" t="n">
        <f aca="false">AB20+AF20</f>
        <v>63674188</v>
      </c>
      <c r="AH20" s="1152" t="n">
        <f aca="true">OFFSET('☆掛負収入'!$G$65,$AP$4*$AP20,0,1,1)</f>
        <v>63674188</v>
      </c>
      <c r="AI20" s="1147" t="str">
        <f aca="false">IF(AG20=AH20,"○","×")</f>
        <v>○</v>
      </c>
      <c r="AJ20" s="1138"/>
      <c r="AK20" s="1150" t="s">
        <v>639</v>
      </c>
      <c r="AL20" s="1133" t="n">
        <f aca="false">AG20+AB41+AI41+AP41</f>
        <v>102248108</v>
      </c>
      <c r="AM20" s="1133" t="n">
        <f aca="false">N20</f>
        <v>102248108</v>
      </c>
      <c r="AN20" s="1147" t="str">
        <f aca="false">IF(AL20=AM20,"○","×")</f>
        <v>○</v>
      </c>
      <c r="AP20" s="1146" t="n">
        <v>15</v>
      </c>
      <c r="AR20" s="1153"/>
    </row>
    <row r="21" customFormat="false" ht="24.75" hidden="false" customHeight="true" outlineLevel="0" collapsed="false">
      <c r="A21" s="1150" t="s">
        <v>640</v>
      </c>
      <c r="B21" s="1133" t="n">
        <f aca="false">B42+H42+N42+T42</f>
        <v>44209504</v>
      </c>
      <c r="C21" s="1133" t="n">
        <f aca="false">C42+I42+O42+U42</f>
        <v>12302834</v>
      </c>
      <c r="D21" s="1133" t="n">
        <f aca="false">D42+J42+P42+V42</f>
        <v>76275</v>
      </c>
      <c r="E21" s="1133" t="n">
        <f aca="false">SUM(B21:D21)</f>
        <v>56588613</v>
      </c>
      <c r="G21" s="1150" t="s">
        <v>640</v>
      </c>
      <c r="H21" s="1134" t="n">
        <f aca="true">OFFSET('☆掛負収入'!$B$65,$AP$4*$AP21,0,1,1)+OFFSET('☆掛負収入'!$C$65,$AP$4*$AP21,0,1,1)</f>
        <v>26367399</v>
      </c>
      <c r="I21" s="1134" t="n">
        <f aca="true">OFFSET('☆掛負収入'!$H$65,$AP$4*$AP21,0,1,1)</f>
        <v>17812885</v>
      </c>
      <c r="J21" s="1134" t="n">
        <f aca="true">OFFSET('☆掛負収入'!$K$65,$AP$4*$AP21,0,1,1)</f>
        <v>1479310</v>
      </c>
      <c r="K21" s="1134" t="n">
        <f aca="true">OFFSET('☆掛負収入'!$N$65,$AP$4*$AP21,0,1,1)</f>
        <v>25</v>
      </c>
      <c r="L21" s="1133" t="n">
        <f aca="false">SUM(H21:K21)</f>
        <v>45659619</v>
      </c>
      <c r="N21" s="1133" t="n">
        <f aca="false">E21+L21</f>
        <v>102248232</v>
      </c>
      <c r="O21" s="1134" t="n">
        <v>0</v>
      </c>
      <c r="P21" s="1134" t="n">
        <f aca="false">'☆短期集計R7'!K41</f>
        <v>0</v>
      </c>
      <c r="Q21" s="1134" t="n">
        <f aca="false">'☆介護集計R7'!K41</f>
        <v>0</v>
      </c>
      <c r="R21" s="1134" t="n">
        <f aca="false">-'☆子・子集計R7'!H20-'☆子・子集計R7'!K20+'☆子・子集計R7'!K41</f>
        <v>2200000</v>
      </c>
      <c r="S21" s="1133" t="n">
        <f aca="false">L21+O21+P21+Q21+R21</f>
        <v>47859619</v>
      </c>
      <c r="T21" s="1135" t="n">
        <f aca="false">E21+S21</f>
        <v>104448232</v>
      </c>
      <c r="U21" s="1136" t="s">
        <v>635</v>
      </c>
      <c r="W21" s="1137"/>
      <c r="X21" s="1138"/>
      <c r="Y21" s="1151" t="s">
        <v>640</v>
      </c>
      <c r="Z21" s="1140" t="n">
        <f aca="true">OFFSET('☆掛負収入'!$B$65,$AP$4*$AP21,0,1,1)</f>
        <v>24371902</v>
      </c>
      <c r="AA21" s="1141" t="n">
        <f aca="true">OFFSET('☆掛負収入'!$C$65,$AP$4*$AP21,0,1,1)</f>
        <v>1995497</v>
      </c>
      <c r="AB21" s="1133" t="n">
        <f aca="false">SUM(Z21:AA21)</f>
        <v>26367399</v>
      </c>
      <c r="AC21" s="1140" t="n">
        <f aca="true">OFFSET('☆掛負収入'!$D$65,$AP$4*$AP21,0,1,1)</f>
        <v>35318968</v>
      </c>
      <c r="AD21" s="1142" t="n">
        <f aca="true">OFFSET('☆掛負収入'!$E$65,$AP$4*$AP21,0,1,1)</f>
        <v>1962114</v>
      </c>
      <c r="AE21" s="1143" t="n">
        <f aca="true">OFFSET('☆掛負収入'!$F$65,$AP$4*$AP21,0,1,1)</f>
        <v>25781</v>
      </c>
      <c r="AF21" s="1133" t="n">
        <f aca="false">SUM(AC21:AE21)</f>
        <v>37306863</v>
      </c>
      <c r="AG21" s="1133" t="n">
        <f aca="false">AB21+AF21</f>
        <v>63674262</v>
      </c>
      <c r="AH21" s="1152" t="n">
        <f aca="true">OFFSET('☆掛負収入'!$G$65,$AP$4*$AP21,0,1,1)</f>
        <v>63674262</v>
      </c>
      <c r="AI21" s="1147" t="str">
        <f aca="false">IF(AG21=AH21,"○","×")</f>
        <v>○</v>
      </c>
      <c r="AJ21" s="1138"/>
      <c r="AK21" s="1150" t="s">
        <v>640</v>
      </c>
      <c r="AL21" s="1133" t="n">
        <f aca="false">AG21+AB42+AI42+AP42</f>
        <v>102248232</v>
      </c>
      <c r="AM21" s="1133" t="n">
        <f aca="false">N21</f>
        <v>102248232</v>
      </c>
      <c r="AN21" s="1147" t="str">
        <f aca="false">IF(AL21=AM21,"○","×")</f>
        <v>○</v>
      </c>
      <c r="AP21" s="1154" t="n">
        <v>16</v>
      </c>
      <c r="AR21" s="1153"/>
    </row>
    <row r="22" customFormat="false" ht="24.75" hidden="false" customHeight="true" outlineLevel="0" collapsed="false">
      <c r="A22" s="1132" t="s">
        <v>571</v>
      </c>
      <c r="B22" s="1133" t="n">
        <f aca="false">SUM(B5:B21)</f>
        <v>13549992422</v>
      </c>
      <c r="C22" s="1133" t="n">
        <f aca="false">SUM(C5:C21)</f>
        <v>4893654404</v>
      </c>
      <c r="D22" s="1133" t="n">
        <f aca="false">SUM(D5:D21)</f>
        <v>1861641</v>
      </c>
      <c r="E22" s="1133" t="n">
        <f aca="false">SUM(E5:E21)</f>
        <v>18445508467</v>
      </c>
      <c r="G22" s="1132" t="s">
        <v>571</v>
      </c>
      <c r="H22" s="1133" t="n">
        <f aca="false">SUM(H5:H21)</f>
        <v>8513082365</v>
      </c>
      <c r="I22" s="1133" t="n">
        <f aca="false">SUM(I5:I21)</f>
        <v>5834634897</v>
      </c>
      <c r="J22" s="1133" t="n">
        <f aca="false">SUM(J5:J21)</f>
        <v>515307811</v>
      </c>
      <c r="K22" s="1133" t="n">
        <f aca="false">SUM(K5:K21)</f>
        <v>63008864</v>
      </c>
      <c r="L22" s="1133" t="n">
        <f aca="false">SUM(L5:L21)</f>
        <v>14926033937</v>
      </c>
      <c r="N22" s="1133" t="n">
        <f aca="false">SUM(N5:N21)</f>
        <v>33371542404</v>
      </c>
      <c r="O22" s="1133" t="n">
        <f aca="false">SUM(O5:O21)</f>
        <v>-2422226</v>
      </c>
      <c r="P22" s="1133" t="n">
        <f aca="false">SUM(P5:P21)</f>
        <v>-7513266</v>
      </c>
      <c r="Q22" s="1133" t="n">
        <f aca="false">SUM(Q5:Q21)</f>
        <v>-438944</v>
      </c>
      <c r="R22" s="1133" t="n">
        <f aca="false">SUM(R5:R21)</f>
        <v>37092664</v>
      </c>
      <c r="S22" s="1133" t="n">
        <f aca="false">SUM(S5:S21)</f>
        <v>14952752165</v>
      </c>
      <c r="T22" s="1135" t="n">
        <f aca="false">SUM(T5:T21)</f>
        <v>33398260632</v>
      </c>
      <c r="U22" s="1148" t="n">
        <f aca="false">SUM(U5:U21)</f>
        <v>567031260</v>
      </c>
      <c r="W22" s="1137"/>
      <c r="X22" s="1137"/>
      <c r="Y22" s="1139" t="s">
        <v>571</v>
      </c>
      <c r="Z22" s="1155" t="n">
        <f aca="false">SUM(Z5:Z21)</f>
        <v>7868089032</v>
      </c>
      <c r="AA22" s="1156" t="n">
        <f aca="false">SUM(AA5:AA21)</f>
        <v>644993333</v>
      </c>
      <c r="AB22" s="1133" t="n">
        <f aca="false">SUM(AB5:AB21)</f>
        <v>8513082365</v>
      </c>
      <c r="AC22" s="1155" t="n">
        <f aca="false">SUM(AC5:AC21)</f>
        <v>11434325470</v>
      </c>
      <c r="AD22" s="1157" t="n">
        <f aca="false">SUM(AD5:AD21)</f>
        <v>645288825</v>
      </c>
      <c r="AE22" s="1158" t="n">
        <f aca="false">SUM(AE5:AE21)</f>
        <v>8059553</v>
      </c>
      <c r="AF22" s="1133" t="n">
        <f aca="false">SUM(AF5:AF21)</f>
        <v>12087673848</v>
      </c>
      <c r="AG22" s="1133" t="n">
        <f aca="false">SUM(AG5:AG21)</f>
        <v>20600756213</v>
      </c>
      <c r="AH22" s="1144" t="n">
        <f aca="false">SUM(AH5:AH21)</f>
        <v>20600756213</v>
      </c>
      <c r="AI22" s="1147" t="str">
        <f aca="false">IF(AG22=AH22,"○","×")</f>
        <v>○</v>
      </c>
      <c r="AJ22" s="1137"/>
      <c r="AK22" s="1132" t="s">
        <v>571</v>
      </c>
      <c r="AL22" s="1133" t="n">
        <f aca="false">SUM(AL5:AL21)</f>
        <v>33371542404</v>
      </c>
      <c r="AM22" s="1133" t="n">
        <f aca="false">SUM(AM5:AM21)</f>
        <v>33371542404</v>
      </c>
      <c r="AN22" s="1147" t="str">
        <f aca="false">IF(AL22=AM22,"○","×")</f>
        <v>○</v>
      </c>
      <c r="AP22" s="135"/>
      <c r="AQ22" s="1114"/>
      <c r="AR22" s="1149"/>
    </row>
    <row r="23" customFormat="false" ht="29.25" hidden="false" customHeight="true" outlineLevel="0" collapsed="false">
      <c r="S23" s="1159" t="n">
        <f aca="false">'☆掛負収入'!F1127</f>
        <v>567031260</v>
      </c>
      <c r="T23" s="1160" t="str">
        <f aca="false">IF(U22=S23,"○","×")</f>
        <v>○</v>
      </c>
      <c r="U23" s="609"/>
      <c r="V23" s="609"/>
      <c r="W23" s="609"/>
      <c r="X23" s="1161"/>
    </row>
    <row r="24" customFormat="false" ht="24.75" hidden="false" customHeight="true" outlineLevel="0" collapsed="false">
      <c r="A24" s="1110" t="s">
        <v>641</v>
      </c>
      <c r="B24" s="1112"/>
      <c r="C24" s="1112"/>
      <c r="D24" s="1112"/>
      <c r="E24" s="1109" t="s">
        <v>535</v>
      </c>
      <c r="G24" s="1110" t="s">
        <v>642</v>
      </c>
      <c r="H24" s="1112"/>
      <c r="I24" s="1112"/>
      <c r="J24" s="1112"/>
      <c r="K24" s="1109" t="s">
        <v>535</v>
      </c>
      <c r="M24" s="1110" t="s">
        <v>643</v>
      </c>
      <c r="N24" s="1112"/>
      <c r="Q24" s="1109" t="s">
        <v>535</v>
      </c>
      <c r="S24" s="1110" t="s">
        <v>644</v>
      </c>
      <c r="T24" s="1112"/>
      <c r="U24" s="1112"/>
      <c r="W24" s="1109" t="s">
        <v>535</v>
      </c>
      <c r="Y24" s="1112" t="s">
        <v>645</v>
      </c>
      <c r="AB24" s="1109" t="s">
        <v>535</v>
      </c>
      <c r="AC24" s="1162"/>
      <c r="AD24" s="1162"/>
      <c r="AE24" s="1162"/>
      <c r="AF24" s="1112" t="s">
        <v>646</v>
      </c>
      <c r="AI24" s="1109" t="s">
        <v>535</v>
      </c>
      <c r="AJ24" s="1162"/>
      <c r="AK24" s="1162"/>
      <c r="AL24" s="1162"/>
      <c r="AM24" s="1112" t="s">
        <v>647</v>
      </c>
      <c r="AP24" s="1109" t="s">
        <v>535</v>
      </c>
      <c r="AQ24" s="1162"/>
      <c r="AR24" s="1162"/>
    </row>
    <row r="25" customFormat="false" ht="32.25" hidden="false" customHeight="true" outlineLevel="0" collapsed="false">
      <c r="A25" s="1115" t="s">
        <v>542</v>
      </c>
      <c r="B25" s="1115" t="s">
        <v>606</v>
      </c>
      <c r="C25" s="1115" t="s">
        <v>607</v>
      </c>
      <c r="D25" s="1115" t="s">
        <v>469</v>
      </c>
      <c r="E25" s="1116" t="s">
        <v>648</v>
      </c>
      <c r="G25" s="1115" t="s">
        <v>542</v>
      </c>
      <c r="H25" s="1115" t="s">
        <v>606</v>
      </c>
      <c r="I25" s="1115" t="s">
        <v>607</v>
      </c>
      <c r="J25" s="1115" t="s">
        <v>469</v>
      </c>
      <c r="K25" s="1116" t="s">
        <v>649</v>
      </c>
      <c r="M25" s="1115" t="s">
        <v>542</v>
      </c>
      <c r="N25" s="1115" t="s">
        <v>606</v>
      </c>
      <c r="O25" s="1115" t="s">
        <v>607</v>
      </c>
      <c r="P25" s="1115" t="s">
        <v>469</v>
      </c>
      <c r="Q25" s="1116" t="s">
        <v>650</v>
      </c>
      <c r="S25" s="1115" t="s">
        <v>542</v>
      </c>
      <c r="T25" s="1115" t="s">
        <v>606</v>
      </c>
      <c r="U25" s="1115" t="s">
        <v>607</v>
      </c>
      <c r="V25" s="1115" t="s">
        <v>469</v>
      </c>
      <c r="W25" s="1116" t="s">
        <v>650</v>
      </c>
      <c r="Y25" s="1115" t="s">
        <v>542</v>
      </c>
      <c r="Z25" s="1115" t="s">
        <v>490</v>
      </c>
      <c r="AA25" s="1116" t="s">
        <v>651</v>
      </c>
      <c r="AB25" s="1115" t="s">
        <v>652</v>
      </c>
      <c r="AC25" s="1127" t="s">
        <v>653</v>
      </c>
      <c r="AD25" s="1128" t="s">
        <v>654</v>
      </c>
      <c r="AE25" s="1129"/>
      <c r="AF25" s="1115" t="s">
        <v>542</v>
      </c>
      <c r="AG25" s="1115" t="s">
        <v>490</v>
      </c>
      <c r="AH25" s="1116" t="s">
        <v>651</v>
      </c>
      <c r="AI25" s="1115" t="s">
        <v>655</v>
      </c>
      <c r="AJ25" s="1127" t="s">
        <v>656</v>
      </c>
      <c r="AK25" s="1128" t="s">
        <v>657</v>
      </c>
      <c r="AL25" s="1128"/>
      <c r="AM25" s="1115" t="s">
        <v>542</v>
      </c>
      <c r="AN25" s="1115" t="s">
        <v>490</v>
      </c>
      <c r="AO25" s="1116" t="s">
        <v>651</v>
      </c>
      <c r="AP25" s="1115" t="s">
        <v>658</v>
      </c>
      <c r="AQ25" s="1127" t="s">
        <v>659</v>
      </c>
      <c r="AR25" s="1128" t="s">
        <v>657</v>
      </c>
    </row>
    <row r="26" customFormat="false" ht="24.75" hidden="false" customHeight="true" outlineLevel="0" collapsed="false">
      <c r="A26" s="1132" t="s">
        <v>559</v>
      </c>
      <c r="B26" s="1134" t="n">
        <f aca="true">OFFSET('☆掛負収入'!$D$22,$AP$4*$AP5,0,1,1)+OFFSET('☆掛負収入'!$E$22,$AP$4*$AP5,0,1,1)+OFFSET('☆掛負収入'!$F$22,$AP$4*$AP5,0,1,1)</f>
        <v>545334273</v>
      </c>
      <c r="C26" s="1134" t="n">
        <f aca="true">OFFSET('☆掛負収入'!$D$53,$AP$4*$AP5,0,1,1)+OFFSET('☆掛負収入'!$E$53,$AP$4*$AP5,0,1,1)+OFFSET('☆掛負収入'!$F$53,$AP$4*$AP5,0,1,1)+OFFSET('☆掛負収入'!$D$58,$AP$4*$AP5,0,1,1)+OFFSET('☆掛負収入'!$E$58,$AP$4*$AP5,0,1,1)+OFFSET('☆掛負収入'!$F$58,$AP$4*$AP5,0,1,1)</f>
        <v>205877758</v>
      </c>
      <c r="D26" s="1134" t="n">
        <f aca="true">OFFSET('☆掛負収入'!$D$63,$AP$4*$AP5,0,1,1)+OFFSET('☆掛負収入'!$E$63,$AP$4*$AP5,0,1,1)+OFFSET('☆掛負収入'!$F$63,$AP$4*$AP5,0,1,1)</f>
        <v>61380</v>
      </c>
      <c r="E26" s="1133" t="n">
        <f aca="false">SUM(B26:D26)</f>
        <v>751273411</v>
      </c>
      <c r="G26" s="1132" t="s">
        <v>559</v>
      </c>
      <c r="H26" s="1134" t="n">
        <f aca="true">OFFSET('☆掛負収入'!$I$22,$AP$4*$AP5,0,1,1)</f>
        <v>252838750</v>
      </c>
      <c r="I26" s="1134" t="n">
        <f aca="true">OFFSET('☆掛負収入'!$I$53,$AP$4*$AP5,0,1,1)</f>
        <v>98705327</v>
      </c>
      <c r="J26" s="1134" t="n">
        <f aca="true">OFFSET('☆掛負収入'!$I$63,$AP$4*$AP5,0,1,1)</f>
        <v>47757</v>
      </c>
      <c r="K26" s="1133" t="n">
        <f aca="false">SUM(H26:J26)</f>
        <v>351591834</v>
      </c>
      <c r="M26" s="1132" t="s">
        <v>559</v>
      </c>
      <c r="N26" s="1134" t="n">
        <f aca="true">OFFSET('☆掛負収入'!$L$22,$AP$4*$AP5,0,1,1)</f>
        <v>22599966</v>
      </c>
      <c r="O26" s="1134" t="n">
        <f aca="true">OFFSET('☆掛負収入'!$L$53,$AP$4*$AP5,0,1,1)</f>
        <v>8496204</v>
      </c>
      <c r="P26" s="1134" t="n">
        <f aca="true">OFFSET('☆掛負収入'!$L$63,$AP$4*$AP5,0,1,1)</f>
        <v>4898</v>
      </c>
      <c r="Q26" s="1133" t="n">
        <f aca="false">SUM(N26:P26)</f>
        <v>31101068</v>
      </c>
      <c r="S26" s="1132" t="s">
        <v>559</v>
      </c>
      <c r="T26" s="1134" t="n">
        <f aca="true">OFFSET('☆掛負収入'!$O$22,$AP$4*$AP5,0,1,1)</f>
        <v>5523335</v>
      </c>
      <c r="U26" s="1134" t="n">
        <f aca="true">OFFSET('☆掛負収入'!$O$53,$AP$4*$AP5,0,1,1)</f>
        <v>2184077</v>
      </c>
      <c r="V26" s="1134" t="n">
        <f aca="true">OFFSET('☆掛負収入'!$O$63,$AP$4*$AP5,0,1,1)</f>
        <v>1058</v>
      </c>
      <c r="W26" s="1133" t="n">
        <f aca="false">SUM(T26:V26)</f>
        <v>7708470</v>
      </c>
      <c r="Y26" s="1132" t="s">
        <v>559</v>
      </c>
      <c r="Z26" s="1134" t="n">
        <f aca="true">OFFSET('☆掛負収入'!$H$65,$AP$4*$AP5,0,1,1)</f>
        <v>446098437</v>
      </c>
      <c r="AA26" s="1134" t="n">
        <f aca="true">OFFSET('☆掛負収入'!$I$65,$AP$4*$AP5,0,1,1)</f>
        <v>351591834</v>
      </c>
      <c r="AB26" s="1133" t="n">
        <f aca="false">SUM(Z26:AA26)</f>
        <v>797690271</v>
      </c>
      <c r="AC26" s="1138" t="n">
        <f aca="true">OFFSET('☆掛負収入'!$J$65,$AP$4*$AP5,0,1,1)</f>
        <v>797690271</v>
      </c>
      <c r="AD26" s="1145" t="str">
        <f aca="false">IF(AB26=AC26,"○","×")</f>
        <v>○</v>
      </c>
      <c r="AE26" s="1163"/>
      <c r="AF26" s="1132" t="s">
        <v>559</v>
      </c>
      <c r="AG26" s="1134" t="n">
        <f aca="true">OFFSET('☆掛負収入'!$K$65,$AP$4*$AP5,0,1,1)</f>
        <v>36272957</v>
      </c>
      <c r="AH26" s="1134" t="n">
        <f aca="true">OFFSET('☆掛負収入'!$L$65,$AP$4*$AP5,0,1,1)</f>
        <v>31101068</v>
      </c>
      <c r="AI26" s="1133" t="n">
        <f aca="false">SUM(AG26:AH26)</f>
        <v>67374025</v>
      </c>
      <c r="AJ26" s="1138" t="n">
        <f aca="true">OFFSET('☆掛負収入'!$M$65,$AP$4*$AP5,0,1,1)</f>
        <v>67374025</v>
      </c>
      <c r="AK26" s="1145" t="str">
        <f aca="false">IF(AI26=AJ26,"○","×")</f>
        <v>○</v>
      </c>
      <c r="AL26" s="1145"/>
      <c r="AM26" s="1132" t="s">
        <v>559</v>
      </c>
      <c r="AN26" s="1134" t="n">
        <f aca="true">OFFSET('☆掛負収入'!$N$65,$AP$4*$AP5,0,1,1)</f>
        <v>9873033</v>
      </c>
      <c r="AO26" s="1134" t="n">
        <f aca="true">OFFSET('☆掛負収入'!$O$65,$AP$4*$AP5,0,1,1)</f>
        <v>7708470</v>
      </c>
      <c r="AP26" s="1133" t="n">
        <f aca="false">SUM(AN26:AO26)</f>
        <v>17581503</v>
      </c>
      <c r="AQ26" s="1138" t="n">
        <f aca="true">OFFSET('☆掛負収入'!$P$65,$AP$4*$AP5,0,1,1)</f>
        <v>17581503</v>
      </c>
      <c r="AR26" s="1145" t="str">
        <f aca="false">IF(AP26=AQ26,"○","×")</f>
        <v>○</v>
      </c>
    </row>
    <row r="27" customFormat="false" ht="24.75" hidden="false" customHeight="true" outlineLevel="0" collapsed="false">
      <c r="A27" s="1132" t="s">
        <v>560</v>
      </c>
      <c r="B27" s="1134" t="n">
        <f aca="true">OFFSET('☆掛負収入'!$D$22,$AP$4*$AP6,0,1,1)+OFFSET('☆掛負収入'!$E$22,$AP$4*$AP6,0,1,1)+OFFSET('☆掛負収入'!$F$22,$AP$4*$AP6,0,1,1)</f>
        <v>547280023</v>
      </c>
      <c r="C27" s="1134" t="n">
        <f aca="true">OFFSET('☆掛負収入'!$D$53,$AP$4*$AP6,0,1,1)+OFFSET('☆掛負収入'!$E$53,$AP$4*$AP6,0,1,1)+OFFSET('☆掛負収入'!$F$53,$AP$4*$AP6,0,1,1)+OFFSET('☆掛負収入'!$D$58,$AP$4*$AP6,0,1,1)+OFFSET('☆掛負収入'!$E$58,$AP$4*$AP6,0,1,1)+OFFSET('☆掛負収入'!$F$58,$AP$4*$AP6,0,1,1)</f>
        <v>206576783</v>
      </c>
      <c r="D27" s="1134" t="n">
        <f aca="true">OFFSET('☆掛負収入'!$D$63,$AP$4*$AP6,0,1,1)+OFFSET('☆掛負収入'!$E$63,$AP$4*$AP6,0,1,1)+OFFSET('☆掛負収入'!$F$63,$AP$4*$AP6,0,1,1)</f>
        <v>61380</v>
      </c>
      <c r="E27" s="1133" t="n">
        <f aca="false">SUM(B27:D27)</f>
        <v>753918186</v>
      </c>
      <c r="G27" s="1132" t="s">
        <v>560</v>
      </c>
      <c r="H27" s="1134" t="n">
        <f aca="true">OFFSET('☆掛負収入'!$I$22,$AP$4*$AP6,0,1,1)</f>
        <v>254919952</v>
      </c>
      <c r="I27" s="1134" t="n">
        <f aca="true">OFFSET('☆掛負収入'!$I$53,$AP$4*$AP6,0,1,1)</f>
        <v>99872168</v>
      </c>
      <c r="J27" s="1134" t="n">
        <f aca="true">OFFSET('☆掛負収入'!$I$63,$AP$4*$AP6,0,1,1)</f>
        <v>47757</v>
      </c>
      <c r="K27" s="1133" t="n">
        <f aca="false">SUM(H27:J27)</f>
        <v>354839877</v>
      </c>
      <c r="M27" s="1132" t="s">
        <v>560</v>
      </c>
      <c r="N27" s="1134" t="n">
        <f aca="true">OFFSET('☆掛負収入'!$L$22,$AP$4*$AP6,0,1,1)</f>
        <v>22746970</v>
      </c>
      <c r="O27" s="1134" t="n">
        <f aca="true">OFFSET('☆掛負収入'!$L$53,$AP$4*$AP6,0,1,1)</f>
        <v>8555375</v>
      </c>
      <c r="P27" s="1134" t="n">
        <f aca="true">OFFSET('☆掛負収入'!$L$63,$AP$4*$AP6,0,1,1)</f>
        <v>4898</v>
      </c>
      <c r="Q27" s="1133" t="n">
        <f aca="false">SUM(N27:P27)</f>
        <v>31307243</v>
      </c>
      <c r="S27" s="1132" t="s">
        <v>560</v>
      </c>
      <c r="T27" s="1134" t="n">
        <f aca="true">OFFSET('☆掛負収入'!$O$22,$AP$4*$AP6,0,1,1)</f>
        <v>5554520</v>
      </c>
      <c r="U27" s="1134" t="n">
        <f aca="true">OFFSET('☆掛負収入'!$O$53,$AP$4*$AP6,0,1,1)</f>
        <v>2212389</v>
      </c>
      <c r="V27" s="1134" t="n">
        <f aca="true">OFFSET('☆掛負収入'!$O$63,$AP$4*$AP6,0,1,1)</f>
        <v>1058</v>
      </c>
      <c r="W27" s="1133" t="n">
        <f aca="false">SUM(T27:V27)</f>
        <v>7767967</v>
      </c>
      <c r="Y27" s="1132" t="s">
        <v>560</v>
      </c>
      <c r="Z27" s="1134" t="n">
        <f aca="true">OFFSET('☆掛負収入'!$H$65,$AP$4*$AP6,0,1,1)</f>
        <v>353209549</v>
      </c>
      <c r="AA27" s="1134" t="n">
        <f aca="true">OFFSET('☆掛負収入'!$I$65,$AP$4*$AP6,0,1,1)</f>
        <v>354839877</v>
      </c>
      <c r="AB27" s="1133" t="n">
        <f aca="false">SUM(Z27:AA27)</f>
        <v>708049426</v>
      </c>
      <c r="AC27" s="1138" t="n">
        <f aca="true">OFFSET('☆掛負収入'!$J$65,$AP$4*$AP6,0,1,1)</f>
        <v>708049426</v>
      </c>
      <c r="AD27" s="1147" t="str">
        <f aca="false">IF(AB27=AC27,"○","×")</f>
        <v>○</v>
      </c>
      <c r="AE27" s="1163"/>
      <c r="AF27" s="1132" t="s">
        <v>560</v>
      </c>
      <c r="AG27" s="1134" t="n">
        <f aca="true">OFFSET('☆掛負収入'!$K$65,$AP$4*$AP6,0,1,1)</f>
        <v>31474243</v>
      </c>
      <c r="AH27" s="1134" t="n">
        <f aca="true">OFFSET('☆掛負収入'!$L$65,$AP$4*$AP6,0,1,1)</f>
        <v>31307243</v>
      </c>
      <c r="AI27" s="1133" t="n">
        <f aca="false">SUM(AG27:AH27)</f>
        <v>62781486</v>
      </c>
      <c r="AJ27" s="1138" t="n">
        <f aca="true">OFFSET('☆掛負収入'!$M$65,$AP$4*$AP6,0,1,1)</f>
        <v>62781486</v>
      </c>
      <c r="AK27" s="1147" t="str">
        <f aca="false">IF(AI27=AJ27,"○","×")</f>
        <v>○</v>
      </c>
      <c r="AL27" s="1147"/>
      <c r="AM27" s="1132" t="s">
        <v>560</v>
      </c>
      <c r="AN27" s="1134" t="n">
        <f aca="true">OFFSET('☆掛負収入'!$N$65,$AP$4*$AP6,0,1,1)</f>
        <v>7828424</v>
      </c>
      <c r="AO27" s="1134" t="n">
        <f aca="true">OFFSET('☆掛負収入'!$O$65,$AP$4*$AP6,0,1,1)</f>
        <v>7767967</v>
      </c>
      <c r="AP27" s="1133" t="n">
        <f aca="false">SUM(AN27:AO27)</f>
        <v>15596391</v>
      </c>
      <c r="AQ27" s="1138" t="n">
        <f aca="true">OFFSET('☆掛負収入'!$P$65,$AP$4*$AP6,0,1,1)</f>
        <v>15596391</v>
      </c>
      <c r="AR27" s="1147" t="str">
        <f aca="false">IF(AP27=AQ27,"○","×")</f>
        <v>○</v>
      </c>
    </row>
    <row r="28" customFormat="false" ht="24.75" hidden="false" customHeight="true" outlineLevel="0" collapsed="false">
      <c r="A28" s="1132" t="s">
        <v>561</v>
      </c>
      <c r="B28" s="1134" t="n">
        <f aca="true">OFFSET('☆掛負収入'!$D$22,$AP$4*$AP7,0,1,1)+OFFSET('☆掛負収入'!$E$22,$AP$4*$AP7,0,1,1)+OFFSET('☆掛負収入'!$F$22,$AP$4*$AP7,0,1,1)</f>
        <v>546493720</v>
      </c>
      <c r="C28" s="1134" t="n">
        <f aca="true">OFFSET('☆掛負収入'!$D$53,$AP$4*$AP7,0,1,1)+OFFSET('☆掛負収入'!$E$53,$AP$4*$AP7,0,1,1)+OFFSET('☆掛負収入'!$F$53,$AP$4*$AP7,0,1,1)+OFFSET('☆掛負収入'!$D$58,$AP$4*$AP7,0,1,1)+OFFSET('☆掛負収入'!$E$58,$AP$4*$AP7,0,1,1)+OFFSET('☆掛負収入'!$F$58,$AP$4*$AP7,0,1,1)</f>
        <v>206192916</v>
      </c>
      <c r="D28" s="1134" t="n">
        <f aca="true">OFFSET('☆掛負収入'!$D$63,$AP$4*$AP7,0,1,1)+OFFSET('☆掛負収入'!$E$63,$AP$4*$AP7,0,1,1)+OFFSET('☆掛負収入'!$F$63,$AP$4*$AP7,0,1,1)</f>
        <v>61380</v>
      </c>
      <c r="E28" s="1133" t="n">
        <f aca="false">SUM(B28:D28)</f>
        <v>752748016</v>
      </c>
      <c r="G28" s="1132" t="s">
        <v>561</v>
      </c>
      <c r="H28" s="1134" t="n">
        <f aca="true">OFFSET('☆掛負収入'!$I$22,$AP$4*$AP7,0,1,1)</f>
        <v>254471719</v>
      </c>
      <c r="I28" s="1134" t="n">
        <f aca="true">OFFSET('☆掛負収入'!$I$53,$AP$4*$AP7,0,1,1)</f>
        <v>99620967</v>
      </c>
      <c r="J28" s="1134" t="n">
        <f aca="true">OFFSET('☆掛負収入'!$I$63,$AP$4*$AP7,0,1,1)</f>
        <v>49053</v>
      </c>
      <c r="K28" s="1133" t="n">
        <f aca="false">SUM(H28:J28)</f>
        <v>354141739</v>
      </c>
      <c r="M28" s="1132" t="s">
        <v>561</v>
      </c>
      <c r="N28" s="1134" t="n">
        <f aca="true">OFFSET('☆掛負収入'!$L$22,$AP$4*$AP7,0,1,1)</f>
        <v>22816910</v>
      </c>
      <c r="O28" s="1134" t="n">
        <f aca="true">OFFSET('☆掛負収入'!$L$53,$AP$4*$AP7,0,1,1)</f>
        <v>8586054</v>
      </c>
      <c r="P28" s="1134" t="n">
        <f aca="true">OFFSET('☆掛負収入'!$L$63,$AP$4*$AP7,0,1,1)</f>
        <v>4898</v>
      </c>
      <c r="Q28" s="1133" t="n">
        <f aca="false">SUM(N28:P28)</f>
        <v>31407862</v>
      </c>
      <c r="S28" s="1132" t="s">
        <v>561</v>
      </c>
      <c r="T28" s="1134" t="n">
        <f aca="true">OFFSET('☆掛負収入'!$O$22,$AP$4*$AP7,0,1,1)</f>
        <v>5546331</v>
      </c>
      <c r="U28" s="1134" t="n">
        <f aca="true">OFFSET('☆掛負収入'!$O$53,$AP$4*$AP7,0,1,1)</f>
        <v>2205427</v>
      </c>
      <c r="V28" s="1134" t="n">
        <f aca="true">OFFSET('☆掛負収入'!$O$63,$AP$4*$AP7,0,1,1)</f>
        <v>1058</v>
      </c>
      <c r="W28" s="1133" t="n">
        <f aca="false">SUM(T28:V28)</f>
        <v>7752816</v>
      </c>
      <c r="Y28" s="1132" t="s">
        <v>561</v>
      </c>
      <c r="Z28" s="1134" t="n">
        <f aca="true">OFFSET('☆掛負収入'!$H$65,$AP$4*$AP7,0,1,1)</f>
        <v>352789873</v>
      </c>
      <c r="AA28" s="1134" t="n">
        <f aca="true">OFFSET('☆掛負収入'!$I$65,$AP$4*$AP7,0,1,1)</f>
        <v>354141739</v>
      </c>
      <c r="AB28" s="1133" t="n">
        <f aca="false">SUM(Z28:AA28)</f>
        <v>706931612</v>
      </c>
      <c r="AC28" s="1138" t="n">
        <f aca="true">OFFSET('☆掛負収入'!$J$65,$AP$4*$AP7,0,1,1)</f>
        <v>706931612</v>
      </c>
      <c r="AD28" s="1147" t="str">
        <f aca="false">IF(AB28=AC28,"○","×")</f>
        <v>○</v>
      </c>
      <c r="AE28" s="1163"/>
      <c r="AF28" s="1132" t="s">
        <v>561</v>
      </c>
      <c r="AG28" s="1134" t="n">
        <f aca="true">OFFSET('☆掛負収入'!$K$65,$AP$4*$AP7,0,1,1)</f>
        <v>31644321</v>
      </c>
      <c r="AH28" s="1134" t="n">
        <f aca="true">OFFSET('☆掛負収入'!$L$65,$AP$4*$AP7,0,1,1)</f>
        <v>31407862</v>
      </c>
      <c r="AI28" s="1133" t="n">
        <f aca="false">SUM(AG28:AH28)</f>
        <v>63052183</v>
      </c>
      <c r="AJ28" s="1138" t="n">
        <f aca="true">OFFSET('☆掛負収入'!$M$65,$AP$4*$AP7,0,1,1)</f>
        <v>63052183</v>
      </c>
      <c r="AK28" s="1147" t="str">
        <f aca="false">IF(AI28=AJ28,"○","×")</f>
        <v>○</v>
      </c>
      <c r="AL28" s="1147"/>
      <c r="AM28" s="1132" t="s">
        <v>561</v>
      </c>
      <c r="AN28" s="1134" t="n">
        <f aca="true">OFFSET('☆掛負収入'!$N$65,$AP$4*$AP7,0,1,1)</f>
        <v>7818532</v>
      </c>
      <c r="AO28" s="1134" t="n">
        <f aca="true">OFFSET('☆掛負収入'!$O$65,$AP$4*$AP7,0,1,1)</f>
        <v>7752816</v>
      </c>
      <c r="AP28" s="1133" t="n">
        <f aca="false">SUM(AN28:AO28)</f>
        <v>15571348</v>
      </c>
      <c r="AQ28" s="1138" t="n">
        <f aca="true">OFFSET('☆掛負収入'!$P$65,$AP$4*$AP7,0,1,1)</f>
        <v>15571348</v>
      </c>
      <c r="AR28" s="1147" t="str">
        <f aca="false">IF(AP28=AQ28,"○","×")</f>
        <v>○</v>
      </c>
    </row>
    <row r="29" customFormat="false" ht="24.75" hidden="false" customHeight="true" outlineLevel="0" collapsed="false">
      <c r="A29" s="1132" t="s">
        <v>636</v>
      </c>
      <c r="B29" s="1134" t="n">
        <f aca="true">OFFSET('☆掛負収入'!$D$22,$AP$4*$AP8,0,1,1)+OFFSET('☆掛負収入'!$E$22,$AP$4*$AP8,0,1,1)+OFFSET('☆掛負収入'!$F$22,$AP$4*$AP8,0,1,1)</f>
        <v>1037738340</v>
      </c>
      <c r="C29" s="1134" t="n">
        <f aca="true">OFFSET('☆掛負収入'!$D$53,$AP$4*$AP8,0,1,1)+OFFSET('☆掛負収入'!$E$53,$AP$4*$AP8,0,1,1)+OFFSET('☆掛負収入'!$F$53,$AP$4*$AP8,0,1,1)+OFFSET('☆掛負収入'!$D$58,$AP$4*$AP8,0,1,1)+OFFSET('☆掛負収入'!$E$58,$AP$4*$AP8,0,1,1)+OFFSET('☆掛負収入'!$F$58,$AP$4*$AP8,0,1,1)</f>
        <v>345921428</v>
      </c>
      <c r="D29" s="1134" t="n">
        <f aca="true">OFFSET('☆掛負収入'!$D$63,$AP$4*$AP8,0,1,1)+OFFSET('☆掛負収入'!$E$63,$AP$4*$AP8,0,1,1)+OFFSET('☆掛負収入'!$F$63,$AP$4*$AP8,0,1,1)</f>
        <v>83754</v>
      </c>
      <c r="E29" s="1133" t="n">
        <f aca="false">SUM(B29:D29)</f>
        <v>1383743522</v>
      </c>
      <c r="G29" s="1132" t="s">
        <v>636</v>
      </c>
      <c r="H29" s="1134" t="n">
        <f aca="true">OFFSET('☆掛負収入'!$I$22,$AP$4*$AP8,0,1,1)</f>
        <v>484135955</v>
      </c>
      <c r="I29" s="1134" t="n">
        <f aca="true">OFFSET('☆掛負収入'!$I$53,$AP$4*$AP8,0,1,1)</f>
        <v>138736379</v>
      </c>
      <c r="J29" s="1134" t="n">
        <f aca="true">OFFSET('☆掛負収入'!$I$63,$AP$4*$AP8,0,1,1)</f>
        <v>57412</v>
      </c>
      <c r="K29" s="1133" t="n">
        <f aca="false">SUM(H29:J29)</f>
        <v>622929746</v>
      </c>
      <c r="M29" s="1132" t="s">
        <v>636</v>
      </c>
      <c r="N29" s="1134" t="n">
        <f aca="true">OFFSET('☆掛負収入'!$L$22,$AP$4*$AP8,0,1,1)</f>
        <v>45259790</v>
      </c>
      <c r="O29" s="1134" t="n">
        <f aca="true">OFFSET('☆掛負収入'!$L$53,$AP$4*$AP8,0,1,1)</f>
        <v>13093701</v>
      </c>
      <c r="P29" s="1134" t="n">
        <f aca="true">OFFSET('☆掛負収入'!$L$63,$AP$4*$AP8,0,1,1)</f>
        <v>4763</v>
      </c>
      <c r="Q29" s="1133" t="n">
        <f aca="false">SUM(N29:P29)</f>
        <v>58358254</v>
      </c>
      <c r="S29" s="1132" t="s">
        <v>636</v>
      </c>
      <c r="T29" s="1134" t="n">
        <f aca="true">OFFSET('☆掛負収入'!$O$22,$AP$4*$AP8,0,1,1)</f>
        <v>10552642</v>
      </c>
      <c r="U29" s="1134" t="n">
        <f aca="true">OFFSET('☆掛負収入'!$O$53,$AP$4*$AP8,0,1,1)</f>
        <v>3071378</v>
      </c>
      <c r="V29" s="1134" t="n">
        <f aca="true">OFFSET('☆掛負収入'!$O$63,$AP$4*$AP8,0,1,1)</f>
        <v>1271</v>
      </c>
      <c r="W29" s="1133" t="n">
        <f aca="false">SUM(T29:V29)</f>
        <v>13625291</v>
      </c>
      <c r="Y29" s="1132" t="s">
        <v>636</v>
      </c>
      <c r="Z29" s="1134" t="n">
        <f aca="true">OFFSET('☆掛負収入'!$H$65,$AP$4*$AP8,0,1,1)</f>
        <v>614527425</v>
      </c>
      <c r="AA29" s="1134" t="n">
        <f aca="true">OFFSET('☆掛負収入'!$I$65,$AP$4*$AP8,0,1,1)</f>
        <v>622929746</v>
      </c>
      <c r="AB29" s="1133" t="n">
        <f aca="false">SUM(Z29:AA29)</f>
        <v>1237457171</v>
      </c>
      <c r="AC29" s="1138" t="n">
        <f aca="true">OFFSET('☆掛負収入'!$J$65,$AP$4*$AP8,0,1,1)</f>
        <v>1237457171</v>
      </c>
      <c r="AD29" s="1147" t="str">
        <f aca="false">IF(AB29=AC29,"○","×")</f>
        <v>○</v>
      </c>
      <c r="AE29" s="1163"/>
      <c r="AF29" s="1132" t="s">
        <v>636</v>
      </c>
      <c r="AG29" s="1134" t="n">
        <f aca="true">OFFSET('☆掛負収入'!$K$65,$AP$4*$AP8,0,1,1)</f>
        <v>58354858</v>
      </c>
      <c r="AH29" s="1134" t="n">
        <f aca="true">OFFSET('☆掛負収入'!$L$65,$AP$4*$AP8,0,1,1)</f>
        <v>58358254</v>
      </c>
      <c r="AI29" s="1133" t="n">
        <f aca="false">SUM(AG29:AH29)</f>
        <v>116713112</v>
      </c>
      <c r="AJ29" s="1138" t="n">
        <f aca="true">OFFSET('☆掛負収入'!$M$65,$AP$4*$AP8,0,1,1)</f>
        <v>116713112</v>
      </c>
      <c r="AK29" s="1147" t="str">
        <f aca="false">IF(AI29=AJ29,"○","×")</f>
        <v>○</v>
      </c>
      <c r="AL29" s="1147"/>
      <c r="AM29" s="1132" t="s">
        <v>636</v>
      </c>
      <c r="AN29" s="1134" t="n">
        <f aca="true">OFFSET('☆掛負収入'!$N$65,$AP$4*$AP8,0,1,1)</f>
        <v>13618708</v>
      </c>
      <c r="AO29" s="1134" t="n">
        <f aca="true">OFFSET('☆掛負収入'!$O$65,$AP$4*$AP8,0,1,1)</f>
        <v>13625291</v>
      </c>
      <c r="AP29" s="1133" t="n">
        <f aca="false">SUM(AN29:AO29)</f>
        <v>27243999</v>
      </c>
      <c r="AQ29" s="1138" t="n">
        <f aca="true">OFFSET('☆掛負収入'!$P$65,$AP$4*$AP8,0,1,1)</f>
        <v>27243999</v>
      </c>
      <c r="AR29" s="1147" t="str">
        <f aca="false">IF(AP29=AQ29,"○","×")</f>
        <v>○</v>
      </c>
    </row>
    <row r="30" customFormat="false" ht="24.75" hidden="false" customHeight="true" outlineLevel="0" collapsed="false">
      <c r="A30" s="1132" t="s">
        <v>562</v>
      </c>
      <c r="B30" s="1134" t="n">
        <f aca="true">OFFSET('☆掛負収入'!$D$22,$AP$4*$AP9,0,1,1)+OFFSET('☆掛負収入'!$E$22,$AP$4*$AP9,0,1,1)+OFFSET('☆掛負収入'!$F$22,$AP$4*$AP9,0,1,1)</f>
        <v>558907429</v>
      </c>
      <c r="C30" s="1134" t="n">
        <f aca="true">OFFSET('☆掛負収入'!$D$53,$AP$4*$AP9,0,1,1)+OFFSET('☆掛負収入'!$E$53,$AP$4*$AP9,0,1,1)+OFFSET('☆掛負収入'!$F$53,$AP$4*$AP9,0,1,1)+OFFSET('☆掛負収入'!$D$58,$AP$4*$AP9,0,1,1)+OFFSET('☆掛負収入'!$E$58,$AP$4*$AP9,0,1,1)+OFFSET('☆掛負収入'!$F$58,$AP$4*$AP9,0,1,1)</f>
        <v>206650476</v>
      </c>
      <c r="D30" s="1134" t="n">
        <f aca="true">OFFSET('☆掛負収入'!$D$63,$AP$4*$AP9,0,1,1)+OFFSET('☆掛負収入'!$E$63,$AP$4*$AP9,0,1,1)+OFFSET('☆掛負収入'!$F$63,$AP$4*$AP9,0,1,1)</f>
        <v>61380</v>
      </c>
      <c r="E30" s="1133" t="n">
        <f aca="false">SUM(B30:D30)</f>
        <v>765619285</v>
      </c>
      <c r="G30" s="1132" t="s">
        <v>562</v>
      </c>
      <c r="H30" s="1134" t="n">
        <f aca="true">OFFSET('☆掛負収入'!$I$22,$AP$4*$AP9,0,1,1)</f>
        <v>259918246</v>
      </c>
      <c r="I30" s="1134" t="n">
        <f aca="true">OFFSET('☆掛負収入'!$I$53,$AP$4*$AP9,0,1,1)</f>
        <v>100250924</v>
      </c>
      <c r="J30" s="1134" t="n">
        <f aca="true">OFFSET('☆掛負収入'!$I$63,$AP$4*$AP9,0,1,1)</f>
        <v>46461</v>
      </c>
      <c r="K30" s="1133" t="n">
        <f aca="false">SUM(H30:J30)</f>
        <v>360215631</v>
      </c>
      <c r="M30" s="1132" t="s">
        <v>562</v>
      </c>
      <c r="N30" s="1134" t="n">
        <f aca="true">OFFSET('☆掛負収入'!$L$22,$AP$4*$AP9,0,1,1)</f>
        <v>23286233</v>
      </c>
      <c r="O30" s="1134" t="n">
        <f aca="true">OFFSET('☆掛負収入'!$L$53,$AP$4*$AP9,0,1,1)</f>
        <v>8665162</v>
      </c>
      <c r="P30" s="1134" t="n">
        <f aca="true">OFFSET('☆掛負収入'!$L$63,$AP$4*$AP9,0,1,1)</f>
        <v>4898</v>
      </c>
      <c r="Q30" s="1133" t="n">
        <f aca="false">SUM(N30:P30)</f>
        <v>31956293</v>
      </c>
      <c r="S30" s="1132" t="s">
        <v>562</v>
      </c>
      <c r="T30" s="1134" t="n">
        <f aca="true">OFFSET('☆掛負収入'!$O$22,$AP$4*$AP9,0,1,1)</f>
        <v>5663754</v>
      </c>
      <c r="U30" s="1134" t="n">
        <f aca="true">OFFSET('☆掛負収入'!$O$53,$AP$4*$AP9,0,1,1)</f>
        <v>2219724</v>
      </c>
      <c r="V30" s="1134" t="n">
        <f aca="true">OFFSET('☆掛負収入'!$O$63,$AP$4*$AP9,0,1,1)</f>
        <v>1058</v>
      </c>
      <c r="W30" s="1133" t="n">
        <f aca="false">SUM(T30:V30)</f>
        <v>7884536</v>
      </c>
      <c r="Y30" s="1132" t="s">
        <v>562</v>
      </c>
      <c r="Z30" s="1134" t="n">
        <f aca="true">OFFSET('☆掛負収入'!$H$65,$AP$4*$AP9,0,1,1)</f>
        <v>358060395</v>
      </c>
      <c r="AA30" s="1134" t="n">
        <f aca="true">OFFSET('☆掛負収入'!$I$65,$AP$4*$AP9,0,1,1)</f>
        <v>360215631</v>
      </c>
      <c r="AB30" s="1133" t="n">
        <f aca="false">SUM(Z30:AA30)</f>
        <v>718276026</v>
      </c>
      <c r="AC30" s="1138" t="n">
        <f aca="true">OFFSET('☆掛負収入'!$J$65,$AP$4*$AP9,0,1,1)</f>
        <v>718276026</v>
      </c>
      <c r="AD30" s="1147" t="str">
        <f aca="false">IF(AB30=AC30,"○","×")</f>
        <v>○</v>
      </c>
      <c r="AE30" s="1163"/>
      <c r="AF30" s="1132" t="s">
        <v>562</v>
      </c>
      <c r="AG30" s="1134" t="n">
        <f aca="true">OFFSET('☆掛負収入'!$K$65,$AP$4*$AP9,0,1,1)</f>
        <v>32095024</v>
      </c>
      <c r="AH30" s="1134" t="n">
        <f aca="true">OFFSET('☆掛負収入'!$L$65,$AP$4*$AP9,0,1,1)</f>
        <v>31956293</v>
      </c>
      <c r="AI30" s="1133" t="n">
        <f aca="false">SUM(AG30:AH30)</f>
        <v>64051317</v>
      </c>
      <c r="AJ30" s="1138" t="n">
        <f aca="true">OFFSET('☆掛負収入'!$M$65,$AP$4*$AP9,0,1,1)</f>
        <v>64051317</v>
      </c>
      <c r="AK30" s="1147" t="str">
        <f aca="false">IF(AI30=AJ30,"○","×")</f>
        <v>○</v>
      </c>
      <c r="AL30" s="1147"/>
      <c r="AM30" s="1132" t="s">
        <v>562</v>
      </c>
      <c r="AN30" s="1134" t="n">
        <f aca="true">OFFSET('☆掛負収入'!$N$65,$AP$4*$AP9,0,1,1)</f>
        <v>7938327</v>
      </c>
      <c r="AO30" s="1134" t="n">
        <f aca="true">OFFSET('☆掛負収入'!$O$65,$AP$4*$AP9,0,1,1)</f>
        <v>7884536</v>
      </c>
      <c r="AP30" s="1133" t="n">
        <f aca="false">SUM(AN30:AO30)</f>
        <v>15822863</v>
      </c>
      <c r="AQ30" s="1138" t="n">
        <f aca="true">OFFSET('☆掛負収入'!$P$65,$AP$4*$AP9,0,1,1)</f>
        <v>15822863</v>
      </c>
      <c r="AR30" s="1147" t="str">
        <f aca="false">IF(AP30=AQ30,"○","×")</f>
        <v>○</v>
      </c>
    </row>
    <row r="31" customFormat="false" ht="24.75" hidden="false" customHeight="true" outlineLevel="0" collapsed="false">
      <c r="A31" s="1132" t="s">
        <v>563</v>
      </c>
      <c r="B31" s="1134" t="n">
        <f aca="true">OFFSET('☆掛負収入'!$D$22,$AP$4*$AP10,0,1,1)+OFFSET('☆掛負収入'!$E$22,$AP$4*$AP10,0,1,1)+OFFSET('☆掛負収入'!$F$22,$AP$4*$AP10,0,1,1)</f>
        <v>551739310</v>
      </c>
      <c r="C31" s="1134" t="n">
        <f aca="true">OFFSET('☆掛負収入'!$D$53,$AP$4*$AP10,0,1,1)+OFFSET('☆掛負収入'!$E$53,$AP$4*$AP10,0,1,1)+OFFSET('☆掛負収入'!$F$53,$AP$4*$AP10,0,1,1)+OFFSET('☆掛負収入'!$D$58,$AP$4*$AP10,0,1,1)+OFFSET('☆掛負収入'!$E$58,$AP$4*$AP10,0,1,1)+OFFSET('☆掛負収入'!$F$58,$AP$4*$AP10,0,1,1)</f>
        <v>205109610</v>
      </c>
      <c r="D31" s="1134" t="n">
        <f aca="true">OFFSET('☆掛負収入'!$D$63,$AP$4*$AP10,0,1,1)+OFFSET('☆掛負収入'!$E$63,$AP$4*$AP10,0,1,1)+OFFSET('☆掛負収入'!$F$63,$AP$4*$AP10,0,1,1)</f>
        <v>61380</v>
      </c>
      <c r="E31" s="1133" t="n">
        <f aca="false">SUM(B31:D31)</f>
        <v>756910300</v>
      </c>
      <c r="G31" s="1132" t="s">
        <v>563</v>
      </c>
      <c r="H31" s="1134" t="n">
        <f aca="true">OFFSET('☆掛負収入'!$I$22,$AP$4*$AP10,0,1,1)</f>
        <v>256963304</v>
      </c>
      <c r="I31" s="1134" t="n">
        <f aca="true">OFFSET('☆掛負収入'!$I$53,$AP$4*$AP10,0,1,1)</f>
        <v>99740007</v>
      </c>
      <c r="J31" s="1134" t="n">
        <f aca="true">OFFSET('☆掛負収入'!$I$63,$AP$4*$AP10,0,1,1)</f>
        <v>47757</v>
      </c>
      <c r="K31" s="1133" t="n">
        <f aca="false">SUM(H31:J31)</f>
        <v>356751068</v>
      </c>
      <c r="M31" s="1132" t="s">
        <v>563</v>
      </c>
      <c r="N31" s="1134" t="n">
        <f aca="true">OFFSET('☆掛負収入'!$L$22,$AP$4*$AP10,0,1,1)</f>
        <v>23182592</v>
      </c>
      <c r="O31" s="1134" t="n">
        <f aca="true">OFFSET('☆掛負収入'!$L$53,$AP$4*$AP10,0,1,1)</f>
        <v>8680328</v>
      </c>
      <c r="P31" s="1134" t="n">
        <f aca="true">OFFSET('☆掛負収入'!$L$63,$AP$4*$AP10,0,1,1)</f>
        <v>4898</v>
      </c>
      <c r="Q31" s="1133" t="n">
        <f aca="false">SUM(N31:P31)</f>
        <v>31867818</v>
      </c>
      <c r="S31" s="1132" t="s">
        <v>563</v>
      </c>
      <c r="T31" s="1134" t="n">
        <f aca="true">OFFSET('☆掛負収入'!$O$22,$AP$4*$AP10,0,1,1)</f>
        <v>5598913</v>
      </c>
      <c r="U31" s="1134" t="n">
        <f aca="true">OFFSET('☆掛負収入'!$O$53,$AP$4*$AP10,0,1,1)</f>
        <v>2209791</v>
      </c>
      <c r="V31" s="1134" t="n">
        <f aca="true">OFFSET('☆掛負収入'!$O$63,$AP$4*$AP10,0,1,1)</f>
        <v>1058</v>
      </c>
      <c r="W31" s="1133" t="n">
        <f aca="false">SUM(T31:V31)</f>
        <v>7809762</v>
      </c>
      <c r="Y31" s="1132" t="s">
        <v>563</v>
      </c>
      <c r="Z31" s="1134" t="n">
        <f aca="true">OFFSET('☆掛負収入'!$H$65,$AP$4*$AP10,0,1,1)</f>
        <v>355794712</v>
      </c>
      <c r="AA31" s="1134" t="n">
        <f aca="true">OFFSET('☆掛負収入'!$I$65,$AP$4*$AP10,0,1,1)</f>
        <v>356751068</v>
      </c>
      <c r="AB31" s="1133" t="n">
        <f aca="false">SUM(Z31:AA31)</f>
        <v>712545780</v>
      </c>
      <c r="AC31" s="1138" t="n">
        <f aca="true">OFFSET('☆掛負収入'!$J$65,$AP$4*$AP10,0,1,1)</f>
        <v>712545780</v>
      </c>
      <c r="AD31" s="1147" t="str">
        <f aca="false">IF(AB31=AC31,"○","×")</f>
        <v>○</v>
      </c>
      <c r="AE31" s="1163"/>
      <c r="AF31" s="1132" t="s">
        <v>563</v>
      </c>
      <c r="AG31" s="1134" t="n">
        <f aca="true">OFFSET('☆掛負収入'!$K$65,$AP$4*$AP10,0,1,1)</f>
        <v>31956930</v>
      </c>
      <c r="AH31" s="1134" t="n">
        <f aca="true">OFFSET('☆掛負収入'!$L$65,$AP$4*$AP10,0,1,1)</f>
        <v>31867818</v>
      </c>
      <c r="AI31" s="1133" t="n">
        <f aca="false">SUM(AG31:AH31)</f>
        <v>63824748</v>
      </c>
      <c r="AJ31" s="1138" t="n">
        <f aca="true">OFFSET('☆掛負収入'!$M$65,$AP$4*$AP10,0,1,1)</f>
        <v>63824748</v>
      </c>
      <c r="AK31" s="1147" t="str">
        <f aca="false">IF(AI31=AJ31,"○","×")</f>
        <v>○</v>
      </c>
      <c r="AL31" s="1147"/>
      <c r="AM31" s="1132" t="s">
        <v>563</v>
      </c>
      <c r="AN31" s="1134" t="n">
        <f aca="true">OFFSET('☆掛負収入'!$N$65,$AP$4*$AP10,0,1,1)</f>
        <v>7887647</v>
      </c>
      <c r="AO31" s="1134" t="n">
        <f aca="true">OFFSET('☆掛負収入'!$O$65,$AP$4*$AP10,0,1,1)</f>
        <v>7809762</v>
      </c>
      <c r="AP31" s="1133" t="n">
        <f aca="false">SUM(AN31:AO31)</f>
        <v>15697409</v>
      </c>
      <c r="AQ31" s="1138" t="n">
        <f aca="true">OFFSET('☆掛負収入'!$P$65,$AP$4*$AP10,0,1,1)</f>
        <v>15697409</v>
      </c>
      <c r="AR31" s="1147" t="str">
        <f aca="false">IF(AP31=AQ31,"○","×")</f>
        <v>○</v>
      </c>
    </row>
    <row r="32" customFormat="false" ht="24.75" hidden="false" customHeight="true" outlineLevel="0" collapsed="false">
      <c r="A32" s="1132" t="s">
        <v>564</v>
      </c>
      <c r="B32" s="1134" t="n">
        <f aca="true">OFFSET('☆掛負収入'!$D$22,$AP$4*$AP11,0,1,1)+OFFSET('☆掛負収入'!$E$22,$AP$4*$AP11,0,1,1)+OFFSET('☆掛負収入'!$F$22,$AP$4*$AP11,0,1,1)</f>
        <v>561651832</v>
      </c>
      <c r="C32" s="1134" t="n">
        <f aca="true">OFFSET('☆掛負収入'!$D$53,$AP$4*$AP11,0,1,1)+OFFSET('☆掛負収入'!$E$53,$AP$4*$AP11,0,1,1)+OFFSET('☆掛負収入'!$F$53,$AP$4*$AP11,0,1,1)+OFFSET('☆掛負収入'!$D$58,$AP$4*$AP11,0,1,1)+OFFSET('☆掛負収入'!$E$58,$AP$4*$AP11,0,1,1)+OFFSET('☆掛負収入'!$F$58,$AP$4*$AP11,0,1,1)</f>
        <v>207620668</v>
      </c>
      <c r="D32" s="1134" t="n">
        <f aca="true">OFFSET('☆掛負収入'!$D$63,$AP$4*$AP11,0,1,1)+OFFSET('☆掛負収入'!$E$63,$AP$4*$AP11,0,1,1)+OFFSET('☆掛負収入'!$F$63,$AP$4*$AP11,0,1,1)</f>
        <v>65340</v>
      </c>
      <c r="E32" s="1133" t="n">
        <f aca="false">SUM(B32:D32)</f>
        <v>769337840</v>
      </c>
      <c r="G32" s="1132" t="s">
        <v>564</v>
      </c>
      <c r="H32" s="1134" t="n">
        <f aca="true">OFFSET('☆掛負収入'!$I$22,$AP$4*$AP11,0,1,1)</f>
        <v>260594408</v>
      </c>
      <c r="I32" s="1134" t="n">
        <f aca="true">OFFSET('☆掛負収入'!$I$53,$AP$4*$AP11,0,1,1)</f>
        <v>99494586</v>
      </c>
      <c r="J32" s="1134" t="n">
        <f aca="true">OFFSET('☆掛負収入'!$I$63,$AP$4*$AP11,0,1,1)</f>
        <v>49833</v>
      </c>
      <c r="K32" s="1133" t="n">
        <f aca="false">SUM(H32:J32)</f>
        <v>360138827</v>
      </c>
      <c r="M32" s="1132" t="s">
        <v>564</v>
      </c>
      <c r="N32" s="1134" t="n">
        <f aca="true">OFFSET('☆掛負収入'!$L$22,$AP$4*$AP11,0,1,1)</f>
        <v>23594250</v>
      </c>
      <c r="O32" s="1134" t="n">
        <f aca="true">OFFSET('☆掛負収入'!$L$53,$AP$4*$AP11,0,1,1)</f>
        <v>8693571</v>
      </c>
      <c r="P32" s="1134" t="n">
        <f aca="true">OFFSET('☆掛負収入'!$L$63,$AP$4*$AP11,0,1,1)</f>
        <v>5056</v>
      </c>
      <c r="Q32" s="1133" t="n">
        <f aca="false">SUM(N32:P32)</f>
        <v>32292877</v>
      </c>
      <c r="S32" s="1132" t="s">
        <v>564</v>
      </c>
      <c r="T32" s="1134" t="n">
        <f aca="true">OFFSET('☆掛負収入'!$O$22,$AP$4*$AP11,0,1,1)</f>
        <v>5678302</v>
      </c>
      <c r="U32" s="1134" t="n">
        <f aca="true">OFFSET('☆掛負収入'!$O$53,$AP$4*$AP11,0,1,1)</f>
        <v>2203048</v>
      </c>
      <c r="V32" s="1134" t="n">
        <f aca="true">OFFSET('☆掛負収入'!$O$63,$AP$4*$AP11,0,1,1)</f>
        <v>1104</v>
      </c>
      <c r="W32" s="1133" t="n">
        <f aca="false">SUM(T32:V32)</f>
        <v>7882454</v>
      </c>
      <c r="Y32" s="1132" t="s">
        <v>564</v>
      </c>
      <c r="Z32" s="1134" t="n">
        <f aca="true">OFFSET('☆掛負収入'!$H$65,$AP$4*$AP11,0,1,1)</f>
        <v>362597062</v>
      </c>
      <c r="AA32" s="1134" t="n">
        <f aca="true">OFFSET('☆掛負収入'!$I$65,$AP$4*$AP11,0,1,1)</f>
        <v>360138827</v>
      </c>
      <c r="AB32" s="1133" t="n">
        <f aca="false">SUM(Z32:AA32)</f>
        <v>722735889</v>
      </c>
      <c r="AC32" s="1138" t="n">
        <f aca="true">OFFSET('☆掛負収入'!$J$65,$AP$4*$AP11,0,1,1)</f>
        <v>722735889</v>
      </c>
      <c r="AD32" s="1147" t="str">
        <f aca="false">IF(AB32=AC32,"○","×")</f>
        <v>○</v>
      </c>
      <c r="AE32" s="1163"/>
      <c r="AF32" s="1132" t="s">
        <v>564</v>
      </c>
      <c r="AG32" s="1134" t="n">
        <f aca="true">OFFSET('☆掛負収入'!$K$65,$AP$4*$AP11,0,1,1)</f>
        <v>32643398</v>
      </c>
      <c r="AH32" s="1134" t="n">
        <f aca="true">OFFSET('☆掛負収入'!$L$65,$AP$4*$AP11,0,1,1)</f>
        <v>32292877</v>
      </c>
      <c r="AI32" s="1133" t="n">
        <f aca="false">SUM(AG32:AH32)</f>
        <v>64936275</v>
      </c>
      <c r="AJ32" s="1138" t="n">
        <f aca="true">OFFSET('☆掛負収入'!$M$65,$AP$4*$AP11,0,1,1)</f>
        <v>64936275</v>
      </c>
      <c r="AK32" s="1147" t="str">
        <f aca="false">IF(AI32=AJ32,"○","×")</f>
        <v>○</v>
      </c>
      <c r="AL32" s="1147"/>
      <c r="AM32" s="1132" t="s">
        <v>564</v>
      </c>
      <c r="AN32" s="1134" t="n">
        <f aca="true">OFFSET('☆掛負収入'!$N$65,$AP$4*$AP11,0,1,1)</f>
        <v>8035595</v>
      </c>
      <c r="AO32" s="1134" t="n">
        <f aca="true">OFFSET('☆掛負収入'!$O$65,$AP$4*$AP11,0,1,1)</f>
        <v>7882454</v>
      </c>
      <c r="AP32" s="1133" t="n">
        <f aca="false">SUM(AN32:AO32)</f>
        <v>15918049</v>
      </c>
      <c r="AQ32" s="1138" t="n">
        <f aca="true">OFFSET('☆掛負収入'!$P$65,$AP$4*$AP11,0,1,1)</f>
        <v>15918049</v>
      </c>
      <c r="AR32" s="1147" t="str">
        <f aca="false">IF(AP32=AQ32,"○","×")</f>
        <v>○</v>
      </c>
    </row>
    <row r="33" customFormat="false" ht="24.75" hidden="false" customHeight="true" outlineLevel="0" collapsed="false">
      <c r="A33" s="1132" t="s">
        <v>565</v>
      </c>
      <c r="B33" s="1134" t="n">
        <f aca="true">OFFSET('☆掛負収入'!$D$22,$AP$4*$AP12,0,1,1)+OFFSET('☆掛負収入'!$E$22,$AP$4*$AP12,0,1,1)+OFFSET('☆掛負収入'!$F$22,$AP$4*$AP12,0,1,1)</f>
        <v>545843758</v>
      </c>
      <c r="C33" s="1134" t="n">
        <f aca="true">OFFSET('☆掛負収入'!$D$53,$AP$4*$AP12,0,1,1)+OFFSET('☆掛負収入'!$E$53,$AP$4*$AP12,0,1,1)+OFFSET('☆掛負収入'!$F$53,$AP$4*$AP12,0,1,1)+OFFSET('☆掛負収入'!$D$58,$AP$4*$AP12,0,1,1)+OFFSET('☆掛負収入'!$E$58,$AP$4*$AP12,0,1,1)+OFFSET('☆掛負収入'!$F$58,$AP$4*$AP12,0,1,1)</f>
        <v>203987194</v>
      </c>
      <c r="D33" s="1134" t="n">
        <f aca="true">OFFSET('☆掛負収入'!$D$63,$AP$4*$AP12,0,1,1)+OFFSET('☆掛負収入'!$E$63,$AP$4*$AP12,0,1,1)+OFFSET('☆掛負収入'!$F$63,$AP$4*$AP12,0,1,1)</f>
        <v>63360</v>
      </c>
      <c r="E33" s="1133" t="n">
        <f aca="false">SUM(B33:D33)</f>
        <v>749894312</v>
      </c>
      <c r="G33" s="1132" t="s">
        <v>565</v>
      </c>
      <c r="H33" s="1134" t="n">
        <f aca="true">OFFSET('☆掛負収入'!$I$22,$AP$4*$AP12,0,1,1)</f>
        <v>267894581</v>
      </c>
      <c r="I33" s="1134" t="n">
        <f aca="true">OFFSET('☆掛負収入'!$I$53,$AP$4*$AP12,0,1,1)</f>
        <v>102305115</v>
      </c>
      <c r="J33" s="1134" t="n">
        <f aca="true">OFFSET('☆掛負収入'!$I$63,$AP$4*$AP12,0,1,1)</f>
        <v>49819</v>
      </c>
      <c r="K33" s="1133" t="n">
        <f aca="false">SUM(H33:J33)</f>
        <v>370249515</v>
      </c>
      <c r="M33" s="1132" t="s">
        <v>565</v>
      </c>
      <c r="N33" s="1134" t="n">
        <f aca="true">OFFSET('☆掛負収入'!$L$22,$AP$4*$AP12,0,1,1)</f>
        <v>22725391</v>
      </c>
      <c r="O33" s="1134" t="n">
        <f aca="true">OFFSET('☆掛負収入'!$L$53,$AP$4*$AP12,0,1,1)</f>
        <v>8377685</v>
      </c>
      <c r="P33" s="1134" t="n">
        <f aca="true">OFFSET('☆掛負収入'!$L$63,$AP$4*$AP12,0,1,1)</f>
        <v>4898</v>
      </c>
      <c r="Q33" s="1133" t="n">
        <f aca="false">SUM(N33:P33)</f>
        <v>31107974</v>
      </c>
      <c r="S33" s="1132" t="s">
        <v>565</v>
      </c>
      <c r="T33" s="1134" t="n">
        <f aca="true">OFFSET('☆掛負収入'!$O$22,$AP$4*$AP12,0,1,1)</f>
        <v>12</v>
      </c>
      <c r="U33" s="1134" t="n">
        <f aca="true">OFFSET('☆掛負収入'!$O$53,$AP$4*$AP12,0,1,1)</f>
        <v>7652</v>
      </c>
      <c r="V33" s="1134" t="n">
        <f aca="true">OFFSET('☆掛負収入'!$O$63,$AP$4*$AP12,0,1,1)</f>
        <v>714</v>
      </c>
      <c r="W33" s="1133" t="n">
        <f aca="false">SUM(T33:V33)</f>
        <v>8378</v>
      </c>
      <c r="Y33" s="1132" t="s">
        <v>565</v>
      </c>
      <c r="Z33" s="1134" t="n">
        <f aca="true">OFFSET('☆掛負収入'!$H$65,$AP$4*$AP12,0,1,1)</f>
        <v>367864881</v>
      </c>
      <c r="AA33" s="1134" t="n">
        <f aca="true">OFFSET('☆掛負収入'!$I$65,$AP$4*$AP12,0,1,1)</f>
        <v>370249515</v>
      </c>
      <c r="AB33" s="1133" t="n">
        <f aca="false">SUM(Z33:AA33)</f>
        <v>738114396</v>
      </c>
      <c r="AC33" s="1138" t="n">
        <f aca="true">OFFSET('☆掛負収入'!$J$65,$AP$4*$AP12,0,1,1)</f>
        <v>738114396</v>
      </c>
      <c r="AD33" s="1147" t="str">
        <f aca="false">IF(AB33=AC33,"○","×")</f>
        <v>○</v>
      </c>
      <c r="AE33" s="1163"/>
      <c r="AF33" s="1132" t="s">
        <v>565</v>
      </c>
      <c r="AG33" s="1134" t="n">
        <f aca="true">OFFSET('☆掛負収入'!$K$65,$AP$4*$AP12,0,1,1)</f>
        <v>31229592</v>
      </c>
      <c r="AH33" s="1134" t="n">
        <f aca="true">OFFSET('☆掛負収入'!$L$65,$AP$4*$AP12,0,1,1)</f>
        <v>31107974</v>
      </c>
      <c r="AI33" s="1133" t="n">
        <f aca="false">SUM(AG33:AH33)</f>
        <v>62337566</v>
      </c>
      <c r="AJ33" s="1138" t="n">
        <f aca="true">OFFSET('☆掛負収入'!$M$65,$AP$4*$AP12,0,1,1)</f>
        <v>62337566</v>
      </c>
      <c r="AK33" s="1147" t="str">
        <f aca="false">IF(AI33=AJ33,"○","×")</f>
        <v>○</v>
      </c>
      <c r="AL33" s="1147"/>
      <c r="AM33" s="1132" t="s">
        <v>565</v>
      </c>
      <c r="AN33" s="1134" t="n">
        <f aca="true">OFFSET('☆掛負収入'!$N$65,$AP$4*$AP12,0,1,1)</f>
        <v>8366</v>
      </c>
      <c r="AO33" s="1134" t="n">
        <f aca="true">OFFSET('☆掛負収入'!$O$65,$AP$4*$AP12,0,1,1)</f>
        <v>8378</v>
      </c>
      <c r="AP33" s="1133" t="n">
        <f aca="false">SUM(AN33:AO33)</f>
        <v>16744</v>
      </c>
      <c r="AQ33" s="1138" t="n">
        <f aca="true">OFFSET('☆掛負収入'!$P$65,$AP$4*$AP12,0,1,1)</f>
        <v>16744</v>
      </c>
      <c r="AR33" s="1147" t="str">
        <f aca="false">IF(AP33=AQ33,"○","×")</f>
        <v>○</v>
      </c>
    </row>
    <row r="34" customFormat="false" ht="24.75" hidden="false" customHeight="true" outlineLevel="0" collapsed="false">
      <c r="A34" s="1132" t="s">
        <v>566</v>
      </c>
      <c r="B34" s="1134" t="n">
        <f aca="true">OFFSET('☆掛負収入'!$D$22,$AP$4*$AP13,0,1,1)+OFFSET('☆掛負収入'!$E$22,$AP$4*$AP13,0,1,1)+OFFSET('☆掛負収入'!$F$22,$AP$4*$AP13,0,1,1)</f>
        <v>544500659</v>
      </c>
      <c r="C34" s="1134" t="n">
        <f aca="true">OFFSET('☆掛負収入'!$D$53,$AP$4*$AP13,0,1,1)+OFFSET('☆掛負収入'!$E$53,$AP$4*$AP13,0,1,1)+OFFSET('☆掛負収入'!$F$53,$AP$4*$AP13,0,1,1)+OFFSET('☆掛負収入'!$D$58,$AP$4*$AP13,0,1,1)+OFFSET('☆掛負収入'!$E$58,$AP$4*$AP13,0,1,1)+OFFSET('☆掛負収入'!$F$58,$AP$4*$AP13,0,1,1)</f>
        <v>203391483</v>
      </c>
      <c r="D34" s="1134" t="n">
        <f aca="true">OFFSET('☆掛負収入'!$D$63,$AP$4*$AP13,0,1,1)+OFFSET('☆掛負収入'!$E$63,$AP$4*$AP13,0,1,1)+OFFSET('☆掛負収入'!$F$63,$AP$4*$AP13,0,1,1)</f>
        <v>57420</v>
      </c>
      <c r="E34" s="1133" t="n">
        <f aca="false">SUM(B34:D34)</f>
        <v>747949562</v>
      </c>
      <c r="G34" s="1132" t="s">
        <v>566</v>
      </c>
      <c r="H34" s="1134" t="n">
        <f aca="true">OFFSET('☆掛負収入'!$I$22,$AP$4*$AP13,0,1,1)</f>
        <v>267522197</v>
      </c>
      <c r="I34" s="1134" t="n">
        <f aca="true">OFFSET('☆掛負収入'!$I$53,$AP$4*$AP13,0,1,1)</f>
        <v>101993724</v>
      </c>
      <c r="J34" s="1134" t="n">
        <f aca="true">OFFSET('☆掛負収入'!$I$63,$AP$4*$AP13,0,1,1)</f>
        <v>48496</v>
      </c>
      <c r="K34" s="1133" t="n">
        <f aca="false">SUM(H34:J34)</f>
        <v>369564417</v>
      </c>
      <c r="M34" s="1132" t="s">
        <v>566</v>
      </c>
      <c r="N34" s="1134" t="n">
        <f aca="true">OFFSET('☆掛負収入'!$L$22,$AP$4*$AP13,0,1,1)</f>
        <v>22774384</v>
      </c>
      <c r="O34" s="1134" t="n">
        <f aca="true">OFFSET('☆掛負収入'!$L$53,$AP$4*$AP13,0,1,1)</f>
        <v>8379335</v>
      </c>
      <c r="P34" s="1134" t="n">
        <f aca="true">OFFSET('☆掛負収入'!$L$63,$AP$4*$AP13,0,1,1)</f>
        <v>4898</v>
      </c>
      <c r="Q34" s="1133" t="n">
        <f aca="false">SUM(N34:P34)</f>
        <v>31158617</v>
      </c>
      <c r="S34" s="1132" t="s">
        <v>566</v>
      </c>
      <c r="T34" s="1134" t="n">
        <f aca="true">OFFSET('☆掛負収入'!$O$22,$AP$4*$AP13,0,1,1)</f>
        <v>12</v>
      </c>
      <c r="U34" s="1134" t="n">
        <f aca="true">OFFSET('☆掛負収入'!$O$53,$AP$4*$AP13,0,1,1)</f>
        <v>24</v>
      </c>
      <c r="V34" s="1134" t="n">
        <f aca="true">OFFSET('☆掛負収入'!$O$63,$AP$4*$AP13,0,1,1)</f>
        <v>2</v>
      </c>
      <c r="W34" s="1133" t="n">
        <f aca="false">SUM(T34:V34)</f>
        <v>38</v>
      </c>
      <c r="Y34" s="1132" t="s">
        <v>566</v>
      </c>
      <c r="Z34" s="1134" t="n">
        <f aca="true">OFFSET('☆掛負収入'!$H$65,$AP$4*$AP13,0,1,1)</f>
        <v>366177202</v>
      </c>
      <c r="AA34" s="1134" t="n">
        <f aca="true">OFFSET('☆掛負収入'!$I$65,$AP$4*$AP13,0,1,1)</f>
        <v>369564417</v>
      </c>
      <c r="AB34" s="1133" t="n">
        <f aca="false">SUM(Z34:AA34)</f>
        <v>735741619</v>
      </c>
      <c r="AC34" s="1138" t="n">
        <f aca="true">OFFSET('☆掛負収入'!$J$65,$AP$4*$AP13,0,1,1)</f>
        <v>735741619</v>
      </c>
      <c r="AD34" s="1147" t="str">
        <f aca="false">IF(AB34=AC34,"○","×")</f>
        <v>○</v>
      </c>
      <c r="AE34" s="1163"/>
      <c r="AF34" s="1132" t="s">
        <v>566</v>
      </c>
      <c r="AG34" s="1134" t="n">
        <f aca="true">OFFSET('☆掛負収入'!$K$65,$AP$4*$AP13,0,1,1)</f>
        <v>31294719</v>
      </c>
      <c r="AH34" s="1134" t="n">
        <f aca="true">OFFSET('☆掛負収入'!$L$65,$AP$4*$AP13,0,1,1)</f>
        <v>31158617</v>
      </c>
      <c r="AI34" s="1133" t="n">
        <f aca="false">SUM(AG34:AH34)</f>
        <v>62453336</v>
      </c>
      <c r="AJ34" s="1138" t="n">
        <f aca="true">OFFSET('☆掛負収入'!$M$65,$AP$4*$AP13,0,1,1)</f>
        <v>62453336</v>
      </c>
      <c r="AK34" s="1147" t="str">
        <f aca="false">IF(AI34=AJ34,"○","×")</f>
        <v>○</v>
      </c>
      <c r="AL34" s="1147"/>
      <c r="AM34" s="1132" t="s">
        <v>566</v>
      </c>
      <c r="AN34" s="1134" t="n">
        <f aca="true">OFFSET('☆掛負収入'!$N$65,$AP$4*$AP13,0,1,1)</f>
        <v>27</v>
      </c>
      <c r="AO34" s="1134" t="n">
        <f aca="true">OFFSET('☆掛負収入'!$O$65,$AP$4*$AP13,0,1,1)</f>
        <v>38</v>
      </c>
      <c r="AP34" s="1133" t="n">
        <f aca="false">SUM(AN34:AO34)</f>
        <v>65</v>
      </c>
      <c r="AQ34" s="1138" t="n">
        <f aca="true">OFFSET('☆掛負収入'!$P$65,$AP$4*$AP13,0,1,1)</f>
        <v>65</v>
      </c>
      <c r="AR34" s="1147" t="str">
        <f aca="false">IF(AP34=AQ34,"○","×")</f>
        <v>○</v>
      </c>
    </row>
    <row r="35" customFormat="false" ht="24.75" hidden="false" customHeight="true" outlineLevel="0" collapsed="false">
      <c r="A35" s="1132" t="s">
        <v>637</v>
      </c>
      <c r="B35" s="1134" t="n">
        <f aca="true">OFFSET('☆掛負収入'!$D$22,$AP$4*$AP14,0,1,1)+OFFSET('☆掛負収入'!$E$22,$AP$4*$AP14,0,1,1)+OFFSET('☆掛負収入'!$F$22,$AP$4*$AP14,0,1,1)</f>
        <v>1005026956</v>
      </c>
      <c r="C35" s="1134" t="n">
        <f aca="true">OFFSET('☆掛負収入'!$D$53,$AP$4*$AP14,0,1,1)+OFFSET('☆掛負収入'!$E$53,$AP$4*$AP14,0,1,1)+OFFSET('☆掛負収入'!$F$53,$AP$4*$AP14,0,1,1)+OFFSET('☆掛負収入'!$D$58,$AP$4*$AP14,0,1,1)+OFFSET('☆掛負収入'!$E$58,$AP$4*$AP14,0,1,1)+OFFSET('☆掛負収入'!$F$58,$AP$4*$AP14,0,1,1)</f>
        <v>338329573</v>
      </c>
      <c r="D35" s="1134" t="n">
        <f aca="true">OFFSET('☆掛負収入'!$D$63,$AP$4*$AP14,0,1,1)+OFFSET('☆掛負収入'!$E$63,$AP$4*$AP14,0,1,1)+OFFSET('☆掛負収入'!$F$63,$AP$4*$AP14,0,1,1)</f>
        <v>76725</v>
      </c>
      <c r="E35" s="1133" t="n">
        <f aca="false">SUM(B35:D35)</f>
        <v>1343433254</v>
      </c>
      <c r="G35" s="1132" t="s">
        <v>637</v>
      </c>
      <c r="H35" s="1134" t="n">
        <f aca="true">OFFSET('☆掛負収入'!$I$22,$AP$4*$AP14,0,1,1)</f>
        <v>494576953</v>
      </c>
      <c r="I35" s="1134" t="n">
        <f aca="true">OFFSET('☆掛負収入'!$I$53,$AP$4*$AP14,0,1,1)</f>
        <v>142765014</v>
      </c>
      <c r="J35" s="1134" t="n">
        <f aca="true">OFFSET('☆掛負収入'!$I$63,$AP$4*$AP14,0,1,1)</f>
        <v>56817</v>
      </c>
      <c r="K35" s="1133" t="n">
        <f aca="false">SUM(H35:J35)</f>
        <v>637398784</v>
      </c>
      <c r="M35" s="1132" t="s">
        <v>637</v>
      </c>
      <c r="N35" s="1134" t="n">
        <f aca="true">OFFSET('☆掛負収入'!$L$22,$AP$4*$AP14,0,1,1)</f>
        <v>43552755</v>
      </c>
      <c r="O35" s="1134" t="n">
        <f aca="true">OFFSET('☆掛負収入'!$L$53,$AP$4*$AP14,0,1,1)</f>
        <v>12546258</v>
      </c>
      <c r="P35" s="1134" t="n">
        <f aca="true">OFFSET('☆掛負収入'!$L$63,$AP$4*$AP14,0,1,1)</f>
        <v>4431</v>
      </c>
      <c r="Q35" s="1133" t="n">
        <f aca="false">SUM(N35:P35)</f>
        <v>56103444</v>
      </c>
      <c r="S35" s="1132" t="s">
        <v>637</v>
      </c>
      <c r="T35" s="1134" t="n">
        <f aca="true">OFFSET('☆掛負収入'!$O$22,$AP$4*$AP14,0,1,1)</f>
        <v>12</v>
      </c>
      <c r="U35" s="1134" t="n">
        <f aca="true">OFFSET('☆掛負収入'!$O$53,$AP$4*$AP14,0,1,1)</f>
        <v>24</v>
      </c>
      <c r="V35" s="1134" t="n">
        <f aca="true">OFFSET('☆掛負収入'!$O$63,$AP$4*$AP14,0,1,1)</f>
        <v>2</v>
      </c>
      <c r="W35" s="1133" t="n">
        <f aca="false">SUM(T35:V35)</f>
        <v>38</v>
      </c>
      <c r="Y35" s="1132" t="s">
        <v>637</v>
      </c>
      <c r="Z35" s="1134" t="n">
        <f aca="true">OFFSET('☆掛負収入'!$H$65,$AP$4*$AP14,0,1,1)</f>
        <v>628299535</v>
      </c>
      <c r="AA35" s="1134" t="n">
        <f aca="true">OFFSET('☆掛負収入'!$I$65,$AP$4*$AP14,0,1,1)</f>
        <v>637398784</v>
      </c>
      <c r="AB35" s="1133" t="n">
        <f aca="false">SUM(Z35:AA35)</f>
        <v>1265698319</v>
      </c>
      <c r="AC35" s="1138" t="n">
        <f aca="true">OFFSET('☆掛負収入'!$J$65,$AP$4*$AP14,0,1,1)</f>
        <v>1265698319</v>
      </c>
      <c r="AD35" s="1147" t="str">
        <f aca="false">IF(AB35=AC35,"○","×")</f>
        <v>○</v>
      </c>
      <c r="AE35" s="1163"/>
      <c r="AF35" s="1132" t="s">
        <v>637</v>
      </c>
      <c r="AG35" s="1134" t="n">
        <f aca="true">OFFSET('☆掛負収入'!$K$65,$AP$4*$AP14,0,1,1)</f>
        <v>56098280</v>
      </c>
      <c r="AH35" s="1134" t="n">
        <f aca="true">OFFSET('☆掛負収入'!$L$65,$AP$4*$AP14,0,1,1)</f>
        <v>56103444</v>
      </c>
      <c r="AI35" s="1133" t="n">
        <f aca="false">SUM(AG35:AH35)</f>
        <v>112201724</v>
      </c>
      <c r="AJ35" s="1138" t="n">
        <f aca="true">OFFSET('☆掛負収入'!$M$65,$AP$4*$AP14,0,1,1)</f>
        <v>112201724</v>
      </c>
      <c r="AK35" s="1147" t="str">
        <f aca="false">IF(AI35=AJ35,"○","×")</f>
        <v>○</v>
      </c>
      <c r="AL35" s="1147"/>
      <c r="AM35" s="1132" t="s">
        <v>637</v>
      </c>
      <c r="AN35" s="1134" t="n">
        <f aca="true">OFFSET('☆掛負収入'!$N$65,$AP$4*$AP14,0,1,1)</f>
        <v>26</v>
      </c>
      <c r="AO35" s="1134" t="n">
        <f aca="true">OFFSET('☆掛負収入'!$O$65,$AP$4*$AP14,0,1,1)</f>
        <v>38</v>
      </c>
      <c r="AP35" s="1133" t="n">
        <f aca="false">SUM(AN35:AO35)</f>
        <v>64</v>
      </c>
      <c r="AQ35" s="1138" t="n">
        <f aca="true">OFFSET('☆掛負収入'!$P$65,$AP$4*$AP14,0,1,1)</f>
        <v>64</v>
      </c>
      <c r="AR35" s="1147" t="str">
        <f aca="false">IF(AP35=AQ35,"○","×")</f>
        <v>○</v>
      </c>
    </row>
    <row r="36" customFormat="false" ht="24.75" hidden="false" customHeight="true" outlineLevel="0" collapsed="false">
      <c r="A36" s="1132" t="s">
        <v>567</v>
      </c>
      <c r="B36" s="1134" t="n">
        <f aca="true">OFFSET('☆掛負収入'!$D$22,$AP$4*$AP15,0,1,1)+OFFSET('☆掛負収入'!$E$22,$AP$4*$AP15,0,1,1)+OFFSET('☆掛負収入'!$F$22,$AP$4*$AP15,0,1,1)</f>
        <v>544528584</v>
      </c>
      <c r="C36" s="1134" t="n">
        <f aca="true">OFFSET('☆掛負収入'!$D$53,$AP$4*$AP15,0,1,1)+OFFSET('☆掛負収入'!$E$53,$AP$4*$AP15,0,1,1)+OFFSET('☆掛負収入'!$F$53,$AP$4*$AP15,0,1,1)+OFFSET('☆掛負収入'!$D$58,$AP$4*$AP15,0,1,1)+OFFSET('☆掛負収入'!$E$58,$AP$4*$AP15,0,1,1)+OFFSET('☆掛負収入'!$F$58,$AP$4*$AP15,0,1,1)</f>
        <v>202979994</v>
      </c>
      <c r="D36" s="1134" t="n">
        <f aca="true">OFFSET('☆掛負収入'!$D$63,$AP$4*$AP15,0,1,1)+OFFSET('☆掛負収入'!$E$63,$AP$4*$AP15,0,1,1)+OFFSET('☆掛負収入'!$F$63,$AP$4*$AP15,0,1,1)</f>
        <v>57420</v>
      </c>
      <c r="E36" s="1133" t="n">
        <f aca="false">SUM(B36:D36)</f>
        <v>747565998</v>
      </c>
      <c r="G36" s="1132" t="s">
        <v>567</v>
      </c>
      <c r="H36" s="1134" t="n">
        <f aca="true">OFFSET('☆掛負収入'!$I$22,$AP$4*$AP15,0,1,1)</f>
        <v>267572029</v>
      </c>
      <c r="I36" s="1134" t="n">
        <f aca="true">OFFSET('☆掛負収入'!$I$53,$AP$4*$AP15,0,1,1)</f>
        <v>102028643</v>
      </c>
      <c r="J36" s="1134" t="n">
        <f aca="true">OFFSET('☆掛負収入'!$I$63,$AP$4*$AP15,0,1,1)</f>
        <v>48496</v>
      </c>
      <c r="K36" s="1133" t="n">
        <f aca="false">SUM(H36:J36)</f>
        <v>369649168</v>
      </c>
      <c r="M36" s="1132" t="s">
        <v>567</v>
      </c>
      <c r="N36" s="1134" t="n">
        <f aca="true">OFFSET('☆掛負収入'!$L$22,$AP$4*$AP15,0,1,1)</f>
        <v>22829950</v>
      </c>
      <c r="O36" s="1134" t="n">
        <f aca="true">OFFSET('☆掛負収入'!$L$53,$AP$4*$AP15,0,1,1)</f>
        <v>8391088</v>
      </c>
      <c r="P36" s="1134" t="n">
        <f aca="true">OFFSET('☆掛負収入'!$L$63,$AP$4*$AP15,0,1,1)</f>
        <v>4898</v>
      </c>
      <c r="Q36" s="1133" t="n">
        <f aca="false">SUM(N36:P36)</f>
        <v>31225936</v>
      </c>
      <c r="S36" s="1132" t="s">
        <v>567</v>
      </c>
      <c r="T36" s="1134" t="n">
        <f aca="true">OFFSET('☆掛負収入'!$O$22,$AP$4*$AP15,0,1,1)</f>
        <v>12</v>
      </c>
      <c r="U36" s="1134" t="n">
        <f aca="true">OFFSET('☆掛負収入'!$O$53,$AP$4*$AP15,0,1,1)</f>
        <v>24</v>
      </c>
      <c r="V36" s="1134" t="n">
        <f aca="true">OFFSET('☆掛負収入'!$O$63,$AP$4*$AP15,0,1,1)</f>
        <v>2</v>
      </c>
      <c r="W36" s="1133" t="n">
        <f aca="false">SUM(T36:V36)</f>
        <v>38</v>
      </c>
      <c r="Y36" s="1132" t="s">
        <v>567</v>
      </c>
      <c r="Z36" s="1134" t="n">
        <f aca="true">OFFSET('☆掛負収入'!$H$65,$AP$4*$AP15,0,1,1)</f>
        <v>366311761</v>
      </c>
      <c r="AA36" s="1134" t="n">
        <f aca="true">OFFSET('☆掛負収入'!$I$65,$AP$4*$AP15,0,1,1)</f>
        <v>369649168</v>
      </c>
      <c r="AB36" s="1133" t="n">
        <f aca="false">SUM(Z36:AA36)</f>
        <v>735960929</v>
      </c>
      <c r="AC36" s="1138" t="n">
        <f aca="true">OFFSET('☆掛負収入'!$J$65,$AP$4*$AP15,0,1,1)</f>
        <v>735960929</v>
      </c>
      <c r="AD36" s="1147" t="str">
        <f aca="false">IF(AB36=AC36,"○","×")</f>
        <v>○</v>
      </c>
      <c r="AE36" s="1163"/>
      <c r="AF36" s="1132" t="s">
        <v>567</v>
      </c>
      <c r="AG36" s="1134" t="n">
        <f aca="true">OFFSET('☆掛負収入'!$K$65,$AP$4*$AP15,0,1,1)</f>
        <v>31313778</v>
      </c>
      <c r="AH36" s="1134" t="n">
        <f aca="true">OFFSET('☆掛負収入'!$L$65,$AP$4*$AP15,0,1,1)</f>
        <v>31225936</v>
      </c>
      <c r="AI36" s="1133" t="n">
        <f aca="false">SUM(AG36:AH36)</f>
        <v>62539714</v>
      </c>
      <c r="AJ36" s="1138" t="n">
        <f aca="true">OFFSET('☆掛負収入'!$M$65,$AP$4*$AP15,0,1,1)</f>
        <v>62539714</v>
      </c>
      <c r="AK36" s="1147" t="str">
        <f aca="false">IF(AI36=AJ36,"○","×")</f>
        <v>○</v>
      </c>
      <c r="AL36" s="1147"/>
      <c r="AM36" s="1132" t="s">
        <v>567</v>
      </c>
      <c r="AN36" s="1134" t="n">
        <f aca="true">OFFSET('☆掛負収入'!$N$65,$AP$4*$AP15,0,1,1)</f>
        <v>27</v>
      </c>
      <c r="AO36" s="1134" t="n">
        <f aca="true">OFFSET('☆掛負収入'!$O$65,$AP$4*$AP15,0,1,1)</f>
        <v>38</v>
      </c>
      <c r="AP36" s="1133" t="n">
        <f aca="false">SUM(AN36:AO36)</f>
        <v>65</v>
      </c>
      <c r="AQ36" s="1138" t="n">
        <f aca="true">OFFSET('☆掛負収入'!$P$65,$AP$4*$AP15,0,1,1)</f>
        <v>65</v>
      </c>
      <c r="AR36" s="1147" t="str">
        <f aca="false">IF(AP36=AQ36,"○","×")</f>
        <v>○</v>
      </c>
    </row>
    <row r="37" customFormat="false" ht="24.75" hidden="false" customHeight="true" outlineLevel="0" collapsed="false">
      <c r="A37" s="1132" t="s">
        <v>568</v>
      </c>
      <c r="B37" s="1134" t="n">
        <f aca="true">OFFSET('☆掛負収入'!$D$22,$AP$4*$AP16,0,1,1)+OFFSET('☆掛負収入'!$E$22,$AP$4*$AP16,0,1,1)+OFFSET('☆掛負収入'!$F$22,$AP$4*$AP16,0,1,1)</f>
        <v>545433111</v>
      </c>
      <c r="C37" s="1134" t="n">
        <f aca="true">OFFSET('☆掛負収入'!$D$53,$AP$4*$AP16,0,1,1)+OFFSET('☆掛負収入'!$E$53,$AP$4*$AP16,0,1,1)+OFFSET('☆掛負収入'!$F$53,$AP$4*$AP16,0,1,1)+OFFSET('☆掛負収入'!$D$58,$AP$4*$AP16,0,1,1)+OFFSET('☆掛負収入'!$E$58,$AP$4*$AP16,0,1,1)+OFFSET('☆掛負収入'!$F$58,$AP$4*$AP16,0,1,1)</f>
        <v>204224230</v>
      </c>
      <c r="D37" s="1134" t="n">
        <f aca="true">OFFSET('☆掛負収入'!$D$63,$AP$4*$AP16,0,1,1)+OFFSET('☆掛負収入'!$E$63,$AP$4*$AP16,0,1,1)+OFFSET('☆掛負収入'!$F$63,$AP$4*$AP16,0,1,1)</f>
        <v>61380</v>
      </c>
      <c r="E37" s="1133" t="n">
        <f aca="false">SUM(B37:D37)</f>
        <v>749718721</v>
      </c>
      <c r="G37" s="1132" t="s">
        <v>568</v>
      </c>
      <c r="H37" s="1134" t="n">
        <f aca="true">OFFSET('☆掛負収入'!$I$22,$AP$4*$AP16,0,1,1)</f>
        <v>267163235</v>
      </c>
      <c r="I37" s="1134" t="n">
        <f aca="true">OFFSET('☆掛負収入'!$I$53,$AP$4*$AP16,0,1,1)</f>
        <v>102450602</v>
      </c>
      <c r="J37" s="1134" t="n">
        <f aca="true">OFFSET('☆掛負収入'!$I$63,$AP$4*$AP16,0,1,1)</f>
        <v>50701</v>
      </c>
      <c r="K37" s="1133" t="n">
        <f aca="false">SUM(H37:J37)</f>
        <v>369664538</v>
      </c>
      <c r="M37" s="1132" t="s">
        <v>568</v>
      </c>
      <c r="N37" s="1134" t="n">
        <f aca="true">OFFSET('☆掛負収入'!$L$22,$AP$4*$AP16,0,1,1)</f>
        <v>22822644</v>
      </c>
      <c r="O37" s="1134" t="n">
        <f aca="true">OFFSET('☆掛負収入'!$L$53,$AP$4*$AP16,0,1,1)</f>
        <v>8438449</v>
      </c>
      <c r="P37" s="1134" t="n">
        <f aca="true">OFFSET('☆掛負収入'!$L$63,$AP$4*$AP16,0,1,1)</f>
        <v>4898</v>
      </c>
      <c r="Q37" s="1133" t="n">
        <f aca="false">SUM(N37:P37)</f>
        <v>31265991</v>
      </c>
      <c r="S37" s="1132" t="s">
        <v>568</v>
      </c>
      <c r="T37" s="1134" t="n">
        <f aca="true">OFFSET('☆掛負収入'!$O$22,$AP$4*$AP16,0,1,1)</f>
        <v>12</v>
      </c>
      <c r="U37" s="1134" t="n">
        <f aca="true">OFFSET('☆掛負収入'!$O$53,$AP$4*$AP16,0,1,1)</f>
        <v>24</v>
      </c>
      <c r="V37" s="1134" t="n">
        <f aca="true">OFFSET('☆掛負収入'!$O$63,$AP$4*$AP16,0,1,1)</f>
        <v>2</v>
      </c>
      <c r="W37" s="1133" t="n">
        <f aca="false">SUM(T37:V37)</f>
        <v>38</v>
      </c>
      <c r="Y37" s="1132" t="s">
        <v>568</v>
      </c>
      <c r="Z37" s="1134" t="n">
        <f aca="true">OFFSET('☆掛負収入'!$H$65,$AP$4*$AP16,0,1,1)</f>
        <v>366153450</v>
      </c>
      <c r="AA37" s="1134" t="n">
        <f aca="true">OFFSET('☆掛負収入'!$I$65,$AP$4*$AP16,0,1,1)</f>
        <v>369664538</v>
      </c>
      <c r="AB37" s="1133" t="n">
        <f aca="false">SUM(Z37:AA37)</f>
        <v>735817988</v>
      </c>
      <c r="AC37" s="1138" t="n">
        <f aca="true">OFFSET('☆掛負収入'!$J$65,$AP$4*$AP16,0,1,1)</f>
        <v>735817988</v>
      </c>
      <c r="AD37" s="1147" t="str">
        <f aca="false">IF(AB37=AC37,"○","×")</f>
        <v>○</v>
      </c>
      <c r="AE37" s="1163"/>
      <c r="AF37" s="1132" t="s">
        <v>568</v>
      </c>
      <c r="AG37" s="1134" t="n">
        <f aca="true">OFFSET('☆掛負収入'!$K$65,$AP$4*$AP16,0,1,1)</f>
        <v>31373862</v>
      </c>
      <c r="AH37" s="1134" t="n">
        <f aca="true">OFFSET('☆掛負収入'!$L$65,$AP$4*$AP16,0,1,1)</f>
        <v>31265991</v>
      </c>
      <c r="AI37" s="1133" t="n">
        <f aca="false">SUM(AG37:AH37)</f>
        <v>62639853</v>
      </c>
      <c r="AJ37" s="1138" t="n">
        <f aca="true">OFFSET('☆掛負収入'!$M$65,$AP$4*$AP16,0,1,1)</f>
        <v>62639853</v>
      </c>
      <c r="AK37" s="1147" t="str">
        <f aca="false">IF(AI37=AJ37,"○","×")</f>
        <v>○</v>
      </c>
      <c r="AL37" s="1147"/>
      <c r="AM37" s="1132" t="s">
        <v>568</v>
      </c>
      <c r="AN37" s="1134" t="n">
        <f aca="true">OFFSET('☆掛負収入'!$N$65,$AP$4*$AP16,0,1,1)</f>
        <v>27</v>
      </c>
      <c r="AO37" s="1134" t="n">
        <f aca="true">OFFSET('☆掛負収入'!$O$65,$AP$4*$AP16,0,1,1)</f>
        <v>38</v>
      </c>
      <c r="AP37" s="1133" t="n">
        <f aca="false">SUM(AN37:AO37)</f>
        <v>65</v>
      </c>
      <c r="AQ37" s="1138" t="n">
        <f aca="true">OFFSET('☆掛負収入'!$P$65,$AP$4*$AP16,0,1,1)</f>
        <v>65</v>
      </c>
      <c r="AR37" s="1147" t="str">
        <f aca="false">IF(AP37=AQ37,"○","×")</f>
        <v>○</v>
      </c>
    </row>
    <row r="38" customFormat="false" ht="24.75" hidden="false" customHeight="true" outlineLevel="0" collapsed="false">
      <c r="A38" s="1132" t="s">
        <v>569</v>
      </c>
      <c r="B38" s="1134" t="n">
        <f aca="true">OFFSET('☆掛負収入'!$D$22,$AP$4*$AP17,0,1,1)+OFFSET('☆掛負収入'!$E$22,$AP$4*$AP17,0,1,1)+OFFSET('☆掛負収入'!$F$22,$AP$4*$AP17,0,1,1)</f>
        <v>545358116</v>
      </c>
      <c r="C38" s="1134" t="n">
        <f aca="true">OFFSET('☆掛負収入'!$D$53,$AP$4*$AP17,0,1,1)+OFFSET('☆掛負収入'!$E$53,$AP$4*$AP17,0,1,1)+OFFSET('☆掛負収入'!$F$53,$AP$4*$AP17,0,1,1)+OFFSET('☆掛負収入'!$D$58,$AP$4*$AP17,0,1,1)+OFFSET('☆掛負収入'!$E$58,$AP$4*$AP17,0,1,1)+OFFSET('☆掛負収入'!$F$58,$AP$4*$AP17,0,1,1)</f>
        <v>203297335</v>
      </c>
      <c r="D38" s="1134" t="n">
        <f aca="true">OFFSET('☆掛負収入'!$D$63,$AP$4*$AP17,0,1,1)+OFFSET('☆掛負収入'!$E$63,$AP$4*$AP17,0,1,1)+OFFSET('☆掛負収入'!$F$63,$AP$4*$AP17,0,1,1)</f>
        <v>61380</v>
      </c>
      <c r="E38" s="1133" t="n">
        <f aca="false">SUM(B38:D38)</f>
        <v>748716831</v>
      </c>
      <c r="G38" s="1132" t="s">
        <v>569</v>
      </c>
      <c r="H38" s="1134" t="n">
        <f aca="true">OFFSET('☆掛負収入'!$I$22,$AP$4*$AP17,0,1,1)</f>
        <v>267408345</v>
      </c>
      <c r="I38" s="1134" t="n">
        <f aca="true">OFFSET('☆掛負収入'!$I$53,$AP$4*$AP17,0,1,1)</f>
        <v>102224086</v>
      </c>
      <c r="J38" s="1134" t="n">
        <f aca="true">OFFSET('☆掛負収入'!$I$63,$AP$4*$AP17,0,1,1)</f>
        <v>50701</v>
      </c>
      <c r="K38" s="1133" t="n">
        <f aca="false">SUM(H38:J38)</f>
        <v>369683132</v>
      </c>
      <c r="M38" s="1132" t="s">
        <v>569</v>
      </c>
      <c r="N38" s="1134" t="n">
        <f aca="true">OFFSET('☆掛負収入'!$L$22,$AP$4*$AP17,0,1,1)</f>
        <v>22848555</v>
      </c>
      <c r="O38" s="1134" t="n">
        <f aca="true">OFFSET('☆掛負収入'!$L$53,$AP$4*$AP17,0,1,1)</f>
        <v>8476839</v>
      </c>
      <c r="P38" s="1134" t="n">
        <f aca="true">OFFSET('☆掛負収入'!$L$63,$AP$4*$AP17,0,1,1)</f>
        <v>4898</v>
      </c>
      <c r="Q38" s="1133" t="n">
        <f aca="false">SUM(N38:P38)</f>
        <v>31330292</v>
      </c>
      <c r="S38" s="1132" t="s">
        <v>569</v>
      </c>
      <c r="T38" s="1134" t="n">
        <f aca="true">OFFSET('☆掛負収入'!$O$22,$AP$4*$AP17,0,1,1)</f>
        <v>12</v>
      </c>
      <c r="U38" s="1134" t="n">
        <f aca="true">OFFSET('☆掛負収入'!$O$53,$AP$4*$AP17,0,1,1)</f>
        <v>24</v>
      </c>
      <c r="V38" s="1134" t="n">
        <f aca="true">OFFSET('☆掛負収入'!$O$63,$AP$4*$AP17,0,1,1)</f>
        <v>2</v>
      </c>
      <c r="W38" s="1133" t="n">
        <f aca="false">SUM(T38:V38)</f>
        <v>38</v>
      </c>
      <c r="Y38" s="1132" t="s">
        <v>569</v>
      </c>
      <c r="Z38" s="1134" t="n">
        <f aca="true">OFFSET('☆掛負収入'!$H$65,$AP$4*$AP17,0,1,1)</f>
        <v>365515644</v>
      </c>
      <c r="AA38" s="1134" t="n">
        <f aca="true">OFFSET('☆掛負収入'!$I$65,$AP$4*$AP17,0,1,1)</f>
        <v>369683132</v>
      </c>
      <c r="AB38" s="1133" t="n">
        <f aca="false">SUM(Z38:AA38)</f>
        <v>735198776</v>
      </c>
      <c r="AC38" s="1138" t="n">
        <f aca="true">OFFSET('☆掛負収入'!$J$65,$AP$4*$AP17,0,1,1)</f>
        <v>735198776</v>
      </c>
      <c r="AD38" s="1147" t="str">
        <f aca="false">IF(AB38=AC38,"○","×")</f>
        <v>○</v>
      </c>
      <c r="AE38" s="1163"/>
      <c r="AF38" s="1132" t="s">
        <v>569</v>
      </c>
      <c r="AG38" s="1134" t="n">
        <f aca="true">OFFSET('☆掛負収入'!$K$65,$AP$4*$AP17,0,1,1)</f>
        <v>31404529</v>
      </c>
      <c r="AH38" s="1134" t="n">
        <f aca="true">OFFSET('☆掛負収入'!$L$65,$AP$4*$AP17,0,1,1)</f>
        <v>31330292</v>
      </c>
      <c r="AI38" s="1133" t="n">
        <f aca="false">SUM(AG38:AH38)</f>
        <v>62734821</v>
      </c>
      <c r="AJ38" s="1138" t="n">
        <f aca="true">OFFSET('☆掛負収入'!$M$65,$AP$4*$AP17,0,1,1)</f>
        <v>62734821</v>
      </c>
      <c r="AK38" s="1147" t="str">
        <f aca="false">IF(AI38=AJ38,"○","×")</f>
        <v>○</v>
      </c>
      <c r="AL38" s="1147"/>
      <c r="AM38" s="1132" t="s">
        <v>569</v>
      </c>
      <c r="AN38" s="1134" t="n">
        <f aca="true">OFFSET('☆掛負収入'!$N$65,$AP$4*$AP17,0,1,1)</f>
        <v>27</v>
      </c>
      <c r="AO38" s="1134" t="n">
        <f aca="true">OFFSET('☆掛負収入'!$O$65,$AP$4*$AP17,0,1,1)</f>
        <v>38</v>
      </c>
      <c r="AP38" s="1133" t="n">
        <f aca="false">SUM(AN38:AO38)</f>
        <v>65</v>
      </c>
      <c r="AQ38" s="1138" t="n">
        <f aca="true">OFFSET('☆掛負収入'!$P$65,$AP$4*$AP17,0,1,1)</f>
        <v>65</v>
      </c>
      <c r="AR38" s="1147" t="str">
        <f aca="false">IF(AP38=AQ38,"○","×")</f>
        <v>○</v>
      </c>
    </row>
    <row r="39" customFormat="false" ht="24.75" hidden="false" customHeight="true" outlineLevel="0" collapsed="false">
      <c r="A39" s="1132" t="s">
        <v>638</v>
      </c>
      <c r="B39" s="1134" t="n">
        <f aca="true">OFFSET('☆掛負収入'!$D$22,$AP$4*$AP18,0,1,1)+OFFSET('☆掛負収入'!$E$22,$AP$4*$AP18,0,1,1)+OFFSET('☆掛負収入'!$F$22,$AP$4*$AP18,0,1,1)</f>
        <v>224753443</v>
      </c>
      <c r="C39" s="1134" t="n">
        <f aca="true">OFFSET('☆掛負収入'!$D$53,$AP$4*$AP18,0,1,1)+OFFSET('☆掛負収入'!$E$53,$AP$4*$AP18,0,1,1)+OFFSET('☆掛負収入'!$F$53,$AP$4*$AP18,0,1,1)+OFFSET('☆掛負収入'!$D$58,$AP$4*$AP18,0,1,1)+OFFSET('☆掛負収入'!$E$58,$AP$4*$AP18,0,1,1)+OFFSET('☆掛負収入'!$F$58,$AP$4*$AP18,0,1,1)</f>
        <v>71143343</v>
      </c>
      <c r="D39" s="1134" t="n">
        <f aca="true">OFFSET('☆掛負収入'!$D$63,$AP$4*$AP18,0,1,1)+OFFSET('☆掛負収入'!$E$63,$AP$4*$AP18,0,1,1)+OFFSET('☆掛負収入'!$F$63,$AP$4*$AP18,0,1,1)</f>
        <v>19503</v>
      </c>
      <c r="E39" s="1133" t="n">
        <f aca="false">SUM(B39:D39)</f>
        <v>295916289</v>
      </c>
      <c r="G39" s="1132" t="s">
        <v>638</v>
      </c>
      <c r="H39" s="1134" t="n">
        <f aca="true">OFFSET('☆掛負収入'!$I$22,$AP$4*$AP18,0,1,1)</f>
        <v>115736418</v>
      </c>
      <c r="I39" s="1134" t="n">
        <f aca="true">OFFSET('☆掛負収入'!$I$53,$AP$4*$AP18,0,1,1)</f>
        <v>30078334</v>
      </c>
      <c r="J39" s="1134" t="n">
        <f aca="true">OFFSET('☆掛負収入'!$I$63,$AP$4*$AP18,0,1,1)</f>
        <v>14934</v>
      </c>
      <c r="K39" s="1133" t="n">
        <f aca="false">SUM(H39:J39)</f>
        <v>145829686</v>
      </c>
      <c r="M39" s="1132" t="s">
        <v>638</v>
      </c>
      <c r="N39" s="1134" t="n">
        <f aca="true">OFFSET('☆掛負収入'!$L$22,$AP$4*$AP18,0,1,1)</f>
        <v>10958751</v>
      </c>
      <c r="O39" s="1134" t="n">
        <f aca="true">OFFSET('☆掛負収入'!$L$53,$AP$4*$AP18,0,1,1)</f>
        <v>2760342</v>
      </c>
      <c r="P39" s="1134" t="n">
        <f aca="true">OFFSET('☆掛負収入'!$L$63,$AP$4*$AP18,0,1,1)</f>
        <v>1318</v>
      </c>
      <c r="Q39" s="1133" t="n">
        <f aca="false">SUM(N39:P39)</f>
        <v>13720411</v>
      </c>
      <c r="S39" s="1132" t="s">
        <v>638</v>
      </c>
      <c r="T39" s="1134" t="n">
        <f aca="true">OFFSET('☆掛負収入'!$O$22,$AP$4*$AP18,0,1,1)</f>
        <v>12</v>
      </c>
      <c r="U39" s="1134" t="n">
        <f aca="true">OFFSET('☆掛負収入'!$O$53,$AP$4*$AP18,0,1,1)</f>
        <v>18</v>
      </c>
      <c r="V39" s="1134" t="n">
        <f aca="true">OFFSET('☆掛負収入'!$O$63,$AP$4*$AP18,0,1,1)</f>
        <v>2</v>
      </c>
      <c r="W39" s="1133" t="n">
        <f aca="false">SUM(T39:V39)</f>
        <v>32</v>
      </c>
      <c r="Y39" s="1132" t="s">
        <v>638</v>
      </c>
      <c r="Z39" s="1134" t="n">
        <f aca="true">OFFSET('☆掛負収入'!$H$65,$AP$4*$AP18,0,1,1)</f>
        <v>139822185</v>
      </c>
      <c r="AA39" s="1134" t="n">
        <f aca="true">OFFSET('☆掛負収入'!$I$65,$AP$4*$AP18,0,1,1)</f>
        <v>145829686</v>
      </c>
      <c r="AB39" s="1133" t="n">
        <f aca="false">SUM(Z39:AA39)</f>
        <v>285651871</v>
      </c>
      <c r="AC39" s="1138" t="n">
        <f aca="true">OFFSET('☆掛負収入'!$J$65,$AP$4*$AP18,0,1,1)</f>
        <v>285651871</v>
      </c>
      <c r="AD39" s="1147" t="str">
        <f aca="false">IF(AB39=AC39,"○","×")</f>
        <v>○</v>
      </c>
      <c r="AE39" s="1163"/>
      <c r="AF39" s="1132" t="s">
        <v>638</v>
      </c>
      <c r="AG39" s="1134" t="n">
        <f aca="true">OFFSET('☆掛負収入'!$K$65,$AP$4*$AP18,0,1,1)</f>
        <v>12910671</v>
      </c>
      <c r="AH39" s="1134" t="n">
        <f aca="true">OFFSET('☆掛負収入'!$L$65,$AP$4*$AP18,0,1,1)</f>
        <v>13720411</v>
      </c>
      <c r="AI39" s="1133" t="n">
        <f aca="false">SUM(AG39:AH39)</f>
        <v>26631082</v>
      </c>
      <c r="AJ39" s="1138" t="n">
        <f aca="true">OFFSET('☆掛負収入'!$M$65,$AP$4*$AP18,0,1,1)</f>
        <v>26631082</v>
      </c>
      <c r="AK39" s="1147" t="str">
        <f aca="false">IF(AI39=AJ39,"○","×")</f>
        <v>○</v>
      </c>
      <c r="AL39" s="1147"/>
      <c r="AM39" s="1132" t="s">
        <v>638</v>
      </c>
      <c r="AN39" s="1134" t="n">
        <f aca="true">OFFSET('☆掛負収入'!$N$65,$AP$4*$AP18,0,1,1)</f>
        <v>21</v>
      </c>
      <c r="AO39" s="1134" t="n">
        <f aca="true">OFFSET('☆掛負収入'!$O$65,$AP$4*$AP18,0,1,1)</f>
        <v>32</v>
      </c>
      <c r="AP39" s="1133" t="n">
        <f aca="false">SUM(AN39:AO39)</f>
        <v>53</v>
      </c>
      <c r="AQ39" s="1138" t="n">
        <f aca="true">OFFSET('☆掛負収入'!$P$65,$AP$4*$AP18,0,1,1)</f>
        <v>53</v>
      </c>
      <c r="AR39" s="1147" t="str">
        <f aca="false">IF(AP39=AQ39,"○","×")</f>
        <v>○</v>
      </c>
    </row>
    <row r="40" customFormat="false" ht="24.75" hidden="false" customHeight="true" outlineLevel="0" collapsed="false">
      <c r="A40" s="1132" t="s">
        <v>570</v>
      </c>
      <c r="B40" s="1134" t="n">
        <f aca="true">OFFSET('☆掛負収入'!$D$22,$AP$4*$AP19,0,1,1)+OFFSET('☆掛負収入'!$E$22,$AP$4*$AP19,0,1,1)+OFFSET('☆掛負収入'!$F$22,$AP$4*$AP19,0,1,1)</f>
        <v>506644669</v>
      </c>
      <c r="C40" s="1134" t="n">
        <f aca="true">OFFSET('☆掛負収入'!$D$53,$AP$4*$AP19,0,1,1)+OFFSET('☆掛負収入'!$E$53,$AP$4*$AP19,0,1,1)+OFFSET('☆掛負収入'!$F$53,$AP$4*$AP19,0,1,1)+OFFSET('☆掛負収入'!$D$58,$AP$4*$AP19,0,1,1)+OFFSET('☆掛負収入'!$E$58,$AP$4*$AP19,0,1,1)+OFFSET('☆掛負収入'!$F$58,$AP$4*$AP19,0,1,1)</f>
        <v>189608588</v>
      </c>
      <c r="D40" s="1134" t="n">
        <f aca="true">OFFSET('☆掛負収入'!$D$63,$AP$4*$AP19,0,1,1)+OFFSET('☆掛負収入'!$E$63,$AP$4*$AP19,0,1,1)+OFFSET('☆掛負収入'!$F$63,$AP$4*$AP19,0,1,1)</f>
        <v>61380</v>
      </c>
      <c r="E40" s="1133" t="n">
        <f aca="false">SUM(B40:D40)</f>
        <v>696314637</v>
      </c>
      <c r="G40" s="1132" t="s">
        <v>570</v>
      </c>
      <c r="H40" s="1134" t="n">
        <f aca="true">OFFSET('☆掛負収入'!$I$22,$AP$4*$AP19,0,1,1)</f>
        <v>258913765</v>
      </c>
      <c r="I40" s="1134" t="n">
        <f aca="true">OFFSET('☆掛負収入'!$I$53,$AP$4*$AP19,0,1,1)</f>
        <v>100780271</v>
      </c>
      <c r="J40" s="1134" t="n">
        <f aca="true">OFFSET('☆掛負収入'!$I$63,$AP$4*$AP19,0,1,1)</f>
        <v>50701</v>
      </c>
      <c r="K40" s="1133" t="n">
        <f aca="false">SUM(H40:J40)</f>
        <v>359744737</v>
      </c>
      <c r="M40" s="1132" t="s">
        <v>570</v>
      </c>
      <c r="N40" s="1134" t="n">
        <f aca="true">OFFSET('☆掛負収入'!$L$22,$AP$4*$AP19,0,1,1)</f>
        <v>23592322</v>
      </c>
      <c r="O40" s="1134" t="n">
        <f aca="true">OFFSET('☆掛負収入'!$L$53,$AP$4*$AP19,0,1,1)</f>
        <v>8637218</v>
      </c>
      <c r="P40" s="1134" t="n">
        <f aca="true">OFFSET('☆掛負収入'!$L$63,$AP$4*$AP19,0,1,1)</f>
        <v>4898</v>
      </c>
      <c r="Q40" s="1133" t="n">
        <f aca="false">SUM(N40:P40)</f>
        <v>32234438</v>
      </c>
      <c r="S40" s="1132" t="s">
        <v>570</v>
      </c>
      <c r="T40" s="1134" t="n">
        <f aca="true">OFFSET('☆掛負収入'!$O$22,$AP$4*$AP19,0,1,1)</f>
        <v>12</v>
      </c>
      <c r="U40" s="1134" t="n">
        <f aca="true">OFFSET('☆掛負収入'!$O$53,$AP$4*$AP19,0,1,1)</f>
        <v>24</v>
      </c>
      <c r="V40" s="1134" t="n">
        <f aca="true">OFFSET('☆掛負収入'!$O$63,$AP$4*$AP19,0,1,1)</f>
        <v>2</v>
      </c>
      <c r="W40" s="1133" t="n">
        <f aca="false">SUM(T40:V40)</f>
        <v>38</v>
      </c>
      <c r="Y40" s="1132" t="s">
        <v>570</v>
      </c>
      <c r="Z40" s="1134" t="n">
        <f aca="true">OFFSET('☆掛負収入'!$H$65,$AP$4*$AP19,0,1,1)</f>
        <v>355787025</v>
      </c>
      <c r="AA40" s="1134" t="n">
        <f aca="true">OFFSET('☆掛負収入'!$I$65,$AP$4*$AP19,0,1,1)</f>
        <v>359744737</v>
      </c>
      <c r="AB40" s="1133" t="n">
        <f aca="false">SUM(Z40:AA40)</f>
        <v>715531762</v>
      </c>
      <c r="AC40" s="1138" t="n">
        <f aca="true">OFFSET('☆掛負収入'!$J$65,$AP$4*$AP19,0,1,1)</f>
        <v>715531762</v>
      </c>
      <c r="AD40" s="1147" t="str">
        <f aca="false">IF(AB40=AC40,"○","×")</f>
        <v>○</v>
      </c>
      <c r="AE40" s="1163"/>
      <c r="AF40" s="1132" t="s">
        <v>570</v>
      </c>
      <c r="AG40" s="1134" t="n">
        <f aca="true">OFFSET('☆掛負収入'!$K$65,$AP$4*$AP19,0,1,1)</f>
        <v>32282038</v>
      </c>
      <c r="AH40" s="1134" t="n">
        <f aca="true">OFFSET('☆掛負収入'!$L$65,$AP$4*$AP19,0,1,1)</f>
        <v>32234438</v>
      </c>
      <c r="AI40" s="1133" t="n">
        <f aca="false">SUM(AG40:AH40)</f>
        <v>64516476</v>
      </c>
      <c r="AJ40" s="1138" t="n">
        <f aca="true">OFFSET('☆掛負収入'!$M$65,$AP$4*$AP19,0,1,1)</f>
        <v>64516476</v>
      </c>
      <c r="AK40" s="1147" t="str">
        <f aca="false">IF(AI40=AJ40,"○","×")</f>
        <v>○</v>
      </c>
      <c r="AL40" s="1147"/>
      <c r="AM40" s="1132" t="s">
        <v>570</v>
      </c>
      <c r="AN40" s="1134" t="n">
        <f aca="true">OFFSET('☆掛負収入'!$N$65,$AP$4*$AP19,0,1,1)</f>
        <v>27</v>
      </c>
      <c r="AO40" s="1134" t="n">
        <f aca="true">OFFSET('☆掛負収入'!$O$65,$AP$4*$AP19,0,1,1)</f>
        <v>38</v>
      </c>
      <c r="AP40" s="1133" t="n">
        <f aca="false">SUM(AN40:AO40)</f>
        <v>65</v>
      </c>
      <c r="AQ40" s="1138" t="n">
        <f aca="true">OFFSET('☆掛負収入'!$P$65,$AP$4*$AP19,0,1,1)</f>
        <v>65</v>
      </c>
      <c r="AR40" s="1147" t="str">
        <f aca="false">IF(AP40=AQ40,"○","×")</f>
        <v>○</v>
      </c>
    </row>
    <row r="41" customFormat="false" ht="24.75" hidden="false" customHeight="true" outlineLevel="0" collapsed="false">
      <c r="A41" s="1150" t="s">
        <v>639</v>
      </c>
      <c r="B41" s="1134" t="n">
        <f aca="true">OFFSET('☆掛負収入'!$D$22,$AP$4*$AP20,0,1,1)+OFFSET('☆掛負収入'!$E$22,$AP$4*$AP20,0,1,1)+OFFSET('☆掛負収入'!$F$22,$AP$4*$AP20,0,1,1)</f>
        <v>28892976</v>
      </c>
      <c r="C41" s="1134" t="n">
        <f aca="true">OFFSET('☆掛負収入'!$D$53,$AP$4*$AP20,0,1,1)+OFFSET('☆掛負収入'!$E$53,$AP$4*$AP20,0,1,1)+OFFSET('☆掛負収入'!$F$53,$AP$4*$AP20,0,1,1)+OFFSET('☆掛負収入'!$D$58,$AP$4*$AP20,0,1,1)+OFFSET('☆掛負収入'!$E$58,$AP$4*$AP20,0,1,1)+OFFSET('☆掛負収入'!$F$58,$AP$4*$AP20,0,1,1)</f>
        <v>8367663</v>
      </c>
      <c r="D41" s="1134" t="n">
        <f aca="true">OFFSET('☆掛負収入'!$D$63,$AP$4*$AP20,0,1,1)+OFFSET('☆掛負収入'!$E$63,$AP$4*$AP20,0,1,1)+OFFSET('☆掛負収入'!$F$63,$AP$4*$AP20,0,1,1)</f>
        <v>46182</v>
      </c>
      <c r="E41" s="1133" t="n">
        <f aca="false">SUM(B41:D41)</f>
        <v>37306821</v>
      </c>
      <c r="G41" s="1150" t="s">
        <v>639</v>
      </c>
      <c r="H41" s="1134" t="n">
        <f aca="true">OFFSET('☆掛負収入'!$I$22,$AP$4*$AP20,0,1,1)</f>
        <v>14136420</v>
      </c>
      <c r="I41" s="1134" t="n">
        <f aca="true">OFFSET('☆掛負収入'!$I$53,$AP$4*$AP20,0,1,1)</f>
        <v>3639720</v>
      </c>
      <c r="J41" s="1134" t="n">
        <f aca="true">OFFSET('☆掛負収入'!$I$63,$AP$4*$AP20,0,1,1)</f>
        <v>26370</v>
      </c>
      <c r="K41" s="1133" t="n">
        <f aca="false">SUM(H41:J41)</f>
        <v>17802510</v>
      </c>
      <c r="M41" s="1150" t="s">
        <v>639</v>
      </c>
      <c r="N41" s="1134" t="n">
        <f aca="true">OFFSET('☆掛負収入'!$L$22,$AP$4*$AP20,0,1,1)</f>
        <v>1180075</v>
      </c>
      <c r="O41" s="1134" t="n">
        <f aca="true">OFFSET('☆掛負収入'!$L$53,$AP$4*$AP20,0,1,1)</f>
        <v>295380</v>
      </c>
      <c r="P41" s="1134" t="n">
        <f aca="true">OFFSET('☆掛負収入'!$L$63,$AP$4*$AP20,0,1,1)</f>
        <v>3716</v>
      </c>
      <c r="Q41" s="1133" t="n">
        <f aca="false">SUM(N41:P41)</f>
        <v>1479171</v>
      </c>
      <c r="S41" s="1150" t="s">
        <v>639</v>
      </c>
      <c r="T41" s="1134" t="n">
        <f aca="true">OFFSET('☆掛負収入'!$O$22,$AP$4*$AP20,0,1,1)</f>
        <v>11</v>
      </c>
      <c r="U41" s="1134" t="n">
        <f aca="true">OFFSET('☆掛負収入'!$O$53,$AP$4*$AP20,0,1,1)</f>
        <v>24</v>
      </c>
      <c r="V41" s="1134" t="n">
        <f aca="true">OFFSET('☆掛負収入'!$O$63,$AP$4*$AP20,0,1,1)</f>
        <v>2</v>
      </c>
      <c r="W41" s="1133" t="n">
        <f aca="false">SUM(T41:V41)</f>
        <v>37</v>
      </c>
      <c r="Y41" s="1150" t="s">
        <v>639</v>
      </c>
      <c r="Z41" s="1134" t="n">
        <f aca="true">OFFSET('☆掛負収入'!$H$65,$AP$4*$AP20,0,1,1)</f>
        <v>17812876</v>
      </c>
      <c r="AA41" s="1134" t="n">
        <f aca="true">OFFSET('☆掛負収入'!$I$65,$AP$4*$AP20,0,1,1)</f>
        <v>17802510</v>
      </c>
      <c r="AB41" s="1133" t="n">
        <f aca="false">SUM(Z41:AA41)</f>
        <v>35615386</v>
      </c>
      <c r="AC41" s="1138" t="n">
        <f aca="true">OFFSET('☆掛負収入'!$J$65,$AP$4*$AP20,0,1,1)</f>
        <v>35615386</v>
      </c>
      <c r="AD41" s="1147" t="str">
        <f aca="false">IF(AB41=AC41,"○","×")</f>
        <v>○</v>
      </c>
      <c r="AE41" s="1163"/>
      <c r="AF41" s="1150" t="s">
        <v>639</v>
      </c>
      <c r="AG41" s="1134" t="n">
        <f aca="true">OFFSET('☆掛負収入'!$K$65,$AP$4*$AP20,0,1,1)</f>
        <v>1479301</v>
      </c>
      <c r="AH41" s="1134" t="n">
        <f aca="true">OFFSET('☆掛負収入'!$L$65,$AP$4*$AP20,0,1,1)</f>
        <v>1479171</v>
      </c>
      <c r="AI41" s="1133" t="n">
        <f aca="false">SUM(AG41:AH41)</f>
        <v>2958472</v>
      </c>
      <c r="AJ41" s="1138" t="n">
        <f aca="true">OFFSET('☆掛負収入'!$M$65,$AP$4*$AP20,0,1,1)</f>
        <v>2958472</v>
      </c>
      <c r="AK41" s="1147" t="str">
        <f aca="false">IF(AI41=AJ41,"○","×")</f>
        <v>○</v>
      </c>
      <c r="AL41" s="1147"/>
      <c r="AM41" s="1150" t="s">
        <v>639</v>
      </c>
      <c r="AN41" s="1134" t="n">
        <f aca="true">OFFSET('☆掛負収入'!$N$65,$AP$4*$AP20,0,1,1)</f>
        <v>25</v>
      </c>
      <c r="AO41" s="1134" t="n">
        <f aca="true">OFFSET('☆掛負収入'!$O$65,$AP$4*$AP20,0,1,1)</f>
        <v>37</v>
      </c>
      <c r="AP41" s="1133" t="n">
        <f aca="false">SUM(AN41:AO41)</f>
        <v>62</v>
      </c>
      <c r="AQ41" s="1138" t="n">
        <f aca="true">OFFSET('☆掛負収入'!$P$65,$AP$4*$AP20,0,1,1)</f>
        <v>62</v>
      </c>
      <c r="AR41" s="1147" t="str">
        <f aca="false">IF(AP41=AQ41,"○","×")</f>
        <v>○</v>
      </c>
    </row>
    <row r="42" customFormat="false" ht="24.75" hidden="false" customHeight="true" outlineLevel="0" collapsed="false">
      <c r="A42" s="1150" t="s">
        <v>640</v>
      </c>
      <c r="B42" s="1134" t="n">
        <f aca="true">OFFSET('☆掛負収入'!$D$22,$AP$4*$AP21,0,1,1)+OFFSET('☆掛負収入'!$E$22,$AP$4*$AP21,0,1,1)+OFFSET('☆掛負収入'!$F$22,$AP$4*$AP21,0,1,1)</f>
        <v>28892987</v>
      </c>
      <c r="C42" s="1134" t="n">
        <f aca="true">OFFSET('☆掛負収入'!$D$53,$AP$4*$AP21,0,1,1)+OFFSET('☆掛負収入'!$E$53,$AP$4*$AP21,0,1,1)+OFFSET('☆掛負収入'!$F$53,$AP$4*$AP21,0,1,1)+OFFSET('☆掛負収入'!$D$58,$AP$4*$AP21,0,1,1)+OFFSET('☆掛負収入'!$E$58,$AP$4*$AP21,0,1,1)+OFFSET('☆掛負収入'!$F$58,$AP$4*$AP21,0,1,1)</f>
        <v>8367691</v>
      </c>
      <c r="D42" s="1134" t="n">
        <f aca="true">OFFSET('☆掛負収入'!$D$63,$AP$4*$AP21,0,1,1)+OFFSET('☆掛負収入'!$E$63,$AP$4*$AP21,0,1,1)+OFFSET('☆掛負収入'!$F$63,$AP$4*$AP21,0,1,1)</f>
        <v>46185</v>
      </c>
      <c r="E42" s="1133" t="n">
        <f aca="false">SUM(B42:D42)</f>
        <v>37306863</v>
      </c>
      <c r="G42" s="1150" t="s">
        <v>640</v>
      </c>
      <c r="H42" s="1134" t="n">
        <f aca="true">OFFSET('☆掛負収入'!$I$22,$AP$4*$AP21,0,1,1)</f>
        <v>14136426</v>
      </c>
      <c r="I42" s="1134" t="n">
        <f aca="true">OFFSET('☆掛負収入'!$I$53,$AP$4*$AP21,0,1,1)</f>
        <v>3639729</v>
      </c>
      <c r="J42" s="1134" t="n">
        <f aca="true">OFFSET('☆掛負収入'!$I$63,$AP$4*$AP21,0,1,1)</f>
        <v>26370</v>
      </c>
      <c r="K42" s="1133" t="n">
        <f aca="false">SUM(H42:J42)</f>
        <v>17802525</v>
      </c>
      <c r="M42" s="1150" t="s">
        <v>640</v>
      </c>
      <c r="N42" s="1134" t="n">
        <f aca="true">OFFSET('☆掛負収入'!$L$22,$AP$4*$AP21,0,1,1)</f>
        <v>1180080</v>
      </c>
      <c r="O42" s="1134" t="n">
        <f aca="true">OFFSET('☆掛負収入'!$L$53,$AP$4*$AP21,0,1,1)</f>
        <v>295390</v>
      </c>
      <c r="P42" s="1134" t="n">
        <f aca="true">OFFSET('☆掛負収入'!$L$63,$AP$4*$AP21,0,1,1)</f>
        <v>3718</v>
      </c>
      <c r="Q42" s="1133" t="n">
        <f aca="false">SUM(N42:P42)</f>
        <v>1479188</v>
      </c>
      <c r="S42" s="1150" t="s">
        <v>640</v>
      </c>
      <c r="T42" s="1134" t="n">
        <f aca="true">OFFSET('☆掛負収入'!$O$22,$AP$4*$AP21,0,1,1)</f>
        <v>11</v>
      </c>
      <c r="U42" s="1134" t="n">
        <f aca="true">OFFSET('☆掛負収入'!$O$53,$AP$4*$AP21,0,1,1)</f>
        <v>24</v>
      </c>
      <c r="V42" s="1134" t="n">
        <f aca="true">OFFSET('☆掛負収入'!$O$63,$AP$4*$AP21,0,1,1)</f>
        <v>2</v>
      </c>
      <c r="W42" s="1133" t="n">
        <f aca="false">SUM(T42:V42)</f>
        <v>37</v>
      </c>
      <c r="Y42" s="1150" t="s">
        <v>640</v>
      </c>
      <c r="Z42" s="1134" t="n">
        <f aca="true">OFFSET('☆掛負収入'!$H$65,$AP$4*$AP21,0,1,1)</f>
        <v>17812885</v>
      </c>
      <c r="AA42" s="1134" t="n">
        <f aca="true">OFFSET('☆掛負収入'!$I$65,$AP$4*$AP21,0,1,1)</f>
        <v>17802525</v>
      </c>
      <c r="AB42" s="1133" t="n">
        <f aca="false">SUM(Z42:AA42)</f>
        <v>35615410</v>
      </c>
      <c r="AC42" s="1138" t="n">
        <f aca="true">OFFSET('☆掛負収入'!$J$65,$AP$4*$AP21,0,1,1)</f>
        <v>35615410</v>
      </c>
      <c r="AD42" s="1147" t="str">
        <f aca="false">IF(AB42=AC42,"○","×")</f>
        <v>○</v>
      </c>
      <c r="AE42" s="1163"/>
      <c r="AF42" s="1150" t="s">
        <v>640</v>
      </c>
      <c r="AG42" s="1134" t="n">
        <f aca="true">OFFSET('☆掛負収入'!$K$65,$AP$4*$AP21,0,1,1)</f>
        <v>1479310</v>
      </c>
      <c r="AH42" s="1134" t="n">
        <f aca="true">OFFSET('☆掛負収入'!$L$65,$AP$4*$AP21,0,1,1)</f>
        <v>1479188</v>
      </c>
      <c r="AI42" s="1133" t="n">
        <f aca="false">SUM(AG42:AH42)</f>
        <v>2958498</v>
      </c>
      <c r="AJ42" s="1138" t="n">
        <f aca="true">OFFSET('☆掛負収入'!$M$65,$AP$4*$AP21,0,1,1)</f>
        <v>2958498</v>
      </c>
      <c r="AK42" s="1147" t="str">
        <f aca="false">IF(AI42=AJ42,"○","×")</f>
        <v>○</v>
      </c>
      <c r="AL42" s="1147"/>
      <c r="AM42" s="1150" t="s">
        <v>640</v>
      </c>
      <c r="AN42" s="1134" t="n">
        <f aca="true">OFFSET('☆掛負収入'!$N$65,$AP$4*$AP21,0,1,1)</f>
        <v>25</v>
      </c>
      <c r="AO42" s="1134" t="n">
        <f aca="true">OFFSET('☆掛負収入'!$O$65,$AP$4*$AP21,0,1,1)</f>
        <v>37</v>
      </c>
      <c r="AP42" s="1133" t="n">
        <f aca="false">SUM(AN42:AO42)</f>
        <v>62</v>
      </c>
      <c r="AQ42" s="1138" t="n">
        <f aca="true">OFFSET('☆掛負収入'!$P$65,$AP$4*$AP21,0,1,1)</f>
        <v>62</v>
      </c>
      <c r="AR42" s="1147" t="str">
        <f aca="false">IF(AP42=AQ42,"○","×")</f>
        <v>○</v>
      </c>
    </row>
    <row r="43" customFormat="false" ht="24.75" hidden="false" customHeight="true" outlineLevel="0" collapsed="false">
      <c r="A43" s="1132" t="s">
        <v>571</v>
      </c>
      <c r="B43" s="1133" t="n">
        <f aca="false">SUM(B26:B42)</f>
        <v>8869020186</v>
      </c>
      <c r="C43" s="1133" t="n">
        <f aca="false">SUM(C26:C42)</f>
        <v>3217646733</v>
      </c>
      <c r="D43" s="1133" t="n">
        <f aca="false">SUM(D26:D42)</f>
        <v>1006929</v>
      </c>
      <c r="E43" s="1133" t="n">
        <f aca="false">SUM(E26:E42)</f>
        <v>12087673848</v>
      </c>
      <c r="G43" s="1132" t="s">
        <v>571</v>
      </c>
      <c r="H43" s="1133" t="n">
        <f aca="false">SUM(H26:H42)</f>
        <v>4258902703</v>
      </c>
      <c r="I43" s="1133" t="n">
        <f aca="false">SUM(I26:I42)</f>
        <v>1528325596</v>
      </c>
      <c r="J43" s="1133" t="n">
        <f aca="false">SUM(J26:J42)</f>
        <v>769435</v>
      </c>
      <c r="K43" s="1133" t="n">
        <f aca="false">SUM(K26:K42)</f>
        <v>5787997734</v>
      </c>
      <c r="M43" s="1132" t="s">
        <v>571</v>
      </c>
      <c r="N43" s="1133" t="n">
        <f aca="false">SUM(N26:N42)</f>
        <v>377951618</v>
      </c>
      <c r="O43" s="1133" t="n">
        <f aca="false">SUM(O26:O42)</f>
        <v>131368379</v>
      </c>
      <c r="P43" s="1133" t="n">
        <f aca="false">SUM(P26:P42)</f>
        <v>76880</v>
      </c>
      <c r="Q43" s="1133" t="n">
        <f aca="false">SUM(Q26:Q42)</f>
        <v>509396877</v>
      </c>
      <c r="S43" s="1132" t="s">
        <v>571</v>
      </c>
      <c r="T43" s="1133" t="n">
        <f aca="false">SUM(T26:T42)</f>
        <v>44117915</v>
      </c>
      <c r="U43" s="1133" t="n">
        <f aca="false">SUM(U26:U42)</f>
        <v>16313696</v>
      </c>
      <c r="V43" s="1133" t="n">
        <f aca="false">SUM(V26:V42)</f>
        <v>8397</v>
      </c>
      <c r="W43" s="1133" t="n">
        <f aca="false">SUM(W26:W42)</f>
        <v>60440008</v>
      </c>
      <c r="Y43" s="1132" t="s">
        <v>571</v>
      </c>
      <c r="Z43" s="1133" t="n">
        <f aca="false">SUM(Z26:Z42)</f>
        <v>5834634897</v>
      </c>
      <c r="AA43" s="1133" t="n">
        <f aca="false">SUM(AA26:AA42)</f>
        <v>5787997734</v>
      </c>
      <c r="AB43" s="1133" t="n">
        <f aca="false">SUM(AB26:AB42)</f>
        <v>11622632631</v>
      </c>
      <c r="AC43" s="1138" t="n">
        <f aca="false">SUM(AC26:AC42)</f>
        <v>11622632631</v>
      </c>
      <c r="AD43" s="1147" t="str">
        <f aca="false">IF(AB43=AC43,"○","×")</f>
        <v>○</v>
      </c>
      <c r="AE43" s="1163"/>
      <c r="AF43" s="1132" t="s">
        <v>571</v>
      </c>
      <c r="AG43" s="1133" t="n">
        <f aca="false">SUM(AG26:AG42)</f>
        <v>515307811</v>
      </c>
      <c r="AH43" s="1133" t="n">
        <f aca="false">SUM(AH26:AH42)</f>
        <v>509396877</v>
      </c>
      <c r="AI43" s="1133" t="n">
        <f aca="false">SUM(AI26:AI42)</f>
        <v>1024704688</v>
      </c>
      <c r="AJ43" s="1138" t="n">
        <f aca="false">SUM(AJ26:AJ42)</f>
        <v>1024704688</v>
      </c>
      <c r="AK43" s="1147" t="str">
        <f aca="false">IF(AI43=AJ43,"○","×")</f>
        <v>○</v>
      </c>
      <c r="AL43" s="1147"/>
      <c r="AM43" s="1132" t="s">
        <v>571</v>
      </c>
      <c r="AN43" s="1133" t="n">
        <f aca="false">SUM(AN26:AN42)</f>
        <v>63008864</v>
      </c>
      <c r="AO43" s="1133" t="n">
        <f aca="false">SUM(AO26:AO42)</f>
        <v>60440008</v>
      </c>
      <c r="AP43" s="1133" t="n">
        <f aca="false">SUM(AP26:AP42)</f>
        <v>123448872</v>
      </c>
      <c r="AQ43" s="1138" t="n">
        <f aca="false">SUM(AQ26:AQ42)</f>
        <v>123448872</v>
      </c>
      <c r="AR43" s="1147" t="str">
        <f aca="false">IF(AP43=AQ43,"○","×")</f>
        <v>○</v>
      </c>
    </row>
  </sheetData>
  <mergeCells count="1">
    <mergeCell ref="A3:D3"/>
  </mergeCells>
  <printOptions headings="false" gridLines="false" gridLinesSet="true" horizontalCentered="false" verticalCentered="false"/>
  <pageMargins left="0.315277777777778" right="0.315277777777778" top="0.747916666666667" bottom="0.354166666666667" header="0.511811023622047" footer="0"/>
  <pageSetup paperSize="9" scale="42" fitToWidth="1" fitToHeight="1" pageOrder="downThenOver" orientation="landscape" blackAndWhite="false" draft="false" cellComments="none" horizontalDpi="300" verticalDpi="300" copies="1"/>
  <headerFooter differentFirst="false" differentOddEven="false">
    <oddHeader/>
    <oddFooter>&amp;R&amp;9&amp;Z&amp;F&amp;A</oddFooter>
  </headerFooter>
  <colBreaks count="1" manualBreakCount="1">
    <brk id="23" man="true" max="65535" min="0"/>
  </colBreaks>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K2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I15" activeCellId="0" sqref="I15"/>
    </sheetView>
  </sheetViews>
  <sheetFormatPr defaultColWidth="8.79296875" defaultRowHeight="18" zeroHeight="false" outlineLevelRow="0" outlineLevelCol="0"/>
  <cols>
    <col collapsed="false" customWidth="false" hidden="false" outlineLevel="0" max="1" min="1" style="1164" width="8.79"/>
    <col collapsed="false" customWidth="true" hidden="false" outlineLevel="0" max="2" min="2" style="1164" width="12.79"/>
    <col collapsed="false" customWidth="true" hidden="false" outlineLevel="0" max="3" min="3" style="1164" width="9.99"/>
    <col collapsed="false" customWidth="true" hidden="false" outlineLevel="0" max="4" min="4" style="1164" width="12.79"/>
    <col collapsed="false" customWidth="true" hidden="false" outlineLevel="0" max="5" min="5" style="1090" width="9.99"/>
    <col collapsed="false" customWidth="true" hidden="false" outlineLevel="0" max="6" min="6" style="1090" width="13.89"/>
    <col collapsed="false" customWidth="true" hidden="false" outlineLevel="0" max="7" min="7" style="1164" width="7.29"/>
    <col collapsed="false" customWidth="true" hidden="false" outlineLevel="0" max="8" min="8" style="1164" width="11.19"/>
    <col collapsed="false" customWidth="true" hidden="false" outlineLevel="0" max="9" min="9" style="1164" width="7.69"/>
    <col collapsed="false" customWidth="true" hidden="false" outlineLevel="0" max="10" min="10" style="1164" width="3.69"/>
    <col collapsed="false" customWidth="true" hidden="false" outlineLevel="0" max="11" min="11" style="1090" width="7.69"/>
    <col collapsed="false" customWidth="true" hidden="false" outlineLevel="0" max="12" min="12" style="1090" width="3.69"/>
    <col collapsed="false" customWidth="true" hidden="false" outlineLevel="0" max="13" min="13" style="1090" width="4.69"/>
    <col collapsed="false" customWidth="true" hidden="false" outlineLevel="0" max="14" min="14" style="1090" width="3.69"/>
    <col collapsed="false" customWidth="true" hidden="false" outlineLevel="0" max="15" min="15" style="1090" width="7.69"/>
    <col collapsed="false" customWidth="true" hidden="false" outlineLevel="0" max="16" min="16" style="1090" width="3.69"/>
    <col collapsed="false" customWidth="true" hidden="false" outlineLevel="0" max="17" min="17" style="1090" width="7.69"/>
    <col collapsed="false" customWidth="true" hidden="false" outlineLevel="0" max="18" min="18" style="1090" width="3.69"/>
    <col collapsed="false" customWidth="true" hidden="false" outlineLevel="0" max="19" min="19" style="1090" width="7.69"/>
    <col collapsed="false" customWidth="true" hidden="false" outlineLevel="0" max="20" min="20" style="1090" width="3.69"/>
    <col collapsed="false" customWidth="true" hidden="false" outlineLevel="0" max="21" min="21" style="1090" width="7.69"/>
    <col collapsed="false" customWidth="true" hidden="false" outlineLevel="0" max="22" min="22" style="1090" width="3.69"/>
    <col collapsed="false" customWidth="true" hidden="false" outlineLevel="0" max="23" min="23" style="1090" width="7.69"/>
    <col collapsed="false" customWidth="true" hidden="false" outlineLevel="0" max="24" min="24" style="1090" width="3.69"/>
    <col collapsed="false" customWidth="false" hidden="false" outlineLevel="0" max="257" min="25" style="1090" width="8.79"/>
  </cols>
  <sheetData>
    <row r="1" customFormat="false" ht="36.75" hidden="false" customHeight="true" outlineLevel="0" collapsed="false">
      <c r="A1" s="1165" t="str">
        <f aca="false">'☆掛負収入'!A2</f>
        <v>令和8年度</v>
      </c>
      <c r="B1" s="1166" t="s">
        <v>660</v>
      </c>
    </row>
    <row r="2" s="1171" customFormat="true" ht="23.25" hidden="false" customHeight="true" outlineLevel="0" collapsed="false">
      <c r="A2" s="1167" t="s">
        <v>661</v>
      </c>
      <c r="B2" s="1167"/>
      <c r="C2" s="1168" t="n">
        <f aca="false">'☆振替R7'!E2</f>
        <v>0.82</v>
      </c>
      <c r="D2" s="1169" t="s">
        <v>662</v>
      </c>
      <c r="E2" s="1170"/>
      <c r="G2" s="1172"/>
      <c r="H2" s="1173"/>
      <c r="I2" s="1172"/>
      <c r="J2" s="1172"/>
    </row>
    <row r="3" customFormat="false" ht="17.25" hidden="false" customHeight="true" outlineLevel="0" collapsed="false">
      <c r="A3" s="1174"/>
      <c r="B3" s="1175"/>
      <c r="C3" s="1176"/>
      <c r="D3" s="1175"/>
      <c r="E3" s="1177"/>
      <c r="H3" s="1178"/>
    </row>
    <row r="4" customFormat="false" ht="31.5" hidden="false" customHeight="true" outlineLevel="0" collapsed="false">
      <c r="A4" s="1179" t="s">
        <v>542</v>
      </c>
      <c r="B4" s="1180" t="s">
        <v>663</v>
      </c>
      <c r="C4" s="1180"/>
      <c r="D4" s="1180" t="s">
        <v>664</v>
      </c>
      <c r="E4" s="1180"/>
      <c r="F4" s="1181" t="s">
        <v>665</v>
      </c>
      <c r="G4" s="1090"/>
      <c r="H4" s="1090"/>
      <c r="I4" s="1090"/>
      <c r="J4" s="1090"/>
    </row>
    <row r="5" s="1164" customFormat="true" ht="36" hidden="false" customHeight="true" outlineLevel="0" collapsed="false">
      <c r="A5" s="1179"/>
      <c r="B5" s="1182" t="s">
        <v>666</v>
      </c>
      <c r="C5" s="1183" t="s">
        <v>667</v>
      </c>
      <c r="D5" s="1182" t="s">
        <v>666</v>
      </c>
      <c r="E5" s="1184" t="s">
        <v>667</v>
      </c>
      <c r="F5" s="1181"/>
    </row>
    <row r="6" customFormat="false" ht="27" hidden="false" customHeight="true" outlineLevel="0" collapsed="false">
      <c r="A6" s="1185" t="s">
        <v>559</v>
      </c>
      <c r="B6" s="1186" t="n">
        <v>320000</v>
      </c>
      <c r="C6" s="1187" t="n">
        <f aca="false">ROUNDDOWN(B6*$C$2/1000,0)</f>
        <v>262</v>
      </c>
      <c r="D6" s="1188"/>
      <c r="E6" s="1189" t="n">
        <f aca="false">ROUNDDOWN(D6*$C$2/1000,0)</f>
        <v>0</v>
      </c>
      <c r="F6" s="1190" t="n">
        <f aca="false">C6+E6</f>
        <v>262</v>
      </c>
      <c r="G6" s="1090"/>
      <c r="H6" s="1090"/>
      <c r="I6" s="1090"/>
      <c r="J6" s="1090"/>
    </row>
    <row r="7" customFormat="false" ht="27" hidden="false" customHeight="true" outlineLevel="0" collapsed="false">
      <c r="A7" s="1191" t="s">
        <v>560</v>
      </c>
      <c r="B7" s="1186" t="n">
        <v>320000</v>
      </c>
      <c r="C7" s="1192" t="n">
        <f aca="false">ROUNDDOWN(B7*$C$2/1000,0)</f>
        <v>262</v>
      </c>
      <c r="D7" s="1188"/>
      <c r="E7" s="1193" t="n">
        <f aca="false">ROUNDDOWN(D7*$C$2/1000,0)</f>
        <v>0</v>
      </c>
      <c r="F7" s="1194" t="n">
        <f aca="false">C7+E7</f>
        <v>262</v>
      </c>
      <c r="G7" s="1090"/>
      <c r="H7" s="1090"/>
      <c r="I7" s="1090"/>
      <c r="J7" s="1090"/>
    </row>
    <row r="8" customFormat="false" ht="27" hidden="false" customHeight="true" outlineLevel="0" collapsed="false">
      <c r="A8" s="1191" t="s">
        <v>561</v>
      </c>
      <c r="B8" s="1186" t="n">
        <v>320000</v>
      </c>
      <c r="C8" s="1192" t="n">
        <f aca="false">ROUNDDOWN(B8*$C$2/1000,0)</f>
        <v>262</v>
      </c>
      <c r="D8" s="1188"/>
      <c r="E8" s="1193" t="n">
        <f aca="false">ROUNDDOWN(D8*$C$2/1000,0)</f>
        <v>0</v>
      </c>
      <c r="F8" s="1194" t="n">
        <f aca="false">C8+E8</f>
        <v>262</v>
      </c>
      <c r="G8" s="1090"/>
      <c r="H8" s="1090"/>
      <c r="I8" s="1090"/>
      <c r="J8" s="1090"/>
    </row>
    <row r="9" customFormat="false" ht="27" hidden="false" customHeight="true" outlineLevel="0" collapsed="false">
      <c r="A9" s="1195" t="s">
        <v>668</v>
      </c>
      <c r="B9" s="1196" t="n">
        <v>343000</v>
      </c>
      <c r="C9" s="1197" t="n">
        <f aca="false">ROUNDDOWN(B9*$C$2/1000,0)</f>
        <v>281</v>
      </c>
      <c r="D9" s="1196"/>
      <c r="E9" s="1198" t="n">
        <f aca="false">ROUNDDOWN(D9*$C$2/1000,0)</f>
        <v>0</v>
      </c>
      <c r="F9" s="1199" t="n">
        <f aca="false">C9+E9</f>
        <v>281</v>
      </c>
      <c r="G9" s="1090"/>
      <c r="H9" s="1090"/>
      <c r="I9" s="1090"/>
      <c r="J9" s="1090"/>
    </row>
    <row r="10" customFormat="false" ht="27" hidden="false" customHeight="true" outlineLevel="0" collapsed="false">
      <c r="A10" s="1191" t="s">
        <v>562</v>
      </c>
      <c r="B10" s="1186" t="n">
        <v>320000</v>
      </c>
      <c r="C10" s="1192" t="n">
        <f aca="false">ROUNDDOWN(B10*$C$2/1000,0)</f>
        <v>262</v>
      </c>
      <c r="D10" s="1200"/>
      <c r="E10" s="1193" t="n">
        <f aca="false">ROUNDDOWN(D10*$C$2/1000,0)</f>
        <v>0</v>
      </c>
      <c r="F10" s="1201" t="n">
        <f aca="false">C10+E10</f>
        <v>262</v>
      </c>
      <c r="G10" s="1090"/>
      <c r="H10" s="1090"/>
      <c r="I10" s="1090"/>
      <c r="J10" s="1090"/>
    </row>
    <row r="11" customFormat="false" ht="27" hidden="false" customHeight="true" outlineLevel="0" collapsed="false">
      <c r="A11" s="1191" t="s">
        <v>563</v>
      </c>
      <c r="B11" s="1186" t="n">
        <v>320000</v>
      </c>
      <c r="C11" s="1192" t="n">
        <f aca="false">ROUNDDOWN(B11*$C$2/1000,0)</f>
        <v>262</v>
      </c>
      <c r="D11" s="1200"/>
      <c r="E11" s="1193" t="n">
        <f aca="false">ROUNDDOWN(D11*$C$2/1000,0)</f>
        <v>0</v>
      </c>
      <c r="F11" s="1194" t="n">
        <f aca="false">C11+E11</f>
        <v>262</v>
      </c>
      <c r="G11" s="1090"/>
      <c r="H11" s="1090"/>
      <c r="I11" s="1090"/>
      <c r="J11" s="1090"/>
    </row>
    <row r="12" customFormat="false" ht="27" hidden="false" customHeight="true" outlineLevel="0" collapsed="false">
      <c r="A12" s="1191" t="s">
        <v>564</v>
      </c>
      <c r="B12" s="1202" t="n">
        <v>340000</v>
      </c>
      <c r="C12" s="1192" t="n">
        <f aca="false">ROUNDDOWN(B12*$C$2/1000,0)</f>
        <v>278</v>
      </c>
      <c r="D12" s="1200"/>
      <c r="E12" s="1193" t="n">
        <f aca="false">ROUNDDOWN(D12*$C$2/1000,0)</f>
        <v>0</v>
      </c>
      <c r="F12" s="1194" t="n">
        <f aca="false">C12+E12</f>
        <v>278</v>
      </c>
      <c r="G12" s="1090"/>
      <c r="H12" s="1090"/>
      <c r="I12" s="1090"/>
      <c r="J12" s="1090"/>
    </row>
    <row r="13" customFormat="false" ht="27" hidden="false" customHeight="true" outlineLevel="0" collapsed="false">
      <c r="A13" s="1203" t="s">
        <v>565</v>
      </c>
      <c r="B13" s="1204" t="n">
        <v>320000</v>
      </c>
      <c r="C13" s="1192" t="n">
        <f aca="false">ROUNDDOWN(B13*$C$2/1000,0)</f>
        <v>262</v>
      </c>
      <c r="D13" s="1200"/>
      <c r="E13" s="1193" t="n">
        <f aca="false">ROUNDDOWN(D13*$C$2/1000,0)</f>
        <v>0</v>
      </c>
      <c r="F13" s="1205" t="n">
        <f aca="false">C13+E13</f>
        <v>262</v>
      </c>
      <c r="G13" s="1090"/>
      <c r="H13" s="1090"/>
      <c r="I13" s="1090"/>
      <c r="J13" s="1090"/>
    </row>
    <row r="14" customFormat="false" ht="27" hidden="false" customHeight="true" outlineLevel="0" collapsed="false">
      <c r="A14" s="1203" t="s">
        <v>566</v>
      </c>
      <c r="B14" s="1204" t="n">
        <v>320000</v>
      </c>
      <c r="C14" s="1192" t="n">
        <f aca="false">ROUNDDOWN(B14*$C$2/1000,0)</f>
        <v>262</v>
      </c>
      <c r="D14" s="1200"/>
      <c r="E14" s="1193" t="n">
        <f aca="false">ROUNDDOWN(D14*$C$2/1000,0)</f>
        <v>0</v>
      </c>
      <c r="F14" s="1205" t="n">
        <f aca="false">C14+E14</f>
        <v>262</v>
      </c>
      <c r="G14" s="1090"/>
      <c r="H14" s="1090"/>
      <c r="I14" s="1090"/>
      <c r="J14" s="1090"/>
    </row>
    <row r="15" customFormat="false" ht="27" hidden="false" customHeight="true" outlineLevel="0" collapsed="false">
      <c r="A15" s="1195" t="s">
        <v>669</v>
      </c>
      <c r="B15" s="1206" t="n">
        <v>305000</v>
      </c>
      <c r="C15" s="1197" t="n">
        <f aca="false">ROUNDDOWN(B15*$C$2/1000,0)</f>
        <v>250</v>
      </c>
      <c r="D15" s="1196"/>
      <c r="E15" s="1198" t="n">
        <f aca="false">ROUNDDOWN(D15*$C$2/1000,0)</f>
        <v>0</v>
      </c>
      <c r="F15" s="1207" t="n">
        <f aca="false">C15+E15</f>
        <v>250</v>
      </c>
      <c r="G15" s="1090"/>
      <c r="H15" s="1090"/>
      <c r="I15" s="1090"/>
      <c r="J15" s="1090"/>
      <c r="K15" s="1090" t="s">
        <v>670</v>
      </c>
    </row>
    <row r="16" customFormat="false" ht="27" hidden="false" customHeight="true" outlineLevel="0" collapsed="false">
      <c r="A16" s="1203" t="s">
        <v>567</v>
      </c>
      <c r="B16" s="1204" t="n">
        <v>320000</v>
      </c>
      <c r="C16" s="1192" t="n">
        <f aca="false">ROUNDDOWN(B16*$C$2/1000,0)</f>
        <v>262</v>
      </c>
      <c r="D16" s="1200"/>
      <c r="E16" s="1193" t="n">
        <f aca="false">ROUNDDOWN(D16*$C$2/1000,0)</f>
        <v>0</v>
      </c>
      <c r="F16" s="1205" t="n">
        <f aca="false">C16+E16</f>
        <v>262</v>
      </c>
      <c r="G16" s="1090"/>
      <c r="H16" s="1090"/>
      <c r="I16" s="1090"/>
      <c r="J16" s="1090"/>
    </row>
    <row r="17" customFormat="false" ht="27" hidden="false" customHeight="true" outlineLevel="0" collapsed="false">
      <c r="A17" s="1203" t="s">
        <v>568</v>
      </c>
      <c r="B17" s="1204" t="n">
        <v>320000</v>
      </c>
      <c r="C17" s="1192" t="n">
        <f aca="false">ROUNDDOWN(B17*$C$2/1000,0)</f>
        <v>262</v>
      </c>
      <c r="D17" s="1200"/>
      <c r="E17" s="1193" t="n">
        <f aca="false">ROUNDDOWN(D17*$C$2/1000,0)</f>
        <v>0</v>
      </c>
      <c r="F17" s="1205" t="n">
        <f aca="false">C17+E17</f>
        <v>262</v>
      </c>
      <c r="G17" s="1090"/>
      <c r="H17" s="1090"/>
      <c r="I17" s="1090"/>
      <c r="J17" s="1090"/>
    </row>
    <row r="18" customFormat="false" ht="27" hidden="false" customHeight="true" outlineLevel="0" collapsed="false">
      <c r="A18" s="1203" t="s">
        <v>569</v>
      </c>
      <c r="B18" s="1204" t="n">
        <v>320000</v>
      </c>
      <c r="C18" s="1192" t="n">
        <f aca="false">ROUNDDOWN(B18*$C$2/1000,0)</f>
        <v>262</v>
      </c>
      <c r="D18" s="1200"/>
      <c r="E18" s="1193" t="n">
        <f aca="false">ROUNDDOWN(D18*$C$2/1000,0)</f>
        <v>0</v>
      </c>
      <c r="F18" s="1205" t="n">
        <f aca="false">C18+E18</f>
        <v>262</v>
      </c>
      <c r="G18" s="1090"/>
      <c r="H18" s="1090"/>
      <c r="I18" s="1090"/>
      <c r="J18" s="1090"/>
    </row>
    <row r="19" customFormat="false" ht="27" hidden="false" customHeight="true" outlineLevel="0" collapsed="false">
      <c r="A19" s="1208" t="s">
        <v>671</v>
      </c>
      <c r="B19" s="1206" t="n">
        <v>93000</v>
      </c>
      <c r="C19" s="1197" t="n">
        <f aca="false">ROUNDDOWN(B19*$C$2/1000,0)</f>
        <v>76</v>
      </c>
      <c r="D19" s="1196"/>
      <c r="E19" s="1198" t="n">
        <f aca="false">ROUNDDOWN(D19*$C$2/1000,0)</f>
        <v>0</v>
      </c>
      <c r="F19" s="1207" t="n">
        <f aca="false">C19+E19</f>
        <v>76</v>
      </c>
      <c r="G19" s="1090"/>
      <c r="H19" s="1090"/>
      <c r="I19" s="1090"/>
      <c r="J19" s="1090"/>
    </row>
    <row r="20" customFormat="false" ht="27" hidden="false" customHeight="true" outlineLevel="0" collapsed="false">
      <c r="A20" s="1209" t="s">
        <v>570</v>
      </c>
      <c r="B20" s="1204" t="n">
        <v>320000</v>
      </c>
      <c r="C20" s="1192" t="n">
        <f aca="false">ROUNDDOWN(B20*$C$2/1000,0)</f>
        <v>262</v>
      </c>
      <c r="D20" s="1200"/>
      <c r="E20" s="1193" t="n">
        <f aca="false">ROUNDDOWN(D20*$C$2/1000,0)</f>
        <v>0</v>
      </c>
      <c r="F20" s="1205" t="n">
        <f aca="false">C20+E20</f>
        <v>262</v>
      </c>
      <c r="G20" s="1090"/>
      <c r="H20" s="1090"/>
      <c r="I20" s="1090"/>
      <c r="J20" s="1090"/>
    </row>
    <row r="21" customFormat="false" ht="27" hidden="false" customHeight="true" outlineLevel="0" collapsed="false">
      <c r="A21" s="1210" t="s">
        <v>672</v>
      </c>
      <c r="B21" s="1211" t="n">
        <v>44000</v>
      </c>
      <c r="C21" s="1212" t="n">
        <f aca="false">ROUNDDOWN(B21*$C$2/1000,0)</f>
        <v>36</v>
      </c>
      <c r="D21" s="1213" t="n">
        <v>0</v>
      </c>
      <c r="E21" s="1214" t="n">
        <f aca="false">ROUNDDOWN(D21*$C$2/1000,0)</f>
        <v>0</v>
      </c>
      <c r="F21" s="1215" t="n">
        <f aca="false">C21+E21</f>
        <v>36</v>
      </c>
      <c r="G21" s="1090"/>
      <c r="H21" s="1090"/>
      <c r="I21" s="1090"/>
      <c r="J21" s="1090"/>
    </row>
    <row r="22" customFormat="false" ht="27" hidden="false" customHeight="true" outlineLevel="0" collapsed="false">
      <c r="A22" s="1216" t="s">
        <v>673</v>
      </c>
      <c r="B22" s="1211" t="n">
        <v>30000</v>
      </c>
      <c r="C22" s="1217" t="n">
        <f aca="false">ROUNDDOWN(B22*$C$2/1000,0)</f>
        <v>24</v>
      </c>
      <c r="D22" s="1218" t="n">
        <v>0</v>
      </c>
      <c r="E22" s="1219" t="n">
        <f aca="false">ROUNDDOWN(D22*$C$2/1000,0)</f>
        <v>0</v>
      </c>
      <c r="F22" s="1220" t="n">
        <f aca="false">C22+E22</f>
        <v>24</v>
      </c>
      <c r="G22" s="1090"/>
      <c r="H22" s="1090"/>
      <c r="I22" s="1090"/>
      <c r="J22" s="1090"/>
    </row>
    <row r="23" customFormat="false" ht="13.5" hidden="false" customHeight="true" outlineLevel="0" collapsed="false"/>
    <row r="24" s="1171" customFormat="true" ht="18" hidden="false" customHeight="true" outlineLevel="0" collapsed="false">
      <c r="A24" s="1221" t="s">
        <v>674</v>
      </c>
      <c r="B24" s="1172"/>
      <c r="C24" s="1172"/>
      <c r="D24" s="1172"/>
      <c r="G24" s="1172"/>
      <c r="H24" s="1172"/>
      <c r="I24" s="1172"/>
      <c r="J24" s="1172"/>
    </row>
    <row r="25" s="1171" customFormat="true" ht="18" hidden="false" customHeight="true" outlineLevel="0" collapsed="false">
      <c r="A25" s="1221" t="s">
        <v>675</v>
      </c>
      <c r="B25" s="1172"/>
      <c r="C25" s="1172"/>
      <c r="D25" s="1172"/>
      <c r="G25" s="1172"/>
      <c r="H25" s="1172"/>
      <c r="I25" s="1172"/>
      <c r="J25" s="1172"/>
    </row>
  </sheetData>
  <mergeCells count="5">
    <mergeCell ref="A2:B2"/>
    <mergeCell ref="A4:A5"/>
    <mergeCell ref="B4:C4"/>
    <mergeCell ref="D4:E4"/>
    <mergeCell ref="F4:F5"/>
  </mergeCells>
  <printOptions headings="false" gridLines="false" gridLinesSet="true" horizontalCentered="true" verticalCentered="false"/>
  <pageMargins left="0" right="0" top="0.590277777777778"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B1:AR150"/>
  <sheetViews>
    <sheetView showFormulas="false" showGridLines="true" showRowColHeaders="true" showZeros="true" rightToLeft="false" tabSelected="false" showOutlineSymbols="true" defaultGridColor="true" view="normal" topLeftCell="X29" colorId="64" zoomScale="55" zoomScaleNormal="55" zoomScalePageLayoutView="70" workbookViewId="0">
      <selection pane="topLeft" activeCell="D41" activeCellId="0" sqref="D41"/>
    </sheetView>
  </sheetViews>
  <sheetFormatPr defaultColWidth="10.69140625" defaultRowHeight="18" zeroHeight="false" outlineLevelRow="0" outlineLevelCol="0"/>
  <cols>
    <col collapsed="false" customWidth="true" hidden="false" outlineLevel="0" max="1" min="1" style="1222" width="1.99"/>
    <col collapsed="false" customWidth="true" hidden="false" outlineLevel="0" max="2" min="2" style="1222" width="13.59"/>
    <col collapsed="false" customWidth="true" hidden="false" outlineLevel="0" max="3" min="3" style="1222" width="19.09"/>
    <col collapsed="false" customWidth="true" hidden="false" outlineLevel="0" max="6" min="4" style="1222" width="29.89"/>
    <col collapsed="false" customWidth="true" hidden="false" outlineLevel="0" max="8" min="7" style="1222" width="1.99"/>
    <col collapsed="false" customWidth="true" hidden="false" outlineLevel="0" max="9" min="9" style="1222" width="16.69"/>
    <col collapsed="false" customWidth="true" hidden="false" outlineLevel="0" max="10" min="10" style="1222" width="24.29"/>
    <col collapsed="false" customWidth="true" hidden="false" outlineLevel="0" max="11" min="11" style="1222" width="20"/>
    <col collapsed="false" customWidth="true" hidden="false" outlineLevel="0" max="13" min="12" style="1222" width="9.99"/>
    <col collapsed="false" customWidth="true" hidden="false" outlineLevel="0" max="14" min="14" style="1222" width="20"/>
    <col collapsed="false" customWidth="true" hidden="false" outlineLevel="0" max="15" min="15" style="1222" width="1.89"/>
    <col collapsed="false" customWidth="true" hidden="false" outlineLevel="0" max="16" min="16" style="1222" width="1.99"/>
    <col collapsed="false" customWidth="true" hidden="false" outlineLevel="0" max="17" min="17" style="1222" width="13.99"/>
    <col collapsed="false" customWidth="true" hidden="false" outlineLevel="0" max="18" min="18" style="1222" width="21"/>
    <col collapsed="false" customWidth="true" hidden="false" outlineLevel="0" max="24" min="19" style="1222" width="13.49"/>
    <col collapsed="false" customWidth="true" hidden="false" outlineLevel="0" max="26" min="25" style="1222" width="1.99"/>
    <col collapsed="false" customWidth="true" hidden="false" outlineLevel="0" max="27" min="27" style="1222" width="29.69"/>
    <col collapsed="false" customWidth="true" hidden="false" outlineLevel="0" max="28" min="28" style="1222" width="27.19"/>
    <col collapsed="false" customWidth="true" hidden="false" outlineLevel="0" max="32" min="29" style="1222" width="13.59"/>
    <col collapsed="false" customWidth="true" hidden="false" outlineLevel="0" max="34" min="33" style="1222" width="1.99"/>
    <col collapsed="false" customWidth="true" hidden="false" outlineLevel="0" max="35" min="35" style="1222" width="13.99"/>
    <col collapsed="false" customWidth="true" hidden="false" outlineLevel="0" max="36" min="36" style="1222" width="21.09"/>
    <col collapsed="false" customWidth="true" hidden="false" outlineLevel="0" max="42" min="37" style="1222" width="13.49"/>
    <col collapsed="false" customWidth="true" hidden="false" outlineLevel="0" max="43" min="43" style="1222" width="1.69"/>
    <col collapsed="false" customWidth="false" hidden="false" outlineLevel="0" max="257" min="44" style="1222" width="10.69"/>
  </cols>
  <sheetData>
    <row r="1" s="945" customFormat="true" ht="17.25" hidden="false" customHeight="true" outlineLevel="0" collapsed="false">
      <c r="B1" s="1223" t="s">
        <v>676</v>
      </c>
      <c r="C1" s="1224"/>
      <c r="D1" s="1224"/>
      <c r="E1" s="1224"/>
      <c r="F1" s="1224"/>
      <c r="G1" s="1225"/>
      <c r="H1" s="1224"/>
      <c r="I1" s="1223" t="s">
        <v>676</v>
      </c>
      <c r="J1" s="1224"/>
      <c r="K1" s="1224"/>
      <c r="L1" s="1224"/>
      <c r="M1" s="1224"/>
      <c r="N1" s="1224"/>
      <c r="O1" s="1224"/>
      <c r="P1" s="1224"/>
      <c r="Q1" s="1223" t="s">
        <v>676</v>
      </c>
      <c r="R1" s="1224"/>
      <c r="S1" s="1224"/>
      <c r="T1" s="1224"/>
      <c r="U1" s="1224"/>
      <c r="V1" s="1224"/>
      <c r="W1" s="1224"/>
      <c r="X1" s="1224"/>
      <c r="Y1" s="1224"/>
      <c r="Z1" s="1224"/>
      <c r="AB1" s="1224"/>
      <c r="AC1" s="1224"/>
      <c r="AD1" s="1224"/>
      <c r="AE1" s="1224"/>
      <c r="AF1" s="1224"/>
      <c r="AG1" s="1224"/>
      <c r="AH1" s="1224"/>
      <c r="AI1" s="1223" t="s">
        <v>677</v>
      </c>
      <c r="AJ1" s="1224"/>
      <c r="AK1" s="1224"/>
      <c r="AL1" s="1224"/>
      <c r="AM1" s="1224"/>
      <c r="AN1" s="1224"/>
      <c r="AO1" s="1224"/>
      <c r="AP1" s="1224"/>
    </row>
    <row r="2" customFormat="false" ht="24" hidden="false" customHeight="true" outlineLevel="0" collapsed="false">
      <c r="B2" s="1226" t="s">
        <v>678</v>
      </c>
      <c r="C2" s="1226"/>
      <c r="D2" s="1226"/>
      <c r="E2" s="1226"/>
      <c r="F2" s="1226"/>
      <c r="G2" s="1227"/>
      <c r="H2" s="1228"/>
      <c r="I2" s="1229" t="s">
        <v>679</v>
      </c>
      <c r="J2" s="1229"/>
      <c r="K2" s="1229"/>
      <c r="L2" s="1229"/>
      <c r="M2" s="1229"/>
      <c r="N2" s="1229"/>
      <c r="O2" s="1228"/>
      <c r="P2" s="1230"/>
      <c r="Q2" s="1231" t="s">
        <v>680</v>
      </c>
      <c r="R2" s="1231"/>
      <c r="S2" s="1231"/>
      <c r="T2" s="1231"/>
      <c r="U2" s="1231"/>
      <c r="V2" s="1231"/>
      <c r="W2" s="1231"/>
      <c r="X2" s="1231"/>
      <c r="Y2" s="1228"/>
      <c r="Z2" s="1228"/>
      <c r="AA2" s="1232" t="s">
        <v>681</v>
      </c>
      <c r="AB2" s="1232"/>
      <c r="AC2" s="1232"/>
      <c r="AD2" s="1232"/>
      <c r="AE2" s="1232"/>
      <c r="AF2" s="1232"/>
      <c r="AG2" s="1228"/>
      <c r="AH2" s="1228"/>
      <c r="AI2" s="1226" t="s">
        <v>682</v>
      </c>
      <c r="AJ2" s="1226"/>
      <c r="AK2" s="1226"/>
      <c r="AL2" s="1226"/>
      <c r="AM2" s="1226"/>
      <c r="AN2" s="1226"/>
      <c r="AO2" s="1226"/>
      <c r="AP2" s="1226"/>
    </row>
    <row r="3" customFormat="false" ht="32.25" hidden="false" customHeight="true" outlineLevel="0" collapsed="false">
      <c r="F3" s="1233" t="s">
        <v>683</v>
      </c>
      <c r="G3" s="1234"/>
      <c r="L3" s="1228"/>
      <c r="M3" s="1235"/>
      <c r="N3" s="1233" t="s">
        <v>683</v>
      </c>
      <c r="U3" s="1228"/>
      <c r="V3" s="1228"/>
      <c r="W3" s="1228"/>
      <c r="X3" s="1233" t="s">
        <v>683</v>
      </c>
      <c r="AD3" s="1228"/>
      <c r="AE3" s="1228"/>
      <c r="AF3" s="1233" t="s">
        <v>683</v>
      </c>
      <c r="AM3" s="1228"/>
      <c r="AN3" s="1228"/>
      <c r="AO3" s="1228"/>
      <c r="AP3" s="1233" t="s">
        <v>683</v>
      </c>
    </row>
    <row r="4" customFormat="false" ht="23.25" hidden="false" customHeight="true" outlineLevel="0" collapsed="false">
      <c r="E4" s="1236"/>
      <c r="F4" s="1237"/>
      <c r="G4" s="1234"/>
      <c r="L4" s="1236"/>
      <c r="M4" s="1236"/>
      <c r="N4" s="1237"/>
      <c r="U4" s="1236"/>
      <c r="V4" s="1236"/>
      <c r="W4" s="1236"/>
      <c r="X4" s="1237"/>
      <c r="AD4" s="1236"/>
      <c r="AE4" s="1236"/>
      <c r="AF4" s="1237"/>
      <c r="AM4" s="1236"/>
      <c r="AN4" s="1236"/>
      <c r="AO4" s="1236"/>
      <c r="AP4" s="1237"/>
    </row>
    <row r="5" customFormat="false" ht="24.75" hidden="false" customHeight="true" outlineLevel="0" collapsed="false">
      <c r="B5" s="1238" t="str">
        <f aca="false">'☆掛負収入'!A2</f>
        <v>令和8年度</v>
      </c>
      <c r="C5" s="1239"/>
      <c r="D5" s="1240"/>
      <c r="F5" s="1241" t="s">
        <v>684</v>
      </c>
      <c r="G5" s="1234"/>
      <c r="I5" s="1242" t="str">
        <f aca="false">B5</f>
        <v>令和8年度</v>
      </c>
      <c r="M5" s="1243" t="s">
        <v>684</v>
      </c>
      <c r="Q5" s="1244" t="str">
        <f aca="false">I5</f>
        <v>令和8年度</v>
      </c>
      <c r="X5" s="1241" t="s">
        <v>684</v>
      </c>
      <c r="AA5" s="1245" t="str">
        <f aca="false">'☆掛負収入'!A2</f>
        <v>令和8年度</v>
      </c>
      <c r="AF5" s="1243" t="s">
        <v>684</v>
      </c>
      <c r="AI5" s="1244" t="str">
        <f aca="false">Q5</f>
        <v>令和8年度</v>
      </c>
      <c r="AP5" s="1241" t="s">
        <v>684</v>
      </c>
    </row>
    <row r="6" customFormat="false" ht="26.25" hidden="false" customHeight="true" outlineLevel="0" collapsed="false">
      <c r="B6" s="1246" t="s">
        <v>685</v>
      </c>
      <c r="C6" s="1246"/>
      <c r="D6" s="1247" t="s">
        <v>686</v>
      </c>
      <c r="E6" s="1247"/>
      <c r="F6" s="1248" t="n">
        <f aca="false">'☆振替R7'!D2+'☆振替R7'!E2</f>
        <v>5.46</v>
      </c>
      <c r="G6" s="1234"/>
      <c r="I6" s="1246" t="s">
        <v>685</v>
      </c>
      <c r="J6" s="1246"/>
      <c r="K6" s="1249" t="s">
        <v>687</v>
      </c>
      <c r="L6" s="1249"/>
      <c r="M6" s="1250" t="n">
        <f aca="false">'☆振替R7'!F2</f>
        <v>0.05</v>
      </c>
      <c r="N6" s="1234"/>
      <c r="Q6" s="1246" t="s">
        <v>685</v>
      </c>
      <c r="R6" s="1246"/>
      <c r="S6" s="1246" t="s">
        <v>688</v>
      </c>
      <c r="T6" s="1246"/>
      <c r="U6" s="1246"/>
      <c r="V6" s="1251" t="s">
        <v>687</v>
      </c>
      <c r="W6" s="1251"/>
      <c r="X6" s="1252" t="n">
        <f aca="false">'☆振替R7'!G2</f>
        <v>1.1</v>
      </c>
      <c r="AA6" s="1246" t="s">
        <v>689</v>
      </c>
      <c r="AB6" s="1253" t="s">
        <v>690</v>
      </c>
      <c r="AC6" s="1253"/>
      <c r="AD6" s="1251" t="s">
        <v>691</v>
      </c>
      <c r="AE6" s="1251"/>
      <c r="AF6" s="1252" t="n">
        <f aca="false">'☆振替R7'!H2</f>
        <v>0.2</v>
      </c>
      <c r="AI6" s="1246" t="s">
        <v>685</v>
      </c>
      <c r="AJ6" s="1246"/>
      <c r="AK6" s="1246" t="s">
        <v>688</v>
      </c>
      <c r="AL6" s="1246"/>
      <c r="AM6" s="1246"/>
      <c r="AN6" s="1254" t="s">
        <v>692</v>
      </c>
      <c r="AO6" s="1254"/>
      <c r="AP6" s="1254"/>
    </row>
    <row r="7" customFormat="false" ht="26.25" hidden="false" customHeight="true" outlineLevel="0" collapsed="false">
      <c r="B7" s="1246"/>
      <c r="C7" s="1246"/>
      <c r="D7" s="1253" t="s">
        <v>693</v>
      </c>
      <c r="E7" s="1253" t="s">
        <v>694</v>
      </c>
      <c r="F7" s="1255" t="s">
        <v>695</v>
      </c>
      <c r="G7" s="1256"/>
      <c r="H7" s="1234"/>
      <c r="I7" s="1246"/>
      <c r="J7" s="1246"/>
      <c r="K7" s="1249"/>
      <c r="L7" s="1249"/>
      <c r="M7" s="1250"/>
      <c r="N7" s="1234"/>
      <c r="Q7" s="1246"/>
      <c r="R7" s="1246"/>
      <c r="S7" s="1246"/>
      <c r="T7" s="1246"/>
      <c r="U7" s="1246"/>
      <c r="V7" s="1251"/>
      <c r="W7" s="1251"/>
      <c r="X7" s="1252"/>
      <c r="AA7" s="1246"/>
      <c r="AB7" s="1253"/>
      <c r="AC7" s="1253"/>
      <c r="AD7" s="1251"/>
      <c r="AE7" s="1251"/>
      <c r="AF7" s="1252"/>
      <c r="AI7" s="1246"/>
      <c r="AJ7" s="1246"/>
      <c r="AK7" s="1246"/>
      <c r="AL7" s="1246"/>
      <c r="AM7" s="1246"/>
      <c r="AN7" s="1257" t="s">
        <v>696</v>
      </c>
      <c r="AO7" s="1257"/>
      <c r="AP7" s="1258" t="n">
        <f aca="false">'☆振替R7'!I2</f>
        <v>0.024</v>
      </c>
    </row>
    <row r="8" customFormat="false" ht="26.25" hidden="false" customHeight="true" outlineLevel="0" collapsed="false">
      <c r="B8" s="1116" t="s">
        <v>697</v>
      </c>
      <c r="C8" s="1115" t="s">
        <v>698</v>
      </c>
      <c r="D8" s="1259" t="n">
        <v>46346523</v>
      </c>
      <c r="E8" s="1259" t="n">
        <v>6062198</v>
      </c>
      <c r="F8" s="1260" t="n">
        <f aca="false">SUM(D8:E8)</f>
        <v>52408721</v>
      </c>
      <c r="G8" s="1256"/>
      <c r="H8" s="1234"/>
      <c r="I8" s="1261" t="s">
        <v>699</v>
      </c>
      <c r="J8" s="1262" t="s">
        <v>698</v>
      </c>
      <c r="K8" s="1263" t="n">
        <v>919859</v>
      </c>
      <c r="L8" s="1263"/>
      <c r="M8" s="1263"/>
      <c r="N8" s="1264"/>
      <c r="O8" s="1234"/>
      <c r="P8" s="1234"/>
      <c r="Q8" s="1261" t="s">
        <v>699</v>
      </c>
      <c r="R8" s="1262" t="s">
        <v>698</v>
      </c>
      <c r="S8" s="1263" t="n">
        <v>9195736000</v>
      </c>
      <c r="T8" s="1263"/>
      <c r="U8" s="1263"/>
      <c r="V8" s="1263" t="n">
        <v>10115309</v>
      </c>
      <c r="W8" s="1263"/>
      <c r="X8" s="1263"/>
      <c r="Y8" s="1256"/>
      <c r="Z8" s="1234"/>
      <c r="AA8" s="1246" t="s">
        <v>700</v>
      </c>
      <c r="AB8" s="1265" t="n">
        <f aca="false">'☆振替R7'!B26</f>
        <v>7643087000</v>
      </c>
      <c r="AC8" s="1265"/>
      <c r="AD8" s="1266" t="n">
        <f aca="false">ROUNDDOWN(AB8*AF6/1000,0)</f>
        <v>1528617</v>
      </c>
      <c r="AE8" s="1266"/>
      <c r="AF8" s="1266"/>
      <c r="AG8" s="1234"/>
      <c r="AH8" s="1234"/>
      <c r="AI8" s="1261" t="s">
        <v>699</v>
      </c>
      <c r="AJ8" s="1262" t="s">
        <v>698</v>
      </c>
      <c r="AK8" s="1263" t="n">
        <v>9195736000</v>
      </c>
      <c r="AL8" s="1263"/>
      <c r="AM8" s="1263"/>
      <c r="AN8" s="1266" t="n">
        <f aca="false">ROUNDDOWN(AK8*AR8/1000,0)</f>
        <v>220697</v>
      </c>
      <c r="AO8" s="1266"/>
      <c r="AP8" s="1266"/>
      <c r="AR8" s="1222" t="n">
        <v>0.024</v>
      </c>
    </row>
    <row r="9" customFormat="false" ht="26.25" hidden="false" customHeight="true" outlineLevel="0" collapsed="false">
      <c r="B9" s="1116"/>
      <c r="C9" s="1115" t="s">
        <v>701</v>
      </c>
      <c r="D9" s="1267" t="n">
        <v>46347178</v>
      </c>
      <c r="E9" s="1267" t="n">
        <v>6062198</v>
      </c>
      <c r="F9" s="1260" t="n">
        <f aca="false">SUM(D9:E9)</f>
        <v>52409376</v>
      </c>
      <c r="G9" s="1256"/>
      <c r="H9" s="1234"/>
      <c r="I9" s="1261"/>
      <c r="J9" s="1262" t="s">
        <v>702</v>
      </c>
      <c r="K9" s="1268" t="n">
        <v>919859</v>
      </c>
      <c r="L9" s="1268"/>
      <c r="M9" s="1268"/>
      <c r="N9" s="1264"/>
      <c r="Q9" s="1261"/>
      <c r="R9" s="1262" t="s">
        <v>702</v>
      </c>
      <c r="S9" s="1268" t="n">
        <v>9195866000</v>
      </c>
      <c r="T9" s="1268"/>
      <c r="U9" s="1268"/>
      <c r="V9" s="1266" t="n">
        <f aca="false">ROUNDDOWN(S9*X6/1000,0)</f>
        <v>10115452</v>
      </c>
      <c r="W9" s="1266"/>
      <c r="X9" s="1266"/>
      <c r="Y9" s="1256"/>
      <c r="AA9" s="1246"/>
      <c r="AB9" s="1265"/>
      <c r="AC9" s="1265"/>
      <c r="AD9" s="1266"/>
      <c r="AE9" s="1266"/>
      <c r="AF9" s="1266"/>
      <c r="AI9" s="1261"/>
      <c r="AJ9" s="1262" t="s">
        <v>702</v>
      </c>
      <c r="AK9" s="1268" t="n">
        <v>9195866000</v>
      </c>
      <c r="AL9" s="1268"/>
      <c r="AM9" s="1268"/>
      <c r="AN9" s="1266" t="n">
        <f aca="false">ROUNDDOWN(AK9*AR9/1000,0)</f>
        <v>220700</v>
      </c>
      <c r="AO9" s="1266"/>
      <c r="AP9" s="1266"/>
      <c r="AR9" s="1222" t="n">
        <v>0.024</v>
      </c>
    </row>
    <row r="10" customFormat="false" ht="26.25" hidden="false" customHeight="true" outlineLevel="0" collapsed="false">
      <c r="B10" s="1246" t="s">
        <v>703</v>
      </c>
      <c r="C10" s="1246"/>
      <c r="D10" s="1260" t="n">
        <f aca="false">D8-D9</f>
        <v>-655</v>
      </c>
      <c r="E10" s="1269" t="n">
        <f aca="false">E8-E9</f>
        <v>0</v>
      </c>
      <c r="F10" s="1260" t="n">
        <f aca="false">F8-F9</f>
        <v>-655</v>
      </c>
      <c r="G10" s="1256"/>
      <c r="I10" s="1246" t="s">
        <v>704</v>
      </c>
      <c r="J10" s="1246"/>
      <c r="K10" s="1270" t="n">
        <f aca="false">K8-K9</f>
        <v>0</v>
      </c>
      <c r="L10" s="1270"/>
      <c r="M10" s="1270"/>
      <c r="N10" s="1264"/>
      <c r="Q10" s="1246" t="s">
        <v>704</v>
      </c>
      <c r="R10" s="1246"/>
      <c r="S10" s="1266" t="n">
        <f aca="false">S8-S9</f>
        <v>-130000</v>
      </c>
      <c r="T10" s="1266"/>
      <c r="U10" s="1266"/>
      <c r="V10" s="1266" t="n">
        <f aca="false">V8-V9</f>
        <v>-143</v>
      </c>
      <c r="W10" s="1266"/>
      <c r="X10" s="1266"/>
      <c r="AA10" s="1246" t="s">
        <v>705</v>
      </c>
      <c r="AB10" s="1265" t="n">
        <f aca="false">'☆振替R7'!B57</f>
        <v>6776359000</v>
      </c>
      <c r="AC10" s="1265"/>
      <c r="AD10" s="1266" t="n">
        <f aca="false">ROUNDDOWN(AB10*AF6/1000,0)</f>
        <v>1355271</v>
      </c>
      <c r="AE10" s="1266"/>
      <c r="AF10" s="1266"/>
      <c r="AI10" s="1246" t="s">
        <v>704</v>
      </c>
      <c r="AJ10" s="1246"/>
      <c r="AK10" s="1266" t="n">
        <f aca="false">AK8-AK9</f>
        <v>-130000</v>
      </c>
      <c r="AL10" s="1266"/>
      <c r="AM10" s="1266"/>
      <c r="AN10" s="1266" t="n">
        <f aca="false">AN8-AN9</f>
        <v>-3</v>
      </c>
      <c r="AO10" s="1266"/>
      <c r="AP10" s="1266"/>
    </row>
    <row r="11" customFormat="false" ht="26.25" hidden="false" customHeight="true" outlineLevel="0" collapsed="false">
      <c r="B11" s="1271" t="s">
        <v>706</v>
      </c>
      <c r="C11" s="1272" t="s">
        <v>707</v>
      </c>
      <c r="D11" s="1260" t="n">
        <f aca="false">'☆振替R7'!D10:E10+'☆振替R7'!D21</f>
        <v>35463930</v>
      </c>
      <c r="E11" s="1260" t="n">
        <f aca="false">'☆振替R7'!E21</f>
        <v>4025496</v>
      </c>
      <c r="F11" s="1260" t="n">
        <f aca="false">SUM(D11:E11)</f>
        <v>39489426</v>
      </c>
      <c r="G11" s="1256"/>
      <c r="I11" s="1271" t="s">
        <v>706</v>
      </c>
      <c r="J11" s="1272" t="s">
        <v>707</v>
      </c>
      <c r="K11" s="1266" t="n">
        <f aca="false">'☆振替R7'!F21</f>
        <v>334776</v>
      </c>
      <c r="L11" s="1266"/>
      <c r="M11" s="1266"/>
      <c r="N11" s="1264"/>
      <c r="Q11" s="1271" t="s">
        <v>706</v>
      </c>
      <c r="R11" s="1272" t="s">
        <v>707</v>
      </c>
      <c r="S11" s="1266" t="n">
        <f aca="false">'☆振替R7'!B26</f>
        <v>7643087000</v>
      </c>
      <c r="T11" s="1266"/>
      <c r="U11" s="1266"/>
      <c r="V11" s="1266" t="n">
        <f aca="false">ROUNDDOWN(S11*X6/1000,0)</f>
        <v>8407395</v>
      </c>
      <c r="W11" s="1266"/>
      <c r="X11" s="1266"/>
      <c r="AA11" s="1246"/>
      <c r="AB11" s="1265"/>
      <c r="AC11" s="1265"/>
      <c r="AD11" s="1266"/>
      <c r="AE11" s="1266"/>
      <c r="AF11" s="1266"/>
      <c r="AI11" s="1271" t="s">
        <v>706</v>
      </c>
      <c r="AJ11" s="1272" t="s">
        <v>707</v>
      </c>
      <c r="AK11" s="1266" t="n">
        <f aca="false">'☆振替R7'!B26</f>
        <v>7643087000</v>
      </c>
      <c r="AL11" s="1266"/>
      <c r="AM11" s="1266"/>
      <c r="AN11" s="1266" t="n">
        <f aca="false">ROUNDDOWN(AK11*AP7/1000,0)</f>
        <v>183434</v>
      </c>
      <c r="AO11" s="1266"/>
      <c r="AP11" s="1266"/>
    </row>
    <row r="12" customFormat="false" ht="26.25" hidden="false" customHeight="true" outlineLevel="0" collapsed="false">
      <c r="B12" s="1271" t="s">
        <v>708</v>
      </c>
      <c r="C12" s="1272" t="s">
        <v>709</v>
      </c>
      <c r="D12" s="1260" t="n">
        <f aca="false">'☆振替R7'!D41:E41+'☆振替R7'!D52</f>
        <v>31442308</v>
      </c>
      <c r="E12" s="1260" t="n">
        <f aca="false">'☆振替R7'!E52</f>
        <v>4057893</v>
      </c>
      <c r="F12" s="1260" t="n">
        <f aca="false">SUM(D12:E12)</f>
        <v>35500201</v>
      </c>
      <c r="G12" s="1256"/>
      <c r="I12" s="1271" t="s">
        <v>708</v>
      </c>
      <c r="J12" s="1272" t="s">
        <v>709</v>
      </c>
      <c r="K12" s="1266" t="n">
        <f aca="false">'☆振替R7'!F52</f>
        <v>337874</v>
      </c>
      <c r="L12" s="1266"/>
      <c r="M12" s="1266"/>
      <c r="N12" s="1264"/>
      <c r="Q12" s="1271" t="s">
        <v>708</v>
      </c>
      <c r="R12" s="1272" t="s">
        <v>709</v>
      </c>
      <c r="S12" s="1266" t="n">
        <f aca="false">'☆振替R7'!B57</f>
        <v>6776359000</v>
      </c>
      <c r="T12" s="1266"/>
      <c r="U12" s="1266"/>
      <c r="V12" s="1266" t="n">
        <f aca="false">ROUNDDOWN(S12*X6/1000,0)</f>
        <v>7453994</v>
      </c>
      <c r="W12" s="1266"/>
      <c r="X12" s="1266"/>
      <c r="AA12" s="1246" t="s">
        <v>710</v>
      </c>
      <c r="AB12" s="1265" t="n">
        <f aca="false">'☆振替R7'!B88+'☆振替R7'!B119</f>
        <v>18622020000</v>
      </c>
      <c r="AC12" s="1265"/>
      <c r="AD12" s="1266" t="n">
        <f aca="false">ROUNDDOWN(AB12*AF6/1000,0)</f>
        <v>3724404</v>
      </c>
      <c r="AE12" s="1266"/>
      <c r="AF12" s="1266"/>
      <c r="AI12" s="1271" t="s">
        <v>708</v>
      </c>
      <c r="AJ12" s="1272" t="s">
        <v>709</v>
      </c>
      <c r="AK12" s="1266" t="n">
        <f aca="false">'☆振替R7'!B57</f>
        <v>6776359000</v>
      </c>
      <c r="AL12" s="1266"/>
      <c r="AM12" s="1266"/>
      <c r="AN12" s="1266" t="n">
        <f aca="false">ROUNDDOWN(AK12*AP7/1000,0)</f>
        <v>162632</v>
      </c>
      <c r="AO12" s="1266"/>
      <c r="AP12" s="1266"/>
    </row>
    <row r="13" customFormat="false" ht="26.25" hidden="false" customHeight="true" outlineLevel="0" collapsed="false">
      <c r="B13" s="1271" t="s">
        <v>711</v>
      </c>
      <c r="C13" s="1272" t="s">
        <v>712</v>
      </c>
      <c r="D13" s="1260" t="n">
        <f aca="false">'☆振替R7'!D72:E72+'☆振替R7'!D83+'☆振替R7'!D103:E103+'☆振替R7'!D114</f>
        <v>86406179</v>
      </c>
      <c r="E13" s="1260" t="n">
        <f aca="false">'☆振替R7'!E83+'☆振替R7'!E114</f>
        <v>11759303</v>
      </c>
      <c r="F13" s="1260" t="n">
        <f aca="false">SUM(D13:E13)</f>
        <v>98165482</v>
      </c>
      <c r="G13" s="1234"/>
      <c r="I13" s="1271" t="s">
        <v>711</v>
      </c>
      <c r="J13" s="1272" t="s">
        <v>713</v>
      </c>
      <c r="K13" s="1266" t="n">
        <f aca="false">'☆振替R7'!F83+'☆振替R7'!F114</f>
        <v>929791</v>
      </c>
      <c r="L13" s="1266"/>
      <c r="M13" s="1266"/>
      <c r="N13" s="1264"/>
      <c r="Q13" s="1271" t="s">
        <v>711</v>
      </c>
      <c r="R13" s="1272" t="s">
        <v>713</v>
      </c>
      <c r="S13" s="1266" t="n">
        <f aca="false">'☆振替R7'!B88+'☆振替R7'!B119</f>
        <v>18622020000</v>
      </c>
      <c r="T13" s="1266"/>
      <c r="U13" s="1266"/>
      <c r="V13" s="1266" t="n">
        <f aca="false">ROUNDDOWN(S13*X6/1000,0)</f>
        <v>20484222</v>
      </c>
      <c r="W13" s="1266"/>
      <c r="X13" s="1266"/>
      <c r="AA13" s="1246"/>
      <c r="AB13" s="1265"/>
      <c r="AC13" s="1265"/>
      <c r="AD13" s="1266"/>
      <c r="AE13" s="1266"/>
      <c r="AF13" s="1266"/>
      <c r="AI13" s="1271" t="s">
        <v>711</v>
      </c>
      <c r="AJ13" s="1272" t="s">
        <v>713</v>
      </c>
      <c r="AK13" s="1266" t="n">
        <f aca="false">'☆振替R7'!B88+'☆振替R7'!B119</f>
        <v>18622020000</v>
      </c>
      <c r="AL13" s="1266"/>
      <c r="AM13" s="1266"/>
      <c r="AN13" s="1266" t="n">
        <f aca="false">ROUNDDOWN(AK13*AP7/1000,0)</f>
        <v>446928</v>
      </c>
      <c r="AO13" s="1266"/>
      <c r="AP13" s="1266"/>
    </row>
    <row r="14" customFormat="false" ht="26.25" hidden="false" customHeight="true" outlineLevel="0" collapsed="false">
      <c r="B14" s="1246" t="s">
        <v>714</v>
      </c>
      <c r="C14" s="1246"/>
      <c r="D14" s="1260" t="n">
        <f aca="false">SUM(D11:D13)</f>
        <v>153312417</v>
      </c>
      <c r="E14" s="1260" t="n">
        <f aca="false">SUM(E11:E13)</f>
        <v>19842692</v>
      </c>
      <c r="F14" s="1260" t="n">
        <f aca="false">SUM(D14:E14)</f>
        <v>173155109</v>
      </c>
      <c r="G14" s="1234"/>
      <c r="I14" s="1246" t="s">
        <v>714</v>
      </c>
      <c r="J14" s="1246"/>
      <c r="K14" s="1266" t="n">
        <f aca="false">SUM(K11:M13)</f>
        <v>1602441</v>
      </c>
      <c r="L14" s="1266"/>
      <c r="M14" s="1266"/>
      <c r="N14" s="1264"/>
      <c r="Q14" s="1246" t="s">
        <v>714</v>
      </c>
      <c r="R14" s="1246"/>
      <c r="S14" s="1266" t="n">
        <f aca="false">SUM(S11:U13)</f>
        <v>33041466000</v>
      </c>
      <c r="T14" s="1266"/>
      <c r="U14" s="1266"/>
      <c r="V14" s="1266" t="n">
        <f aca="false">SUM(V11:X13)</f>
        <v>36345611</v>
      </c>
      <c r="W14" s="1266"/>
      <c r="X14" s="1266"/>
      <c r="AA14" s="1246" t="s">
        <v>489</v>
      </c>
      <c r="AB14" s="1265" t="n">
        <f aca="false">SUM(AB8:AC13)</f>
        <v>33041466000</v>
      </c>
      <c r="AC14" s="1265"/>
      <c r="AD14" s="1266" t="n">
        <f aca="false">SUM(AD8:AF13)</f>
        <v>6608292</v>
      </c>
      <c r="AE14" s="1266"/>
      <c r="AF14" s="1266"/>
      <c r="AI14" s="1246" t="s">
        <v>714</v>
      </c>
      <c r="AJ14" s="1246"/>
      <c r="AK14" s="1266" t="n">
        <f aca="false">SUM(AK11:AM13)</f>
        <v>33041466000</v>
      </c>
      <c r="AL14" s="1266"/>
      <c r="AM14" s="1266"/>
      <c r="AN14" s="1266" t="n">
        <f aca="false">SUM(AN11:AP13)</f>
        <v>792994</v>
      </c>
      <c r="AO14" s="1266"/>
      <c r="AP14" s="1266"/>
    </row>
    <row r="15" customFormat="false" ht="26.25" hidden="false" customHeight="true" outlineLevel="0" collapsed="false">
      <c r="B15" s="1246" t="s">
        <v>715</v>
      </c>
      <c r="C15" s="1246"/>
      <c r="D15" s="1260" t="n">
        <f aca="false">D10+D14</f>
        <v>153311762</v>
      </c>
      <c r="E15" s="1260" t="n">
        <f aca="false">E10+E14</f>
        <v>19842692</v>
      </c>
      <c r="F15" s="1273" t="n">
        <f aca="false">SUM(D15:E15)</f>
        <v>173154454</v>
      </c>
      <c r="G15" s="1234"/>
      <c r="I15" s="1246" t="s">
        <v>715</v>
      </c>
      <c r="J15" s="1246"/>
      <c r="K15" s="1266" t="n">
        <f aca="false">K10+K14</f>
        <v>1602441</v>
      </c>
      <c r="L15" s="1266"/>
      <c r="M15" s="1266"/>
      <c r="N15" s="1274"/>
      <c r="Q15" s="1246" t="s">
        <v>715</v>
      </c>
      <c r="R15" s="1246"/>
      <c r="S15" s="1266" t="n">
        <f aca="false">S10+S14</f>
        <v>33041336000</v>
      </c>
      <c r="T15" s="1266"/>
      <c r="U15" s="1266"/>
      <c r="V15" s="1275" t="n">
        <f aca="false">V10+V14</f>
        <v>36345468</v>
      </c>
      <c r="W15" s="1275"/>
      <c r="X15" s="1275"/>
      <c r="AA15" s="1246"/>
      <c r="AB15" s="1265"/>
      <c r="AC15" s="1265"/>
      <c r="AD15" s="1266"/>
      <c r="AE15" s="1266"/>
      <c r="AF15" s="1266"/>
      <c r="AI15" s="1246" t="s">
        <v>715</v>
      </c>
      <c r="AJ15" s="1246"/>
      <c r="AK15" s="1266" t="n">
        <f aca="false">AK10+AK14</f>
        <v>33041336000</v>
      </c>
      <c r="AL15" s="1266"/>
      <c r="AM15" s="1266"/>
      <c r="AN15" s="1275" t="n">
        <f aca="false">AN10+AN14</f>
        <v>792991</v>
      </c>
      <c r="AO15" s="1275"/>
      <c r="AP15" s="1275"/>
    </row>
    <row r="16" customFormat="false" ht="7.5" hidden="false" customHeight="true" outlineLevel="0" collapsed="false">
      <c r="G16" s="1234"/>
      <c r="N16" s="1234"/>
      <c r="AF16" s="1234"/>
    </row>
    <row r="17" s="945" customFormat="true" ht="20.25" hidden="false" customHeight="true" outlineLevel="0" collapsed="false">
      <c r="B17" s="1276" t="s">
        <v>716</v>
      </c>
      <c r="C17" s="1277"/>
      <c r="D17" s="1277"/>
      <c r="E17" s="1277"/>
      <c r="F17" s="1277"/>
      <c r="G17" s="1278"/>
      <c r="I17" s="1276" t="s">
        <v>716</v>
      </c>
      <c r="J17" s="1276"/>
      <c r="K17" s="1276"/>
      <c r="L17" s="1276"/>
      <c r="M17" s="1276"/>
      <c r="N17" s="1276"/>
      <c r="Q17" s="1276" t="s">
        <v>716</v>
      </c>
      <c r="R17" s="1276"/>
      <c r="S17" s="1276"/>
      <c r="T17" s="1276"/>
      <c r="U17" s="1276"/>
      <c r="V17" s="1276"/>
      <c r="W17" s="1277"/>
      <c r="X17" s="1277"/>
      <c r="AA17" s="1276" t="s">
        <v>716</v>
      </c>
      <c r="AB17" s="1277"/>
      <c r="AC17" s="1277"/>
      <c r="AD17" s="1277"/>
      <c r="AE17" s="1277"/>
      <c r="AF17" s="1277"/>
      <c r="AI17" s="1276" t="s">
        <v>717</v>
      </c>
      <c r="AJ17" s="1276"/>
      <c r="AK17" s="1276"/>
      <c r="AL17" s="1276"/>
      <c r="AM17" s="1276"/>
      <c r="AN17" s="1276"/>
      <c r="AO17" s="1277"/>
      <c r="AP17" s="1277"/>
    </row>
    <row r="18" s="945" customFormat="true" ht="20.25" hidden="false" customHeight="true" outlineLevel="0" collapsed="false">
      <c r="B18" s="945" t="s">
        <v>718</v>
      </c>
      <c r="G18" s="1278"/>
      <c r="I18" s="945" t="s">
        <v>719</v>
      </c>
      <c r="Q18" s="945" t="s">
        <v>719</v>
      </c>
      <c r="AA18" s="945" t="s">
        <v>719</v>
      </c>
      <c r="AI18" s="945" t="s">
        <v>719</v>
      </c>
    </row>
    <row r="19" s="945" customFormat="true" ht="20.25" hidden="false" customHeight="true" outlineLevel="0" collapsed="false">
      <c r="B19" s="945" t="s">
        <v>720</v>
      </c>
      <c r="G19" s="1278"/>
      <c r="H19" s="1278"/>
      <c r="I19" s="945" t="s">
        <v>721</v>
      </c>
      <c r="O19" s="1278"/>
      <c r="P19" s="1278"/>
      <c r="Q19" s="945" t="s">
        <v>722</v>
      </c>
      <c r="Y19" s="1278"/>
      <c r="Z19" s="1278"/>
      <c r="AA19" s="945" t="s">
        <v>722</v>
      </c>
      <c r="AG19" s="1278"/>
      <c r="AH19" s="1278"/>
      <c r="AI19" s="945" t="s">
        <v>722</v>
      </c>
    </row>
    <row r="20" s="945" customFormat="true" ht="20.25" hidden="false" customHeight="true" outlineLevel="0" collapsed="false">
      <c r="B20" s="945" t="s">
        <v>723</v>
      </c>
      <c r="G20" s="1278"/>
      <c r="I20" s="945" t="s">
        <v>724</v>
      </c>
      <c r="Q20" s="945" t="s">
        <v>725</v>
      </c>
      <c r="AA20" s="945" t="s">
        <v>725</v>
      </c>
      <c r="AI20" s="945" t="s">
        <v>725</v>
      </c>
    </row>
    <row r="21" s="945" customFormat="true" ht="20.25" hidden="false" customHeight="true" outlineLevel="0" collapsed="false">
      <c r="B21" s="945" t="s">
        <v>726</v>
      </c>
      <c r="G21" s="1278"/>
      <c r="I21" s="945" t="s">
        <v>727</v>
      </c>
      <c r="Q21" s="945" t="s">
        <v>727</v>
      </c>
      <c r="AA21" s="945" t="s">
        <v>727</v>
      </c>
      <c r="AI21" s="945" t="s">
        <v>727</v>
      </c>
    </row>
    <row r="22" s="945" customFormat="true" ht="20.25" hidden="false" customHeight="true" outlineLevel="0" collapsed="false">
      <c r="B22" s="945" t="s">
        <v>728</v>
      </c>
      <c r="I22" s="945" t="s">
        <v>729</v>
      </c>
      <c r="Q22" s="945" t="s">
        <v>730</v>
      </c>
      <c r="AA22" s="945" t="s">
        <v>730</v>
      </c>
      <c r="AI22" s="945" t="s">
        <v>731</v>
      </c>
    </row>
    <row r="23" s="945" customFormat="true" ht="20.25" hidden="false" customHeight="true" outlineLevel="0" collapsed="false">
      <c r="B23" s="945" t="s">
        <v>732</v>
      </c>
      <c r="I23" s="945" t="s">
        <v>732</v>
      </c>
      <c r="Q23" s="945" t="s">
        <v>733</v>
      </c>
      <c r="AA23" s="945" t="s">
        <v>734</v>
      </c>
      <c r="AI23" s="945" t="s">
        <v>735</v>
      </c>
    </row>
    <row r="24" s="945" customFormat="true" ht="14.25" hidden="false" customHeight="true" outlineLevel="0" collapsed="false">
      <c r="AI24" s="1279" t="n">
        <f aca="false">AP7</f>
        <v>0.024</v>
      </c>
      <c r="AJ24" s="1279"/>
      <c r="AK24" s="1280" t="s">
        <v>736</v>
      </c>
      <c r="AL24" s="1281"/>
    </row>
    <row r="25" s="945" customFormat="true" ht="14.25" hidden="false" customHeight="true" outlineLevel="0" collapsed="false"/>
    <row r="26" customFormat="false" ht="24.75" hidden="false" customHeight="true" outlineLevel="0" collapsed="false">
      <c r="B26" s="1226" t="s">
        <v>737</v>
      </c>
      <c r="C26" s="1226"/>
      <c r="D26" s="1226"/>
      <c r="E26" s="1226"/>
      <c r="F26" s="1226"/>
      <c r="I26" s="1226" t="s">
        <v>738</v>
      </c>
      <c r="J26" s="1226"/>
      <c r="K26" s="1226"/>
      <c r="L26" s="1226"/>
      <c r="M26" s="1226"/>
      <c r="N26" s="1226"/>
      <c r="Q26" s="1226" t="s">
        <v>737</v>
      </c>
      <c r="R26" s="1226"/>
      <c r="S26" s="1226"/>
      <c r="T26" s="1226"/>
      <c r="U26" s="1226"/>
      <c r="V26" s="1226"/>
      <c r="W26" s="1226"/>
      <c r="X26" s="1226"/>
      <c r="AA26" s="1232" t="s">
        <v>739</v>
      </c>
      <c r="AB26" s="1232"/>
      <c r="AC26" s="1232"/>
      <c r="AD26" s="1232"/>
      <c r="AE26" s="1232"/>
      <c r="AF26" s="1232"/>
      <c r="AI26" s="1226" t="s">
        <v>737</v>
      </c>
      <c r="AJ26" s="1226"/>
      <c r="AK26" s="1226"/>
      <c r="AL26" s="1226"/>
      <c r="AM26" s="1226"/>
      <c r="AN26" s="1226"/>
      <c r="AO26" s="1226"/>
      <c r="AP26" s="1226"/>
    </row>
    <row r="27" customFormat="false" ht="24.75" hidden="false" customHeight="true" outlineLevel="0" collapsed="false">
      <c r="B27" s="1282" t="s">
        <v>740</v>
      </c>
      <c r="F27" s="1241" t="s">
        <v>684</v>
      </c>
      <c r="I27" s="1282" t="s">
        <v>740</v>
      </c>
      <c r="N27" s="1241" t="s">
        <v>684</v>
      </c>
      <c r="Q27" s="1282" t="s">
        <v>740</v>
      </c>
      <c r="X27" s="1241" t="s">
        <v>684</v>
      </c>
      <c r="AA27" s="1282" t="s">
        <v>740</v>
      </c>
      <c r="AF27" s="1241" t="s">
        <v>684</v>
      </c>
      <c r="AI27" s="1282" t="s">
        <v>740</v>
      </c>
      <c r="AP27" s="1241" t="s">
        <v>684</v>
      </c>
    </row>
    <row r="28" customFormat="false" ht="24.75" hidden="false" customHeight="true" outlineLevel="0" collapsed="false">
      <c r="B28" s="1246" t="s">
        <v>685</v>
      </c>
      <c r="C28" s="1246"/>
      <c r="D28" s="1246" t="s">
        <v>741</v>
      </c>
      <c r="E28" s="1246"/>
      <c r="F28" s="1246"/>
      <c r="I28" s="1246" t="s">
        <v>685</v>
      </c>
      <c r="J28" s="1246"/>
      <c r="K28" s="1283" t="s">
        <v>742</v>
      </c>
      <c r="L28" s="1283"/>
      <c r="M28" s="1283"/>
      <c r="N28" s="1283"/>
      <c r="Q28" s="1246" t="s">
        <v>685</v>
      </c>
      <c r="R28" s="1246"/>
      <c r="S28" s="1246" t="s">
        <v>743</v>
      </c>
      <c r="T28" s="1246"/>
      <c r="U28" s="1246"/>
      <c r="V28" s="1246"/>
      <c r="W28" s="1246"/>
      <c r="X28" s="1246"/>
      <c r="AA28" s="1246" t="s">
        <v>689</v>
      </c>
      <c r="AB28" s="1246" t="s">
        <v>744</v>
      </c>
      <c r="AC28" s="1246"/>
      <c r="AD28" s="1246"/>
      <c r="AE28" s="1246"/>
      <c r="AF28" s="1246"/>
      <c r="AI28" s="1246" t="s">
        <v>685</v>
      </c>
      <c r="AJ28" s="1246"/>
      <c r="AK28" s="1246" t="s">
        <v>745</v>
      </c>
      <c r="AL28" s="1246"/>
      <c r="AM28" s="1246"/>
      <c r="AN28" s="1246"/>
      <c r="AO28" s="1246"/>
      <c r="AP28" s="1246"/>
    </row>
    <row r="29" customFormat="false" ht="24.75" hidden="false" customHeight="true" outlineLevel="0" collapsed="false">
      <c r="B29" s="1246"/>
      <c r="C29" s="1246"/>
      <c r="D29" s="1284" t="s">
        <v>693</v>
      </c>
      <c r="E29" s="1253" t="s">
        <v>694</v>
      </c>
      <c r="F29" s="1246" t="s">
        <v>695</v>
      </c>
      <c r="I29" s="1246"/>
      <c r="J29" s="1246"/>
      <c r="K29" s="1285" t="s">
        <v>746</v>
      </c>
      <c r="L29" s="1246" t="s">
        <v>747</v>
      </c>
      <c r="M29" s="1246"/>
      <c r="N29" s="1246" t="s">
        <v>748</v>
      </c>
      <c r="Q29" s="1246"/>
      <c r="R29" s="1246"/>
      <c r="S29" s="1246" t="s">
        <v>749</v>
      </c>
      <c r="T29" s="1246"/>
      <c r="U29" s="1246" t="s">
        <v>750</v>
      </c>
      <c r="V29" s="1246"/>
      <c r="W29" s="1246" t="s">
        <v>751</v>
      </c>
      <c r="X29" s="1246"/>
      <c r="AA29" s="1246"/>
      <c r="AB29" s="1286" t="s">
        <v>749</v>
      </c>
      <c r="AC29" s="1287" t="s">
        <v>750</v>
      </c>
      <c r="AD29" s="1287"/>
      <c r="AE29" s="1287" t="s">
        <v>751</v>
      </c>
      <c r="AF29" s="1287"/>
      <c r="AI29" s="1246"/>
      <c r="AJ29" s="1246"/>
      <c r="AK29" s="1246" t="s">
        <v>752</v>
      </c>
      <c r="AL29" s="1246"/>
      <c r="AM29" s="1246" t="s">
        <v>753</v>
      </c>
      <c r="AN29" s="1246"/>
      <c r="AO29" s="1246" t="s">
        <v>754</v>
      </c>
      <c r="AP29" s="1246"/>
    </row>
    <row r="30" customFormat="false" ht="24.75" hidden="false" customHeight="true" outlineLevel="0" collapsed="false">
      <c r="B30" s="1288" t="s">
        <v>755</v>
      </c>
      <c r="C30" s="1288"/>
      <c r="D30" s="1289"/>
      <c r="E30" s="1289"/>
      <c r="F30" s="1289"/>
      <c r="I30" s="1288" t="s">
        <v>755</v>
      </c>
      <c r="J30" s="1288"/>
      <c r="K30" s="1290"/>
      <c r="L30" s="1290"/>
      <c r="M30" s="1290"/>
      <c r="N30" s="1290"/>
      <c r="Q30" s="1288" t="s">
        <v>755</v>
      </c>
      <c r="R30" s="1288"/>
      <c r="S30" s="1290"/>
      <c r="T30" s="1290"/>
      <c r="U30" s="1290"/>
      <c r="V30" s="1290"/>
      <c r="W30" s="1290"/>
      <c r="X30" s="1290"/>
      <c r="AA30" s="1288" t="s">
        <v>756</v>
      </c>
      <c r="AB30" s="1289"/>
      <c r="AC30" s="1288"/>
      <c r="AD30" s="1288"/>
      <c r="AE30" s="1288"/>
      <c r="AF30" s="1288"/>
      <c r="AI30" s="1288" t="s">
        <v>755</v>
      </c>
      <c r="AJ30" s="1288"/>
      <c r="AK30" s="1290"/>
      <c r="AL30" s="1290"/>
      <c r="AM30" s="1290"/>
      <c r="AN30" s="1290"/>
      <c r="AO30" s="1290"/>
      <c r="AP30" s="1290"/>
    </row>
    <row r="31" customFormat="false" ht="24.75" hidden="false" customHeight="true" outlineLevel="0" collapsed="false">
      <c r="B31" s="1288" t="s">
        <v>757</v>
      </c>
      <c r="C31" s="1288"/>
      <c r="D31" s="1291"/>
      <c r="E31" s="1289"/>
      <c r="F31" s="1289"/>
      <c r="I31" s="1288" t="s">
        <v>757</v>
      </c>
      <c r="J31" s="1288"/>
      <c r="K31" s="1290"/>
      <c r="L31" s="1290"/>
      <c r="M31" s="1290"/>
      <c r="N31" s="1290"/>
      <c r="Q31" s="1288" t="s">
        <v>757</v>
      </c>
      <c r="R31" s="1288"/>
      <c r="S31" s="1290"/>
      <c r="T31" s="1290"/>
      <c r="U31" s="1290"/>
      <c r="V31" s="1290"/>
      <c r="W31" s="1290"/>
      <c r="X31" s="1290"/>
      <c r="AA31" s="1288" t="s">
        <v>758</v>
      </c>
      <c r="AB31" s="1289"/>
      <c r="AC31" s="1288"/>
      <c r="AD31" s="1288"/>
      <c r="AE31" s="1288"/>
      <c r="AF31" s="1288"/>
      <c r="AI31" s="1288" t="s">
        <v>757</v>
      </c>
      <c r="AJ31" s="1288"/>
      <c r="AK31" s="1290"/>
      <c r="AL31" s="1290"/>
      <c r="AM31" s="1290"/>
      <c r="AN31" s="1290"/>
      <c r="AO31" s="1290"/>
      <c r="AP31" s="1290"/>
    </row>
    <row r="32" customFormat="false" ht="24.75" hidden="false" customHeight="true" outlineLevel="0" collapsed="false">
      <c r="B32" s="1288" t="s">
        <v>759</v>
      </c>
      <c r="C32" s="1288"/>
      <c r="D32" s="1289"/>
      <c r="E32" s="1289"/>
      <c r="F32" s="1289"/>
      <c r="I32" s="1288" t="s">
        <v>759</v>
      </c>
      <c r="J32" s="1288"/>
      <c r="K32" s="1290"/>
      <c r="L32" s="1290"/>
      <c r="M32" s="1290"/>
      <c r="N32" s="1290"/>
      <c r="Q32" s="1288" t="s">
        <v>759</v>
      </c>
      <c r="R32" s="1288"/>
      <c r="S32" s="1290"/>
      <c r="T32" s="1290"/>
      <c r="U32" s="1290"/>
      <c r="V32" s="1290"/>
      <c r="W32" s="1290"/>
      <c r="X32" s="1290"/>
      <c r="AA32" s="1288" t="s">
        <v>760</v>
      </c>
      <c r="AB32" s="1289"/>
      <c r="AC32" s="1288"/>
      <c r="AD32" s="1288"/>
      <c r="AE32" s="1288"/>
      <c r="AF32" s="1288"/>
      <c r="AI32" s="1288" t="s">
        <v>759</v>
      </c>
      <c r="AJ32" s="1288"/>
      <c r="AK32" s="1290"/>
      <c r="AL32" s="1290"/>
      <c r="AM32" s="1290"/>
      <c r="AN32" s="1290"/>
      <c r="AO32" s="1290"/>
      <c r="AP32" s="1290"/>
    </row>
    <row r="33" customFormat="false" ht="24.75" hidden="false" customHeight="true" outlineLevel="0" collapsed="false">
      <c r="B33" s="1288" t="s">
        <v>761</v>
      </c>
      <c r="C33" s="1288"/>
      <c r="D33" s="1289"/>
      <c r="E33" s="1289"/>
      <c r="F33" s="1289"/>
      <c r="I33" s="1288" t="s">
        <v>761</v>
      </c>
      <c r="J33" s="1288"/>
      <c r="K33" s="1290"/>
      <c r="L33" s="1290"/>
      <c r="M33" s="1290"/>
      <c r="N33" s="1290"/>
      <c r="Q33" s="1288" t="s">
        <v>761</v>
      </c>
      <c r="R33" s="1288"/>
      <c r="S33" s="1290"/>
      <c r="T33" s="1290"/>
      <c r="U33" s="1290"/>
      <c r="V33" s="1290"/>
      <c r="W33" s="1290"/>
      <c r="X33" s="1290"/>
      <c r="AA33" s="1288" t="s">
        <v>762</v>
      </c>
      <c r="AB33" s="1289"/>
      <c r="AC33" s="1288"/>
      <c r="AD33" s="1288"/>
      <c r="AE33" s="1288"/>
      <c r="AF33" s="1288"/>
      <c r="AI33" s="1288" t="s">
        <v>761</v>
      </c>
      <c r="AJ33" s="1288"/>
      <c r="AK33" s="1290"/>
      <c r="AL33" s="1290"/>
      <c r="AM33" s="1290"/>
      <c r="AN33" s="1290"/>
      <c r="AO33" s="1290"/>
      <c r="AP33" s="1290"/>
    </row>
    <row r="34" customFormat="false" ht="24.75" hidden="false" customHeight="true" outlineLevel="0" collapsed="false">
      <c r="B34" s="1246" t="s">
        <v>695</v>
      </c>
      <c r="C34" s="1246"/>
      <c r="D34" s="1292"/>
      <c r="E34" s="1292"/>
      <c r="F34" s="1293"/>
      <c r="I34" s="1246" t="s">
        <v>695</v>
      </c>
      <c r="J34" s="1246"/>
      <c r="K34" s="1290"/>
      <c r="L34" s="1290"/>
      <c r="M34" s="1290"/>
      <c r="N34" s="1266"/>
      <c r="Q34" s="1246" t="s">
        <v>695</v>
      </c>
      <c r="R34" s="1246"/>
      <c r="S34" s="1290"/>
      <c r="T34" s="1290"/>
      <c r="U34" s="1290"/>
      <c r="V34" s="1290"/>
      <c r="W34" s="1290"/>
      <c r="X34" s="1290"/>
      <c r="AA34" s="1246" t="s">
        <v>763</v>
      </c>
      <c r="AB34" s="1289"/>
      <c r="AC34" s="1288"/>
      <c r="AD34" s="1288"/>
      <c r="AE34" s="1288"/>
      <c r="AF34" s="1288"/>
      <c r="AI34" s="1246" t="s">
        <v>695</v>
      </c>
      <c r="AJ34" s="1246"/>
      <c r="AK34" s="1290"/>
      <c r="AL34" s="1290"/>
      <c r="AM34" s="1290"/>
      <c r="AN34" s="1290"/>
      <c r="AO34" s="1290"/>
      <c r="AP34" s="1290"/>
    </row>
    <row r="35" s="945" customFormat="true" ht="17.25" hidden="false" customHeight="true" outlineLevel="0" collapsed="false">
      <c r="B35" s="1223" t="s">
        <v>676</v>
      </c>
      <c r="C35" s="1224"/>
      <c r="D35" s="1224"/>
      <c r="E35" s="1224"/>
      <c r="F35" s="1224"/>
      <c r="G35" s="1225"/>
      <c r="H35" s="1224"/>
      <c r="I35" s="1223" t="s">
        <v>676</v>
      </c>
      <c r="J35" s="1224"/>
      <c r="K35" s="1224"/>
      <c r="L35" s="1224"/>
      <c r="M35" s="1224"/>
      <c r="N35" s="1224"/>
      <c r="O35" s="1224"/>
      <c r="P35" s="1224"/>
      <c r="Q35" s="1223" t="s">
        <v>676</v>
      </c>
      <c r="R35" s="1224"/>
      <c r="S35" s="1224"/>
      <c r="T35" s="1224"/>
      <c r="U35" s="1224"/>
      <c r="V35" s="1224"/>
      <c r="W35" s="1224"/>
      <c r="X35" s="1224"/>
      <c r="Y35" s="1224"/>
      <c r="Z35" s="1224"/>
      <c r="AB35" s="1224"/>
      <c r="AC35" s="1224"/>
      <c r="AD35" s="1224"/>
      <c r="AE35" s="1224"/>
      <c r="AF35" s="1224"/>
      <c r="AG35" s="1224"/>
      <c r="AH35" s="1224"/>
      <c r="AI35" s="1223" t="s">
        <v>677</v>
      </c>
      <c r="AJ35" s="1224"/>
      <c r="AK35" s="1224"/>
      <c r="AL35" s="1224"/>
      <c r="AM35" s="1224"/>
      <c r="AN35" s="1224"/>
      <c r="AO35" s="1224"/>
      <c r="AP35" s="1224"/>
    </row>
    <row r="36" customFormat="false" ht="24" hidden="false" customHeight="true" outlineLevel="0" collapsed="false">
      <c r="B36" s="1226" t="s">
        <v>678</v>
      </c>
      <c r="C36" s="1226"/>
      <c r="D36" s="1226"/>
      <c r="E36" s="1226"/>
      <c r="F36" s="1226"/>
      <c r="G36" s="1227"/>
      <c r="H36" s="1228"/>
      <c r="I36" s="1229" t="s">
        <v>679</v>
      </c>
      <c r="J36" s="1229"/>
      <c r="K36" s="1229"/>
      <c r="L36" s="1229"/>
      <c r="M36" s="1229"/>
      <c r="N36" s="1229"/>
      <c r="O36" s="1228"/>
      <c r="P36" s="1230"/>
      <c r="Q36" s="1231" t="s">
        <v>680</v>
      </c>
      <c r="R36" s="1231"/>
      <c r="S36" s="1231"/>
      <c r="T36" s="1231"/>
      <c r="U36" s="1231"/>
      <c r="V36" s="1231"/>
      <c r="W36" s="1231"/>
      <c r="X36" s="1231"/>
      <c r="Y36" s="1228"/>
      <c r="Z36" s="1228"/>
      <c r="AA36" s="1232" t="s">
        <v>681</v>
      </c>
      <c r="AB36" s="1232"/>
      <c r="AC36" s="1232"/>
      <c r="AD36" s="1232"/>
      <c r="AE36" s="1232"/>
      <c r="AF36" s="1232"/>
      <c r="AG36" s="1228"/>
      <c r="AH36" s="1228"/>
      <c r="AI36" s="1226" t="s">
        <v>682</v>
      </c>
      <c r="AJ36" s="1226"/>
      <c r="AK36" s="1226"/>
      <c r="AL36" s="1226"/>
      <c r="AM36" s="1226"/>
      <c r="AN36" s="1226"/>
      <c r="AO36" s="1226"/>
      <c r="AP36" s="1226"/>
    </row>
    <row r="37" customFormat="false" ht="32.25" hidden="false" customHeight="true" outlineLevel="0" collapsed="false">
      <c r="F37" s="1233" t="s">
        <v>683</v>
      </c>
      <c r="G37" s="1234"/>
      <c r="L37" s="1228"/>
      <c r="M37" s="1235"/>
      <c r="N37" s="1233" t="s">
        <v>683</v>
      </c>
      <c r="U37" s="1228"/>
      <c r="V37" s="1228"/>
      <c r="W37" s="1228"/>
      <c r="X37" s="1233" t="s">
        <v>683</v>
      </c>
      <c r="AD37" s="1228"/>
      <c r="AE37" s="1228"/>
      <c r="AF37" s="1233" t="s">
        <v>683</v>
      </c>
      <c r="AM37" s="1228"/>
      <c r="AN37" s="1228"/>
      <c r="AO37" s="1228"/>
      <c r="AP37" s="1233" t="s">
        <v>683</v>
      </c>
    </row>
    <row r="38" customFormat="false" ht="23.25" hidden="false" customHeight="true" outlineLevel="0" collapsed="false">
      <c r="E38" s="1236"/>
      <c r="F38" s="1237"/>
      <c r="G38" s="1234"/>
      <c r="L38" s="1236"/>
      <c r="M38" s="1236"/>
      <c r="N38" s="1237"/>
      <c r="U38" s="1236"/>
      <c r="V38" s="1236"/>
      <c r="W38" s="1236"/>
      <c r="X38" s="1237"/>
      <c r="AD38" s="1236"/>
      <c r="AE38" s="1236"/>
      <c r="AF38" s="1237"/>
      <c r="AM38" s="1236"/>
      <c r="AN38" s="1236"/>
      <c r="AO38" s="1236"/>
      <c r="AP38" s="1237"/>
    </row>
    <row r="39" customFormat="false" ht="24.75" hidden="false" customHeight="true" outlineLevel="0" collapsed="false">
      <c r="B39" s="1294" t="str">
        <f aca="false">'☆掛負収入'!A2</f>
        <v>令和8年度</v>
      </c>
      <c r="C39" s="1295"/>
      <c r="D39" s="1296"/>
      <c r="E39" s="1297"/>
      <c r="F39" s="1241" t="s">
        <v>684</v>
      </c>
      <c r="G39" s="1234"/>
      <c r="I39" s="1298" t="s">
        <v>764</v>
      </c>
      <c r="M39" s="1243" t="s">
        <v>684</v>
      </c>
      <c r="Q39" s="1298" t="s">
        <v>764</v>
      </c>
      <c r="X39" s="1241" t="s">
        <v>684</v>
      </c>
      <c r="AA39" s="1299" t="str">
        <f aca="false">'☆掛負収入'!A2</f>
        <v>令和8年度</v>
      </c>
      <c r="AF39" s="1243" t="s">
        <v>684</v>
      </c>
      <c r="AI39" s="1298" t="s">
        <v>764</v>
      </c>
      <c r="AP39" s="1241" t="s">
        <v>684</v>
      </c>
    </row>
    <row r="40" customFormat="false" ht="26.25" hidden="false" customHeight="true" outlineLevel="0" collapsed="false">
      <c r="B40" s="1246" t="s">
        <v>685</v>
      </c>
      <c r="C40" s="1246"/>
      <c r="D40" s="1247" t="s">
        <v>686</v>
      </c>
      <c r="E40" s="1247"/>
      <c r="F40" s="1248" t="n">
        <f aca="false">F6</f>
        <v>5.46</v>
      </c>
      <c r="G40" s="1234"/>
      <c r="I40" s="1246" t="s">
        <v>685</v>
      </c>
      <c r="J40" s="1246"/>
      <c r="K40" s="1249" t="s">
        <v>687</v>
      </c>
      <c r="L40" s="1249"/>
      <c r="M40" s="1300" t="n">
        <f aca="false">M6</f>
        <v>0.05</v>
      </c>
      <c r="N40" s="1234"/>
      <c r="Q40" s="1246" t="s">
        <v>685</v>
      </c>
      <c r="R40" s="1246"/>
      <c r="S40" s="1246" t="s">
        <v>688</v>
      </c>
      <c r="T40" s="1246"/>
      <c r="U40" s="1246"/>
      <c r="V40" s="1251" t="s">
        <v>687</v>
      </c>
      <c r="W40" s="1251"/>
      <c r="X40" s="1301" t="n">
        <f aca="false">X6</f>
        <v>1.1</v>
      </c>
      <c r="AA40" s="1246" t="s">
        <v>689</v>
      </c>
      <c r="AB40" s="1253" t="s">
        <v>690</v>
      </c>
      <c r="AC40" s="1253"/>
      <c r="AD40" s="1251" t="s">
        <v>691</v>
      </c>
      <c r="AE40" s="1251"/>
      <c r="AF40" s="1301" t="n">
        <f aca="false">AF6</f>
        <v>0.2</v>
      </c>
      <c r="AI40" s="1246" t="s">
        <v>685</v>
      </c>
      <c r="AJ40" s="1246"/>
      <c r="AK40" s="1246" t="s">
        <v>688</v>
      </c>
      <c r="AL40" s="1246"/>
      <c r="AM40" s="1246"/>
      <c r="AN40" s="1254" t="s">
        <v>692</v>
      </c>
      <c r="AO40" s="1254"/>
      <c r="AP40" s="1254"/>
    </row>
    <row r="41" customFormat="false" ht="26.25" hidden="false" customHeight="true" outlineLevel="0" collapsed="false">
      <c r="B41" s="1246"/>
      <c r="C41" s="1246"/>
      <c r="D41" s="1253" t="s">
        <v>693</v>
      </c>
      <c r="E41" s="1253" t="s">
        <v>694</v>
      </c>
      <c r="F41" s="1255" t="s">
        <v>695</v>
      </c>
      <c r="G41" s="1256"/>
      <c r="H41" s="1234"/>
      <c r="I41" s="1246"/>
      <c r="J41" s="1246"/>
      <c r="K41" s="1249"/>
      <c r="L41" s="1249"/>
      <c r="M41" s="1300"/>
      <c r="N41" s="1234"/>
      <c r="Q41" s="1246"/>
      <c r="R41" s="1246"/>
      <c r="S41" s="1246"/>
      <c r="T41" s="1246"/>
      <c r="U41" s="1246"/>
      <c r="V41" s="1251"/>
      <c r="W41" s="1251"/>
      <c r="X41" s="1301"/>
      <c r="AA41" s="1246"/>
      <c r="AB41" s="1253"/>
      <c r="AC41" s="1253"/>
      <c r="AD41" s="1251"/>
      <c r="AE41" s="1251"/>
      <c r="AF41" s="1301"/>
      <c r="AI41" s="1246"/>
      <c r="AJ41" s="1246"/>
      <c r="AK41" s="1246"/>
      <c r="AL41" s="1246"/>
      <c r="AM41" s="1246"/>
      <c r="AN41" s="1257" t="s">
        <v>696</v>
      </c>
      <c r="AO41" s="1257"/>
      <c r="AP41" s="1258" t="n">
        <f aca="false">AP7</f>
        <v>0.024</v>
      </c>
    </row>
    <row r="42" customFormat="false" ht="26.25" hidden="false" customHeight="true" outlineLevel="0" collapsed="false">
      <c r="B42" s="1116" t="s">
        <v>697</v>
      </c>
      <c r="C42" s="1115" t="s">
        <v>765</v>
      </c>
      <c r="D42" s="1260" t="n">
        <f aca="false">D13</f>
        <v>86406179</v>
      </c>
      <c r="E42" s="1260" t="n">
        <f aca="false">E13</f>
        <v>11759303</v>
      </c>
      <c r="F42" s="1260" t="n">
        <f aca="false">SUM(D42:E42)</f>
        <v>98165482</v>
      </c>
      <c r="G42" s="1256"/>
      <c r="H42" s="1234"/>
      <c r="I42" s="1261" t="s">
        <v>699</v>
      </c>
      <c r="J42" s="1262" t="s">
        <v>765</v>
      </c>
      <c r="K42" s="1266" t="n">
        <f aca="false">K13</f>
        <v>929791</v>
      </c>
      <c r="L42" s="1266"/>
      <c r="M42" s="1266"/>
      <c r="N42" s="1264"/>
      <c r="O42" s="1234"/>
      <c r="P42" s="1234"/>
      <c r="Q42" s="1261" t="s">
        <v>699</v>
      </c>
      <c r="R42" s="1262" t="s">
        <v>765</v>
      </c>
      <c r="S42" s="1266" t="n">
        <f aca="false">S13</f>
        <v>18622020000</v>
      </c>
      <c r="T42" s="1266"/>
      <c r="U42" s="1266"/>
      <c r="V42" s="1266" t="n">
        <f aca="false">ROUNDDOWN(S42*X40/1000,0)</f>
        <v>20484222</v>
      </c>
      <c r="W42" s="1266"/>
      <c r="X42" s="1266"/>
      <c r="Y42" s="1256"/>
      <c r="Z42" s="1234"/>
      <c r="AA42" s="1246" t="s">
        <v>766</v>
      </c>
      <c r="AB42" s="1265" t="n">
        <f aca="false">'☆振替R7'!B150</f>
        <v>6869574000</v>
      </c>
      <c r="AC42" s="1265"/>
      <c r="AD42" s="1266" t="n">
        <f aca="false">ROUNDDOWN(AB42*AF40/1000,0)</f>
        <v>1373914</v>
      </c>
      <c r="AE42" s="1266"/>
      <c r="AF42" s="1266"/>
      <c r="AG42" s="1234"/>
      <c r="AH42" s="1234"/>
      <c r="AI42" s="1261" t="s">
        <v>699</v>
      </c>
      <c r="AJ42" s="1262" t="s">
        <v>765</v>
      </c>
      <c r="AK42" s="1266" t="n">
        <f aca="false">AK13</f>
        <v>18622020000</v>
      </c>
      <c r="AL42" s="1266"/>
      <c r="AM42" s="1266"/>
      <c r="AN42" s="1266" t="n">
        <f aca="false">ROUNDDOWN(AK42*AP41/1000,0)</f>
        <v>446928</v>
      </c>
      <c r="AO42" s="1266"/>
      <c r="AP42" s="1266"/>
    </row>
    <row r="43" customFormat="false" ht="26.25" hidden="false" customHeight="true" outlineLevel="0" collapsed="false">
      <c r="B43" s="1116"/>
      <c r="C43" s="1115" t="s">
        <v>767</v>
      </c>
      <c r="D43" s="1260" t="n">
        <f aca="false">D42</f>
        <v>86406179</v>
      </c>
      <c r="E43" s="1260" t="n">
        <f aca="false">E42</f>
        <v>11759303</v>
      </c>
      <c r="F43" s="1260" t="n">
        <f aca="false">SUM(D43:E43)</f>
        <v>98165482</v>
      </c>
      <c r="G43" s="1256"/>
      <c r="H43" s="1234"/>
      <c r="I43" s="1261"/>
      <c r="J43" s="1262" t="s">
        <v>768</v>
      </c>
      <c r="K43" s="1266" t="n">
        <f aca="false">K42</f>
        <v>929791</v>
      </c>
      <c r="L43" s="1266"/>
      <c r="M43" s="1266"/>
      <c r="N43" s="1264"/>
      <c r="Q43" s="1261"/>
      <c r="R43" s="1262" t="s">
        <v>768</v>
      </c>
      <c r="S43" s="1266" t="n">
        <f aca="false">S42</f>
        <v>18622020000</v>
      </c>
      <c r="T43" s="1266"/>
      <c r="U43" s="1266"/>
      <c r="V43" s="1266" t="n">
        <f aca="false">ROUNDDOWN(S43*X40/1000,0)</f>
        <v>20484222</v>
      </c>
      <c r="W43" s="1266"/>
      <c r="X43" s="1266"/>
      <c r="Y43" s="1256"/>
      <c r="AA43" s="1246"/>
      <c r="AB43" s="1265"/>
      <c r="AC43" s="1265"/>
      <c r="AD43" s="1266"/>
      <c r="AE43" s="1266"/>
      <c r="AF43" s="1266"/>
      <c r="AI43" s="1261"/>
      <c r="AJ43" s="1262" t="s">
        <v>768</v>
      </c>
      <c r="AK43" s="1266" t="n">
        <f aca="false">AK42</f>
        <v>18622020000</v>
      </c>
      <c r="AL43" s="1266"/>
      <c r="AM43" s="1266"/>
      <c r="AN43" s="1266" t="n">
        <f aca="false">ROUNDDOWN(AK43*AP41/1000,0)</f>
        <v>446928</v>
      </c>
      <c r="AO43" s="1266"/>
      <c r="AP43" s="1266"/>
    </row>
    <row r="44" customFormat="false" ht="26.25" hidden="false" customHeight="true" outlineLevel="0" collapsed="false">
      <c r="B44" s="1246" t="s">
        <v>703</v>
      </c>
      <c r="C44" s="1246"/>
      <c r="D44" s="1260" t="n">
        <f aca="false">D42-D43</f>
        <v>0</v>
      </c>
      <c r="E44" s="1260" t="n">
        <f aca="false">E42-E43</f>
        <v>0</v>
      </c>
      <c r="F44" s="1260" t="n">
        <f aca="false">F42-F43</f>
        <v>0</v>
      </c>
      <c r="G44" s="1256"/>
      <c r="I44" s="1246" t="s">
        <v>704</v>
      </c>
      <c r="J44" s="1246"/>
      <c r="K44" s="1266" t="n">
        <f aca="false">K42-K43</f>
        <v>0</v>
      </c>
      <c r="L44" s="1266"/>
      <c r="M44" s="1266"/>
      <c r="N44" s="1264"/>
      <c r="Q44" s="1246" t="s">
        <v>704</v>
      </c>
      <c r="R44" s="1246"/>
      <c r="S44" s="1266" t="n">
        <f aca="false">S42-S43</f>
        <v>0</v>
      </c>
      <c r="T44" s="1266"/>
      <c r="U44" s="1266"/>
      <c r="V44" s="1266" t="n">
        <f aca="false">V42-V43</f>
        <v>0</v>
      </c>
      <c r="W44" s="1266"/>
      <c r="X44" s="1266"/>
      <c r="AA44" s="1246" t="s">
        <v>769</v>
      </c>
      <c r="AB44" s="1265" t="n">
        <f aca="false">'☆振替R7'!B181</f>
        <v>6810137000</v>
      </c>
      <c r="AC44" s="1265"/>
      <c r="AD44" s="1266" t="n">
        <f aca="false">ROUNDDOWN(AB44*AF40/1000,0)</f>
        <v>1362027</v>
      </c>
      <c r="AE44" s="1266"/>
      <c r="AF44" s="1266"/>
      <c r="AI44" s="1246" t="s">
        <v>704</v>
      </c>
      <c r="AJ44" s="1246"/>
      <c r="AK44" s="1266" t="n">
        <f aca="false">AK42-AK43</f>
        <v>0</v>
      </c>
      <c r="AL44" s="1266"/>
      <c r="AM44" s="1266"/>
      <c r="AN44" s="1266" t="n">
        <f aca="false">AN42-AN43</f>
        <v>0</v>
      </c>
      <c r="AO44" s="1266"/>
      <c r="AP44" s="1266"/>
    </row>
    <row r="45" customFormat="false" ht="26.25" hidden="false" customHeight="true" outlineLevel="0" collapsed="false">
      <c r="B45" s="1271" t="s">
        <v>770</v>
      </c>
      <c r="C45" s="1272" t="s">
        <v>707</v>
      </c>
      <c r="D45" s="1260" t="n">
        <f aca="false">'☆振替R7'!D134:E134+'☆振替R7'!D145</f>
        <v>31874827</v>
      </c>
      <c r="E45" s="1260" t="n">
        <f aca="false">'☆振替R7'!E145</f>
        <v>4136470</v>
      </c>
      <c r="F45" s="1260" t="n">
        <f aca="false">SUM(D45:E45)</f>
        <v>36011297</v>
      </c>
      <c r="G45" s="1256"/>
      <c r="I45" s="1271" t="s">
        <v>770</v>
      </c>
      <c r="J45" s="1272" t="s">
        <v>707</v>
      </c>
      <c r="K45" s="1266" t="n">
        <f aca="false">'☆振替R7'!F145</f>
        <v>342976</v>
      </c>
      <c r="L45" s="1266"/>
      <c r="M45" s="1266"/>
      <c r="N45" s="1264"/>
      <c r="Q45" s="1271" t="s">
        <v>770</v>
      </c>
      <c r="R45" s="1272" t="s">
        <v>707</v>
      </c>
      <c r="S45" s="1266" t="n">
        <f aca="false">'☆振替R7'!B150</f>
        <v>6869574000</v>
      </c>
      <c r="T45" s="1266"/>
      <c r="U45" s="1266"/>
      <c r="V45" s="1266" t="n">
        <f aca="false">ROUNDDOWN(S45*X40/1000,0)</f>
        <v>7556531</v>
      </c>
      <c r="W45" s="1266"/>
      <c r="X45" s="1266"/>
      <c r="AA45" s="1246"/>
      <c r="AB45" s="1265"/>
      <c r="AC45" s="1265"/>
      <c r="AD45" s="1266"/>
      <c r="AE45" s="1266"/>
      <c r="AF45" s="1266"/>
      <c r="AI45" s="1271" t="s">
        <v>770</v>
      </c>
      <c r="AJ45" s="1272" t="s">
        <v>707</v>
      </c>
      <c r="AK45" s="1266" t="n">
        <f aca="false">'☆振替R7'!B150</f>
        <v>6869574000</v>
      </c>
      <c r="AL45" s="1266"/>
      <c r="AM45" s="1266"/>
      <c r="AN45" s="1266" t="n">
        <f aca="false">ROUNDDOWN(AK45*AP41/1000,0)</f>
        <v>164869</v>
      </c>
      <c r="AO45" s="1266"/>
      <c r="AP45" s="1266"/>
    </row>
    <row r="46" customFormat="false" ht="26.25" hidden="false" customHeight="true" outlineLevel="0" collapsed="false">
      <c r="B46" s="1271" t="s">
        <v>771</v>
      </c>
      <c r="C46" s="1272" t="s">
        <v>709</v>
      </c>
      <c r="D46" s="1260" t="n">
        <f aca="false">'☆振替R7'!D165:E165+'☆振替R7'!D176</f>
        <v>31599041</v>
      </c>
      <c r="E46" s="1260" t="n">
        <f aca="false">'☆振替R7'!E176</f>
        <v>4089706</v>
      </c>
      <c r="F46" s="1260" t="n">
        <f aca="false">SUM(D46:E46)</f>
        <v>35688747</v>
      </c>
      <c r="G46" s="1256"/>
      <c r="I46" s="1271" t="s">
        <v>771</v>
      </c>
      <c r="J46" s="1272" t="s">
        <v>709</v>
      </c>
      <c r="K46" s="1266" t="n">
        <f aca="false">'☆振替R7'!F176</f>
        <v>339683</v>
      </c>
      <c r="L46" s="1266"/>
      <c r="M46" s="1266"/>
      <c r="N46" s="1264"/>
      <c r="Q46" s="1271" t="s">
        <v>771</v>
      </c>
      <c r="R46" s="1272" t="s">
        <v>709</v>
      </c>
      <c r="S46" s="1266" t="n">
        <f aca="false">'☆振替R7'!B181</f>
        <v>6810137000</v>
      </c>
      <c r="T46" s="1266"/>
      <c r="U46" s="1266"/>
      <c r="V46" s="1266" t="n">
        <f aca="false">ROUNDDOWN(S46*X40/1000,0)</f>
        <v>7491150</v>
      </c>
      <c r="W46" s="1266"/>
      <c r="X46" s="1266"/>
      <c r="AA46" s="1246" t="s">
        <v>772</v>
      </c>
      <c r="AB46" s="1265" t="n">
        <f aca="false">'☆振替R7'!B212</f>
        <v>6904166000</v>
      </c>
      <c r="AC46" s="1265"/>
      <c r="AD46" s="1266" t="n">
        <f aca="false">ROUNDDOWN(AB46*AF40/1000,0)</f>
        <v>1380833</v>
      </c>
      <c r="AE46" s="1266"/>
      <c r="AF46" s="1266"/>
      <c r="AI46" s="1271" t="s">
        <v>771</v>
      </c>
      <c r="AJ46" s="1272" t="s">
        <v>709</v>
      </c>
      <c r="AK46" s="1266" t="n">
        <f aca="false">'☆振替R7'!B181</f>
        <v>6810137000</v>
      </c>
      <c r="AL46" s="1266"/>
      <c r="AM46" s="1266"/>
      <c r="AN46" s="1266" t="n">
        <f aca="false">ROUNDDOWN(AK46*AP41/1000,0)</f>
        <v>163443</v>
      </c>
      <c r="AO46" s="1266"/>
      <c r="AP46" s="1266"/>
    </row>
    <row r="47" customFormat="false" ht="26.25" hidden="false" customHeight="true" outlineLevel="0" collapsed="false">
      <c r="B47" s="1271" t="s">
        <v>773</v>
      </c>
      <c r="C47" s="1272" t="s">
        <v>712</v>
      </c>
      <c r="D47" s="1260" t="n">
        <f aca="false">'☆振替R7'!D196:E196+'☆振替R7'!D207</f>
        <v>32035335</v>
      </c>
      <c r="E47" s="1260" t="n">
        <f aca="false">'☆振替R7'!E207</f>
        <v>4145893</v>
      </c>
      <c r="F47" s="1260" t="n">
        <f aca="false">SUM(D47:E47)</f>
        <v>36181228</v>
      </c>
      <c r="G47" s="1234"/>
      <c r="I47" s="1271" t="s">
        <v>773</v>
      </c>
      <c r="J47" s="1272" t="s">
        <v>713</v>
      </c>
      <c r="K47" s="1266" t="n">
        <f aca="false">'☆振替R7'!F207</f>
        <v>342892</v>
      </c>
      <c r="L47" s="1266"/>
      <c r="M47" s="1266"/>
      <c r="N47" s="1264"/>
      <c r="Q47" s="1271" t="s">
        <v>773</v>
      </c>
      <c r="R47" s="1272" t="s">
        <v>713</v>
      </c>
      <c r="S47" s="1266" t="n">
        <f aca="false">'☆振替R7'!B212</f>
        <v>6904166000</v>
      </c>
      <c r="T47" s="1266"/>
      <c r="U47" s="1266"/>
      <c r="V47" s="1266" t="n">
        <f aca="false">ROUNDDOWN(S47*X40/1000,0)</f>
        <v>7594582</v>
      </c>
      <c r="W47" s="1266"/>
      <c r="X47" s="1266"/>
      <c r="AA47" s="1246"/>
      <c r="AB47" s="1265"/>
      <c r="AC47" s="1265"/>
      <c r="AD47" s="1266"/>
      <c r="AE47" s="1266"/>
      <c r="AF47" s="1266"/>
      <c r="AI47" s="1271" t="s">
        <v>773</v>
      </c>
      <c r="AJ47" s="1272" t="s">
        <v>713</v>
      </c>
      <c r="AK47" s="1266" t="n">
        <f aca="false">'☆振替R7'!B212</f>
        <v>6904166000</v>
      </c>
      <c r="AL47" s="1266"/>
      <c r="AM47" s="1266"/>
      <c r="AN47" s="1266" t="n">
        <f aca="false">ROUNDDOWN(AK47*AP41/1000,0)</f>
        <v>165699</v>
      </c>
      <c r="AO47" s="1266"/>
      <c r="AP47" s="1266"/>
    </row>
    <row r="48" customFormat="false" ht="26.25" hidden="false" customHeight="true" outlineLevel="0" collapsed="false">
      <c r="B48" s="1246" t="s">
        <v>714</v>
      </c>
      <c r="C48" s="1246"/>
      <c r="D48" s="1260" t="n">
        <f aca="false">SUM(D45:D47)</f>
        <v>95509203</v>
      </c>
      <c r="E48" s="1260" t="n">
        <f aca="false">SUM(E45:E47)</f>
        <v>12372069</v>
      </c>
      <c r="F48" s="1260" t="n">
        <f aca="false">SUM(D48:E48)</f>
        <v>107881272</v>
      </c>
      <c r="G48" s="1234"/>
      <c r="I48" s="1246" t="s">
        <v>714</v>
      </c>
      <c r="J48" s="1246"/>
      <c r="K48" s="1266" t="n">
        <f aca="false">SUM(K45:M47)</f>
        <v>1025551</v>
      </c>
      <c r="L48" s="1266"/>
      <c r="M48" s="1266"/>
      <c r="N48" s="1264"/>
      <c r="Q48" s="1246" t="s">
        <v>714</v>
      </c>
      <c r="R48" s="1246"/>
      <c r="S48" s="1266" t="n">
        <f aca="false">SUM(S45:U47)</f>
        <v>20583877000</v>
      </c>
      <c r="T48" s="1266"/>
      <c r="U48" s="1266"/>
      <c r="V48" s="1266" t="n">
        <f aca="false">SUM(V45:X47)</f>
        <v>22642263</v>
      </c>
      <c r="W48" s="1266"/>
      <c r="X48" s="1266"/>
      <c r="AA48" s="1246" t="s">
        <v>489</v>
      </c>
      <c r="AB48" s="1265" t="n">
        <f aca="false">SUM(AB42:AC47)</f>
        <v>20583877000</v>
      </c>
      <c r="AC48" s="1265"/>
      <c r="AD48" s="1266" t="n">
        <f aca="false">SUM(AD42:AF47)</f>
        <v>4116774</v>
      </c>
      <c r="AE48" s="1266"/>
      <c r="AF48" s="1266"/>
      <c r="AI48" s="1246" t="s">
        <v>714</v>
      </c>
      <c r="AJ48" s="1246"/>
      <c r="AK48" s="1266" t="n">
        <f aca="false">SUM(AK45:AM47)</f>
        <v>20583877000</v>
      </c>
      <c r="AL48" s="1266"/>
      <c r="AM48" s="1266"/>
      <c r="AN48" s="1266" t="n">
        <f aca="false">SUM(AN45:AP47)</f>
        <v>494011</v>
      </c>
      <c r="AO48" s="1266"/>
      <c r="AP48" s="1266"/>
    </row>
    <row r="49" customFormat="false" ht="26.25" hidden="false" customHeight="true" outlineLevel="0" collapsed="false">
      <c r="B49" s="1246" t="s">
        <v>715</v>
      </c>
      <c r="C49" s="1246"/>
      <c r="D49" s="1260" t="n">
        <f aca="false">D44+D48</f>
        <v>95509203</v>
      </c>
      <c r="E49" s="1260" t="n">
        <f aca="false">E44+E48</f>
        <v>12372069</v>
      </c>
      <c r="F49" s="1273" t="n">
        <f aca="false">SUM(D49:E49)</f>
        <v>107881272</v>
      </c>
      <c r="G49" s="1234"/>
      <c r="I49" s="1246" t="s">
        <v>715</v>
      </c>
      <c r="J49" s="1246"/>
      <c r="K49" s="1266" t="n">
        <f aca="false">K44+K48</f>
        <v>1025551</v>
      </c>
      <c r="L49" s="1266"/>
      <c r="M49" s="1266"/>
      <c r="N49" s="1274"/>
      <c r="Q49" s="1246" t="s">
        <v>715</v>
      </c>
      <c r="R49" s="1246"/>
      <c r="S49" s="1266" t="n">
        <f aca="false">S44+S48</f>
        <v>20583877000</v>
      </c>
      <c r="T49" s="1266"/>
      <c r="U49" s="1266"/>
      <c r="V49" s="1275" t="n">
        <f aca="false">V44+V48</f>
        <v>22642263</v>
      </c>
      <c r="W49" s="1275"/>
      <c r="X49" s="1275"/>
      <c r="AA49" s="1246"/>
      <c r="AB49" s="1265"/>
      <c r="AC49" s="1265"/>
      <c r="AD49" s="1266"/>
      <c r="AE49" s="1266"/>
      <c r="AF49" s="1266"/>
      <c r="AI49" s="1246" t="s">
        <v>715</v>
      </c>
      <c r="AJ49" s="1246"/>
      <c r="AK49" s="1266" t="n">
        <f aca="false">AK44+AK48</f>
        <v>20583877000</v>
      </c>
      <c r="AL49" s="1266"/>
      <c r="AM49" s="1266"/>
      <c r="AN49" s="1275" t="n">
        <f aca="false">AN44+AN48</f>
        <v>494011</v>
      </c>
      <c r="AO49" s="1275"/>
      <c r="AP49" s="1275"/>
    </row>
    <row r="50" customFormat="false" ht="7.5" hidden="false" customHeight="true" outlineLevel="0" collapsed="false">
      <c r="G50" s="1234"/>
      <c r="N50" s="1234"/>
      <c r="AF50" s="1234"/>
    </row>
    <row r="51" s="945" customFormat="true" ht="20.25" hidden="false" customHeight="true" outlineLevel="0" collapsed="false">
      <c r="B51" s="1276" t="s">
        <v>716</v>
      </c>
      <c r="C51" s="1277"/>
      <c r="D51" s="1277"/>
      <c r="E51" s="1277"/>
      <c r="F51" s="1277"/>
      <c r="G51" s="1278"/>
      <c r="I51" s="1276" t="s">
        <v>716</v>
      </c>
      <c r="J51" s="1276"/>
      <c r="K51" s="1276"/>
      <c r="L51" s="1276"/>
      <c r="M51" s="1276"/>
      <c r="N51" s="1276"/>
      <c r="Q51" s="1276" t="s">
        <v>716</v>
      </c>
      <c r="R51" s="1276"/>
      <c r="S51" s="1276"/>
      <c r="T51" s="1276"/>
      <c r="U51" s="1276"/>
      <c r="V51" s="1276"/>
      <c r="W51" s="1277"/>
      <c r="X51" s="1277"/>
      <c r="AA51" s="1276" t="s">
        <v>716</v>
      </c>
      <c r="AB51" s="1277"/>
      <c r="AC51" s="1277"/>
      <c r="AD51" s="1277"/>
      <c r="AE51" s="1277"/>
      <c r="AF51" s="1277"/>
      <c r="AI51" s="1276" t="s">
        <v>717</v>
      </c>
      <c r="AJ51" s="1276"/>
      <c r="AK51" s="1276"/>
      <c r="AL51" s="1276"/>
      <c r="AM51" s="1276"/>
      <c r="AN51" s="1276"/>
      <c r="AO51" s="1277"/>
      <c r="AP51" s="1277"/>
    </row>
    <row r="52" s="945" customFormat="true" ht="20.25" hidden="false" customHeight="true" outlineLevel="0" collapsed="false">
      <c r="B52" s="945" t="s">
        <v>718</v>
      </c>
      <c r="G52" s="1278"/>
      <c r="I52" s="945" t="s">
        <v>719</v>
      </c>
      <c r="Q52" s="945" t="s">
        <v>719</v>
      </c>
      <c r="AA52" s="945" t="s">
        <v>719</v>
      </c>
      <c r="AI52" s="945" t="s">
        <v>719</v>
      </c>
    </row>
    <row r="53" s="945" customFormat="true" ht="20.25" hidden="false" customHeight="true" outlineLevel="0" collapsed="false">
      <c r="B53" s="945" t="s">
        <v>720</v>
      </c>
      <c r="G53" s="1278"/>
      <c r="H53" s="1278"/>
      <c r="I53" s="945" t="s">
        <v>721</v>
      </c>
      <c r="O53" s="1278"/>
      <c r="P53" s="1278"/>
      <c r="Q53" s="945" t="s">
        <v>722</v>
      </c>
      <c r="Y53" s="1278"/>
      <c r="Z53" s="1278"/>
      <c r="AA53" s="945" t="s">
        <v>722</v>
      </c>
      <c r="AG53" s="1278"/>
      <c r="AH53" s="1278"/>
      <c r="AI53" s="945" t="s">
        <v>722</v>
      </c>
    </row>
    <row r="54" s="945" customFormat="true" ht="20.25" hidden="false" customHeight="true" outlineLevel="0" collapsed="false">
      <c r="B54" s="945" t="s">
        <v>723</v>
      </c>
      <c r="G54" s="1278"/>
      <c r="I54" s="945" t="s">
        <v>724</v>
      </c>
      <c r="Q54" s="945" t="s">
        <v>725</v>
      </c>
      <c r="AA54" s="945" t="s">
        <v>725</v>
      </c>
      <c r="AI54" s="945" t="s">
        <v>725</v>
      </c>
    </row>
    <row r="55" s="945" customFormat="true" ht="20.25" hidden="false" customHeight="true" outlineLevel="0" collapsed="false">
      <c r="B55" s="945" t="s">
        <v>726</v>
      </c>
      <c r="G55" s="1278"/>
      <c r="I55" s="945" t="s">
        <v>727</v>
      </c>
      <c r="Q55" s="945" t="s">
        <v>727</v>
      </c>
      <c r="AA55" s="945" t="s">
        <v>727</v>
      </c>
      <c r="AI55" s="945" t="s">
        <v>727</v>
      </c>
    </row>
    <row r="56" s="945" customFormat="true" ht="20.25" hidden="false" customHeight="true" outlineLevel="0" collapsed="false">
      <c r="B56" s="945" t="s">
        <v>728</v>
      </c>
      <c r="I56" s="945" t="s">
        <v>729</v>
      </c>
      <c r="Q56" s="945" t="s">
        <v>730</v>
      </c>
      <c r="AA56" s="945" t="s">
        <v>730</v>
      </c>
      <c r="AI56" s="945" t="s">
        <v>731</v>
      </c>
    </row>
    <row r="57" s="945" customFormat="true" ht="20.25" hidden="false" customHeight="true" outlineLevel="0" collapsed="false">
      <c r="B57" s="945" t="s">
        <v>732</v>
      </c>
      <c r="I57" s="945" t="s">
        <v>732</v>
      </c>
      <c r="Q57" s="945" t="s">
        <v>733</v>
      </c>
      <c r="AA57" s="945" t="s">
        <v>734</v>
      </c>
      <c r="AI57" s="945" t="s">
        <v>735</v>
      </c>
    </row>
    <row r="58" s="945" customFormat="true" ht="14.25" hidden="false" customHeight="true" outlineLevel="0" collapsed="false">
      <c r="AI58" s="1279" t="n">
        <f aca="false">AI24</f>
        <v>0.024</v>
      </c>
      <c r="AJ58" s="1279"/>
      <c r="AK58" s="1280" t="s">
        <v>736</v>
      </c>
    </row>
    <row r="59" s="945" customFormat="true" ht="14.25" hidden="false" customHeight="true" outlineLevel="0" collapsed="false"/>
    <row r="60" customFormat="false" ht="24.75" hidden="false" customHeight="true" outlineLevel="0" collapsed="false">
      <c r="B60" s="1226" t="s">
        <v>737</v>
      </c>
      <c r="C60" s="1226"/>
      <c r="D60" s="1226"/>
      <c r="E60" s="1226"/>
      <c r="F60" s="1226"/>
      <c r="I60" s="1226" t="s">
        <v>738</v>
      </c>
      <c r="J60" s="1226"/>
      <c r="K60" s="1226"/>
      <c r="L60" s="1226"/>
      <c r="M60" s="1226"/>
      <c r="N60" s="1226"/>
      <c r="Q60" s="1226" t="s">
        <v>737</v>
      </c>
      <c r="R60" s="1226"/>
      <c r="S60" s="1226"/>
      <c r="T60" s="1226"/>
      <c r="U60" s="1226"/>
      <c r="V60" s="1226"/>
      <c r="W60" s="1226"/>
      <c r="X60" s="1226"/>
      <c r="AA60" s="1232" t="s">
        <v>739</v>
      </c>
      <c r="AB60" s="1232"/>
      <c r="AC60" s="1232"/>
      <c r="AD60" s="1232"/>
      <c r="AE60" s="1232"/>
      <c r="AF60" s="1232"/>
      <c r="AI60" s="1226" t="s">
        <v>737</v>
      </c>
      <c r="AJ60" s="1226"/>
      <c r="AK60" s="1226"/>
      <c r="AL60" s="1226"/>
      <c r="AM60" s="1226"/>
      <c r="AN60" s="1226"/>
      <c r="AO60" s="1226"/>
      <c r="AP60" s="1226"/>
    </row>
    <row r="61" customFormat="false" ht="24.75" hidden="false" customHeight="true" outlineLevel="0" collapsed="false">
      <c r="B61" s="1282" t="s">
        <v>740</v>
      </c>
      <c r="F61" s="1241" t="s">
        <v>684</v>
      </c>
      <c r="I61" s="1282" t="s">
        <v>740</v>
      </c>
      <c r="N61" s="1241" t="s">
        <v>684</v>
      </c>
      <c r="Q61" s="1282" t="s">
        <v>740</v>
      </c>
      <c r="X61" s="1241" t="s">
        <v>684</v>
      </c>
      <c r="AA61" s="1282" t="s">
        <v>740</v>
      </c>
      <c r="AF61" s="1241" t="s">
        <v>684</v>
      </c>
      <c r="AI61" s="1282" t="s">
        <v>740</v>
      </c>
      <c r="AP61" s="1241" t="s">
        <v>684</v>
      </c>
    </row>
    <row r="62" customFormat="false" ht="24.75" hidden="false" customHeight="true" outlineLevel="0" collapsed="false">
      <c r="B62" s="1246" t="s">
        <v>685</v>
      </c>
      <c r="C62" s="1246"/>
      <c r="D62" s="1246" t="s">
        <v>741</v>
      </c>
      <c r="E62" s="1246"/>
      <c r="F62" s="1246"/>
      <c r="I62" s="1246" t="s">
        <v>685</v>
      </c>
      <c r="J62" s="1246"/>
      <c r="K62" s="1283" t="s">
        <v>742</v>
      </c>
      <c r="L62" s="1283"/>
      <c r="M62" s="1283"/>
      <c r="N62" s="1283"/>
      <c r="Q62" s="1246" t="s">
        <v>685</v>
      </c>
      <c r="R62" s="1246"/>
      <c r="S62" s="1246" t="s">
        <v>743</v>
      </c>
      <c r="T62" s="1246"/>
      <c r="U62" s="1246"/>
      <c r="V62" s="1246"/>
      <c r="W62" s="1246"/>
      <c r="X62" s="1246"/>
      <c r="AA62" s="1246" t="s">
        <v>689</v>
      </c>
      <c r="AB62" s="1246" t="s">
        <v>744</v>
      </c>
      <c r="AC62" s="1246"/>
      <c r="AD62" s="1246"/>
      <c r="AE62" s="1246"/>
      <c r="AF62" s="1246"/>
      <c r="AI62" s="1246" t="s">
        <v>685</v>
      </c>
      <c r="AJ62" s="1246"/>
      <c r="AK62" s="1246" t="s">
        <v>745</v>
      </c>
      <c r="AL62" s="1246"/>
      <c r="AM62" s="1246"/>
      <c r="AN62" s="1246"/>
      <c r="AO62" s="1246"/>
      <c r="AP62" s="1246"/>
    </row>
    <row r="63" customFormat="false" ht="24.75" hidden="false" customHeight="true" outlineLevel="0" collapsed="false">
      <c r="B63" s="1246"/>
      <c r="C63" s="1246"/>
      <c r="D63" s="1284" t="s">
        <v>693</v>
      </c>
      <c r="E63" s="1253" t="s">
        <v>694</v>
      </c>
      <c r="F63" s="1246" t="s">
        <v>695</v>
      </c>
      <c r="I63" s="1246"/>
      <c r="J63" s="1246"/>
      <c r="K63" s="1285" t="s">
        <v>746</v>
      </c>
      <c r="L63" s="1246" t="s">
        <v>747</v>
      </c>
      <c r="M63" s="1246"/>
      <c r="N63" s="1246" t="s">
        <v>748</v>
      </c>
      <c r="Q63" s="1246"/>
      <c r="R63" s="1246"/>
      <c r="S63" s="1246" t="s">
        <v>749</v>
      </c>
      <c r="T63" s="1246"/>
      <c r="U63" s="1246" t="s">
        <v>750</v>
      </c>
      <c r="V63" s="1246"/>
      <c r="W63" s="1246" t="s">
        <v>751</v>
      </c>
      <c r="X63" s="1246"/>
      <c r="AA63" s="1246"/>
      <c r="AB63" s="1286" t="s">
        <v>749</v>
      </c>
      <c r="AC63" s="1287" t="s">
        <v>750</v>
      </c>
      <c r="AD63" s="1287"/>
      <c r="AE63" s="1287" t="s">
        <v>751</v>
      </c>
      <c r="AF63" s="1287"/>
      <c r="AI63" s="1246"/>
      <c r="AJ63" s="1246"/>
      <c r="AK63" s="1246" t="s">
        <v>752</v>
      </c>
      <c r="AL63" s="1246"/>
      <c r="AM63" s="1246" t="s">
        <v>753</v>
      </c>
      <c r="AN63" s="1246"/>
      <c r="AO63" s="1246" t="s">
        <v>754</v>
      </c>
      <c r="AP63" s="1246"/>
    </row>
    <row r="64" customFormat="false" ht="24.75" hidden="false" customHeight="true" outlineLevel="0" collapsed="false">
      <c r="B64" s="1288" t="s">
        <v>755</v>
      </c>
      <c r="C64" s="1288"/>
      <c r="D64" s="1289"/>
      <c r="E64" s="1289"/>
      <c r="F64" s="1289"/>
      <c r="I64" s="1288" t="s">
        <v>755</v>
      </c>
      <c r="J64" s="1288"/>
      <c r="K64" s="1290"/>
      <c r="L64" s="1290"/>
      <c r="M64" s="1290"/>
      <c r="N64" s="1290"/>
      <c r="Q64" s="1288" t="s">
        <v>755</v>
      </c>
      <c r="R64" s="1288"/>
      <c r="S64" s="1290"/>
      <c r="T64" s="1290"/>
      <c r="U64" s="1290"/>
      <c r="V64" s="1290"/>
      <c r="W64" s="1290"/>
      <c r="X64" s="1290"/>
      <c r="AA64" s="1288" t="s">
        <v>756</v>
      </c>
      <c r="AB64" s="1289"/>
      <c r="AC64" s="1288"/>
      <c r="AD64" s="1288"/>
      <c r="AE64" s="1288"/>
      <c r="AF64" s="1288"/>
      <c r="AI64" s="1288" t="s">
        <v>755</v>
      </c>
      <c r="AJ64" s="1288"/>
      <c r="AK64" s="1290"/>
      <c r="AL64" s="1290"/>
      <c r="AM64" s="1290"/>
      <c r="AN64" s="1290"/>
      <c r="AO64" s="1290"/>
      <c r="AP64" s="1290"/>
    </row>
    <row r="65" customFormat="false" ht="24.75" hidden="false" customHeight="true" outlineLevel="0" collapsed="false">
      <c r="B65" s="1288" t="s">
        <v>757</v>
      </c>
      <c r="C65" s="1288"/>
      <c r="D65" s="1291"/>
      <c r="E65" s="1289"/>
      <c r="F65" s="1289"/>
      <c r="I65" s="1288" t="s">
        <v>757</v>
      </c>
      <c r="J65" s="1288"/>
      <c r="K65" s="1290"/>
      <c r="L65" s="1290"/>
      <c r="M65" s="1290"/>
      <c r="N65" s="1290"/>
      <c r="Q65" s="1288" t="s">
        <v>757</v>
      </c>
      <c r="R65" s="1288"/>
      <c r="S65" s="1290"/>
      <c r="T65" s="1290"/>
      <c r="U65" s="1290"/>
      <c r="V65" s="1290"/>
      <c r="W65" s="1290"/>
      <c r="X65" s="1290"/>
      <c r="AA65" s="1288" t="s">
        <v>758</v>
      </c>
      <c r="AB65" s="1289"/>
      <c r="AC65" s="1288"/>
      <c r="AD65" s="1288"/>
      <c r="AE65" s="1288"/>
      <c r="AF65" s="1288"/>
      <c r="AI65" s="1288" t="s">
        <v>757</v>
      </c>
      <c r="AJ65" s="1288"/>
      <c r="AK65" s="1290"/>
      <c r="AL65" s="1290"/>
      <c r="AM65" s="1290"/>
      <c r="AN65" s="1290"/>
      <c r="AO65" s="1290"/>
      <c r="AP65" s="1290"/>
    </row>
    <row r="66" customFormat="false" ht="24.75" hidden="false" customHeight="true" outlineLevel="0" collapsed="false">
      <c r="B66" s="1288" t="s">
        <v>759</v>
      </c>
      <c r="C66" s="1288"/>
      <c r="D66" s="1289"/>
      <c r="E66" s="1289"/>
      <c r="F66" s="1289"/>
      <c r="I66" s="1288" t="s">
        <v>759</v>
      </c>
      <c r="J66" s="1288"/>
      <c r="K66" s="1290"/>
      <c r="L66" s="1290"/>
      <c r="M66" s="1290"/>
      <c r="N66" s="1290"/>
      <c r="Q66" s="1288" t="s">
        <v>759</v>
      </c>
      <c r="R66" s="1288"/>
      <c r="S66" s="1290"/>
      <c r="T66" s="1290"/>
      <c r="U66" s="1290"/>
      <c r="V66" s="1290"/>
      <c r="W66" s="1290"/>
      <c r="X66" s="1290"/>
      <c r="AA66" s="1288" t="s">
        <v>760</v>
      </c>
      <c r="AB66" s="1289"/>
      <c r="AC66" s="1288"/>
      <c r="AD66" s="1288"/>
      <c r="AE66" s="1288"/>
      <c r="AF66" s="1288"/>
      <c r="AI66" s="1288" t="s">
        <v>759</v>
      </c>
      <c r="AJ66" s="1288"/>
      <c r="AK66" s="1290"/>
      <c r="AL66" s="1290"/>
      <c r="AM66" s="1290"/>
      <c r="AN66" s="1290"/>
      <c r="AO66" s="1290"/>
      <c r="AP66" s="1290"/>
    </row>
    <row r="67" customFormat="false" ht="24.75" hidden="false" customHeight="true" outlineLevel="0" collapsed="false">
      <c r="B67" s="1288" t="s">
        <v>761</v>
      </c>
      <c r="C67" s="1288"/>
      <c r="D67" s="1289"/>
      <c r="E67" s="1289"/>
      <c r="F67" s="1289"/>
      <c r="I67" s="1288" t="s">
        <v>761</v>
      </c>
      <c r="J67" s="1288"/>
      <c r="K67" s="1290"/>
      <c r="L67" s="1290"/>
      <c r="M67" s="1290"/>
      <c r="N67" s="1290"/>
      <c r="Q67" s="1288" t="s">
        <v>761</v>
      </c>
      <c r="R67" s="1288"/>
      <c r="S67" s="1290"/>
      <c r="T67" s="1290"/>
      <c r="U67" s="1290"/>
      <c r="V67" s="1290"/>
      <c r="W67" s="1290"/>
      <c r="X67" s="1290"/>
      <c r="AA67" s="1288" t="s">
        <v>762</v>
      </c>
      <c r="AB67" s="1289"/>
      <c r="AC67" s="1288"/>
      <c r="AD67" s="1288"/>
      <c r="AE67" s="1288"/>
      <c r="AF67" s="1288"/>
      <c r="AI67" s="1288" t="s">
        <v>761</v>
      </c>
      <c r="AJ67" s="1288"/>
      <c r="AK67" s="1290"/>
      <c r="AL67" s="1290"/>
      <c r="AM67" s="1290"/>
      <c r="AN67" s="1290"/>
      <c r="AO67" s="1290"/>
      <c r="AP67" s="1290"/>
    </row>
    <row r="68" customFormat="false" ht="24.75" hidden="false" customHeight="true" outlineLevel="0" collapsed="false">
      <c r="B68" s="1246" t="s">
        <v>695</v>
      </c>
      <c r="C68" s="1246"/>
      <c r="D68" s="1292"/>
      <c r="E68" s="1292"/>
      <c r="F68" s="1293"/>
      <c r="I68" s="1246" t="s">
        <v>695</v>
      </c>
      <c r="J68" s="1246"/>
      <c r="K68" s="1290"/>
      <c r="L68" s="1290"/>
      <c r="M68" s="1290"/>
      <c r="N68" s="1266"/>
      <c r="Q68" s="1246" t="s">
        <v>695</v>
      </c>
      <c r="R68" s="1246"/>
      <c r="S68" s="1290"/>
      <c r="T68" s="1290"/>
      <c r="U68" s="1290"/>
      <c r="V68" s="1290"/>
      <c r="W68" s="1290"/>
      <c r="X68" s="1290"/>
      <c r="AA68" s="1246" t="s">
        <v>763</v>
      </c>
      <c r="AB68" s="1289"/>
      <c r="AC68" s="1288"/>
      <c r="AD68" s="1288"/>
      <c r="AE68" s="1288"/>
      <c r="AF68" s="1288"/>
      <c r="AI68" s="1246" t="s">
        <v>695</v>
      </c>
      <c r="AJ68" s="1246"/>
      <c r="AK68" s="1290"/>
      <c r="AL68" s="1290"/>
      <c r="AM68" s="1290"/>
      <c r="AN68" s="1290"/>
      <c r="AO68" s="1290"/>
      <c r="AP68" s="1290"/>
    </row>
    <row r="69" s="945" customFormat="true" ht="17.25" hidden="false" customHeight="true" outlineLevel="0" collapsed="false">
      <c r="B69" s="1223" t="s">
        <v>676</v>
      </c>
      <c r="C69" s="1224"/>
      <c r="D69" s="1224"/>
      <c r="E69" s="1224"/>
      <c r="F69" s="1224"/>
      <c r="G69" s="1225"/>
      <c r="H69" s="1224"/>
      <c r="I69" s="1223" t="s">
        <v>676</v>
      </c>
      <c r="J69" s="1224"/>
      <c r="K69" s="1224"/>
      <c r="L69" s="1224"/>
      <c r="M69" s="1224"/>
      <c r="N69" s="1224"/>
      <c r="O69" s="1224"/>
      <c r="P69" s="1224"/>
      <c r="Q69" s="1223" t="s">
        <v>676</v>
      </c>
      <c r="R69" s="1224"/>
      <c r="S69" s="1224"/>
      <c r="T69" s="1224"/>
      <c r="U69" s="1224"/>
      <c r="V69" s="1224"/>
      <c r="W69" s="1224"/>
      <c r="X69" s="1224"/>
      <c r="Y69" s="1224"/>
      <c r="Z69" s="1224"/>
      <c r="AB69" s="1224"/>
      <c r="AC69" s="1224"/>
      <c r="AD69" s="1224"/>
      <c r="AE69" s="1224"/>
      <c r="AF69" s="1224"/>
      <c r="AG69" s="1224"/>
      <c r="AH69" s="1224"/>
      <c r="AI69" s="1223" t="s">
        <v>677</v>
      </c>
      <c r="AJ69" s="1224"/>
      <c r="AK69" s="1224"/>
      <c r="AL69" s="1224"/>
      <c r="AM69" s="1224"/>
      <c r="AN69" s="1224"/>
      <c r="AO69" s="1224"/>
      <c r="AP69" s="1224"/>
    </row>
    <row r="70" customFormat="false" ht="24" hidden="false" customHeight="true" outlineLevel="0" collapsed="false">
      <c r="B70" s="1226" t="s">
        <v>678</v>
      </c>
      <c r="C70" s="1226"/>
      <c r="D70" s="1226"/>
      <c r="E70" s="1226"/>
      <c r="F70" s="1226"/>
      <c r="G70" s="1227"/>
      <c r="H70" s="1228"/>
      <c r="I70" s="1229" t="s">
        <v>679</v>
      </c>
      <c r="J70" s="1229"/>
      <c r="K70" s="1229"/>
      <c r="L70" s="1229"/>
      <c r="M70" s="1229"/>
      <c r="N70" s="1229"/>
      <c r="O70" s="1228"/>
      <c r="P70" s="1230"/>
      <c r="Q70" s="1231" t="s">
        <v>680</v>
      </c>
      <c r="R70" s="1231"/>
      <c r="S70" s="1231"/>
      <c r="T70" s="1231"/>
      <c r="U70" s="1231"/>
      <c r="V70" s="1231"/>
      <c r="W70" s="1231"/>
      <c r="X70" s="1231"/>
      <c r="Y70" s="1228"/>
      <c r="Z70" s="1228"/>
      <c r="AA70" s="1232" t="s">
        <v>681</v>
      </c>
      <c r="AB70" s="1232"/>
      <c r="AC70" s="1232"/>
      <c r="AD70" s="1232"/>
      <c r="AE70" s="1232"/>
      <c r="AF70" s="1232"/>
      <c r="AG70" s="1228"/>
      <c r="AH70" s="1228"/>
      <c r="AI70" s="1226" t="s">
        <v>682</v>
      </c>
      <c r="AJ70" s="1226"/>
      <c r="AK70" s="1226"/>
      <c r="AL70" s="1226"/>
      <c r="AM70" s="1226"/>
      <c r="AN70" s="1226"/>
      <c r="AO70" s="1226"/>
      <c r="AP70" s="1226"/>
    </row>
    <row r="71" customFormat="false" ht="32.25" hidden="false" customHeight="true" outlineLevel="0" collapsed="false">
      <c r="F71" s="1233" t="s">
        <v>683</v>
      </c>
      <c r="G71" s="1234"/>
      <c r="L71" s="1228"/>
      <c r="M71" s="1235"/>
      <c r="N71" s="1233" t="s">
        <v>683</v>
      </c>
      <c r="U71" s="1228"/>
      <c r="V71" s="1228"/>
      <c r="W71" s="1228"/>
      <c r="X71" s="1233" t="s">
        <v>683</v>
      </c>
      <c r="AD71" s="1228"/>
      <c r="AE71" s="1228"/>
      <c r="AF71" s="1233" t="s">
        <v>683</v>
      </c>
      <c r="AM71" s="1228"/>
      <c r="AN71" s="1228"/>
      <c r="AO71" s="1228"/>
      <c r="AP71" s="1233" t="s">
        <v>683</v>
      </c>
    </row>
    <row r="72" customFormat="false" ht="23.25" hidden="false" customHeight="true" outlineLevel="0" collapsed="false">
      <c r="E72" s="1236"/>
      <c r="F72" s="1237"/>
      <c r="G72" s="1234"/>
      <c r="L72" s="1236"/>
      <c r="M72" s="1236"/>
      <c r="N72" s="1237"/>
      <c r="U72" s="1236"/>
      <c r="V72" s="1236"/>
      <c r="W72" s="1236"/>
      <c r="X72" s="1237"/>
      <c r="AD72" s="1236"/>
      <c r="AE72" s="1236"/>
      <c r="AF72" s="1237"/>
      <c r="AM72" s="1236"/>
      <c r="AN72" s="1236"/>
      <c r="AO72" s="1236"/>
      <c r="AP72" s="1237"/>
    </row>
    <row r="73" customFormat="false" ht="24.75" hidden="false" customHeight="true" outlineLevel="0" collapsed="false">
      <c r="B73" s="1302" t="str">
        <f aca="false">'☆掛負収入'!A2</f>
        <v>令和8年度</v>
      </c>
      <c r="F73" s="1241" t="s">
        <v>684</v>
      </c>
      <c r="G73" s="1234"/>
      <c r="I73" s="1302" t="str">
        <f aca="false">B73</f>
        <v>令和8年度</v>
      </c>
      <c r="M73" s="1243" t="s">
        <v>684</v>
      </c>
      <c r="Q73" s="1303" t="str">
        <f aca="false">I73</f>
        <v>令和8年度</v>
      </c>
      <c r="X73" s="1241" t="s">
        <v>684</v>
      </c>
      <c r="AA73" s="1304" t="str">
        <f aca="false">'☆掛負収入'!A2</f>
        <v>令和8年度</v>
      </c>
      <c r="AF73" s="1243" t="s">
        <v>684</v>
      </c>
      <c r="AI73" s="1303" t="str">
        <f aca="false">Q73</f>
        <v>令和8年度</v>
      </c>
      <c r="AP73" s="1241" t="s">
        <v>684</v>
      </c>
    </row>
    <row r="74" customFormat="false" ht="26.25" hidden="false" customHeight="true" outlineLevel="0" collapsed="false">
      <c r="B74" s="1246" t="s">
        <v>685</v>
      </c>
      <c r="C74" s="1246"/>
      <c r="D74" s="1247" t="s">
        <v>686</v>
      </c>
      <c r="E74" s="1247"/>
      <c r="F74" s="1248" t="n">
        <f aca="false">F40</f>
        <v>5.46</v>
      </c>
      <c r="G74" s="1234"/>
      <c r="I74" s="1246" t="s">
        <v>685</v>
      </c>
      <c r="J74" s="1246"/>
      <c r="K74" s="1249" t="s">
        <v>687</v>
      </c>
      <c r="L74" s="1249"/>
      <c r="M74" s="1300" t="n">
        <f aca="false">M40</f>
        <v>0.05</v>
      </c>
      <c r="N74" s="1234"/>
      <c r="Q74" s="1246" t="s">
        <v>685</v>
      </c>
      <c r="R74" s="1246"/>
      <c r="S74" s="1246" t="s">
        <v>688</v>
      </c>
      <c r="T74" s="1246"/>
      <c r="U74" s="1246"/>
      <c r="V74" s="1251" t="s">
        <v>687</v>
      </c>
      <c r="W74" s="1251"/>
      <c r="X74" s="1301" t="n">
        <f aca="false">X40</f>
        <v>1.1</v>
      </c>
      <c r="AA74" s="1246" t="s">
        <v>689</v>
      </c>
      <c r="AB74" s="1253" t="s">
        <v>690</v>
      </c>
      <c r="AC74" s="1253"/>
      <c r="AD74" s="1251" t="s">
        <v>691</v>
      </c>
      <c r="AE74" s="1251"/>
      <c r="AF74" s="1301" t="n">
        <f aca="false">AF40</f>
        <v>0.2</v>
      </c>
      <c r="AI74" s="1246" t="s">
        <v>685</v>
      </c>
      <c r="AJ74" s="1246"/>
      <c r="AK74" s="1246" t="s">
        <v>688</v>
      </c>
      <c r="AL74" s="1246"/>
      <c r="AM74" s="1246"/>
      <c r="AN74" s="1254" t="s">
        <v>692</v>
      </c>
      <c r="AO74" s="1254"/>
      <c r="AP74" s="1254"/>
    </row>
    <row r="75" customFormat="false" ht="26.25" hidden="false" customHeight="true" outlineLevel="0" collapsed="false">
      <c r="B75" s="1246"/>
      <c r="C75" s="1246"/>
      <c r="D75" s="1253" t="s">
        <v>693</v>
      </c>
      <c r="E75" s="1253" t="s">
        <v>694</v>
      </c>
      <c r="F75" s="1255" t="s">
        <v>695</v>
      </c>
      <c r="G75" s="1256"/>
      <c r="H75" s="1234"/>
      <c r="I75" s="1246"/>
      <c r="J75" s="1246"/>
      <c r="K75" s="1249"/>
      <c r="L75" s="1249"/>
      <c r="M75" s="1300"/>
      <c r="N75" s="1234"/>
      <c r="Q75" s="1246"/>
      <c r="R75" s="1246"/>
      <c r="S75" s="1246"/>
      <c r="T75" s="1246"/>
      <c r="U75" s="1246"/>
      <c r="V75" s="1251"/>
      <c r="W75" s="1251"/>
      <c r="X75" s="1301"/>
      <c r="AA75" s="1246"/>
      <c r="AB75" s="1253"/>
      <c r="AC75" s="1253"/>
      <c r="AD75" s="1251"/>
      <c r="AE75" s="1251"/>
      <c r="AF75" s="1301"/>
      <c r="AI75" s="1246"/>
      <c r="AJ75" s="1246"/>
      <c r="AK75" s="1246"/>
      <c r="AL75" s="1246"/>
      <c r="AM75" s="1246"/>
      <c r="AN75" s="1257" t="s">
        <v>696</v>
      </c>
      <c r="AO75" s="1257"/>
      <c r="AP75" s="1258" t="n">
        <f aca="false">AP41</f>
        <v>0.024</v>
      </c>
    </row>
    <row r="76" customFormat="false" ht="26.25" hidden="false" customHeight="true" outlineLevel="0" collapsed="false">
      <c r="B76" s="1116" t="s">
        <v>697</v>
      </c>
      <c r="C76" s="1115" t="s">
        <v>774</v>
      </c>
      <c r="D76" s="1260" t="n">
        <f aca="false">D47</f>
        <v>32035335</v>
      </c>
      <c r="E76" s="1260" t="n">
        <f aca="false">E47</f>
        <v>4145893</v>
      </c>
      <c r="F76" s="1260" t="n">
        <f aca="false">SUM(D76:E76)</f>
        <v>36181228</v>
      </c>
      <c r="G76" s="1256"/>
      <c r="H76" s="1234"/>
      <c r="I76" s="1261" t="s">
        <v>699</v>
      </c>
      <c r="J76" s="1262" t="s">
        <v>774</v>
      </c>
      <c r="K76" s="1266" t="n">
        <f aca="false">K47</f>
        <v>342892</v>
      </c>
      <c r="L76" s="1266"/>
      <c r="M76" s="1266"/>
      <c r="N76" s="1264"/>
      <c r="O76" s="1234"/>
      <c r="P76" s="1234"/>
      <c r="Q76" s="1261" t="s">
        <v>699</v>
      </c>
      <c r="R76" s="1262" t="s">
        <v>774</v>
      </c>
      <c r="S76" s="1266" t="n">
        <f aca="false">S47</f>
        <v>6904166000</v>
      </c>
      <c r="T76" s="1266"/>
      <c r="U76" s="1266"/>
      <c r="V76" s="1266" t="n">
        <f aca="false">ROUNDDOWN(S76*X74/1000,0)</f>
        <v>7594582</v>
      </c>
      <c r="W76" s="1266"/>
      <c r="X76" s="1266"/>
      <c r="Y76" s="1256"/>
      <c r="Z76" s="1234"/>
      <c r="AA76" s="1246" t="s">
        <v>775</v>
      </c>
      <c r="AB76" s="1265" t="n">
        <f aca="false">'☆振替R7'!B243</f>
        <v>7068625000</v>
      </c>
      <c r="AC76" s="1265"/>
      <c r="AD76" s="1266" t="n">
        <f aca="false">ROUNDDOWN(AB76*AF74/1000,0)</f>
        <v>1413725</v>
      </c>
      <c r="AE76" s="1266"/>
      <c r="AF76" s="1266"/>
      <c r="AG76" s="1234"/>
      <c r="AH76" s="1234"/>
      <c r="AI76" s="1261" t="s">
        <v>699</v>
      </c>
      <c r="AJ76" s="1262" t="s">
        <v>774</v>
      </c>
      <c r="AK76" s="1266" t="n">
        <f aca="false">AK47</f>
        <v>6904166000</v>
      </c>
      <c r="AL76" s="1266"/>
      <c r="AM76" s="1266"/>
      <c r="AN76" s="1266" t="n">
        <f aca="false">ROUNDDOWN(AK76*AP75/1000,0)</f>
        <v>165699</v>
      </c>
      <c r="AO76" s="1266"/>
      <c r="AP76" s="1266"/>
    </row>
    <row r="77" customFormat="false" ht="26.25" hidden="false" customHeight="true" outlineLevel="0" collapsed="false">
      <c r="B77" s="1116"/>
      <c r="C77" s="1115" t="s">
        <v>776</v>
      </c>
      <c r="D77" s="1305" t="n">
        <v>33663622</v>
      </c>
      <c r="E77" s="1305" t="n">
        <v>4262347</v>
      </c>
      <c r="F77" s="1260" t="n">
        <f aca="false">SUM(D77:E77)</f>
        <v>37925969</v>
      </c>
      <c r="G77" s="1256"/>
      <c r="H77" s="1234"/>
      <c r="I77" s="1261"/>
      <c r="J77" s="1262" t="s">
        <v>777</v>
      </c>
      <c r="K77" s="1306" t="n">
        <v>664010</v>
      </c>
      <c r="L77" s="1306"/>
      <c r="M77" s="1306"/>
      <c r="N77" s="1264"/>
      <c r="Q77" s="1261"/>
      <c r="R77" s="1262" t="s">
        <v>777</v>
      </c>
      <c r="S77" s="1307" t="n">
        <v>6679289000</v>
      </c>
      <c r="T77" s="1307"/>
      <c r="U77" s="1307"/>
      <c r="V77" s="1266" t="n">
        <f aca="false">ROUNDDOWN(S77*X74/1000,0)</f>
        <v>7347217</v>
      </c>
      <c r="W77" s="1266"/>
      <c r="X77" s="1266"/>
      <c r="Y77" s="1256"/>
      <c r="AA77" s="1246"/>
      <c r="AB77" s="1265"/>
      <c r="AC77" s="1265"/>
      <c r="AD77" s="1266"/>
      <c r="AE77" s="1266"/>
      <c r="AF77" s="1266"/>
      <c r="AI77" s="1261"/>
      <c r="AJ77" s="1262" t="s">
        <v>777</v>
      </c>
      <c r="AK77" s="1307" t="n">
        <v>6679289000</v>
      </c>
      <c r="AL77" s="1307"/>
      <c r="AM77" s="1307"/>
      <c r="AN77" s="1266" t="n">
        <f aca="false">ROUNDDOWN(AK77*AP75/1000,0)</f>
        <v>160302</v>
      </c>
      <c r="AO77" s="1266"/>
      <c r="AP77" s="1266"/>
    </row>
    <row r="78" customFormat="false" ht="26.25" hidden="false" customHeight="true" outlineLevel="0" collapsed="false">
      <c r="B78" s="1246" t="s">
        <v>703</v>
      </c>
      <c r="C78" s="1246"/>
      <c r="D78" s="1260" t="n">
        <f aca="false">D76-D77</f>
        <v>-1628287</v>
      </c>
      <c r="E78" s="1260" t="n">
        <f aca="false">E76-E77</f>
        <v>-116454</v>
      </c>
      <c r="F78" s="1260" t="n">
        <f aca="false">F76-F77</f>
        <v>-1744741</v>
      </c>
      <c r="G78" s="1256"/>
      <c r="I78" s="1246" t="s">
        <v>704</v>
      </c>
      <c r="J78" s="1246"/>
      <c r="K78" s="1266" t="n">
        <f aca="false">K76-K77</f>
        <v>-321118</v>
      </c>
      <c r="L78" s="1266"/>
      <c r="M78" s="1266"/>
      <c r="N78" s="1264"/>
      <c r="Q78" s="1246" t="s">
        <v>704</v>
      </c>
      <c r="R78" s="1246"/>
      <c r="S78" s="1266" t="n">
        <f aca="false">S76-S77</f>
        <v>224877000</v>
      </c>
      <c r="T78" s="1266"/>
      <c r="U78" s="1266"/>
      <c r="V78" s="1266" t="n">
        <f aca="false">V76-V77</f>
        <v>247365</v>
      </c>
      <c r="W78" s="1266"/>
      <c r="X78" s="1266"/>
      <c r="AA78" s="1246" t="s">
        <v>778</v>
      </c>
      <c r="AB78" s="1265" t="n">
        <f aca="false">'☆振替R7'!B274</f>
        <v>7045707000</v>
      </c>
      <c r="AC78" s="1265"/>
      <c r="AD78" s="1266" t="n">
        <f aca="false">ROUNDDOWN(AB78*AF74/1000,0)</f>
        <v>1409141</v>
      </c>
      <c r="AE78" s="1266"/>
      <c r="AF78" s="1266"/>
      <c r="AI78" s="1246" t="s">
        <v>704</v>
      </c>
      <c r="AJ78" s="1246"/>
      <c r="AK78" s="1266" t="n">
        <f aca="false">AK76-AK77</f>
        <v>224877000</v>
      </c>
      <c r="AL78" s="1266"/>
      <c r="AM78" s="1266"/>
      <c r="AN78" s="1266" t="n">
        <f aca="false">AN76-AN77</f>
        <v>5397</v>
      </c>
      <c r="AO78" s="1266"/>
      <c r="AP78" s="1266"/>
    </row>
    <row r="79" customFormat="false" ht="26.25" hidden="false" customHeight="true" outlineLevel="0" collapsed="false">
      <c r="B79" s="1271" t="s">
        <v>779</v>
      </c>
      <c r="C79" s="1272" t="s">
        <v>707</v>
      </c>
      <c r="D79" s="1260" t="n">
        <f aca="false">'☆振替R7'!D227:E227+'☆振替R7'!D238</f>
        <v>32798430</v>
      </c>
      <c r="E79" s="1260" t="n">
        <f aca="false">'☆振替R7'!E238</f>
        <v>4264974</v>
      </c>
      <c r="F79" s="1260" t="n">
        <f aca="false">SUM(D79:E79)</f>
        <v>37063404</v>
      </c>
      <c r="G79" s="1256"/>
      <c r="I79" s="1271" t="s">
        <v>779</v>
      </c>
      <c r="J79" s="1272" t="s">
        <v>707</v>
      </c>
      <c r="K79" s="1266" t="n">
        <f aca="false">'☆振替R7'!F238</f>
        <v>352516</v>
      </c>
      <c r="L79" s="1266"/>
      <c r="M79" s="1266"/>
      <c r="N79" s="1264"/>
      <c r="Q79" s="1271" t="s">
        <v>779</v>
      </c>
      <c r="R79" s="1272" t="s">
        <v>707</v>
      </c>
      <c r="S79" s="1266" t="n">
        <f aca="false">'☆振替R7'!B243</f>
        <v>7068625000</v>
      </c>
      <c r="T79" s="1266"/>
      <c r="U79" s="1266"/>
      <c r="V79" s="1266" t="n">
        <f aca="false">ROUNDDOWN(S79*X74/1000,0)</f>
        <v>7775487</v>
      </c>
      <c r="W79" s="1266"/>
      <c r="X79" s="1266"/>
      <c r="AA79" s="1246"/>
      <c r="AB79" s="1265"/>
      <c r="AC79" s="1265"/>
      <c r="AD79" s="1266"/>
      <c r="AE79" s="1266"/>
      <c r="AF79" s="1266"/>
      <c r="AI79" s="1271" t="s">
        <v>779</v>
      </c>
      <c r="AJ79" s="1272" t="s">
        <v>707</v>
      </c>
      <c r="AK79" s="1266" t="n">
        <f aca="false">'☆振替R7'!B243</f>
        <v>7068625000</v>
      </c>
      <c r="AL79" s="1266"/>
      <c r="AM79" s="1266"/>
      <c r="AN79" s="1266" t="n">
        <f aca="false">ROUNDDOWN(AK79*AP75/1000,0)</f>
        <v>169647</v>
      </c>
      <c r="AO79" s="1266"/>
      <c r="AP79" s="1266"/>
    </row>
    <row r="80" customFormat="false" ht="26.25" hidden="false" customHeight="true" outlineLevel="0" collapsed="false">
      <c r="B80" s="1271" t="s">
        <v>780</v>
      </c>
      <c r="C80" s="1272" t="s">
        <v>709</v>
      </c>
      <c r="D80" s="1260" t="n">
        <f aca="false">'☆振替R7'!D258:E258+'☆振替R7'!D269</f>
        <v>32692085</v>
      </c>
      <c r="E80" s="1260" t="n">
        <f aca="false">'☆振替R7'!E269</f>
        <v>4256216</v>
      </c>
      <c r="F80" s="1260" t="n">
        <f aca="false">SUM(D80:E80)</f>
        <v>36948301</v>
      </c>
      <c r="G80" s="1256"/>
      <c r="I80" s="1271" t="s">
        <v>780</v>
      </c>
      <c r="J80" s="1272" t="s">
        <v>709</v>
      </c>
      <c r="K80" s="1266" t="n">
        <f aca="false">'☆振替R7'!F269</f>
        <v>351865</v>
      </c>
      <c r="L80" s="1266"/>
      <c r="M80" s="1266"/>
      <c r="N80" s="1264"/>
      <c r="Q80" s="1271" t="s">
        <v>780</v>
      </c>
      <c r="R80" s="1272" t="s">
        <v>709</v>
      </c>
      <c r="S80" s="1266" t="n">
        <f aca="false">'☆振替R7'!B274</f>
        <v>7045707000</v>
      </c>
      <c r="T80" s="1266"/>
      <c r="U80" s="1266"/>
      <c r="V80" s="1266" t="n">
        <f aca="false">ROUNDDOWN(S80*X74/1000,0)</f>
        <v>7750277</v>
      </c>
      <c r="W80" s="1266"/>
      <c r="X80" s="1266"/>
      <c r="AA80" s="1246" t="s">
        <v>781</v>
      </c>
      <c r="AB80" s="1265" t="n">
        <f aca="false">'☆振替R7'!B305+'☆振替R7'!B336</f>
        <v>19172425000</v>
      </c>
      <c r="AC80" s="1265"/>
      <c r="AD80" s="1266" t="n">
        <f aca="false">ROUNDDOWN(AB80*AF74/1000,0)</f>
        <v>3834485</v>
      </c>
      <c r="AE80" s="1266"/>
      <c r="AF80" s="1266"/>
      <c r="AI80" s="1271" t="s">
        <v>780</v>
      </c>
      <c r="AJ80" s="1272" t="s">
        <v>709</v>
      </c>
      <c r="AK80" s="1266" t="n">
        <f aca="false">'☆振替R7'!B274</f>
        <v>7045707000</v>
      </c>
      <c r="AL80" s="1266"/>
      <c r="AM80" s="1266"/>
      <c r="AN80" s="1266" t="n">
        <f aca="false">ROUNDDOWN(AK80*AP75/1000,0)</f>
        <v>169096</v>
      </c>
      <c r="AO80" s="1266"/>
      <c r="AP80" s="1266"/>
    </row>
    <row r="81" customFormat="false" ht="26.25" hidden="false" customHeight="true" outlineLevel="0" collapsed="false">
      <c r="B81" s="1271" t="s">
        <v>782</v>
      </c>
      <c r="C81" s="1272" t="s">
        <v>712</v>
      </c>
      <c r="D81" s="1260" t="n">
        <f aca="false">'☆振替R7'!D289:E289+'☆振替R7'!D300+'☆振替R7'!D320:E320+'☆振替R7'!D331</f>
        <v>88960072</v>
      </c>
      <c r="E81" s="1260" t="n">
        <f aca="false">'☆振替R7'!E300+'☆振替R7'!E331</f>
        <v>12136475</v>
      </c>
      <c r="F81" s="1260" t="n">
        <f aca="false">SUM(D81:E81)</f>
        <v>101096547</v>
      </c>
      <c r="G81" s="1234"/>
      <c r="I81" s="1271" t="s">
        <v>782</v>
      </c>
      <c r="J81" s="1272" t="s">
        <v>713</v>
      </c>
      <c r="K81" s="1266" t="n">
        <f aca="false">'☆振替R7'!F300+'☆振替R7'!F331</f>
        <v>958301</v>
      </c>
      <c r="L81" s="1266"/>
      <c r="M81" s="1266"/>
      <c r="N81" s="1264"/>
      <c r="Q81" s="1271" t="s">
        <v>782</v>
      </c>
      <c r="R81" s="1272" t="s">
        <v>713</v>
      </c>
      <c r="S81" s="1266" t="n">
        <f aca="false">'☆振替R7'!B305+'☆振替R7'!B336</f>
        <v>19172425000</v>
      </c>
      <c r="T81" s="1266"/>
      <c r="U81" s="1266"/>
      <c r="V81" s="1266" t="n">
        <f aca="false">ROUNDDOWN(S81*X74/1000,0)</f>
        <v>21089667</v>
      </c>
      <c r="W81" s="1266"/>
      <c r="X81" s="1266"/>
      <c r="AA81" s="1246"/>
      <c r="AB81" s="1265"/>
      <c r="AC81" s="1265"/>
      <c r="AD81" s="1266"/>
      <c r="AE81" s="1266"/>
      <c r="AF81" s="1266"/>
      <c r="AI81" s="1271" t="s">
        <v>782</v>
      </c>
      <c r="AJ81" s="1272" t="s">
        <v>713</v>
      </c>
      <c r="AK81" s="1266" t="n">
        <f aca="false">'☆振替R7'!B305+'☆振替R7'!B336</f>
        <v>19172425000</v>
      </c>
      <c r="AL81" s="1266"/>
      <c r="AM81" s="1266"/>
      <c r="AN81" s="1266" t="n">
        <f aca="false">ROUNDDOWN(AK81*AP75/1000,0)</f>
        <v>460138</v>
      </c>
      <c r="AO81" s="1266"/>
      <c r="AP81" s="1266"/>
    </row>
    <row r="82" customFormat="false" ht="26.25" hidden="false" customHeight="true" outlineLevel="0" collapsed="false">
      <c r="B82" s="1246" t="s">
        <v>714</v>
      </c>
      <c r="C82" s="1246"/>
      <c r="D82" s="1260" t="n">
        <f aca="false">SUM(D79:D81)</f>
        <v>154450587</v>
      </c>
      <c r="E82" s="1260" t="n">
        <f aca="false">SUM(E79:E81)</f>
        <v>20657665</v>
      </c>
      <c r="F82" s="1260" t="n">
        <f aca="false">SUM(D82:E82)</f>
        <v>175108252</v>
      </c>
      <c r="G82" s="1234"/>
      <c r="I82" s="1246" t="s">
        <v>714</v>
      </c>
      <c r="J82" s="1246"/>
      <c r="K82" s="1266" t="n">
        <f aca="false">SUM(K79:M81)</f>
        <v>1662682</v>
      </c>
      <c r="L82" s="1266"/>
      <c r="M82" s="1266"/>
      <c r="N82" s="1264"/>
      <c r="Q82" s="1246" t="s">
        <v>714</v>
      </c>
      <c r="R82" s="1246"/>
      <c r="S82" s="1266" t="n">
        <f aca="false">SUM(S79:U81)</f>
        <v>33286757000</v>
      </c>
      <c r="T82" s="1266"/>
      <c r="U82" s="1266"/>
      <c r="V82" s="1266" t="n">
        <f aca="false">SUM(V79:X81)</f>
        <v>36615431</v>
      </c>
      <c r="W82" s="1266"/>
      <c r="X82" s="1266"/>
      <c r="AA82" s="1246" t="s">
        <v>489</v>
      </c>
      <c r="AB82" s="1265" t="n">
        <f aca="false">SUM(AB76:AC81)</f>
        <v>33286757000</v>
      </c>
      <c r="AC82" s="1265"/>
      <c r="AD82" s="1266" t="n">
        <f aca="false">SUM(AD76:AF81)</f>
        <v>6657351</v>
      </c>
      <c r="AE82" s="1266"/>
      <c r="AF82" s="1266"/>
      <c r="AI82" s="1246" t="s">
        <v>714</v>
      </c>
      <c r="AJ82" s="1246"/>
      <c r="AK82" s="1266" t="n">
        <f aca="false">SUM(AK79:AM81)</f>
        <v>33286757000</v>
      </c>
      <c r="AL82" s="1266"/>
      <c r="AM82" s="1266"/>
      <c r="AN82" s="1266" t="n">
        <f aca="false">SUM(AN79:AP81)</f>
        <v>798881</v>
      </c>
      <c r="AO82" s="1266"/>
      <c r="AP82" s="1266"/>
    </row>
    <row r="83" customFormat="false" ht="26.25" hidden="false" customHeight="true" outlineLevel="0" collapsed="false">
      <c r="B83" s="1246" t="s">
        <v>715</v>
      </c>
      <c r="C83" s="1246"/>
      <c r="D83" s="1260" t="n">
        <f aca="false">D78+D82</f>
        <v>152822300</v>
      </c>
      <c r="E83" s="1260" t="n">
        <f aca="false">E78+E82</f>
        <v>20541211</v>
      </c>
      <c r="F83" s="1273" t="n">
        <f aca="false">SUM(D83:E83)</f>
        <v>173363511</v>
      </c>
      <c r="G83" s="1234"/>
      <c r="I83" s="1246" t="s">
        <v>715</v>
      </c>
      <c r="J83" s="1246"/>
      <c r="K83" s="1266" t="n">
        <f aca="false">K78+K82</f>
        <v>1341564</v>
      </c>
      <c r="L83" s="1266"/>
      <c r="M83" s="1266"/>
      <c r="N83" s="1274"/>
      <c r="Q83" s="1246" t="s">
        <v>715</v>
      </c>
      <c r="R83" s="1246"/>
      <c r="S83" s="1266" t="n">
        <f aca="false">S78+S82</f>
        <v>33511634000</v>
      </c>
      <c r="T83" s="1266"/>
      <c r="U83" s="1266"/>
      <c r="V83" s="1275" t="n">
        <f aca="false">V78+V82</f>
        <v>36862796</v>
      </c>
      <c r="W83" s="1275"/>
      <c r="X83" s="1275"/>
      <c r="AA83" s="1246"/>
      <c r="AB83" s="1265"/>
      <c r="AC83" s="1265"/>
      <c r="AD83" s="1266"/>
      <c r="AE83" s="1266"/>
      <c r="AF83" s="1266"/>
      <c r="AI83" s="1246" t="s">
        <v>715</v>
      </c>
      <c r="AJ83" s="1246"/>
      <c r="AK83" s="1266" t="n">
        <f aca="false">AK78+AK82</f>
        <v>33511634000</v>
      </c>
      <c r="AL83" s="1266"/>
      <c r="AM83" s="1266"/>
      <c r="AN83" s="1275" t="n">
        <f aca="false">AN78+AN82</f>
        <v>804278</v>
      </c>
      <c r="AO83" s="1275"/>
      <c r="AP83" s="1275"/>
    </row>
    <row r="84" customFormat="false" ht="7.5" hidden="false" customHeight="true" outlineLevel="0" collapsed="false">
      <c r="G84" s="1234"/>
      <c r="N84" s="1234"/>
      <c r="AF84" s="1234"/>
    </row>
    <row r="85" s="945" customFormat="true" ht="20.25" hidden="false" customHeight="true" outlineLevel="0" collapsed="false">
      <c r="B85" s="1276" t="s">
        <v>716</v>
      </c>
      <c r="C85" s="1277"/>
      <c r="D85" s="1277"/>
      <c r="E85" s="1277"/>
      <c r="F85" s="1277"/>
      <c r="G85" s="1278"/>
      <c r="I85" s="1276" t="s">
        <v>716</v>
      </c>
      <c r="J85" s="1276"/>
      <c r="K85" s="1276"/>
      <c r="L85" s="1276"/>
      <c r="M85" s="1276"/>
      <c r="N85" s="1276"/>
      <c r="Q85" s="1276" t="s">
        <v>716</v>
      </c>
      <c r="R85" s="1276"/>
      <c r="S85" s="1276"/>
      <c r="T85" s="1276"/>
      <c r="U85" s="1276"/>
      <c r="V85" s="1276"/>
      <c r="W85" s="1277"/>
      <c r="X85" s="1277"/>
      <c r="AA85" s="1276" t="s">
        <v>716</v>
      </c>
      <c r="AB85" s="1277"/>
      <c r="AC85" s="1277"/>
      <c r="AD85" s="1277"/>
      <c r="AE85" s="1277"/>
      <c r="AF85" s="1277"/>
      <c r="AI85" s="1276" t="s">
        <v>717</v>
      </c>
      <c r="AJ85" s="1276"/>
      <c r="AK85" s="1276"/>
      <c r="AL85" s="1276"/>
      <c r="AM85" s="1276"/>
      <c r="AN85" s="1276"/>
      <c r="AO85" s="1277"/>
      <c r="AP85" s="1277"/>
    </row>
    <row r="86" s="945" customFormat="true" ht="20.25" hidden="false" customHeight="true" outlineLevel="0" collapsed="false">
      <c r="B86" s="945" t="s">
        <v>718</v>
      </c>
      <c r="G86" s="1278"/>
      <c r="I86" s="945" t="s">
        <v>719</v>
      </c>
      <c r="Q86" s="945" t="s">
        <v>719</v>
      </c>
      <c r="AA86" s="945" t="s">
        <v>719</v>
      </c>
      <c r="AI86" s="945" t="s">
        <v>719</v>
      </c>
    </row>
    <row r="87" s="945" customFormat="true" ht="20.25" hidden="false" customHeight="true" outlineLevel="0" collapsed="false">
      <c r="B87" s="945" t="s">
        <v>720</v>
      </c>
      <c r="G87" s="1278"/>
      <c r="H87" s="1278"/>
      <c r="I87" s="945" t="s">
        <v>721</v>
      </c>
      <c r="O87" s="1278"/>
      <c r="P87" s="1278"/>
      <c r="Q87" s="945" t="s">
        <v>722</v>
      </c>
      <c r="Y87" s="1278"/>
      <c r="Z87" s="1278"/>
      <c r="AA87" s="945" t="s">
        <v>722</v>
      </c>
      <c r="AG87" s="1278"/>
      <c r="AH87" s="1278"/>
      <c r="AI87" s="945" t="s">
        <v>722</v>
      </c>
    </row>
    <row r="88" s="945" customFormat="true" ht="20.25" hidden="false" customHeight="true" outlineLevel="0" collapsed="false">
      <c r="B88" s="945" t="s">
        <v>723</v>
      </c>
      <c r="G88" s="1278"/>
      <c r="I88" s="945" t="s">
        <v>724</v>
      </c>
      <c r="Q88" s="945" t="s">
        <v>725</v>
      </c>
      <c r="AA88" s="945" t="s">
        <v>725</v>
      </c>
      <c r="AI88" s="945" t="s">
        <v>725</v>
      </c>
    </row>
    <row r="89" s="945" customFormat="true" ht="20.25" hidden="false" customHeight="true" outlineLevel="0" collapsed="false">
      <c r="B89" s="945" t="s">
        <v>726</v>
      </c>
      <c r="G89" s="1278"/>
      <c r="I89" s="945" t="s">
        <v>727</v>
      </c>
      <c r="Q89" s="945" t="s">
        <v>727</v>
      </c>
      <c r="AA89" s="945" t="s">
        <v>727</v>
      </c>
      <c r="AI89" s="945" t="s">
        <v>727</v>
      </c>
    </row>
    <row r="90" s="945" customFormat="true" ht="20.25" hidden="false" customHeight="true" outlineLevel="0" collapsed="false">
      <c r="B90" s="945" t="s">
        <v>728</v>
      </c>
      <c r="I90" s="945" t="s">
        <v>729</v>
      </c>
      <c r="Q90" s="945" t="s">
        <v>730</v>
      </c>
      <c r="AA90" s="945" t="s">
        <v>730</v>
      </c>
      <c r="AI90" s="945" t="s">
        <v>731</v>
      </c>
    </row>
    <row r="91" s="945" customFormat="true" ht="20.25" hidden="false" customHeight="true" outlineLevel="0" collapsed="false">
      <c r="B91" s="945" t="s">
        <v>732</v>
      </c>
      <c r="I91" s="945" t="s">
        <v>732</v>
      </c>
      <c r="Q91" s="945" t="s">
        <v>733</v>
      </c>
      <c r="AA91" s="945" t="s">
        <v>734</v>
      </c>
      <c r="AI91" s="945" t="s">
        <v>735</v>
      </c>
    </row>
    <row r="92" s="945" customFormat="true" ht="14.25" hidden="false" customHeight="true" outlineLevel="0" collapsed="false">
      <c r="AI92" s="1279" t="n">
        <f aca="false">AI58</f>
        <v>0.024</v>
      </c>
      <c r="AJ92" s="1279"/>
      <c r="AK92" s="1280" t="s">
        <v>736</v>
      </c>
    </row>
    <row r="93" s="945" customFormat="true" ht="14.25" hidden="false" customHeight="true" outlineLevel="0" collapsed="false"/>
    <row r="94" customFormat="false" ht="24.75" hidden="false" customHeight="true" outlineLevel="0" collapsed="false">
      <c r="B94" s="1226" t="s">
        <v>737</v>
      </c>
      <c r="C94" s="1226"/>
      <c r="D94" s="1226"/>
      <c r="E94" s="1226"/>
      <c r="F94" s="1226"/>
      <c r="I94" s="1226" t="s">
        <v>738</v>
      </c>
      <c r="J94" s="1226"/>
      <c r="K94" s="1226"/>
      <c r="L94" s="1226"/>
      <c r="M94" s="1226"/>
      <c r="N94" s="1226"/>
      <c r="Q94" s="1226" t="s">
        <v>737</v>
      </c>
      <c r="R94" s="1226"/>
      <c r="S94" s="1226"/>
      <c r="T94" s="1226"/>
      <c r="U94" s="1226"/>
      <c r="V94" s="1226"/>
      <c r="W94" s="1226"/>
      <c r="X94" s="1226"/>
      <c r="AA94" s="1232" t="s">
        <v>739</v>
      </c>
      <c r="AB94" s="1232"/>
      <c r="AC94" s="1232"/>
      <c r="AD94" s="1232"/>
      <c r="AE94" s="1232"/>
      <c r="AF94" s="1232"/>
      <c r="AI94" s="1226" t="s">
        <v>737</v>
      </c>
      <c r="AJ94" s="1226"/>
      <c r="AK94" s="1226"/>
      <c r="AL94" s="1226"/>
      <c r="AM94" s="1226"/>
      <c r="AN94" s="1226"/>
      <c r="AO94" s="1226"/>
      <c r="AP94" s="1226"/>
    </row>
    <row r="95" customFormat="false" ht="24.75" hidden="false" customHeight="true" outlineLevel="0" collapsed="false">
      <c r="B95" s="1282" t="s">
        <v>740</v>
      </c>
      <c r="F95" s="1241" t="s">
        <v>684</v>
      </c>
      <c r="I95" s="1282" t="s">
        <v>740</v>
      </c>
      <c r="N95" s="1241" t="s">
        <v>684</v>
      </c>
      <c r="Q95" s="1282" t="s">
        <v>740</v>
      </c>
      <c r="X95" s="1241" t="s">
        <v>684</v>
      </c>
      <c r="AA95" s="1282" t="s">
        <v>740</v>
      </c>
      <c r="AF95" s="1241" t="s">
        <v>684</v>
      </c>
      <c r="AI95" s="1282" t="s">
        <v>740</v>
      </c>
      <c r="AP95" s="1241" t="s">
        <v>684</v>
      </c>
    </row>
    <row r="96" customFormat="false" ht="24.75" hidden="false" customHeight="true" outlineLevel="0" collapsed="false">
      <c r="B96" s="1246" t="s">
        <v>685</v>
      </c>
      <c r="C96" s="1246"/>
      <c r="D96" s="1246" t="s">
        <v>741</v>
      </c>
      <c r="E96" s="1246"/>
      <c r="F96" s="1246"/>
      <c r="I96" s="1246" t="s">
        <v>685</v>
      </c>
      <c r="J96" s="1246"/>
      <c r="K96" s="1283" t="s">
        <v>742</v>
      </c>
      <c r="L96" s="1283"/>
      <c r="M96" s="1283"/>
      <c r="N96" s="1283"/>
      <c r="Q96" s="1246" t="s">
        <v>685</v>
      </c>
      <c r="R96" s="1246"/>
      <c r="S96" s="1246" t="s">
        <v>743</v>
      </c>
      <c r="T96" s="1246"/>
      <c r="U96" s="1246"/>
      <c r="V96" s="1246"/>
      <c r="W96" s="1246"/>
      <c r="X96" s="1246"/>
      <c r="AA96" s="1246" t="s">
        <v>689</v>
      </c>
      <c r="AB96" s="1246" t="s">
        <v>744</v>
      </c>
      <c r="AC96" s="1246"/>
      <c r="AD96" s="1246"/>
      <c r="AE96" s="1246"/>
      <c r="AF96" s="1246"/>
      <c r="AI96" s="1246" t="s">
        <v>685</v>
      </c>
      <c r="AJ96" s="1246"/>
      <c r="AK96" s="1246" t="s">
        <v>745</v>
      </c>
      <c r="AL96" s="1246"/>
      <c r="AM96" s="1246"/>
      <c r="AN96" s="1246"/>
      <c r="AO96" s="1246"/>
      <c r="AP96" s="1246"/>
    </row>
    <row r="97" customFormat="false" ht="24.75" hidden="false" customHeight="true" outlineLevel="0" collapsed="false">
      <c r="B97" s="1246"/>
      <c r="C97" s="1246"/>
      <c r="D97" s="1284" t="s">
        <v>693</v>
      </c>
      <c r="E97" s="1253" t="s">
        <v>694</v>
      </c>
      <c r="F97" s="1246" t="s">
        <v>695</v>
      </c>
      <c r="I97" s="1246"/>
      <c r="J97" s="1246"/>
      <c r="K97" s="1285" t="s">
        <v>746</v>
      </c>
      <c r="L97" s="1246" t="s">
        <v>747</v>
      </c>
      <c r="M97" s="1246"/>
      <c r="N97" s="1246" t="s">
        <v>748</v>
      </c>
      <c r="Q97" s="1246"/>
      <c r="R97" s="1246"/>
      <c r="S97" s="1246" t="s">
        <v>749</v>
      </c>
      <c r="T97" s="1246"/>
      <c r="U97" s="1246" t="s">
        <v>750</v>
      </c>
      <c r="V97" s="1246"/>
      <c r="W97" s="1246" t="s">
        <v>751</v>
      </c>
      <c r="X97" s="1246"/>
      <c r="AA97" s="1246"/>
      <c r="AB97" s="1286" t="s">
        <v>749</v>
      </c>
      <c r="AC97" s="1287" t="s">
        <v>750</v>
      </c>
      <c r="AD97" s="1287"/>
      <c r="AE97" s="1287" t="s">
        <v>751</v>
      </c>
      <c r="AF97" s="1287"/>
      <c r="AI97" s="1246"/>
      <c r="AJ97" s="1246"/>
      <c r="AK97" s="1246" t="s">
        <v>752</v>
      </c>
      <c r="AL97" s="1246"/>
      <c r="AM97" s="1246" t="s">
        <v>753</v>
      </c>
      <c r="AN97" s="1246"/>
      <c r="AO97" s="1246" t="s">
        <v>754</v>
      </c>
      <c r="AP97" s="1246"/>
    </row>
    <row r="98" customFormat="false" ht="24.75" hidden="false" customHeight="true" outlineLevel="0" collapsed="false">
      <c r="B98" s="1288" t="s">
        <v>755</v>
      </c>
      <c r="C98" s="1288"/>
      <c r="D98" s="1289"/>
      <c r="E98" s="1289"/>
      <c r="F98" s="1289"/>
      <c r="I98" s="1288" t="s">
        <v>755</v>
      </c>
      <c r="J98" s="1288"/>
      <c r="K98" s="1290"/>
      <c r="L98" s="1290"/>
      <c r="M98" s="1290"/>
      <c r="N98" s="1290"/>
      <c r="Q98" s="1288" t="s">
        <v>755</v>
      </c>
      <c r="R98" s="1288"/>
      <c r="S98" s="1290"/>
      <c r="T98" s="1290"/>
      <c r="U98" s="1290"/>
      <c r="V98" s="1290"/>
      <c r="W98" s="1290"/>
      <c r="X98" s="1290"/>
      <c r="AA98" s="1288" t="s">
        <v>756</v>
      </c>
      <c r="AB98" s="1289"/>
      <c r="AC98" s="1288"/>
      <c r="AD98" s="1288"/>
      <c r="AE98" s="1288"/>
      <c r="AF98" s="1288"/>
      <c r="AI98" s="1288" t="s">
        <v>755</v>
      </c>
      <c r="AJ98" s="1288"/>
      <c r="AK98" s="1290"/>
      <c r="AL98" s="1290"/>
      <c r="AM98" s="1290"/>
      <c r="AN98" s="1290"/>
      <c r="AO98" s="1290"/>
      <c r="AP98" s="1290"/>
    </row>
    <row r="99" customFormat="false" ht="24.75" hidden="false" customHeight="true" outlineLevel="0" collapsed="false">
      <c r="B99" s="1288" t="s">
        <v>757</v>
      </c>
      <c r="C99" s="1288"/>
      <c r="D99" s="1291"/>
      <c r="E99" s="1289"/>
      <c r="F99" s="1289"/>
      <c r="I99" s="1288" t="s">
        <v>757</v>
      </c>
      <c r="J99" s="1288"/>
      <c r="K99" s="1290"/>
      <c r="L99" s="1290"/>
      <c r="M99" s="1290"/>
      <c r="N99" s="1290"/>
      <c r="Q99" s="1288" t="s">
        <v>757</v>
      </c>
      <c r="R99" s="1288"/>
      <c r="S99" s="1290"/>
      <c r="T99" s="1290"/>
      <c r="U99" s="1290"/>
      <c r="V99" s="1290"/>
      <c r="W99" s="1290"/>
      <c r="X99" s="1290"/>
      <c r="AA99" s="1288" t="s">
        <v>758</v>
      </c>
      <c r="AB99" s="1289"/>
      <c r="AC99" s="1288"/>
      <c r="AD99" s="1288"/>
      <c r="AE99" s="1288"/>
      <c r="AF99" s="1288"/>
      <c r="AI99" s="1288" t="s">
        <v>757</v>
      </c>
      <c r="AJ99" s="1288"/>
      <c r="AK99" s="1290"/>
      <c r="AL99" s="1290"/>
      <c r="AM99" s="1290"/>
      <c r="AN99" s="1290"/>
      <c r="AO99" s="1290"/>
      <c r="AP99" s="1290"/>
    </row>
    <row r="100" customFormat="false" ht="24.75" hidden="false" customHeight="true" outlineLevel="0" collapsed="false">
      <c r="B100" s="1288" t="s">
        <v>759</v>
      </c>
      <c r="C100" s="1288"/>
      <c r="D100" s="1289"/>
      <c r="E100" s="1289"/>
      <c r="F100" s="1289"/>
      <c r="I100" s="1288" t="s">
        <v>759</v>
      </c>
      <c r="J100" s="1288"/>
      <c r="K100" s="1290"/>
      <c r="L100" s="1290"/>
      <c r="M100" s="1290"/>
      <c r="N100" s="1290"/>
      <c r="Q100" s="1288" t="s">
        <v>759</v>
      </c>
      <c r="R100" s="1288"/>
      <c r="S100" s="1290"/>
      <c r="T100" s="1290"/>
      <c r="U100" s="1290"/>
      <c r="V100" s="1290"/>
      <c r="W100" s="1290"/>
      <c r="X100" s="1290"/>
      <c r="AA100" s="1288" t="s">
        <v>760</v>
      </c>
      <c r="AB100" s="1289"/>
      <c r="AC100" s="1288"/>
      <c r="AD100" s="1288"/>
      <c r="AE100" s="1288"/>
      <c r="AF100" s="1288"/>
      <c r="AI100" s="1288" t="s">
        <v>759</v>
      </c>
      <c r="AJ100" s="1288"/>
      <c r="AK100" s="1290"/>
      <c r="AL100" s="1290"/>
      <c r="AM100" s="1290"/>
      <c r="AN100" s="1290"/>
      <c r="AO100" s="1290"/>
      <c r="AP100" s="1290"/>
    </row>
    <row r="101" customFormat="false" ht="24.75" hidden="false" customHeight="true" outlineLevel="0" collapsed="false">
      <c r="B101" s="1288" t="s">
        <v>761</v>
      </c>
      <c r="C101" s="1288"/>
      <c r="D101" s="1289"/>
      <c r="E101" s="1289"/>
      <c r="F101" s="1289"/>
      <c r="I101" s="1288" t="s">
        <v>761</v>
      </c>
      <c r="J101" s="1288"/>
      <c r="K101" s="1290"/>
      <c r="L101" s="1290"/>
      <c r="M101" s="1290"/>
      <c r="N101" s="1290"/>
      <c r="Q101" s="1288" t="s">
        <v>761</v>
      </c>
      <c r="R101" s="1288"/>
      <c r="S101" s="1290"/>
      <c r="T101" s="1290"/>
      <c r="U101" s="1290"/>
      <c r="V101" s="1290"/>
      <c r="W101" s="1290"/>
      <c r="X101" s="1290"/>
      <c r="AA101" s="1288" t="s">
        <v>762</v>
      </c>
      <c r="AB101" s="1289"/>
      <c r="AC101" s="1288"/>
      <c r="AD101" s="1288"/>
      <c r="AE101" s="1288"/>
      <c r="AF101" s="1288"/>
      <c r="AI101" s="1288" t="s">
        <v>761</v>
      </c>
      <c r="AJ101" s="1288"/>
      <c r="AK101" s="1290"/>
      <c r="AL101" s="1290"/>
      <c r="AM101" s="1290"/>
      <c r="AN101" s="1290"/>
      <c r="AO101" s="1290"/>
      <c r="AP101" s="1290"/>
    </row>
    <row r="102" customFormat="false" ht="24.75" hidden="false" customHeight="true" outlineLevel="0" collapsed="false">
      <c r="B102" s="1246" t="s">
        <v>695</v>
      </c>
      <c r="C102" s="1246"/>
      <c r="D102" s="1292"/>
      <c r="E102" s="1292"/>
      <c r="F102" s="1293"/>
      <c r="I102" s="1246" t="s">
        <v>695</v>
      </c>
      <c r="J102" s="1246"/>
      <c r="K102" s="1290"/>
      <c r="L102" s="1290"/>
      <c r="M102" s="1290"/>
      <c r="N102" s="1266"/>
      <c r="Q102" s="1246" t="s">
        <v>695</v>
      </c>
      <c r="R102" s="1246"/>
      <c r="S102" s="1290"/>
      <c r="T102" s="1290"/>
      <c r="U102" s="1290"/>
      <c r="V102" s="1290"/>
      <c r="W102" s="1290"/>
      <c r="X102" s="1290"/>
      <c r="AA102" s="1246" t="s">
        <v>763</v>
      </c>
      <c r="AB102" s="1289"/>
      <c r="AC102" s="1288"/>
      <c r="AD102" s="1288"/>
      <c r="AE102" s="1288"/>
      <c r="AF102" s="1288"/>
      <c r="AI102" s="1246" t="s">
        <v>695</v>
      </c>
      <c r="AJ102" s="1246"/>
      <c r="AK102" s="1290"/>
      <c r="AL102" s="1290"/>
      <c r="AM102" s="1290"/>
      <c r="AN102" s="1290"/>
      <c r="AO102" s="1290"/>
      <c r="AP102" s="1290"/>
    </row>
    <row r="103" s="945" customFormat="true" ht="17.25" hidden="false" customHeight="true" outlineLevel="0" collapsed="false">
      <c r="B103" s="1223" t="s">
        <v>676</v>
      </c>
      <c r="C103" s="1224"/>
      <c r="D103" s="1224"/>
      <c r="E103" s="1224"/>
      <c r="F103" s="1224"/>
      <c r="G103" s="1225"/>
      <c r="H103" s="1224"/>
      <c r="I103" s="1223" t="s">
        <v>676</v>
      </c>
      <c r="J103" s="1224"/>
      <c r="K103" s="1224"/>
      <c r="L103" s="1224"/>
      <c r="M103" s="1224"/>
      <c r="N103" s="1224"/>
      <c r="O103" s="1224"/>
      <c r="P103" s="1224"/>
      <c r="Q103" s="1223" t="s">
        <v>676</v>
      </c>
      <c r="R103" s="1224"/>
      <c r="S103" s="1224"/>
      <c r="T103" s="1224"/>
      <c r="U103" s="1224"/>
      <c r="V103" s="1224"/>
      <c r="W103" s="1224"/>
      <c r="X103" s="1224"/>
      <c r="Y103" s="1224"/>
      <c r="Z103" s="1224"/>
      <c r="AB103" s="1224"/>
      <c r="AC103" s="1224"/>
      <c r="AD103" s="1224"/>
      <c r="AE103" s="1224"/>
      <c r="AF103" s="1224"/>
      <c r="AG103" s="1224"/>
      <c r="AH103" s="1224"/>
      <c r="AI103" s="1223" t="s">
        <v>677</v>
      </c>
      <c r="AJ103" s="1224"/>
      <c r="AK103" s="1224"/>
      <c r="AL103" s="1224"/>
      <c r="AM103" s="1224"/>
      <c r="AN103" s="1224"/>
      <c r="AO103" s="1224"/>
      <c r="AP103" s="1224"/>
    </row>
    <row r="104" customFormat="false" ht="24" hidden="false" customHeight="true" outlineLevel="0" collapsed="false">
      <c r="B104" s="1226" t="s">
        <v>678</v>
      </c>
      <c r="C104" s="1226"/>
      <c r="D104" s="1226"/>
      <c r="E104" s="1226"/>
      <c r="F104" s="1226"/>
      <c r="G104" s="1227"/>
      <c r="H104" s="1228"/>
      <c r="I104" s="1229" t="s">
        <v>679</v>
      </c>
      <c r="J104" s="1229"/>
      <c r="K104" s="1229"/>
      <c r="L104" s="1229"/>
      <c r="M104" s="1229"/>
      <c r="N104" s="1229"/>
      <c r="O104" s="1228"/>
      <c r="P104" s="1230"/>
      <c r="Q104" s="1231" t="s">
        <v>680</v>
      </c>
      <c r="R104" s="1231"/>
      <c r="S104" s="1231"/>
      <c r="T104" s="1231"/>
      <c r="U104" s="1231"/>
      <c r="V104" s="1231"/>
      <c r="W104" s="1231"/>
      <c r="X104" s="1231"/>
      <c r="Y104" s="1228"/>
      <c r="Z104" s="1228"/>
      <c r="AA104" s="1232" t="s">
        <v>681</v>
      </c>
      <c r="AB104" s="1232"/>
      <c r="AC104" s="1232"/>
      <c r="AD104" s="1232"/>
      <c r="AE104" s="1232"/>
      <c r="AF104" s="1232"/>
      <c r="AG104" s="1228"/>
      <c r="AH104" s="1228"/>
      <c r="AI104" s="1226" t="s">
        <v>682</v>
      </c>
      <c r="AJ104" s="1226"/>
      <c r="AK104" s="1226"/>
      <c r="AL104" s="1226"/>
      <c r="AM104" s="1226"/>
      <c r="AN104" s="1226"/>
      <c r="AO104" s="1226"/>
      <c r="AP104" s="1226"/>
    </row>
    <row r="105" customFormat="false" ht="32.25" hidden="false" customHeight="true" outlineLevel="0" collapsed="false">
      <c r="F105" s="1233" t="s">
        <v>683</v>
      </c>
      <c r="G105" s="1234"/>
      <c r="L105" s="1228"/>
      <c r="M105" s="1235"/>
      <c r="N105" s="1233" t="s">
        <v>683</v>
      </c>
      <c r="U105" s="1228"/>
      <c r="V105" s="1228"/>
      <c r="W105" s="1228"/>
      <c r="X105" s="1233" t="s">
        <v>683</v>
      </c>
      <c r="AD105" s="1228"/>
      <c r="AE105" s="1228"/>
      <c r="AF105" s="1233" t="s">
        <v>683</v>
      </c>
      <c r="AM105" s="1228"/>
      <c r="AN105" s="1228"/>
      <c r="AO105" s="1228"/>
      <c r="AP105" s="1233" t="s">
        <v>683</v>
      </c>
    </row>
    <row r="106" customFormat="false" ht="23.25" hidden="false" customHeight="true" outlineLevel="0" collapsed="false">
      <c r="E106" s="1236"/>
      <c r="F106" s="1237"/>
      <c r="G106" s="1234"/>
      <c r="L106" s="1236"/>
      <c r="M106" s="1236"/>
      <c r="N106" s="1237"/>
      <c r="U106" s="1236"/>
      <c r="V106" s="1236"/>
      <c r="W106" s="1236"/>
      <c r="X106" s="1237"/>
      <c r="AD106" s="1236"/>
      <c r="AE106" s="1236"/>
      <c r="AF106" s="1237"/>
      <c r="AM106" s="1236"/>
      <c r="AN106" s="1236"/>
      <c r="AO106" s="1236"/>
      <c r="AP106" s="1237"/>
    </row>
    <row r="107" customFormat="false" ht="24.75" hidden="false" customHeight="true" outlineLevel="0" collapsed="false">
      <c r="B107" s="1308" t="str">
        <f aca="false">'☆掛負収入'!A2</f>
        <v>令和8年度</v>
      </c>
      <c r="F107" s="1241" t="s">
        <v>684</v>
      </c>
      <c r="G107" s="1234"/>
      <c r="I107" s="1308" t="str">
        <f aca="false">B107</f>
        <v>令和8年度</v>
      </c>
      <c r="M107" s="1243" t="s">
        <v>684</v>
      </c>
      <c r="Q107" s="1309" t="str">
        <f aca="false">I107</f>
        <v>令和8年度</v>
      </c>
      <c r="X107" s="1241" t="s">
        <v>684</v>
      </c>
      <c r="AA107" s="1310" t="n">
        <f aca="false">AA143</f>
        <v>46507</v>
      </c>
      <c r="AB107" s="1311"/>
      <c r="AF107" s="1243" t="s">
        <v>684</v>
      </c>
      <c r="AI107" s="1309" t="str">
        <f aca="false">Q107</f>
        <v>令和8年度</v>
      </c>
      <c r="AP107" s="1241" t="s">
        <v>684</v>
      </c>
    </row>
    <row r="108" customFormat="false" ht="26.25" hidden="false" customHeight="true" outlineLevel="0" collapsed="false">
      <c r="B108" s="1246" t="s">
        <v>685</v>
      </c>
      <c r="C108" s="1246"/>
      <c r="D108" s="1247" t="s">
        <v>686</v>
      </c>
      <c r="E108" s="1247"/>
      <c r="F108" s="1248" t="n">
        <f aca="false">F74</f>
        <v>5.46</v>
      </c>
      <c r="G108" s="1234"/>
      <c r="I108" s="1246" t="s">
        <v>685</v>
      </c>
      <c r="J108" s="1246"/>
      <c r="K108" s="1249" t="s">
        <v>687</v>
      </c>
      <c r="L108" s="1249"/>
      <c r="M108" s="1300" t="n">
        <f aca="false">M74</f>
        <v>0.05</v>
      </c>
      <c r="N108" s="1234"/>
      <c r="Q108" s="1246" t="s">
        <v>685</v>
      </c>
      <c r="R108" s="1246"/>
      <c r="S108" s="1246" t="s">
        <v>688</v>
      </c>
      <c r="T108" s="1246"/>
      <c r="U108" s="1246"/>
      <c r="V108" s="1251" t="s">
        <v>687</v>
      </c>
      <c r="W108" s="1251"/>
      <c r="X108" s="1301" t="n">
        <f aca="false">X74</f>
        <v>1.1</v>
      </c>
      <c r="AA108" s="1246" t="s">
        <v>689</v>
      </c>
      <c r="AB108" s="1253" t="s">
        <v>690</v>
      </c>
      <c r="AC108" s="1253"/>
      <c r="AD108" s="1251" t="s">
        <v>691</v>
      </c>
      <c r="AE108" s="1251"/>
      <c r="AF108" s="1301" t="n">
        <f aca="false">AF74</f>
        <v>0.2</v>
      </c>
      <c r="AI108" s="1246" t="s">
        <v>685</v>
      </c>
      <c r="AJ108" s="1246"/>
      <c r="AK108" s="1246" t="s">
        <v>688</v>
      </c>
      <c r="AL108" s="1246"/>
      <c r="AM108" s="1246"/>
      <c r="AN108" s="1254" t="s">
        <v>692</v>
      </c>
      <c r="AO108" s="1254"/>
      <c r="AP108" s="1254"/>
    </row>
    <row r="109" customFormat="false" ht="26.25" hidden="false" customHeight="true" outlineLevel="0" collapsed="false">
      <c r="B109" s="1246"/>
      <c r="C109" s="1246"/>
      <c r="D109" s="1253" t="s">
        <v>693</v>
      </c>
      <c r="E109" s="1253" t="s">
        <v>694</v>
      </c>
      <c r="F109" s="1255" t="s">
        <v>695</v>
      </c>
      <c r="G109" s="1256"/>
      <c r="H109" s="1234"/>
      <c r="I109" s="1246"/>
      <c r="J109" s="1246"/>
      <c r="K109" s="1249"/>
      <c r="L109" s="1249"/>
      <c r="M109" s="1300"/>
      <c r="N109" s="1234"/>
      <c r="Q109" s="1246"/>
      <c r="R109" s="1246"/>
      <c r="S109" s="1246"/>
      <c r="T109" s="1246"/>
      <c r="U109" s="1246"/>
      <c r="V109" s="1251"/>
      <c r="W109" s="1251"/>
      <c r="X109" s="1301"/>
      <c r="AA109" s="1246"/>
      <c r="AB109" s="1253"/>
      <c r="AC109" s="1253"/>
      <c r="AD109" s="1251"/>
      <c r="AE109" s="1251"/>
      <c r="AF109" s="1301"/>
      <c r="AI109" s="1246"/>
      <c r="AJ109" s="1246"/>
      <c r="AK109" s="1246"/>
      <c r="AL109" s="1246"/>
      <c r="AM109" s="1246"/>
      <c r="AN109" s="1257" t="s">
        <v>696</v>
      </c>
      <c r="AO109" s="1257"/>
      <c r="AP109" s="1258" t="n">
        <f aca="false">AP75</f>
        <v>0.024</v>
      </c>
    </row>
    <row r="110" customFormat="false" ht="26.25" hidden="false" customHeight="true" outlineLevel="0" collapsed="false">
      <c r="B110" s="1116" t="s">
        <v>697</v>
      </c>
      <c r="C110" s="1115" t="s">
        <v>783</v>
      </c>
      <c r="D110" s="1260" t="n">
        <f aca="false">D81</f>
        <v>88960072</v>
      </c>
      <c r="E110" s="1260" t="n">
        <f aca="false">E81</f>
        <v>12136475</v>
      </c>
      <c r="F110" s="1260" t="n">
        <f aca="false">SUM(D110:E110)</f>
        <v>101096547</v>
      </c>
      <c r="G110" s="1256"/>
      <c r="H110" s="1234"/>
      <c r="I110" s="1261" t="s">
        <v>699</v>
      </c>
      <c r="J110" s="1262" t="s">
        <v>784</v>
      </c>
      <c r="K110" s="1266" t="n">
        <f aca="false">K81</f>
        <v>958301</v>
      </c>
      <c r="L110" s="1266"/>
      <c r="M110" s="1266"/>
      <c r="N110" s="1264"/>
      <c r="O110" s="1234"/>
      <c r="P110" s="1234"/>
      <c r="Q110" s="1261" t="s">
        <v>699</v>
      </c>
      <c r="R110" s="1262" t="s">
        <v>784</v>
      </c>
      <c r="S110" s="1266" t="n">
        <f aca="false">S81</f>
        <v>19172425000</v>
      </c>
      <c r="T110" s="1266"/>
      <c r="U110" s="1266"/>
      <c r="V110" s="1266" t="n">
        <f aca="false">ROUNDDOWN(S110*X108/1000,0)</f>
        <v>21089667</v>
      </c>
      <c r="W110" s="1266"/>
      <c r="X110" s="1266"/>
      <c r="Y110" s="1256"/>
      <c r="Z110" s="1234"/>
      <c r="AA110" s="1246" t="s">
        <v>785</v>
      </c>
      <c r="AB110" s="1265" t="n">
        <f aca="false">'☆振替R7'!B367</f>
        <v>7049879000</v>
      </c>
      <c r="AC110" s="1265"/>
      <c r="AD110" s="1266" t="n">
        <f aca="false">ROUNDDOWN(AB110*AF108/1000,0)</f>
        <v>1409975</v>
      </c>
      <c r="AE110" s="1266"/>
      <c r="AF110" s="1266"/>
      <c r="AG110" s="1234"/>
      <c r="AH110" s="1234"/>
      <c r="AI110" s="1261" t="s">
        <v>699</v>
      </c>
      <c r="AJ110" s="1262" t="s">
        <v>784</v>
      </c>
      <c r="AK110" s="1266" t="n">
        <f aca="false">AK81</f>
        <v>19172425000</v>
      </c>
      <c r="AL110" s="1266"/>
      <c r="AM110" s="1266"/>
      <c r="AN110" s="1266" t="n">
        <f aca="false">ROUNDDOWN(AK110*AP109/1000,0)</f>
        <v>460138</v>
      </c>
      <c r="AO110" s="1266"/>
      <c r="AP110" s="1266"/>
    </row>
    <row r="111" customFormat="false" ht="26.25" hidden="false" customHeight="true" outlineLevel="0" collapsed="false">
      <c r="B111" s="1116"/>
      <c r="C111" s="1115" t="s">
        <v>786</v>
      </c>
      <c r="D111" s="1312" t="n">
        <v>91025718</v>
      </c>
      <c r="E111" s="1312" t="n">
        <v>12133236</v>
      </c>
      <c r="F111" s="1260" t="n">
        <f aca="false">SUM(D111:E111)</f>
        <v>103158954</v>
      </c>
      <c r="G111" s="1256"/>
      <c r="H111" s="1234"/>
      <c r="I111" s="1261"/>
      <c r="J111" s="1262" t="s">
        <v>787</v>
      </c>
      <c r="K111" s="1313" t="n">
        <v>1805595</v>
      </c>
      <c r="L111" s="1313"/>
      <c r="M111" s="1313"/>
      <c r="N111" s="1264"/>
      <c r="Q111" s="1261"/>
      <c r="R111" s="1262" t="s">
        <v>787</v>
      </c>
      <c r="S111" s="1314" t="n">
        <v>18060654000</v>
      </c>
      <c r="T111" s="1314"/>
      <c r="U111" s="1314"/>
      <c r="V111" s="1266" t="n">
        <f aca="false">ROUNDDOWN(S111*X108/1000,0)</f>
        <v>19866719</v>
      </c>
      <c r="W111" s="1266"/>
      <c r="X111" s="1266"/>
      <c r="Y111" s="1256"/>
      <c r="AA111" s="1246"/>
      <c r="AB111" s="1265"/>
      <c r="AC111" s="1265"/>
      <c r="AD111" s="1266"/>
      <c r="AE111" s="1266"/>
      <c r="AF111" s="1266"/>
      <c r="AI111" s="1261"/>
      <c r="AJ111" s="1262" t="s">
        <v>787</v>
      </c>
      <c r="AK111" s="1314" t="n">
        <v>18060654000</v>
      </c>
      <c r="AL111" s="1314"/>
      <c r="AM111" s="1314"/>
      <c r="AN111" s="1266" t="n">
        <f aca="false">ROUNDDOWN(AK111*AP109/1000,0)</f>
        <v>433455</v>
      </c>
      <c r="AO111" s="1266"/>
      <c r="AP111" s="1266"/>
    </row>
    <row r="112" customFormat="false" ht="26.25" hidden="false" customHeight="true" outlineLevel="0" collapsed="false">
      <c r="B112" s="1246" t="s">
        <v>703</v>
      </c>
      <c r="C112" s="1246"/>
      <c r="D112" s="1260" t="n">
        <f aca="false">D110-D111</f>
        <v>-2065646</v>
      </c>
      <c r="E112" s="1260" t="n">
        <f aca="false">E110-E111</f>
        <v>3239</v>
      </c>
      <c r="F112" s="1260" t="n">
        <f aca="false">F110-F111</f>
        <v>-2062407</v>
      </c>
      <c r="G112" s="1256"/>
      <c r="I112" s="1246" t="s">
        <v>704</v>
      </c>
      <c r="J112" s="1246"/>
      <c r="K112" s="1266" t="n">
        <f aca="false">K110-K111</f>
        <v>-847294</v>
      </c>
      <c r="L112" s="1266"/>
      <c r="M112" s="1266"/>
      <c r="N112" s="1264"/>
      <c r="Q112" s="1246" t="s">
        <v>704</v>
      </c>
      <c r="R112" s="1246"/>
      <c r="S112" s="1266" t="n">
        <f aca="false">S110-S111</f>
        <v>1111771000</v>
      </c>
      <c r="T112" s="1266"/>
      <c r="U112" s="1266"/>
      <c r="V112" s="1266" t="n">
        <f aca="false">V110-V111</f>
        <v>1222948</v>
      </c>
      <c r="W112" s="1266"/>
      <c r="X112" s="1266"/>
      <c r="AA112" s="1246" t="s">
        <v>788</v>
      </c>
      <c r="AB112" s="1265" t="n">
        <f aca="false">'☆振替R7'!B398</f>
        <v>7043869000</v>
      </c>
      <c r="AC112" s="1265"/>
      <c r="AD112" s="1266" t="n">
        <f aca="false">ROUNDDOWN(AB112*AF108/1000,0)</f>
        <v>1408773</v>
      </c>
      <c r="AE112" s="1266"/>
      <c r="AF112" s="1266"/>
      <c r="AI112" s="1246" t="s">
        <v>704</v>
      </c>
      <c r="AJ112" s="1246"/>
      <c r="AK112" s="1266" t="n">
        <f aca="false">AK110-AK111</f>
        <v>1111771000</v>
      </c>
      <c r="AL112" s="1266"/>
      <c r="AM112" s="1266"/>
      <c r="AN112" s="1266" t="n">
        <f aca="false">AN110-AN111</f>
        <v>26683</v>
      </c>
      <c r="AO112" s="1266"/>
      <c r="AP112" s="1266"/>
    </row>
    <row r="113" customFormat="false" ht="26.25" hidden="false" customHeight="true" outlineLevel="0" collapsed="false">
      <c r="B113" s="1271" t="s">
        <v>789</v>
      </c>
      <c r="C113" s="1272" t="s">
        <v>707</v>
      </c>
      <c r="D113" s="1260" t="n">
        <f aca="false">'☆振替R7'!D351:E351+'☆振替R7'!D362</f>
        <v>32711439</v>
      </c>
      <c r="E113" s="1260" t="n">
        <f aca="false">'☆振替R7'!E362</f>
        <v>4252498</v>
      </c>
      <c r="F113" s="1260" t="n">
        <f aca="false">SUM(D113:E113)</f>
        <v>36963937</v>
      </c>
      <c r="G113" s="1256"/>
      <c r="I113" s="1271" t="s">
        <v>789</v>
      </c>
      <c r="J113" s="1272" t="s">
        <v>707</v>
      </c>
      <c r="K113" s="1266" t="n">
        <f aca="false">'☆振替R7'!F362</f>
        <v>351965</v>
      </c>
      <c r="L113" s="1266"/>
      <c r="M113" s="1266"/>
      <c r="N113" s="1264"/>
      <c r="Q113" s="1271" t="s">
        <v>789</v>
      </c>
      <c r="R113" s="1272" t="s">
        <v>707</v>
      </c>
      <c r="S113" s="1266" t="n">
        <f aca="false">'☆振替R7'!B367</f>
        <v>7049879000</v>
      </c>
      <c r="T113" s="1266"/>
      <c r="U113" s="1266"/>
      <c r="V113" s="1266" t="n">
        <f aca="false">ROUNDDOWN(S113*X108/1000,0)</f>
        <v>7754866</v>
      </c>
      <c r="W113" s="1266"/>
      <c r="X113" s="1266"/>
      <c r="AA113" s="1246"/>
      <c r="AB113" s="1265"/>
      <c r="AC113" s="1265"/>
      <c r="AD113" s="1266"/>
      <c r="AE113" s="1266"/>
      <c r="AF113" s="1266"/>
      <c r="AI113" s="1271" t="s">
        <v>789</v>
      </c>
      <c r="AJ113" s="1272" t="s">
        <v>707</v>
      </c>
      <c r="AK113" s="1266" t="n">
        <f aca="false">'☆振替R7'!B367</f>
        <v>7049879000</v>
      </c>
      <c r="AL113" s="1266"/>
      <c r="AM113" s="1266"/>
      <c r="AN113" s="1266" t="n">
        <f aca="false">ROUNDDOWN(AK113*AP109/1000,0)</f>
        <v>169197</v>
      </c>
      <c r="AO113" s="1266"/>
      <c r="AP113" s="1266"/>
    </row>
    <row r="114" customFormat="false" ht="26.25" hidden="false" customHeight="true" outlineLevel="0" collapsed="false">
      <c r="B114" s="1271" t="s">
        <v>790</v>
      </c>
      <c r="C114" s="1272" t="s">
        <v>709</v>
      </c>
      <c r="D114" s="1260" t="n">
        <f aca="false">'☆振替R7'!D382:E382+'☆振替R7'!D393</f>
        <v>32683554</v>
      </c>
      <c r="E114" s="1260" t="n">
        <f aca="false">'☆振替R7'!E393</f>
        <v>4256616</v>
      </c>
      <c r="F114" s="1260" t="n">
        <f aca="false">SUM(D114:E114)</f>
        <v>36940170</v>
      </c>
      <c r="G114" s="1256"/>
      <c r="I114" s="1271" t="s">
        <v>790</v>
      </c>
      <c r="J114" s="1272" t="s">
        <v>709</v>
      </c>
      <c r="K114" s="1266" t="n">
        <f aca="false">'☆振替R7'!F393</f>
        <v>351979</v>
      </c>
      <c r="L114" s="1266"/>
      <c r="M114" s="1266"/>
      <c r="N114" s="1264"/>
      <c r="Q114" s="1271" t="s">
        <v>790</v>
      </c>
      <c r="R114" s="1272" t="s">
        <v>709</v>
      </c>
      <c r="S114" s="1266" t="n">
        <f aca="false">'☆振替R7'!B398</f>
        <v>7043869000</v>
      </c>
      <c r="T114" s="1266"/>
      <c r="U114" s="1266"/>
      <c r="V114" s="1266" t="n">
        <f aca="false">ROUNDDOWN(S114*X108/1000,0)</f>
        <v>7748255</v>
      </c>
      <c r="W114" s="1266"/>
      <c r="X114" s="1266"/>
      <c r="AA114" s="1246" t="s">
        <v>791</v>
      </c>
      <c r="AB114" s="1265" t="n">
        <f aca="false">'☆振替R7'!B429+'☆振替R7'!B460</f>
        <v>9590667000</v>
      </c>
      <c r="AC114" s="1265"/>
      <c r="AD114" s="1266" t="n">
        <f aca="false">ROUNDDOWN(AB114*AF108/1000,0)</f>
        <v>1918133</v>
      </c>
      <c r="AE114" s="1266"/>
      <c r="AF114" s="1266"/>
      <c r="AI114" s="1271" t="s">
        <v>790</v>
      </c>
      <c r="AJ114" s="1272" t="s">
        <v>709</v>
      </c>
      <c r="AK114" s="1266" t="n">
        <f aca="false">'☆振替R7'!B398</f>
        <v>7043869000</v>
      </c>
      <c r="AL114" s="1266"/>
      <c r="AM114" s="1266"/>
      <c r="AN114" s="1266" t="n">
        <f aca="false">ROUNDDOWN(AK114*AP109/1000,0)</f>
        <v>169052</v>
      </c>
      <c r="AO114" s="1266"/>
      <c r="AP114" s="1266"/>
    </row>
    <row r="115" customFormat="false" ht="26.25" hidden="false" customHeight="true" outlineLevel="0" collapsed="false">
      <c r="B115" s="1271" t="s">
        <v>792</v>
      </c>
      <c r="C115" s="1272" t="s">
        <v>712</v>
      </c>
      <c r="D115" s="1260" t="n">
        <f aca="false">'☆振替R7'!D413:E413+'☆振替R7'!D424+'☆振替R7'!D444:E444+'☆振替R7'!D455</f>
        <v>44500705</v>
      </c>
      <c r="E115" s="1260" t="n">
        <f aca="false">'☆振替R7'!E424+'☆振替R7'!E455</f>
        <v>5958100</v>
      </c>
      <c r="F115" s="1260" t="n">
        <f aca="false">SUM(D115:E115)</f>
        <v>50458805</v>
      </c>
      <c r="G115" s="1234"/>
      <c r="I115" s="1271" t="s">
        <v>792</v>
      </c>
      <c r="J115" s="1272" t="s">
        <v>713</v>
      </c>
      <c r="K115" s="1266" t="n">
        <f aca="false">'☆振替R7'!F424+'☆振替R7'!F455</f>
        <v>481230</v>
      </c>
      <c r="L115" s="1266"/>
      <c r="M115" s="1266"/>
      <c r="N115" s="1264"/>
      <c r="Q115" s="1271" t="s">
        <v>792</v>
      </c>
      <c r="R115" s="1272" t="s">
        <v>713</v>
      </c>
      <c r="S115" s="1266" t="n">
        <f aca="false">'☆振替R7'!B429+'☆振替R7'!B460</f>
        <v>9590667000</v>
      </c>
      <c r="T115" s="1266"/>
      <c r="U115" s="1266"/>
      <c r="V115" s="1266" t="n">
        <f aca="false">ROUNDDOWN(S115*X108/1000,0)</f>
        <v>10549733</v>
      </c>
      <c r="W115" s="1266"/>
      <c r="X115" s="1266"/>
      <c r="AA115" s="1246"/>
      <c r="AB115" s="1265"/>
      <c r="AC115" s="1265"/>
      <c r="AD115" s="1266"/>
      <c r="AE115" s="1266"/>
      <c r="AF115" s="1266"/>
      <c r="AI115" s="1271" t="s">
        <v>792</v>
      </c>
      <c r="AJ115" s="1272" t="s">
        <v>713</v>
      </c>
      <c r="AK115" s="1266" t="n">
        <f aca="false">'☆振替R7'!B429+'☆振替R7'!B460</f>
        <v>9590667000</v>
      </c>
      <c r="AL115" s="1266"/>
      <c r="AM115" s="1266"/>
      <c r="AN115" s="1266" t="n">
        <f aca="false">ROUNDDOWN(AK115*AP109/1000,0)</f>
        <v>230176</v>
      </c>
      <c r="AO115" s="1266"/>
      <c r="AP115" s="1266"/>
    </row>
    <row r="116" customFormat="false" ht="26.25" hidden="false" customHeight="true" outlineLevel="0" collapsed="false">
      <c r="B116" s="1246" t="s">
        <v>714</v>
      </c>
      <c r="C116" s="1246"/>
      <c r="D116" s="1260" t="n">
        <f aca="false">SUM(D113:D115)</f>
        <v>109895698</v>
      </c>
      <c r="E116" s="1260" t="n">
        <f aca="false">SUM(E113:E115)</f>
        <v>14467214</v>
      </c>
      <c r="F116" s="1260" t="n">
        <f aca="false">SUM(D116:E116)</f>
        <v>124362912</v>
      </c>
      <c r="G116" s="1234"/>
      <c r="I116" s="1246" t="s">
        <v>714</v>
      </c>
      <c r="J116" s="1246"/>
      <c r="K116" s="1266" t="n">
        <f aca="false">SUM(K113:M115)</f>
        <v>1185174</v>
      </c>
      <c r="L116" s="1266"/>
      <c r="M116" s="1266"/>
      <c r="N116" s="1264"/>
      <c r="Q116" s="1246" t="s">
        <v>714</v>
      </c>
      <c r="R116" s="1246"/>
      <c r="S116" s="1266" t="n">
        <f aca="false">SUM(S113:U115)</f>
        <v>23684415000</v>
      </c>
      <c r="T116" s="1266"/>
      <c r="U116" s="1266"/>
      <c r="V116" s="1266" t="n">
        <f aca="false">SUM(V113:X115)</f>
        <v>26052854</v>
      </c>
      <c r="W116" s="1266"/>
      <c r="X116" s="1266"/>
      <c r="AA116" s="1246" t="s">
        <v>489</v>
      </c>
      <c r="AB116" s="1265" t="n">
        <f aca="false">SUM(AB110:AC115)</f>
        <v>23684415000</v>
      </c>
      <c r="AC116" s="1265"/>
      <c r="AD116" s="1266" t="n">
        <f aca="false">SUM(AD110:AF115)</f>
        <v>4736881</v>
      </c>
      <c r="AE116" s="1266"/>
      <c r="AF116" s="1266"/>
      <c r="AI116" s="1246" t="s">
        <v>714</v>
      </c>
      <c r="AJ116" s="1246"/>
      <c r="AK116" s="1266" t="n">
        <f aca="false">SUM(AK113:AM115)</f>
        <v>23684415000</v>
      </c>
      <c r="AL116" s="1266"/>
      <c r="AM116" s="1266"/>
      <c r="AN116" s="1266" t="n">
        <f aca="false">SUM(AN113:AP115)</f>
        <v>568425</v>
      </c>
      <c r="AO116" s="1266"/>
      <c r="AP116" s="1266"/>
    </row>
    <row r="117" customFormat="false" ht="26.25" hidden="false" customHeight="true" outlineLevel="0" collapsed="false">
      <c r="B117" s="1246" t="s">
        <v>715</v>
      </c>
      <c r="C117" s="1246"/>
      <c r="D117" s="1260" t="n">
        <f aca="false">D112+D116</f>
        <v>107830052</v>
      </c>
      <c r="E117" s="1260" t="n">
        <f aca="false">E112+E116</f>
        <v>14470453</v>
      </c>
      <c r="F117" s="1273" t="n">
        <f aca="false">SUM(D117:E117)</f>
        <v>122300505</v>
      </c>
      <c r="G117" s="1234"/>
      <c r="I117" s="1246" t="s">
        <v>715</v>
      </c>
      <c r="J117" s="1246"/>
      <c r="K117" s="1266" t="n">
        <f aca="false">K112+K116</f>
        <v>337880</v>
      </c>
      <c r="L117" s="1266"/>
      <c r="M117" s="1266"/>
      <c r="N117" s="1274"/>
      <c r="Q117" s="1246" t="s">
        <v>715</v>
      </c>
      <c r="R117" s="1246"/>
      <c r="S117" s="1266" t="n">
        <f aca="false">S112+S116</f>
        <v>24796186000</v>
      </c>
      <c r="T117" s="1266"/>
      <c r="U117" s="1266"/>
      <c r="V117" s="1275" t="n">
        <f aca="false">V112+V116</f>
        <v>27275802</v>
      </c>
      <c r="W117" s="1275"/>
      <c r="X117" s="1275"/>
      <c r="AA117" s="1246"/>
      <c r="AB117" s="1265"/>
      <c r="AC117" s="1265"/>
      <c r="AD117" s="1266"/>
      <c r="AE117" s="1266"/>
      <c r="AF117" s="1266"/>
      <c r="AI117" s="1246" t="s">
        <v>715</v>
      </c>
      <c r="AJ117" s="1246"/>
      <c r="AK117" s="1266" t="n">
        <f aca="false">AK112+AK116</f>
        <v>24796186000</v>
      </c>
      <c r="AL117" s="1266"/>
      <c r="AM117" s="1266"/>
      <c r="AN117" s="1275" t="n">
        <f aca="false">AN112+AN116</f>
        <v>595108</v>
      </c>
      <c r="AO117" s="1275"/>
      <c r="AP117" s="1275"/>
    </row>
    <row r="118" customFormat="false" ht="7.5" hidden="false" customHeight="true" outlineLevel="0" collapsed="false">
      <c r="G118" s="1234"/>
      <c r="N118" s="1234"/>
      <c r="AF118" s="1234"/>
    </row>
    <row r="119" s="945" customFormat="true" ht="20.25" hidden="false" customHeight="true" outlineLevel="0" collapsed="false">
      <c r="B119" s="1276" t="s">
        <v>716</v>
      </c>
      <c r="C119" s="1277"/>
      <c r="D119" s="1277"/>
      <c r="E119" s="1277"/>
      <c r="F119" s="1277"/>
      <c r="G119" s="1278"/>
      <c r="I119" s="1276" t="s">
        <v>716</v>
      </c>
      <c r="J119" s="1276"/>
      <c r="K119" s="1276"/>
      <c r="L119" s="1276"/>
      <c r="M119" s="1276"/>
      <c r="N119" s="1276"/>
      <c r="Q119" s="1276" t="s">
        <v>716</v>
      </c>
      <c r="R119" s="1276"/>
      <c r="S119" s="1276"/>
      <c r="T119" s="1276"/>
      <c r="U119" s="1276"/>
      <c r="V119" s="1276"/>
      <c r="W119" s="1277"/>
      <c r="X119" s="1277"/>
      <c r="AA119" s="1276" t="s">
        <v>716</v>
      </c>
      <c r="AB119" s="1277"/>
      <c r="AC119" s="1277"/>
      <c r="AD119" s="1277"/>
      <c r="AE119" s="1277"/>
      <c r="AF119" s="1277"/>
      <c r="AI119" s="1276" t="s">
        <v>717</v>
      </c>
      <c r="AJ119" s="1276"/>
      <c r="AK119" s="1276"/>
      <c r="AL119" s="1276"/>
      <c r="AM119" s="1276"/>
      <c r="AN119" s="1276"/>
      <c r="AO119" s="1277"/>
      <c r="AP119" s="1277"/>
    </row>
    <row r="120" s="945" customFormat="true" ht="20.25" hidden="false" customHeight="true" outlineLevel="0" collapsed="false">
      <c r="B120" s="945" t="s">
        <v>718</v>
      </c>
      <c r="G120" s="1278"/>
      <c r="I120" s="945" t="s">
        <v>719</v>
      </c>
      <c r="Q120" s="945" t="s">
        <v>719</v>
      </c>
      <c r="AA120" s="945" t="s">
        <v>719</v>
      </c>
      <c r="AI120" s="945" t="s">
        <v>719</v>
      </c>
    </row>
    <row r="121" s="945" customFormat="true" ht="20.25" hidden="false" customHeight="true" outlineLevel="0" collapsed="false">
      <c r="B121" s="945" t="s">
        <v>720</v>
      </c>
      <c r="G121" s="1278"/>
      <c r="H121" s="1278"/>
      <c r="I121" s="945" t="s">
        <v>721</v>
      </c>
      <c r="O121" s="1278"/>
      <c r="P121" s="1278"/>
      <c r="Q121" s="945" t="s">
        <v>722</v>
      </c>
      <c r="Y121" s="1278"/>
      <c r="Z121" s="1278"/>
      <c r="AA121" s="945" t="s">
        <v>722</v>
      </c>
      <c r="AG121" s="1278"/>
      <c r="AH121" s="1278"/>
      <c r="AI121" s="945" t="s">
        <v>722</v>
      </c>
    </row>
    <row r="122" s="945" customFormat="true" ht="20.25" hidden="false" customHeight="true" outlineLevel="0" collapsed="false">
      <c r="B122" s="945" t="s">
        <v>723</v>
      </c>
      <c r="G122" s="1278"/>
      <c r="I122" s="945" t="s">
        <v>724</v>
      </c>
      <c r="Q122" s="945" t="s">
        <v>725</v>
      </c>
      <c r="AA122" s="945" t="s">
        <v>725</v>
      </c>
      <c r="AI122" s="945" t="s">
        <v>725</v>
      </c>
    </row>
    <row r="123" s="945" customFormat="true" ht="20.25" hidden="false" customHeight="true" outlineLevel="0" collapsed="false">
      <c r="B123" s="945" t="s">
        <v>726</v>
      </c>
      <c r="G123" s="1278"/>
      <c r="I123" s="945" t="s">
        <v>727</v>
      </c>
      <c r="Q123" s="945" t="s">
        <v>727</v>
      </c>
      <c r="AA123" s="945" t="s">
        <v>727</v>
      </c>
      <c r="AI123" s="945" t="s">
        <v>727</v>
      </c>
    </row>
    <row r="124" s="945" customFormat="true" ht="20.25" hidden="false" customHeight="true" outlineLevel="0" collapsed="false">
      <c r="B124" s="945" t="s">
        <v>728</v>
      </c>
      <c r="I124" s="945" t="s">
        <v>729</v>
      </c>
      <c r="Q124" s="945" t="s">
        <v>730</v>
      </c>
      <c r="AA124" s="945" t="s">
        <v>730</v>
      </c>
      <c r="AI124" s="945" t="s">
        <v>731</v>
      </c>
    </row>
    <row r="125" s="945" customFormat="true" ht="20.25" hidden="false" customHeight="true" outlineLevel="0" collapsed="false">
      <c r="B125" s="945" t="s">
        <v>732</v>
      </c>
      <c r="I125" s="945" t="s">
        <v>732</v>
      </c>
      <c r="Q125" s="945" t="s">
        <v>733</v>
      </c>
      <c r="AA125" s="945" t="s">
        <v>734</v>
      </c>
      <c r="AI125" s="945" t="s">
        <v>735</v>
      </c>
    </row>
    <row r="126" s="945" customFormat="true" ht="14.25" hidden="false" customHeight="true" outlineLevel="0" collapsed="false">
      <c r="AI126" s="1279" t="n">
        <f aca="false">AI92</f>
        <v>0.024</v>
      </c>
      <c r="AJ126" s="1279"/>
      <c r="AK126" s="1280" t="s">
        <v>736</v>
      </c>
    </row>
    <row r="127" s="945" customFormat="true" ht="14.25" hidden="false" customHeight="true" outlineLevel="0" collapsed="false"/>
    <row r="128" customFormat="false" ht="24.75" hidden="false" customHeight="true" outlineLevel="0" collapsed="false">
      <c r="B128" s="1226" t="s">
        <v>737</v>
      </c>
      <c r="C128" s="1226"/>
      <c r="D128" s="1226"/>
      <c r="E128" s="1226"/>
      <c r="F128" s="1226"/>
      <c r="I128" s="1226" t="s">
        <v>738</v>
      </c>
      <c r="J128" s="1226"/>
      <c r="K128" s="1226"/>
      <c r="L128" s="1226"/>
      <c r="M128" s="1226"/>
      <c r="N128" s="1226"/>
      <c r="Q128" s="1226" t="s">
        <v>737</v>
      </c>
      <c r="R128" s="1226"/>
      <c r="S128" s="1226"/>
      <c r="T128" s="1226"/>
      <c r="U128" s="1226"/>
      <c r="V128" s="1226"/>
      <c r="W128" s="1226"/>
      <c r="X128" s="1226"/>
      <c r="AA128" s="1232" t="s">
        <v>739</v>
      </c>
      <c r="AB128" s="1232"/>
      <c r="AC128" s="1232"/>
      <c r="AD128" s="1232"/>
      <c r="AE128" s="1232"/>
      <c r="AF128" s="1232"/>
      <c r="AI128" s="1226" t="s">
        <v>737</v>
      </c>
      <c r="AJ128" s="1226"/>
      <c r="AK128" s="1226"/>
      <c r="AL128" s="1226"/>
      <c r="AM128" s="1226"/>
      <c r="AN128" s="1226"/>
      <c r="AO128" s="1226"/>
      <c r="AP128" s="1226"/>
    </row>
    <row r="129" customFormat="false" ht="24.75" hidden="false" customHeight="true" outlineLevel="0" collapsed="false">
      <c r="B129" s="1315" t="str">
        <f aca="false">'☆掛負収入'!A2</f>
        <v>令和8年度</v>
      </c>
      <c r="F129" s="1241" t="s">
        <v>684</v>
      </c>
      <c r="I129" s="1315" t="str">
        <f aca="false">B129</f>
        <v>令和8年度</v>
      </c>
      <c r="N129" s="1241" t="s">
        <v>684</v>
      </c>
      <c r="Q129" s="1315" t="str">
        <f aca="false">I129</f>
        <v>令和8年度</v>
      </c>
      <c r="X129" s="1241" t="s">
        <v>684</v>
      </c>
      <c r="AA129" s="1315" t="str">
        <f aca="false">Q129</f>
        <v>令和8年度</v>
      </c>
      <c r="AF129" s="1241" t="s">
        <v>684</v>
      </c>
      <c r="AI129" s="1315" t="str">
        <f aca="false">AA129</f>
        <v>令和8年度</v>
      </c>
      <c r="AP129" s="1241" t="s">
        <v>684</v>
      </c>
    </row>
    <row r="130" customFormat="false" ht="24.75" hidden="false" customHeight="true" outlineLevel="0" collapsed="false">
      <c r="B130" s="1246" t="s">
        <v>685</v>
      </c>
      <c r="C130" s="1246"/>
      <c r="D130" s="1247" t="s">
        <v>793</v>
      </c>
      <c r="E130" s="1247"/>
      <c r="F130" s="1248" t="n">
        <f aca="false">F108</f>
        <v>5.46</v>
      </c>
      <c r="I130" s="1246" t="s">
        <v>685</v>
      </c>
      <c r="J130" s="1246"/>
      <c r="K130" s="1283" t="s">
        <v>742</v>
      </c>
      <c r="L130" s="1283"/>
      <c r="M130" s="1283"/>
      <c r="N130" s="1283"/>
      <c r="Q130" s="1246" t="s">
        <v>685</v>
      </c>
      <c r="R130" s="1246"/>
      <c r="S130" s="1246" t="s">
        <v>743</v>
      </c>
      <c r="T130" s="1246"/>
      <c r="U130" s="1246"/>
      <c r="V130" s="1246"/>
      <c r="W130" s="1246"/>
      <c r="X130" s="1246"/>
      <c r="AA130" s="1246" t="s">
        <v>689</v>
      </c>
      <c r="AB130" s="1246" t="s">
        <v>744</v>
      </c>
      <c r="AC130" s="1246"/>
      <c r="AD130" s="1246"/>
      <c r="AE130" s="1246"/>
      <c r="AF130" s="1246"/>
      <c r="AI130" s="1246" t="s">
        <v>685</v>
      </c>
      <c r="AJ130" s="1246"/>
      <c r="AK130" s="1246" t="s">
        <v>745</v>
      </c>
      <c r="AL130" s="1246"/>
      <c r="AM130" s="1246"/>
      <c r="AN130" s="1246"/>
      <c r="AO130" s="1246"/>
      <c r="AP130" s="1246"/>
    </row>
    <row r="131" customFormat="false" ht="24.75" hidden="false" customHeight="true" outlineLevel="0" collapsed="false">
      <c r="B131" s="1246"/>
      <c r="C131" s="1246"/>
      <c r="D131" s="1284" t="s">
        <v>693</v>
      </c>
      <c r="E131" s="1253" t="s">
        <v>694</v>
      </c>
      <c r="F131" s="1255" t="s">
        <v>695</v>
      </c>
      <c r="I131" s="1246"/>
      <c r="J131" s="1246"/>
      <c r="K131" s="1285" t="s">
        <v>746</v>
      </c>
      <c r="L131" s="1246" t="s">
        <v>747</v>
      </c>
      <c r="M131" s="1246"/>
      <c r="N131" s="1246" t="s">
        <v>748</v>
      </c>
      <c r="Q131" s="1246"/>
      <c r="R131" s="1246"/>
      <c r="S131" s="1246" t="s">
        <v>749</v>
      </c>
      <c r="T131" s="1246"/>
      <c r="U131" s="1246" t="s">
        <v>750</v>
      </c>
      <c r="V131" s="1246"/>
      <c r="W131" s="1246" t="s">
        <v>751</v>
      </c>
      <c r="X131" s="1246"/>
      <c r="AA131" s="1246"/>
      <c r="AB131" s="1286" t="s">
        <v>749</v>
      </c>
      <c r="AC131" s="1287" t="s">
        <v>750</v>
      </c>
      <c r="AD131" s="1287"/>
      <c r="AE131" s="1287" t="s">
        <v>751</v>
      </c>
      <c r="AF131" s="1287"/>
      <c r="AI131" s="1246"/>
      <c r="AJ131" s="1246"/>
      <c r="AK131" s="1246" t="s">
        <v>752</v>
      </c>
      <c r="AL131" s="1246"/>
      <c r="AM131" s="1246" t="s">
        <v>753</v>
      </c>
      <c r="AN131" s="1246"/>
      <c r="AO131" s="1246" t="s">
        <v>754</v>
      </c>
      <c r="AP131" s="1246"/>
    </row>
    <row r="132" customFormat="false" ht="24.75" hidden="false" customHeight="true" outlineLevel="0" collapsed="false">
      <c r="B132" s="1288" t="s">
        <v>755</v>
      </c>
      <c r="C132" s="1288"/>
      <c r="D132" s="1293" t="n">
        <f aca="false">'☆振替R7'!D475+'☆振替R7'!D486</f>
        <v>1582473</v>
      </c>
      <c r="E132" s="1293" t="n">
        <f aca="false">'☆振替R7'!E486</f>
        <v>224681</v>
      </c>
      <c r="F132" s="1293" t="n">
        <f aca="false">SUM(D132:E132)</f>
        <v>1807154</v>
      </c>
      <c r="I132" s="1288" t="s">
        <v>755</v>
      </c>
      <c r="J132" s="1288"/>
      <c r="K132" s="1266" t="n">
        <f aca="false">L132+N132</f>
        <v>609510</v>
      </c>
      <c r="L132" s="1266" t="n">
        <f aca="false">'☆振替R7'!F114</f>
        <v>592581</v>
      </c>
      <c r="M132" s="1266"/>
      <c r="N132" s="1266" t="n">
        <f aca="false">'☆振替R7'!F486</f>
        <v>16929</v>
      </c>
      <c r="Q132" s="1288" t="s">
        <v>755</v>
      </c>
      <c r="R132" s="1288"/>
      <c r="S132" s="1266" t="n">
        <f aca="false">U132+W132</f>
        <v>13410924</v>
      </c>
      <c r="T132" s="1266"/>
      <c r="U132" s="1266" t="n">
        <f aca="false">'☆振替R7'!H117</f>
        <v>13035769</v>
      </c>
      <c r="V132" s="1266"/>
      <c r="W132" s="1266" t="n">
        <f aca="false">'☆振替R7'!H489</f>
        <v>375155</v>
      </c>
      <c r="X132" s="1266"/>
      <c r="AA132" s="1288" t="s">
        <v>756</v>
      </c>
      <c r="AB132" s="1266"/>
      <c r="AC132" s="1266"/>
      <c r="AD132" s="1266"/>
      <c r="AE132" s="1266"/>
      <c r="AF132" s="1266"/>
      <c r="AI132" s="1288" t="s">
        <v>755</v>
      </c>
      <c r="AJ132" s="1288"/>
      <c r="AK132" s="1266" t="n">
        <f aca="false">AM132+AO132</f>
        <v>292602</v>
      </c>
      <c r="AL132" s="1266"/>
      <c r="AM132" s="1266" t="n">
        <f aca="false">'☆振替R7'!H121</f>
        <v>284417</v>
      </c>
      <c r="AN132" s="1266"/>
      <c r="AO132" s="1266" t="n">
        <f aca="false">'☆振替R7'!H493</f>
        <v>8185</v>
      </c>
      <c r="AP132" s="1266"/>
    </row>
    <row r="133" customFormat="false" ht="24.75" hidden="false" customHeight="true" outlineLevel="0" collapsed="false">
      <c r="B133" s="1288" t="s">
        <v>757</v>
      </c>
      <c r="C133" s="1288"/>
      <c r="D133" s="1260"/>
      <c r="E133" s="1293"/>
      <c r="F133" s="1316"/>
      <c r="I133" s="1288" t="s">
        <v>757</v>
      </c>
      <c r="J133" s="1288"/>
      <c r="K133" s="1266"/>
      <c r="L133" s="1266"/>
      <c r="M133" s="1266"/>
      <c r="N133" s="1266"/>
      <c r="Q133" s="1288" t="s">
        <v>757</v>
      </c>
      <c r="R133" s="1288"/>
      <c r="S133" s="1266"/>
      <c r="T133" s="1266"/>
      <c r="U133" s="1266"/>
      <c r="V133" s="1266"/>
      <c r="W133" s="1266"/>
      <c r="X133" s="1266"/>
      <c r="AA133" s="1288" t="s">
        <v>758</v>
      </c>
      <c r="AB133" s="1266" t="n">
        <f aca="false">AC133+AE133</f>
        <v>2438350</v>
      </c>
      <c r="AC133" s="1266" t="n">
        <f aca="false">'☆振替R7'!H119</f>
        <v>2370140</v>
      </c>
      <c r="AD133" s="1266"/>
      <c r="AE133" s="1266" t="n">
        <f aca="false">'☆振替R7'!H491</f>
        <v>68210</v>
      </c>
      <c r="AF133" s="1266"/>
      <c r="AI133" s="1288" t="s">
        <v>757</v>
      </c>
      <c r="AJ133" s="1288"/>
      <c r="AK133" s="1266"/>
      <c r="AL133" s="1266"/>
      <c r="AM133" s="1266"/>
      <c r="AN133" s="1266"/>
      <c r="AO133" s="1266"/>
      <c r="AP133" s="1266"/>
    </row>
    <row r="134" customFormat="false" ht="24.75" hidden="false" customHeight="true" outlineLevel="0" collapsed="false">
      <c r="B134" s="1288" t="s">
        <v>759</v>
      </c>
      <c r="C134" s="1288"/>
      <c r="D134" s="1293" t="n">
        <f aca="false">'☆振替R7'!D506+'☆振替R7'!D517</f>
        <v>1582475</v>
      </c>
      <c r="E134" s="1293" t="n">
        <f aca="false">'☆振替R7'!E517</f>
        <v>224669</v>
      </c>
      <c r="F134" s="1316" t="n">
        <f aca="false">SUM(D134:E134)</f>
        <v>1807144</v>
      </c>
      <c r="I134" s="1288" t="s">
        <v>759</v>
      </c>
      <c r="J134" s="1288"/>
      <c r="K134" s="1266" t="n">
        <f aca="false">L134+N134</f>
        <v>623285</v>
      </c>
      <c r="L134" s="1266" t="n">
        <f aca="false">'☆振替R7'!F300</f>
        <v>606356</v>
      </c>
      <c r="M134" s="1266"/>
      <c r="N134" s="1266" t="n">
        <f aca="false">'☆振替R7'!F517</f>
        <v>16929</v>
      </c>
      <c r="Q134" s="1288" t="s">
        <v>759</v>
      </c>
      <c r="R134" s="1288"/>
      <c r="S134" s="1266" t="n">
        <f aca="false">U134+W134</f>
        <v>13708503</v>
      </c>
      <c r="T134" s="1266"/>
      <c r="U134" s="1266" t="n">
        <f aca="false">'☆振替R7'!H303</f>
        <v>13333348</v>
      </c>
      <c r="V134" s="1266"/>
      <c r="W134" s="1266" t="n">
        <f aca="false">'☆振替R7'!H520</f>
        <v>375155</v>
      </c>
      <c r="X134" s="1266"/>
      <c r="AA134" s="1288" t="s">
        <v>760</v>
      </c>
      <c r="AB134" s="1266"/>
      <c r="AC134" s="1266"/>
      <c r="AD134" s="1266"/>
      <c r="AE134" s="1266"/>
      <c r="AF134" s="1266"/>
      <c r="AI134" s="1288" t="s">
        <v>759</v>
      </c>
      <c r="AJ134" s="1288"/>
      <c r="AK134" s="1266" t="n">
        <f aca="false">AM134+AO134</f>
        <v>299095</v>
      </c>
      <c r="AL134" s="1266"/>
      <c r="AM134" s="1266" t="n">
        <f aca="false">'☆振替R7'!H307</f>
        <v>290910</v>
      </c>
      <c r="AN134" s="1266"/>
      <c r="AO134" s="1266" t="n">
        <f aca="false">'☆振替R7'!H524</f>
        <v>8185</v>
      </c>
      <c r="AP134" s="1266"/>
    </row>
    <row r="135" customFormat="false" ht="24.75" hidden="false" customHeight="true" outlineLevel="0" collapsed="false">
      <c r="B135" s="1288" t="s">
        <v>761</v>
      </c>
      <c r="C135" s="1288"/>
      <c r="D135" s="1317"/>
      <c r="E135" s="1317"/>
      <c r="F135" s="1317"/>
      <c r="I135" s="1288" t="s">
        <v>761</v>
      </c>
      <c r="J135" s="1288"/>
      <c r="K135" s="1266"/>
      <c r="L135" s="1266"/>
      <c r="M135" s="1266"/>
      <c r="N135" s="1266"/>
      <c r="Q135" s="1288" t="s">
        <v>761</v>
      </c>
      <c r="R135" s="1288"/>
      <c r="S135" s="1266"/>
      <c r="T135" s="1266"/>
      <c r="U135" s="1266"/>
      <c r="V135" s="1266"/>
      <c r="W135" s="1266"/>
      <c r="X135" s="1266"/>
      <c r="AA135" s="1288" t="s">
        <v>762</v>
      </c>
      <c r="AB135" s="1266" t="n">
        <f aca="false">AC135+AE135</f>
        <v>2492455</v>
      </c>
      <c r="AC135" s="1266" t="n">
        <f aca="false">'☆振替R7'!H305</f>
        <v>2424245</v>
      </c>
      <c r="AD135" s="1266"/>
      <c r="AE135" s="1266" t="n">
        <f aca="false">'☆振替R7'!H522</f>
        <v>68210</v>
      </c>
      <c r="AF135" s="1266"/>
      <c r="AI135" s="1288" t="s">
        <v>761</v>
      </c>
      <c r="AJ135" s="1288"/>
      <c r="AK135" s="1266"/>
      <c r="AL135" s="1266"/>
      <c r="AM135" s="1266"/>
      <c r="AN135" s="1266"/>
      <c r="AO135" s="1266"/>
      <c r="AP135" s="1266"/>
    </row>
    <row r="136" customFormat="false" ht="24.75" hidden="false" customHeight="true" outlineLevel="0" collapsed="false">
      <c r="B136" s="1246" t="s">
        <v>695</v>
      </c>
      <c r="C136" s="1246"/>
      <c r="D136" s="1293" t="n">
        <f aca="false">SUM(D132:D135)</f>
        <v>3164948</v>
      </c>
      <c r="E136" s="1293" t="n">
        <f aca="false">SUM(E132:E135)</f>
        <v>449350</v>
      </c>
      <c r="F136" s="1293" t="n">
        <f aca="false">SUM(D136:E136)</f>
        <v>3614298</v>
      </c>
      <c r="I136" s="1246" t="s">
        <v>695</v>
      </c>
      <c r="J136" s="1246"/>
      <c r="K136" s="1266" t="n">
        <f aca="false">SUM(K132:K135)</f>
        <v>1232795</v>
      </c>
      <c r="L136" s="1266" t="n">
        <f aca="false">SUM(L132:M135)</f>
        <v>1198937</v>
      </c>
      <c r="M136" s="1266"/>
      <c r="N136" s="1266" t="n">
        <f aca="false">SUM(N132:N135)</f>
        <v>33858</v>
      </c>
      <c r="Q136" s="1246" t="s">
        <v>695</v>
      </c>
      <c r="R136" s="1246"/>
      <c r="S136" s="1266" t="n">
        <f aca="false">SUM(S132:T135)</f>
        <v>27119427</v>
      </c>
      <c r="T136" s="1266"/>
      <c r="U136" s="1266" t="n">
        <f aca="false">SUM(U132:V135)</f>
        <v>26369117</v>
      </c>
      <c r="V136" s="1266"/>
      <c r="W136" s="1266" t="n">
        <f aca="false">SUM(W132:X135)</f>
        <v>750310</v>
      </c>
      <c r="X136" s="1266"/>
      <c r="AA136" s="1246" t="s">
        <v>763</v>
      </c>
      <c r="AB136" s="1266" t="n">
        <f aca="false">SUM(AB132:AB135)</f>
        <v>4930805</v>
      </c>
      <c r="AC136" s="1266" t="n">
        <f aca="false">SUM(AC132:AD135)</f>
        <v>4794385</v>
      </c>
      <c r="AD136" s="1266"/>
      <c r="AE136" s="1266" t="n">
        <f aca="false">SUM(AE132:AF135)</f>
        <v>136420</v>
      </c>
      <c r="AF136" s="1266"/>
      <c r="AI136" s="1246" t="s">
        <v>695</v>
      </c>
      <c r="AJ136" s="1246"/>
      <c r="AK136" s="1266" t="n">
        <f aca="false">SUM(AK132:AL135)</f>
        <v>591697</v>
      </c>
      <c r="AL136" s="1266"/>
      <c r="AM136" s="1266" t="n">
        <f aca="false">SUM(AM132:AN135)</f>
        <v>575327</v>
      </c>
      <c r="AN136" s="1266"/>
      <c r="AO136" s="1266" t="n">
        <f aca="false">SUM(AO132:AP135)</f>
        <v>16370</v>
      </c>
      <c r="AP136" s="1266"/>
    </row>
    <row r="137" customFormat="false" ht="16.5" hidden="false" customHeight="true" outlineLevel="0" collapsed="false">
      <c r="B137" s="1318"/>
      <c r="C137" s="1318"/>
      <c r="D137" s="1319"/>
      <c r="E137" s="1319"/>
      <c r="F137" s="1319"/>
      <c r="I137" s="1318"/>
      <c r="J137" s="1318"/>
      <c r="K137" s="1320"/>
      <c r="L137" s="1320"/>
      <c r="M137" s="1320"/>
      <c r="N137" s="1320"/>
      <c r="Q137" s="1318"/>
      <c r="R137" s="1318"/>
      <c r="S137" s="1320"/>
      <c r="T137" s="1320"/>
      <c r="U137" s="1320"/>
      <c r="V137" s="1320"/>
      <c r="W137" s="1320"/>
      <c r="X137" s="1320"/>
      <c r="AA137" s="1318"/>
      <c r="AB137" s="1320"/>
      <c r="AC137" s="1320"/>
      <c r="AD137" s="1320"/>
      <c r="AE137" s="1320"/>
      <c r="AF137" s="1320"/>
      <c r="AI137" s="1318"/>
      <c r="AJ137" s="1318"/>
      <c r="AK137" s="1320"/>
      <c r="AL137" s="1320"/>
      <c r="AM137" s="1320"/>
      <c r="AN137" s="1320"/>
      <c r="AO137" s="1320"/>
      <c r="AP137" s="1320"/>
    </row>
    <row r="138" customFormat="false" ht="30.75" hidden="false" customHeight="true" outlineLevel="0" collapsed="false">
      <c r="B138" s="950" t="s">
        <v>794</v>
      </c>
      <c r="C138" s="607"/>
      <c r="D138" s="1321" t="str">
        <f aca="false">'☆掛負収入'!A2</f>
        <v>令和8年度</v>
      </c>
      <c r="E138" s="607"/>
      <c r="F138" s="607"/>
      <c r="I138" s="950" t="s">
        <v>795</v>
      </c>
      <c r="J138" s="607"/>
      <c r="K138" s="1322" t="str">
        <f aca="false">D138</f>
        <v>令和8年度</v>
      </c>
      <c r="L138" s="607"/>
      <c r="M138" s="607"/>
      <c r="Q138" s="950" t="s">
        <v>796</v>
      </c>
      <c r="R138" s="607"/>
      <c r="S138" s="1322" t="str">
        <f aca="false">K138</f>
        <v>令和8年度</v>
      </c>
      <c r="T138" s="607"/>
      <c r="U138" s="607"/>
      <c r="AA138" s="950" t="s">
        <v>797</v>
      </c>
      <c r="AB138" s="1322" t="str">
        <f aca="false">S138</f>
        <v>令和8年度</v>
      </c>
      <c r="AC138" s="1322"/>
      <c r="AD138" s="607"/>
      <c r="AE138" s="607"/>
      <c r="AI138" s="950" t="s">
        <v>798</v>
      </c>
      <c r="AJ138" s="607"/>
      <c r="AK138" s="1322" t="str">
        <f aca="false">AB138</f>
        <v>令和8年度</v>
      </c>
      <c r="AL138" s="607"/>
      <c r="AM138" s="607"/>
    </row>
    <row r="139" customFormat="false" ht="30.75" hidden="false" customHeight="true" outlineLevel="0" collapsed="false">
      <c r="B139" s="1323" t="s">
        <v>799</v>
      </c>
      <c r="C139" s="1324" t="s">
        <v>800</v>
      </c>
      <c r="D139" s="1318"/>
      <c r="E139" s="1318"/>
      <c r="F139" s="1318"/>
      <c r="I139" s="1323" t="s">
        <v>799</v>
      </c>
      <c r="J139" s="1323"/>
      <c r="K139" s="1324" t="s">
        <v>800</v>
      </c>
      <c r="L139" s="1318"/>
      <c r="M139" s="1318"/>
      <c r="N139" s="1318"/>
      <c r="Q139" s="1323" t="s">
        <v>799</v>
      </c>
      <c r="R139" s="1323"/>
      <c r="S139" s="1324" t="s">
        <v>800</v>
      </c>
      <c r="T139" s="1324"/>
      <c r="U139" s="1318"/>
      <c r="V139" s="1318"/>
      <c r="W139" s="1318"/>
      <c r="X139" s="1318"/>
      <c r="AA139" s="1325" t="s">
        <v>799</v>
      </c>
      <c r="AB139" s="1324" t="s">
        <v>490</v>
      </c>
      <c r="AC139" s="1318"/>
      <c r="AD139" s="1318"/>
      <c r="AE139" s="1318"/>
      <c r="AF139" s="1318"/>
      <c r="AG139" s="1318"/>
      <c r="AI139" s="1323" t="s">
        <v>799</v>
      </c>
      <c r="AJ139" s="1323"/>
      <c r="AK139" s="1324" t="s">
        <v>490</v>
      </c>
      <c r="AL139" s="1324"/>
      <c r="AM139" s="1318"/>
      <c r="AN139" s="1318"/>
      <c r="AO139" s="1318"/>
      <c r="AP139" s="1318"/>
    </row>
    <row r="140" customFormat="false" ht="30.75" hidden="false" customHeight="true" outlineLevel="0" collapsed="false">
      <c r="B140" s="1326" t="n">
        <f aca="false">'☆掛負収入'!B132</f>
        <v>46203</v>
      </c>
      <c r="C140" s="1327"/>
      <c r="D140" s="1328"/>
      <c r="E140" s="1328"/>
      <c r="F140" s="1329"/>
      <c r="I140" s="1330" t="n">
        <f aca="false">B140</f>
        <v>46203</v>
      </c>
      <c r="J140" s="1330"/>
      <c r="K140" s="1331"/>
      <c r="L140" s="1332"/>
      <c r="M140" s="1332"/>
      <c r="N140" s="1333"/>
      <c r="Q140" s="1330" t="n">
        <f aca="false">I140</f>
        <v>46203</v>
      </c>
      <c r="R140" s="1330"/>
      <c r="S140" s="1334"/>
      <c r="T140" s="1334"/>
      <c r="U140" s="1335"/>
      <c r="V140" s="1335"/>
      <c r="W140" s="1336"/>
      <c r="X140" s="1336"/>
      <c r="AA140" s="1337" t="n">
        <f aca="false">EOMONTH(Q140,1)</f>
        <v>46234</v>
      </c>
      <c r="AB140" s="1331"/>
      <c r="AC140" s="1335"/>
      <c r="AD140" s="1335"/>
      <c r="AE140" s="1336"/>
      <c r="AF140" s="1336"/>
      <c r="AG140" s="1336"/>
      <c r="AI140" s="1330" t="n">
        <f aca="false">Q140</f>
        <v>46203</v>
      </c>
      <c r="AJ140" s="1330"/>
      <c r="AK140" s="1338"/>
      <c r="AL140" s="1338"/>
      <c r="AM140" s="1339"/>
      <c r="AN140" s="1339"/>
      <c r="AO140" s="1320"/>
      <c r="AP140" s="1320"/>
    </row>
    <row r="141" customFormat="false" ht="30.75" hidden="false" customHeight="true" outlineLevel="0" collapsed="false">
      <c r="B141" s="1337" t="n">
        <f aca="false">EOMONTH(B140,3)</f>
        <v>46295</v>
      </c>
      <c r="C141" s="1340"/>
      <c r="D141" s="1328"/>
      <c r="E141" s="1328"/>
      <c r="F141" s="1329"/>
      <c r="I141" s="1337" t="n">
        <f aca="false">EOMONTH(I140,3)</f>
        <v>46295</v>
      </c>
      <c r="J141" s="1337"/>
      <c r="K141" s="1341"/>
      <c r="L141" s="1332"/>
      <c r="M141" s="1332"/>
      <c r="N141" s="1333"/>
      <c r="Q141" s="1337" t="n">
        <f aca="false">EOMONTH(Q140,3)</f>
        <v>46295</v>
      </c>
      <c r="R141" s="1337"/>
      <c r="S141" s="1341"/>
      <c r="T141" s="1341"/>
      <c r="U141" s="1335"/>
      <c r="V141" s="1335"/>
      <c r="W141" s="1336"/>
      <c r="X141" s="1336"/>
      <c r="AA141" s="1342" t="n">
        <f aca="false">EOMONTH(AA140,3)</f>
        <v>46326</v>
      </c>
      <c r="AB141" s="1341"/>
      <c r="AC141" s="1335"/>
      <c r="AD141" s="1335"/>
      <c r="AE141" s="1336"/>
      <c r="AF141" s="1336"/>
      <c r="AG141" s="1336"/>
      <c r="AI141" s="1337" t="n">
        <f aca="false">EOMONTH(AI140,3)</f>
        <v>46295</v>
      </c>
      <c r="AJ141" s="1337"/>
      <c r="AK141" s="1343"/>
      <c r="AL141" s="1343"/>
      <c r="AM141" s="1339"/>
      <c r="AN141" s="1339"/>
      <c r="AO141" s="1320"/>
      <c r="AP141" s="1320"/>
    </row>
    <row r="142" customFormat="false" ht="30.75" hidden="false" customHeight="true" outlineLevel="0" collapsed="false">
      <c r="B142" s="1337" t="n">
        <f aca="false">EOMONTH(B141,3)</f>
        <v>46387</v>
      </c>
      <c r="C142" s="1340"/>
      <c r="D142" s="1328"/>
      <c r="E142" s="1328"/>
      <c r="F142" s="1329"/>
      <c r="I142" s="1337" t="n">
        <f aca="false">EOMONTH(I141,3)</f>
        <v>46387</v>
      </c>
      <c r="J142" s="1337"/>
      <c r="K142" s="1341"/>
      <c r="L142" s="1332"/>
      <c r="M142" s="1332"/>
      <c r="N142" s="1333"/>
      <c r="Q142" s="1337" t="n">
        <f aca="false">EOMONTH(Q141,3)</f>
        <v>46387</v>
      </c>
      <c r="R142" s="1337"/>
      <c r="S142" s="1341"/>
      <c r="T142" s="1341"/>
      <c r="U142" s="1335"/>
      <c r="V142" s="1335"/>
      <c r="W142" s="1336"/>
      <c r="X142" s="1336"/>
      <c r="AA142" s="1342" t="n">
        <f aca="false">EOMONTH(AA141,3)</f>
        <v>46418</v>
      </c>
      <c r="AB142" s="1341"/>
      <c r="AC142" s="1335"/>
      <c r="AD142" s="1335"/>
      <c r="AE142" s="1336"/>
      <c r="AF142" s="1336"/>
      <c r="AG142" s="1336"/>
      <c r="AI142" s="1337" t="n">
        <f aca="false">EOMONTH(AI141,3)</f>
        <v>46387</v>
      </c>
      <c r="AJ142" s="1337"/>
      <c r="AK142" s="1344"/>
      <c r="AL142" s="1344"/>
      <c r="AM142" s="1339"/>
      <c r="AN142" s="1339"/>
      <c r="AO142" s="1320"/>
      <c r="AP142" s="1320"/>
    </row>
    <row r="143" customFormat="false" ht="30.75" hidden="false" customHeight="true" outlineLevel="0" collapsed="false">
      <c r="B143" s="1345" t="n">
        <f aca="false">EOMONTH(B142,3)</f>
        <v>46477</v>
      </c>
      <c r="C143" s="1346"/>
      <c r="D143" s="1328"/>
      <c r="E143" s="1328"/>
      <c r="F143" s="1329"/>
      <c r="I143" s="1345" t="n">
        <f aca="false">EOMONTH(I142,3)</f>
        <v>46477</v>
      </c>
      <c r="J143" s="1345"/>
      <c r="K143" s="1347"/>
      <c r="L143" s="1348"/>
      <c r="M143" s="1348"/>
      <c r="N143" s="1333"/>
      <c r="Q143" s="1345" t="n">
        <f aca="false">EOMONTH(Q142,3)</f>
        <v>46477</v>
      </c>
      <c r="R143" s="1345"/>
      <c r="S143" s="1349"/>
      <c r="T143" s="1349"/>
      <c r="U143" s="1335"/>
      <c r="V143" s="1335"/>
      <c r="W143" s="1336"/>
      <c r="X143" s="1336"/>
      <c r="AA143" s="1350" t="n">
        <f aca="false">EOMONTH(AA142,3)</f>
        <v>46507</v>
      </c>
      <c r="AB143" s="1351"/>
      <c r="AC143" s="1335"/>
      <c r="AD143" s="1335"/>
      <c r="AE143" s="1336"/>
      <c r="AF143" s="1336"/>
      <c r="AG143" s="1336"/>
      <c r="AI143" s="1345" t="n">
        <f aca="false">EOMONTH(AI142,3)</f>
        <v>46477</v>
      </c>
      <c r="AJ143" s="1345"/>
      <c r="AK143" s="1352"/>
      <c r="AL143" s="1352"/>
      <c r="AM143" s="1339"/>
      <c r="AN143" s="1339"/>
      <c r="AO143" s="1320"/>
      <c r="AP143" s="1320"/>
    </row>
    <row r="144" customFormat="false" ht="30.75" hidden="false" customHeight="true" outlineLevel="0" collapsed="false">
      <c r="B144" s="1353" t="s">
        <v>571</v>
      </c>
      <c r="C144" s="1354" t="n">
        <f aca="false">SUM(C140:C143)</f>
        <v>0</v>
      </c>
      <c r="D144" s="1329"/>
      <c r="E144" s="1329"/>
      <c r="F144" s="1329"/>
      <c r="I144" s="1355" t="s">
        <v>571</v>
      </c>
      <c r="J144" s="1355"/>
      <c r="K144" s="1356" t="n">
        <f aca="false">SUM(K140:K143)</f>
        <v>0</v>
      </c>
      <c r="L144" s="1357"/>
      <c r="M144" s="1357"/>
      <c r="N144" s="1333"/>
      <c r="Q144" s="1355" t="s">
        <v>571</v>
      </c>
      <c r="R144" s="1355"/>
      <c r="S144" s="1358" t="n">
        <f aca="false">SUM(S140:T143)</f>
        <v>0</v>
      </c>
      <c r="T144" s="1358"/>
      <c r="U144" s="1357"/>
      <c r="V144" s="1357"/>
      <c r="W144" s="1336"/>
      <c r="X144" s="1336"/>
      <c r="AA144" s="1359" t="s">
        <v>571</v>
      </c>
      <c r="AB144" s="1358" t="n">
        <f aca="false">SUM(AB140:AB143)</f>
        <v>0</v>
      </c>
      <c r="AC144" s="1357"/>
      <c r="AD144" s="1357"/>
      <c r="AE144" s="1336"/>
      <c r="AF144" s="1336"/>
      <c r="AG144" s="1336"/>
      <c r="AI144" s="1355" t="s">
        <v>571</v>
      </c>
      <c r="AJ144" s="1355"/>
      <c r="AK144" s="1360" t="n">
        <f aca="false">SUM(AK140:AL143)</f>
        <v>0</v>
      </c>
      <c r="AL144" s="1360"/>
      <c r="AM144" s="1320"/>
      <c r="AN144" s="1320"/>
      <c r="AO144" s="1320"/>
      <c r="AP144" s="1320"/>
    </row>
    <row r="150" customFormat="false" ht="18" hidden="false" customHeight="true" outlineLevel="0" collapsed="false">
      <c r="S150" s="1361"/>
    </row>
  </sheetData>
  <mergeCells count="792">
    <mergeCell ref="B2:F2"/>
    <mergeCell ref="I2:N2"/>
    <mergeCell ref="Q2:X2"/>
    <mergeCell ref="AA2:AF2"/>
    <mergeCell ref="AI2:AP2"/>
    <mergeCell ref="B6:C7"/>
    <mergeCell ref="D6:E6"/>
    <mergeCell ref="I6:J7"/>
    <mergeCell ref="K6:L7"/>
    <mergeCell ref="M6:M7"/>
    <mergeCell ref="Q6:R7"/>
    <mergeCell ref="S6:U7"/>
    <mergeCell ref="V6:W7"/>
    <mergeCell ref="X6:X7"/>
    <mergeCell ref="AA6:AA7"/>
    <mergeCell ref="AB6:AC7"/>
    <mergeCell ref="AD6:AE7"/>
    <mergeCell ref="AF6:AF7"/>
    <mergeCell ref="AI6:AJ7"/>
    <mergeCell ref="AK6:AM7"/>
    <mergeCell ref="AN6:AP6"/>
    <mergeCell ref="AN7:AO7"/>
    <mergeCell ref="B8:B9"/>
    <mergeCell ref="I8:I9"/>
    <mergeCell ref="K8:M8"/>
    <mergeCell ref="Q8:Q9"/>
    <mergeCell ref="S8:U8"/>
    <mergeCell ref="V8:X8"/>
    <mergeCell ref="AA8:AA9"/>
    <mergeCell ref="AB8:AC9"/>
    <mergeCell ref="AD8:AF9"/>
    <mergeCell ref="AI8:AI9"/>
    <mergeCell ref="AK8:AM8"/>
    <mergeCell ref="AN8:AP8"/>
    <mergeCell ref="K9:M9"/>
    <mergeCell ref="S9:U9"/>
    <mergeCell ref="V9:X9"/>
    <mergeCell ref="AK9:AM9"/>
    <mergeCell ref="AN9:AP9"/>
    <mergeCell ref="B10:C10"/>
    <mergeCell ref="I10:J10"/>
    <mergeCell ref="K10:M10"/>
    <mergeCell ref="Q10:R10"/>
    <mergeCell ref="S10:U10"/>
    <mergeCell ref="V10:X10"/>
    <mergeCell ref="AA10:AA11"/>
    <mergeCell ref="AB10:AC11"/>
    <mergeCell ref="AD10:AF11"/>
    <mergeCell ref="AI10:AJ10"/>
    <mergeCell ref="AK10:AM10"/>
    <mergeCell ref="AN10:AP10"/>
    <mergeCell ref="K11:M11"/>
    <mergeCell ref="S11:U11"/>
    <mergeCell ref="V11:X11"/>
    <mergeCell ref="AK11:AM11"/>
    <mergeCell ref="AN11:AP11"/>
    <mergeCell ref="K12:M12"/>
    <mergeCell ref="S12:U12"/>
    <mergeCell ref="V12:X12"/>
    <mergeCell ref="AA12:AA13"/>
    <mergeCell ref="AB12:AC13"/>
    <mergeCell ref="AD12:AF13"/>
    <mergeCell ref="AK12:AM12"/>
    <mergeCell ref="AN12:AP12"/>
    <mergeCell ref="K13:M13"/>
    <mergeCell ref="S13:U13"/>
    <mergeCell ref="V13:X13"/>
    <mergeCell ref="AK13:AM13"/>
    <mergeCell ref="AN13:AP13"/>
    <mergeCell ref="B14:C14"/>
    <mergeCell ref="I14:J14"/>
    <mergeCell ref="K14:M14"/>
    <mergeCell ref="Q14:R14"/>
    <mergeCell ref="S14:U14"/>
    <mergeCell ref="V14:X14"/>
    <mergeCell ref="AA14:AA15"/>
    <mergeCell ref="AB14:AC15"/>
    <mergeCell ref="AD14:AF15"/>
    <mergeCell ref="AI14:AJ14"/>
    <mergeCell ref="AK14:AM14"/>
    <mergeCell ref="AN14:AP14"/>
    <mergeCell ref="B15:C15"/>
    <mergeCell ref="I15:J15"/>
    <mergeCell ref="K15:M15"/>
    <mergeCell ref="Q15:R15"/>
    <mergeCell ref="S15:U15"/>
    <mergeCell ref="V15:X15"/>
    <mergeCell ref="AI15:AJ15"/>
    <mergeCell ref="AK15:AM15"/>
    <mergeCell ref="AN15:AP15"/>
    <mergeCell ref="AI24:AJ24"/>
    <mergeCell ref="B26:F26"/>
    <mergeCell ref="I26:N26"/>
    <mergeCell ref="Q26:X26"/>
    <mergeCell ref="AA26:AF26"/>
    <mergeCell ref="AI26:AP26"/>
    <mergeCell ref="B28:C29"/>
    <mergeCell ref="D28:F28"/>
    <mergeCell ref="I28:J29"/>
    <mergeCell ref="K28:N28"/>
    <mergeCell ref="Q28:R29"/>
    <mergeCell ref="S28:X28"/>
    <mergeCell ref="AA28:AA29"/>
    <mergeCell ref="AB28:AF28"/>
    <mergeCell ref="AI28:AJ29"/>
    <mergeCell ref="AK28:AP28"/>
    <mergeCell ref="L29:M29"/>
    <mergeCell ref="S29:T29"/>
    <mergeCell ref="U29:V29"/>
    <mergeCell ref="W29:X29"/>
    <mergeCell ref="AC29:AD29"/>
    <mergeCell ref="AE29:AF29"/>
    <mergeCell ref="AK29:AL29"/>
    <mergeCell ref="AM29:AN29"/>
    <mergeCell ref="AO29:AP29"/>
    <mergeCell ref="B30:C30"/>
    <mergeCell ref="I30:J30"/>
    <mergeCell ref="L30:M30"/>
    <mergeCell ref="Q30:R30"/>
    <mergeCell ref="S30:T30"/>
    <mergeCell ref="U30:V30"/>
    <mergeCell ref="W30:X30"/>
    <mergeCell ref="AC30:AD30"/>
    <mergeCell ref="AE30:AF30"/>
    <mergeCell ref="AI30:AJ30"/>
    <mergeCell ref="AK30:AL30"/>
    <mergeCell ref="AM30:AN30"/>
    <mergeCell ref="AO30:AP30"/>
    <mergeCell ref="B31:C31"/>
    <mergeCell ref="I31:J31"/>
    <mergeCell ref="L31:M31"/>
    <mergeCell ref="Q31:R31"/>
    <mergeCell ref="S31:T31"/>
    <mergeCell ref="U31:V31"/>
    <mergeCell ref="W31:X31"/>
    <mergeCell ref="AC31:AD31"/>
    <mergeCell ref="AE31:AF31"/>
    <mergeCell ref="AI31:AJ31"/>
    <mergeCell ref="AK31:AL31"/>
    <mergeCell ref="AM31:AN31"/>
    <mergeCell ref="AO31:AP31"/>
    <mergeCell ref="B32:C32"/>
    <mergeCell ref="I32:J32"/>
    <mergeCell ref="L32:M32"/>
    <mergeCell ref="Q32:R32"/>
    <mergeCell ref="S32:T32"/>
    <mergeCell ref="U32:V32"/>
    <mergeCell ref="W32:X32"/>
    <mergeCell ref="AC32:AD32"/>
    <mergeCell ref="AE32:AF32"/>
    <mergeCell ref="AI32:AJ32"/>
    <mergeCell ref="AK32:AL32"/>
    <mergeCell ref="AM32:AN32"/>
    <mergeCell ref="AO32:AP32"/>
    <mergeCell ref="B33:C33"/>
    <mergeCell ref="I33:J33"/>
    <mergeCell ref="L33:M33"/>
    <mergeCell ref="Q33:R33"/>
    <mergeCell ref="S33:T33"/>
    <mergeCell ref="U33:V33"/>
    <mergeCell ref="W33:X33"/>
    <mergeCell ref="AC33:AD33"/>
    <mergeCell ref="AE33:AF33"/>
    <mergeCell ref="AI33:AJ33"/>
    <mergeCell ref="AK33:AL33"/>
    <mergeCell ref="AM33:AN33"/>
    <mergeCell ref="AO33:AP33"/>
    <mergeCell ref="B34:C34"/>
    <mergeCell ref="I34:J34"/>
    <mergeCell ref="L34:M34"/>
    <mergeCell ref="Q34:R34"/>
    <mergeCell ref="S34:T34"/>
    <mergeCell ref="U34:V34"/>
    <mergeCell ref="W34:X34"/>
    <mergeCell ref="AC34:AD34"/>
    <mergeCell ref="AE34:AF34"/>
    <mergeCell ref="AI34:AJ34"/>
    <mergeCell ref="AK34:AL34"/>
    <mergeCell ref="AM34:AN34"/>
    <mergeCell ref="AO34:AP34"/>
    <mergeCell ref="B36:F36"/>
    <mergeCell ref="I36:N36"/>
    <mergeCell ref="Q36:X36"/>
    <mergeCell ref="AA36:AF36"/>
    <mergeCell ref="AI36:AP36"/>
    <mergeCell ref="B40:C41"/>
    <mergeCell ref="D40:E40"/>
    <mergeCell ref="I40:J41"/>
    <mergeCell ref="K40:L41"/>
    <mergeCell ref="M40:M41"/>
    <mergeCell ref="Q40:R41"/>
    <mergeCell ref="S40:U41"/>
    <mergeCell ref="V40:W41"/>
    <mergeCell ref="X40:X41"/>
    <mergeCell ref="AA40:AA41"/>
    <mergeCell ref="AB40:AC41"/>
    <mergeCell ref="AD40:AE41"/>
    <mergeCell ref="AF40:AF41"/>
    <mergeCell ref="AI40:AJ41"/>
    <mergeCell ref="AK40:AM41"/>
    <mergeCell ref="AN40:AP40"/>
    <mergeCell ref="AN41:AO41"/>
    <mergeCell ref="B42:B43"/>
    <mergeCell ref="I42:I43"/>
    <mergeCell ref="K42:M42"/>
    <mergeCell ref="Q42:Q43"/>
    <mergeCell ref="S42:U42"/>
    <mergeCell ref="V42:X42"/>
    <mergeCell ref="AA42:AA43"/>
    <mergeCell ref="AB42:AC43"/>
    <mergeCell ref="AD42:AF43"/>
    <mergeCell ref="AI42:AI43"/>
    <mergeCell ref="AK42:AM42"/>
    <mergeCell ref="AN42:AP42"/>
    <mergeCell ref="K43:M43"/>
    <mergeCell ref="S43:U43"/>
    <mergeCell ref="V43:X43"/>
    <mergeCell ref="AK43:AM43"/>
    <mergeCell ref="AN43:AP43"/>
    <mergeCell ref="B44:C44"/>
    <mergeCell ref="I44:J44"/>
    <mergeCell ref="K44:M44"/>
    <mergeCell ref="Q44:R44"/>
    <mergeCell ref="S44:U44"/>
    <mergeCell ref="V44:X44"/>
    <mergeCell ref="AA44:AA45"/>
    <mergeCell ref="AB44:AC45"/>
    <mergeCell ref="AD44:AF45"/>
    <mergeCell ref="AI44:AJ44"/>
    <mergeCell ref="AK44:AM44"/>
    <mergeCell ref="AN44:AP44"/>
    <mergeCell ref="K45:M45"/>
    <mergeCell ref="S45:U45"/>
    <mergeCell ref="V45:X45"/>
    <mergeCell ref="AK45:AM45"/>
    <mergeCell ref="AN45:AP45"/>
    <mergeCell ref="K46:M46"/>
    <mergeCell ref="S46:U46"/>
    <mergeCell ref="V46:X46"/>
    <mergeCell ref="AA46:AA47"/>
    <mergeCell ref="AB46:AC47"/>
    <mergeCell ref="AD46:AF47"/>
    <mergeCell ref="AK46:AM46"/>
    <mergeCell ref="AN46:AP46"/>
    <mergeCell ref="K47:M47"/>
    <mergeCell ref="S47:U47"/>
    <mergeCell ref="V47:X47"/>
    <mergeCell ref="AK47:AM47"/>
    <mergeCell ref="AN47:AP47"/>
    <mergeCell ref="B48:C48"/>
    <mergeCell ref="I48:J48"/>
    <mergeCell ref="K48:M48"/>
    <mergeCell ref="Q48:R48"/>
    <mergeCell ref="S48:U48"/>
    <mergeCell ref="V48:X48"/>
    <mergeCell ref="AA48:AA49"/>
    <mergeCell ref="AB48:AC49"/>
    <mergeCell ref="AD48:AF49"/>
    <mergeCell ref="AI48:AJ48"/>
    <mergeCell ref="AK48:AM48"/>
    <mergeCell ref="AN48:AP48"/>
    <mergeCell ref="B49:C49"/>
    <mergeCell ref="I49:J49"/>
    <mergeCell ref="K49:M49"/>
    <mergeCell ref="Q49:R49"/>
    <mergeCell ref="S49:U49"/>
    <mergeCell ref="V49:X49"/>
    <mergeCell ref="AI49:AJ49"/>
    <mergeCell ref="AK49:AM49"/>
    <mergeCell ref="AN49:AP49"/>
    <mergeCell ref="AI58:AJ58"/>
    <mergeCell ref="B60:F60"/>
    <mergeCell ref="I60:N60"/>
    <mergeCell ref="Q60:X60"/>
    <mergeCell ref="AA60:AF60"/>
    <mergeCell ref="AI60:AP60"/>
    <mergeCell ref="B62:C63"/>
    <mergeCell ref="D62:F62"/>
    <mergeCell ref="I62:J63"/>
    <mergeCell ref="K62:N62"/>
    <mergeCell ref="Q62:R63"/>
    <mergeCell ref="S62:X62"/>
    <mergeCell ref="AA62:AA63"/>
    <mergeCell ref="AB62:AF62"/>
    <mergeCell ref="AI62:AJ63"/>
    <mergeCell ref="AK62:AP62"/>
    <mergeCell ref="L63:M63"/>
    <mergeCell ref="S63:T63"/>
    <mergeCell ref="U63:V63"/>
    <mergeCell ref="W63:X63"/>
    <mergeCell ref="AC63:AD63"/>
    <mergeCell ref="AE63:AF63"/>
    <mergeCell ref="AK63:AL63"/>
    <mergeCell ref="AM63:AN63"/>
    <mergeCell ref="AO63:AP63"/>
    <mergeCell ref="B64:C64"/>
    <mergeCell ref="I64:J64"/>
    <mergeCell ref="L64:M64"/>
    <mergeCell ref="Q64:R64"/>
    <mergeCell ref="S64:T64"/>
    <mergeCell ref="U64:V64"/>
    <mergeCell ref="W64:X64"/>
    <mergeCell ref="AC64:AD64"/>
    <mergeCell ref="AE64:AF64"/>
    <mergeCell ref="AI64:AJ64"/>
    <mergeCell ref="AK64:AL64"/>
    <mergeCell ref="AM64:AN64"/>
    <mergeCell ref="AO64:AP64"/>
    <mergeCell ref="B65:C65"/>
    <mergeCell ref="I65:J65"/>
    <mergeCell ref="L65:M65"/>
    <mergeCell ref="Q65:R65"/>
    <mergeCell ref="S65:T65"/>
    <mergeCell ref="U65:V65"/>
    <mergeCell ref="W65:X65"/>
    <mergeCell ref="AC65:AD65"/>
    <mergeCell ref="AE65:AF65"/>
    <mergeCell ref="AI65:AJ65"/>
    <mergeCell ref="AK65:AL65"/>
    <mergeCell ref="AM65:AN65"/>
    <mergeCell ref="AO65:AP65"/>
    <mergeCell ref="B66:C66"/>
    <mergeCell ref="I66:J66"/>
    <mergeCell ref="L66:M66"/>
    <mergeCell ref="Q66:R66"/>
    <mergeCell ref="S66:T66"/>
    <mergeCell ref="U66:V66"/>
    <mergeCell ref="W66:X66"/>
    <mergeCell ref="AC66:AD66"/>
    <mergeCell ref="AE66:AF66"/>
    <mergeCell ref="AI66:AJ66"/>
    <mergeCell ref="AK66:AL66"/>
    <mergeCell ref="AM66:AN66"/>
    <mergeCell ref="AO66:AP66"/>
    <mergeCell ref="B67:C67"/>
    <mergeCell ref="I67:J67"/>
    <mergeCell ref="L67:M67"/>
    <mergeCell ref="Q67:R67"/>
    <mergeCell ref="S67:T67"/>
    <mergeCell ref="U67:V67"/>
    <mergeCell ref="W67:X67"/>
    <mergeCell ref="AC67:AD67"/>
    <mergeCell ref="AE67:AF67"/>
    <mergeCell ref="AI67:AJ67"/>
    <mergeCell ref="AK67:AL67"/>
    <mergeCell ref="AM67:AN67"/>
    <mergeCell ref="AO67:AP67"/>
    <mergeCell ref="B68:C68"/>
    <mergeCell ref="I68:J68"/>
    <mergeCell ref="L68:M68"/>
    <mergeCell ref="Q68:R68"/>
    <mergeCell ref="S68:T68"/>
    <mergeCell ref="U68:V68"/>
    <mergeCell ref="W68:X68"/>
    <mergeCell ref="AC68:AD68"/>
    <mergeCell ref="AE68:AF68"/>
    <mergeCell ref="AI68:AJ68"/>
    <mergeCell ref="AK68:AL68"/>
    <mergeCell ref="AM68:AN68"/>
    <mergeCell ref="AO68:AP68"/>
    <mergeCell ref="B70:F70"/>
    <mergeCell ref="I70:N70"/>
    <mergeCell ref="Q70:X70"/>
    <mergeCell ref="AA70:AF70"/>
    <mergeCell ref="AI70:AP70"/>
    <mergeCell ref="B74:C75"/>
    <mergeCell ref="D74:E74"/>
    <mergeCell ref="I74:J75"/>
    <mergeCell ref="K74:L75"/>
    <mergeCell ref="M74:M75"/>
    <mergeCell ref="Q74:R75"/>
    <mergeCell ref="S74:U75"/>
    <mergeCell ref="V74:W75"/>
    <mergeCell ref="X74:X75"/>
    <mergeCell ref="AA74:AA75"/>
    <mergeCell ref="AB74:AC75"/>
    <mergeCell ref="AD74:AE75"/>
    <mergeCell ref="AF74:AF75"/>
    <mergeCell ref="AI74:AJ75"/>
    <mergeCell ref="AK74:AM75"/>
    <mergeCell ref="AN74:AP74"/>
    <mergeCell ref="AN75:AO75"/>
    <mergeCell ref="B76:B77"/>
    <mergeCell ref="I76:I77"/>
    <mergeCell ref="K76:M76"/>
    <mergeCell ref="Q76:Q77"/>
    <mergeCell ref="S76:U76"/>
    <mergeCell ref="V76:X76"/>
    <mergeCell ref="AA76:AA77"/>
    <mergeCell ref="AB76:AC77"/>
    <mergeCell ref="AD76:AF77"/>
    <mergeCell ref="AI76:AI77"/>
    <mergeCell ref="AK76:AM76"/>
    <mergeCell ref="AN76:AP76"/>
    <mergeCell ref="K77:M77"/>
    <mergeCell ref="S77:U77"/>
    <mergeCell ref="V77:X77"/>
    <mergeCell ref="AK77:AM77"/>
    <mergeCell ref="AN77:AP77"/>
    <mergeCell ref="B78:C78"/>
    <mergeCell ref="I78:J78"/>
    <mergeCell ref="K78:M78"/>
    <mergeCell ref="Q78:R78"/>
    <mergeCell ref="S78:U78"/>
    <mergeCell ref="V78:X78"/>
    <mergeCell ref="AA78:AA79"/>
    <mergeCell ref="AB78:AC79"/>
    <mergeCell ref="AD78:AF79"/>
    <mergeCell ref="AI78:AJ78"/>
    <mergeCell ref="AK78:AM78"/>
    <mergeCell ref="AN78:AP78"/>
    <mergeCell ref="K79:M79"/>
    <mergeCell ref="S79:U79"/>
    <mergeCell ref="V79:X79"/>
    <mergeCell ref="AK79:AM79"/>
    <mergeCell ref="AN79:AP79"/>
    <mergeCell ref="K80:M80"/>
    <mergeCell ref="S80:U80"/>
    <mergeCell ref="V80:X80"/>
    <mergeCell ref="AA80:AA81"/>
    <mergeCell ref="AB80:AC81"/>
    <mergeCell ref="AD80:AF81"/>
    <mergeCell ref="AK80:AM80"/>
    <mergeCell ref="AN80:AP80"/>
    <mergeCell ref="K81:M81"/>
    <mergeCell ref="S81:U81"/>
    <mergeCell ref="V81:X81"/>
    <mergeCell ref="AK81:AM81"/>
    <mergeCell ref="AN81:AP81"/>
    <mergeCell ref="B82:C82"/>
    <mergeCell ref="I82:J82"/>
    <mergeCell ref="K82:M82"/>
    <mergeCell ref="Q82:R82"/>
    <mergeCell ref="S82:U82"/>
    <mergeCell ref="V82:X82"/>
    <mergeCell ref="AA82:AA83"/>
    <mergeCell ref="AB82:AC83"/>
    <mergeCell ref="AD82:AF83"/>
    <mergeCell ref="AI82:AJ82"/>
    <mergeCell ref="AK82:AM82"/>
    <mergeCell ref="AN82:AP82"/>
    <mergeCell ref="B83:C83"/>
    <mergeCell ref="I83:J83"/>
    <mergeCell ref="K83:M83"/>
    <mergeCell ref="Q83:R83"/>
    <mergeCell ref="S83:U83"/>
    <mergeCell ref="V83:X83"/>
    <mergeCell ref="AI83:AJ83"/>
    <mergeCell ref="AK83:AM83"/>
    <mergeCell ref="AN83:AP83"/>
    <mergeCell ref="AI92:AJ92"/>
    <mergeCell ref="B94:F94"/>
    <mergeCell ref="I94:N94"/>
    <mergeCell ref="Q94:X94"/>
    <mergeCell ref="AA94:AF94"/>
    <mergeCell ref="AI94:AP94"/>
    <mergeCell ref="B96:C97"/>
    <mergeCell ref="D96:F96"/>
    <mergeCell ref="I96:J97"/>
    <mergeCell ref="K96:N96"/>
    <mergeCell ref="Q96:R97"/>
    <mergeCell ref="S96:X96"/>
    <mergeCell ref="AA96:AA97"/>
    <mergeCell ref="AB96:AF96"/>
    <mergeCell ref="AI96:AJ97"/>
    <mergeCell ref="AK96:AP96"/>
    <mergeCell ref="L97:M97"/>
    <mergeCell ref="S97:T97"/>
    <mergeCell ref="U97:V97"/>
    <mergeCell ref="W97:X97"/>
    <mergeCell ref="AC97:AD97"/>
    <mergeCell ref="AE97:AF97"/>
    <mergeCell ref="AK97:AL97"/>
    <mergeCell ref="AM97:AN97"/>
    <mergeCell ref="AO97:AP97"/>
    <mergeCell ref="B98:C98"/>
    <mergeCell ref="I98:J98"/>
    <mergeCell ref="L98:M98"/>
    <mergeCell ref="Q98:R98"/>
    <mergeCell ref="S98:T98"/>
    <mergeCell ref="U98:V98"/>
    <mergeCell ref="W98:X98"/>
    <mergeCell ref="AC98:AD98"/>
    <mergeCell ref="AE98:AF98"/>
    <mergeCell ref="AI98:AJ98"/>
    <mergeCell ref="AK98:AL98"/>
    <mergeCell ref="AM98:AN98"/>
    <mergeCell ref="AO98:AP98"/>
    <mergeCell ref="B99:C99"/>
    <mergeCell ref="I99:J99"/>
    <mergeCell ref="L99:M99"/>
    <mergeCell ref="Q99:R99"/>
    <mergeCell ref="S99:T99"/>
    <mergeCell ref="U99:V99"/>
    <mergeCell ref="W99:X99"/>
    <mergeCell ref="AC99:AD99"/>
    <mergeCell ref="AE99:AF99"/>
    <mergeCell ref="AI99:AJ99"/>
    <mergeCell ref="AK99:AL99"/>
    <mergeCell ref="AM99:AN99"/>
    <mergeCell ref="AO99:AP99"/>
    <mergeCell ref="B100:C100"/>
    <mergeCell ref="I100:J100"/>
    <mergeCell ref="L100:M100"/>
    <mergeCell ref="Q100:R100"/>
    <mergeCell ref="S100:T100"/>
    <mergeCell ref="U100:V100"/>
    <mergeCell ref="W100:X100"/>
    <mergeCell ref="AC100:AD100"/>
    <mergeCell ref="AE100:AF100"/>
    <mergeCell ref="AI100:AJ100"/>
    <mergeCell ref="AK100:AL100"/>
    <mergeCell ref="AM100:AN100"/>
    <mergeCell ref="AO100:AP100"/>
    <mergeCell ref="B101:C101"/>
    <mergeCell ref="I101:J101"/>
    <mergeCell ref="L101:M101"/>
    <mergeCell ref="Q101:R101"/>
    <mergeCell ref="S101:T101"/>
    <mergeCell ref="U101:V101"/>
    <mergeCell ref="W101:X101"/>
    <mergeCell ref="AC101:AD101"/>
    <mergeCell ref="AE101:AF101"/>
    <mergeCell ref="AI101:AJ101"/>
    <mergeCell ref="AK101:AL101"/>
    <mergeCell ref="AM101:AN101"/>
    <mergeCell ref="AO101:AP101"/>
    <mergeCell ref="B102:C102"/>
    <mergeCell ref="I102:J102"/>
    <mergeCell ref="L102:M102"/>
    <mergeCell ref="Q102:R102"/>
    <mergeCell ref="S102:T102"/>
    <mergeCell ref="U102:V102"/>
    <mergeCell ref="W102:X102"/>
    <mergeCell ref="AC102:AD102"/>
    <mergeCell ref="AE102:AF102"/>
    <mergeCell ref="AI102:AJ102"/>
    <mergeCell ref="AK102:AL102"/>
    <mergeCell ref="AM102:AN102"/>
    <mergeCell ref="AO102:AP102"/>
    <mergeCell ref="B104:F104"/>
    <mergeCell ref="I104:N104"/>
    <mergeCell ref="Q104:X104"/>
    <mergeCell ref="AA104:AF104"/>
    <mergeCell ref="AI104:AP104"/>
    <mergeCell ref="B108:C109"/>
    <mergeCell ref="D108:E108"/>
    <mergeCell ref="I108:J109"/>
    <mergeCell ref="K108:L109"/>
    <mergeCell ref="M108:M109"/>
    <mergeCell ref="Q108:R109"/>
    <mergeCell ref="S108:U109"/>
    <mergeCell ref="V108:W109"/>
    <mergeCell ref="X108:X109"/>
    <mergeCell ref="AA108:AA109"/>
    <mergeCell ref="AB108:AC109"/>
    <mergeCell ref="AD108:AE109"/>
    <mergeCell ref="AF108:AF109"/>
    <mergeCell ref="AI108:AJ109"/>
    <mergeCell ref="AK108:AM109"/>
    <mergeCell ref="AN108:AP108"/>
    <mergeCell ref="AN109:AO109"/>
    <mergeCell ref="B110:B111"/>
    <mergeCell ref="I110:I111"/>
    <mergeCell ref="K110:M110"/>
    <mergeCell ref="Q110:Q111"/>
    <mergeCell ref="S110:U110"/>
    <mergeCell ref="V110:X110"/>
    <mergeCell ref="AA110:AA111"/>
    <mergeCell ref="AB110:AC111"/>
    <mergeCell ref="AD110:AF111"/>
    <mergeCell ref="AI110:AI111"/>
    <mergeCell ref="AK110:AM110"/>
    <mergeCell ref="AN110:AP110"/>
    <mergeCell ref="K111:M111"/>
    <mergeCell ref="S111:U111"/>
    <mergeCell ref="V111:X111"/>
    <mergeCell ref="AK111:AM111"/>
    <mergeCell ref="AN111:AP111"/>
    <mergeCell ref="B112:C112"/>
    <mergeCell ref="I112:J112"/>
    <mergeCell ref="K112:M112"/>
    <mergeCell ref="Q112:R112"/>
    <mergeCell ref="S112:U112"/>
    <mergeCell ref="V112:X112"/>
    <mergeCell ref="AA112:AA113"/>
    <mergeCell ref="AB112:AC113"/>
    <mergeCell ref="AD112:AF113"/>
    <mergeCell ref="AI112:AJ112"/>
    <mergeCell ref="AK112:AM112"/>
    <mergeCell ref="AN112:AP112"/>
    <mergeCell ref="K113:M113"/>
    <mergeCell ref="S113:U113"/>
    <mergeCell ref="V113:X113"/>
    <mergeCell ref="AK113:AM113"/>
    <mergeCell ref="AN113:AP113"/>
    <mergeCell ref="K114:M114"/>
    <mergeCell ref="S114:U114"/>
    <mergeCell ref="V114:X114"/>
    <mergeCell ref="AA114:AA115"/>
    <mergeCell ref="AB114:AC115"/>
    <mergeCell ref="AD114:AF115"/>
    <mergeCell ref="AK114:AM114"/>
    <mergeCell ref="AN114:AP114"/>
    <mergeCell ref="K115:M115"/>
    <mergeCell ref="S115:U115"/>
    <mergeCell ref="V115:X115"/>
    <mergeCell ref="AK115:AM115"/>
    <mergeCell ref="AN115:AP115"/>
    <mergeCell ref="B116:C116"/>
    <mergeCell ref="I116:J116"/>
    <mergeCell ref="K116:M116"/>
    <mergeCell ref="Q116:R116"/>
    <mergeCell ref="S116:U116"/>
    <mergeCell ref="V116:X116"/>
    <mergeCell ref="AA116:AA117"/>
    <mergeCell ref="AB116:AC117"/>
    <mergeCell ref="AD116:AF117"/>
    <mergeCell ref="AI116:AJ116"/>
    <mergeCell ref="AK116:AM116"/>
    <mergeCell ref="AN116:AP116"/>
    <mergeCell ref="B117:C117"/>
    <mergeCell ref="I117:J117"/>
    <mergeCell ref="K117:M117"/>
    <mergeCell ref="Q117:R117"/>
    <mergeCell ref="S117:U117"/>
    <mergeCell ref="V117:X117"/>
    <mergeCell ref="AI117:AJ117"/>
    <mergeCell ref="AK117:AM117"/>
    <mergeCell ref="AN117:AP117"/>
    <mergeCell ref="AI126:AJ126"/>
    <mergeCell ref="B128:F128"/>
    <mergeCell ref="I128:N128"/>
    <mergeCell ref="Q128:X128"/>
    <mergeCell ref="AA128:AF128"/>
    <mergeCell ref="AI128:AP128"/>
    <mergeCell ref="B130:C131"/>
    <mergeCell ref="D130:E130"/>
    <mergeCell ref="I130:J131"/>
    <mergeCell ref="K130:N130"/>
    <mergeCell ref="Q130:R131"/>
    <mergeCell ref="S130:X130"/>
    <mergeCell ref="AA130:AA131"/>
    <mergeCell ref="AB130:AF130"/>
    <mergeCell ref="AI130:AJ131"/>
    <mergeCell ref="AK130:AP130"/>
    <mergeCell ref="L131:M131"/>
    <mergeCell ref="S131:T131"/>
    <mergeCell ref="U131:V131"/>
    <mergeCell ref="W131:X131"/>
    <mergeCell ref="AC131:AD131"/>
    <mergeCell ref="AE131:AF131"/>
    <mergeCell ref="AK131:AL131"/>
    <mergeCell ref="AM131:AN131"/>
    <mergeCell ref="AO131:AP131"/>
    <mergeCell ref="B132:C132"/>
    <mergeCell ref="I132:J132"/>
    <mergeCell ref="L132:M132"/>
    <mergeCell ref="Q132:R132"/>
    <mergeCell ref="S132:T132"/>
    <mergeCell ref="U132:V132"/>
    <mergeCell ref="W132:X132"/>
    <mergeCell ref="AC132:AD132"/>
    <mergeCell ref="AE132:AF132"/>
    <mergeCell ref="AI132:AJ132"/>
    <mergeCell ref="AK132:AL132"/>
    <mergeCell ref="AM132:AN132"/>
    <mergeCell ref="AO132:AP132"/>
    <mergeCell ref="B133:C133"/>
    <mergeCell ref="I133:J133"/>
    <mergeCell ref="L133:M133"/>
    <mergeCell ref="Q133:R133"/>
    <mergeCell ref="S133:T133"/>
    <mergeCell ref="U133:V133"/>
    <mergeCell ref="W133:X133"/>
    <mergeCell ref="AC133:AD133"/>
    <mergeCell ref="AE133:AF133"/>
    <mergeCell ref="AI133:AJ133"/>
    <mergeCell ref="AK133:AL133"/>
    <mergeCell ref="AM133:AN133"/>
    <mergeCell ref="AO133:AP133"/>
    <mergeCell ref="B134:C134"/>
    <mergeCell ref="I134:J134"/>
    <mergeCell ref="L134:M134"/>
    <mergeCell ref="Q134:R134"/>
    <mergeCell ref="S134:T134"/>
    <mergeCell ref="U134:V134"/>
    <mergeCell ref="W134:X134"/>
    <mergeCell ref="AC134:AD134"/>
    <mergeCell ref="AE134:AF134"/>
    <mergeCell ref="AI134:AJ134"/>
    <mergeCell ref="AK134:AL134"/>
    <mergeCell ref="AM134:AN134"/>
    <mergeCell ref="AO134:AP134"/>
    <mergeCell ref="B135:C135"/>
    <mergeCell ref="I135:J135"/>
    <mergeCell ref="L135:M135"/>
    <mergeCell ref="Q135:R135"/>
    <mergeCell ref="S135:T135"/>
    <mergeCell ref="U135:V135"/>
    <mergeCell ref="W135:X135"/>
    <mergeCell ref="AC135:AD135"/>
    <mergeCell ref="AE135:AF135"/>
    <mergeCell ref="AI135:AJ135"/>
    <mergeCell ref="AK135:AL135"/>
    <mergeCell ref="AM135:AN135"/>
    <mergeCell ref="AO135:AP135"/>
    <mergeCell ref="B136:C136"/>
    <mergeCell ref="I136:J136"/>
    <mergeCell ref="L136:M136"/>
    <mergeCell ref="Q136:R136"/>
    <mergeCell ref="S136:T136"/>
    <mergeCell ref="U136:V136"/>
    <mergeCell ref="W136:X136"/>
    <mergeCell ref="AC136:AD136"/>
    <mergeCell ref="AE136:AF136"/>
    <mergeCell ref="AI136:AJ136"/>
    <mergeCell ref="AK136:AL136"/>
    <mergeCell ref="AM136:AN136"/>
    <mergeCell ref="AO136:AP136"/>
    <mergeCell ref="I139:J139"/>
    <mergeCell ref="L139:M139"/>
    <mergeCell ref="Q139:R139"/>
    <mergeCell ref="S139:T139"/>
    <mergeCell ref="U139:V139"/>
    <mergeCell ref="W139:X139"/>
    <mergeCell ref="AC139:AD139"/>
    <mergeCell ref="AE139:AG139"/>
    <mergeCell ref="AI139:AJ139"/>
    <mergeCell ref="AK139:AL139"/>
    <mergeCell ref="AM139:AN139"/>
    <mergeCell ref="AO139:AP139"/>
    <mergeCell ref="I140:J140"/>
    <mergeCell ref="L140:M140"/>
    <mergeCell ref="Q140:R140"/>
    <mergeCell ref="S140:T140"/>
    <mergeCell ref="U140:V140"/>
    <mergeCell ref="W140:X140"/>
    <mergeCell ref="AC140:AD140"/>
    <mergeCell ref="AE140:AG140"/>
    <mergeCell ref="AI140:AJ140"/>
    <mergeCell ref="AK140:AL140"/>
    <mergeCell ref="AM140:AN140"/>
    <mergeCell ref="AO140:AP140"/>
    <mergeCell ref="I141:J141"/>
    <mergeCell ref="L141:M141"/>
    <mergeCell ref="Q141:R141"/>
    <mergeCell ref="S141:T141"/>
    <mergeCell ref="U141:V141"/>
    <mergeCell ref="W141:X141"/>
    <mergeCell ref="AC141:AD141"/>
    <mergeCell ref="AE141:AG141"/>
    <mergeCell ref="AI141:AJ141"/>
    <mergeCell ref="AK141:AL141"/>
    <mergeCell ref="AM141:AN141"/>
    <mergeCell ref="AO141:AP141"/>
    <mergeCell ref="I142:J142"/>
    <mergeCell ref="L142:M142"/>
    <mergeCell ref="Q142:R142"/>
    <mergeCell ref="S142:T142"/>
    <mergeCell ref="U142:V142"/>
    <mergeCell ref="W142:X142"/>
    <mergeCell ref="AC142:AD142"/>
    <mergeCell ref="AE142:AG142"/>
    <mergeCell ref="AI142:AJ142"/>
    <mergeCell ref="AK142:AL142"/>
    <mergeCell ref="AM142:AN142"/>
    <mergeCell ref="AO142:AP142"/>
    <mergeCell ref="I143:J143"/>
    <mergeCell ref="L143:M143"/>
    <mergeCell ref="Q143:R143"/>
    <mergeCell ref="S143:T143"/>
    <mergeCell ref="U143:V143"/>
    <mergeCell ref="W143:X143"/>
    <mergeCell ref="AC143:AD143"/>
    <mergeCell ref="AE143:AG143"/>
    <mergeCell ref="AI143:AJ143"/>
    <mergeCell ref="AK143:AL143"/>
    <mergeCell ref="AM143:AN143"/>
    <mergeCell ref="AO143:AP143"/>
    <mergeCell ref="I144:J144"/>
    <mergeCell ref="L144:M144"/>
    <mergeCell ref="Q144:R144"/>
    <mergeCell ref="S144:T144"/>
    <mergeCell ref="U144:V144"/>
    <mergeCell ref="W144:X144"/>
    <mergeCell ref="AC144:AD144"/>
    <mergeCell ref="AE144:AG144"/>
    <mergeCell ref="AI144:AJ144"/>
    <mergeCell ref="AK144:AL144"/>
    <mergeCell ref="AM144:AN144"/>
    <mergeCell ref="AO144:AP144"/>
  </mergeCells>
  <printOptions headings="false" gridLines="false" gridLinesSet="true" horizontalCentered="true" verticalCentered="false"/>
  <pageMargins left="0.39375" right="0.39375" top="0.708333333333333" bottom="0" header="0.511811023622047" footer="0.511811023622047"/>
  <pageSetup paperSize="9" scale="75"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34" man="true" max="16383" min="0"/>
  </rowBreaks>
  <colBreaks count="4" manualBreakCount="4">
    <brk id="7" man="true" max="65535" min="0"/>
    <brk id="15" man="true" max="65535" min="0"/>
    <brk id="25" man="true" max="65535" min="0"/>
    <brk id="33" man="true" max="65535" min="0"/>
  </col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527"/>
  <sheetViews>
    <sheetView showFormulas="false" showGridLines="true" showRowColHeaders="true" showZeros="true" rightToLeft="false" tabSelected="false" showOutlineSymbols="true" defaultGridColor="true" view="normal" topLeftCell="A114" colorId="64" zoomScale="75" zoomScaleNormal="75" zoomScalePageLayoutView="75" workbookViewId="0">
      <selection pane="topLeft" activeCell="D194" activeCellId="0" sqref="D194"/>
    </sheetView>
  </sheetViews>
  <sheetFormatPr defaultColWidth="8.79296875" defaultRowHeight="17.25" zeroHeight="false" outlineLevelRow="0" outlineLevelCol="0"/>
  <cols>
    <col collapsed="false" customWidth="true" hidden="false" outlineLevel="0" max="1" min="1" style="607" width="13.49"/>
    <col collapsed="false" customWidth="true" hidden="false" outlineLevel="0" max="4" min="2" style="607" width="11.99"/>
    <col collapsed="false" customWidth="true" hidden="false" outlineLevel="0" max="5" min="5" style="607" width="13.39"/>
    <col collapsed="false" customWidth="true" hidden="false" outlineLevel="0" max="10" min="6" style="607" width="11.99"/>
    <col collapsed="false" customWidth="true" hidden="false" outlineLevel="0" max="11" min="11" style="607" width="2.19"/>
    <col collapsed="false" customWidth="true" hidden="false" outlineLevel="0" max="12" min="12" style="1362" width="11.49"/>
    <col collapsed="false" customWidth="true" hidden="false" outlineLevel="0" max="14" min="13" style="607" width="8.49"/>
    <col collapsed="false" customWidth="true" hidden="false" outlineLevel="0" max="16" min="15" style="607" width="12.89"/>
    <col collapsed="false" customWidth="true" hidden="false" outlineLevel="0" max="17" min="17" style="607" width="11.69"/>
  </cols>
  <sheetData>
    <row r="1" s="789" customFormat="true" ht="26.25" hidden="false" customHeight="true" outlineLevel="0" collapsed="false">
      <c r="A1" s="1363" t="n">
        <f aca="false">'☆掛負収入'!B2</f>
        <v>46113</v>
      </c>
      <c r="B1" s="1364" t="s">
        <v>801</v>
      </c>
      <c r="C1" s="1365" t="s">
        <v>802</v>
      </c>
      <c r="D1" s="1130" t="s">
        <v>803</v>
      </c>
      <c r="E1" s="1130" t="s">
        <v>804</v>
      </c>
      <c r="F1" s="1130" t="s">
        <v>805</v>
      </c>
      <c r="G1" s="1130" t="s">
        <v>806</v>
      </c>
      <c r="H1" s="1130" t="s">
        <v>807</v>
      </c>
      <c r="I1" s="1130" t="s">
        <v>808</v>
      </c>
      <c r="J1" s="1366"/>
      <c r="L1" s="1367"/>
    </row>
    <row r="2" s="1369" customFormat="true" ht="26.25" hidden="false" customHeight="true" outlineLevel="0" collapsed="false">
      <c r="A2" s="1368"/>
      <c r="C2" s="1365"/>
      <c r="D2" s="1370" t="n">
        <v>4.64</v>
      </c>
      <c r="E2" s="1371" t="n">
        <v>0.82</v>
      </c>
      <c r="F2" s="1371" t="n">
        <v>0.05</v>
      </c>
      <c r="G2" s="1372" t="n">
        <v>1.1</v>
      </c>
      <c r="H2" s="1372" t="n">
        <v>0.2</v>
      </c>
      <c r="I2" s="1372" t="n">
        <v>0.024</v>
      </c>
      <c r="J2" s="1373"/>
      <c r="L2" s="1374"/>
    </row>
    <row r="3" customFormat="false" ht="13.9" hidden="false" customHeight="true" outlineLevel="0" collapsed="false">
      <c r="C3" s="1366"/>
      <c r="D3" s="1375" t="s">
        <v>809</v>
      </c>
      <c r="E3" s="1366"/>
      <c r="F3" s="1375" t="s">
        <v>809</v>
      </c>
      <c r="G3" s="1376" t="s">
        <v>810</v>
      </c>
      <c r="H3" s="1376" t="s">
        <v>810</v>
      </c>
      <c r="I3" s="1376" t="s">
        <v>810</v>
      </c>
      <c r="J3" s="1366"/>
    </row>
    <row r="4" customFormat="false" ht="20.1" hidden="false" customHeight="true" outlineLevel="0" collapsed="false">
      <c r="A4" s="796" t="s">
        <v>811</v>
      </c>
      <c r="G4" s="1377"/>
      <c r="L4" s="1378" t="s">
        <v>812</v>
      </c>
    </row>
    <row r="5" s="1222" customFormat="true" ht="30" hidden="false" customHeight="true" outlineLevel="0" collapsed="false">
      <c r="A5" s="1379" t="s">
        <v>483</v>
      </c>
      <c r="B5" s="1380" t="s">
        <v>813</v>
      </c>
      <c r="C5" s="1381" t="s">
        <v>814</v>
      </c>
      <c r="D5" s="1382" t="s">
        <v>815</v>
      </c>
      <c r="E5" s="1382"/>
      <c r="F5" s="1383" t="s">
        <v>816</v>
      </c>
      <c r="G5" s="1382" t="s">
        <v>817</v>
      </c>
      <c r="H5" s="1382" t="s">
        <v>818</v>
      </c>
      <c r="I5" s="1382" t="s">
        <v>819</v>
      </c>
      <c r="J5" s="1384" t="s">
        <v>820</v>
      </c>
      <c r="L5" s="1385" t="s">
        <v>821</v>
      </c>
    </row>
    <row r="6" customFormat="false" ht="32.25" hidden="false" customHeight="true" outlineLevel="0" collapsed="false">
      <c r="A6" s="1386" t="s">
        <v>822</v>
      </c>
      <c r="B6" s="1387" t="n">
        <f aca="false">B10-B8</f>
        <v>347616215</v>
      </c>
      <c r="C6" s="1388" t="n">
        <f aca="false">ROUNDDOWN(B6*C7/B7,0)</f>
        <v>311621246</v>
      </c>
      <c r="D6" s="1389" t="n">
        <f aca="false">ROUNDDOWN(B6*D7/B7,0)</f>
        <v>15550898</v>
      </c>
      <c r="E6" s="1389" t="n">
        <f aca="false">ROUNDDOWN(D6*E7/D7,0)</f>
        <v>0</v>
      </c>
      <c r="F6" s="1390" t="s">
        <v>635</v>
      </c>
      <c r="G6" s="1391" t="n">
        <f aca="false">ROUNDDOWN(B6*G7/B7,0)</f>
        <v>3686635</v>
      </c>
      <c r="H6" s="1392" t="n">
        <f aca="false">ROUNDDOWN(B6*H7/B7,0)</f>
        <v>670297</v>
      </c>
      <c r="I6" s="1389" t="n">
        <f aca="false">ROUNDDOWN(B6*I7/B7,0)</f>
        <v>80435</v>
      </c>
      <c r="J6" s="1393" t="n">
        <f aca="false">B6-C6-D6-G6-H6-I6</f>
        <v>16006704</v>
      </c>
      <c r="L6" s="1394" t="n">
        <f aca="false">SUM(I6:J6)</f>
        <v>16087139</v>
      </c>
    </row>
    <row r="7" s="1406" customFormat="true" ht="15" hidden="false" customHeight="true" outlineLevel="0" collapsed="false">
      <c r="A7" s="1395" t="s">
        <v>823</v>
      </c>
      <c r="B7" s="1396" t="n">
        <f aca="false">SUM(C7:J7)</f>
        <v>51.86</v>
      </c>
      <c r="C7" s="1397" t="n">
        <v>46.49</v>
      </c>
      <c r="D7" s="1398" t="n">
        <v>2.32</v>
      </c>
      <c r="E7" s="1398"/>
      <c r="F7" s="1399" t="s">
        <v>635</v>
      </c>
      <c r="G7" s="1400" t="n">
        <v>0.55</v>
      </c>
      <c r="H7" s="1401" t="n">
        <v>0.1</v>
      </c>
      <c r="I7" s="1402" t="n">
        <v>0.012</v>
      </c>
      <c r="J7" s="1403" t="n">
        <v>2.388</v>
      </c>
      <c r="K7" s="1404" t="s">
        <v>824</v>
      </c>
      <c r="L7" s="1405" t="n">
        <f aca="false">SUM(I7:J7)</f>
        <v>2.4</v>
      </c>
    </row>
    <row r="8" customFormat="false" ht="32.25" hidden="false" customHeight="true" outlineLevel="0" collapsed="false">
      <c r="A8" s="1386" t="s">
        <v>825</v>
      </c>
      <c r="B8" s="1387" t="n">
        <f aca="false">'☆短期集計R7'!D25</f>
        <v>97893428</v>
      </c>
      <c r="C8" s="1388" t="n">
        <f aca="false">ROUNDDOWN(B8*C9/B9,0)</f>
        <v>87756757</v>
      </c>
      <c r="D8" s="1407" t="n">
        <f aca="false">ROUNDDOWN(B8*D9/B9,0)</f>
        <v>4379343</v>
      </c>
      <c r="E8" s="1407" t="n">
        <f aca="false">ROUNDDOWN(D8*E9/D9,0)</f>
        <v>0</v>
      </c>
      <c r="F8" s="1408" t="s">
        <v>635</v>
      </c>
      <c r="G8" s="1409" t="n">
        <f aca="false">ROUNDDOWN(B8*G9/B9,0)</f>
        <v>1038206</v>
      </c>
      <c r="H8" s="1410" t="n">
        <f aca="false">ROUNDDOWN(B8*H9/B9,0)</f>
        <v>188764</v>
      </c>
      <c r="I8" s="1411" t="n">
        <f aca="false">ROUNDDOWN(B8*I9/B9,0)</f>
        <v>22651</v>
      </c>
      <c r="J8" s="1412" t="n">
        <f aca="false">B8-C8-D8-G8-H8-I8</f>
        <v>4507707</v>
      </c>
      <c r="K8" s="1404"/>
      <c r="L8" s="1413" t="n">
        <f aca="false">SUM(I8:J8)</f>
        <v>4530358</v>
      </c>
    </row>
    <row r="9" s="1406" customFormat="true" ht="15" hidden="false" customHeight="true" outlineLevel="0" collapsed="false">
      <c r="A9" s="1414" t="s">
        <v>823</v>
      </c>
      <c r="B9" s="1415" t="n">
        <f aca="false">SUM(C9:J9)</f>
        <v>103.72</v>
      </c>
      <c r="C9" s="1416" t="n">
        <f aca="false">C7*2</f>
        <v>92.98</v>
      </c>
      <c r="D9" s="1417" t="n">
        <f aca="false">D7*2</f>
        <v>4.64</v>
      </c>
      <c r="E9" s="1417"/>
      <c r="F9" s="1418" t="s">
        <v>635</v>
      </c>
      <c r="G9" s="1419" t="n">
        <f aca="false">G7*2</f>
        <v>1.1</v>
      </c>
      <c r="H9" s="1420" t="n">
        <f aca="false">H7*2</f>
        <v>0.2</v>
      </c>
      <c r="I9" s="1421" t="n">
        <f aca="false">I7*2</f>
        <v>0.024</v>
      </c>
      <c r="J9" s="1422" t="n">
        <f aca="false">J7*2</f>
        <v>4.776</v>
      </c>
      <c r="L9" s="1423" t="n">
        <f aca="false">L7*2</f>
        <v>4.8</v>
      </c>
    </row>
    <row r="10" customFormat="false" ht="30" hidden="false" customHeight="true" outlineLevel="0" collapsed="false">
      <c r="A10" s="1424" t="s">
        <v>763</v>
      </c>
      <c r="B10" s="1425" t="n">
        <f aca="false">'☆短期集計R7'!B25+'☆短期集計R7'!D25</f>
        <v>445509643</v>
      </c>
      <c r="C10" s="1426" t="n">
        <f aca="false">C6+C8</f>
        <v>399378003</v>
      </c>
      <c r="D10" s="1427" t="n">
        <f aca="false">D6+D8</f>
        <v>19930241</v>
      </c>
      <c r="E10" s="1427"/>
      <c r="F10" s="1428" t="s">
        <v>635</v>
      </c>
      <c r="G10" s="1427" t="n">
        <f aca="false">G6+G8</f>
        <v>4724841</v>
      </c>
      <c r="H10" s="1426" t="n">
        <f aca="false">H6+H8</f>
        <v>859061</v>
      </c>
      <c r="I10" s="1427" t="n">
        <f aca="false">I6+I8</f>
        <v>103086</v>
      </c>
      <c r="J10" s="1429" t="n">
        <f aca="false">J6+J8</f>
        <v>20514411</v>
      </c>
      <c r="L10" s="1430" t="n">
        <f aca="false">L6+L8</f>
        <v>20617497</v>
      </c>
    </row>
    <row r="11" s="1431" customFormat="true" ht="20.1" hidden="false" customHeight="true" outlineLevel="0" collapsed="false">
      <c r="C11" s="1432" t="s">
        <v>826</v>
      </c>
      <c r="D11" s="1433" t="s">
        <v>827</v>
      </c>
      <c r="E11" s="1433"/>
      <c r="F11" s="1432" t="s">
        <v>828</v>
      </c>
      <c r="G11" s="1432" t="s">
        <v>829</v>
      </c>
      <c r="H11" s="1434" t="s">
        <v>830</v>
      </c>
      <c r="I11" s="1434" t="s">
        <v>831</v>
      </c>
      <c r="J11" s="1434" t="s">
        <v>832</v>
      </c>
      <c r="L11" s="1435"/>
    </row>
    <row r="12" s="1089" customFormat="true" ht="13.5" hidden="false" customHeight="true" outlineLevel="0" collapsed="false">
      <c r="C12" s="1436"/>
      <c r="D12" s="1437"/>
      <c r="E12" s="1437"/>
      <c r="F12" s="1436"/>
      <c r="G12" s="1437"/>
      <c r="H12" s="1437"/>
      <c r="I12" s="1437"/>
      <c r="J12" s="1437"/>
      <c r="L12" s="1438"/>
    </row>
    <row r="13" customFormat="false" ht="20.1" hidden="false" customHeight="true" outlineLevel="0" collapsed="false">
      <c r="A13" s="796" t="s">
        <v>238</v>
      </c>
      <c r="B13" s="1089"/>
      <c r="C13" s="1089"/>
      <c r="D13" s="1089"/>
      <c r="E13" s="1089"/>
      <c r="F13" s="1089"/>
      <c r="G13" s="1377"/>
      <c r="H13" s="1089"/>
      <c r="I13" s="1089"/>
      <c r="J13" s="1089"/>
      <c r="L13" s="1378" t="s">
        <v>812</v>
      </c>
    </row>
    <row r="14" s="945" customFormat="true" ht="30" hidden="false" customHeight="true" outlineLevel="0" collapsed="false">
      <c r="A14" s="1379" t="s">
        <v>483</v>
      </c>
      <c r="B14" s="1380" t="s">
        <v>813</v>
      </c>
      <c r="C14" s="1381" t="s">
        <v>814</v>
      </c>
      <c r="D14" s="1439" t="s">
        <v>815</v>
      </c>
      <c r="E14" s="1440" t="s">
        <v>833</v>
      </c>
      <c r="F14" s="1441" t="s">
        <v>834</v>
      </c>
      <c r="G14" s="1442" t="s">
        <v>817</v>
      </c>
      <c r="H14" s="1382" t="s">
        <v>818</v>
      </c>
      <c r="I14" s="1382" t="s">
        <v>819</v>
      </c>
      <c r="J14" s="1384" t="s">
        <v>820</v>
      </c>
      <c r="L14" s="1385" t="s">
        <v>821</v>
      </c>
    </row>
    <row r="15" customFormat="false" ht="32.25" hidden="false" customHeight="true" outlineLevel="0" collapsed="false">
      <c r="A15" s="1443" t="s">
        <v>835</v>
      </c>
      <c r="B15" s="1387" t="n">
        <f aca="false">B21-B17-B19</f>
        <v>258188920</v>
      </c>
      <c r="C15" s="1388" t="n">
        <f aca="false">ROUNDDOWN(B15*C16/B16,0)</f>
        <v>227635177</v>
      </c>
      <c r="D15" s="1444" t="n">
        <f aca="false">ROUNDDOWN(B15*D16/B16,0)</f>
        <v>11359724</v>
      </c>
      <c r="E15" s="1445" t="n">
        <f aca="false">ROUNDDOWN(B15*E16/B16,0)</f>
        <v>4015075</v>
      </c>
      <c r="F15" s="1446" t="n">
        <f aca="false">ROUNDDOWN(B15*F16/B16,0)</f>
        <v>244821</v>
      </c>
      <c r="G15" s="1446" t="n">
        <f aca="false">ROUNDDOWN(B15*G16/B16,0)</f>
        <v>2693038</v>
      </c>
      <c r="H15" s="1391" t="n">
        <f aca="false">ROUNDDOWN(B15*H16/B16,0)</f>
        <v>489643</v>
      </c>
      <c r="I15" s="1391" t="n">
        <f aca="false">ROUNDDOWN(B15*I16/B16,0)</f>
        <v>58757</v>
      </c>
      <c r="J15" s="1447" t="n">
        <f aca="false">B15-C15-D15-E15-F15-G15-H15-I15</f>
        <v>11692685</v>
      </c>
      <c r="L15" s="1448" t="n">
        <f aca="false">SUM(I15:J15)</f>
        <v>11751442</v>
      </c>
    </row>
    <row r="16" s="1406" customFormat="true" ht="15" hidden="false" customHeight="true" outlineLevel="0" collapsed="false">
      <c r="A16" s="1395" t="s">
        <v>823</v>
      </c>
      <c r="B16" s="1449" t="n">
        <f aca="false">SUM(C16:J16)</f>
        <v>52.73</v>
      </c>
      <c r="C16" s="1450" t="n">
        <f aca="false">C7</f>
        <v>46.49</v>
      </c>
      <c r="D16" s="1451" t="n">
        <f aca="false">D7</f>
        <v>2.32</v>
      </c>
      <c r="E16" s="1452" t="n">
        <f aca="false">E2</f>
        <v>0.82</v>
      </c>
      <c r="F16" s="1453" t="n">
        <f aca="false">F2</f>
        <v>0.05</v>
      </c>
      <c r="G16" s="1453" t="n">
        <f aca="false">G7</f>
        <v>0.55</v>
      </c>
      <c r="H16" s="1454" t="n">
        <f aca="false">H7</f>
        <v>0.1</v>
      </c>
      <c r="I16" s="1455" t="n">
        <f aca="false">I7</f>
        <v>0.012</v>
      </c>
      <c r="J16" s="1456" t="n">
        <f aca="false">J7</f>
        <v>2.388</v>
      </c>
      <c r="L16" s="1457" t="n">
        <f aca="false">SUM(I16:J16)</f>
        <v>2.4</v>
      </c>
    </row>
    <row r="17" customFormat="false" ht="32.25" hidden="false" customHeight="true" outlineLevel="0" collapsed="false">
      <c r="A17" s="1386" t="s">
        <v>836</v>
      </c>
      <c r="B17" s="1387" t="n">
        <f aca="false">'☆掛負収入'!I46+'☆掛負収入'!I47</f>
        <v>93354895</v>
      </c>
      <c r="C17" s="1388" t="n">
        <f aca="false">ROUNDDOWN((B17-E17)/B18*C18,0)</f>
        <v>83598473</v>
      </c>
      <c r="D17" s="1458" t="n">
        <f aca="false">ROUNDDOWN((B17-E17)/B18*D18,0)</f>
        <v>4171831</v>
      </c>
      <c r="E17" s="1459" t="n">
        <f aca="false">ROUNDDOWN(B28*E2/1000,0)</f>
        <v>10159</v>
      </c>
      <c r="F17" s="1388" t="n">
        <f aca="false">ROUNDDOWN((B17-E17)/B18*F18,0)</f>
        <v>89910</v>
      </c>
      <c r="G17" s="1388" t="n">
        <f aca="false">ROUNDDOWN((B17-E17)/B18*G18,0)</f>
        <v>989011</v>
      </c>
      <c r="H17" s="1409" t="n">
        <f aca="false">ROUNDDOWN((B17-E17)/B18*H18,0)</f>
        <v>179820</v>
      </c>
      <c r="I17" s="1409" t="n">
        <f aca="false">ROUNDDOWN((B17-E17)/B18*I18,0)</f>
        <v>21578</v>
      </c>
      <c r="J17" s="1460" t="n">
        <f aca="false">B17-C17-D17-E17-F17-G17-H17-I17</f>
        <v>4294113</v>
      </c>
      <c r="K17" s="1404" t="s">
        <v>824</v>
      </c>
      <c r="L17" s="1461" t="n">
        <f aca="false">SUM(I17:J17)</f>
        <v>4315691</v>
      </c>
    </row>
    <row r="18" s="1406" customFormat="true" ht="15" hidden="false" customHeight="true" outlineLevel="0" collapsed="false">
      <c r="A18" s="1462" t="s">
        <v>823</v>
      </c>
      <c r="B18" s="1463" t="n">
        <f aca="false">SUM(C18:J18)</f>
        <v>51.91</v>
      </c>
      <c r="C18" s="1464" t="n">
        <f aca="false">C16</f>
        <v>46.49</v>
      </c>
      <c r="D18" s="1465" t="n">
        <f aca="false">D16</f>
        <v>2.32</v>
      </c>
      <c r="E18" s="1466" t="s">
        <v>837</v>
      </c>
      <c r="F18" s="1467" t="n">
        <f aca="false">F16</f>
        <v>0.05</v>
      </c>
      <c r="G18" s="1467" t="n">
        <f aca="false">G16</f>
        <v>0.55</v>
      </c>
      <c r="H18" s="1468" t="n">
        <f aca="false">H16</f>
        <v>0.1</v>
      </c>
      <c r="I18" s="1469" t="n">
        <f aca="false">I16</f>
        <v>0.012</v>
      </c>
      <c r="J18" s="1470" t="n">
        <f aca="false">J16</f>
        <v>2.388</v>
      </c>
      <c r="K18" s="1404"/>
      <c r="L18" s="1471" t="n">
        <f aca="false">SUM(I18:J18)</f>
        <v>2.4</v>
      </c>
    </row>
    <row r="19" customFormat="false" ht="32.25" hidden="false" customHeight="true" outlineLevel="0" collapsed="false">
      <c r="A19" s="1472" t="s">
        <v>838</v>
      </c>
      <c r="B19" s="1387" t="n">
        <f aca="false">'☆掛負収入'!I63+E19</f>
        <v>48019</v>
      </c>
      <c r="C19" s="1388" t="n">
        <f aca="false">ROUNDDOWN((B19-E19)/B20*C20,0)</f>
        <v>42770</v>
      </c>
      <c r="D19" s="1458" t="n">
        <f aca="false">ROUNDDOWN((B19-E19)/B20*D20,0)</f>
        <v>2134</v>
      </c>
      <c r="E19" s="1473" t="n">
        <f aca="false">'☆労組公的負担（短期）'!F6</f>
        <v>262</v>
      </c>
      <c r="F19" s="1388" t="n">
        <f aca="false">ROUNDDOWN((B19-E19)/B20*F20,0)</f>
        <v>45</v>
      </c>
      <c r="G19" s="1388" t="n">
        <f aca="false">ROUNDDOWN((B19-E19)/B20*G20,0)</f>
        <v>505</v>
      </c>
      <c r="H19" s="1409" t="n">
        <f aca="false">H21-H15-H17</f>
        <v>93</v>
      </c>
      <c r="I19" s="1409" t="n">
        <f aca="false">I21-I15-I17</f>
        <v>13</v>
      </c>
      <c r="J19" s="1460" t="n">
        <f aca="false">B19-C19-D19-E19-F19-G19-H19-I19</f>
        <v>2197</v>
      </c>
      <c r="L19" s="1461" t="n">
        <f aca="false">SUM(I19:J19)</f>
        <v>2210</v>
      </c>
    </row>
    <row r="20" s="1406" customFormat="true" ht="15" hidden="false" customHeight="true" outlineLevel="0" collapsed="false">
      <c r="A20" s="1414" t="s">
        <v>823</v>
      </c>
      <c r="B20" s="1474" t="n">
        <f aca="false">SUM(C20:J20)</f>
        <v>51.91</v>
      </c>
      <c r="C20" s="1464" t="n">
        <f aca="false">C16</f>
        <v>46.49</v>
      </c>
      <c r="D20" s="1465" t="n">
        <f aca="false">D16</f>
        <v>2.32</v>
      </c>
      <c r="E20" s="1475" t="s">
        <v>839</v>
      </c>
      <c r="F20" s="1476" t="n">
        <f aca="false">F16</f>
        <v>0.05</v>
      </c>
      <c r="G20" s="1476" t="n">
        <f aca="false">G16</f>
        <v>0.55</v>
      </c>
      <c r="H20" s="1477" t="n">
        <f aca="false">H16</f>
        <v>0.1</v>
      </c>
      <c r="I20" s="1478" t="n">
        <f aca="false">I16</f>
        <v>0.012</v>
      </c>
      <c r="J20" s="1479" t="n">
        <f aca="false">J16</f>
        <v>2.388</v>
      </c>
      <c r="L20" s="1480" t="n">
        <f aca="false">SUM(I20:J20)</f>
        <v>2.4</v>
      </c>
    </row>
    <row r="21" customFormat="false" ht="30" hidden="false" customHeight="true" outlineLevel="0" collapsed="false">
      <c r="A21" s="1424" t="s">
        <v>763</v>
      </c>
      <c r="B21" s="1481" t="n">
        <f aca="false">'☆掛負収入'!I65</f>
        <v>351591834</v>
      </c>
      <c r="C21" s="1482" t="n">
        <f aca="false">C15+C17+C19</f>
        <v>311276420</v>
      </c>
      <c r="D21" s="1483" t="n">
        <f aca="false">D15+D17+D19</f>
        <v>15533689</v>
      </c>
      <c r="E21" s="1484" t="n">
        <f aca="false">E15+E17+E19</f>
        <v>4025496</v>
      </c>
      <c r="F21" s="1485" t="n">
        <f aca="false">F15+F17+F19</f>
        <v>334776</v>
      </c>
      <c r="G21" s="1485" t="n">
        <f aca="false">G15+G17+G19</f>
        <v>3682554</v>
      </c>
      <c r="H21" s="1485" t="n">
        <f aca="false">ROUNDDOWN(B26*H2/1000,0)-H10</f>
        <v>669556</v>
      </c>
      <c r="I21" s="1485" t="n">
        <f aca="false">ROUNDDOWN(B26*I2/1000,0)-I10</f>
        <v>80348</v>
      </c>
      <c r="J21" s="1486" t="n">
        <f aca="false">J15+J17+J19</f>
        <v>15988995</v>
      </c>
      <c r="K21" s="1487"/>
      <c r="L21" s="1488" t="n">
        <f aca="false">SUM(I21:J21)</f>
        <v>16069343</v>
      </c>
    </row>
    <row r="22" s="1432" customFormat="true" ht="20.1" hidden="false" customHeight="true" outlineLevel="0" collapsed="false">
      <c r="C22" s="1432" t="s">
        <v>826</v>
      </c>
      <c r="D22" s="1432" t="s">
        <v>827</v>
      </c>
      <c r="E22" s="1432" t="s">
        <v>827</v>
      </c>
      <c r="F22" s="1432" t="s">
        <v>828</v>
      </c>
      <c r="G22" s="1432" t="s">
        <v>829</v>
      </c>
      <c r="H22" s="1432" t="s">
        <v>830</v>
      </c>
      <c r="I22" s="1432" t="s">
        <v>831</v>
      </c>
      <c r="J22" s="1432" t="s">
        <v>832</v>
      </c>
      <c r="L22" s="1489"/>
    </row>
    <row r="23" s="789" customFormat="true" ht="18.75" hidden="false" customHeight="true" outlineLevel="0" collapsed="false">
      <c r="A23" s="1490" t="s">
        <v>840</v>
      </c>
      <c r="B23" s="1491" t="n">
        <f aca="false">B10+B21</f>
        <v>797101477</v>
      </c>
      <c r="C23" s="1492"/>
      <c r="D23" s="1492"/>
      <c r="E23" s="1492"/>
      <c r="H23" s="1493"/>
      <c r="K23" s="1367"/>
    </row>
    <row r="24" s="789" customFormat="true" ht="18.75" hidden="false" customHeight="true" outlineLevel="0" collapsed="false">
      <c r="A24" s="1494"/>
      <c r="B24" s="1495"/>
      <c r="C24" s="1496" t="s">
        <v>841</v>
      </c>
      <c r="D24" s="1497"/>
      <c r="E24" s="1498"/>
      <c r="F24" s="1499" t="s">
        <v>842</v>
      </c>
      <c r="G24" s="1498"/>
      <c r="H24" s="1500" t="n">
        <f aca="false">G10+G21</f>
        <v>8407395</v>
      </c>
      <c r="I24" s="1501" t="s">
        <v>544</v>
      </c>
      <c r="K24" s="1367"/>
    </row>
    <row r="25" s="789" customFormat="true" ht="18.75" hidden="false" customHeight="true" outlineLevel="0" collapsed="false">
      <c r="A25" s="1502" t="s">
        <v>843</v>
      </c>
      <c r="B25" s="1503"/>
      <c r="C25" s="1504"/>
      <c r="D25" s="1505"/>
      <c r="E25" s="1500" t="n">
        <f aca="false">C10+C21</f>
        <v>710654423</v>
      </c>
      <c r="F25" s="1506" t="str">
        <f aca="false">IF(H24='☆拠出金明細R7'!V11,"　","明細と不一致!")</f>
        <v>　</v>
      </c>
      <c r="G25" s="1507" t="n">
        <f aca="false">B26</f>
        <v>7643087000</v>
      </c>
      <c r="H25" s="1508" t="n">
        <f aca="false">G2</f>
        <v>1.1</v>
      </c>
      <c r="I25" s="1500"/>
      <c r="K25" s="1367"/>
    </row>
    <row r="26" s="789" customFormat="true" ht="18.75" hidden="false" customHeight="true" outlineLevel="0" collapsed="false">
      <c r="A26" s="1509" t="s">
        <v>690</v>
      </c>
      <c r="B26" s="1510" t="n">
        <f aca="false">ROUNDUP(H24/G2*1000,-3)</f>
        <v>7643087000</v>
      </c>
      <c r="C26" s="1496" t="s">
        <v>844</v>
      </c>
      <c r="D26" s="1497"/>
      <c r="E26" s="1511"/>
      <c r="F26" s="1499" t="s">
        <v>845</v>
      </c>
      <c r="G26" s="1498"/>
      <c r="H26" s="1500" t="n">
        <f aca="false">H10+H21</f>
        <v>1528617</v>
      </c>
      <c r="I26" s="1094" t="s">
        <v>545</v>
      </c>
      <c r="K26" s="1367"/>
    </row>
    <row r="27" s="1406" customFormat="true" ht="18.75" hidden="false" customHeight="true" outlineLevel="0" collapsed="false">
      <c r="A27" s="1509"/>
      <c r="B27" s="1510"/>
      <c r="C27" s="1512"/>
      <c r="D27" s="1505"/>
      <c r="E27" s="1500" t="n">
        <f aca="false">D10+D21+E21</f>
        <v>39489426</v>
      </c>
      <c r="F27" s="1506" t="str">
        <f aca="false">IF(H26='☆拠出金明細R7'!AD8,"　","明細と不一致!")</f>
        <v>　</v>
      </c>
      <c r="G27" s="1507" t="n">
        <f aca="false">B26</f>
        <v>7643087000</v>
      </c>
      <c r="H27" s="1508" t="n">
        <f aca="false">H2</f>
        <v>0.2</v>
      </c>
      <c r="I27" s="1094"/>
      <c r="K27" s="1513"/>
    </row>
    <row r="28" customFormat="false" ht="18.75" hidden="false" customHeight="true" outlineLevel="0" collapsed="false">
      <c r="A28" s="1514" t="s">
        <v>846</v>
      </c>
      <c r="B28" s="1515" t="n">
        <v>12390000</v>
      </c>
      <c r="C28" s="1516" t="s">
        <v>847</v>
      </c>
      <c r="D28" s="1517"/>
      <c r="E28" s="1498"/>
      <c r="F28" s="1518" t="s">
        <v>848</v>
      </c>
      <c r="G28" s="1497"/>
      <c r="H28" s="1500" t="n">
        <f aca="false">I10+I21</f>
        <v>183434</v>
      </c>
      <c r="I28" s="1094" t="s">
        <v>546</v>
      </c>
      <c r="K28" s="1362"/>
      <c r="L28" s="607"/>
    </row>
    <row r="29" customFormat="false" ht="18.75" hidden="false" customHeight="true" outlineLevel="0" collapsed="false">
      <c r="A29" s="1514"/>
      <c r="B29" s="1515"/>
      <c r="C29" s="1519"/>
      <c r="D29" s="1506" t="str">
        <f aca="false">IF(E29='☆拠出金明細R7'!K11,"　","明細と不一致!")</f>
        <v>　</v>
      </c>
      <c r="E29" s="1500" t="n">
        <f aca="false">F21</f>
        <v>334776</v>
      </c>
      <c r="F29" s="1506" t="str">
        <f aca="false">IF(H28='☆拠出金明細R7'!AN11,"　","明細と不一致!")</f>
        <v>　</v>
      </c>
      <c r="G29" s="1507" t="n">
        <f aca="false">B26</f>
        <v>7643087000</v>
      </c>
      <c r="H29" s="1520" t="n">
        <f aca="false">I2</f>
        <v>0.024</v>
      </c>
      <c r="K29" s="1362"/>
      <c r="L29" s="607"/>
    </row>
    <row r="30" customFormat="false" ht="18.75" hidden="false" customHeight="true" outlineLevel="0" collapsed="false">
      <c r="A30" s="1278"/>
      <c r="B30" s="1521"/>
      <c r="C30" s="1516" t="s">
        <v>849</v>
      </c>
      <c r="D30" s="1518"/>
      <c r="E30" s="1522"/>
      <c r="F30" s="1523" t="s">
        <v>850</v>
      </c>
      <c r="G30" s="1523"/>
      <c r="H30" s="1523"/>
      <c r="K30" s="1362"/>
      <c r="L30" s="607"/>
    </row>
    <row r="31" customFormat="false" ht="18.75" hidden="false" customHeight="true" outlineLevel="0" collapsed="false">
      <c r="A31" s="1278"/>
      <c r="B31" s="1521"/>
      <c r="C31" s="1524"/>
      <c r="D31" s="1511"/>
      <c r="E31" s="1500" t="n">
        <f aca="false">J10+J21</f>
        <v>36503406</v>
      </c>
      <c r="F31" s="1523"/>
      <c r="G31" s="1523"/>
      <c r="H31" s="1523"/>
      <c r="I31" s="1525"/>
      <c r="K31" s="1362"/>
      <c r="L31" s="607"/>
    </row>
    <row r="32" s="789" customFormat="true" ht="26.25" hidden="false" customHeight="true" outlineLevel="0" collapsed="false">
      <c r="A32" s="1363" t="n">
        <f aca="false">EOMONTH(A1,1)</f>
        <v>46173</v>
      </c>
      <c r="B32" s="1364" t="s">
        <v>801</v>
      </c>
      <c r="C32" s="1365" t="s">
        <v>802</v>
      </c>
      <c r="D32" s="1130" t="s">
        <v>803</v>
      </c>
      <c r="E32" s="1130" t="s">
        <v>804</v>
      </c>
      <c r="F32" s="1130" t="s">
        <v>805</v>
      </c>
      <c r="G32" s="1130" t="s">
        <v>806</v>
      </c>
      <c r="H32" s="1130" t="s">
        <v>807</v>
      </c>
      <c r="I32" s="1130" t="s">
        <v>808</v>
      </c>
      <c r="J32" s="1366"/>
      <c r="L32" s="1367"/>
    </row>
    <row r="33" s="1369" customFormat="true" ht="26.25" hidden="false" customHeight="true" outlineLevel="0" collapsed="false">
      <c r="A33" s="1368"/>
      <c r="C33" s="1365"/>
      <c r="D33" s="1526" t="n">
        <f aca="false">$D$2</f>
        <v>4.64</v>
      </c>
      <c r="E33" s="1527" t="n">
        <f aca="false">$E$2</f>
        <v>0.82</v>
      </c>
      <c r="F33" s="1527" t="n">
        <f aca="false">$F$2</f>
        <v>0.05</v>
      </c>
      <c r="G33" s="1527" t="n">
        <f aca="false">$G$2</f>
        <v>1.1</v>
      </c>
      <c r="H33" s="1527" t="n">
        <f aca="false">$H$2</f>
        <v>0.2</v>
      </c>
      <c r="I33" s="1527" t="n">
        <f aca="false">$I$2</f>
        <v>0.024</v>
      </c>
      <c r="J33" s="1373"/>
      <c r="L33" s="1374"/>
    </row>
    <row r="34" customFormat="false" ht="13.9" hidden="false" customHeight="true" outlineLevel="0" collapsed="false">
      <c r="C34" s="1366"/>
      <c r="D34" s="1366"/>
      <c r="E34" s="1366"/>
      <c r="F34" s="1528"/>
      <c r="G34" s="1366"/>
      <c r="H34" s="1366"/>
      <c r="I34" s="1366"/>
      <c r="J34" s="1366"/>
    </row>
    <row r="35" customFormat="false" ht="20.1" hidden="false" customHeight="true" outlineLevel="0" collapsed="false">
      <c r="A35" s="796" t="s">
        <v>811</v>
      </c>
      <c r="G35" s="1377"/>
      <c r="L35" s="1378" t="s">
        <v>812</v>
      </c>
    </row>
    <row r="36" s="1222" customFormat="true" ht="30" hidden="false" customHeight="true" outlineLevel="0" collapsed="false">
      <c r="A36" s="1379" t="s">
        <v>483</v>
      </c>
      <c r="B36" s="1380" t="s">
        <v>813</v>
      </c>
      <c r="C36" s="1381" t="s">
        <v>814</v>
      </c>
      <c r="D36" s="1382" t="s">
        <v>815</v>
      </c>
      <c r="E36" s="1382"/>
      <c r="F36" s="1383" t="s">
        <v>816</v>
      </c>
      <c r="G36" s="1382" t="s">
        <v>817</v>
      </c>
      <c r="H36" s="1382" t="s">
        <v>818</v>
      </c>
      <c r="I36" s="1382" t="s">
        <v>819</v>
      </c>
      <c r="J36" s="1384" t="s">
        <v>820</v>
      </c>
      <c r="L36" s="1385" t="s">
        <v>821</v>
      </c>
    </row>
    <row r="37" customFormat="false" ht="32.25" hidden="false" customHeight="true" outlineLevel="0" collapsed="false">
      <c r="A37" s="1386" t="s">
        <v>822</v>
      </c>
      <c r="B37" s="1387" t="n">
        <f aca="false">B41-B39</f>
        <v>350207199</v>
      </c>
      <c r="C37" s="1388" t="n">
        <f aca="false">ROUNDDOWN(B37*C38/B38,0)</f>
        <v>313943939</v>
      </c>
      <c r="D37" s="1389" t="n">
        <f aca="false">ROUNDDOWN(B37*D38/B38,0)</f>
        <v>15666808</v>
      </c>
      <c r="E37" s="1389" t="n">
        <f aca="false">ROUNDDOWN(D37*E38/D38,0)</f>
        <v>0</v>
      </c>
      <c r="F37" s="1390" t="s">
        <v>635</v>
      </c>
      <c r="G37" s="1391" t="n">
        <f aca="false">ROUNDDOWN(B37*G38/B38,0)</f>
        <v>3714114</v>
      </c>
      <c r="H37" s="1392" t="n">
        <f aca="false">ROUNDDOWN(B37*H38/B38,0)</f>
        <v>675293</v>
      </c>
      <c r="I37" s="1389" t="n">
        <f aca="false">ROUNDDOWN(B37*I38/B38,0)</f>
        <v>81035</v>
      </c>
      <c r="J37" s="1393" t="n">
        <f aca="false">B37-C37-D37-G37-H37-I37</f>
        <v>16126010</v>
      </c>
      <c r="L37" s="1394" t="n">
        <f aca="false">SUM(I37:J37)</f>
        <v>16207045</v>
      </c>
    </row>
    <row r="38" s="1536" customFormat="true" ht="15" hidden="false" customHeight="true" outlineLevel="0" collapsed="false">
      <c r="A38" s="1529" t="s">
        <v>823</v>
      </c>
      <c r="B38" s="1530" t="n">
        <f aca="false">SUM(C38:J38)</f>
        <v>51.86</v>
      </c>
      <c r="C38" s="1531" t="n">
        <f aca="false">$C$7</f>
        <v>46.49</v>
      </c>
      <c r="D38" s="1532" t="n">
        <f aca="false">$D$7</f>
        <v>2.32</v>
      </c>
      <c r="E38" s="1532"/>
      <c r="F38" s="1533" t="s">
        <v>635</v>
      </c>
      <c r="G38" s="1534" t="n">
        <f aca="false">$G$7</f>
        <v>0.55</v>
      </c>
      <c r="H38" s="1467" t="n">
        <f aca="false">$H$7</f>
        <v>0.1</v>
      </c>
      <c r="I38" s="1468" t="n">
        <f aca="false">$I$7</f>
        <v>0.012</v>
      </c>
      <c r="J38" s="1535" t="n">
        <f aca="false">$J$7</f>
        <v>2.388</v>
      </c>
      <c r="K38" s="1404" t="s">
        <v>824</v>
      </c>
      <c r="L38" s="1405" t="n">
        <f aca="false">SUM(I38:J38)</f>
        <v>2.4</v>
      </c>
    </row>
    <row r="39" customFormat="false" ht="32.25" hidden="false" customHeight="true" outlineLevel="0" collapsed="false">
      <c r="A39" s="1386" t="s">
        <v>851</v>
      </c>
      <c r="B39" s="1387" t="n">
        <f aca="false">'☆短期集計R7'!D26</f>
        <v>2192748</v>
      </c>
      <c r="C39" s="1388" t="n">
        <f aca="false">ROUNDDOWN(B39*C40/B40,0)</f>
        <v>1965693</v>
      </c>
      <c r="D39" s="1407" t="n">
        <f aca="false">ROUNDDOWN(B39*D40/B40,0)</f>
        <v>98094</v>
      </c>
      <c r="E39" s="1407" t="n">
        <f aca="false">ROUNDDOWN(D39*E40/D40,0)</f>
        <v>0</v>
      </c>
      <c r="F39" s="1408" t="s">
        <v>635</v>
      </c>
      <c r="G39" s="1409" t="n">
        <f aca="false">ROUNDDOWN(B39*G40/B40,0)</f>
        <v>23255</v>
      </c>
      <c r="H39" s="1410" t="n">
        <f aca="false">ROUNDDOWN(B39*H40/B40,0)</f>
        <v>4228</v>
      </c>
      <c r="I39" s="1411" t="n">
        <f aca="false">ROUNDDOWN(B39*I40/B40,0)</f>
        <v>507</v>
      </c>
      <c r="J39" s="1412" t="n">
        <f aca="false">B39-C39-D39-G39-H39-I39</f>
        <v>100971</v>
      </c>
      <c r="K39" s="1404"/>
      <c r="L39" s="1413" t="n">
        <f aca="false">SUM(I39:J39)</f>
        <v>101478</v>
      </c>
    </row>
    <row r="40" s="1406" customFormat="true" ht="15" hidden="false" customHeight="true" outlineLevel="0" collapsed="false">
      <c r="A40" s="1537" t="s">
        <v>823</v>
      </c>
      <c r="B40" s="1474" t="n">
        <f aca="false">SUM(C40:J40)</f>
        <v>103.72</v>
      </c>
      <c r="C40" s="1538" t="n">
        <f aca="false">C38*2</f>
        <v>92.98</v>
      </c>
      <c r="D40" s="1539" t="n">
        <f aca="false">D38*2</f>
        <v>4.64</v>
      </c>
      <c r="E40" s="1539"/>
      <c r="F40" s="1540" t="s">
        <v>635</v>
      </c>
      <c r="G40" s="1541" t="n">
        <f aca="false">G38*2</f>
        <v>1.1</v>
      </c>
      <c r="H40" s="1542" t="n">
        <f aca="false">H38*2</f>
        <v>0.2</v>
      </c>
      <c r="I40" s="1543" t="n">
        <f aca="false">I38*2</f>
        <v>0.024</v>
      </c>
      <c r="J40" s="1544" t="n">
        <f aca="false">J38*2</f>
        <v>4.776</v>
      </c>
      <c r="L40" s="1423" t="n">
        <f aca="false">L38*2</f>
        <v>4.8</v>
      </c>
    </row>
    <row r="41" customFormat="false" ht="30" hidden="false" customHeight="true" outlineLevel="0" collapsed="false">
      <c r="A41" s="1424" t="s">
        <v>763</v>
      </c>
      <c r="B41" s="1425" t="n">
        <f aca="false">'☆短期集計R7'!B26+'☆短期集計R7'!D26</f>
        <v>352399947</v>
      </c>
      <c r="C41" s="1426" t="n">
        <f aca="false">C37+C39</f>
        <v>315909632</v>
      </c>
      <c r="D41" s="1427" t="n">
        <f aca="false">D37+D39</f>
        <v>15764902</v>
      </c>
      <c r="E41" s="1427"/>
      <c r="F41" s="1428" t="s">
        <v>635</v>
      </c>
      <c r="G41" s="1427" t="n">
        <f aca="false">G37+G39</f>
        <v>3737369</v>
      </c>
      <c r="H41" s="1426" t="n">
        <f aca="false">H37+H39</f>
        <v>679521</v>
      </c>
      <c r="I41" s="1427" t="n">
        <f aca="false">I37+I39</f>
        <v>81542</v>
      </c>
      <c r="J41" s="1429" t="n">
        <f aca="false">J37+J39</f>
        <v>16226981</v>
      </c>
      <c r="L41" s="1430" t="n">
        <f aca="false">L37+L39</f>
        <v>16308523</v>
      </c>
    </row>
    <row r="42" s="1431" customFormat="true" ht="20.1" hidden="false" customHeight="true" outlineLevel="0" collapsed="false">
      <c r="C42" s="1432" t="s">
        <v>826</v>
      </c>
      <c r="D42" s="1433" t="s">
        <v>827</v>
      </c>
      <c r="E42" s="1433"/>
      <c r="F42" s="1432" t="s">
        <v>828</v>
      </c>
      <c r="G42" s="1432" t="s">
        <v>829</v>
      </c>
      <c r="H42" s="1434" t="s">
        <v>830</v>
      </c>
      <c r="I42" s="1434" t="s">
        <v>831</v>
      </c>
      <c r="J42" s="1434" t="s">
        <v>832</v>
      </c>
      <c r="L42" s="1435"/>
    </row>
    <row r="43" s="1089" customFormat="true" ht="13.5" hidden="false" customHeight="true" outlineLevel="0" collapsed="false">
      <c r="C43" s="1436"/>
      <c r="D43" s="1437"/>
      <c r="E43" s="1437"/>
      <c r="F43" s="1436"/>
      <c r="G43" s="1437"/>
      <c r="H43" s="1437"/>
      <c r="I43" s="1437"/>
      <c r="J43" s="1437"/>
      <c r="L43" s="1438"/>
    </row>
    <row r="44" customFormat="false" ht="20.1" hidden="false" customHeight="true" outlineLevel="0" collapsed="false">
      <c r="A44" s="796" t="s">
        <v>238</v>
      </c>
      <c r="B44" s="1089"/>
      <c r="C44" s="1089"/>
      <c r="D44" s="1089"/>
      <c r="E44" s="1089"/>
      <c r="F44" s="1089"/>
      <c r="G44" s="1377"/>
      <c r="H44" s="1089"/>
      <c r="I44" s="1089"/>
      <c r="J44" s="1089"/>
      <c r="L44" s="1378" t="s">
        <v>812</v>
      </c>
    </row>
    <row r="45" s="945" customFormat="true" ht="30" hidden="false" customHeight="true" outlineLevel="0" collapsed="false">
      <c r="A45" s="1379" t="s">
        <v>483</v>
      </c>
      <c r="B45" s="1380" t="s">
        <v>813</v>
      </c>
      <c r="C45" s="1381" t="s">
        <v>814</v>
      </c>
      <c r="D45" s="1439" t="s">
        <v>815</v>
      </c>
      <c r="E45" s="1440" t="s">
        <v>833</v>
      </c>
      <c r="F45" s="1441" t="s">
        <v>834</v>
      </c>
      <c r="G45" s="1442" t="s">
        <v>817</v>
      </c>
      <c r="H45" s="1382" t="s">
        <v>818</v>
      </c>
      <c r="I45" s="1382" t="s">
        <v>819</v>
      </c>
      <c r="J45" s="1384" t="s">
        <v>820</v>
      </c>
      <c r="L45" s="1385" t="s">
        <v>821</v>
      </c>
    </row>
    <row r="46" customFormat="false" ht="32.25" hidden="false" customHeight="true" outlineLevel="0" collapsed="false">
      <c r="A46" s="1443" t="s">
        <v>852</v>
      </c>
      <c r="B46" s="1387" t="n">
        <f aca="false">B52-B48-B50</f>
        <v>260272217</v>
      </c>
      <c r="C46" s="1388" t="n">
        <f aca="false">ROUNDDOWN(B46*C47/B47,0)</f>
        <v>229471939</v>
      </c>
      <c r="D46" s="1444" t="n">
        <f aca="false">ROUNDDOWN(B46*D47/B47,0)</f>
        <v>11451385</v>
      </c>
      <c r="E46" s="1445" t="n">
        <f aca="false">ROUNDDOWN(B46*E47/B47,0)</f>
        <v>4047472</v>
      </c>
      <c r="F46" s="1446" t="n">
        <f aca="false">ROUNDDOWN(B46*F47/B47,0)</f>
        <v>246797</v>
      </c>
      <c r="G46" s="1446" t="n">
        <f aca="false">ROUNDDOWN(B46*G47/B47,0)</f>
        <v>2714768</v>
      </c>
      <c r="H46" s="1391" t="n">
        <f aca="false">ROUNDDOWN(B46*H47/B47,0)</f>
        <v>493594</v>
      </c>
      <c r="I46" s="1391" t="n">
        <f aca="false">ROUNDDOWN(B46*I47/B47,0)</f>
        <v>59231</v>
      </c>
      <c r="J46" s="1447" t="n">
        <f aca="false">B46-C46-D46-E46-F46-G46-H46-I46</f>
        <v>11787031</v>
      </c>
      <c r="L46" s="1448" t="n">
        <f aca="false">SUM(I46:J46)</f>
        <v>11846262</v>
      </c>
    </row>
    <row r="47" s="1536" customFormat="true" ht="15" hidden="false" customHeight="true" outlineLevel="0" collapsed="false">
      <c r="A47" s="1529" t="s">
        <v>823</v>
      </c>
      <c r="B47" s="1463" t="n">
        <f aca="false">SUM(C47:J47)</f>
        <v>52.73</v>
      </c>
      <c r="C47" s="1545" t="n">
        <f aca="false">$C$16</f>
        <v>46.49</v>
      </c>
      <c r="D47" s="1465" t="n">
        <f aca="false">$D$16</f>
        <v>2.32</v>
      </c>
      <c r="E47" s="1546" t="n">
        <f aca="false">$E$16</f>
        <v>0.82</v>
      </c>
      <c r="F47" s="1547" t="n">
        <f aca="false">$F$16</f>
        <v>0.05</v>
      </c>
      <c r="G47" s="1547" t="n">
        <f aca="false">$G$16</f>
        <v>0.55</v>
      </c>
      <c r="H47" s="1548" t="n">
        <f aca="false">$H$16</f>
        <v>0.1</v>
      </c>
      <c r="I47" s="1549" t="n">
        <f aca="false">$I$16</f>
        <v>0.012</v>
      </c>
      <c r="J47" s="1550" t="n">
        <f aca="false">$J$16</f>
        <v>2.388</v>
      </c>
      <c r="K47" s="1406"/>
      <c r="L47" s="1457" t="n">
        <f aca="false">SUM(I47:J47)</f>
        <v>2.4</v>
      </c>
    </row>
    <row r="48" customFormat="false" ht="32.25" hidden="false" customHeight="true" outlineLevel="0" collapsed="false">
      <c r="A48" s="1386" t="s">
        <v>836</v>
      </c>
      <c r="B48" s="1387" t="n">
        <f aca="false">'☆掛負収入'!I111+'☆掛負収入'!I112</f>
        <v>94519641</v>
      </c>
      <c r="C48" s="1388" t="n">
        <f aca="false">ROUNDDOWN((B48-E48)/B49*C49,0)</f>
        <v>84641606</v>
      </c>
      <c r="D48" s="1458" t="n">
        <f aca="false">ROUNDDOWN((B48-E48)/B49*D49,0)</f>
        <v>4223887</v>
      </c>
      <c r="E48" s="1459" t="n">
        <f aca="false">ROUNDDOWN(B59*E33/1000,0)</f>
        <v>10159</v>
      </c>
      <c r="F48" s="1388" t="n">
        <f aca="false">ROUNDDOWN((B48-E48)/B49*F49,0)</f>
        <v>91032</v>
      </c>
      <c r="G48" s="1388" t="n">
        <f aca="false">ROUNDDOWN((B48-E48)/B49*G49,0)</f>
        <v>1001352</v>
      </c>
      <c r="H48" s="1409" t="n">
        <f aca="false">ROUNDDOWN((B48-E48)/B49*H49,0)</f>
        <v>182064</v>
      </c>
      <c r="I48" s="1409" t="n">
        <f aca="false">ROUNDDOWN((B48-E48)/B49*I49,0)</f>
        <v>21847</v>
      </c>
      <c r="J48" s="1460" t="n">
        <f aca="false">B48-C48-D48-E48-F48-G48-H48-I48</f>
        <v>4347694</v>
      </c>
      <c r="K48" s="1404" t="s">
        <v>824</v>
      </c>
      <c r="L48" s="1461" t="n">
        <f aca="false">SUM(I48:J48)</f>
        <v>4369541</v>
      </c>
    </row>
    <row r="49" s="1406" customFormat="true" ht="15" hidden="false" customHeight="true" outlineLevel="0" collapsed="false">
      <c r="A49" s="1551" t="s">
        <v>823</v>
      </c>
      <c r="B49" s="1463" t="n">
        <f aca="false">SUM(C49:J49)</f>
        <v>51.91</v>
      </c>
      <c r="C49" s="1464" t="n">
        <f aca="false">C47</f>
        <v>46.49</v>
      </c>
      <c r="D49" s="1465" t="n">
        <f aca="false">D47</f>
        <v>2.32</v>
      </c>
      <c r="E49" s="1466" t="s">
        <v>837</v>
      </c>
      <c r="F49" s="1467" t="n">
        <f aca="false">F47</f>
        <v>0.05</v>
      </c>
      <c r="G49" s="1467" t="n">
        <f aca="false">G47</f>
        <v>0.55</v>
      </c>
      <c r="H49" s="1468" t="n">
        <f aca="false">H47</f>
        <v>0.1</v>
      </c>
      <c r="I49" s="1469" t="n">
        <f aca="false">I47</f>
        <v>0.012</v>
      </c>
      <c r="J49" s="1470" t="n">
        <f aca="false">J47</f>
        <v>2.388</v>
      </c>
      <c r="K49" s="1404"/>
      <c r="L49" s="1471" t="n">
        <f aca="false">SUM(I49:J49)</f>
        <v>2.4</v>
      </c>
    </row>
    <row r="50" customFormat="false" ht="32.25" hidden="false" customHeight="true" outlineLevel="0" collapsed="false">
      <c r="A50" s="1472" t="s">
        <v>838</v>
      </c>
      <c r="B50" s="1387" t="n">
        <f aca="false">'☆掛負収入'!I128+E50</f>
        <v>48019</v>
      </c>
      <c r="C50" s="1388" t="n">
        <f aca="false">ROUNDDOWN((B50-E50)/B51*C51,0)</f>
        <v>42770</v>
      </c>
      <c r="D50" s="1458" t="n">
        <f aca="false">ROUNDDOWN((B50-E50)/B51*D51,0)</f>
        <v>2134</v>
      </c>
      <c r="E50" s="1473" t="n">
        <f aca="false">'☆労組公的負担（短期）'!F7</f>
        <v>262</v>
      </c>
      <c r="F50" s="1388" t="n">
        <f aca="false">ROUNDDOWN((B50-E50)/B51*F51,0)</f>
        <v>45</v>
      </c>
      <c r="G50" s="1388" t="n">
        <f aca="false">ROUNDDOWN((B50-E50)/B51*G51,0)</f>
        <v>505</v>
      </c>
      <c r="H50" s="1409" t="n">
        <f aca="false">H52-H46-H48</f>
        <v>92</v>
      </c>
      <c r="I50" s="1409" t="n">
        <f aca="false">I52-I46-I48</f>
        <v>12</v>
      </c>
      <c r="J50" s="1460" t="n">
        <f aca="false">B50-C50-D50-E50-F50-G50-H50-I50</f>
        <v>2199</v>
      </c>
      <c r="L50" s="1461" t="n">
        <f aca="false">SUM(I50:J50)</f>
        <v>2211</v>
      </c>
    </row>
    <row r="51" s="1406" customFormat="true" ht="15" hidden="false" customHeight="true" outlineLevel="0" collapsed="false">
      <c r="A51" s="1537" t="s">
        <v>823</v>
      </c>
      <c r="B51" s="1474" t="n">
        <f aca="false">SUM(C51:J51)</f>
        <v>51.91</v>
      </c>
      <c r="C51" s="1464" t="n">
        <f aca="false">C47</f>
        <v>46.49</v>
      </c>
      <c r="D51" s="1465" t="n">
        <f aca="false">D47</f>
        <v>2.32</v>
      </c>
      <c r="E51" s="1475" t="s">
        <v>839</v>
      </c>
      <c r="F51" s="1476" t="n">
        <f aca="false">F47</f>
        <v>0.05</v>
      </c>
      <c r="G51" s="1476" t="n">
        <f aca="false">G47</f>
        <v>0.55</v>
      </c>
      <c r="H51" s="1477" t="n">
        <f aca="false">H47</f>
        <v>0.1</v>
      </c>
      <c r="I51" s="1478" t="n">
        <f aca="false">I47</f>
        <v>0.012</v>
      </c>
      <c r="J51" s="1479" t="n">
        <f aca="false">J47</f>
        <v>2.388</v>
      </c>
      <c r="L51" s="1480" t="n">
        <f aca="false">SUM(I51:J51)</f>
        <v>2.4</v>
      </c>
    </row>
    <row r="52" customFormat="false" ht="30" hidden="false" customHeight="true" outlineLevel="0" collapsed="false">
      <c r="A52" s="1424" t="s">
        <v>763</v>
      </c>
      <c r="B52" s="1481" t="n">
        <f aca="false">'☆掛負収入'!I130</f>
        <v>354839877</v>
      </c>
      <c r="C52" s="1482" t="n">
        <f aca="false">C46+C48+C50</f>
        <v>314156315</v>
      </c>
      <c r="D52" s="1483" t="n">
        <f aca="false">D46+D48+D50</f>
        <v>15677406</v>
      </c>
      <c r="E52" s="1484" t="n">
        <f aca="false">E46+E48+E50</f>
        <v>4057893</v>
      </c>
      <c r="F52" s="1485" t="n">
        <f aca="false">F46+F48+F50</f>
        <v>337874</v>
      </c>
      <c r="G52" s="1485" t="n">
        <f aca="false">G46+G48+G50</f>
        <v>3716625</v>
      </c>
      <c r="H52" s="1485" t="n">
        <f aca="false">ROUNDDOWN(B57*H33/1000,0)-H41</f>
        <v>675750</v>
      </c>
      <c r="I52" s="1485" t="n">
        <f aca="false">ROUNDDOWN(B57*I33/1000,0)-I41</f>
        <v>81090</v>
      </c>
      <c r="J52" s="1552" t="n">
        <f aca="false">J46+J48+J50</f>
        <v>16136924</v>
      </c>
      <c r="L52" s="1488" t="n">
        <f aca="false">SUM(I52:J52)</f>
        <v>16218014</v>
      </c>
    </row>
    <row r="53" s="1432" customFormat="true" ht="20.1" hidden="false" customHeight="true" outlineLevel="0" collapsed="false">
      <c r="C53" s="1432" t="s">
        <v>826</v>
      </c>
      <c r="D53" s="1432" t="s">
        <v>827</v>
      </c>
      <c r="E53" s="1432" t="s">
        <v>827</v>
      </c>
      <c r="F53" s="1432" t="s">
        <v>828</v>
      </c>
      <c r="G53" s="1432" t="s">
        <v>829</v>
      </c>
      <c r="H53" s="1432" t="s">
        <v>830</v>
      </c>
      <c r="I53" s="1432" t="s">
        <v>831</v>
      </c>
      <c r="J53" s="1432" t="s">
        <v>832</v>
      </c>
      <c r="L53" s="1489"/>
    </row>
    <row r="54" s="789" customFormat="true" ht="18.75" hidden="false" customHeight="true" outlineLevel="0" collapsed="false">
      <c r="A54" s="1490" t="s">
        <v>840</v>
      </c>
      <c r="B54" s="1491" t="n">
        <f aca="false">B41+B52</f>
        <v>707239824</v>
      </c>
      <c r="C54" s="1492"/>
      <c r="D54" s="1492"/>
      <c r="E54" s="1492"/>
      <c r="K54" s="1367"/>
    </row>
    <row r="55" s="789" customFormat="true" ht="18.75" hidden="false" customHeight="true" outlineLevel="0" collapsed="false">
      <c r="A55" s="1502"/>
      <c r="B55" s="1495"/>
      <c r="C55" s="1496" t="s">
        <v>841</v>
      </c>
      <c r="D55" s="1497"/>
      <c r="E55" s="1498"/>
      <c r="F55" s="1499" t="s">
        <v>842</v>
      </c>
      <c r="G55" s="1498"/>
      <c r="H55" s="1500" t="n">
        <f aca="false">G41+G52</f>
        <v>7453994</v>
      </c>
      <c r="I55" s="1501" t="s">
        <v>544</v>
      </c>
      <c r="K55" s="1367"/>
    </row>
    <row r="56" s="789" customFormat="true" ht="18.75" hidden="false" customHeight="true" outlineLevel="0" collapsed="false">
      <c r="A56" s="1502" t="s">
        <v>843</v>
      </c>
      <c r="B56" s="1503"/>
      <c r="C56" s="1504"/>
      <c r="D56" s="1505"/>
      <c r="E56" s="1500" t="n">
        <f aca="false">C41+C52</f>
        <v>630065947</v>
      </c>
      <c r="F56" s="1506" t="str">
        <f aca="false">IF(H55='☆拠出金明細R7'!V12,"　","明細と不一致!")</f>
        <v>　</v>
      </c>
      <c r="G56" s="1507" t="n">
        <f aca="false">B57</f>
        <v>6776359000</v>
      </c>
      <c r="H56" s="1508" t="n">
        <f aca="false">G33</f>
        <v>1.1</v>
      </c>
      <c r="I56" s="1500"/>
      <c r="K56" s="1367"/>
    </row>
    <row r="57" s="789" customFormat="true" ht="18.75" hidden="false" customHeight="true" outlineLevel="0" collapsed="false">
      <c r="A57" s="1509" t="s">
        <v>690</v>
      </c>
      <c r="B57" s="1510" t="n">
        <f aca="false">ROUNDUP(H55/G33*1000,-3)</f>
        <v>6776359000</v>
      </c>
      <c r="C57" s="1496" t="s">
        <v>844</v>
      </c>
      <c r="D57" s="1497"/>
      <c r="E57" s="1511"/>
      <c r="F57" s="1499" t="s">
        <v>845</v>
      </c>
      <c r="G57" s="1498"/>
      <c r="H57" s="1500" t="n">
        <f aca="false">H41+H52</f>
        <v>1355271</v>
      </c>
      <c r="I57" s="1094" t="s">
        <v>545</v>
      </c>
      <c r="K57" s="1367"/>
    </row>
    <row r="58" s="1406" customFormat="true" ht="18.75" hidden="false" customHeight="true" outlineLevel="0" collapsed="false">
      <c r="A58" s="1509"/>
      <c r="B58" s="1510"/>
      <c r="C58" s="1512"/>
      <c r="D58" s="1505"/>
      <c r="E58" s="1500" t="n">
        <f aca="false">D41+D52+E52</f>
        <v>35500201</v>
      </c>
      <c r="F58" s="1506" t="str">
        <f aca="false">IF(H57='☆拠出金明細R7'!AD10,"　","明細と不一致!")</f>
        <v>　</v>
      </c>
      <c r="G58" s="1507" t="n">
        <f aca="false">B57</f>
        <v>6776359000</v>
      </c>
      <c r="H58" s="1508" t="n">
        <f aca="false">H33</f>
        <v>0.2</v>
      </c>
      <c r="I58" s="1094"/>
      <c r="K58" s="1513"/>
    </row>
    <row r="59" customFormat="false" ht="18.75" hidden="false" customHeight="true" outlineLevel="0" collapsed="false">
      <c r="A59" s="1514" t="s">
        <v>846</v>
      </c>
      <c r="B59" s="1515" t="n">
        <v>12390000</v>
      </c>
      <c r="C59" s="1516" t="s">
        <v>847</v>
      </c>
      <c r="D59" s="1518"/>
      <c r="E59" s="1498"/>
      <c r="F59" s="1518" t="s">
        <v>848</v>
      </c>
      <c r="G59" s="1497"/>
      <c r="H59" s="1500" t="n">
        <f aca="false">I41+I52</f>
        <v>162632</v>
      </c>
      <c r="I59" s="1094" t="s">
        <v>546</v>
      </c>
      <c r="K59" s="1362"/>
      <c r="L59" s="607"/>
    </row>
    <row r="60" customFormat="false" ht="18.75" hidden="false" customHeight="true" outlineLevel="0" collapsed="false">
      <c r="A60" s="1514"/>
      <c r="B60" s="1515"/>
      <c r="C60" s="1519"/>
      <c r="D60" s="1506" t="str">
        <f aca="false">IF(E60='☆拠出金明細R7'!K12,"　","明細と不一致!")</f>
        <v>　</v>
      </c>
      <c r="E60" s="1500" t="n">
        <f aca="false">F52</f>
        <v>337874</v>
      </c>
      <c r="F60" s="1506" t="str">
        <f aca="false">IF(H59='☆拠出金明細R7'!AN12,"　","明細と不一致!")</f>
        <v>　</v>
      </c>
      <c r="G60" s="1507" t="n">
        <f aca="false">B57</f>
        <v>6776359000</v>
      </c>
      <c r="H60" s="1520" t="n">
        <f aca="false">I33</f>
        <v>0.024</v>
      </c>
      <c r="K60" s="1362"/>
      <c r="L60" s="607"/>
    </row>
    <row r="61" customFormat="false" ht="18.75" hidden="false" customHeight="true" outlineLevel="0" collapsed="false">
      <c r="A61" s="1278"/>
      <c r="B61" s="1521"/>
      <c r="C61" s="1516" t="s">
        <v>849</v>
      </c>
      <c r="D61" s="1518"/>
      <c r="E61" s="1522"/>
      <c r="F61" s="1523" t="s">
        <v>850</v>
      </c>
      <c r="G61" s="1523"/>
      <c r="H61" s="1523"/>
      <c r="K61" s="1362"/>
      <c r="L61" s="607"/>
    </row>
    <row r="62" customFormat="false" ht="18.75" hidden="false" customHeight="true" outlineLevel="0" collapsed="false">
      <c r="A62" s="1278"/>
      <c r="B62" s="1521"/>
      <c r="C62" s="1524"/>
      <c r="D62" s="1511"/>
      <c r="E62" s="1500" t="n">
        <f aca="false">J41+J52</f>
        <v>32363905</v>
      </c>
      <c r="F62" s="1523"/>
      <c r="G62" s="1523"/>
      <c r="H62" s="1523"/>
      <c r="I62" s="1525"/>
      <c r="K62" s="1362"/>
      <c r="L62" s="607"/>
    </row>
    <row r="63" s="789" customFormat="true" ht="26.25" hidden="false" customHeight="true" outlineLevel="0" collapsed="false">
      <c r="A63" s="1363" t="n">
        <f aca="false">EOMONTH(A32,1)</f>
        <v>46203</v>
      </c>
      <c r="B63" s="1364" t="s">
        <v>801</v>
      </c>
      <c r="C63" s="1365" t="s">
        <v>802</v>
      </c>
      <c r="D63" s="1130" t="s">
        <v>803</v>
      </c>
      <c r="E63" s="1130" t="s">
        <v>804</v>
      </c>
      <c r="F63" s="1130" t="s">
        <v>805</v>
      </c>
      <c r="G63" s="1130" t="s">
        <v>806</v>
      </c>
      <c r="H63" s="1130" t="s">
        <v>807</v>
      </c>
      <c r="I63" s="1130" t="s">
        <v>808</v>
      </c>
      <c r="J63" s="1366"/>
      <c r="L63" s="1367"/>
    </row>
    <row r="64" s="1369" customFormat="true" ht="26.25" hidden="false" customHeight="true" outlineLevel="0" collapsed="false">
      <c r="A64" s="1368"/>
      <c r="C64" s="1365"/>
      <c r="D64" s="1526" t="n">
        <f aca="false">$D$2</f>
        <v>4.64</v>
      </c>
      <c r="E64" s="1527" t="n">
        <f aca="false">$E$2</f>
        <v>0.82</v>
      </c>
      <c r="F64" s="1527" t="n">
        <f aca="false">$F$2</f>
        <v>0.05</v>
      </c>
      <c r="G64" s="1527" t="n">
        <f aca="false">$G$2</f>
        <v>1.1</v>
      </c>
      <c r="H64" s="1527" t="n">
        <f aca="false">$H$2</f>
        <v>0.2</v>
      </c>
      <c r="I64" s="1527" t="n">
        <f aca="false">$I$2</f>
        <v>0.024</v>
      </c>
      <c r="J64" s="1373"/>
      <c r="L64" s="1374"/>
    </row>
    <row r="65" customFormat="false" ht="13.9" hidden="false" customHeight="true" outlineLevel="0" collapsed="false">
      <c r="C65" s="1366"/>
      <c r="D65" s="1366"/>
      <c r="E65" s="1366"/>
      <c r="F65" s="1528"/>
      <c r="G65" s="1366"/>
      <c r="H65" s="1366"/>
      <c r="I65" s="1366"/>
      <c r="J65" s="1366"/>
    </row>
    <row r="66" customFormat="false" ht="20.1" hidden="false" customHeight="true" outlineLevel="0" collapsed="false">
      <c r="A66" s="796" t="s">
        <v>811</v>
      </c>
      <c r="G66" s="1377"/>
      <c r="L66" s="1378" t="s">
        <v>812</v>
      </c>
    </row>
    <row r="67" s="1222" customFormat="true" ht="30" hidden="false" customHeight="true" outlineLevel="0" collapsed="false">
      <c r="A67" s="1379" t="s">
        <v>483</v>
      </c>
      <c r="B67" s="1380" t="s">
        <v>813</v>
      </c>
      <c r="C67" s="1381" t="s">
        <v>814</v>
      </c>
      <c r="D67" s="1382" t="s">
        <v>815</v>
      </c>
      <c r="E67" s="1382"/>
      <c r="F67" s="1383" t="s">
        <v>816</v>
      </c>
      <c r="G67" s="1382" t="s">
        <v>817</v>
      </c>
      <c r="H67" s="1382" t="s">
        <v>818</v>
      </c>
      <c r="I67" s="1382" t="s">
        <v>819</v>
      </c>
      <c r="J67" s="1384" t="s">
        <v>820</v>
      </c>
      <c r="L67" s="1385" t="s">
        <v>821</v>
      </c>
    </row>
    <row r="68" customFormat="false" ht="32.25" hidden="false" customHeight="true" outlineLevel="0" collapsed="false">
      <c r="A68" s="1386" t="s">
        <v>822</v>
      </c>
      <c r="B68" s="1387" t="n">
        <f aca="false">B72-B70</f>
        <v>349686293</v>
      </c>
      <c r="C68" s="1388" t="n">
        <f aca="false">ROUNDDOWN(B68*C69/B69,0)</f>
        <v>313476971</v>
      </c>
      <c r="D68" s="1389" t="n">
        <f aca="false">ROUNDDOWN(B68*D69/B69,0)</f>
        <v>15643505</v>
      </c>
      <c r="E68" s="1389" t="n">
        <f aca="false">ROUNDDOWN(D68*E69/D69,0)</f>
        <v>0</v>
      </c>
      <c r="F68" s="1390" t="s">
        <v>635</v>
      </c>
      <c r="G68" s="1391" t="n">
        <f aca="false">ROUNDDOWN(B68*G69/B69,0)</f>
        <v>3708589</v>
      </c>
      <c r="H68" s="1392" t="n">
        <f aca="false">ROUNDDOWN(B68*H69/B69,0)</f>
        <v>674289</v>
      </c>
      <c r="I68" s="1389" t="n">
        <f aca="false">ROUNDDOWN(B68*I69/B69,0)</f>
        <v>80914</v>
      </c>
      <c r="J68" s="1393" t="n">
        <f aca="false">B68-C68-D68-G68-H68-I68</f>
        <v>16102025</v>
      </c>
      <c r="L68" s="1394" t="n">
        <f aca="false">SUM(I68:J68)</f>
        <v>16182939</v>
      </c>
    </row>
    <row r="69" s="1536" customFormat="true" ht="15" hidden="false" customHeight="true" outlineLevel="0" collapsed="false">
      <c r="A69" s="1529" t="s">
        <v>823</v>
      </c>
      <c r="B69" s="1530" t="n">
        <f aca="false">SUM(C69:J69)</f>
        <v>51.86</v>
      </c>
      <c r="C69" s="1531" t="n">
        <f aca="false">$C$7</f>
        <v>46.49</v>
      </c>
      <c r="D69" s="1532" t="n">
        <f aca="false">$D$7</f>
        <v>2.32</v>
      </c>
      <c r="E69" s="1532"/>
      <c r="F69" s="1533" t="s">
        <v>635</v>
      </c>
      <c r="G69" s="1534" t="n">
        <f aca="false">$G$7</f>
        <v>0.55</v>
      </c>
      <c r="H69" s="1467" t="n">
        <f aca="false">$H$7</f>
        <v>0.1</v>
      </c>
      <c r="I69" s="1468" t="n">
        <f aca="false">$I$7</f>
        <v>0.012</v>
      </c>
      <c r="J69" s="1535" t="n">
        <f aca="false">$J$7</f>
        <v>2.388</v>
      </c>
      <c r="K69" s="1404" t="s">
        <v>824</v>
      </c>
      <c r="L69" s="1405" t="n">
        <f aca="false">SUM(I69:J69)</f>
        <v>2.4</v>
      </c>
    </row>
    <row r="70" customFormat="false" ht="32.25" hidden="false" customHeight="true" outlineLevel="0" collapsed="false">
      <c r="A70" s="1386" t="s">
        <v>825</v>
      </c>
      <c r="B70" s="1387" t="n">
        <f aca="false">'☆短期集計R7'!D27</f>
        <v>2880046</v>
      </c>
      <c r="C70" s="1388" t="n">
        <f aca="false">ROUNDDOWN(B70*C71/B71,0)</f>
        <v>2581822</v>
      </c>
      <c r="D70" s="1407" t="n">
        <f aca="false">ROUNDDOWN(B70*D71/B71,0)</f>
        <v>128841</v>
      </c>
      <c r="E70" s="1407" t="n">
        <f aca="false">ROUNDDOWN(D70*E71/D71,0)</f>
        <v>0</v>
      </c>
      <c r="F70" s="1408" t="s">
        <v>635</v>
      </c>
      <c r="G70" s="1409" t="n">
        <f aca="false">ROUNDDOWN(B70*G71/B71,0)</f>
        <v>30544</v>
      </c>
      <c r="H70" s="1410" t="n">
        <f aca="false">ROUNDDOWN(B70*H71/B71,0)</f>
        <v>5553</v>
      </c>
      <c r="I70" s="1411" t="n">
        <f aca="false">ROUNDDOWN(B70*I71/B71,0)</f>
        <v>666</v>
      </c>
      <c r="J70" s="1412" t="n">
        <f aca="false">B70-C70-D70-G70-H70-I70</f>
        <v>132620</v>
      </c>
      <c r="K70" s="1404"/>
      <c r="L70" s="1413" t="n">
        <f aca="false">SUM(I70:J70)</f>
        <v>133286</v>
      </c>
    </row>
    <row r="71" s="1406" customFormat="true" ht="15" hidden="false" customHeight="true" outlineLevel="0" collapsed="false">
      <c r="A71" s="1537" t="s">
        <v>823</v>
      </c>
      <c r="B71" s="1474" t="n">
        <f aca="false">SUM(C71:J71)</f>
        <v>103.72</v>
      </c>
      <c r="C71" s="1538" t="n">
        <f aca="false">C69*2</f>
        <v>92.98</v>
      </c>
      <c r="D71" s="1539" t="n">
        <f aca="false">D69*2</f>
        <v>4.64</v>
      </c>
      <c r="E71" s="1539"/>
      <c r="F71" s="1540" t="s">
        <v>635</v>
      </c>
      <c r="G71" s="1541" t="n">
        <f aca="false">G69*2</f>
        <v>1.1</v>
      </c>
      <c r="H71" s="1542" t="n">
        <f aca="false">H69*2</f>
        <v>0.2</v>
      </c>
      <c r="I71" s="1543" t="n">
        <f aca="false">I69*2</f>
        <v>0.024</v>
      </c>
      <c r="J71" s="1544" t="n">
        <f aca="false">J69*2</f>
        <v>4.776</v>
      </c>
      <c r="L71" s="1423" t="n">
        <f aca="false">L69*2</f>
        <v>4.8</v>
      </c>
    </row>
    <row r="72" customFormat="false" ht="30" hidden="false" customHeight="true" outlineLevel="0" collapsed="false">
      <c r="A72" s="1424" t="s">
        <v>763</v>
      </c>
      <c r="B72" s="1425" t="n">
        <f aca="false">'☆短期集計R7'!B27+'☆短期集計R7'!D27</f>
        <v>352566339</v>
      </c>
      <c r="C72" s="1426" t="n">
        <f aca="false">C68+C70</f>
        <v>316058793</v>
      </c>
      <c r="D72" s="1427" t="n">
        <f aca="false">D68+D70</f>
        <v>15772346</v>
      </c>
      <c r="E72" s="1427"/>
      <c r="F72" s="1428" t="s">
        <v>635</v>
      </c>
      <c r="G72" s="1427" t="n">
        <f aca="false">G68+G70</f>
        <v>3739133</v>
      </c>
      <c r="H72" s="1426" t="n">
        <f aca="false">H68+H70</f>
        <v>679842</v>
      </c>
      <c r="I72" s="1427" t="n">
        <f aca="false">I68+I70</f>
        <v>81580</v>
      </c>
      <c r="J72" s="1429" t="n">
        <f aca="false">J68+J70</f>
        <v>16234645</v>
      </c>
      <c r="L72" s="1430" t="n">
        <f aca="false">L68+L70</f>
        <v>16316225</v>
      </c>
    </row>
    <row r="73" s="1431" customFormat="true" ht="20.1" hidden="false" customHeight="true" outlineLevel="0" collapsed="false">
      <c r="C73" s="1432" t="s">
        <v>826</v>
      </c>
      <c r="D73" s="1433" t="s">
        <v>827</v>
      </c>
      <c r="E73" s="1433"/>
      <c r="F73" s="1432" t="s">
        <v>828</v>
      </c>
      <c r="G73" s="1432" t="s">
        <v>829</v>
      </c>
      <c r="H73" s="1434" t="s">
        <v>830</v>
      </c>
      <c r="I73" s="1434" t="s">
        <v>831</v>
      </c>
      <c r="J73" s="1434" t="s">
        <v>832</v>
      </c>
      <c r="L73" s="1435"/>
    </row>
    <row r="74" s="1089" customFormat="true" ht="13.5" hidden="false" customHeight="true" outlineLevel="0" collapsed="false">
      <c r="C74" s="1436"/>
      <c r="D74" s="1437"/>
      <c r="E74" s="1437"/>
      <c r="F74" s="1436"/>
      <c r="G74" s="1437"/>
      <c r="H74" s="1437"/>
      <c r="I74" s="1437"/>
      <c r="J74" s="1437"/>
      <c r="L74" s="1438"/>
    </row>
    <row r="75" customFormat="false" ht="20.1" hidden="false" customHeight="true" outlineLevel="0" collapsed="false">
      <c r="A75" s="796" t="s">
        <v>238</v>
      </c>
      <c r="B75" s="1089"/>
      <c r="C75" s="1089"/>
      <c r="D75" s="1089"/>
      <c r="E75" s="1089"/>
      <c r="F75" s="1089"/>
      <c r="G75" s="1377"/>
      <c r="H75" s="1089"/>
      <c r="I75" s="1089"/>
      <c r="J75" s="1089"/>
      <c r="L75" s="1378" t="s">
        <v>812</v>
      </c>
    </row>
    <row r="76" s="945" customFormat="true" ht="30" hidden="false" customHeight="true" outlineLevel="0" collapsed="false">
      <c r="A76" s="1379" t="s">
        <v>483</v>
      </c>
      <c r="B76" s="1380" t="s">
        <v>813</v>
      </c>
      <c r="C76" s="1381" t="s">
        <v>814</v>
      </c>
      <c r="D76" s="1439" t="s">
        <v>815</v>
      </c>
      <c r="E76" s="1440" t="s">
        <v>833</v>
      </c>
      <c r="F76" s="1441" t="s">
        <v>834</v>
      </c>
      <c r="G76" s="1442" t="s">
        <v>817</v>
      </c>
      <c r="H76" s="1382" t="s">
        <v>818</v>
      </c>
      <c r="I76" s="1382" t="s">
        <v>819</v>
      </c>
      <c r="J76" s="1384" t="s">
        <v>820</v>
      </c>
      <c r="L76" s="1385" t="s">
        <v>821</v>
      </c>
    </row>
    <row r="77" customFormat="false" ht="32.25" hidden="false" customHeight="true" outlineLevel="0" collapsed="false">
      <c r="A77" s="1443" t="s">
        <v>852</v>
      </c>
      <c r="B77" s="1387" t="n">
        <f aca="false">B83-B79-B81</f>
        <v>259722713</v>
      </c>
      <c r="C77" s="1388" t="n">
        <f aca="false">ROUNDDOWN(B77*C78/B78,0)</f>
        <v>228987463</v>
      </c>
      <c r="D77" s="1444" t="n">
        <f aca="false">ROUNDDOWN(B77*D78/B78,0)</f>
        <v>11427208</v>
      </c>
      <c r="E77" s="1445" t="n">
        <f aca="false">ROUNDDOWN(B77*E78/B78,0)</f>
        <v>4038927</v>
      </c>
      <c r="F77" s="1446" t="n">
        <f aca="false">ROUNDDOWN(B77*F78/B78,0)</f>
        <v>246276</v>
      </c>
      <c r="G77" s="1446" t="n">
        <f aca="false">ROUNDDOWN(B77*G78/B78,0)+1</f>
        <v>2709037</v>
      </c>
      <c r="H77" s="1446" t="n">
        <f aca="false">ROUNDDOWN(B77*H78/B78,0)</f>
        <v>492552</v>
      </c>
      <c r="I77" s="1446" t="n">
        <f aca="false">ROUNDDOWN(B77*I78/B78,0)</f>
        <v>59106</v>
      </c>
      <c r="J77" s="1447" t="n">
        <f aca="false">B77-C77-D77-E77-F77-G77-H77-I77</f>
        <v>11762144</v>
      </c>
      <c r="L77" s="1448" t="n">
        <f aca="false">SUM(I77:J77)</f>
        <v>11821250</v>
      </c>
    </row>
    <row r="78" s="1536" customFormat="true" ht="15" hidden="false" customHeight="true" outlineLevel="0" collapsed="false">
      <c r="A78" s="1529" t="s">
        <v>823</v>
      </c>
      <c r="B78" s="1463" t="n">
        <f aca="false">SUM(C78:J78)</f>
        <v>52.73</v>
      </c>
      <c r="C78" s="1545" t="n">
        <f aca="false">$C$16</f>
        <v>46.49</v>
      </c>
      <c r="D78" s="1465" t="n">
        <f aca="false">$D$16</f>
        <v>2.32</v>
      </c>
      <c r="E78" s="1546" t="n">
        <f aca="false">$E$16</f>
        <v>0.82</v>
      </c>
      <c r="F78" s="1547" t="n">
        <f aca="false">$F$16</f>
        <v>0.05</v>
      </c>
      <c r="G78" s="1547" t="n">
        <f aca="false">$G$16</f>
        <v>0.55</v>
      </c>
      <c r="H78" s="1548" t="n">
        <f aca="false">$H$16</f>
        <v>0.1</v>
      </c>
      <c r="I78" s="1549" t="n">
        <f aca="false">$I$16</f>
        <v>0.012</v>
      </c>
      <c r="J78" s="1550" t="n">
        <f aca="false">$J$16</f>
        <v>2.388</v>
      </c>
      <c r="K78" s="1406"/>
      <c r="L78" s="1457" t="n">
        <f aca="false">SUM(I78:J78)</f>
        <v>2.4</v>
      </c>
    </row>
    <row r="79" customFormat="false" ht="32.25" hidden="false" customHeight="true" outlineLevel="0" collapsed="false">
      <c r="A79" s="1386" t="s">
        <v>836</v>
      </c>
      <c r="B79" s="1387" t="n">
        <f aca="false">'☆掛負収入'!I176+'☆掛負収入'!I177</f>
        <v>94369711</v>
      </c>
      <c r="C79" s="1388" t="n">
        <f aca="false">ROUNDDOWN((B79-E79)/B80*C80,0)</f>
        <v>84507331</v>
      </c>
      <c r="D79" s="1458" t="n">
        <f aca="false">ROUNDDOWN((B79-E79)/B80*D80,0)</f>
        <v>4217186</v>
      </c>
      <c r="E79" s="1459" t="n">
        <f aca="false">ROUNDDOWN(B90*E64/1000,0)</f>
        <v>10159</v>
      </c>
      <c r="F79" s="1388" t="n">
        <f aca="false">ROUNDDOWN((B79-E79)/B80*F80,0)</f>
        <v>90887</v>
      </c>
      <c r="G79" s="1388" t="n">
        <f aca="false">ROUNDDOWN((B79-E79)/B80*G80,0)</f>
        <v>999764</v>
      </c>
      <c r="H79" s="1409" t="n">
        <f aca="false">ROUNDDOWN((B79-E79)/B80*H80,0)</f>
        <v>181775</v>
      </c>
      <c r="I79" s="1409" t="n">
        <f aca="false">ROUNDDOWN((B79-E79)/B80*I80,0)</f>
        <v>21813</v>
      </c>
      <c r="J79" s="1460" t="n">
        <f aca="false">B79-C79-D79-E79-F79-G79-H79-I79</f>
        <v>4340796</v>
      </c>
      <c r="K79" s="1404" t="s">
        <v>824</v>
      </c>
      <c r="L79" s="1461" t="n">
        <f aca="false">SUM(I79:J79)</f>
        <v>4362609</v>
      </c>
    </row>
    <row r="80" s="1406" customFormat="true" ht="15" hidden="false" customHeight="true" outlineLevel="0" collapsed="false">
      <c r="A80" s="1551" t="s">
        <v>823</v>
      </c>
      <c r="B80" s="1463" t="n">
        <f aca="false">SUM(C80:J80)</f>
        <v>51.91</v>
      </c>
      <c r="C80" s="1464" t="n">
        <f aca="false">C78</f>
        <v>46.49</v>
      </c>
      <c r="D80" s="1465" t="n">
        <f aca="false">D78</f>
        <v>2.32</v>
      </c>
      <c r="E80" s="1466" t="s">
        <v>837</v>
      </c>
      <c r="F80" s="1467" t="n">
        <f aca="false">F78</f>
        <v>0.05</v>
      </c>
      <c r="G80" s="1467" t="n">
        <f aca="false">G78</f>
        <v>0.55</v>
      </c>
      <c r="H80" s="1468" t="n">
        <f aca="false">H78</f>
        <v>0.1</v>
      </c>
      <c r="I80" s="1469" t="n">
        <f aca="false">I78</f>
        <v>0.012</v>
      </c>
      <c r="J80" s="1470" t="n">
        <f aca="false">J78</f>
        <v>2.388</v>
      </c>
      <c r="K80" s="1404"/>
      <c r="L80" s="1471" t="n">
        <f aca="false">SUM(I80:J80)</f>
        <v>2.4</v>
      </c>
    </row>
    <row r="81" customFormat="false" ht="32.25" hidden="false" customHeight="true" outlineLevel="0" collapsed="false">
      <c r="A81" s="1472" t="s">
        <v>838</v>
      </c>
      <c r="B81" s="1387" t="n">
        <f aca="false">'☆掛負収入'!I193+E81</f>
        <v>49315</v>
      </c>
      <c r="C81" s="1388" t="n">
        <f aca="false">ROUNDDOWN((B81-E81)/B82*C82,0)</f>
        <v>43931</v>
      </c>
      <c r="D81" s="1458" t="n">
        <f aca="false">ROUNDDOWN((B81-E81)/B82*D82,0)</f>
        <v>2192</v>
      </c>
      <c r="E81" s="1473" t="n">
        <f aca="false">'☆労組公的負担（短期）'!F8</f>
        <v>262</v>
      </c>
      <c r="F81" s="1388" t="n">
        <f aca="false">ROUNDDOWN((B81-E81)/B82*F82,0)</f>
        <v>47</v>
      </c>
      <c r="G81" s="1388" t="n">
        <f aca="false">ROUNDDOWN((B81-E81)/B82*G82,0)</f>
        <v>519</v>
      </c>
      <c r="H81" s="1409" t="n">
        <f aca="false">H83-H77-H79</f>
        <v>95</v>
      </c>
      <c r="I81" s="1409" t="n">
        <f aca="false">I83-I77-I79</f>
        <v>12</v>
      </c>
      <c r="J81" s="1460" t="n">
        <f aca="false">B81-C81-D81-E81-F81-G81-H81-I81</f>
        <v>2257</v>
      </c>
      <c r="L81" s="1461" t="n">
        <f aca="false">SUM(I81:J81)</f>
        <v>2269</v>
      </c>
    </row>
    <row r="82" s="1406" customFormat="true" ht="15" hidden="false" customHeight="true" outlineLevel="0" collapsed="false">
      <c r="A82" s="1537" t="s">
        <v>823</v>
      </c>
      <c r="B82" s="1474" t="n">
        <f aca="false">SUM(C82:J82)</f>
        <v>51.91</v>
      </c>
      <c r="C82" s="1464" t="n">
        <f aca="false">C78</f>
        <v>46.49</v>
      </c>
      <c r="D82" s="1465" t="n">
        <f aca="false">D78</f>
        <v>2.32</v>
      </c>
      <c r="E82" s="1475" t="s">
        <v>839</v>
      </c>
      <c r="F82" s="1476" t="n">
        <f aca="false">F78</f>
        <v>0.05</v>
      </c>
      <c r="G82" s="1476" t="n">
        <f aca="false">G78</f>
        <v>0.55</v>
      </c>
      <c r="H82" s="1477" t="n">
        <f aca="false">H78</f>
        <v>0.1</v>
      </c>
      <c r="I82" s="1478" t="n">
        <f aca="false">I78</f>
        <v>0.012</v>
      </c>
      <c r="J82" s="1479" t="n">
        <f aca="false">J78</f>
        <v>2.388</v>
      </c>
      <c r="L82" s="1480" t="n">
        <f aca="false">SUM(I82:J82)</f>
        <v>2.4</v>
      </c>
    </row>
    <row r="83" customFormat="false" ht="30" hidden="false" customHeight="true" outlineLevel="0" collapsed="false">
      <c r="A83" s="1424" t="s">
        <v>763</v>
      </c>
      <c r="B83" s="1481" t="n">
        <f aca="false">'☆掛負収入'!I195</f>
        <v>354141739</v>
      </c>
      <c r="C83" s="1482" t="n">
        <f aca="false">C77+C79+C81</f>
        <v>313538725</v>
      </c>
      <c r="D83" s="1483" t="n">
        <f aca="false">D77+D79+D81</f>
        <v>15646586</v>
      </c>
      <c r="E83" s="1484" t="n">
        <f aca="false">E77+E79+E81</f>
        <v>4049348</v>
      </c>
      <c r="F83" s="1485" t="n">
        <f aca="false">F77+F79+F81</f>
        <v>337210</v>
      </c>
      <c r="G83" s="1485" t="n">
        <f aca="false">G77+G79+G81</f>
        <v>3709320</v>
      </c>
      <c r="H83" s="1485" t="n">
        <f aca="false">ROUNDDOWN(B88*H64/1000,0)-H72</f>
        <v>674422</v>
      </c>
      <c r="I83" s="1485" t="n">
        <f aca="false">ROUNDDOWN(B88*I64/1000,0)-I72</f>
        <v>80931</v>
      </c>
      <c r="J83" s="1486" t="n">
        <f aca="false">J77+J79+J81</f>
        <v>16105197</v>
      </c>
      <c r="K83" s="1487"/>
      <c r="L83" s="1488" t="n">
        <f aca="false">SUM(I83:J83)</f>
        <v>16186128</v>
      </c>
    </row>
    <row r="84" s="1432" customFormat="true" ht="20.1" hidden="false" customHeight="true" outlineLevel="0" collapsed="false">
      <c r="C84" s="1432" t="s">
        <v>826</v>
      </c>
      <c r="D84" s="1432" t="s">
        <v>827</v>
      </c>
      <c r="E84" s="1432" t="s">
        <v>827</v>
      </c>
      <c r="F84" s="1432" t="s">
        <v>828</v>
      </c>
      <c r="G84" s="1432" t="s">
        <v>829</v>
      </c>
      <c r="H84" s="1432" t="s">
        <v>830</v>
      </c>
      <c r="I84" s="1432" t="s">
        <v>831</v>
      </c>
      <c r="J84" s="1432" t="s">
        <v>832</v>
      </c>
      <c r="K84" s="789"/>
      <c r="L84" s="1362"/>
    </row>
    <row r="85" s="789" customFormat="true" ht="18.75" hidden="false" customHeight="true" outlineLevel="0" collapsed="false">
      <c r="A85" s="1490" t="s">
        <v>840</v>
      </c>
      <c r="B85" s="1491" t="n">
        <f aca="false">B72+B83</f>
        <v>706708078</v>
      </c>
      <c r="C85" s="1492"/>
      <c r="D85" s="1492"/>
      <c r="E85" s="1492"/>
      <c r="I85" s="886"/>
      <c r="J85" s="1553"/>
      <c r="K85" s="1554"/>
    </row>
    <row r="86" s="789" customFormat="true" ht="18.75" hidden="false" customHeight="true" outlineLevel="0" collapsed="false">
      <c r="A86" s="1502"/>
      <c r="B86" s="1495"/>
      <c r="C86" s="1496" t="s">
        <v>841</v>
      </c>
      <c r="D86" s="1497"/>
      <c r="E86" s="1498"/>
      <c r="F86" s="1499" t="s">
        <v>842</v>
      </c>
      <c r="G86" s="1498"/>
      <c r="H86" s="1500" t="n">
        <f aca="false">G72+G83</f>
        <v>7448453</v>
      </c>
      <c r="I86" s="1501" t="s">
        <v>544</v>
      </c>
      <c r="J86" s="1553"/>
      <c r="K86" s="1555"/>
      <c r="L86" s="886"/>
    </row>
    <row r="87" s="789" customFormat="true" ht="18.75" hidden="false" customHeight="true" outlineLevel="0" collapsed="false">
      <c r="A87" s="1502" t="s">
        <v>843</v>
      </c>
      <c r="B87" s="1503"/>
      <c r="C87" s="1504"/>
      <c r="D87" s="1505"/>
      <c r="E87" s="1500" t="n">
        <f aca="false">C72+C83</f>
        <v>629597518</v>
      </c>
      <c r="F87" s="1506" t="str">
        <f aca="false">IF(H86=('☆拠出金明細R7'!V13-H117),"　","明細と不一致!")</f>
        <v>　</v>
      </c>
      <c r="G87" s="1507" t="n">
        <f aca="false">B88</f>
        <v>6771321000</v>
      </c>
      <c r="H87" s="1508" t="n">
        <f aca="false">G64</f>
        <v>1.1</v>
      </c>
      <c r="I87" s="1500"/>
      <c r="J87" s="1553"/>
      <c r="K87" s="1556"/>
      <c r="L87" s="886"/>
    </row>
    <row r="88" s="789" customFormat="true" ht="18.75" hidden="false" customHeight="true" outlineLevel="0" collapsed="false">
      <c r="A88" s="1509" t="s">
        <v>690</v>
      </c>
      <c r="B88" s="1510" t="n">
        <f aca="false">ROUNDUP(H86/G64*1000,-3)</f>
        <v>6771321000</v>
      </c>
      <c r="C88" s="1496" t="s">
        <v>844</v>
      </c>
      <c r="D88" s="1497"/>
      <c r="E88" s="1511"/>
      <c r="F88" s="1499" t="s">
        <v>845</v>
      </c>
      <c r="G88" s="1498"/>
      <c r="H88" s="1500" t="n">
        <f aca="false">H72+H83</f>
        <v>1354264</v>
      </c>
      <c r="I88" s="1094" t="s">
        <v>545</v>
      </c>
      <c r="J88" s="1553"/>
      <c r="K88" s="1555"/>
      <c r="L88" s="886"/>
    </row>
    <row r="89" s="1406" customFormat="true" ht="18.75" hidden="false" customHeight="true" outlineLevel="0" collapsed="false">
      <c r="A89" s="1509"/>
      <c r="B89" s="1510"/>
      <c r="C89" s="1512"/>
      <c r="D89" s="1505"/>
      <c r="E89" s="1500" t="n">
        <f aca="false">D72+D83+E83</f>
        <v>35468280</v>
      </c>
      <c r="F89" s="1506" t="str">
        <f aca="false">IF(H88=('☆拠出金明細R7'!AD12-H119),"　","明細と不一致!")</f>
        <v>　</v>
      </c>
      <c r="G89" s="1507" t="n">
        <f aca="false">B88</f>
        <v>6771321000</v>
      </c>
      <c r="H89" s="1508" t="n">
        <f aca="false">H64</f>
        <v>0.2</v>
      </c>
      <c r="I89" s="1094"/>
      <c r="J89" s="1557"/>
      <c r="K89" s="1558"/>
      <c r="L89" s="1559"/>
    </row>
    <row r="90" customFormat="false" ht="18.75" hidden="false" customHeight="true" outlineLevel="0" collapsed="false">
      <c r="A90" s="1514" t="s">
        <v>846</v>
      </c>
      <c r="B90" s="1515" t="n">
        <v>12390000</v>
      </c>
      <c r="C90" s="1516" t="s">
        <v>847</v>
      </c>
      <c r="D90" s="1518"/>
      <c r="E90" s="1498"/>
      <c r="F90" s="1518" t="s">
        <v>848</v>
      </c>
      <c r="G90" s="1497"/>
      <c r="H90" s="1500" t="n">
        <f aca="false">I72+I83</f>
        <v>162511</v>
      </c>
      <c r="I90" s="1094" t="s">
        <v>546</v>
      </c>
      <c r="J90" s="1557"/>
      <c r="K90" s="1555"/>
      <c r="L90" s="609"/>
    </row>
    <row r="91" customFormat="false" ht="18.75" hidden="false" customHeight="true" outlineLevel="0" collapsed="false">
      <c r="A91" s="1514"/>
      <c r="B91" s="1515"/>
      <c r="C91" s="1519"/>
      <c r="D91" s="1506" t="str">
        <f aca="false">IF(E91=('☆拠出金明細R7'!K13-E122),"　","明細と不一致!")</f>
        <v>　</v>
      </c>
      <c r="E91" s="1500" t="n">
        <f aca="false">F83</f>
        <v>337210</v>
      </c>
      <c r="F91" s="1506" t="str">
        <f aca="false">IF(H90=('☆拠出金明細R7'!AN13-H121),"　","明細と不一致!")</f>
        <v>　</v>
      </c>
      <c r="G91" s="1507" t="n">
        <f aca="false">B88</f>
        <v>6771321000</v>
      </c>
      <c r="H91" s="1520" t="n">
        <f aca="false">I64</f>
        <v>0.024</v>
      </c>
      <c r="J91" s="1557"/>
      <c r="K91" s="1558"/>
      <c r="L91" s="609"/>
    </row>
    <row r="92" customFormat="false" ht="18.75" hidden="false" customHeight="true" outlineLevel="0" collapsed="false">
      <c r="A92" s="1278"/>
      <c r="B92" s="1521"/>
      <c r="C92" s="1516" t="s">
        <v>849</v>
      </c>
      <c r="D92" s="1518"/>
      <c r="E92" s="1522"/>
      <c r="F92" s="1523" t="s">
        <v>850</v>
      </c>
      <c r="G92" s="1523"/>
      <c r="H92" s="1523"/>
      <c r="J92" s="1557"/>
      <c r="K92" s="1555"/>
      <c r="L92" s="609"/>
    </row>
    <row r="93" customFormat="false" ht="18.75" hidden="false" customHeight="true" outlineLevel="0" collapsed="false">
      <c r="A93" s="1278"/>
      <c r="B93" s="1521"/>
      <c r="C93" s="1524"/>
      <c r="D93" s="1511"/>
      <c r="E93" s="1500" t="n">
        <f aca="false">J72+J83</f>
        <v>32339842</v>
      </c>
      <c r="F93" s="1523"/>
      <c r="G93" s="1523"/>
      <c r="H93" s="1523"/>
      <c r="I93" s="1560"/>
      <c r="J93" s="1557"/>
      <c r="K93" s="1555"/>
      <c r="L93" s="609"/>
    </row>
    <row r="94" s="789" customFormat="true" ht="26.25" hidden="false" customHeight="true" outlineLevel="0" collapsed="false">
      <c r="A94" s="1561" t="n">
        <f aca="false">A63</f>
        <v>46203</v>
      </c>
      <c r="B94" s="1562" t="s">
        <v>853</v>
      </c>
      <c r="C94" s="1365" t="s">
        <v>802</v>
      </c>
      <c r="D94" s="1130" t="s">
        <v>803</v>
      </c>
      <c r="E94" s="1130" t="s">
        <v>804</v>
      </c>
      <c r="F94" s="1130" t="s">
        <v>805</v>
      </c>
      <c r="G94" s="1130" t="s">
        <v>806</v>
      </c>
      <c r="H94" s="1130" t="s">
        <v>807</v>
      </c>
      <c r="I94" s="1130" t="s">
        <v>808</v>
      </c>
      <c r="J94" s="1366"/>
      <c r="L94" s="1367"/>
    </row>
    <row r="95" s="1369" customFormat="true" ht="26.25" hidden="false" customHeight="true" outlineLevel="0" collapsed="false">
      <c r="A95" s="1368"/>
      <c r="C95" s="1365"/>
      <c r="D95" s="1526" t="n">
        <f aca="false">$D$2</f>
        <v>4.64</v>
      </c>
      <c r="E95" s="1527" t="n">
        <f aca="false">$E$2</f>
        <v>0.82</v>
      </c>
      <c r="F95" s="1527" t="n">
        <f aca="false">$F$2</f>
        <v>0.05</v>
      </c>
      <c r="G95" s="1527" t="n">
        <f aca="false">$G$2</f>
        <v>1.1</v>
      </c>
      <c r="H95" s="1527" t="n">
        <f aca="false">$H$2</f>
        <v>0.2</v>
      </c>
      <c r="I95" s="1527" t="n">
        <f aca="false">$I$2</f>
        <v>0.024</v>
      </c>
      <c r="J95" s="1373"/>
      <c r="L95" s="1374"/>
    </row>
    <row r="96" customFormat="false" ht="13.9" hidden="false" customHeight="true" outlineLevel="0" collapsed="false">
      <c r="C96" s="1366"/>
      <c r="D96" s="1366"/>
      <c r="E96" s="1366"/>
      <c r="F96" s="1528"/>
      <c r="G96" s="1366"/>
      <c r="H96" s="1366"/>
      <c r="I96" s="1366"/>
      <c r="J96" s="1366"/>
    </row>
    <row r="97" customFormat="false" ht="20.1" hidden="false" customHeight="true" outlineLevel="0" collapsed="false">
      <c r="A97" s="796" t="s">
        <v>811</v>
      </c>
      <c r="G97" s="1377"/>
      <c r="L97" s="1378" t="s">
        <v>812</v>
      </c>
    </row>
    <row r="98" s="1222" customFormat="true" ht="30" hidden="false" customHeight="true" outlineLevel="0" collapsed="false">
      <c r="A98" s="1379" t="s">
        <v>483</v>
      </c>
      <c r="B98" s="1380" t="s">
        <v>813</v>
      </c>
      <c r="C98" s="1381" t="s">
        <v>814</v>
      </c>
      <c r="D98" s="1382" t="s">
        <v>815</v>
      </c>
      <c r="E98" s="1382"/>
      <c r="F98" s="1383" t="s">
        <v>816</v>
      </c>
      <c r="G98" s="1382" t="s">
        <v>817</v>
      </c>
      <c r="H98" s="1382" t="s">
        <v>818</v>
      </c>
      <c r="I98" s="1382" t="s">
        <v>819</v>
      </c>
      <c r="J98" s="1384" t="s">
        <v>820</v>
      </c>
      <c r="L98" s="1385" t="s">
        <v>821</v>
      </c>
    </row>
    <row r="99" customFormat="false" ht="32.25" hidden="false" customHeight="true" outlineLevel="0" collapsed="false">
      <c r="A99" s="1386" t="s">
        <v>822</v>
      </c>
      <c r="B99" s="1387" t="n">
        <f aca="false">B103-B101</f>
        <v>614527425</v>
      </c>
      <c r="C99" s="1388" t="n">
        <f aca="false">ROUNDDOWN(B99*C100/B100,0)</f>
        <v>550894330</v>
      </c>
      <c r="D99" s="1389" t="n">
        <f aca="false">ROUNDDOWN(B99*D100/B100,0)</f>
        <v>27491392</v>
      </c>
      <c r="E99" s="1389" t="n">
        <f aca="false">ROUNDDOWN(D99*E100/D100,0)</f>
        <v>0</v>
      </c>
      <c r="F99" s="1390" t="s">
        <v>635</v>
      </c>
      <c r="G99" s="1391" t="n">
        <f aca="false">ROUNDDOWN(B99*G100/B100,0)</f>
        <v>6517356</v>
      </c>
      <c r="H99" s="1392" t="n">
        <f aca="false">ROUNDDOWN(B99*H100/B100,0)</f>
        <v>1184973</v>
      </c>
      <c r="I99" s="1389" t="n">
        <f aca="false">ROUNDDOWN(B99*I100/B100,0)</f>
        <v>142196</v>
      </c>
      <c r="J99" s="1393" t="n">
        <f aca="false">B99-C99-D99-G99-H99-I99</f>
        <v>28297178</v>
      </c>
      <c r="L99" s="1394" t="n">
        <f aca="false">SUM(I99:J99)</f>
        <v>28439374</v>
      </c>
    </row>
    <row r="100" s="1536" customFormat="true" ht="15" hidden="false" customHeight="true" outlineLevel="0" collapsed="false">
      <c r="A100" s="1529" t="s">
        <v>823</v>
      </c>
      <c r="B100" s="1530" t="n">
        <f aca="false">SUM(C100:J100)</f>
        <v>51.86</v>
      </c>
      <c r="C100" s="1531" t="n">
        <f aca="false">$C$7</f>
        <v>46.49</v>
      </c>
      <c r="D100" s="1532" t="n">
        <f aca="false">$D$7</f>
        <v>2.32</v>
      </c>
      <c r="E100" s="1532"/>
      <c r="F100" s="1533" t="s">
        <v>635</v>
      </c>
      <c r="G100" s="1534" t="n">
        <f aca="false">$G$7</f>
        <v>0.55</v>
      </c>
      <c r="H100" s="1467" t="n">
        <f aca="false">$H$7</f>
        <v>0.1</v>
      </c>
      <c r="I100" s="1468" t="n">
        <f aca="false">$I$7</f>
        <v>0.012</v>
      </c>
      <c r="J100" s="1535" t="n">
        <f aca="false">$J$7</f>
        <v>2.388</v>
      </c>
      <c r="K100" s="1404" t="s">
        <v>824</v>
      </c>
      <c r="L100" s="1405" t="n">
        <f aca="false">SUM(I100:J100)</f>
        <v>2.4</v>
      </c>
    </row>
    <row r="101" customFormat="false" ht="32.25" hidden="false" customHeight="true" outlineLevel="0" collapsed="false">
      <c r="A101" s="1386" t="s">
        <v>825</v>
      </c>
      <c r="B101" s="1563" t="n">
        <v>0</v>
      </c>
      <c r="C101" s="1388" t="n">
        <f aca="false">ROUNDDOWN(B101*C102/B102,0)</f>
        <v>0</v>
      </c>
      <c r="D101" s="1407" t="n">
        <f aca="false">ROUNDDOWN(B101*D102/B102,0)</f>
        <v>0</v>
      </c>
      <c r="E101" s="1407" t="n">
        <f aca="false">ROUNDDOWN(D101*E102/D102,0)</f>
        <v>0</v>
      </c>
      <c r="F101" s="1408" t="s">
        <v>635</v>
      </c>
      <c r="G101" s="1409" t="n">
        <f aca="false">ROUNDDOWN(B101*G102/B102,0)</f>
        <v>0</v>
      </c>
      <c r="H101" s="1410" t="n">
        <f aca="false">ROUNDDOWN(B101*H102/B102,0)</f>
        <v>0</v>
      </c>
      <c r="I101" s="1411" t="n">
        <f aca="false">ROUNDDOWN(B101*I102/B102,0)</f>
        <v>0</v>
      </c>
      <c r="J101" s="1412" t="n">
        <f aca="false">B101-C101-D101-G101-H101-I101</f>
        <v>0</v>
      </c>
      <c r="K101" s="1404"/>
      <c r="L101" s="1413" t="n">
        <f aca="false">SUM(I101:J101)</f>
        <v>0</v>
      </c>
    </row>
    <row r="102" s="1406" customFormat="true" ht="15" hidden="false" customHeight="true" outlineLevel="0" collapsed="false">
      <c r="A102" s="1537" t="s">
        <v>823</v>
      </c>
      <c r="B102" s="1474" t="n">
        <f aca="false">SUM(C102:J102)</f>
        <v>103.72</v>
      </c>
      <c r="C102" s="1538" t="n">
        <f aca="false">C100*2</f>
        <v>92.98</v>
      </c>
      <c r="D102" s="1539" t="n">
        <f aca="false">D100*2</f>
        <v>4.64</v>
      </c>
      <c r="E102" s="1539"/>
      <c r="F102" s="1540" t="s">
        <v>635</v>
      </c>
      <c r="G102" s="1541" t="n">
        <f aca="false">G100*2</f>
        <v>1.1</v>
      </c>
      <c r="H102" s="1542" t="n">
        <f aca="false">H100*2</f>
        <v>0.2</v>
      </c>
      <c r="I102" s="1543" t="n">
        <f aca="false">I100*2</f>
        <v>0.024</v>
      </c>
      <c r="J102" s="1544" t="n">
        <f aca="false">J100*2</f>
        <v>4.776</v>
      </c>
      <c r="L102" s="1423" t="n">
        <f aca="false">L100*2</f>
        <v>4.8</v>
      </c>
    </row>
    <row r="103" customFormat="false" ht="30" hidden="false" customHeight="true" outlineLevel="0" collapsed="false">
      <c r="A103" s="1424" t="s">
        <v>763</v>
      </c>
      <c r="B103" s="1425" t="n">
        <f aca="false">'☆短期集計R7'!B28+'☆短期集計R7'!D28</f>
        <v>614527425</v>
      </c>
      <c r="C103" s="1426" t="n">
        <f aca="false">C99+C101</f>
        <v>550894330</v>
      </c>
      <c r="D103" s="1427" t="n">
        <f aca="false">D99+D101</f>
        <v>27491392</v>
      </c>
      <c r="E103" s="1427"/>
      <c r="F103" s="1428" t="s">
        <v>635</v>
      </c>
      <c r="G103" s="1427" t="n">
        <f aca="false">G99+G101</f>
        <v>6517356</v>
      </c>
      <c r="H103" s="1426" t="n">
        <f aca="false">H99+H101</f>
        <v>1184973</v>
      </c>
      <c r="I103" s="1427" t="n">
        <f aca="false">I99+I101</f>
        <v>142196</v>
      </c>
      <c r="J103" s="1429" t="n">
        <f aca="false">J99+J101</f>
        <v>28297178</v>
      </c>
      <c r="L103" s="1430" t="n">
        <f aca="false">L99+L101</f>
        <v>28439374</v>
      </c>
    </row>
    <row r="104" s="1431" customFormat="true" ht="20.1" hidden="false" customHeight="true" outlineLevel="0" collapsed="false">
      <c r="C104" s="1432" t="s">
        <v>826</v>
      </c>
      <c r="D104" s="1433" t="s">
        <v>827</v>
      </c>
      <c r="E104" s="1433"/>
      <c r="F104" s="1432" t="s">
        <v>828</v>
      </c>
      <c r="G104" s="1432" t="s">
        <v>829</v>
      </c>
      <c r="H104" s="1434" t="s">
        <v>830</v>
      </c>
      <c r="I104" s="1434" t="s">
        <v>831</v>
      </c>
      <c r="J104" s="1434" t="s">
        <v>832</v>
      </c>
      <c r="L104" s="1435"/>
    </row>
    <row r="105" s="1089" customFormat="true" ht="13.5" hidden="false" customHeight="true" outlineLevel="0" collapsed="false">
      <c r="C105" s="1436"/>
      <c r="D105" s="1437"/>
      <c r="E105" s="1437"/>
      <c r="F105" s="1436"/>
      <c r="G105" s="1437"/>
      <c r="H105" s="1437"/>
      <c r="I105" s="1437"/>
      <c r="J105" s="1437"/>
      <c r="L105" s="1438"/>
    </row>
    <row r="106" customFormat="false" ht="20.1" hidden="false" customHeight="true" outlineLevel="0" collapsed="false">
      <c r="A106" s="796" t="s">
        <v>238</v>
      </c>
      <c r="B106" s="1089"/>
      <c r="C106" s="1089"/>
      <c r="D106" s="1089"/>
      <c r="E106" s="1089"/>
      <c r="F106" s="1089"/>
      <c r="G106" s="1377"/>
      <c r="H106" s="1089"/>
      <c r="I106" s="1089"/>
      <c r="J106" s="1089"/>
      <c r="L106" s="1378" t="s">
        <v>812</v>
      </c>
    </row>
    <row r="107" s="945" customFormat="true" ht="30" hidden="false" customHeight="true" outlineLevel="0" collapsed="false">
      <c r="A107" s="1379" t="s">
        <v>483</v>
      </c>
      <c r="B107" s="1380" t="s">
        <v>813</v>
      </c>
      <c r="C107" s="1381" t="s">
        <v>814</v>
      </c>
      <c r="D107" s="1439" t="s">
        <v>815</v>
      </c>
      <c r="E107" s="1440" t="s">
        <v>833</v>
      </c>
      <c r="F107" s="1441" t="s">
        <v>834</v>
      </c>
      <c r="G107" s="1442" t="s">
        <v>817</v>
      </c>
      <c r="H107" s="1382" t="s">
        <v>818</v>
      </c>
      <c r="I107" s="1382" t="s">
        <v>819</v>
      </c>
      <c r="J107" s="1384" t="s">
        <v>820</v>
      </c>
      <c r="L107" s="1385" t="s">
        <v>821</v>
      </c>
    </row>
    <row r="108" customFormat="false" ht="32.25" hidden="false" customHeight="true" outlineLevel="0" collapsed="false">
      <c r="A108" s="1443" t="s">
        <v>852</v>
      </c>
      <c r="B108" s="1387" t="n">
        <f aca="false">B114-B110-B112</f>
        <v>494518705</v>
      </c>
      <c r="C108" s="1388" t="n">
        <f aca="false">ROUNDDOWN(B108*C109/B109,0)</f>
        <v>435998001</v>
      </c>
      <c r="D108" s="1444" t="n">
        <f aca="false">ROUNDDOWN(B108*D109/B109,0)</f>
        <v>21757697</v>
      </c>
      <c r="E108" s="1445" t="n">
        <f aca="false">ROUNDDOWN(B108*E109/B109,0)</f>
        <v>7690220</v>
      </c>
      <c r="F108" s="1446" t="n">
        <f aca="false">ROUNDDOWN(B108*F109/B109,0)</f>
        <v>468915</v>
      </c>
      <c r="G108" s="1446" t="n">
        <f aca="false">ROUNDDOWN(B108*G109/B109,0)</f>
        <v>5158074</v>
      </c>
      <c r="H108" s="1446" t="n">
        <f aca="false">ROUNDDOWN(B108*H109/B109,0)</f>
        <v>937831</v>
      </c>
      <c r="I108" s="1446" t="n">
        <f aca="false">ROUNDDOWN(B108*I109/B109,0)</f>
        <v>112539</v>
      </c>
      <c r="J108" s="1447" t="n">
        <f aca="false">B108-C108-D108-E108-F108-G108-H108-I108</f>
        <v>22395428</v>
      </c>
      <c r="L108" s="1448" t="n">
        <f aca="false">SUM(I108:J108)</f>
        <v>22507967</v>
      </c>
    </row>
    <row r="109" s="1536" customFormat="true" ht="15" hidden="false" customHeight="true" outlineLevel="0" collapsed="false">
      <c r="A109" s="1529" t="s">
        <v>823</v>
      </c>
      <c r="B109" s="1463" t="n">
        <f aca="false">SUM(C109:J109)</f>
        <v>52.73</v>
      </c>
      <c r="C109" s="1545" t="n">
        <f aca="false">$C$16</f>
        <v>46.49</v>
      </c>
      <c r="D109" s="1465" t="n">
        <f aca="false">$D$16</f>
        <v>2.32</v>
      </c>
      <c r="E109" s="1546" t="n">
        <f aca="false">$E$16</f>
        <v>0.82</v>
      </c>
      <c r="F109" s="1547" t="n">
        <f aca="false">$F$16</f>
        <v>0.05</v>
      </c>
      <c r="G109" s="1547" t="n">
        <f aca="false">$G$16</f>
        <v>0.55</v>
      </c>
      <c r="H109" s="1548" t="n">
        <f aca="false">$H$16</f>
        <v>0.1</v>
      </c>
      <c r="I109" s="1549" t="n">
        <f aca="false">$I$16</f>
        <v>0.012</v>
      </c>
      <c r="J109" s="1550" t="n">
        <f aca="false">$J$16</f>
        <v>2.388</v>
      </c>
      <c r="K109" s="1406"/>
      <c r="L109" s="1457" t="n">
        <f aca="false">SUM(I109:J109)</f>
        <v>2.4</v>
      </c>
    </row>
    <row r="110" customFormat="false" ht="32.25" hidden="false" customHeight="true" outlineLevel="0" collapsed="false">
      <c r="A110" s="1386" t="s">
        <v>836</v>
      </c>
      <c r="B110" s="1387" t="n">
        <f aca="false">'☆掛負収入'!I241+'☆掛負収入'!I242</f>
        <v>128353348</v>
      </c>
      <c r="C110" s="1388" t="n">
        <f aca="false">ROUNDDOWN((B110-E110)/B111*C111,0)</f>
        <v>114934362</v>
      </c>
      <c r="D110" s="1458" t="n">
        <f aca="false">ROUNDDOWN((B110-E110)/B111*D111,0)</f>
        <v>5735593</v>
      </c>
      <c r="E110" s="1459" t="n">
        <f aca="false">ROUNDDOWN(B121*E95/1000,0)</f>
        <v>19454</v>
      </c>
      <c r="F110" s="1388" t="n">
        <f aca="false">ROUNDDOWN((B110-E110)/B111*F111,0)</f>
        <v>123611</v>
      </c>
      <c r="G110" s="1388" t="n">
        <f aca="false">ROUNDDOWN((B110-E110)/B111*G111,0)</f>
        <v>1359731</v>
      </c>
      <c r="H110" s="1409" t="n">
        <f aca="false">ROUNDDOWN((B110-E110)/B111*H111,0)</f>
        <v>247223</v>
      </c>
      <c r="I110" s="1409" t="n">
        <f aca="false">ROUNDDOWN((B110-E110)/B111*I111,0)</f>
        <v>29666</v>
      </c>
      <c r="J110" s="1460" t="n">
        <f aca="false">B110-C110-D110-E110-F110-G110-H110-I110</f>
        <v>5903708</v>
      </c>
      <c r="K110" s="1404" t="s">
        <v>824</v>
      </c>
      <c r="L110" s="1461" t="n">
        <f aca="false">SUM(I110:J110)</f>
        <v>5933374</v>
      </c>
    </row>
    <row r="111" s="1406" customFormat="true" ht="15" hidden="false" customHeight="true" outlineLevel="0" collapsed="false">
      <c r="A111" s="1551" t="s">
        <v>823</v>
      </c>
      <c r="B111" s="1463" t="n">
        <f aca="false">SUM(C111:J111)</f>
        <v>51.91</v>
      </c>
      <c r="C111" s="1464" t="n">
        <f aca="false">C109</f>
        <v>46.49</v>
      </c>
      <c r="D111" s="1465" t="n">
        <f aca="false">D109</f>
        <v>2.32</v>
      </c>
      <c r="E111" s="1466" t="s">
        <v>837</v>
      </c>
      <c r="F111" s="1467" t="n">
        <f aca="false">F109</f>
        <v>0.05</v>
      </c>
      <c r="G111" s="1467" t="n">
        <f aca="false">G109</f>
        <v>0.55</v>
      </c>
      <c r="H111" s="1468" t="n">
        <f aca="false">H109</f>
        <v>0.1</v>
      </c>
      <c r="I111" s="1469" t="n">
        <f aca="false">I109</f>
        <v>0.012</v>
      </c>
      <c r="J111" s="1470" t="n">
        <f aca="false">J109</f>
        <v>2.388</v>
      </c>
      <c r="K111" s="1404"/>
      <c r="L111" s="1471" t="n">
        <f aca="false">SUM(I111:J111)</f>
        <v>2.4</v>
      </c>
    </row>
    <row r="112" customFormat="false" ht="32.25" hidden="false" customHeight="true" outlineLevel="0" collapsed="false">
      <c r="A112" s="1472" t="s">
        <v>838</v>
      </c>
      <c r="B112" s="1387" t="n">
        <f aca="false">'☆掛負収入'!I258+E112</f>
        <v>57693</v>
      </c>
      <c r="C112" s="1388" t="n">
        <f aca="false">ROUNDDOWN((B112-E112)/B113*C113,0)</f>
        <v>51417</v>
      </c>
      <c r="D112" s="1458" t="n">
        <f aca="false">ROUNDDOWN((B112-E112)/B113*D113,0)</f>
        <v>2565</v>
      </c>
      <c r="E112" s="1473" t="n">
        <f aca="false">'☆労組公的負担（短期）'!F9</f>
        <v>281</v>
      </c>
      <c r="F112" s="1388" t="n">
        <f aca="false">ROUNDDOWN((B112-E112)/B113*F113,0)</f>
        <v>55</v>
      </c>
      <c r="G112" s="1388" t="n">
        <f aca="false">ROUNDDOWN((B112-E112)/B113*G113,0)</f>
        <v>608</v>
      </c>
      <c r="H112" s="1409" t="n">
        <f aca="false">H114-H108-H110</f>
        <v>113</v>
      </c>
      <c r="I112" s="1409" t="n">
        <f aca="false">I114-I108-I110</f>
        <v>16</v>
      </c>
      <c r="J112" s="1460" t="n">
        <f aca="false">B112-C112-D112-E112-F112-G112-H112-I112</f>
        <v>2638</v>
      </c>
      <c r="L112" s="1461" t="n">
        <f aca="false">SUM(I112:J112)</f>
        <v>2654</v>
      </c>
    </row>
    <row r="113" s="1406" customFormat="true" ht="15" hidden="false" customHeight="true" outlineLevel="0" collapsed="false">
      <c r="A113" s="1537" t="s">
        <v>823</v>
      </c>
      <c r="B113" s="1474" t="n">
        <f aca="false">SUM(C113:J113)</f>
        <v>51.91</v>
      </c>
      <c r="C113" s="1464" t="n">
        <f aca="false">C109</f>
        <v>46.49</v>
      </c>
      <c r="D113" s="1465" t="n">
        <f aca="false">D109</f>
        <v>2.32</v>
      </c>
      <c r="E113" s="1475" t="s">
        <v>839</v>
      </c>
      <c r="F113" s="1476" t="n">
        <f aca="false">F109</f>
        <v>0.05</v>
      </c>
      <c r="G113" s="1476" t="n">
        <f aca="false">G109</f>
        <v>0.55</v>
      </c>
      <c r="H113" s="1477" t="n">
        <f aca="false">H109</f>
        <v>0.1</v>
      </c>
      <c r="I113" s="1478" t="n">
        <f aca="false">I109</f>
        <v>0.012</v>
      </c>
      <c r="J113" s="1479" t="n">
        <f aca="false">J109</f>
        <v>2.388</v>
      </c>
      <c r="L113" s="1480" t="n">
        <f aca="false">SUM(I113:J113)</f>
        <v>2.4</v>
      </c>
    </row>
    <row r="114" customFormat="false" ht="30" hidden="false" customHeight="true" outlineLevel="0" collapsed="false">
      <c r="A114" s="1424" t="s">
        <v>763</v>
      </c>
      <c r="B114" s="1481" t="n">
        <f aca="false">'☆掛負収入'!I260</f>
        <v>622929746</v>
      </c>
      <c r="C114" s="1482" t="n">
        <f aca="false">C108+C110+C112</f>
        <v>550983780</v>
      </c>
      <c r="D114" s="1483" t="n">
        <f aca="false">D108+D110+D112</f>
        <v>27495855</v>
      </c>
      <c r="E114" s="1484" t="n">
        <f aca="false">E108+E110+E112</f>
        <v>7709955</v>
      </c>
      <c r="F114" s="1485" t="n">
        <f aca="false">F108+F110+F112</f>
        <v>592581</v>
      </c>
      <c r="G114" s="1485" t="n">
        <f aca="false">G108+G110+G112</f>
        <v>6518413</v>
      </c>
      <c r="H114" s="1485" t="n">
        <f aca="false">ROUNDDOWN((B119+B88)*H95/1000,0)-H88-H103</f>
        <v>1185167</v>
      </c>
      <c r="I114" s="1485" t="n">
        <f aca="false">ROUNDDOWN((B119+B88)*I95/1000,0)-H90-I103</f>
        <v>142221</v>
      </c>
      <c r="J114" s="1552" t="n">
        <f aca="false">J108+J110+J112</f>
        <v>28301774</v>
      </c>
      <c r="L114" s="1488" t="n">
        <f aca="false">SUM(I114:J114)</f>
        <v>28443995</v>
      </c>
    </row>
    <row r="115" s="1432" customFormat="true" ht="20.1" hidden="false" customHeight="true" outlineLevel="0" collapsed="false">
      <c r="C115" s="1432" t="s">
        <v>826</v>
      </c>
      <c r="D115" s="1432" t="s">
        <v>827</v>
      </c>
      <c r="E115" s="1432" t="s">
        <v>827</v>
      </c>
      <c r="F115" s="1432" t="s">
        <v>828</v>
      </c>
      <c r="G115" s="1432" t="s">
        <v>829</v>
      </c>
      <c r="H115" s="1432" t="s">
        <v>830</v>
      </c>
      <c r="I115" s="1432" t="s">
        <v>831</v>
      </c>
      <c r="J115" s="1432" t="s">
        <v>832</v>
      </c>
      <c r="L115" s="1489"/>
    </row>
    <row r="116" s="789" customFormat="true" ht="18.75" hidden="false" customHeight="true" outlineLevel="0" collapsed="false">
      <c r="A116" s="1490" t="s">
        <v>840</v>
      </c>
      <c r="B116" s="1491" t="n">
        <f aca="false">B103+B114</f>
        <v>1237457171</v>
      </c>
      <c r="C116" s="1492"/>
      <c r="D116" s="1492"/>
      <c r="E116" s="1492"/>
      <c r="F116" s="1564"/>
      <c r="J116" s="1565" t="s">
        <v>854</v>
      </c>
      <c r="K116" s="1565"/>
      <c r="L116" s="1565"/>
    </row>
    <row r="117" s="789" customFormat="true" ht="18.75" hidden="false" customHeight="true" outlineLevel="0" collapsed="false">
      <c r="A117" s="1502"/>
      <c r="B117" s="1495"/>
      <c r="C117" s="1496" t="s">
        <v>841</v>
      </c>
      <c r="D117" s="1497"/>
      <c r="E117" s="1498"/>
      <c r="F117" s="1499" t="s">
        <v>842</v>
      </c>
      <c r="G117" s="1498"/>
      <c r="H117" s="1500" t="n">
        <f aca="false">G103+G114</f>
        <v>13035769</v>
      </c>
      <c r="I117" s="1501" t="s">
        <v>544</v>
      </c>
      <c r="J117" s="1566" t="s">
        <v>855</v>
      </c>
      <c r="K117" s="1566"/>
      <c r="L117" s="1567" t="n">
        <f aca="false">L6+L37+L68</f>
        <v>48477123</v>
      </c>
    </row>
    <row r="118" s="789" customFormat="true" ht="18.75" hidden="false" customHeight="true" outlineLevel="0" collapsed="false">
      <c r="A118" s="1502" t="s">
        <v>843</v>
      </c>
      <c r="B118" s="1503"/>
      <c r="C118" s="1504"/>
      <c r="D118" s="1505"/>
      <c r="E118" s="1500" t="n">
        <f aca="false">C103+C114</f>
        <v>1101878110</v>
      </c>
      <c r="F118" s="1506" t="str">
        <f aca="false">IF(H117=('☆拠出金明細R7'!V13-H86),"　","明細と不一致!")</f>
        <v>　</v>
      </c>
      <c r="G118" s="1507" t="n">
        <f aca="false">B119</f>
        <v>11850699000</v>
      </c>
      <c r="H118" s="1508" t="n">
        <f aca="false">G95</f>
        <v>1.1</v>
      </c>
      <c r="I118" s="1500"/>
      <c r="J118" s="1566" t="s">
        <v>856</v>
      </c>
      <c r="K118" s="1566"/>
      <c r="L118" s="1567" t="n">
        <f aca="false">L99</f>
        <v>28439374</v>
      </c>
    </row>
    <row r="119" s="789" customFormat="true" ht="18.75" hidden="false" customHeight="true" outlineLevel="0" collapsed="false">
      <c r="A119" s="1509" t="s">
        <v>690</v>
      </c>
      <c r="B119" s="1510" t="n">
        <f aca="false">ROUNDUP(((H86+H117)/G95*1000)-B88,-3)</f>
        <v>11850699000</v>
      </c>
      <c r="C119" s="1496" t="s">
        <v>844</v>
      </c>
      <c r="D119" s="1497"/>
      <c r="E119" s="1511"/>
      <c r="F119" s="1499" t="s">
        <v>845</v>
      </c>
      <c r="G119" s="1498"/>
      <c r="H119" s="1500" t="n">
        <f aca="false">H103+H114</f>
        <v>2370140</v>
      </c>
      <c r="I119" s="1094" t="s">
        <v>545</v>
      </c>
      <c r="J119" s="1566" t="s">
        <v>857</v>
      </c>
      <c r="K119" s="1566"/>
      <c r="L119" s="1567" t="n">
        <f aca="false">L8+L39+L70+L101</f>
        <v>4765122</v>
      </c>
    </row>
    <row r="120" s="1406" customFormat="true" ht="18.75" hidden="false" customHeight="true" outlineLevel="0" collapsed="false">
      <c r="A120" s="1509"/>
      <c r="B120" s="1510"/>
      <c r="C120" s="1512"/>
      <c r="D120" s="1505"/>
      <c r="E120" s="1500" t="n">
        <f aca="false">D103+D114+E114</f>
        <v>62697202</v>
      </c>
      <c r="F120" s="1506" t="str">
        <f aca="false">IF(H119=('☆拠出金明細R7'!AD12-H88),"　","明細と不一致!")</f>
        <v>　</v>
      </c>
      <c r="G120" s="1507" t="n">
        <f aca="false">B119</f>
        <v>11850699000</v>
      </c>
      <c r="H120" s="1508" t="n">
        <f aca="false">H95</f>
        <v>0.2</v>
      </c>
      <c r="I120" s="1094"/>
      <c r="J120" s="1566" t="s">
        <v>858</v>
      </c>
      <c r="K120" s="1566"/>
      <c r="L120" s="1567" t="n">
        <f aca="false">L15+L17+L46+L48+L77+L79</f>
        <v>48466795</v>
      </c>
    </row>
    <row r="121" customFormat="false" ht="18.75" hidden="false" customHeight="true" outlineLevel="0" collapsed="false">
      <c r="A121" s="1514" t="s">
        <v>859</v>
      </c>
      <c r="B121" s="1515" t="n">
        <v>23725000</v>
      </c>
      <c r="C121" s="1516" t="s">
        <v>847</v>
      </c>
      <c r="D121" s="1518"/>
      <c r="E121" s="1498"/>
      <c r="F121" s="1518" t="s">
        <v>848</v>
      </c>
      <c r="G121" s="1497"/>
      <c r="H121" s="1500" t="n">
        <f aca="false">I103+I114</f>
        <v>284417</v>
      </c>
      <c r="I121" s="1094" t="s">
        <v>546</v>
      </c>
      <c r="J121" s="1566" t="s">
        <v>860</v>
      </c>
      <c r="K121" s="1566"/>
      <c r="L121" s="1567" t="n">
        <f aca="false">L108+L110</f>
        <v>28441341</v>
      </c>
    </row>
    <row r="122" customFormat="false" ht="18.75" hidden="false" customHeight="true" outlineLevel="0" collapsed="false">
      <c r="A122" s="1514"/>
      <c r="B122" s="1515"/>
      <c r="C122" s="1519"/>
      <c r="D122" s="1506" t="str">
        <f aca="false">IF(E122=('☆拠出金明細R7'!K13-E91),"　","明細と不一致!")</f>
        <v>　</v>
      </c>
      <c r="E122" s="1500" t="n">
        <f aca="false">F114</f>
        <v>592581</v>
      </c>
      <c r="F122" s="1506" t="str">
        <f aca="false">IF(H121=('☆拠出金明細R7'!AN13-H90),"　","明細と不一致!")</f>
        <v>　</v>
      </c>
      <c r="G122" s="1507" t="n">
        <f aca="false">B119</f>
        <v>11850699000</v>
      </c>
      <c r="H122" s="1520" t="n">
        <f aca="false">I95</f>
        <v>0.024</v>
      </c>
      <c r="J122" s="1566" t="s">
        <v>861</v>
      </c>
      <c r="K122" s="1566"/>
      <c r="L122" s="1567" t="n">
        <f aca="false">L19+L50+L81</f>
        <v>6690</v>
      </c>
    </row>
    <row r="123" customFormat="false" ht="18.75" hidden="false" customHeight="true" outlineLevel="0" collapsed="false">
      <c r="A123" s="1278"/>
      <c r="B123" s="1521"/>
      <c r="C123" s="1516" t="s">
        <v>849</v>
      </c>
      <c r="D123" s="1518"/>
      <c r="E123" s="1522"/>
      <c r="F123" s="1523" t="s">
        <v>850</v>
      </c>
      <c r="G123" s="1523"/>
      <c r="H123" s="1523"/>
      <c r="J123" s="1568" t="s">
        <v>862</v>
      </c>
      <c r="K123" s="1568"/>
      <c r="L123" s="1569" t="n">
        <f aca="false">L112</f>
        <v>2654</v>
      </c>
    </row>
    <row r="124" customFormat="false" ht="18.75" hidden="false" customHeight="true" outlineLevel="0" collapsed="false">
      <c r="A124" s="1278"/>
      <c r="B124" s="1521"/>
      <c r="C124" s="1524"/>
      <c r="D124" s="1511"/>
      <c r="E124" s="1500" t="n">
        <f aca="false">J103+J114</f>
        <v>56598952</v>
      </c>
      <c r="F124" s="1523"/>
      <c r="G124" s="1523"/>
      <c r="H124" s="1523"/>
      <c r="I124" s="1525"/>
      <c r="J124" s="1570" t="s">
        <v>489</v>
      </c>
      <c r="K124" s="1570"/>
      <c r="L124" s="1571" t="n">
        <f aca="false">SUM(L117:L123)</f>
        <v>158599099</v>
      </c>
    </row>
    <row r="125" s="789" customFormat="true" ht="26.25" hidden="false" customHeight="true" outlineLevel="0" collapsed="false">
      <c r="A125" s="1363" t="n">
        <f aca="false">EOMONTH(A94,1)</f>
        <v>46234</v>
      </c>
      <c r="B125" s="1364" t="s">
        <v>801</v>
      </c>
      <c r="C125" s="1365" t="s">
        <v>802</v>
      </c>
      <c r="D125" s="1130" t="s">
        <v>803</v>
      </c>
      <c r="E125" s="1130" t="s">
        <v>804</v>
      </c>
      <c r="F125" s="1130" t="s">
        <v>805</v>
      </c>
      <c r="G125" s="1130" t="s">
        <v>806</v>
      </c>
      <c r="H125" s="1130" t="s">
        <v>807</v>
      </c>
      <c r="I125" s="1130" t="s">
        <v>808</v>
      </c>
      <c r="J125" s="1366"/>
      <c r="L125" s="1367"/>
    </row>
    <row r="126" s="1369" customFormat="true" ht="26.25" hidden="false" customHeight="true" outlineLevel="0" collapsed="false">
      <c r="A126" s="1368"/>
      <c r="C126" s="1365"/>
      <c r="D126" s="1526" t="n">
        <f aca="false">$D$2</f>
        <v>4.64</v>
      </c>
      <c r="E126" s="1527" t="n">
        <f aca="false">$E$2</f>
        <v>0.82</v>
      </c>
      <c r="F126" s="1527" t="n">
        <f aca="false">$F$2</f>
        <v>0.05</v>
      </c>
      <c r="G126" s="1527" t="n">
        <f aca="false">$G$2</f>
        <v>1.1</v>
      </c>
      <c r="H126" s="1527" t="n">
        <f aca="false">$H$2</f>
        <v>0.2</v>
      </c>
      <c r="I126" s="1527" t="n">
        <f aca="false">$I$2</f>
        <v>0.024</v>
      </c>
      <c r="J126" s="1373"/>
      <c r="L126" s="1374"/>
    </row>
    <row r="127" customFormat="false" ht="13.9" hidden="false" customHeight="true" outlineLevel="0" collapsed="false">
      <c r="C127" s="1366"/>
      <c r="D127" s="1366"/>
      <c r="E127" s="1366"/>
      <c r="F127" s="1528"/>
      <c r="G127" s="1366"/>
      <c r="H127" s="1366"/>
      <c r="I127" s="1366"/>
      <c r="J127" s="1366"/>
    </row>
    <row r="128" customFormat="false" ht="20.1" hidden="false" customHeight="true" outlineLevel="0" collapsed="false">
      <c r="A128" s="796" t="s">
        <v>811</v>
      </c>
      <c r="G128" s="1377"/>
      <c r="L128" s="1378" t="s">
        <v>812</v>
      </c>
    </row>
    <row r="129" s="1222" customFormat="true" ht="30" hidden="false" customHeight="true" outlineLevel="0" collapsed="false">
      <c r="A129" s="1379" t="s">
        <v>483</v>
      </c>
      <c r="B129" s="1380" t="s">
        <v>813</v>
      </c>
      <c r="C129" s="1381" t="s">
        <v>814</v>
      </c>
      <c r="D129" s="1382" t="s">
        <v>815</v>
      </c>
      <c r="E129" s="1382"/>
      <c r="F129" s="1383" t="s">
        <v>816</v>
      </c>
      <c r="G129" s="1382" t="s">
        <v>817</v>
      </c>
      <c r="H129" s="1382" t="s">
        <v>818</v>
      </c>
      <c r="I129" s="1382" t="s">
        <v>819</v>
      </c>
      <c r="J129" s="1384" t="s">
        <v>820</v>
      </c>
      <c r="L129" s="1385" t="s">
        <v>821</v>
      </c>
    </row>
    <row r="130" customFormat="false" ht="32.25" hidden="false" customHeight="true" outlineLevel="0" collapsed="false">
      <c r="A130" s="1386" t="s">
        <v>822</v>
      </c>
      <c r="B130" s="1387" t="n">
        <f aca="false">B134-B132</f>
        <v>355477296</v>
      </c>
      <c r="C130" s="1388" t="n">
        <f aca="false">ROUNDDOWN(B130*C131/B131,0)</f>
        <v>318668328</v>
      </c>
      <c r="D130" s="1389" t="n">
        <f aca="false">ROUNDDOWN(B130*D131/B131,0)</f>
        <v>15902570</v>
      </c>
      <c r="E130" s="1389" t="n">
        <f aca="false">ROUNDDOWN(D130*E131/D131,0)</f>
        <v>0</v>
      </c>
      <c r="F130" s="1390" t="s">
        <v>635</v>
      </c>
      <c r="G130" s="1391" t="n">
        <f aca="false">ROUNDDOWN(B130*G131/B131,0)</f>
        <v>3770006</v>
      </c>
      <c r="H130" s="1392" t="n">
        <f aca="false">ROUNDDOWN(B130*H131/B131,0)</f>
        <v>685455</v>
      </c>
      <c r="I130" s="1389" t="n">
        <f aca="false">ROUNDDOWN(B130*I131/B131,0)</f>
        <v>82254</v>
      </c>
      <c r="J130" s="1393" t="n">
        <f aca="false">B130-C130-D130-G130-H130-I130</f>
        <v>16368683</v>
      </c>
      <c r="L130" s="1394" t="n">
        <f aca="false">SUM(I130:J130)</f>
        <v>16450937</v>
      </c>
    </row>
    <row r="131" s="1536" customFormat="true" ht="15" hidden="false" customHeight="true" outlineLevel="0" collapsed="false">
      <c r="A131" s="1529" t="s">
        <v>823</v>
      </c>
      <c r="B131" s="1530" t="n">
        <f aca="false">SUM(C131:J131)</f>
        <v>51.86</v>
      </c>
      <c r="C131" s="1531" t="n">
        <f aca="false">$C$7</f>
        <v>46.49</v>
      </c>
      <c r="D131" s="1532" t="n">
        <f aca="false">$D$7</f>
        <v>2.32</v>
      </c>
      <c r="E131" s="1532"/>
      <c r="F131" s="1533" t="s">
        <v>635</v>
      </c>
      <c r="G131" s="1534" t="n">
        <f aca="false">$G$7</f>
        <v>0.55</v>
      </c>
      <c r="H131" s="1467" t="n">
        <f aca="false">$H$7</f>
        <v>0.1</v>
      </c>
      <c r="I131" s="1468" t="n">
        <f aca="false">$I$7</f>
        <v>0.012</v>
      </c>
      <c r="J131" s="1535" t="n">
        <f aca="false">$J$7</f>
        <v>2.388</v>
      </c>
      <c r="K131" s="1404" t="s">
        <v>824</v>
      </c>
      <c r="L131" s="1405" t="n">
        <f aca="false">SUM(I131:J131)</f>
        <v>2.4</v>
      </c>
    </row>
    <row r="132" customFormat="false" ht="32.25" hidden="false" customHeight="true" outlineLevel="0" collapsed="false">
      <c r="A132" s="1386" t="s">
        <v>825</v>
      </c>
      <c r="B132" s="1387" t="n">
        <f aca="false">'☆短期集計R7'!D29</f>
        <v>1298881</v>
      </c>
      <c r="C132" s="1388" t="n">
        <f aca="false">ROUNDDOWN(B132*C133/B133,0)</f>
        <v>1164384</v>
      </c>
      <c r="D132" s="1407" t="n">
        <f aca="false">ROUNDDOWN(B132*D133/B133,0)</f>
        <v>58106</v>
      </c>
      <c r="E132" s="1407" t="n">
        <f aca="false">ROUNDDOWN(D132*E133/D133,0)</f>
        <v>0</v>
      </c>
      <c r="F132" s="1408" t="s">
        <v>635</v>
      </c>
      <c r="G132" s="1409" t="n">
        <f aca="false">ROUNDDOWN(B132*G133/B133,0)</f>
        <v>13775</v>
      </c>
      <c r="H132" s="1410" t="n">
        <f aca="false">ROUNDDOWN(B132*H133/B133,0)</f>
        <v>2504</v>
      </c>
      <c r="I132" s="1411" t="n">
        <f aca="false">ROUNDDOWN(B132*I133/B133,0)</f>
        <v>300</v>
      </c>
      <c r="J132" s="1412" t="n">
        <f aca="false">B132-C132-D132-G132-H132-I132</f>
        <v>59812</v>
      </c>
      <c r="K132" s="1404"/>
      <c r="L132" s="1413" t="n">
        <f aca="false">SUM(I132:J132)</f>
        <v>60112</v>
      </c>
    </row>
    <row r="133" s="1406" customFormat="true" ht="15" hidden="false" customHeight="true" outlineLevel="0" collapsed="false">
      <c r="A133" s="1537" t="s">
        <v>823</v>
      </c>
      <c r="B133" s="1474" t="n">
        <f aca="false">SUM(C133:J133)</f>
        <v>103.72</v>
      </c>
      <c r="C133" s="1538" t="n">
        <f aca="false">C131*2</f>
        <v>92.98</v>
      </c>
      <c r="D133" s="1539" t="n">
        <f aca="false">D131*2</f>
        <v>4.64</v>
      </c>
      <c r="E133" s="1539"/>
      <c r="F133" s="1540" t="s">
        <v>635</v>
      </c>
      <c r="G133" s="1541" t="n">
        <f aca="false">G131*2</f>
        <v>1.1</v>
      </c>
      <c r="H133" s="1542" t="n">
        <f aca="false">H131*2</f>
        <v>0.2</v>
      </c>
      <c r="I133" s="1543" t="n">
        <f aca="false">I131*2</f>
        <v>0.024</v>
      </c>
      <c r="J133" s="1544" t="n">
        <f aca="false">J131*2</f>
        <v>4.776</v>
      </c>
      <c r="L133" s="1423" t="n">
        <f aca="false">L131*2</f>
        <v>4.8</v>
      </c>
    </row>
    <row r="134" customFormat="false" ht="30" hidden="false" customHeight="true" outlineLevel="0" collapsed="false">
      <c r="A134" s="1424" t="s">
        <v>763</v>
      </c>
      <c r="B134" s="1425" t="n">
        <f aca="false">'☆短期集計R7'!B29+'☆短期集計R7'!D29</f>
        <v>356776177</v>
      </c>
      <c r="C134" s="1426" t="n">
        <f aca="false">C130+C132</f>
        <v>319832712</v>
      </c>
      <c r="D134" s="1427" t="n">
        <f aca="false">D130+D132</f>
        <v>15960676</v>
      </c>
      <c r="E134" s="1427"/>
      <c r="F134" s="1428" t="s">
        <v>635</v>
      </c>
      <c r="G134" s="1427" t="n">
        <f aca="false">G130+G132</f>
        <v>3783781</v>
      </c>
      <c r="H134" s="1426" t="n">
        <f aca="false">H130+H132</f>
        <v>687959</v>
      </c>
      <c r="I134" s="1427" t="n">
        <f aca="false">I130+I132</f>
        <v>82554</v>
      </c>
      <c r="J134" s="1429" t="n">
        <f aca="false">J130+J132</f>
        <v>16428495</v>
      </c>
      <c r="L134" s="1430" t="n">
        <f aca="false">L130+L132</f>
        <v>16511049</v>
      </c>
    </row>
    <row r="135" s="1431" customFormat="true" ht="20.1" hidden="false" customHeight="true" outlineLevel="0" collapsed="false">
      <c r="C135" s="1432" t="s">
        <v>826</v>
      </c>
      <c r="D135" s="1433" t="s">
        <v>827</v>
      </c>
      <c r="E135" s="1433"/>
      <c r="F135" s="1432" t="s">
        <v>828</v>
      </c>
      <c r="G135" s="1432" t="s">
        <v>829</v>
      </c>
      <c r="H135" s="1434" t="s">
        <v>830</v>
      </c>
      <c r="I135" s="1434" t="s">
        <v>831</v>
      </c>
      <c r="J135" s="1434" t="s">
        <v>832</v>
      </c>
      <c r="L135" s="1435"/>
    </row>
    <row r="136" s="1089" customFormat="true" ht="13.5" hidden="false" customHeight="true" outlineLevel="0" collapsed="false">
      <c r="C136" s="1436"/>
      <c r="D136" s="1437"/>
      <c r="E136" s="1437"/>
      <c r="F136" s="1436"/>
      <c r="G136" s="1437"/>
      <c r="H136" s="1437"/>
      <c r="I136" s="1437"/>
      <c r="J136" s="1437"/>
      <c r="L136" s="1438"/>
    </row>
    <row r="137" customFormat="false" ht="20.1" hidden="false" customHeight="true" outlineLevel="0" collapsed="false">
      <c r="A137" s="796" t="s">
        <v>238</v>
      </c>
      <c r="B137" s="1089"/>
      <c r="C137" s="1089"/>
      <c r="D137" s="1089"/>
      <c r="E137" s="1089"/>
      <c r="F137" s="1089"/>
      <c r="G137" s="1377"/>
      <c r="H137" s="1089"/>
      <c r="I137" s="1089"/>
      <c r="J137" s="1089"/>
      <c r="L137" s="1378" t="s">
        <v>812</v>
      </c>
    </row>
    <row r="138" s="945" customFormat="true" ht="30" hidden="false" customHeight="true" outlineLevel="0" collapsed="false">
      <c r="A138" s="1379" t="s">
        <v>483</v>
      </c>
      <c r="B138" s="1380" t="s">
        <v>813</v>
      </c>
      <c r="C138" s="1381" t="s">
        <v>814</v>
      </c>
      <c r="D138" s="1439" t="s">
        <v>815</v>
      </c>
      <c r="E138" s="1440" t="s">
        <v>833</v>
      </c>
      <c r="F138" s="1441" t="s">
        <v>834</v>
      </c>
      <c r="G138" s="1442" t="s">
        <v>817</v>
      </c>
      <c r="H138" s="1382" t="s">
        <v>818</v>
      </c>
      <c r="I138" s="1382" t="s">
        <v>819</v>
      </c>
      <c r="J138" s="1384" t="s">
        <v>820</v>
      </c>
      <c r="L138" s="1385" t="s">
        <v>821</v>
      </c>
    </row>
    <row r="139" customFormat="false" ht="32.25" hidden="false" customHeight="true" outlineLevel="0" collapsed="false">
      <c r="A139" s="1443" t="s">
        <v>852</v>
      </c>
      <c r="B139" s="1387" t="n">
        <f aca="false">B145-B141-B143</f>
        <v>265296597</v>
      </c>
      <c r="C139" s="1388" t="n">
        <f aca="false">ROUNDDOWN(B139*C140/B140,0)</f>
        <v>233901740</v>
      </c>
      <c r="D139" s="1444" t="n">
        <f aca="false">ROUNDDOWN(B139*D140/B140,0)</f>
        <v>11672446</v>
      </c>
      <c r="E139" s="1445" t="n">
        <f aca="false">ROUNDDOWN(B139*E140/B140,0)</f>
        <v>4125606</v>
      </c>
      <c r="F139" s="1446" t="n">
        <f aca="false">ROUNDDOWN(B139*F140/B140,0)</f>
        <v>251561</v>
      </c>
      <c r="G139" s="1446" t="n">
        <f aca="false">ROUNDDOWN(B139*G140/B140,0)</f>
        <v>2767174</v>
      </c>
      <c r="H139" s="1446" t="n">
        <f aca="false">ROUNDDOWN(B139*H140/B140,0)</f>
        <v>503122</v>
      </c>
      <c r="I139" s="1446" t="n">
        <f aca="false">ROUNDDOWN(B139*I140/B140,0)</f>
        <v>60374</v>
      </c>
      <c r="J139" s="1447" t="n">
        <f aca="false">B139-C139-D139-E139-F139-G139-H139-I139</f>
        <v>12014574</v>
      </c>
      <c r="L139" s="1448" t="n">
        <f aca="false">SUM(I139:J139)</f>
        <v>12074948</v>
      </c>
    </row>
    <row r="140" s="1536" customFormat="true" ht="15" hidden="false" customHeight="true" outlineLevel="0" collapsed="false">
      <c r="A140" s="1529" t="s">
        <v>823</v>
      </c>
      <c r="B140" s="1463" t="n">
        <f aca="false">SUM(C140:J140)</f>
        <v>52.73</v>
      </c>
      <c r="C140" s="1545" t="n">
        <f aca="false">$C$16</f>
        <v>46.49</v>
      </c>
      <c r="D140" s="1465" t="n">
        <f aca="false">$D$16</f>
        <v>2.32</v>
      </c>
      <c r="E140" s="1546" t="n">
        <f aca="false">$E$16</f>
        <v>0.82</v>
      </c>
      <c r="F140" s="1547" t="n">
        <f aca="false">$F$16</f>
        <v>0.05</v>
      </c>
      <c r="G140" s="1547" t="n">
        <f aca="false">$G$16</f>
        <v>0.55</v>
      </c>
      <c r="H140" s="1548" t="n">
        <f aca="false">$H$16</f>
        <v>0.1</v>
      </c>
      <c r="I140" s="1549" t="n">
        <f aca="false">$I$16</f>
        <v>0.012</v>
      </c>
      <c r="J140" s="1550" t="n">
        <f aca="false">$J$16</f>
        <v>2.388</v>
      </c>
      <c r="K140" s="1406"/>
      <c r="L140" s="1457" t="n">
        <f aca="false">SUM(I140:J140)</f>
        <v>2.4</v>
      </c>
    </row>
    <row r="141" customFormat="false" ht="32.25" hidden="false" customHeight="true" outlineLevel="0" collapsed="false">
      <c r="A141" s="1386" t="s">
        <v>836</v>
      </c>
      <c r="B141" s="1387" t="n">
        <f aca="false">'☆掛負収入'!I306+'☆掛負収入'!I307</f>
        <v>94872311</v>
      </c>
      <c r="C141" s="1388" t="n">
        <f aca="false">ROUNDDOWN((B141-E141)/B142*C142,0)</f>
        <v>84957057</v>
      </c>
      <c r="D141" s="1458" t="n">
        <f aca="false">ROUNDDOWN((B141-E141)/B142*D142,0)</f>
        <v>4239629</v>
      </c>
      <c r="E141" s="1459" t="n">
        <f aca="false">ROUNDDOWN(B152*E126/1000,0)</f>
        <v>10602</v>
      </c>
      <c r="F141" s="1388" t="n">
        <f aca="false">ROUNDDOWN((B141-E141)/B142*F142,0)</f>
        <v>91371</v>
      </c>
      <c r="G141" s="1388" t="n">
        <f aca="false">ROUNDDOWN((B141-E141)/B142*G142,0)</f>
        <v>1005084</v>
      </c>
      <c r="H141" s="1409" t="n">
        <f aca="false">ROUNDDOWN((B141-E141)/B142*H142,0)</f>
        <v>182742</v>
      </c>
      <c r="I141" s="1409" t="n">
        <f aca="false">ROUNDDOWN((B141-E141)/B142*I142,0)</f>
        <v>21929</v>
      </c>
      <c r="J141" s="1460" t="n">
        <f aca="false">B141-C141-D141-E141-F141-G141-H141-I141</f>
        <v>4363897</v>
      </c>
      <c r="K141" s="1404" t="s">
        <v>824</v>
      </c>
      <c r="L141" s="1461" t="n">
        <f aca="false">SUM(I141:J141)</f>
        <v>4385826</v>
      </c>
    </row>
    <row r="142" s="1406" customFormat="true" ht="15" hidden="false" customHeight="true" outlineLevel="0" collapsed="false">
      <c r="A142" s="1551" t="s">
        <v>823</v>
      </c>
      <c r="B142" s="1463" t="n">
        <f aca="false">SUM(C142:J142)</f>
        <v>51.91</v>
      </c>
      <c r="C142" s="1464" t="n">
        <f aca="false">C140</f>
        <v>46.49</v>
      </c>
      <c r="D142" s="1465" t="n">
        <f aca="false">D140</f>
        <v>2.32</v>
      </c>
      <c r="E142" s="1466" t="s">
        <v>837</v>
      </c>
      <c r="F142" s="1467" t="n">
        <f aca="false">F140</f>
        <v>0.05</v>
      </c>
      <c r="G142" s="1467" t="n">
        <f aca="false">G140</f>
        <v>0.55</v>
      </c>
      <c r="H142" s="1468" t="n">
        <f aca="false">H140</f>
        <v>0.1</v>
      </c>
      <c r="I142" s="1469" t="n">
        <f aca="false">I140</f>
        <v>0.012</v>
      </c>
      <c r="J142" s="1470" t="n">
        <f aca="false">J140</f>
        <v>2.388</v>
      </c>
      <c r="K142" s="1404"/>
      <c r="L142" s="1471" t="n">
        <f aca="false">SUM(I142:J142)</f>
        <v>2.4</v>
      </c>
    </row>
    <row r="143" customFormat="false" ht="32.25" hidden="false" customHeight="true" outlineLevel="0" collapsed="false">
      <c r="A143" s="1472" t="s">
        <v>838</v>
      </c>
      <c r="B143" s="1387" t="n">
        <f aca="false">'☆掛負収入'!I323+E143</f>
        <v>46723</v>
      </c>
      <c r="C143" s="1388" t="n">
        <f aca="false">ROUNDDOWN((B143-E143)/B144*C144,0)</f>
        <v>41609</v>
      </c>
      <c r="D143" s="1458" t="n">
        <f aca="false">ROUNDDOWN((B143-E143)/B144*D144,0)</f>
        <v>2076</v>
      </c>
      <c r="E143" s="1473" t="n">
        <f aca="false">'☆労組公的負担（短期）'!F10</f>
        <v>262</v>
      </c>
      <c r="F143" s="1388" t="n">
        <f aca="false">ROUNDDOWN((B143-E143)/B144*F144,0)</f>
        <v>44</v>
      </c>
      <c r="G143" s="1388" t="n">
        <f aca="false">ROUNDDOWN((B143-E143)/B144*G144,0)</f>
        <v>492</v>
      </c>
      <c r="H143" s="1409" t="n">
        <f aca="false">H145-H139-H141</f>
        <v>91</v>
      </c>
      <c r="I143" s="1409" t="n">
        <f aca="false">I145-I139-I141</f>
        <v>12</v>
      </c>
      <c r="J143" s="1460" t="n">
        <f aca="false">B143-C143-D143-E143-F143-G143-H143-I143</f>
        <v>2137</v>
      </c>
      <c r="L143" s="1461" t="n">
        <f aca="false">SUM(I143:J143)</f>
        <v>2149</v>
      </c>
    </row>
    <row r="144" s="1406" customFormat="true" ht="15" hidden="false" customHeight="true" outlineLevel="0" collapsed="false">
      <c r="A144" s="1537" t="s">
        <v>823</v>
      </c>
      <c r="B144" s="1474" t="n">
        <f aca="false">SUM(C144:J144)</f>
        <v>51.91</v>
      </c>
      <c r="C144" s="1464" t="n">
        <f aca="false">C140</f>
        <v>46.49</v>
      </c>
      <c r="D144" s="1465" t="n">
        <f aca="false">D140</f>
        <v>2.32</v>
      </c>
      <c r="E144" s="1475" t="s">
        <v>839</v>
      </c>
      <c r="F144" s="1476" t="n">
        <f aca="false">F140</f>
        <v>0.05</v>
      </c>
      <c r="G144" s="1476" t="n">
        <f aca="false">G140</f>
        <v>0.55</v>
      </c>
      <c r="H144" s="1477" t="n">
        <f aca="false">H140</f>
        <v>0.1</v>
      </c>
      <c r="I144" s="1478" t="n">
        <f aca="false">I140</f>
        <v>0.012</v>
      </c>
      <c r="J144" s="1479" t="n">
        <f aca="false">J140</f>
        <v>2.388</v>
      </c>
      <c r="L144" s="1480" t="n">
        <f aca="false">SUM(I144:J144)</f>
        <v>2.4</v>
      </c>
    </row>
    <row r="145" customFormat="false" ht="30" hidden="false" customHeight="true" outlineLevel="0" collapsed="false">
      <c r="A145" s="1424" t="s">
        <v>763</v>
      </c>
      <c r="B145" s="1481" t="n">
        <f aca="false">'☆掛負収入'!I325</f>
        <v>360215631</v>
      </c>
      <c r="C145" s="1482" t="n">
        <f aca="false">C139+C141+C143</f>
        <v>318900406</v>
      </c>
      <c r="D145" s="1483" t="n">
        <f aca="false">D139+D141+D143</f>
        <v>15914151</v>
      </c>
      <c r="E145" s="1484" t="n">
        <f aca="false">E139+E141+E143</f>
        <v>4136470</v>
      </c>
      <c r="F145" s="1485" t="n">
        <f aca="false">F139+F141+F143</f>
        <v>342976</v>
      </c>
      <c r="G145" s="1485" t="n">
        <f aca="false">G139+G141+G143</f>
        <v>3772750</v>
      </c>
      <c r="H145" s="1485" t="n">
        <f aca="false">ROUNDDOWN(B150*H126/1000,0)-H134</f>
        <v>685955</v>
      </c>
      <c r="I145" s="1485" t="n">
        <f aca="false">ROUNDDOWN(B150*I126/1000,0)-I134</f>
        <v>82315</v>
      </c>
      <c r="J145" s="1486" t="n">
        <f aca="false">J139+J141+J143</f>
        <v>16380608</v>
      </c>
      <c r="K145" s="1487"/>
      <c r="L145" s="1488" t="n">
        <f aca="false">SUM(I145:J145)</f>
        <v>16462923</v>
      </c>
    </row>
    <row r="146" s="1432" customFormat="true" ht="20.1" hidden="false" customHeight="true" outlineLevel="0" collapsed="false">
      <c r="C146" s="1432" t="s">
        <v>826</v>
      </c>
      <c r="D146" s="1432" t="s">
        <v>827</v>
      </c>
      <c r="E146" s="1432" t="s">
        <v>827</v>
      </c>
      <c r="F146" s="1432" t="s">
        <v>828</v>
      </c>
      <c r="G146" s="1432" t="s">
        <v>829</v>
      </c>
      <c r="H146" s="1432" t="s">
        <v>830</v>
      </c>
      <c r="I146" s="1432" t="s">
        <v>831</v>
      </c>
      <c r="J146" s="1432" t="s">
        <v>832</v>
      </c>
      <c r="L146" s="1489"/>
    </row>
    <row r="147" s="789" customFormat="true" ht="18.75" hidden="false" customHeight="true" outlineLevel="0" collapsed="false">
      <c r="A147" s="1490" t="s">
        <v>840</v>
      </c>
      <c r="B147" s="1491" t="n">
        <f aca="false">B134+B145</f>
        <v>716991808</v>
      </c>
      <c r="C147" s="1492"/>
      <c r="D147" s="1492"/>
      <c r="E147" s="1492"/>
      <c r="K147" s="1367"/>
    </row>
    <row r="148" s="789" customFormat="true" ht="18.75" hidden="false" customHeight="true" outlineLevel="0" collapsed="false">
      <c r="A148" s="1502"/>
      <c r="B148" s="1495"/>
      <c r="C148" s="1496" t="s">
        <v>841</v>
      </c>
      <c r="D148" s="1497"/>
      <c r="E148" s="1498"/>
      <c r="F148" s="1499" t="s">
        <v>842</v>
      </c>
      <c r="G148" s="1498"/>
      <c r="H148" s="1500" t="n">
        <f aca="false">G134+G145</f>
        <v>7556531</v>
      </c>
      <c r="I148" s="1501" t="s">
        <v>544</v>
      </c>
      <c r="K148" s="1367"/>
    </row>
    <row r="149" s="789" customFormat="true" ht="18.75" hidden="false" customHeight="true" outlineLevel="0" collapsed="false">
      <c r="A149" s="1502" t="s">
        <v>843</v>
      </c>
      <c r="B149" s="1503"/>
      <c r="C149" s="1504"/>
      <c r="D149" s="1505"/>
      <c r="E149" s="1500" t="n">
        <f aca="false">C134+C145</f>
        <v>638733118</v>
      </c>
      <c r="F149" s="1506" t="str">
        <f aca="false">IF(H148='☆拠出金明細R7'!V45,"　","明細と不一致!")</f>
        <v>　</v>
      </c>
      <c r="G149" s="1507" t="n">
        <f aca="false">B150</f>
        <v>6869574000</v>
      </c>
      <c r="H149" s="1508" t="n">
        <f aca="false">G126</f>
        <v>1.1</v>
      </c>
      <c r="I149" s="1500"/>
      <c r="K149" s="1367"/>
    </row>
    <row r="150" s="789" customFormat="true" ht="18.75" hidden="false" customHeight="true" outlineLevel="0" collapsed="false">
      <c r="A150" s="1509" t="s">
        <v>690</v>
      </c>
      <c r="B150" s="1510" t="n">
        <f aca="false">ROUNDUP(H148/G126*1000,-3)</f>
        <v>6869574000</v>
      </c>
      <c r="C150" s="1496" t="s">
        <v>844</v>
      </c>
      <c r="D150" s="1497"/>
      <c r="E150" s="1511"/>
      <c r="F150" s="1499" t="s">
        <v>845</v>
      </c>
      <c r="G150" s="1498"/>
      <c r="H150" s="1500" t="n">
        <f aca="false">H134+H145</f>
        <v>1373914</v>
      </c>
      <c r="I150" s="1094" t="s">
        <v>545</v>
      </c>
      <c r="K150" s="1367"/>
    </row>
    <row r="151" s="1406" customFormat="true" ht="18.75" hidden="false" customHeight="true" outlineLevel="0" collapsed="false">
      <c r="A151" s="1509"/>
      <c r="B151" s="1510"/>
      <c r="C151" s="1512"/>
      <c r="D151" s="1505"/>
      <c r="E151" s="1500" t="n">
        <f aca="false">D134+D145+E145</f>
        <v>36011297</v>
      </c>
      <c r="F151" s="1506" t="str">
        <f aca="false">IF(H150='☆拠出金明細R7'!AD42,"　","明細と不一致!")</f>
        <v>　</v>
      </c>
      <c r="G151" s="1507" t="n">
        <f aca="false">B150</f>
        <v>6869574000</v>
      </c>
      <c r="H151" s="1508" t="n">
        <f aca="false">H126</f>
        <v>0.2</v>
      </c>
      <c r="I151" s="1094"/>
      <c r="K151" s="1513"/>
    </row>
    <row r="152" customFormat="false" ht="18.75" hidden="false" customHeight="true" outlineLevel="0" collapsed="false">
      <c r="A152" s="1514" t="s">
        <v>846</v>
      </c>
      <c r="B152" s="1515" t="n">
        <v>12930000</v>
      </c>
      <c r="C152" s="1516" t="s">
        <v>847</v>
      </c>
      <c r="D152" s="1518"/>
      <c r="E152" s="1498"/>
      <c r="F152" s="1518" t="s">
        <v>848</v>
      </c>
      <c r="G152" s="1497"/>
      <c r="H152" s="1500" t="n">
        <f aca="false">I134+I145</f>
        <v>164869</v>
      </c>
      <c r="I152" s="1094" t="s">
        <v>546</v>
      </c>
      <c r="K152" s="1362"/>
      <c r="L152" s="607"/>
    </row>
    <row r="153" customFormat="false" ht="18.75" hidden="false" customHeight="true" outlineLevel="0" collapsed="false">
      <c r="A153" s="1514"/>
      <c r="B153" s="1515"/>
      <c r="C153" s="1519"/>
      <c r="D153" s="1506" t="str">
        <f aca="false">IF(E153='☆拠出金明細R7'!K45,"　","明細と不一致!")</f>
        <v>　</v>
      </c>
      <c r="E153" s="1500" t="n">
        <f aca="false">F145</f>
        <v>342976</v>
      </c>
      <c r="F153" s="1506" t="str">
        <f aca="false">IF(H152='☆拠出金明細R7'!AN45,"　","明細と不一致!")</f>
        <v>　</v>
      </c>
      <c r="G153" s="1507" t="n">
        <f aca="false">B150</f>
        <v>6869574000</v>
      </c>
      <c r="H153" s="1520" t="n">
        <f aca="false">I126</f>
        <v>0.024</v>
      </c>
      <c r="K153" s="1362"/>
      <c r="L153" s="607"/>
    </row>
    <row r="154" customFormat="false" ht="18.75" hidden="false" customHeight="true" outlineLevel="0" collapsed="false">
      <c r="A154" s="1278"/>
      <c r="B154" s="1521"/>
      <c r="C154" s="1516" t="s">
        <v>849</v>
      </c>
      <c r="D154" s="1518"/>
      <c r="E154" s="1522"/>
      <c r="F154" s="1523" t="s">
        <v>850</v>
      </c>
      <c r="G154" s="1523"/>
      <c r="H154" s="1523"/>
      <c r="K154" s="1362"/>
      <c r="L154" s="607"/>
    </row>
    <row r="155" customFormat="false" ht="18.75" hidden="false" customHeight="true" outlineLevel="0" collapsed="false">
      <c r="A155" s="1278"/>
      <c r="B155" s="1521"/>
      <c r="C155" s="1524"/>
      <c r="D155" s="1511"/>
      <c r="E155" s="1500" t="n">
        <f aca="false">J134+J145</f>
        <v>32809103</v>
      </c>
      <c r="F155" s="1523"/>
      <c r="G155" s="1523"/>
      <c r="H155" s="1523"/>
      <c r="I155" s="1525"/>
      <c r="K155" s="1362"/>
      <c r="L155" s="607"/>
    </row>
    <row r="156" s="789" customFormat="true" ht="26.25" hidden="false" customHeight="true" outlineLevel="0" collapsed="false">
      <c r="A156" s="1363" t="n">
        <f aca="false">EOMONTH(A125,1)</f>
        <v>46265</v>
      </c>
      <c r="B156" s="1364" t="s">
        <v>801</v>
      </c>
      <c r="C156" s="1365" t="s">
        <v>802</v>
      </c>
      <c r="D156" s="1130" t="s">
        <v>803</v>
      </c>
      <c r="E156" s="1130" t="s">
        <v>804</v>
      </c>
      <c r="F156" s="1130" t="s">
        <v>805</v>
      </c>
      <c r="G156" s="1130" t="s">
        <v>806</v>
      </c>
      <c r="H156" s="1130" t="s">
        <v>807</v>
      </c>
      <c r="I156" s="1130" t="s">
        <v>808</v>
      </c>
      <c r="J156" s="1366"/>
      <c r="L156" s="1367"/>
    </row>
    <row r="157" s="1369" customFormat="true" ht="26.25" hidden="false" customHeight="true" outlineLevel="0" collapsed="false">
      <c r="A157" s="1368"/>
      <c r="C157" s="1365"/>
      <c r="D157" s="1526" t="n">
        <f aca="false">$D$2</f>
        <v>4.64</v>
      </c>
      <c r="E157" s="1527" t="n">
        <f aca="false">$E$2</f>
        <v>0.82</v>
      </c>
      <c r="F157" s="1527" t="n">
        <f aca="false">$F$2</f>
        <v>0.05</v>
      </c>
      <c r="G157" s="1527" t="n">
        <f aca="false">$G$2</f>
        <v>1.1</v>
      </c>
      <c r="H157" s="1527" t="n">
        <f aca="false">$H$2</f>
        <v>0.2</v>
      </c>
      <c r="I157" s="1527" t="n">
        <f aca="false">$I$2</f>
        <v>0.024</v>
      </c>
      <c r="J157" s="1373"/>
      <c r="L157" s="1374"/>
    </row>
    <row r="158" customFormat="false" ht="13.9" hidden="false" customHeight="true" outlineLevel="0" collapsed="false">
      <c r="C158" s="1366"/>
      <c r="D158" s="1366"/>
      <c r="E158" s="1366"/>
      <c r="F158" s="1528"/>
      <c r="G158" s="1366"/>
      <c r="H158" s="1366"/>
      <c r="I158" s="1366"/>
      <c r="J158" s="1366"/>
    </row>
    <row r="159" customFormat="false" ht="20.1" hidden="false" customHeight="true" outlineLevel="0" collapsed="false">
      <c r="A159" s="796" t="s">
        <v>811</v>
      </c>
      <c r="G159" s="1377"/>
      <c r="L159" s="1378" t="s">
        <v>812</v>
      </c>
    </row>
    <row r="160" s="1222" customFormat="true" ht="30" hidden="false" customHeight="true" outlineLevel="0" collapsed="false">
      <c r="A160" s="1379" t="s">
        <v>483</v>
      </c>
      <c r="B160" s="1380" t="s">
        <v>813</v>
      </c>
      <c r="C160" s="1381" t="s">
        <v>814</v>
      </c>
      <c r="D160" s="1382" t="s">
        <v>815</v>
      </c>
      <c r="E160" s="1382"/>
      <c r="F160" s="1383" t="s">
        <v>816</v>
      </c>
      <c r="G160" s="1382" t="s">
        <v>817</v>
      </c>
      <c r="H160" s="1382" t="s">
        <v>818</v>
      </c>
      <c r="I160" s="1382" t="s">
        <v>819</v>
      </c>
      <c r="J160" s="1384" t="s">
        <v>820</v>
      </c>
      <c r="L160" s="1385" t="s">
        <v>821</v>
      </c>
    </row>
    <row r="161" customFormat="false" ht="32.25" hidden="false" customHeight="true" outlineLevel="0" collapsed="false">
      <c r="A161" s="1386" t="s">
        <v>822</v>
      </c>
      <c r="B161" s="1387" t="n">
        <f aca="false">B165-B163</f>
        <v>352107037</v>
      </c>
      <c r="C161" s="1388" t="n">
        <f aca="false">ROUNDDOWN(B161*C162/B162,0)</f>
        <v>315647052</v>
      </c>
      <c r="D161" s="1389" t="n">
        <f aca="false">ROUNDDOWN(B161*D162/B162,0)</f>
        <v>15751799</v>
      </c>
      <c r="E161" s="1389" t="n">
        <f aca="false">ROUNDDOWN(D161*E162/D162,0)</f>
        <v>0</v>
      </c>
      <c r="F161" s="1390" t="s">
        <v>635</v>
      </c>
      <c r="G161" s="1391" t="n">
        <f aca="false">ROUNDDOWN(B161*G162/B162,0)</f>
        <v>3734262</v>
      </c>
      <c r="H161" s="1392" t="n">
        <f aca="false">ROUNDDOWN(B161*H162/B162,0)</f>
        <v>678956</v>
      </c>
      <c r="I161" s="1389" t="n">
        <f aca="false">ROUNDDOWN(B161*I162/B162,0)</f>
        <v>81474</v>
      </c>
      <c r="J161" s="1393" t="n">
        <f aca="false">B161-C161-D161-G161-H161-I161</f>
        <v>16213494</v>
      </c>
      <c r="L161" s="1394" t="n">
        <f aca="false">SUM(I161:J161)</f>
        <v>16294968</v>
      </c>
    </row>
    <row r="162" s="1536" customFormat="true" ht="15" hidden="false" customHeight="true" outlineLevel="0" collapsed="false">
      <c r="A162" s="1529" t="s">
        <v>823</v>
      </c>
      <c r="B162" s="1530" t="n">
        <f aca="false">SUM(C162:J162)</f>
        <v>51.86</v>
      </c>
      <c r="C162" s="1531" t="n">
        <f aca="false">$C$7</f>
        <v>46.49</v>
      </c>
      <c r="D162" s="1532" t="n">
        <f aca="false">$D$7</f>
        <v>2.32</v>
      </c>
      <c r="E162" s="1532"/>
      <c r="F162" s="1533" t="s">
        <v>635</v>
      </c>
      <c r="G162" s="1534" t="n">
        <f aca="false">$G$7</f>
        <v>0.55</v>
      </c>
      <c r="H162" s="1467" t="n">
        <f aca="false">$H$7</f>
        <v>0.1</v>
      </c>
      <c r="I162" s="1468" t="n">
        <f aca="false">$I$7</f>
        <v>0.012</v>
      </c>
      <c r="J162" s="1535" t="n">
        <f aca="false">$J$7</f>
        <v>2.388</v>
      </c>
      <c r="K162" s="1404" t="s">
        <v>824</v>
      </c>
      <c r="L162" s="1405" t="n">
        <f aca="false">SUM(I162:J162)</f>
        <v>2.4</v>
      </c>
    </row>
    <row r="163" customFormat="false" ht="32.25" hidden="false" customHeight="true" outlineLevel="0" collapsed="false">
      <c r="A163" s="1386" t="s">
        <v>825</v>
      </c>
      <c r="B163" s="1387" t="n">
        <f aca="false">'☆短期集計R7'!D30</f>
        <v>1918883</v>
      </c>
      <c r="C163" s="1388" t="n">
        <f aca="false">ROUNDDOWN(B163*C164/B164,0)</f>
        <v>1720186</v>
      </c>
      <c r="D163" s="1407" t="n">
        <f aca="false">ROUNDDOWN(B163*D164/B164,0)</f>
        <v>85842</v>
      </c>
      <c r="E163" s="1407" t="n">
        <f aca="false">ROUNDDOWN(D163*E164/D164,0)</f>
        <v>0</v>
      </c>
      <c r="F163" s="1408" t="s">
        <v>635</v>
      </c>
      <c r="G163" s="1409" t="n">
        <f aca="false">ROUNDDOWN(B163*G164/B164,0)</f>
        <v>20350</v>
      </c>
      <c r="H163" s="1410" t="n">
        <f aca="false">ROUNDDOWN(B163*H164/B164,0)</f>
        <v>3700</v>
      </c>
      <c r="I163" s="1411" t="n">
        <f aca="false">ROUNDDOWN(B163*I164/B164,0)</f>
        <v>444</v>
      </c>
      <c r="J163" s="1412" t="n">
        <f aca="false">B163-C163-D163-G163-H163-I163</f>
        <v>88361</v>
      </c>
      <c r="K163" s="1404"/>
      <c r="L163" s="1413" t="n">
        <f aca="false">SUM(I163:J163)</f>
        <v>88805</v>
      </c>
    </row>
    <row r="164" s="1406" customFormat="true" ht="15" hidden="false" customHeight="true" outlineLevel="0" collapsed="false">
      <c r="A164" s="1537" t="s">
        <v>823</v>
      </c>
      <c r="B164" s="1474" t="n">
        <f aca="false">SUM(C164:J164)</f>
        <v>103.72</v>
      </c>
      <c r="C164" s="1538" t="n">
        <f aca="false">C162*2</f>
        <v>92.98</v>
      </c>
      <c r="D164" s="1539" t="n">
        <f aca="false">D162*2</f>
        <v>4.64</v>
      </c>
      <c r="E164" s="1539"/>
      <c r="F164" s="1540" t="s">
        <v>635</v>
      </c>
      <c r="G164" s="1541" t="n">
        <f aca="false">G162*2</f>
        <v>1.1</v>
      </c>
      <c r="H164" s="1542" t="n">
        <f aca="false">H162*2</f>
        <v>0.2</v>
      </c>
      <c r="I164" s="1543" t="n">
        <f aca="false">I162*2</f>
        <v>0.024</v>
      </c>
      <c r="J164" s="1544" t="n">
        <f aca="false">J162*2</f>
        <v>4.776</v>
      </c>
      <c r="L164" s="1423" t="n">
        <f aca="false">L162*2</f>
        <v>4.8</v>
      </c>
    </row>
    <row r="165" customFormat="false" ht="30" hidden="false" customHeight="true" outlineLevel="0" collapsed="false">
      <c r="A165" s="1424" t="s">
        <v>763</v>
      </c>
      <c r="B165" s="1425" t="n">
        <f aca="false">'☆短期集計R7'!B30+'☆短期集計R7'!D30</f>
        <v>354025920</v>
      </c>
      <c r="C165" s="1426" t="n">
        <f aca="false">C161+C163</f>
        <v>317367238</v>
      </c>
      <c r="D165" s="1427" t="n">
        <f aca="false">D161+D163</f>
        <v>15837641</v>
      </c>
      <c r="E165" s="1427"/>
      <c r="F165" s="1428" t="s">
        <v>635</v>
      </c>
      <c r="G165" s="1427" t="n">
        <f aca="false">G161+G163</f>
        <v>3754612</v>
      </c>
      <c r="H165" s="1426" t="n">
        <f aca="false">H161+H163</f>
        <v>682656</v>
      </c>
      <c r="I165" s="1427" t="n">
        <f aca="false">I161+I163</f>
        <v>81918</v>
      </c>
      <c r="J165" s="1429" t="n">
        <f aca="false">J161+J163</f>
        <v>16301855</v>
      </c>
      <c r="L165" s="1430" t="n">
        <f aca="false">L161+L163</f>
        <v>16383773</v>
      </c>
    </row>
    <row r="166" s="1431" customFormat="true" ht="20.1" hidden="false" customHeight="true" outlineLevel="0" collapsed="false">
      <c r="C166" s="1432" t="s">
        <v>826</v>
      </c>
      <c r="D166" s="1433" t="s">
        <v>827</v>
      </c>
      <c r="E166" s="1433"/>
      <c r="F166" s="1432" t="s">
        <v>828</v>
      </c>
      <c r="G166" s="1432" t="s">
        <v>829</v>
      </c>
      <c r="H166" s="1434" t="s">
        <v>830</v>
      </c>
      <c r="I166" s="1434" t="s">
        <v>831</v>
      </c>
      <c r="J166" s="1434" t="s">
        <v>832</v>
      </c>
      <c r="L166" s="1435"/>
    </row>
    <row r="167" s="1089" customFormat="true" ht="13.5" hidden="false" customHeight="true" outlineLevel="0" collapsed="false">
      <c r="C167" s="1436"/>
      <c r="D167" s="1437"/>
      <c r="E167" s="1437"/>
      <c r="F167" s="1436"/>
      <c r="G167" s="1437"/>
      <c r="H167" s="1437"/>
      <c r="I167" s="1437"/>
      <c r="J167" s="1437"/>
      <c r="L167" s="1438"/>
    </row>
    <row r="168" customFormat="false" ht="20.1" hidden="false" customHeight="true" outlineLevel="0" collapsed="false">
      <c r="A168" s="796" t="s">
        <v>238</v>
      </c>
      <c r="B168" s="1089"/>
      <c r="C168" s="1089"/>
      <c r="D168" s="1089"/>
      <c r="E168" s="1089"/>
      <c r="F168" s="1089"/>
      <c r="G168" s="1377"/>
      <c r="H168" s="1089"/>
      <c r="I168" s="1089"/>
      <c r="J168" s="1089"/>
      <c r="L168" s="1378" t="s">
        <v>812</v>
      </c>
    </row>
    <row r="169" s="945" customFormat="true" ht="30" hidden="false" customHeight="true" outlineLevel="0" collapsed="false">
      <c r="A169" s="1379" t="s">
        <v>483</v>
      </c>
      <c r="B169" s="1380" t="s">
        <v>813</v>
      </c>
      <c r="C169" s="1381" t="s">
        <v>814</v>
      </c>
      <c r="D169" s="1439" t="s">
        <v>815</v>
      </c>
      <c r="E169" s="1440" t="s">
        <v>833</v>
      </c>
      <c r="F169" s="1441" t="s">
        <v>834</v>
      </c>
      <c r="G169" s="1442" t="s">
        <v>817</v>
      </c>
      <c r="H169" s="1382" t="s">
        <v>818</v>
      </c>
      <c r="I169" s="1382" t="s">
        <v>819</v>
      </c>
      <c r="J169" s="1384" t="s">
        <v>820</v>
      </c>
      <c r="L169" s="1385" t="s">
        <v>821</v>
      </c>
    </row>
    <row r="170" customFormat="false" ht="32.25" hidden="false" customHeight="true" outlineLevel="0" collapsed="false">
      <c r="A170" s="1443" t="s">
        <v>852</v>
      </c>
      <c r="B170" s="1387" t="n">
        <f aca="false">B176-B172-B174</f>
        <v>262302134</v>
      </c>
      <c r="C170" s="1388" t="n">
        <f aca="false">ROUNDDOWN(B170*C171/B171,0)</f>
        <v>231261638</v>
      </c>
      <c r="D170" s="1444" t="n">
        <f aca="false">ROUNDDOWN(B170*D171/B171,0)</f>
        <v>11540696</v>
      </c>
      <c r="E170" s="1445" t="n">
        <f aca="false">ROUNDDOWN(B170*E171/B171,0)</f>
        <v>4079039</v>
      </c>
      <c r="F170" s="1446" t="n">
        <f aca="false">ROUNDDOWN(B170*F171/B171,0)</f>
        <v>248721</v>
      </c>
      <c r="G170" s="1446" t="n">
        <f aca="false">ROUNDDOWN(B170*G171/B171,0)</f>
        <v>2735941</v>
      </c>
      <c r="H170" s="1446" t="n">
        <f aca="false">ROUNDDOWN(B170*H171/B171,0)</f>
        <v>497443</v>
      </c>
      <c r="I170" s="1446" t="n">
        <f aca="false">ROUNDDOWN(B170*I171/B171,0)</f>
        <v>59693</v>
      </c>
      <c r="J170" s="1447" t="n">
        <f aca="false">B170-C170-D170-E170-F170-G170-H170-I170</f>
        <v>11878963</v>
      </c>
      <c r="L170" s="1448" t="n">
        <f aca="false">SUM(I170:J170)</f>
        <v>11938656</v>
      </c>
    </row>
    <row r="171" s="1536" customFormat="true" ht="15" hidden="false" customHeight="true" outlineLevel="0" collapsed="false">
      <c r="A171" s="1529" t="s">
        <v>823</v>
      </c>
      <c r="B171" s="1463" t="n">
        <f aca="false">SUM(C171:J171)</f>
        <v>52.73</v>
      </c>
      <c r="C171" s="1545" t="n">
        <f aca="false">$C$16</f>
        <v>46.49</v>
      </c>
      <c r="D171" s="1465" t="n">
        <f aca="false">$D$16</f>
        <v>2.32</v>
      </c>
      <c r="E171" s="1546" t="n">
        <f aca="false">$E$16</f>
        <v>0.82</v>
      </c>
      <c r="F171" s="1547" t="n">
        <f aca="false">$F$16</f>
        <v>0.05</v>
      </c>
      <c r="G171" s="1547" t="n">
        <f aca="false">$G$16</f>
        <v>0.55</v>
      </c>
      <c r="H171" s="1548" t="n">
        <f aca="false">$H$16</f>
        <v>0.1</v>
      </c>
      <c r="I171" s="1549" t="n">
        <f aca="false">$I$16</f>
        <v>0.012</v>
      </c>
      <c r="J171" s="1550" t="n">
        <f aca="false">$J$16</f>
        <v>2.388</v>
      </c>
      <c r="K171" s="1406"/>
      <c r="L171" s="1457" t="n">
        <f aca="false">SUM(I171:J171)</f>
        <v>2.4</v>
      </c>
    </row>
    <row r="172" customFormat="false" ht="32.25" hidden="false" customHeight="true" outlineLevel="0" collapsed="false">
      <c r="A172" s="1386" t="s">
        <v>836</v>
      </c>
      <c r="B172" s="1387" t="n">
        <f aca="false">'☆掛負収入'!I371+'☆掛負収入'!I372</f>
        <v>94400915</v>
      </c>
      <c r="C172" s="1388" t="n">
        <f aca="false">ROUNDDOWN((B172-E172)/B173*C173,0)</f>
        <v>84535057</v>
      </c>
      <c r="D172" s="1458" t="n">
        <f aca="false">ROUNDDOWN((B172-E172)/B173*D173,0)</f>
        <v>4218570</v>
      </c>
      <c r="E172" s="1459" t="n">
        <f aca="false">ROUNDDOWN(B183*E157/1000,0)</f>
        <v>10405</v>
      </c>
      <c r="F172" s="1388" t="n">
        <f aca="false">ROUNDDOWN((B172-E172)/B173*F173,0)</f>
        <v>90917</v>
      </c>
      <c r="G172" s="1388" t="n">
        <f aca="false">ROUNDDOWN((B172-E172)/B173*G173,0)</f>
        <v>1000092</v>
      </c>
      <c r="H172" s="1409" t="n">
        <f aca="false">ROUNDDOWN((B172-E172)/B173*H173,0)</f>
        <v>181834</v>
      </c>
      <c r="I172" s="1409" t="n">
        <f aca="false">ROUNDDOWN((B172-E172)/B173*I173,0)</f>
        <v>21820</v>
      </c>
      <c r="J172" s="1460" t="n">
        <f aca="false">B172-C172-D172-E172-F172-G172-H172-I172</f>
        <v>4342220</v>
      </c>
      <c r="K172" s="1404" t="s">
        <v>824</v>
      </c>
      <c r="L172" s="1461" t="n">
        <f aca="false">SUM(I172:J172)</f>
        <v>4364040</v>
      </c>
    </row>
    <row r="173" s="1406" customFormat="true" ht="15" hidden="false" customHeight="true" outlineLevel="0" collapsed="false">
      <c r="A173" s="1551" t="s">
        <v>823</v>
      </c>
      <c r="B173" s="1463" t="n">
        <f aca="false">SUM(C173:J173)</f>
        <v>51.91</v>
      </c>
      <c r="C173" s="1464" t="n">
        <f aca="false">C171</f>
        <v>46.49</v>
      </c>
      <c r="D173" s="1465" t="n">
        <f aca="false">D171</f>
        <v>2.32</v>
      </c>
      <c r="E173" s="1466" t="s">
        <v>837</v>
      </c>
      <c r="F173" s="1467" t="n">
        <f aca="false">F171</f>
        <v>0.05</v>
      </c>
      <c r="G173" s="1467" t="n">
        <f aca="false">G171</f>
        <v>0.55</v>
      </c>
      <c r="H173" s="1468" t="n">
        <f aca="false">H171</f>
        <v>0.1</v>
      </c>
      <c r="I173" s="1469" t="n">
        <f aca="false">I171</f>
        <v>0.012</v>
      </c>
      <c r="J173" s="1470" t="n">
        <f aca="false">J171</f>
        <v>2.388</v>
      </c>
      <c r="K173" s="1404"/>
      <c r="L173" s="1471" t="n">
        <f aca="false">SUM(I173:J173)</f>
        <v>2.4</v>
      </c>
    </row>
    <row r="174" customFormat="false" ht="32.25" hidden="false" customHeight="true" outlineLevel="0" collapsed="false">
      <c r="A174" s="1472" t="s">
        <v>838</v>
      </c>
      <c r="B174" s="1387" t="n">
        <f aca="false">'☆掛負収入'!I388+E174</f>
        <v>48019</v>
      </c>
      <c r="C174" s="1388" t="n">
        <f aca="false">ROUNDDOWN((B174-E174)/B175*C175,0)</f>
        <v>42770</v>
      </c>
      <c r="D174" s="1458" t="n">
        <f aca="false">ROUNDDOWN((B174-E174)/B175*D175,0)</f>
        <v>2134</v>
      </c>
      <c r="E174" s="1473" t="n">
        <f aca="false">'☆労組公的負担（短期）'!F11</f>
        <v>262</v>
      </c>
      <c r="F174" s="1388" t="n">
        <f aca="false">ROUNDDOWN((B174-E174)/B175*F175,0)</f>
        <v>45</v>
      </c>
      <c r="G174" s="1388" t="n">
        <f aca="false">ROUNDDOWN((B174-E174)/B175*G175,0)</f>
        <v>505</v>
      </c>
      <c r="H174" s="1409" t="n">
        <f aca="false">H176-H170-H172</f>
        <v>94</v>
      </c>
      <c r="I174" s="1409" t="n">
        <f aca="false">I176-I170-I172</f>
        <v>12</v>
      </c>
      <c r="J174" s="1460" t="n">
        <f aca="false">B174-C174-D174-E174-F174-G174-H174-I174</f>
        <v>2197</v>
      </c>
      <c r="L174" s="1461" t="n">
        <f aca="false">SUM(I174:J174)</f>
        <v>2209</v>
      </c>
    </row>
    <row r="175" s="1406" customFormat="true" ht="15" hidden="false" customHeight="true" outlineLevel="0" collapsed="false">
      <c r="A175" s="1537" t="s">
        <v>823</v>
      </c>
      <c r="B175" s="1474" t="n">
        <f aca="false">SUM(C175:J175)</f>
        <v>51.91</v>
      </c>
      <c r="C175" s="1464" t="n">
        <f aca="false">C171</f>
        <v>46.49</v>
      </c>
      <c r="D175" s="1465" t="n">
        <f aca="false">D171</f>
        <v>2.32</v>
      </c>
      <c r="E175" s="1475" t="s">
        <v>839</v>
      </c>
      <c r="F175" s="1476" t="n">
        <f aca="false">F171</f>
        <v>0.05</v>
      </c>
      <c r="G175" s="1476" t="n">
        <f aca="false">G171</f>
        <v>0.55</v>
      </c>
      <c r="H175" s="1477" t="n">
        <f aca="false">H171</f>
        <v>0.1</v>
      </c>
      <c r="I175" s="1478" t="n">
        <f aca="false">I171</f>
        <v>0.012</v>
      </c>
      <c r="J175" s="1479" t="n">
        <f aca="false">J171</f>
        <v>2.388</v>
      </c>
      <c r="L175" s="1480" t="n">
        <f aca="false">SUM(I175:J175)</f>
        <v>2.4</v>
      </c>
    </row>
    <row r="176" customFormat="false" ht="30" hidden="false" customHeight="true" outlineLevel="0" collapsed="false">
      <c r="A176" s="1424" t="s">
        <v>763</v>
      </c>
      <c r="B176" s="1481" t="n">
        <f aca="false">'☆掛負収入'!I390</f>
        <v>356751068</v>
      </c>
      <c r="C176" s="1482" t="n">
        <f aca="false">C170+C172+C174</f>
        <v>315839465</v>
      </c>
      <c r="D176" s="1483" t="n">
        <f aca="false">D170+D172+D174</f>
        <v>15761400</v>
      </c>
      <c r="E176" s="1484" t="n">
        <f aca="false">E170+E172+E174</f>
        <v>4089706</v>
      </c>
      <c r="F176" s="1485" t="n">
        <f aca="false">F170+F172+F174</f>
        <v>339683</v>
      </c>
      <c r="G176" s="1485" t="n">
        <f aca="false">G170+G172+G174</f>
        <v>3736538</v>
      </c>
      <c r="H176" s="1485" t="n">
        <f aca="false">ROUNDDOWN(B181*H157/1000,0)-H165</f>
        <v>679371</v>
      </c>
      <c r="I176" s="1485" t="n">
        <f aca="false">ROUNDDOWN(B181*I157/1000,0)-I165</f>
        <v>81525</v>
      </c>
      <c r="J176" s="1486" t="n">
        <f aca="false">J170+J172+J174</f>
        <v>16223380</v>
      </c>
      <c r="K176" s="1487"/>
      <c r="L176" s="1488" t="n">
        <f aca="false">SUM(I176:J176)</f>
        <v>16304905</v>
      </c>
    </row>
    <row r="177" s="1432" customFormat="true" ht="20.1" hidden="false" customHeight="true" outlineLevel="0" collapsed="false">
      <c r="C177" s="1432" t="s">
        <v>826</v>
      </c>
      <c r="D177" s="1432" t="s">
        <v>827</v>
      </c>
      <c r="E177" s="1432" t="s">
        <v>827</v>
      </c>
      <c r="F177" s="1432" t="s">
        <v>828</v>
      </c>
      <c r="G177" s="1432" t="s">
        <v>829</v>
      </c>
      <c r="H177" s="1432" t="s">
        <v>830</v>
      </c>
      <c r="I177" s="1432" t="s">
        <v>831</v>
      </c>
      <c r="J177" s="1432" t="s">
        <v>832</v>
      </c>
      <c r="L177" s="1489"/>
    </row>
    <row r="178" s="789" customFormat="true" ht="18.75" hidden="false" customHeight="true" outlineLevel="0" collapsed="false">
      <c r="A178" s="1490" t="s">
        <v>840</v>
      </c>
      <c r="B178" s="1491" t="n">
        <f aca="false">B165+B176</f>
        <v>710776988</v>
      </c>
      <c r="C178" s="1492"/>
      <c r="D178" s="1492"/>
      <c r="E178" s="1492"/>
      <c r="K178" s="1367"/>
    </row>
    <row r="179" s="789" customFormat="true" ht="18.75" hidden="false" customHeight="true" outlineLevel="0" collapsed="false">
      <c r="A179" s="1502"/>
      <c r="B179" s="1495"/>
      <c r="C179" s="1496" t="s">
        <v>841</v>
      </c>
      <c r="D179" s="1497"/>
      <c r="E179" s="1498"/>
      <c r="F179" s="1499" t="s">
        <v>842</v>
      </c>
      <c r="G179" s="1498"/>
      <c r="H179" s="1500" t="n">
        <f aca="false">G165+G176</f>
        <v>7491150</v>
      </c>
      <c r="I179" s="1501" t="s">
        <v>544</v>
      </c>
      <c r="K179" s="1367"/>
    </row>
    <row r="180" s="789" customFormat="true" ht="18.75" hidden="false" customHeight="true" outlineLevel="0" collapsed="false">
      <c r="A180" s="1502" t="s">
        <v>843</v>
      </c>
      <c r="B180" s="1503"/>
      <c r="C180" s="1504"/>
      <c r="D180" s="1505"/>
      <c r="E180" s="1500" t="n">
        <f aca="false">C165+C176</f>
        <v>633206703</v>
      </c>
      <c r="F180" s="1506" t="str">
        <f aca="false">IF(H179='☆拠出金明細R7'!V46,"　","明細と不一致!")</f>
        <v>　</v>
      </c>
      <c r="G180" s="1507" t="n">
        <f aca="false">B181</f>
        <v>6810137000</v>
      </c>
      <c r="H180" s="1508" t="n">
        <f aca="false">G157</f>
        <v>1.1</v>
      </c>
      <c r="I180" s="1500"/>
      <c r="K180" s="1367"/>
    </row>
    <row r="181" s="789" customFormat="true" ht="18.75" hidden="false" customHeight="true" outlineLevel="0" collapsed="false">
      <c r="A181" s="1509" t="s">
        <v>690</v>
      </c>
      <c r="B181" s="1510" t="n">
        <f aca="false">ROUNDUP(H179/G157*1000,-3)</f>
        <v>6810137000</v>
      </c>
      <c r="C181" s="1496" t="s">
        <v>844</v>
      </c>
      <c r="D181" s="1497"/>
      <c r="E181" s="1511"/>
      <c r="F181" s="1499" t="s">
        <v>845</v>
      </c>
      <c r="G181" s="1498"/>
      <c r="H181" s="1500" t="n">
        <f aca="false">H165+H176</f>
        <v>1362027</v>
      </c>
      <c r="I181" s="1094" t="s">
        <v>545</v>
      </c>
      <c r="K181" s="1367"/>
    </row>
    <row r="182" s="1406" customFormat="true" ht="18.75" hidden="false" customHeight="true" outlineLevel="0" collapsed="false">
      <c r="A182" s="1509"/>
      <c r="B182" s="1510"/>
      <c r="C182" s="1512"/>
      <c r="D182" s="1505"/>
      <c r="E182" s="1500" t="n">
        <f aca="false">D165+D176+E176</f>
        <v>35688747</v>
      </c>
      <c r="F182" s="1506" t="str">
        <f aca="false">IF(H181='☆拠出金明細R7'!AD44,"　","明細と不一致!")</f>
        <v>　</v>
      </c>
      <c r="G182" s="1507" t="n">
        <f aca="false">B181</f>
        <v>6810137000</v>
      </c>
      <c r="H182" s="1508" t="n">
        <f aca="false">H157</f>
        <v>0.2</v>
      </c>
      <c r="I182" s="1094"/>
      <c r="K182" s="1513"/>
    </row>
    <row r="183" customFormat="false" ht="18.75" hidden="false" customHeight="true" outlineLevel="0" collapsed="false">
      <c r="A183" s="1514" t="s">
        <v>846</v>
      </c>
      <c r="B183" s="1515" t="n">
        <v>12690000</v>
      </c>
      <c r="C183" s="1516" t="s">
        <v>847</v>
      </c>
      <c r="D183" s="1518"/>
      <c r="E183" s="1498"/>
      <c r="F183" s="1518" t="s">
        <v>848</v>
      </c>
      <c r="G183" s="1497"/>
      <c r="H183" s="1500" t="n">
        <f aca="false">I165+I176</f>
        <v>163443</v>
      </c>
      <c r="I183" s="1094" t="s">
        <v>546</v>
      </c>
      <c r="K183" s="1362"/>
      <c r="L183" s="607"/>
    </row>
    <row r="184" customFormat="false" ht="18.75" hidden="false" customHeight="true" outlineLevel="0" collapsed="false">
      <c r="A184" s="1514"/>
      <c r="B184" s="1515"/>
      <c r="C184" s="1519"/>
      <c r="D184" s="1506" t="str">
        <f aca="false">IF(E184='☆拠出金明細R7'!K46,"　","明細と不一致!")</f>
        <v>　</v>
      </c>
      <c r="E184" s="1500" t="n">
        <f aca="false">F176</f>
        <v>339683</v>
      </c>
      <c r="F184" s="1506" t="str">
        <f aca="false">IF(H183='☆拠出金明細R7'!AN46,"　","明細と不一致!")</f>
        <v>　</v>
      </c>
      <c r="G184" s="1507" t="n">
        <f aca="false">B181</f>
        <v>6810137000</v>
      </c>
      <c r="H184" s="1520" t="n">
        <f aca="false">I157</f>
        <v>0.024</v>
      </c>
      <c r="K184" s="1362"/>
      <c r="L184" s="607"/>
    </row>
    <row r="185" customFormat="false" ht="18.75" hidden="false" customHeight="true" outlineLevel="0" collapsed="false">
      <c r="A185" s="1278"/>
      <c r="B185" s="1521"/>
      <c r="C185" s="1516" t="s">
        <v>849</v>
      </c>
      <c r="D185" s="1518"/>
      <c r="E185" s="1522"/>
      <c r="F185" s="1523" t="s">
        <v>850</v>
      </c>
      <c r="G185" s="1523"/>
      <c r="H185" s="1523"/>
      <c r="K185" s="1362"/>
      <c r="L185" s="607"/>
    </row>
    <row r="186" customFormat="false" ht="18.75" hidden="false" customHeight="true" outlineLevel="0" collapsed="false">
      <c r="A186" s="1278"/>
      <c r="B186" s="1521"/>
      <c r="C186" s="1524"/>
      <c r="D186" s="1511"/>
      <c r="E186" s="1500" t="n">
        <f aca="false">J165+J176</f>
        <v>32525235</v>
      </c>
      <c r="F186" s="1523"/>
      <c r="G186" s="1523"/>
      <c r="H186" s="1523"/>
      <c r="I186" s="1525"/>
      <c r="K186" s="1362"/>
      <c r="L186" s="607"/>
    </row>
    <row r="187" s="789" customFormat="true" ht="26.25" hidden="false" customHeight="true" outlineLevel="0" collapsed="false">
      <c r="A187" s="1363" t="n">
        <f aca="false">EOMONTH(A156,1)</f>
        <v>46295</v>
      </c>
      <c r="B187" s="1364" t="s">
        <v>801</v>
      </c>
      <c r="C187" s="1365" t="s">
        <v>802</v>
      </c>
      <c r="D187" s="1130" t="s">
        <v>803</v>
      </c>
      <c r="E187" s="1130" t="s">
        <v>804</v>
      </c>
      <c r="F187" s="1130" t="s">
        <v>805</v>
      </c>
      <c r="G187" s="1130" t="s">
        <v>806</v>
      </c>
      <c r="H187" s="1130" t="s">
        <v>807</v>
      </c>
      <c r="I187" s="1130" t="s">
        <v>808</v>
      </c>
      <c r="J187" s="1366"/>
      <c r="L187" s="1367"/>
    </row>
    <row r="188" s="1369" customFormat="true" ht="26.25" hidden="false" customHeight="true" outlineLevel="0" collapsed="false">
      <c r="A188" s="1368"/>
      <c r="C188" s="1365"/>
      <c r="D188" s="1526" t="n">
        <f aca="false">$D$2</f>
        <v>4.64</v>
      </c>
      <c r="E188" s="1527" t="n">
        <f aca="false">$E$2</f>
        <v>0.82</v>
      </c>
      <c r="F188" s="1527" t="n">
        <f aca="false">$F$2</f>
        <v>0.05</v>
      </c>
      <c r="G188" s="1527" t="n">
        <f aca="false">$G$2</f>
        <v>1.1</v>
      </c>
      <c r="H188" s="1527" t="n">
        <f aca="false">$H$2</f>
        <v>0.2</v>
      </c>
      <c r="I188" s="1527" t="n">
        <f aca="false">$I$2</f>
        <v>0.024</v>
      </c>
      <c r="J188" s="1373"/>
      <c r="L188" s="1374"/>
    </row>
    <row r="189" customFormat="false" ht="13.9" hidden="false" customHeight="true" outlineLevel="0" collapsed="false">
      <c r="C189" s="1366"/>
      <c r="D189" s="1366"/>
      <c r="E189" s="1366"/>
      <c r="F189" s="1528"/>
      <c r="G189" s="1366"/>
      <c r="H189" s="1366"/>
      <c r="I189" s="1366"/>
      <c r="J189" s="1366"/>
    </row>
    <row r="190" customFormat="false" ht="20.1" hidden="false" customHeight="true" outlineLevel="0" collapsed="false">
      <c r="A190" s="796" t="s">
        <v>811</v>
      </c>
      <c r="G190" s="1377"/>
      <c r="L190" s="1378" t="s">
        <v>812</v>
      </c>
    </row>
    <row r="191" s="1222" customFormat="true" ht="30" hidden="false" customHeight="true" outlineLevel="0" collapsed="false">
      <c r="A191" s="1379" t="s">
        <v>483</v>
      </c>
      <c r="B191" s="1380" t="s">
        <v>813</v>
      </c>
      <c r="C191" s="1381" t="s">
        <v>814</v>
      </c>
      <c r="D191" s="1382" t="s">
        <v>815</v>
      </c>
      <c r="E191" s="1382"/>
      <c r="F191" s="1383" t="s">
        <v>816</v>
      </c>
      <c r="G191" s="1382" t="s">
        <v>817</v>
      </c>
      <c r="H191" s="1382" t="s">
        <v>818</v>
      </c>
      <c r="I191" s="1382" t="s">
        <v>819</v>
      </c>
      <c r="J191" s="1384" t="s">
        <v>820</v>
      </c>
      <c r="L191" s="1385" t="s">
        <v>821</v>
      </c>
    </row>
    <row r="192" customFormat="false" ht="32.25" hidden="false" customHeight="true" outlineLevel="0" collapsed="false">
      <c r="A192" s="1386" t="s">
        <v>822</v>
      </c>
      <c r="B192" s="1387" t="n">
        <f aca="false">B196-B194</f>
        <v>355514939</v>
      </c>
      <c r="C192" s="1388" t="n">
        <f aca="false">ROUNDDOWN(B192*C193/B193,0)</f>
        <v>318702073</v>
      </c>
      <c r="D192" s="1389" t="n">
        <f aca="false">ROUNDDOWN(B192*D193/B193,0)</f>
        <v>15904254</v>
      </c>
      <c r="E192" s="1389" t="n">
        <f aca="false">ROUNDDOWN(D192*E193/D193,0)</f>
        <v>0</v>
      </c>
      <c r="F192" s="1390" t="s">
        <v>635</v>
      </c>
      <c r="G192" s="1391" t="n">
        <f aca="false">ROUNDDOWN(B192*G193/B193,0)</f>
        <v>3770405</v>
      </c>
      <c r="H192" s="1392" t="n">
        <f aca="false">ROUNDDOWN(B192*H193/B193,0)</f>
        <v>685528</v>
      </c>
      <c r="I192" s="1389" t="n">
        <f aca="false">ROUNDDOWN(B192*I193/B193,0)</f>
        <v>82263</v>
      </c>
      <c r="J192" s="1393" t="n">
        <f aca="false">B192-C192-D192-G192-H192-I192</f>
        <v>16370416</v>
      </c>
      <c r="L192" s="1394" t="n">
        <f aca="false">SUM(I192:J192)</f>
        <v>16452679</v>
      </c>
    </row>
    <row r="193" s="1536" customFormat="true" ht="15" hidden="false" customHeight="true" outlineLevel="0" collapsed="false">
      <c r="A193" s="1529" t="s">
        <v>823</v>
      </c>
      <c r="B193" s="1530" t="n">
        <f aca="false">SUM(C193:J193)</f>
        <v>51.86</v>
      </c>
      <c r="C193" s="1531" t="n">
        <f aca="false">$C$7</f>
        <v>46.49</v>
      </c>
      <c r="D193" s="1532" t="n">
        <f aca="false">$D$7</f>
        <v>2.32</v>
      </c>
      <c r="E193" s="1532"/>
      <c r="F193" s="1533" t="s">
        <v>635</v>
      </c>
      <c r="G193" s="1534" t="n">
        <f aca="false">$G$7</f>
        <v>0.55</v>
      </c>
      <c r="H193" s="1467" t="n">
        <f aca="false">$H$7</f>
        <v>0.1</v>
      </c>
      <c r="I193" s="1468" t="n">
        <f aca="false">$I$7</f>
        <v>0.012</v>
      </c>
      <c r="J193" s="1535" t="n">
        <f aca="false">$J$7</f>
        <v>2.388</v>
      </c>
      <c r="K193" s="1404" t="s">
        <v>824</v>
      </c>
      <c r="L193" s="1405" t="n">
        <f aca="false">SUM(I193:J193)</f>
        <v>2.4</v>
      </c>
    </row>
    <row r="194" customFormat="false" ht="32.25" hidden="false" customHeight="true" outlineLevel="0" collapsed="false">
      <c r="A194" s="1386" t="s">
        <v>825</v>
      </c>
      <c r="B194" s="1387" t="n">
        <f aca="false">'☆短期集計R7'!D31</f>
        <v>4935296</v>
      </c>
      <c r="C194" s="1388" t="n">
        <f aca="false">ROUNDDOWN(B194*C195/B195,0)</f>
        <v>4424255</v>
      </c>
      <c r="D194" s="1407" t="n">
        <f aca="false">ROUNDDOWN(B194*D195/B195,0)</f>
        <v>220784</v>
      </c>
      <c r="E194" s="1407" t="n">
        <f aca="false">ROUNDDOWN(D194*E195/D195,0)</f>
        <v>0</v>
      </c>
      <c r="F194" s="1408" t="s">
        <v>635</v>
      </c>
      <c r="G194" s="1409" t="n">
        <f aca="false">ROUNDDOWN(B194*G195/B195,0)</f>
        <v>52341</v>
      </c>
      <c r="H194" s="1410" t="n">
        <f aca="false">ROUNDDOWN(B194*H195/B195,0)</f>
        <v>9516</v>
      </c>
      <c r="I194" s="1411" t="n">
        <f aca="false">ROUNDDOWN(B194*I195/B195,0)</f>
        <v>1141</v>
      </c>
      <c r="J194" s="1412" t="n">
        <f aca="false">B194-C194-D194-G194-H194-I194</f>
        <v>227259</v>
      </c>
      <c r="K194" s="1404"/>
      <c r="L194" s="1413" t="n">
        <f aca="false">SUM(I194:J194)</f>
        <v>228400</v>
      </c>
    </row>
    <row r="195" s="1406" customFormat="true" ht="15" hidden="false" customHeight="true" outlineLevel="0" collapsed="false">
      <c r="A195" s="1537" t="s">
        <v>823</v>
      </c>
      <c r="B195" s="1474" t="n">
        <f aca="false">SUM(C195:J195)</f>
        <v>103.72</v>
      </c>
      <c r="C195" s="1538" t="n">
        <f aca="false">C193*2</f>
        <v>92.98</v>
      </c>
      <c r="D195" s="1539" t="n">
        <f aca="false">D193*2</f>
        <v>4.64</v>
      </c>
      <c r="E195" s="1539"/>
      <c r="F195" s="1540" t="s">
        <v>635</v>
      </c>
      <c r="G195" s="1541" t="n">
        <f aca="false">G193*2</f>
        <v>1.1</v>
      </c>
      <c r="H195" s="1542" t="n">
        <f aca="false">H193*2</f>
        <v>0.2</v>
      </c>
      <c r="I195" s="1543" t="n">
        <f aca="false">I193*2</f>
        <v>0.024</v>
      </c>
      <c r="J195" s="1544" t="n">
        <f aca="false">J193*2</f>
        <v>4.776</v>
      </c>
      <c r="L195" s="1423" t="n">
        <f aca="false">L193*2</f>
        <v>4.8</v>
      </c>
    </row>
    <row r="196" customFormat="false" ht="30" hidden="false" customHeight="true" outlineLevel="0" collapsed="false">
      <c r="A196" s="1424" t="s">
        <v>763</v>
      </c>
      <c r="B196" s="1425" t="n">
        <f aca="false">'☆短期集計R7'!B31+'☆短期集計R7'!D31</f>
        <v>360450235</v>
      </c>
      <c r="C196" s="1426" t="n">
        <f aca="false">C192+C194</f>
        <v>323126328</v>
      </c>
      <c r="D196" s="1427" t="n">
        <f aca="false">D192+D194</f>
        <v>16125038</v>
      </c>
      <c r="E196" s="1427"/>
      <c r="F196" s="1428" t="s">
        <v>635</v>
      </c>
      <c r="G196" s="1427" t="n">
        <f aca="false">G192+G194</f>
        <v>3822746</v>
      </c>
      <c r="H196" s="1426" t="n">
        <f aca="false">H192+H194</f>
        <v>695044</v>
      </c>
      <c r="I196" s="1427" t="n">
        <f aca="false">I192+I194</f>
        <v>83404</v>
      </c>
      <c r="J196" s="1429" t="n">
        <f aca="false">J192+J194</f>
        <v>16597675</v>
      </c>
      <c r="L196" s="1430" t="n">
        <f aca="false">L192+L194</f>
        <v>16681079</v>
      </c>
    </row>
    <row r="197" s="1431" customFormat="true" ht="20.1" hidden="false" customHeight="true" outlineLevel="0" collapsed="false">
      <c r="C197" s="1432" t="s">
        <v>826</v>
      </c>
      <c r="D197" s="1433" t="s">
        <v>827</v>
      </c>
      <c r="E197" s="1433"/>
      <c r="F197" s="1432" t="s">
        <v>828</v>
      </c>
      <c r="G197" s="1432" t="s">
        <v>829</v>
      </c>
      <c r="H197" s="1434" t="s">
        <v>830</v>
      </c>
      <c r="I197" s="1434" t="s">
        <v>831</v>
      </c>
      <c r="J197" s="1434" t="s">
        <v>832</v>
      </c>
      <c r="L197" s="1435"/>
    </row>
    <row r="198" s="1089" customFormat="true" ht="13.5" hidden="false" customHeight="true" outlineLevel="0" collapsed="false">
      <c r="C198" s="1436"/>
      <c r="D198" s="1437"/>
      <c r="E198" s="1437"/>
      <c r="F198" s="1436"/>
      <c r="G198" s="1437"/>
      <c r="H198" s="1437"/>
      <c r="I198" s="1437"/>
      <c r="J198" s="1437"/>
      <c r="L198" s="1438"/>
    </row>
    <row r="199" customFormat="false" ht="20.1" hidden="false" customHeight="true" outlineLevel="0" collapsed="false">
      <c r="A199" s="796" t="s">
        <v>238</v>
      </c>
      <c r="B199" s="1089"/>
      <c r="C199" s="1089"/>
      <c r="D199" s="1089"/>
      <c r="E199" s="1089"/>
      <c r="F199" s="1089"/>
      <c r="G199" s="1377"/>
      <c r="H199" s="1089"/>
      <c r="I199" s="1089"/>
      <c r="J199" s="1089"/>
      <c r="L199" s="1378" t="s">
        <v>812</v>
      </c>
    </row>
    <row r="200" s="945" customFormat="true" ht="30" hidden="false" customHeight="true" outlineLevel="0" collapsed="false">
      <c r="A200" s="1379" t="s">
        <v>483</v>
      </c>
      <c r="B200" s="1380" t="s">
        <v>813</v>
      </c>
      <c r="C200" s="1381" t="s">
        <v>814</v>
      </c>
      <c r="D200" s="1439" t="s">
        <v>815</v>
      </c>
      <c r="E200" s="1440" t="s">
        <v>833</v>
      </c>
      <c r="F200" s="1441" t="s">
        <v>834</v>
      </c>
      <c r="G200" s="1442" t="s">
        <v>817</v>
      </c>
      <c r="H200" s="1382" t="s">
        <v>818</v>
      </c>
      <c r="I200" s="1382" t="s">
        <v>819</v>
      </c>
      <c r="J200" s="1384" t="s">
        <v>820</v>
      </c>
      <c r="L200" s="1385" t="s">
        <v>821</v>
      </c>
    </row>
    <row r="201" customFormat="false" ht="32.25" hidden="false" customHeight="true" outlineLevel="0" collapsed="false">
      <c r="A201" s="1443" t="s">
        <v>852</v>
      </c>
      <c r="B201" s="1387" t="n">
        <f aca="false">B207-B203-B205</f>
        <v>265939995</v>
      </c>
      <c r="C201" s="1388" t="n">
        <f aca="false">ROUNDDOWN(B201*C202/B202,0)</f>
        <v>234468999</v>
      </c>
      <c r="D201" s="1444" t="n">
        <f aca="false">ROUNDDOWN(B201*D202/B202,0)</f>
        <v>11700754</v>
      </c>
      <c r="E201" s="1445" t="n">
        <f aca="false">ROUNDDOWN(B201*E202/B202,0)</f>
        <v>4135611</v>
      </c>
      <c r="F201" s="1446" t="n">
        <f aca="false">ROUNDDOWN(B201*F202/B202,0)</f>
        <v>252171</v>
      </c>
      <c r="G201" s="1446" t="n">
        <f aca="false">ROUNDDOWN(B201*G202/B202,0)</f>
        <v>2773885</v>
      </c>
      <c r="H201" s="1446" t="n">
        <f aca="false">ROUNDDOWN(B201*H202/B202,0)</f>
        <v>504342</v>
      </c>
      <c r="I201" s="1446" t="n">
        <f aca="false">ROUNDDOWN(B201*I202/B202,0)</f>
        <v>60521</v>
      </c>
      <c r="J201" s="1447" t="n">
        <f aca="false">B201-C201-D201-E201-F201-G201-H201-I201</f>
        <v>12043712</v>
      </c>
      <c r="L201" s="1448" t="n">
        <f aca="false">SUM(I201:J201)</f>
        <v>12104233</v>
      </c>
    </row>
    <row r="202" s="1536" customFormat="true" ht="15" hidden="false" customHeight="true" outlineLevel="0" collapsed="false">
      <c r="A202" s="1529" t="s">
        <v>823</v>
      </c>
      <c r="B202" s="1463" t="n">
        <f aca="false">SUM(C202:J202)</f>
        <v>52.73</v>
      </c>
      <c r="C202" s="1545" t="n">
        <f aca="false">$C$16</f>
        <v>46.49</v>
      </c>
      <c r="D202" s="1465" t="n">
        <f aca="false">$D$16</f>
        <v>2.32</v>
      </c>
      <c r="E202" s="1546" t="n">
        <f aca="false">$E$16</f>
        <v>0.82</v>
      </c>
      <c r="F202" s="1547" t="n">
        <f aca="false">$F$16</f>
        <v>0.05</v>
      </c>
      <c r="G202" s="1547" t="n">
        <f aca="false">$G$16</f>
        <v>0.55</v>
      </c>
      <c r="H202" s="1548" t="n">
        <f aca="false">$H$16</f>
        <v>0.1</v>
      </c>
      <c r="I202" s="1549" t="n">
        <f aca="false">$I$16</f>
        <v>0.012</v>
      </c>
      <c r="J202" s="1550" t="n">
        <f aca="false">$J$16</f>
        <v>2.388</v>
      </c>
      <c r="K202" s="1406"/>
      <c r="L202" s="1457" t="n">
        <f aca="false">SUM(I202:J202)</f>
        <v>2.4</v>
      </c>
    </row>
    <row r="203" customFormat="false" ht="32.25" hidden="false" customHeight="true" outlineLevel="0" collapsed="false">
      <c r="A203" s="1386" t="s">
        <v>836</v>
      </c>
      <c r="B203" s="1387" t="n">
        <f aca="false">'☆掛負収入'!I436+'☆掛負収入'!I437</f>
        <v>94148721</v>
      </c>
      <c r="C203" s="1388" t="n">
        <f aca="false">ROUNDDOWN((B203-E203)/B204*C204,0)</f>
        <v>84309554</v>
      </c>
      <c r="D203" s="1458" t="n">
        <f aca="false">ROUNDDOWN((B203-E203)/B204*D204,0)</f>
        <v>4207316</v>
      </c>
      <c r="E203" s="1459" t="n">
        <f aca="false">ROUNDDOWN(B214*E188/1000,0)</f>
        <v>10004</v>
      </c>
      <c r="F203" s="1388" t="n">
        <f aca="false">ROUNDDOWN((B203-E203)/B204*F204,0)</f>
        <v>90674</v>
      </c>
      <c r="G203" s="1388" t="n">
        <f aca="false">ROUNDDOWN((B203-E203)/B204*G204,0)</f>
        <v>997424</v>
      </c>
      <c r="H203" s="1409" t="n">
        <f aca="false">ROUNDDOWN((B203-E203)/B204*H204,0)</f>
        <v>181349</v>
      </c>
      <c r="I203" s="1409" t="n">
        <f aca="false">ROUNDDOWN((B203-E203)/B204*I204,0)</f>
        <v>21761</v>
      </c>
      <c r="J203" s="1460" t="n">
        <f aca="false">B203-C203-D203-E203-F203-G203-H203-I203</f>
        <v>4330639</v>
      </c>
      <c r="K203" s="1404" t="s">
        <v>824</v>
      </c>
      <c r="L203" s="1461" t="n">
        <f aca="false">SUM(I203:J203)</f>
        <v>4352400</v>
      </c>
    </row>
    <row r="204" s="1406" customFormat="true" ht="15" hidden="false" customHeight="true" outlineLevel="0" collapsed="false">
      <c r="A204" s="1551" t="s">
        <v>823</v>
      </c>
      <c r="B204" s="1463" t="n">
        <f aca="false">SUM(C204:J204)</f>
        <v>51.91</v>
      </c>
      <c r="C204" s="1464" t="n">
        <f aca="false">C202</f>
        <v>46.49</v>
      </c>
      <c r="D204" s="1465" t="n">
        <f aca="false">D202</f>
        <v>2.32</v>
      </c>
      <c r="E204" s="1466" t="s">
        <v>837</v>
      </c>
      <c r="F204" s="1467" t="n">
        <f aca="false">F202</f>
        <v>0.05</v>
      </c>
      <c r="G204" s="1467" t="n">
        <f aca="false">G202</f>
        <v>0.55</v>
      </c>
      <c r="H204" s="1468" t="n">
        <f aca="false">H202</f>
        <v>0.1</v>
      </c>
      <c r="I204" s="1469" t="n">
        <f aca="false">I202</f>
        <v>0.012</v>
      </c>
      <c r="J204" s="1470" t="n">
        <f aca="false">J202</f>
        <v>2.388</v>
      </c>
      <c r="K204" s="1404"/>
      <c r="L204" s="1471" t="n">
        <f aca="false">SUM(I204:J204)</f>
        <v>2.4</v>
      </c>
    </row>
    <row r="205" customFormat="false" ht="32.25" hidden="false" customHeight="true" outlineLevel="0" collapsed="false">
      <c r="A205" s="1472" t="s">
        <v>838</v>
      </c>
      <c r="B205" s="1387" t="n">
        <f aca="false">'☆掛負収入'!I453+E205</f>
        <v>50111</v>
      </c>
      <c r="C205" s="1388" t="n">
        <f aca="false">ROUNDDOWN((B205-E205)/B206*C206,0)</f>
        <v>44629</v>
      </c>
      <c r="D205" s="1458" t="n">
        <f aca="false">ROUNDDOWN((B205-E205)/B206*D206,0)</f>
        <v>2227</v>
      </c>
      <c r="E205" s="1473" t="n">
        <f aca="false">'☆労組公的負担（短期）'!F12</f>
        <v>278</v>
      </c>
      <c r="F205" s="1388" t="n">
        <f aca="false">ROUNDDOWN((B205-E205)/B206*F206,0)</f>
        <v>47</v>
      </c>
      <c r="G205" s="1388" t="n">
        <f aca="false">ROUNDDOWN((B205-E205)/B206*G206,0)</f>
        <v>527</v>
      </c>
      <c r="H205" s="1409" t="n">
        <f aca="false">H207-H201-H203</f>
        <v>98</v>
      </c>
      <c r="I205" s="1409" t="n">
        <f aca="false">I207-I201-I203</f>
        <v>13</v>
      </c>
      <c r="J205" s="1460" t="n">
        <f aca="false">B205-C205-D205-E205-F205-G205-H205-I205</f>
        <v>2292</v>
      </c>
      <c r="L205" s="1461" t="n">
        <f aca="false">SUM(I205:J205)</f>
        <v>2305</v>
      </c>
    </row>
    <row r="206" s="1406" customFormat="true" ht="15" hidden="false" customHeight="true" outlineLevel="0" collapsed="false">
      <c r="A206" s="1537" t="s">
        <v>823</v>
      </c>
      <c r="B206" s="1474" t="n">
        <f aca="false">SUM(C206:J206)</f>
        <v>51.91</v>
      </c>
      <c r="C206" s="1464" t="n">
        <f aca="false">C202</f>
        <v>46.49</v>
      </c>
      <c r="D206" s="1465" t="n">
        <f aca="false">D202</f>
        <v>2.32</v>
      </c>
      <c r="E206" s="1475" t="s">
        <v>839</v>
      </c>
      <c r="F206" s="1476" t="n">
        <f aca="false">F202</f>
        <v>0.05</v>
      </c>
      <c r="G206" s="1476" t="n">
        <f aca="false">G202</f>
        <v>0.55</v>
      </c>
      <c r="H206" s="1477" t="n">
        <f aca="false">H202</f>
        <v>0.1</v>
      </c>
      <c r="I206" s="1478" t="n">
        <f aca="false">I202</f>
        <v>0.012</v>
      </c>
      <c r="J206" s="1479" t="n">
        <f aca="false">J202</f>
        <v>2.388</v>
      </c>
      <c r="L206" s="1480" t="n">
        <f aca="false">SUM(I206:J206)</f>
        <v>2.4</v>
      </c>
    </row>
    <row r="207" customFormat="false" ht="30" hidden="false" customHeight="true" outlineLevel="0" collapsed="false">
      <c r="A207" s="1424" t="s">
        <v>763</v>
      </c>
      <c r="B207" s="1481" t="n">
        <f aca="false">'☆掛負収入'!I455</f>
        <v>360138827</v>
      </c>
      <c r="C207" s="1482" t="n">
        <f aca="false">C201+C203+C205</f>
        <v>318823182</v>
      </c>
      <c r="D207" s="1483" t="n">
        <f aca="false">D201+D203+D205</f>
        <v>15910297</v>
      </c>
      <c r="E207" s="1484" t="n">
        <f aca="false">E201+E203+E205</f>
        <v>4145893</v>
      </c>
      <c r="F207" s="1485" t="n">
        <f aca="false">F201+F203+F205</f>
        <v>342892</v>
      </c>
      <c r="G207" s="1485" t="n">
        <f aca="false">G201+G203+G205</f>
        <v>3771836</v>
      </c>
      <c r="H207" s="1485" t="n">
        <f aca="false">ROUNDDOWN(B212*H188/1000,0)-H196</f>
        <v>685789</v>
      </c>
      <c r="I207" s="1485" t="n">
        <f aca="false">ROUNDDOWN(B212*I188/1000,0)-I196</f>
        <v>82295</v>
      </c>
      <c r="J207" s="1552" t="n">
        <f aca="false">J201+J203+J205</f>
        <v>16376643</v>
      </c>
      <c r="L207" s="1488" t="n">
        <f aca="false">SUM(I207:J207)</f>
        <v>16458938</v>
      </c>
    </row>
    <row r="208" s="1432" customFormat="true" ht="20.1" hidden="false" customHeight="true" outlineLevel="0" collapsed="false">
      <c r="C208" s="1432" t="s">
        <v>826</v>
      </c>
      <c r="D208" s="1432" t="s">
        <v>827</v>
      </c>
      <c r="E208" s="1432" t="s">
        <v>827</v>
      </c>
      <c r="F208" s="1432" t="s">
        <v>828</v>
      </c>
      <c r="G208" s="1432" t="s">
        <v>829</v>
      </c>
      <c r="H208" s="1432" t="s">
        <v>830</v>
      </c>
      <c r="I208" s="1432" t="s">
        <v>831</v>
      </c>
      <c r="J208" s="1432" t="s">
        <v>832</v>
      </c>
      <c r="L208" s="1489"/>
    </row>
    <row r="209" s="789" customFormat="true" ht="18.75" hidden="false" customHeight="true" outlineLevel="0" collapsed="false">
      <c r="A209" s="1490" t="s">
        <v>840</v>
      </c>
      <c r="B209" s="1491" t="n">
        <f aca="false">B196+B207</f>
        <v>720589062</v>
      </c>
      <c r="C209" s="1492"/>
      <c r="D209" s="1492"/>
      <c r="E209" s="1492"/>
      <c r="F209" s="1564"/>
      <c r="J209" s="1565" t="s">
        <v>863</v>
      </c>
      <c r="K209" s="1565"/>
      <c r="L209" s="1565"/>
    </row>
    <row r="210" s="789" customFormat="true" ht="18.75" hidden="false" customHeight="true" outlineLevel="0" collapsed="false">
      <c r="A210" s="1502"/>
      <c r="B210" s="1495"/>
      <c r="C210" s="1496" t="s">
        <v>841</v>
      </c>
      <c r="D210" s="1497"/>
      <c r="E210" s="1498"/>
      <c r="F210" s="1499" t="s">
        <v>842</v>
      </c>
      <c r="G210" s="1498"/>
      <c r="H210" s="1500" t="n">
        <f aca="false">G196+G207</f>
        <v>7594582</v>
      </c>
      <c r="I210" s="1501" t="s">
        <v>544</v>
      </c>
      <c r="J210" s="1572" t="s">
        <v>855</v>
      </c>
      <c r="K210" s="1572"/>
      <c r="L210" s="1567" t="n">
        <f aca="false">L130+L161+L192</f>
        <v>49198584</v>
      </c>
    </row>
    <row r="211" s="789" customFormat="true" ht="18.75" hidden="false" customHeight="true" outlineLevel="0" collapsed="false">
      <c r="A211" s="1502" t="s">
        <v>843</v>
      </c>
      <c r="B211" s="1503"/>
      <c r="C211" s="1504"/>
      <c r="D211" s="1505"/>
      <c r="E211" s="1500" t="n">
        <f aca="false">C196+C207</f>
        <v>641949510</v>
      </c>
      <c r="F211" s="1506" t="str">
        <f aca="false">IF(H210='☆拠出金明細R7'!V47,"　","明細と不一致!")</f>
        <v>　</v>
      </c>
      <c r="G211" s="1507" t="n">
        <f aca="false">B212</f>
        <v>6904166000</v>
      </c>
      <c r="H211" s="1508" t="n">
        <f aca="false">G188</f>
        <v>1.1</v>
      </c>
      <c r="I211" s="1500"/>
      <c r="J211" s="1572" t="s">
        <v>856</v>
      </c>
      <c r="K211" s="1572"/>
      <c r="L211" s="1573" t="n">
        <v>0</v>
      </c>
    </row>
    <row r="212" s="789" customFormat="true" ht="18.75" hidden="false" customHeight="true" outlineLevel="0" collapsed="false">
      <c r="A212" s="1509" t="s">
        <v>690</v>
      </c>
      <c r="B212" s="1510" t="n">
        <f aca="false">ROUNDUP(H210/G188*1000,-3)</f>
        <v>6904166000</v>
      </c>
      <c r="C212" s="1496" t="s">
        <v>844</v>
      </c>
      <c r="D212" s="1497"/>
      <c r="E212" s="1511"/>
      <c r="F212" s="1499" t="s">
        <v>845</v>
      </c>
      <c r="G212" s="1498"/>
      <c r="H212" s="1500" t="n">
        <f aca="false">H196+H207</f>
        <v>1380833</v>
      </c>
      <c r="I212" s="1094" t="s">
        <v>545</v>
      </c>
      <c r="J212" s="1572" t="s">
        <v>857</v>
      </c>
      <c r="K212" s="1572"/>
      <c r="L212" s="1567" t="n">
        <f aca="false">L132+L163+L194</f>
        <v>377317</v>
      </c>
    </row>
    <row r="213" s="1406" customFormat="true" ht="18.75" hidden="false" customHeight="true" outlineLevel="0" collapsed="false">
      <c r="A213" s="1509"/>
      <c r="B213" s="1510"/>
      <c r="C213" s="1512"/>
      <c r="D213" s="1505"/>
      <c r="E213" s="1500" t="n">
        <f aca="false">D196+D207+E207</f>
        <v>36181228</v>
      </c>
      <c r="F213" s="1506" t="str">
        <f aca="false">IF(H212='☆拠出金明細R7'!AD46,"　","明細と不一致!")</f>
        <v>　</v>
      </c>
      <c r="G213" s="1507" t="n">
        <f aca="false">B212</f>
        <v>6904166000</v>
      </c>
      <c r="H213" s="1508" t="n">
        <f aca="false">H188</f>
        <v>0.2</v>
      </c>
      <c r="I213" s="1094"/>
      <c r="J213" s="1572" t="s">
        <v>864</v>
      </c>
      <c r="K213" s="1572"/>
      <c r="L213" s="1567" t="n">
        <f aca="false">L139+L141+L170+L172+L201+L203</f>
        <v>49220103</v>
      </c>
    </row>
    <row r="214" customFormat="false" ht="18.75" hidden="false" customHeight="true" outlineLevel="0" collapsed="false">
      <c r="A214" s="1514" t="s">
        <v>846</v>
      </c>
      <c r="B214" s="1515" t="n">
        <v>12200000</v>
      </c>
      <c r="C214" s="1516" t="s">
        <v>847</v>
      </c>
      <c r="D214" s="1518"/>
      <c r="E214" s="1498"/>
      <c r="F214" s="1518" t="s">
        <v>848</v>
      </c>
      <c r="G214" s="1497"/>
      <c r="H214" s="1500" t="n">
        <f aca="false">I196+I207</f>
        <v>165699</v>
      </c>
      <c r="I214" s="1094" t="s">
        <v>546</v>
      </c>
      <c r="J214" s="1574" t="s">
        <v>865</v>
      </c>
      <c r="K214" s="1574"/>
      <c r="L214" s="1569" t="n">
        <f aca="false">L143+L174+L205</f>
        <v>6663</v>
      </c>
    </row>
    <row r="215" customFormat="false" ht="18.75" hidden="false" customHeight="true" outlineLevel="0" collapsed="false">
      <c r="A215" s="1514"/>
      <c r="B215" s="1515"/>
      <c r="C215" s="1519"/>
      <c r="D215" s="1506" t="str">
        <f aca="false">IF(E215='☆拠出金明細R7'!K47,"　","明細と不一致!")</f>
        <v>　</v>
      </c>
      <c r="E215" s="1500" t="n">
        <f aca="false">F207</f>
        <v>342892</v>
      </c>
      <c r="F215" s="1506" t="str">
        <f aca="false">IF(H214='☆拠出金明細R7'!AN47,"　","明細と不一致!")</f>
        <v>　</v>
      </c>
      <c r="G215" s="1507" t="n">
        <f aca="false">B212</f>
        <v>6904166000</v>
      </c>
      <c r="H215" s="1520" t="n">
        <f aca="false">I188</f>
        <v>0.024</v>
      </c>
      <c r="J215" s="1570" t="s">
        <v>489</v>
      </c>
      <c r="K215" s="1570"/>
      <c r="L215" s="1571" t="n">
        <f aca="false">SUM(L210:L214)</f>
        <v>98802667</v>
      </c>
    </row>
    <row r="216" customFormat="false" ht="18.75" hidden="false" customHeight="true" outlineLevel="0" collapsed="false">
      <c r="A216" s="1278"/>
      <c r="B216" s="1521"/>
      <c r="C216" s="1516" t="s">
        <v>849</v>
      </c>
      <c r="D216" s="1518"/>
      <c r="E216" s="1522"/>
      <c r="F216" s="1523" t="s">
        <v>850</v>
      </c>
      <c r="G216" s="1523"/>
      <c r="H216" s="1523"/>
    </row>
    <row r="217" customFormat="false" ht="18.75" hidden="false" customHeight="true" outlineLevel="0" collapsed="false">
      <c r="A217" s="1278"/>
      <c r="B217" s="1521"/>
      <c r="C217" s="1524"/>
      <c r="D217" s="1511"/>
      <c r="E217" s="1500" t="n">
        <f aca="false">J196+J207</f>
        <v>32974318</v>
      </c>
      <c r="F217" s="1523"/>
      <c r="G217" s="1523"/>
      <c r="H217" s="1523"/>
      <c r="I217" s="1560"/>
      <c r="J217" s="1560"/>
      <c r="M217" s="789"/>
    </row>
    <row r="218" s="789" customFormat="true" ht="26.25" hidden="false" customHeight="true" outlineLevel="0" collapsed="false">
      <c r="A218" s="1363" t="n">
        <f aca="false">EOMONTH(A187,1)</f>
        <v>46326</v>
      </c>
      <c r="B218" s="1364" t="s">
        <v>801</v>
      </c>
      <c r="C218" s="1365" t="s">
        <v>802</v>
      </c>
      <c r="D218" s="1130" t="s">
        <v>803</v>
      </c>
      <c r="E218" s="1130" t="s">
        <v>804</v>
      </c>
      <c r="F218" s="1130" t="s">
        <v>805</v>
      </c>
      <c r="G218" s="1130" t="s">
        <v>806</v>
      </c>
      <c r="H218" s="1130" t="s">
        <v>807</v>
      </c>
      <c r="I218" s="1130" t="s">
        <v>808</v>
      </c>
      <c r="J218" s="1366"/>
      <c r="L218" s="1367"/>
      <c r="M218" s="1369"/>
    </row>
    <row r="219" s="1369" customFormat="true" ht="26.25" hidden="false" customHeight="true" outlineLevel="0" collapsed="false">
      <c r="A219" s="1368"/>
      <c r="C219" s="1365"/>
      <c r="D219" s="1526" t="n">
        <f aca="false">$D$2</f>
        <v>4.64</v>
      </c>
      <c r="E219" s="1527" t="n">
        <f aca="false">$E$2</f>
        <v>0.82</v>
      </c>
      <c r="F219" s="1527" t="n">
        <f aca="false">$F$2</f>
        <v>0.05</v>
      </c>
      <c r="G219" s="1527" t="n">
        <f aca="false">$G$2</f>
        <v>1.1</v>
      </c>
      <c r="H219" s="1527" t="n">
        <f aca="false">$H$2</f>
        <v>0.2</v>
      </c>
      <c r="I219" s="1527" t="n">
        <f aca="false">$I$2</f>
        <v>0.024</v>
      </c>
      <c r="J219" s="1373"/>
      <c r="L219" s="1374"/>
      <c r="M219" s="607"/>
    </row>
    <row r="220" customFormat="false" ht="13.9" hidden="false" customHeight="true" outlineLevel="0" collapsed="false">
      <c r="C220" s="1366"/>
      <c r="D220" s="1366"/>
      <c r="E220" s="1366"/>
      <c r="F220" s="1528"/>
      <c r="G220" s="1366"/>
      <c r="H220" s="1366"/>
      <c r="I220" s="1366"/>
      <c r="J220" s="1366"/>
    </row>
    <row r="221" customFormat="false" ht="20.1" hidden="false" customHeight="true" outlineLevel="0" collapsed="false">
      <c r="A221" s="796" t="s">
        <v>811</v>
      </c>
      <c r="G221" s="1377"/>
      <c r="L221" s="1378" t="s">
        <v>812</v>
      </c>
      <c r="M221" s="1222"/>
      <c r="N221" s="1222"/>
      <c r="O221" s="1222"/>
      <c r="P221" s="1222"/>
      <c r="Q221" s="1222"/>
      <c r="R221" s="1222"/>
    </row>
    <row r="222" s="1222" customFormat="true" ht="30" hidden="false" customHeight="true" outlineLevel="0" collapsed="false">
      <c r="A222" s="1379" t="s">
        <v>483</v>
      </c>
      <c r="B222" s="1380" t="s">
        <v>813</v>
      </c>
      <c r="C222" s="1381" t="s">
        <v>814</v>
      </c>
      <c r="D222" s="1382" t="s">
        <v>815</v>
      </c>
      <c r="E222" s="1382"/>
      <c r="F222" s="1383" t="s">
        <v>816</v>
      </c>
      <c r="G222" s="1382" t="s">
        <v>817</v>
      </c>
      <c r="H222" s="1382" t="s">
        <v>818</v>
      </c>
      <c r="I222" s="1382" t="s">
        <v>819</v>
      </c>
      <c r="J222" s="1384" t="s">
        <v>820</v>
      </c>
      <c r="L222" s="1385" t="s">
        <v>821</v>
      </c>
      <c r="M222" s="607"/>
      <c r="N222" s="607"/>
      <c r="O222" s="607"/>
      <c r="P222" s="607"/>
      <c r="Q222" s="607"/>
      <c r="R222" s="607"/>
    </row>
    <row r="223" customFormat="false" ht="32.25" hidden="false" customHeight="true" outlineLevel="0" collapsed="false">
      <c r="A223" s="1386" t="s">
        <v>822</v>
      </c>
      <c r="B223" s="1387" t="n">
        <f aca="false">B227-B225</f>
        <v>365227784</v>
      </c>
      <c r="C223" s="1388" t="n">
        <f aca="false">ROUNDDOWN(B223*C224/B224,0)</f>
        <v>327409172</v>
      </c>
      <c r="D223" s="1389" t="n">
        <f aca="false">ROUNDDOWN(B223*D224/B224,0)</f>
        <v>16338767</v>
      </c>
      <c r="E223" s="1389" t="n">
        <f aca="false">ROUNDDOWN(D223*E224/D224,0)</f>
        <v>0</v>
      </c>
      <c r="F223" s="1390" t="s">
        <v>635</v>
      </c>
      <c r="G223" s="1391" t="n">
        <f aca="false">ROUNDDOWN(B223*G224/B224,0)</f>
        <v>3873414</v>
      </c>
      <c r="H223" s="1392" t="n">
        <f aca="false">ROUNDDOWN(B223*H224/B224,0)</f>
        <v>704257</v>
      </c>
      <c r="I223" s="1389" t="n">
        <f aca="false">ROUNDDOWN(B223*I224/B224,0)</f>
        <v>84510</v>
      </c>
      <c r="J223" s="1393" t="n">
        <f aca="false">B223-C223-D223-G223-H223-I223</f>
        <v>16817664</v>
      </c>
      <c r="L223" s="1394" t="n">
        <f aca="false">SUM(I223:J223)</f>
        <v>16902174</v>
      </c>
      <c r="M223" s="1536"/>
      <c r="N223" s="1536"/>
      <c r="O223" s="1536"/>
      <c r="P223" s="1536"/>
      <c r="Q223" s="1536"/>
      <c r="R223" s="1536"/>
    </row>
    <row r="224" s="1536" customFormat="true" ht="15" hidden="false" customHeight="true" outlineLevel="0" collapsed="false">
      <c r="A224" s="1529" t="s">
        <v>823</v>
      </c>
      <c r="B224" s="1530" t="n">
        <f aca="false">SUM(C224:J224)</f>
        <v>51.86</v>
      </c>
      <c r="C224" s="1531" t="n">
        <f aca="false">$C$7</f>
        <v>46.49</v>
      </c>
      <c r="D224" s="1532" t="n">
        <f aca="false">$D$7</f>
        <v>2.32</v>
      </c>
      <c r="E224" s="1532"/>
      <c r="F224" s="1533" t="s">
        <v>635</v>
      </c>
      <c r="G224" s="1534" t="n">
        <f aca="false">$G$7</f>
        <v>0.55</v>
      </c>
      <c r="H224" s="1467" t="n">
        <f aca="false">$H$7</f>
        <v>0.1</v>
      </c>
      <c r="I224" s="1468" t="n">
        <f aca="false">$I$7</f>
        <v>0.012</v>
      </c>
      <c r="J224" s="1535" t="n">
        <f aca="false">$J$7</f>
        <v>2.388</v>
      </c>
      <c r="K224" s="1404" t="s">
        <v>824</v>
      </c>
      <c r="L224" s="1405" t="n">
        <f aca="false">SUM(I224:J224)</f>
        <v>2.4</v>
      </c>
      <c r="M224" s="607"/>
      <c r="N224" s="607"/>
      <c r="O224" s="607"/>
      <c r="P224" s="607"/>
      <c r="Q224" s="607"/>
      <c r="R224" s="607"/>
    </row>
    <row r="225" customFormat="false" ht="32.25" hidden="false" customHeight="true" outlineLevel="0" collapsed="false">
      <c r="A225" s="1386" t="s">
        <v>825</v>
      </c>
      <c r="B225" s="1387" t="n">
        <f aca="false">'☆短期集計R7'!D32</f>
        <v>2298242</v>
      </c>
      <c r="C225" s="1388" t="n">
        <f aca="false">ROUNDDOWN(B225*C226/B226,0)</f>
        <v>2060263</v>
      </c>
      <c r="D225" s="1407" t="n">
        <f aca="false">ROUNDDOWN(B225*D226/B226,0)</f>
        <v>102813</v>
      </c>
      <c r="E225" s="1407" t="n">
        <f aca="false">ROUNDDOWN(D225*E226/D226,0)</f>
        <v>0</v>
      </c>
      <c r="F225" s="1408" t="s">
        <v>635</v>
      </c>
      <c r="G225" s="1409" t="n">
        <f aca="false">ROUNDDOWN(B225*G226/B226,0)</f>
        <v>24373</v>
      </c>
      <c r="H225" s="1410" t="n">
        <f aca="false">ROUNDDOWN(B225*H226/B226,0)</f>
        <v>4431</v>
      </c>
      <c r="I225" s="1411" t="n">
        <f aca="false">ROUNDDOWN(B225*I226/B226,0)</f>
        <v>531</v>
      </c>
      <c r="J225" s="1412" t="n">
        <f aca="false">B225-C225-D225-G225-H225-I225</f>
        <v>105831</v>
      </c>
      <c r="K225" s="1404"/>
      <c r="L225" s="1413" t="n">
        <f aca="false">SUM(I225:J225)</f>
        <v>106362</v>
      </c>
      <c r="M225" s="1406"/>
      <c r="N225" s="1406"/>
      <c r="O225" s="1406"/>
      <c r="P225" s="1406"/>
      <c r="Q225" s="1406"/>
      <c r="R225" s="1406"/>
    </row>
    <row r="226" s="1406" customFormat="true" ht="15" hidden="false" customHeight="true" outlineLevel="0" collapsed="false">
      <c r="A226" s="1537" t="s">
        <v>823</v>
      </c>
      <c r="B226" s="1474" t="n">
        <f aca="false">SUM(C226:J226)</f>
        <v>103.72</v>
      </c>
      <c r="C226" s="1538" t="n">
        <f aca="false">C224*2</f>
        <v>92.98</v>
      </c>
      <c r="D226" s="1539" t="n">
        <f aca="false">D224*2</f>
        <v>4.64</v>
      </c>
      <c r="E226" s="1539"/>
      <c r="F226" s="1540" t="s">
        <v>635</v>
      </c>
      <c r="G226" s="1541" t="n">
        <f aca="false">G224*2</f>
        <v>1.1</v>
      </c>
      <c r="H226" s="1542" t="n">
        <f aca="false">H224*2</f>
        <v>0.2</v>
      </c>
      <c r="I226" s="1543" t="n">
        <f aca="false">I224*2</f>
        <v>0.024</v>
      </c>
      <c r="J226" s="1544" t="n">
        <f aca="false">J224*2</f>
        <v>4.776</v>
      </c>
      <c r="L226" s="1423" t="n">
        <f aca="false">L224*2</f>
        <v>4.8</v>
      </c>
      <c r="M226" s="607"/>
      <c r="N226" s="607"/>
      <c r="O226" s="607"/>
      <c r="P226" s="607"/>
      <c r="Q226" s="607"/>
      <c r="R226" s="607"/>
    </row>
    <row r="227" customFormat="false" ht="30" hidden="false" customHeight="true" outlineLevel="0" collapsed="false">
      <c r="A227" s="1424" t="s">
        <v>763</v>
      </c>
      <c r="B227" s="1425" t="n">
        <f aca="false">'☆短期集計R7'!B32+'☆短期集計R7'!D32</f>
        <v>367526026</v>
      </c>
      <c r="C227" s="1426" t="n">
        <f aca="false">C223+C225</f>
        <v>329469435</v>
      </c>
      <c r="D227" s="1427" t="n">
        <f aca="false">D223+D225</f>
        <v>16441580</v>
      </c>
      <c r="E227" s="1427"/>
      <c r="F227" s="1428" t="s">
        <v>635</v>
      </c>
      <c r="G227" s="1427" t="n">
        <f aca="false">G223+G225</f>
        <v>3897787</v>
      </c>
      <c r="H227" s="1426" t="n">
        <f aca="false">H223+H225</f>
        <v>708688</v>
      </c>
      <c r="I227" s="1427" t="n">
        <f aca="false">I223+I225</f>
        <v>85041</v>
      </c>
      <c r="J227" s="1429" t="n">
        <f aca="false">J223+J225</f>
        <v>16923495</v>
      </c>
      <c r="L227" s="1430" t="n">
        <f aca="false">L223+L225</f>
        <v>17008536</v>
      </c>
      <c r="M227" s="1431"/>
      <c r="N227" s="1431"/>
      <c r="O227" s="1431"/>
      <c r="P227" s="1431"/>
      <c r="Q227" s="1431"/>
      <c r="R227" s="1431"/>
    </row>
    <row r="228" s="1431" customFormat="true" ht="20.1" hidden="false" customHeight="true" outlineLevel="0" collapsed="false">
      <c r="C228" s="1432" t="s">
        <v>826</v>
      </c>
      <c r="D228" s="1433" t="s">
        <v>827</v>
      </c>
      <c r="E228" s="1433"/>
      <c r="F228" s="1432" t="s">
        <v>828</v>
      </c>
      <c r="G228" s="1432" t="s">
        <v>829</v>
      </c>
      <c r="H228" s="1434" t="s">
        <v>830</v>
      </c>
      <c r="I228" s="1434" t="s">
        <v>831</v>
      </c>
      <c r="J228" s="1434" t="s">
        <v>832</v>
      </c>
      <c r="L228" s="1435"/>
      <c r="M228" s="1089"/>
      <c r="N228" s="1089"/>
      <c r="O228" s="1089"/>
      <c r="P228" s="1089"/>
      <c r="Q228" s="1089"/>
      <c r="R228" s="1089"/>
    </row>
    <row r="229" s="1089" customFormat="true" ht="13.5" hidden="false" customHeight="true" outlineLevel="0" collapsed="false">
      <c r="C229" s="1436"/>
      <c r="D229" s="1437"/>
      <c r="E229" s="1437"/>
      <c r="F229" s="1436"/>
      <c r="G229" s="1437"/>
      <c r="H229" s="1437"/>
      <c r="I229" s="1437"/>
      <c r="J229" s="1437"/>
      <c r="L229" s="1438"/>
      <c r="M229" s="607"/>
      <c r="N229" s="607"/>
      <c r="O229" s="607"/>
      <c r="P229" s="607"/>
      <c r="Q229" s="607"/>
      <c r="R229" s="607"/>
    </row>
    <row r="230" customFormat="false" ht="20.1" hidden="false" customHeight="true" outlineLevel="0" collapsed="false">
      <c r="A230" s="796" t="s">
        <v>238</v>
      </c>
      <c r="B230" s="1089"/>
      <c r="C230" s="1089"/>
      <c r="D230" s="1089"/>
      <c r="E230" s="1089"/>
      <c r="F230" s="1089"/>
      <c r="G230" s="1377"/>
      <c r="H230" s="1089"/>
      <c r="I230" s="1089"/>
      <c r="J230" s="1089"/>
      <c r="L230" s="1378" t="s">
        <v>812</v>
      </c>
      <c r="M230" s="945"/>
      <c r="N230" s="945"/>
      <c r="O230" s="945"/>
      <c r="P230" s="945"/>
      <c r="Q230" s="945"/>
      <c r="R230" s="945"/>
    </row>
    <row r="231" s="945" customFormat="true" ht="30" hidden="false" customHeight="true" outlineLevel="0" collapsed="false">
      <c r="A231" s="1379" t="s">
        <v>483</v>
      </c>
      <c r="B231" s="1380" t="s">
        <v>813</v>
      </c>
      <c r="C231" s="1381" t="s">
        <v>814</v>
      </c>
      <c r="D231" s="1439" t="s">
        <v>815</v>
      </c>
      <c r="E231" s="1440" t="s">
        <v>833</v>
      </c>
      <c r="F231" s="1441" t="s">
        <v>834</v>
      </c>
      <c r="G231" s="1442" t="s">
        <v>817</v>
      </c>
      <c r="H231" s="1382" t="s">
        <v>818</v>
      </c>
      <c r="I231" s="1382" t="s">
        <v>819</v>
      </c>
      <c r="J231" s="1384" t="s">
        <v>820</v>
      </c>
      <c r="L231" s="1385" t="s">
        <v>821</v>
      </c>
      <c r="M231" s="607"/>
      <c r="N231" s="607"/>
      <c r="O231" s="607"/>
      <c r="P231" s="607"/>
      <c r="Q231" s="607"/>
      <c r="R231" s="607"/>
    </row>
    <row r="232" customFormat="false" ht="32.25" hidden="false" customHeight="true" outlineLevel="0" collapsed="false">
      <c r="A232" s="1443" t="s">
        <v>852</v>
      </c>
      <c r="B232" s="1387" t="n">
        <f aca="false">B238-B234-B236</f>
        <v>273549495</v>
      </c>
      <c r="C232" s="1388" t="n">
        <f aca="false">ROUNDDOWN(B232*C233/B233,0)</f>
        <v>241178001</v>
      </c>
      <c r="D232" s="1444" t="n">
        <f aca="false">ROUNDDOWN(B232*D233/B233,0)</f>
        <v>12035555</v>
      </c>
      <c r="E232" s="1445" t="n">
        <f aca="false">ROUNDDOWN(B232*E233/B233,0)</f>
        <v>4253946</v>
      </c>
      <c r="F232" s="1446" t="n">
        <f aca="false">ROUNDDOWN(B232*F233/B233,0)</f>
        <v>259386</v>
      </c>
      <c r="G232" s="1446" t="n">
        <f aca="false">ROUNDDOWN(B232*G233/B233,0)</f>
        <v>2853256</v>
      </c>
      <c r="H232" s="1446" t="n">
        <f aca="false">ROUNDDOWN(B232*H233/B233,0)</f>
        <v>518773</v>
      </c>
      <c r="I232" s="1446" t="n">
        <f aca="false">ROUNDDOWN(B232*I233/B233,0)</f>
        <v>62252</v>
      </c>
      <c r="J232" s="1447" t="n">
        <f aca="false">B232-C232-D232-E232-F232-G232-H232-I232</f>
        <v>12388326</v>
      </c>
      <c r="L232" s="1448" t="n">
        <f aca="false">SUM(I232:J232)</f>
        <v>12450578</v>
      </c>
      <c r="M232" s="1536"/>
      <c r="N232" s="1536"/>
      <c r="O232" s="1536"/>
      <c r="P232" s="1536"/>
      <c r="Q232" s="1536"/>
      <c r="R232" s="1536"/>
    </row>
    <row r="233" s="1536" customFormat="true" ht="15" hidden="false" customHeight="true" outlineLevel="0" collapsed="false">
      <c r="A233" s="1529" t="s">
        <v>823</v>
      </c>
      <c r="B233" s="1463" t="n">
        <f aca="false">SUM(C233:J233)</f>
        <v>52.73</v>
      </c>
      <c r="C233" s="1545" t="n">
        <f aca="false">$C$16</f>
        <v>46.49</v>
      </c>
      <c r="D233" s="1465" t="n">
        <f aca="false">$D$16</f>
        <v>2.32</v>
      </c>
      <c r="E233" s="1546" t="n">
        <f aca="false">$E$16</f>
        <v>0.82</v>
      </c>
      <c r="F233" s="1547" t="n">
        <f aca="false">$F$16</f>
        <v>0.05</v>
      </c>
      <c r="G233" s="1547" t="n">
        <f aca="false">$G$16</f>
        <v>0.55</v>
      </c>
      <c r="H233" s="1548" t="n">
        <f aca="false">$H$16</f>
        <v>0.1</v>
      </c>
      <c r="I233" s="1549" t="n">
        <f aca="false">$I$16</f>
        <v>0.012</v>
      </c>
      <c r="J233" s="1550" t="n">
        <f aca="false">$J$16</f>
        <v>2.388</v>
      </c>
      <c r="K233" s="1406"/>
      <c r="L233" s="1457" t="n">
        <f aca="false">SUM(I233:J233)</f>
        <v>2.4</v>
      </c>
      <c r="M233" s="607"/>
      <c r="N233" s="607"/>
      <c r="O233" s="607"/>
      <c r="P233" s="607"/>
      <c r="Q233" s="607"/>
      <c r="R233" s="607"/>
    </row>
    <row r="234" customFormat="false" ht="32.25" hidden="false" customHeight="true" outlineLevel="0" collapsed="false">
      <c r="A234" s="1386" t="s">
        <v>836</v>
      </c>
      <c r="B234" s="1387" t="n">
        <f aca="false">'☆掛負収入'!I501+'☆掛負収入'!I502</f>
        <v>96649939</v>
      </c>
      <c r="C234" s="1388" t="n">
        <f aca="false">ROUNDDOWN((B234-E234)/B235*C235,0)</f>
        <v>86548933</v>
      </c>
      <c r="D234" s="1458" t="n">
        <f aca="false">ROUNDDOWN((B234-E234)/B235*D235,0)</f>
        <v>4319069</v>
      </c>
      <c r="E234" s="1459" t="n">
        <f aca="false">ROUNDDOWN(B245*E219/1000,0)</f>
        <v>10766</v>
      </c>
      <c r="F234" s="1388" t="n">
        <f aca="false">ROUNDDOWN((B234-E234)/B235*F235,0)</f>
        <v>93083</v>
      </c>
      <c r="G234" s="1388" t="n">
        <f aca="false">ROUNDDOWN((B234-E234)/B235*G235,0)</f>
        <v>1023917</v>
      </c>
      <c r="H234" s="1409" t="n">
        <f aca="false">ROUNDDOWN((B234-E234)/B235*H235,0)</f>
        <v>186166</v>
      </c>
      <c r="I234" s="1409" t="n">
        <f aca="false">ROUNDDOWN((B234-E234)/B235*I235,0)</f>
        <v>22340</v>
      </c>
      <c r="J234" s="1460" t="n">
        <f aca="false">B234-C234-D234-E234-F234-G234-H234-I234</f>
        <v>4445665</v>
      </c>
      <c r="K234" s="1404" t="s">
        <v>824</v>
      </c>
      <c r="L234" s="1461" t="n">
        <f aca="false">SUM(I234:J234)</f>
        <v>4468005</v>
      </c>
      <c r="M234" s="1406"/>
      <c r="N234" s="1406"/>
      <c r="O234" s="1406"/>
      <c r="P234" s="1406"/>
      <c r="Q234" s="1406"/>
      <c r="R234" s="1406"/>
    </row>
    <row r="235" s="1406" customFormat="true" ht="15" hidden="false" customHeight="true" outlineLevel="0" collapsed="false">
      <c r="A235" s="1551" t="s">
        <v>823</v>
      </c>
      <c r="B235" s="1463" t="n">
        <f aca="false">SUM(C235:J235)</f>
        <v>51.91</v>
      </c>
      <c r="C235" s="1464" t="n">
        <f aca="false">C233</f>
        <v>46.49</v>
      </c>
      <c r="D235" s="1465" t="n">
        <f aca="false">D233</f>
        <v>2.32</v>
      </c>
      <c r="E235" s="1466" t="s">
        <v>837</v>
      </c>
      <c r="F235" s="1467" t="n">
        <f aca="false">F233</f>
        <v>0.05</v>
      </c>
      <c r="G235" s="1467" t="n">
        <f aca="false">G233</f>
        <v>0.55</v>
      </c>
      <c r="H235" s="1468" t="n">
        <f aca="false">H233</f>
        <v>0.1</v>
      </c>
      <c r="I235" s="1469" t="n">
        <f aca="false">I233</f>
        <v>0.012</v>
      </c>
      <c r="J235" s="1470" t="n">
        <f aca="false">J233</f>
        <v>2.388</v>
      </c>
      <c r="K235" s="1404"/>
      <c r="L235" s="1471" t="n">
        <f aca="false">SUM(I235:J235)</f>
        <v>2.4</v>
      </c>
      <c r="M235" s="607"/>
      <c r="N235" s="607"/>
      <c r="O235" s="607"/>
      <c r="P235" s="607"/>
      <c r="Q235" s="607"/>
      <c r="R235" s="607"/>
    </row>
    <row r="236" customFormat="false" ht="32.25" hidden="false" customHeight="true" outlineLevel="0" collapsed="false">
      <c r="A236" s="1472" t="s">
        <v>838</v>
      </c>
      <c r="B236" s="1387" t="n">
        <f aca="false">'☆掛負収入'!I518+E236</f>
        <v>50081</v>
      </c>
      <c r="C236" s="1388" t="n">
        <f aca="false">ROUNDDOWN((B236-E236)/B237*C237,0)</f>
        <v>44617</v>
      </c>
      <c r="D236" s="1458" t="n">
        <f aca="false">ROUNDDOWN((B236-E236)/B237*D237,0)</f>
        <v>2226</v>
      </c>
      <c r="E236" s="1473" t="n">
        <f aca="false">'☆労組公的負担（短期）'!F13</f>
        <v>262</v>
      </c>
      <c r="F236" s="1388" t="n">
        <f aca="false">ROUNDDOWN((B236-E236)/B237*F237,0)</f>
        <v>47</v>
      </c>
      <c r="G236" s="1388" t="n">
        <f aca="false">ROUNDDOWN((B236-E236)/B237*G237,0)</f>
        <v>527</v>
      </c>
      <c r="H236" s="1409" t="n">
        <f aca="false">H238-H232-H234</f>
        <v>98</v>
      </c>
      <c r="I236" s="1409" t="n">
        <f aca="false">I238-I232-I234</f>
        <v>14</v>
      </c>
      <c r="J236" s="1460" t="n">
        <f aca="false">B236-C236-D236-E236-F236-G236-H236-I236</f>
        <v>2290</v>
      </c>
      <c r="L236" s="1461" t="n">
        <f aca="false">SUM(I236:J236)</f>
        <v>2304</v>
      </c>
      <c r="M236" s="1406"/>
      <c r="N236" s="1406"/>
      <c r="O236" s="1406"/>
      <c r="P236" s="1406"/>
      <c r="Q236" s="1406"/>
      <c r="R236" s="1406"/>
    </row>
    <row r="237" s="1406" customFormat="true" ht="15" hidden="false" customHeight="true" outlineLevel="0" collapsed="false">
      <c r="A237" s="1537" t="s">
        <v>823</v>
      </c>
      <c r="B237" s="1474" t="n">
        <f aca="false">SUM(C237:J237)</f>
        <v>51.91</v>
      </c>
      <c r="C237" s="1464" t="n">
        <f aca="false">C233</f>
        <v>46.49</v>
      </c>
      <c r="D237" s="1465" t="n">
        <f aca="false">D233</f>
        <v>2.32</v>
      </c>
      <c r="E237" s="1475" t="s">
        <v>839</v>
      </c>
      <c r="F237" s="1476" t="n">
        <f aca="false">F233</f>
        <v>0.05</v>
      </c>
      <c r="G237" s="1476" t="n">
        <f aca="false">G233</f>
        <v>0.55</v>
      </c>
      <c r="H237" s="1477" t="n">
        <f aca="false">H233</f>
        <v>0.1</v>
      </c>
      <c r="I237" s="1478" t="n">
        <f aca="false">I233</f>
        <v>0.012</v>
      </c>
      <c r="J237" s="1479" t="n">
        <f aca="false">J233</f>
        <v>2.388</v>
      </c>
      <c r="L237" s="1480" t="n">
        <f aca="false">SUM(I237:J237)</f>
        <v>2.4</v>
      </c>
      <c r="M237" s="607"/>
      <c r="N237" s="607"/>
      <c r="O237" s="607"/>
      <c r="P237" s="607"/>
      <c r="Q237" s="607"/>
      <c r="R237" s="607"/>
    </row>
    <row r="238" customFormat="false" ht="30" hidden="false" customHeight="true" outlineLevel="0" collapsed="false">
      <c r="A238" s="1424" t="s">
        <v>763</v>
      </c>
      <c r="B238" s="1481" t="n">
        <f aca="false">'☆掛負収入'!I520</f>
        <v>370249515</v>
      </c>
      <c r="C238" s="1482" t="n">
        <f aca="false">C232+C234+C236</f>
        <v>327771551</v>
      </c>
      <c r="D238" s="1483" t="n">
        <f aca="false">D232+D234+D236</f>
        <v>16356850</v>
      </c>
      <c r="E238" s="1484" t="n">
        <f aca="false">E232+E234+E236</f>
        <v>4264974</v>
      </c>
      <c r="F238" s="1485" t="n">
        <f aca="false">F232+F234+F236</f>
        <v>352516</v>
      </c>
      <c r="G238" s="1485" t="n">
        <f aca="false">G232+G234+G236</f>
        <v>3877700</v>
      </c>
      <c r="H238" s="1485" t="n">
        <f aca="false">ROUNDDOWN(B243*H219/1000,0)-H227</f>
        <v>705037</v>
      </c>
      <c r="I238" s="1485" t="n">
        <f aca="false">ROUNDDOWN(B243*I219/1000,0)-I227</f>
        <v>84606</v>
      </c>
      <c r="J238" s="1486" t="n">
        <f aca="false">J232+J234+J236</f>
        <v>16836281</v>
      </c>
      <c r="K238" s="1487"/>
      <c r="L238" s="1488" t="n">
        <f aca="false">SUM(I238:J238)</f>
        <v>16920887</v>
      </c>
      <c r="M238" s="1432"/>
      <c r="N238" s="1432"/>
      <c r="O238" s="1432"/>
      <c r="P238" s="1432"/>
      <c r="Q238" s="1432"/>
      <c r="R238" s="1432"/>
    </row>
    <row r="239" s="1432" customFormat="true" ht="20.1" hidden="false" customHeight="true" outlineLevel="0" collapsed="false">
      <c r="C239" s="1432" t="s">
        <v>826</v>
      </c>
      <c r="D239" s="1432" t="s">
        <v>827</v>
      </c>
      <c r="E239" s="1432" t="s">
        <v>827</v>
      </c>
      <c r="F239" s="1432" t="s">
        <v>828</v>
      </c>
      <c r="G239" s="1432" t="s">
        <v>829</v>
      </c>
      <c r="H239" s="1432" t="s">
        <v>830</v>
      </c>
      <c r="I239" s="1432" t="s">
        <v>831</v>
      </c>
      <c r="J239" s="1432" t="s">
        <v>832</v>
      </c>
      <c r="L239" s="1489"/>
      <c r="M239" s="789"/>
      <c r="N239" s="789"/>
      <c r="O239" s="789"/>
      <c r="P239" s="789"/>
      <c r="Q239" s="789"/>
      <c r="R239" s="789"/>
    </row>
    <row r="240" s="789" customFormat="true" ht="18.75" hidden="false" customHeight="true" outlineLevel="0" collapsed="false">
      <c r="A240" s="1490" t="s">
        <v>840</v>
      </c>
      <c r="B240" s="1491" t="n">
        <f aca="false">B227+B238</f>
        <v>737775541</v>
      </c>
      <c r="C240" s="1492"/>
      <c r="D240" s="1492"/>
      <c r="E240" s="1492"/>
      <c r="K240" s="1367"/>
    </row>
    <row r="241" s="789" customFormat="true" ht="18.75" hidden="false" customHeight="true" outlineLevel="0" collapsed="false">
      <c r="A241" s="1502"/>
      <c r="B241" s="1495"/>
      <c r="C241" s="1496" t="s">
        <v>841</v>
      </c>
      <c r="D241" s="1497"/>
      <c r="E241" s="1498"/>
      <c r="F241" s="1499" t="s">
        <v>842</v>
      </c>
      <c r="G241" s="1498"/>
      <c r="H241" s="1500" t="n">
        <f aca="false">G227+G238</f>
        <v>7775487</v>
      </c>
      <c r="I241" s="1501" t="s">
        <v>544</v>
      </c>
      <c r="J241" s="1575"/>
      <c r="K241" s="1367"/>
    </row>
    <row r="242" s="789" customFormat="true" ht="18.75" hidden="false" customHeight="true" outlineLevel="0" collapsed="false">
      <c r="A242" s="1502" t="s">
        <v>843</v>
      </c>
      <c r="B242" s="1503"/>
      <c r="C242" s="1504"/>
      <c r="D242" s="1505"/>
      <c r="E242" s="1500" t="n">
        <f aca="false">C227+C238</f>
        <v>657240986</v>
      </c>
      <c r="F242" s="1506" t="str">
        <f aca="false">IF(H241='☆拠出金明細R7'!V79,"　","明細と不一致!")</f>
        <v>　</v>
      </c>
      <c r="G242" s="1507" t="n">
        <f aca="false">B243</f>
        <v>7068625000</v>
      </c>
      <c r="H242" s="1508" t="n">
        <f aca="false">G219</f>
        <v>1.1</v>
      </c>
      <c r="I242" s="1500"/>
      <c r="J242" s="1575"/>
      <c r="K242" s="1367"/>
    </row>
    <row r="243" s="789" customFormat="true" ht="18.75" hidden="false" customHeight="true" outlineLevel="0" collapsed="false">
      <c r="A243" s="1509" t="s">
        <v>690</v>
      </c>
      <c r="B243" s="1510" t="n">
        <f aca="false">ROUNDUP(H241/G219*1000,-3)</f>
        <v>7068625000</v>
      </c>
      <c r="C243" s="1496" t="s">
        <v>844</v>
      </c>
      <c r="D243" s="1497"/>
      <c r="E243" s="1511"/>
      <c r="F243" s="1499" t="s">
        <v>845</v>
      </c>
      <c r="G243" s="1498"/>
      <c r="H243" s="1500" t="n">
        <f aca="false">H227+H238</f>
        <v>1413725</v>
      </c>
      <c r="I243" s="1094" t="s">
        <v>545</v>
      </c>
      <c r="K243" s="1367"/>
      <c r="L243" s="1406"/>
      <c r="M243" s="1406"/>
      <c r="N243" s="1406"/>
      <c r="O243" s="1406"/>
      <c r="P243" s="1406"/>
      <c r="Q243" s="1406"/>
    </row>
    <row r="244" s="1406" customFormat="true" ht="18.75" hidden="false" customHeight="true" outlineLevel="0" collapsed="false">
      <c r="A244" s="1509"/>
      <c r="B244" s="1510"/>
      <c r="C244" s="1512"/>
      <c r="D244" s="1505"/>
      <c r="E244" s="1500" t="n">
        <f aca="false">D227+D238+E238</f>
        <v>37063404</v>
      </c>
      <c r="F244" s="1506" t="str">
        <f aca="false">IF(H243='☆拠出金明細R7'!AD76,"　","明細と不一致!")</f>
        <v>　</v>
      </c>
      <c r="G244" s="1507" t="n">
        <f aca="false">B243</f>
        <v>7068625000</v>
      </c>
      <c r="H244" s="1508" t="n">
        <f aca="false">H219</f>
        <v>0.2</v>
      </c>
      <c r="I244" s="1094"/>
      <c r="K244" s="1513"/>
      <c r="L244" s="607"/>
      <c r="M244" s="607"/>
      <c r="N244" s="607"/>
      <c r="O244" s="607"/>
      <c r="P244" s="607"/>
      <c r="Q244" s="607"/>
    </row>
    <row r="245" customFormat="false" ht="18.75" hidden="false" customHeight="true" outlineLevel="0" collapsed="false">
      <c r="A245" s="1514" t="s">
        <v>846</v>
      </c>
      <c r="B245" s="1515" t="n">
        <v>13130000</v>
      </c>
      <c r="C245" s="1516" t="s">
        <v>847</v>
      </c>
      <c r="D245" s="1518"/>
      <c r="E245" s="1498"/>
      <c r="F245" s="1518" t="s">
        <v>848</v>
      </c>
      <c r="G245" s="1497"/>
      <c r="H245" s="1500" t="n">
        <f aca="false">I227+I238</f>
        <v>169647</v>
      </c>
      <c r="I245" s="1094" t="s">
        <v>546</v>
      </c>
      <c r="K245" s="1362"/>
      <c r="L245" s="607"/>
    </row>
    <row r="246" customFormat="false" ht="18.75" hidden="false" customHeight="true" outlineLevel="0" collapsed="false">
      <c r="A246" s="1514"/>
      <c r="B246" s="1515"/>
      <c r="C246" s="1519"/>
      <c r="D246" s="1506" t="str">
        <f aca="false">IF(E246='☆拠出金明細R7'!K79,"　","明細と不一致!")</f>
        <v>　</v>
      </c>
      <c r="E246" s="1500" t="n">
        <f aca="false">F238</f>
        <v>352516</v>
      </c>
      <c r="F246" s="1506" t="str">
        <f aca="false">IF(H245='☆拠出金明細R7'!AN79,"　","明細と不一致!")</f>
        <v>　</v>
      </c>
      <c r="G246" s="1507" t="n">
        <f aca="false">B243</f>
        <v>7068625000</v>
      </c>
      <c r="H246" s="1520" t="n">
        <f aca="false">I219</f>
        <v>0.024</v>
      </c>
      <c r="K246" s="1362"/>
      <c r="L246" s="607"/>
    </row>
    <row r="247" customFormat="false" ht="18.75" hidden="false" customHeight="true" outlineLevel="0" collapsed="false">
      <c r="A247" s="1278"/>
      <c r="B247" s="1521"/>
      <c r="C247" s="1516" t="s">
        <v>849</v>
      </c>
      <c r="D247" s="1518"/>
      <c r="E247" s="1522"/>
      <c r="F247" s="1523" t="s">
        <v>850</v>
      </c>
      <c r="G247" s="1523"/>
      <c r="H247" s="1523"/>
      <c r="K247" s="1362"/>
      <c r="L247" s="607"/>
    </row>
    <row r="248" customFormat="false" ht="18.75" hidden="false" customHeight="true" outlineLevel="0" collapsed="false">
      <c r="A248" s="1278"/>
      <c r="B248" s="1521"/>
      <c r="C248" s="1524"/>
      <c r="D248" s="1511"/>
      <c r="E248" s="1500" t="n">
        <f aca="false">J227+J238</f>
        <v>33759776</v>
      </c>
      <c r="F248" s="1523"/>
      <c r="G248" s="1523"/>
      <c r="H248" s="1523"/>
      <c r="I248" s="1560"/>
      <c r="K248" s="1362"/>
      <c r="L248" s="789"/>
      <c r="M248" s="789"/>
      <c r="N248" s="789"/>
      <c r="O248" s="789"/>
      <c r="P248" s="789"/>
      <c r="Q248" s="789"/>
    </row>
    <row r="249" s="789" customFormat="true" ht="26.25" hidden="false" customHeight="true" outlineLevel="0" collapsed="false">
      <c r="A249" s="1363" t="n">
        <f aca="false">EOMONTH(A218,1)</f>
        <v>46356</v>
      </c>
      <c r="B249" s="1364" t="s">
        <v>801</v>
      </c>
      <c r="C249" s="1365" t="s">
        <v>802</v>
      </c>
      <c r="D249" s="1130" t="s">
        <v>803</v>
      </c>
      <c r="E249" s="1130" t="s">
        <v>804</v>
      </c>
      <c r="F249" s="1130" t="s">
        <v>805</v>
      </c>
      <c r="G249" s="1130" t="s">
        <v>806</v>
      </c>
      <c r="H249" s="1130" t="s">
        <v>807</v>
      </c>
      <c r="I249" s="1130" t="s">
        <v>808</v>
      </c>
      <c r="J249" s="1366"/>
      <c r="L249" s="1367"/>
      <c r="M249" s="1369"/>
      <c r="N249" s="1369"/>
      <c r="O249" s="1369"/>
      <c r="P249" s="1369"/>
      <c r="Q249" s="1369"/>
      <c r="R249" s="1369"/>
    </row>
    <row r="250" s="1369" customFormat="true" ht="26.25" hidden="false" customHeight="true" outlineLevel="0" collapsed="false">
      <c r="A250" s="1368"/>
      <c r="C250" s="1365"/>
      <c r="D250" s="1526" t="n">
        <f aca="false">$D$2</f>
        <v>4.64</v>
      </c>
      <c r="E250" s="1527" t="n">
        <f aca="false">$E$2</f>
        <v>0.82</v>
      </c>
      <c r="F250" s="1527" t="n">
        <f aca="false">$F$2</f>
        <v>0.05</v>
      </c>
      <c r="G250" s="1527" t="n">
        <f aca="false">$G$2</f>
        <v>1.1</v>
      </c>
      <c r="H250" s="1527" t="n">
        <f aca="false">$H$2</f>
        <v>0.2</v>
      </c>
      <c r="I250" s="1527" t="n">
        <f aca="false">$I$2</f>
        <v>0.024</v>
      </c>
      <c r="J250" s="1373"/>
      <c r="L250" s="1374"/>
      <c r="M250" s="607"/>
      <c r="N250" s="607"/>
      <c r="O250" s="607"/>
      <c r="P250" s="607"/>
      <c r="Q250" s="607"/>
      <c r="R250" s="607"/>
    </row>
    <row r="251" customFormat="false" ht="13.9" hidden="false" customHeight="true" outlineLevel="0" collapsed="false">
      <c r="C251" s="1366"/>
      <c r="D251" s="1366"/>
      <c r="E251" s="1366"/>
      <c r="F251" s="1528"/>
      <c r="G251" s="1366"/>
      <c r="H251" s="1366"/>
      <c r="I251" s="1366"/>
      <c r="J251" s="1366"/>
    </row>
    <row r="252" customFormat="false" ht="20.1" hidden="false" customHeight="true" outlineLevel="0" collapsed="false">
      <c r="A252" s="796" t="s">
        <v>811</v>
      </c>
      <c r="G252" s="1377"/>
      <c r="L252" s="1378" t="s">
        <v>812</v>
      </c>
      <c r="M252" s="1222"/>
      <c r="N252" s="1222"/>
      <c r="O252" s="1222"/>
      <c r="P252" s="1222"/>
      <c r="Q252" s="1222"/>
      <c r="R252" s="1222"/>
    </row>
    <row r="253" s="1222" customFormat="true" ht="30" hidden="false" customHeight="true" outlineLevel="0" collapsed="false">
      <c r="A253" s="1379" t="s">
        <v>483</v>
      </c>
      <c r="B253" s="1380" t="s">
        <v>813</v>
      </c>
      <c r="C253" s="1381" t="s">
        <v>814</v>
      </c>
      <c r="D253" s="1382" t="s">
        <v>815</v>
      </c>
      <c r="E253" s="1382"/>
      <c r="F253" s="1383" t="s">
        <v>816</v>
      </c>
      <c r="G253" s="1382" t="s">
        <v>817</v>
      </c>
      <c r="H253" s="1382" t="s">
        <v>818</v>
      </c>
      <c r="I253" s="1382" t="s">
        <v>819</v>
      </c>
      <c r="J253" s="1384" t="s">
        <v>820</v>
      </c>
      <c r="L253" s="1385" t="s">
        <v>821</v>
      </c>
      <c r="M253" s="607"/>
      <c r="N253" s="607"/>
      <c r="O253" s="607"/>
      <c r="P253" s="607"/>
      <c r="Q253" s="607"/>
      <c r="R253" s="607"/>
    </row>
    <row r="254" customFormat="false" ht="32.25" hidden="false" customHeight="true" outlineLevel="0" collapsed="false">
      <c r="A254" s="1386" t="s">
        <v>822</v>
      </c>
      <c r="B254" s="1387" t="n">
        <f aca="false">B258-B256</f>
        <v>364811284</v>
      </c>
      <c r="C254" s="1388" t="n">
        <f aca="false">ROUNDDOWN(B254*C255/B255,0)</f>
        <v>327035800</v>
      </c>
      <c r="D254" s="1389" t="n">
        <f aca="false">ROUNDDOWN(B254*D255/B255,0)</f>
        <v>16320134</v>
      </c>
      <c r="E254" s="1389" t="n">
        <f aca="false">ROUNDDOWN(D254*E255/D255,0)</f>
        <v>0</v>
      </c>
      <c r="F254" s="1390" t="s">
        <v>635</v>
      </c>
      <c r="G254" s="1391" t="n">
        <f aca="false">ROUNDDOWN(B254*G255/B255,0)</f>
        <v>3868997</v>
      </c>
      <c r="H254" s="1392" t="n">
        <f aca="false">ROUNDDOWN(B254*H255/B255,0)</f>
        <v>703454</v>
      </c>
      <c r="I254" s="1389" t="n">
        <f aca="false">ROUNDDOWN(B254*I255/B255,0)</f>
        <v>84414</v>
      </c>
      <c r="J254" s="1393" t="n">
        <f aca="false">B254-C254-D254-G254-H254-I254</f>
        <v>16798485</v>
      </c>
      <c r="L254" s="1394" t="n">
        <f aca="false">SUM(I254:J254)</f>
        <v>16882899</v>
      </c>
      <c r="M254" s="1536"/>
      <c r="N254" s="1536"/>
      <c r="O254" s="1536"/>
      <c r="P254" s="1536"/>
      <c r="Q254" s="1536"/>
      <c r="R254" s="1536"/>
    </row>
    <row r="255" s="1536" customFormat="true" ht="15" hidden="false" customHeight="true" outlineLevel="0" collapsed="false">
      <c r="A255" s="1529" t="s">
        <v>823</v>
      </c>
      <c r="B255" s="1530" t="n">
        <f aca="false">SUM(C255:J255)</f>
        <v>51.86</v>
      </c>
      <c r="C255" s="1531" t="n">
        <f aca="false">$C$7</f>
        <v>46.49</v>
      </c>
      <c r="D255" s="1532" t="n">
        <f aca="false">$D$7</f>
        <v>2.32</v>
      </c>
      <c r="E255" s="1532"/>
      <c r="F255" s="1533" t="s">
        <v>635</v>
      </c>
      <c r="G255" s="1534" t="n">
        <f aca="false">$G$7</f>
        <v>0.55</v>
      </c>
      <c r="H255" s="1467" t="n">
        <f aca="false">$H$7</f>
        <v>0.1</v>
      </c>
      <c r="I255" s="1468" t="n">
        <f aca="false">$I$7</f>
        <v>0.012</v>
      </c>
      <c r="J255" s="1535" t="n">
        <f aca="false">$J$7</f>
        <v>2.388</v>
      </c>
      <c r="K255" s="1404" t="s">
        <v>824</v>
      </c>
      <c r="L255" s="1405" t="n">
        <f aca="false">SUM(I255:J255)</f>
        <v>2.4</v>
      </c>
      <c r="M255" s="607"/>
      <c r="N255" s="607"/>
      <c r="O255" s="607"/>
      <c r="P255" s="607"/>
      <c r="Q255" s="607"/>
      <c r="R255" s="607"/>
    </row>
    <row r="256" customFormat="false" ht="32.25" hidden="false" customHeight="true" outlineLevel="0" collapsed="false">
      <c r="A256" s="1386" t="s">
        <v>825</v>
      </c>
      <c r="B256" s="1387" t="n">
        <f aca="false">'☆短期集計R7'!D33</f>
        <v>1013274</v>
      </c>
      <c r="C256" s="1388" t="n">
        <f aca="false">ROUNDDOWN(B256*C257/B257,0)</f>
        <v>908351</v>
      </c>
      <c r="D256" s="1407" t="n">
        <f aca="false">ROUNDDOWN(B256*D257/B257,0)</f>
        <v>45329</v>
      </c>
      <c r="E256" s="1407" t="n">
        <f aca="false">ROUNDDOWN(D256*E257/D257,0)</f>
        <v>0</v>
      </c>
      <c r="F256" s="1408" t="s">
        <v>635</v>
      </c>
      <c r="G256" s="1409" t="n">
        <f aca="false">ROUNDDOWN(B256*G257/B257,0)</f>
        <v>10746</v>
      </c>
      <c r="H256" s="1410" t="n">
        <f aca="false">ROUNDDOWN(B256*H257/B257,0)</f>
        <v>1953</v>
      </c>
      <c r="I256" s="1411" t="n">
        <f aca="false">ROUNDDOWN(B256*I257/B257,0)</f>
        <v>234</v>
      </c>
      <c r="J256" s="1412" t="n">
        <f aca="false">B256-C256-D256-G256-H256-I256</f>
        <v>46661</v>
      </c>
      <c r="K256" s="1404"/>
      <c r="L256" s="1413" t="n">
        <f aca="false">SUM(I256:J256)</f>
        <v>46895</v>
      </c>
      <c r="M256" s="1406"/>
      <c r="N256" s="1406"/>
      <c r="O256" s="1406"/>
      <c r="P256" s="1406"/>
      <c r="Q256" s="1406"/>
      <c r="R256" s="1406"/>
    </row>
    <row r="257" s="1406" customFormat="true" ht="15" hidden="false" customHeight="true" outlineLevel="0" collapsed="false">
      <c r="A257" s="1537" t="s">
        <v>823</v>
      </c>
      <c r="B257" s="1474" t="n">
        <f aca="false">SUM(C257:J257)</f>
        <v>103.72</v>
      </c>
      <c r="C257" s="1538" t="n">
        <f aca="false">C255*2</f>
        <v>92.98</v>
      </c>
      <c r="D257" s="1539" t="n">
        <f aca="false">D255*2</f>
        <v>4.64</v>
      </c>
      <c r="E257" s="1539"/>
      <c r="F257" s="1540" t="s">
        <v>635</v>
      </c>
      <c r="G257" s="1541" t="n">
        <f aca="false">G255*2</f>
        <v>1.1</v>
      </c>
      <c r="H257" s="1542" t="n">
        <f aca="false">H255*2</f>
        <v>0.2</v>
      </c>
      <c r="I257" s="1543" t="n">
        <f aca="false">I255*2</f>
        <v>0.024</v>
      </c>
      <c r="J257" s="1544" t="n">
        <f aca="false">J255*2</f>
        <v>4.776</v>
      </c>
      <c r="L257" s="1423" t="n">
        <f aca="false">L255*2</f>
        <v>4.8</v>
      </c>
      <c r="M257" s="607"/>
      <c r="N257" s="607"/>
      <c r="O257" s="607"/>
      <c r="P257" s="607"/>
      <c r="Q257" s="607"/>
      <c r="R257" s="607"/>
    </row>
    <row r="258" customFormat="false" ht="30" hidden="false" customHeight="true" outlineLevel="0" collapsed="false">
      <c r="A258" s="1424" t="s">
        <v>763</v>
      </c>
      <c r="B258" s="1425" t="n">
        <f aca="false">'☆短期集計R7'!B33+'☆短期集計R7'!D33</f>
        <v>365824558</v>
      </c>
      <c r="C258" s="1426" t="n">
        <f aca="false">C254+C256</f>
        <v>327944151</v>
      </c>
      <c r="D258" s="1427" t="n">
        <f aca="false">D254+D256</f>
        <v>16365463</v>
      </c>
      <c r="E258" s="1427"/>
      <c r="F258" s="1428" t="s">
        <v>635</v>
      </c>
      <c r="G258" s="1427" t="n">
        <f aca="false">G254+G256</f>
        <v>3879743</v>
      </c>
      <c r="H258" s="1426" t="n">
        <f aca="false">H254+H256</f>
        <v>705407</v>
      </c>
      <c r="I258" s="1427" t="n">
        <f aca="false">I254+I256</f>
        <v>84648</v>
      </c>
      <c r="J258" s="1429" t="n">
        <f aca="false">J254+J256</f>
        <v>16845146</v>
      </c>
      <c r="L258" s="1430" t="n">
        <f aca="false">L254+L256</f>
        <v>16929794</v>
      </c>
      <c r="M258" s="1431"/>
      <c r="N258" s="1431"/>
      <c r="O258" s="1431"/>
      <c r="P258" s="1431"/>
      <c r="Q258" s="1431"/>
      <c r="R258" s="1431"/>
    </row>
    <row r="259" s="1431" customFormat="true" ht="20.1" hidden="false" customHeight="true" outlineLevel="0" collapsed="false">
      <c r="C259" s="1432" t="s">
        <v>826</v>
      </c>
      <c r="D259" s="1433" t="s">
        <v>827</v>
      </c>
      <c r="E259" s="1433"/>
      <c r="F259" s="1432" t="s">
        <v>828</v>
      </c>
      <c r="G259" s="1432" t="s">
        <v>829</v>
      </c>
      <c r="H259" s="1434" t="s">
        <v>830</v>
      </c>
      <c r="I259" s="1434" t="s">
        <v>831</v>
      </c>
      <c r="J259" s="1434" t="s">
        <v>832</v>
      </c>
      <c r="L259" s="1435"/>
      <c r="M259" s="1089"/>
      <c r="N259" s="1089"/>
      <c r="O259" s="1089"/>
      <c r="P259" s="1089"/>
      <c r="Q259" s="1089"/>
      <c r="R259" s="1089"/>
    </row>
    <row r="260" s="1089" customFormat="true" ht="13.5" hidden="false" customHeight="true" outlineLevel="0" collapsed="false">
      <c r="C260" s="1436"/>
      <c r="D260" s="1437"/>
      <c r="E260" s="1437"/>
      <c r="F260" s="1436"/>
      <c r="G260" s="1437"/>
      <c r="H260" s="1437"/>
      <c r="I260" s="1437"/>
      <c r="J260" s="1437"/>
      <c r="L260" s="1438"/>
      <c r="M260" s="607"/>
      <c r="N260" s="607"/>
      <c r="O260" s="607"/>
      <c r="P260" s="607"/>
      <c r="Q260" s="607"/>
      <c r="R260" s="607"/>
    </row>
    <row r="261" customFormat="false" ht="20.1" hidden="false" customHeight="true" outlineLevel="0" collapsed="false">
      <c r="A261" s="796" t="s">
        <v>238</v>
      </c>
      <c r="B261" s="1089"/>
      <c r="C261" s="1089"/>
      <c r="D261" s="1089"/>
      <c r="E261" s="1089"/>
      <c r="F261" s="1089"/>
      <c r="G261" s="1377"/>
      <c r="H261" s="1089"/>
      <c r="I261" s="1089"/>
      <c r="J261" s="1089"/>
      <c r="L261" s="1378" t="s">
        <v>812</v>
      </c>
      <c r="M261" s="945"/>
      <c r="N261" s="945"/>
      <c r="O261" s="945"/>
      <c r="P261" s="945"/>
      <c r="Q261" s="945"/>
      <c r="R261" s="945"/>
    </row>
    <row r="262" s="945" customFormat="true" ht="30" hidden="false" customHeight="true" outlineLevel="0" collapsed="false">
      <c r="A262" s="1379" t="s">
        <v>483</v>
      </c>
      <c r="B262" s="1380" t="s">
        <v>813</v>
      </c>
      <c r="C262" s="1381" t="s">
        <v>814</v>
      </c>
      <c r="D262" s="1439" t="s">
        <v>815</v>
      </c>
      <c r="E262" s="1440" t="s">
        <v>866</v>
      </c>
      <c r="F262" s="1441" t="s">
        <v>834</v>
      </c>
      <c r="G262" s="1442" t="s">
        <v>817</v>
      </c>
      <c r="H262" s="1382" t="s">
        <v>818</v>
      </c>
      <c r="I262" s="1382" t="s">
        <v>819</v>
      </c>
      <c r="J262" s="1384" t="s">
        <v>820</v>
      </c>
      <c r="L262" s="1385" t="s">
        <v>821</v>
      </c>
      <c r="M262" s="607"/>
      <c r="N262" s="607"/>
      <c r="O262" s="607"/>
      <c r="P262" s="607"/>
      <c r="Q262" s="607"/>
      <c r="R262" s="607"/>
    </row>
    <row r="263" customFormat="false" ht="32.25" hidden="false" customHeight="true" outlineLevel="0" collapsed="false">
      <c r="A263" s="1443" t="s">
        <v>835</v>
      </c>
      <c r="B263" s="1387" t="n">
        <f aca="false">B269-B265-B267</f>
        <v>272986339</v>
      </c>
      <c r="C263" s="1388" t="n">
        <f aca="false">ROUNDDOWN(B263*C264/B264,0)</f>
        <v>240681488</v>
      </c>
      <c r="D263" s="1444" t="n">
        <f aca="false">ROUNDDOWN(B263*D264/B264,0)</f>
        <v>12010777</v>
      </c>
      <c r="E263" s="1445" t="n">
        <f aca="false">ROUNDDOWN(B263*E264/B264,0)</f>
        <v>4245188</v>
      </c>
      <c r="F263" s="1446" t="n">
        <f aca="false">ROUNDDOWN(B263*F264/B264,0)</f>
        <v>258852</v>
      </c>
      <c r="G263" s="1446" t="n">
        <f aca="false">ROUNDDOWN(B263*G264/B264,0)</f>
        <v>2847382</v>
      </c>
      <c r="H263" s="1446" t="n">
        <f aca="false">ROUNDDOWN(B263*H264/B264,0)</f>
        <v>517705</v>
      </c>
      <c r="I263" s="1446" t="n">
        <f aca="false">ROUNDDOWN(B263*I264/B264,0)</f>
        <v>62124</v>
      </c>
      <c r="J263" s="1447" t="n">
        <f aca="false">B263-C263-D263-E263-F263-G263-H263-I263</f>
        <v>12362823</v>
      </c>
      <c r="L263" s="1448" t="n">
        <f aca="false">SUM(I263:J263)</f>
        <v>12424947</v>
      </c>
      <c r="M263" s="1536"/>
      <c r="N263" s="1536"/>
      <c r="O263" s="1536"/>
      <c r="P263" s="1536"/>
      <c r="Q263" s="1536"/>
      <c r="R263" s="1536"/>
    </row>
    <row r="264" s="1536" customFormat="true" ht="15" hidden="false" customHeight="true" outlineLevel="0" collapsed="false">
      <c r="A264" s="1529" t="s">
        <v>823</v>
      </c>
      <c r="B264" s="1463" t="n">
        <f aca="false">SUM(C264:J264)</f>
        <v>52.73</v>
      </c>
      <c r="C264" s="1545" t="n">
        <f aca="false">$C$16</f>
        <v>46.49</v>
      </c>
      <c r="D264" s="1465" t="n">
        <f aca="false">$D$16</f>
        <v>2.32</v>
      </c>
      <c r="E264" s="1546" t="n">
        <f aca="false">$E$16</f>
        <v>0.82</v>
      </c>
      <c r="F264" s="1547" t="n">
        <f aca="false">$F$16</f>
        <v>0.05</v>
      </c>
      <c r="G264" s="1547" t="n">
        <f aca="false">$G$16</f>
        <v>0.55</v>
      </c>
      <c r="H264" s="1548" t="n">
        <f aca="false">$H$16</f>
        <v>0.1</v>
      </c>
      <c r="I264" s="1549" t="n">
        <f aca="false">$I$16</f>
        <v>0.012</v>
      </c>
      <c r="J264" s="1550" t="n">
        <f aca="false">$J$16</f>
        <v>2.388</v>
      </c>
      <c r="K264" s="1406"/>
      <c r="L264" s="1457" t="n">
        <f aca="false">SUM(I264:J264)</f>
        <v>2.4</v>
      </c>
      <c r="M264" s="607"/>
      <c r="N264" s="607"/>
      <c r="O264" s="607"/>
      <c r="P264" s="607"/>
      <c r="Q264" s="607"/>
      <c r="R264" s="607"/>
    </row>
    <row r="265" customFormat="false" ht="32.25" hidden="false" customHeight="true" outlineLevel="0" collapsed="false">
      <c r="A265" s="1386" t="s">
        <v>836</v>
      </c>
      <c r="B265" s="1387" t="n">
        <f aca="false">'☆掛負収入'!I566+'☆掛負収入'!I567</f>
        <v>96529320</v>
      </c>
      <c r="C265" s="1388" t="n">
        <f aca="false">ROUNDDOWN((B265-E265)/B266*C266,0)</f>
        <v>86440908</v>
      </c>
      <c r="D265" s="1458" t="n">
        <f aca="false">ROUNDDOWN((B265-E265)/B266*D266,0)</f>
        <v>4313678</v>
      </c>
      <c r="E265" s="1459" t="n">
        <f aca="false">ROUNDDOWN(B276*E250/1000,0)</f>
        <v>10766</v>
      </c>
      <c r="F265" s="1388" t="n">
        <f aca="false">ROUNDDOWN((B265-E265)/B266*F266,0)</f>
        <v>92967</v>
      </c>
      <c r="G265" s="1388" t="n">
        <f aca="false">ROUNDDOWN((B265-E265)/B266*G266,0)</f>
        <v>1022639</v>
      </c>
      <c r="H265" s="1409" t="n">
        <f aca="false">ROUNDDOWN((B265-E265)/B266*H266,0)</f>
        <v>185934</v>
      </c>
      <c r="I265" s="1409" t="n">
        <f aca="false">ROUNDDOWN((B265-E265)/B266*I266,0)</f>
        <v>22312</v>
      </c>
      <c r="J265" s="1460" t="n">
        <f aca="false">B265-C265-D265-E265-F265-G265-H265-I265</f>
        <v>4440116</v>
      </c>
      <c r="K265" s="1404" t="s">
        <v>824</v>
      </c>
      <c r="L265" s="1461" t="n">
        <f aca="false">SUM(I265:J265)</f>
        <v>4462428</v>
      </c>
      <c r="M265" s="1406"/>
      <c r="N265" s="1406"/>
      <c r="O265" s="1406"/>
      <c r="P265" s="1406"/>
      <c r="Q265" s="1406"/>
      <c r="R265" s="1406"/>
    </row>
    <row r="266" s="1406" customFormat="true" ht="15" hidden="false" customHeight="true" outlineLevel="0" collapsed="false">
      <c r="A266" s="1551" t="s">
        <v>823</v>
      </c>
      <c r="B266" s="1463" t="n">
        <f aca="false">SUM(C266:J266)</f>
        <v>51.91</v>
      </c>
      <c r="C266" s="1464" t="n">
        <f aca="false">C264</f>
        <v>46.49</v>
      </c>
      <c r="D266" s="1465" t="n">
        <f aca="false">D264</f>
        <v>2.32</v>
      </c>
      <c r="E266" s="1466" t="s">
        <v>837</v>
      </c>
      <c r="F266" s="1467" t="n">
        <f aca="false">F264</f>
        <v>0.05</v>
      </c>
      <c r="G266" s="1467" t="n">
        <f aca="false">G264</f>
        <v>0.55</v>
      </c>
      <c r="H266" s="1468" t="n">
        <f aca="false">H264</f>
        <v>0.1</v>
      </c>
      <c r="I266" s="1469" t="n">
        <f aca="false">I264</f>
        <v>0.012</v>
      </c>
      <c r="J266" s="1470" t="n">
        <f aca="false">J264</f>
        <v>2.388</v>
      </c>
      <c r="K266" s="1404"/>
      <c r="L266" s="1471" t="n">
        <f aca="false">SUM(I266:J266)</f>
        <v>2.4</v>
      </c>
      <c r="M266" s="607"/>
      <c r="N266" s="607"/>
      <c r="O266" s="607"/>
      <c r="P266" s="607"/>
      <c r="Q266" s="607"/>
      <c r="R266" s="607"/>
    </row>
    <row r="267" customFormat="false" ht="32.25" hidden="false" customHeight="true" outlineLevel="0" collapsed="false">
      <c r="A267" s="1472" t="s">
        <v>838</v>
      </c>
      <c r="B267" s="1387" t="n">
        <f aca="false">'☆掛負収入'!I583+E267</f>
        <v>48758</v>
      </c>
      <c r="C267" s="1388" t="n">
        <f aca="false">ROUNDDOWN((B267-E267)/B268*C268,0)</f>
        <v>43432</v>
      </c>
      <c r="D267" s="1458" t="n">
        <f aca="false">ROUNDDOWN((B267-E267)/B268*D268,0)</f>
        <v>2167</v>
      </c>
      <c r="E267" s="1473" t="n">
        <f aca="false">'☆労組公的負担（短期）'!F14</f>
        <v>262</v>
      </c>
      <c r="F267" s="1388" t="n">
        <f aca="false">ROUNDDOWN((B267-E267)/B268*F268,0)</f>
        <v>46</v>
      </c>
      <c r="G267" s="1388" t="n">
        <f aca="false">ROUNDDOWN((B267-E267)/B268*G268,0)</f>
        <v>513</v>
      </c>
      <c r="H267" s="1409" t="n">
        <f aca="false">H269-H263-H265</f>
        <v>95</v>
      </c>
      <c r="I267" s="1409" t="n">
        <f aca="false">I269-I263-I265</f>
        <v>12</v>
      </c>
      <c r="J267" s="1460" t="n">
        <f aca="false">B267-C267-D267-E267-F267-G267-H267-I267</f>
        <v>2231</v>
      </c>
      <c r="L267" s="1461" t="n">
        <f aca="false">SUM(I267:J267)</f>
        <v>2243</v>
      </c>
      <c r="M267" s="1406"/>
      <c r="N267" s="1406"/>
      <c r="O267" s="1406"/>
      <c r="P267" s="1406"/>
      <c r="Q267" s="1406"/>
      <c r="R267" s="1406"/>
    </row>
    <row r="268" s="1406" customFormat="true" ht="15" hidden="false" customHeight="true" outlineLevel="0" collapsed="false">
      <c r="A268" s="1537" t="s">
        <v>823</v>
      </c>
      <c r="B268" s="1474" t="n">
        <f aca="false">SUM(C268:J268)</f>
        <v>51.91</v>
      </c>
      <c r="C268" s="1464" t="n">
        <f aca="false">C264</f>
        <v>46.49</v>
      </c>
      <c r="D268" s="1465" t="n">
        <f aca="false">D264</f>
        <v>2.32</v>
      </c>
      <c r="E268" s="1475" t="s">
        <v>839</v>
      </c>
      <c r="F268" s="1476" t="n">
        <f aca="false">F264</f>
        <v>0.05</v>
      </c>
      <c r="G268" s="1476" t="n">
        <f aca="false">G264</f>
        <v>0.55</v>
      </c>
      <c r="H268" s="1477" t="n">
        <f aca="false">H264</f>
        <v>0.1</v>
      </c>
      <c r="I268" s="1478" t="n">
        <f aca="false">I264</f>
        <v>0.012</v>
      </c>
      <c r="J268" s="1479" t="n">
        <f aca="false">J264</f>
        <v>2.388</v>
      </c>
      <c r="L268" s="1480" t="n">
        <f aca="false">SUM(I268:J268)</f>
        <v>2.4</v>
      </c>
      <c r="M268" s="607"/>
      <c r="N268" s="607"/>
      <c r="O268" s="607"/>
      <c r="P268" s="607"/>
      <c r="Q268" s="607"/>
      <c r="R268" s="607"/>
    </row>
    <row r="269" customFormat="false" ht="30" hidden="false" customHeight="true" outlineLevel="0" collapsed="false">
      <c r="A269" s="1424" t="s">
        <v>763</v>
      </c>
      <c r="B269" s="1481" t="n">
        <f aca="false">'☆掛負収入'!I585</f>
        <v>369564417</v>
      </c>
      <c r="C269" s="1482" t="n">
        <f aca="false">C263+C265+C267</f>
        <v>327165828</v>
      </c>
      <c r="D269" s="1483" t="n">
        <f aca="false">D263+D265+D267</f>
        <v>16326622</v>
      </c>
      <c r="E269" s="1484" t="n">
        <f aca="false">E263+E265+E267</f>
        <v>4256216</v>
      </c>
      <c r="F269" s="1485" t="n">
        <f aca="false">F263+F265+F267</f>
        <v>351865</v>
      </c>
      <c r="G269" s="1485" t="n">
        <f aca="false">G263+G265+G267</f>
        <v>3870534</v>
      </c>
      <c r="H269" s="1485" t="n">
        <f aca="false">ROUNDDOWN(B274*H250/1000,0)-H258</f>
        <v>703734</v>
      </c>
      <c r="I269" s="1485" t="n">
        <f aca="false">ROUNDDOWN(B274*I250/1000,0)-I258</f>
        <v>84448</v>
      </c>
      <c r="J269" s="1486" t="n">
        <f aca="false">J263+J265+J267</f>
        <v>16805170</v>
      </c>
      <c r="K269" s="1487"/>
      <c r="L269" s="1488" t="n">
        <f aca="false">SUM(I269:J269)</f>
        <v>16889618</v>
      </c>
      <c r="M269" s="1432"/>
      <c r="N269" s="1432"/>
      <c r="O269" s="1432"/>
      <c r="P269" s="1432"/>
      <c r="Q269" s="1432"/>
      <c r="R269" s="1432"/>
    </row>
    <row r="270" s="1432" customFormat="true" ht="20.1" hidden="false" customHeight="true" outlineLevel="0" collapsed="false">
      <c r="C270" s="1432" t="s">
        <v>826</v>
      </c>
      <c r="D270" s="1432" t="s">
        <v>827</v>
      </c>
      <c r="E270" s="1432" t="s">
        <v>827</v>
      </c>
      <c r="F270" s="1432" t="s">
        <v>828</v>
      </c>
      <c r="G270" s="1432" t="s">
        <v>829</v>
      </c>
      <c r="H270" s="1432" t="s">
        <v>830</v>
      </c>
      <c r="I270" s="1432" t="s">
        <v>831</v>
      </c>
      <c r="J270" s="1432" t="s">
        <v>832</v>
      </c>
      <c r="L270" s="1489"/>
      <c r="M270" s="789"/>
      <c r="N270" s="789"/>
      <c r="O270" s="789"/>
      <c r="P270" s="789"/>
      <c r="Q270" s="789"/>
      <c r="R270" s="789"/>
    </row>
    <row r="271" s="789" customFormat="true" ht="18.75" hidden="false" customHeight="true" outlineLevel="0" collapsed="false">
      <c r="A271" s="1490" t="s">
        <v>840</v>
      </c>
      <c r="B271" s="1491" t="n">
        <f aca="false">B258+B269</f>
        <v>735388975</v>
      </c>
      <c r="C271" s="1492"/>
      <c r="D271" s="1492"/>
      <c r="E271" s="1492"/>
      <c r="K271" s="1367"/>
    </row>
    <row r="272" s="789" customFormat="true" ht="18.75" hidden="false" customHeight="true" outlineLevel="0" collapsed="false">
      <c r="A272" s="1502"/>
      <c r="B272" s="1495"/>
      <c r="C272" s="1496" t="s">
        <v>841</v>
      </c>
      <c r="D272" s="1497"/>
      <c r="E272" s="1498"/>
      <c r="F272" s="1499" t="s">
        <v>842</v>
      </c>
      <c r="G272" s="1498"/>
      <c r="H272" s="1500" t="n">
        <f aca="false">G258+G269</f>
        <v>7750277</v>
      </c>
      <c r="I272" s="1501" t="s">
        <v>544</v>
      </c>
      <c r="K272" s="1367"/>
    </row>
    <row r="273" s="789" customFormat="true" ht="18.75" hidden="false" customHeight="true" outlineLevel="0" collapsed="false">
      <c r="A273" s="1502" t="s">
        <v>843</v>
      </c>
      <c r="B273" s="1503"/>
      <c r="C273" s="1504"/>
      <c r="D273" s="1505"/>
      <c r="E273" s="1500" t="n">
        <f aca="false">C258+C269</f>
        <v>655109979</v>
      </c>
      <c r="F273" s="1506" t="str">
        <f aca="false">IF(H272='☆拠出金明細R7'!V80,"　","明細と不一致!")</f>
        <v>　</v>
      </c>
      <c r="G273" s="1507" t="n">
        <f aca="false">B274</f>
        <v>7045707000</v>
      </c>
      <c r="H273" s="1508" t="n">
        <f aca="false">G250</f>
        <v>1.1</v>
      </c>
      <c r="I273" s="1500"/>
      <c r="K273" s="1367"/>
    </row>
    <row r="274" s="789" customFormat="true" ht="18.75" hidden="false" customHeight="true" outlineLevel="0" collapsed="false">
      <c r="A274" s="1509" t="s">
        <v>690</v>
      </c>
      <c r="B274" s="1510" t="n">
        <f aca="false">ROUNDUP(H272/G250*1000,-3)</f>
        <v>7045707000</v>
      </c>
      <c r="C274" s="1496" t="s">
        <v>844</v>
      </c>
      <c r="D274" s="1497"/>
      <c r="E274" s="1511"/>
      <c r="F274" s="1499" t="s">
        <v>845</v>
      </c>
      <c r="G274" s="1498"/>
      <c r="H274" s="1500" t="n">
        <f aca="false">H258+H269</f>
        <v>1409141</v>
      </c>
      <c r="I274" s="1094" t="s">
        <v>545</v>
      </c>
      <c r="K274" s="1367"/>
      <c r="L274" s="1406"/>
      <c r="M274" s="1406"/>
      <c r="N274" s="1406"/>
      <c r="O274" s="1406"/>
      <c r="P274" s="1406"/>
      <c r="Q274" s="1406"/>
    </row>
    <row r="275" s="1406" customFormat="true" ht="18.75" hidden="false" customHeight="true" outlineLevel="0" collapsed="false">
      <c r="A275" s="1509"/>
      <c r="B275" s="1510"/>
      <c r="C275" s="1512"/>
      <c r="D275" s="1505"/>
      <c r="E275" s="1500" t="n">
        <f aca="false">D258+D269+E269</f>
        <v>36948301</v>
      </c>
      <c r="F275" s="1506" t="str">
        <f aca="false">IF(H274='☆拠出金明細R7'!AD78,"　","明細と不一致!")</f>
        <v>　</v>
      </c>
      <c r="G275" s="1507" t="n">
        <f aca="false">B274</f>
        <v>7045707000</v>
      </c>
      <c r="H275" s="1508" t="n">
        <f aca="false">H250</f>
        <v>0.2</v>
      </c>
      <c r="I275" s="1094"/>
      <c r="K275" s="1513"/>
      <c r="L275" s="607"/>
      <c r="M275" s="607"/>
      <c r="N275" s="607"/>
      <c r="O275" s="607"/>
      <c r="P275" s="607"/>
      <c r="Q275" s="607"/>
    </row>
    <row r="276" customFormat="false" ht="18.75" hidden="false" customHeight="true" outlineLevel="0" collapsed="false">
      <c r="A276" s="1514" t="s">
        <v>846</v>
      </c>
      <c r="B276" s="1515" t="n">
        <v>13130000</v>
      </c>
      <c r="C276" s="1516" t="s">
        <v>847</v>
      </c>
      <c r="D276" s="1518"/>
      <c r="E276" s="1498"/>
      <c r="F276" s="1518" t="s">
        <v>848</v>
      </c>
      <c r="G276" s="1497"/>
      <c r="H276" s="1500" t="n">
        <f aca="false">I258+I269</f>
        <v>169096</v>
      </c>
      <c r="I276" s="1094" t="s">
        <v>546</v>
      </c>
      <c r="K276" s="1362"/>
      <c r="L276" s="607"/>
    </row>
    <row r="277" customFormat="false" ht="18.75" hidden="false" customHeight="true" outlineLevel="0" collapsed="false">
      <c r="A277" s="1514"/>
      <c r="B277" s="1515"/>
      <c r="C277" s="1519"/>
      <c r="D277" s="1506" t="str">
        <f aca="false">IF(E277='☆拠出金明細R7'!K80,"　","明細と不一致!")</f>
        <v>　</v>
      </c>
      <c r="E277" s="1500" t="n">
        <f aca="false">F269</f>
        <v>351865</v>
      </c>
      <c r="F277" s="1506" t="str">
        <f aca="false">IF(H276='☆拠出金明細R7'!AN80,"　","明細と不一致!")</f>
        <v>　</v>
      </c>
      <c r="G277" s="1507" t="n">
        <f aca="false">B274</f>
        <v>7045707000</v>
      </c>
      <c r="H277" s="1520" t="n">
        <f aca="false">I250</f>
        <v>0.024</v>
      </c>
      <c r="K277" s="1362"/>
      <c r="L277" s="607"/>
    </row>
    <row r="278" customFormat="false" ht="18.75" hidden="false" customHeight="true" outlineLevel="0" collapsed="false">
      <c r="A278" s="1278"/>
      <c r="B278" s="1521"/>
      <c r="C278" s="1516" t="s">
        <v>849</v>
      </c>
      <c r="D278" s="1518"/>
      <c r="E278" s="1522"/>
      <c r="F278" s="1523" t="s">
        <v>850</v>
      </c>
      <c r="G278" s="1523"/>
      <c r="H278" s="1523"/>
      <c r="K278" s="1362"/>
      <c r="L278" s="607"/>
    </row>
    <row r="279" customFormat="false" ht="18.75" hidden="false" customHeight="true" outlineLevel="0" collapsed="false">
      <c r="A279" s="1278"/>
      <c r="B279" s="1521"/>
      <c r="C279" s="1524"/>
      <c r="D279" s="1511"/>
      <c r="E279" s="1500" t="n">
        <f aca="false">J258+J269</f>
        <v>33650316</v>
      </c>
      <c r="F279" s="1523"/>
      <c r="G279" s="1523"/>
      <c r="H279" s="1523"/>
      <c r="I279" s="1560"/>
      <c r="K279" s="1362"/>
      <c r="L279" s="789"/>
      <c r="M279" s="789"/>
      <c r="N279" s="789"/>
      <c r="O279" s="789"/>
      <c r="P279" s="789"/>
      <c r="Q279" s="789"/>
    </row>
    <row r="280" s="789" customFormat="true" ht="26.25" hidden="false" customHeight="true" outlineLevel="0" collapsed="false">
      <c r="A280" s="1561" t="n">
        <f aca="false">EOMONTH(A249,1)</f>
        <v>46387</v>
      </c>
      <c r="B280" s="1562" t="s">
        <v>853</v>
      </c>
      <c r="C280" s="1365" t="s">
        <v>802</v>
      </c>
      <c r="D280" s="1130" t="s">
        <v>803</v>
      </c>
      <c r="E280" s="1130" t="s">
        <v>804</v>
      </c>
      <c r="F280" s="1130" t="s">
        <v>805</v>
      </c>
      <c r="G280" s="1130" t="s">
        <v>806</v>
      </c>
      <c r="H280" s="1130" t="s">
        <v>807</v>
      </c>
      <c r="I280" s="1130" t="s">
        <v>808</v>
      </c>
      <c r="J280" s="1366"/>
      <c r="L280" s="1367"/>
      <c r="M280" s="1369"/>
      <c r="N280" s="1369"/>
      <c r="O280" s="1369"/>
      <c r="P280" s="1369"/>
      <c r="Q280" s="1369"/>
      <c r="R280" s="1369"/>
    </row>
    <row r="281" s="1369" customFormat="true" ht="26.25" hidden="false" customHeight="true" outlineLevel="0" collapsed="false">
      <c r="A281" s="1368"/>
      <c r="C281" s="1365"/>
      <c r="D281" s="1526" t="n">
        <f aca="false">$D$2</f>
        <v>4.64</v>
      </c>
      <c r="E281" s="1527" t="n">
        <f aca="false">$E$2</f>
        <v>0.82</v>
      </c>
      <c r="F281" s="1527" t="n">
        <f aca="false">$F$2</f>
        <v>0.05</v>
      </c>
      <c r="G281" s="1527" t="n">
        <f aca="false">$G$2</f>
        <v>1.1</v>
      </c>
      <c r="H281" s="1527" t="n">
        <f aca="false">$H$2</f>
        <v>0.2</v>
      </c>
      <c r="I281" s="1527" t="n">
        <f aca="false">$I$2</f>
        <v>0.024</v>
      </c>
      <c r="J281" s="1373"/>
      <c r="L281" s="1374"/>
      <c r="M281" s="607"/>
      <c r="N281" s="607"/>
      <c r="O281" s="607"/>
      <c r="P281" s="607"/>
      <c r="Q281" s="607"/>
      <c r="R281" s="607"/>
    </row>
    <row r="282" customFormat="false" ht="13.9" hidden="false" customHeight="true" outlineLevel="0" collapsed="false">
      <c r="C282" s="1366"/>
      <c r="D282" s="1366"/>
      <c r="E282" s="1366"/>
      <c r="F282" s="1528"/>
      <c r="G282" s="1366"/>
      <c r="H282" s="1366"/>
      <c r="I282" s="1366"/>
      <c r="J282" s="1366"/>
    </row>
    <row r="283" customFormat="false" ht="20.1" hidden="false" customHeight="true" outlineLevel="0" collapsed="false">
      <c r="A283" s="796" t="s">
        <v>811</v>
      </c>
      <c r="G283" s="1377"/>
      <c r="L283" s="1378" t="s">
        <v>812</v>
      </c>
      <c r="M283" s="1222"/>
      <c r="N283" s="1222"/>
      <c r="O283" s="1222"/>
      <c r="P283" s="1222"/>
      <c r="Q283" s="1222"/>
      <c r="R283" s="1222"/>
    </row>
    <row r="284" s="1222" customFormat="true" ht="30" hidden="false" customHeight="true" outlineLevel="0" collapsed="false">
      <c r="A284" s="1379" t="s">
        <v>483</v>
      </c>
      <c r="B284" s="1380" t="s">
        <v>813</v>
      </c>
      <c r="C284" s="1381" t="s">
        <v>814</v>
      </c>
      <c r="D284" s="1382" t="s">
        <v>815</v>
      </c>
      <c r="E284" s="1382"/>
      <c r="F284" s="1383" t="s">
        <v>816</v>
      </c>
      <c r="G284" s="1382" t="s">
        <v>817</v>
      </c>
      <c r="H284" s="1382" t="s">
        <v>818</v>
      </c>
      <c r="I284" s="1382" t="s">
        <v>819</v>
      </c>
      <c r="J284" s="1384" t="s">
        <v>820</v>
      </c>
      <c r="L284" s="1385" t="s">
        <v>821</v>
      </c>
      <c r="M284" s="607"/>
      <c r="N284" s="607"/>
      <c r="O284" s="607"/>
      <c r="P284" s="607"/>
      <c r="Q284" s="607"/>
      <c r="R284" s="607"/>
    </row>
    <row r="285" customFormat="false" ht="32.25" hidden="false" customHeight="true" outlineLevel="0" collapsed="false">
      <c r="A285" s="1386" t="s">
        <v>822</v>
      </c>
      <c r="B285" s="1387" t="n">
        <f aca="false">B289-B287</f>
        <v>628299535</v>
      </c>
      <c r="C285" s="1388" t="n">
        <f aca="false">ROUNDDOWN(B285*C286/B286,0)</f>
        <v>563240366</v>
      </c>
      <c r="D285" s="1389" t="n">
        <f aca="false">ROUNDDOWN(B285*D286/B286,0)</f>
        <v>28107499</v>
      </c>
      <c r="E285" s="1389" t="n">
        <f aca="false">ROUNDDOWN(D285*E286/D286,0)</f>
        <v>0</v>
      </c>
      <c r="F285" s="1390" t="s">
        <v>635</v>
      </c>
      <c r="G285" s="1391" t="n">
        <f aca="false">ROUNDDOWN(B285*G286/B286,0)</f>
        <v>6663415</v>
      </c>
      <c r="H285" s="1392" t="n">
        <f aca="false">ROUNDDOWN(B285*H286/B286,0)</f>
        <v>1211530</v>
      </c>
      <c r="I285" s="1389" t="n">
        <f aca="false">ROUNDDOWN(B285*I286/B286,0)</f>
        <v>145383</v>
      </c>
      <c r="J285" s="1393" t="n">
        <f aca="false">B285-C285-D285-G285-H285-I285</f>
        <v>28931342</v>
      </c>
      <c r="L285" s="1394" t="n">
        <f aca="false">SUM(I285:J285)</f>
        <v>29076725</v>
      </c>
      <c r="M285" s="1536"/>
      <c r="N285" s="1536"/>
      <c r="O285" s="1536"/>
      <c r="P285" s="1536"/>
      <c r="Q285" s="1536"/>
      <c r="R285" s="1536"/>
    </row>
    <row r="286" s="1536" customFormat="true" ht="15" hidden="false" customHeight="true" outlineLevel="0" collapsed="false">
      <c r="A286" s="1529" t="s">
        <v>823</v>
      </c>
      <c r="B286" s="1530" t="n">
        <f aca="false">SUM(C286:J286)</f>
        <v>51.86</v>
      </c>
      <c r="C286" s="1531" t="n">
        <f aca="false">$C$7</f>
        <v>46.49</v>
      </c>
      <c r="D286" s="1532" t="n">
        <f aca="false">$D$7</f>
        <v>2.32</v>
      </c>
      <c r="E286" s="1532"/>
      <c r="F286" s="1533" t="s">
        <v>635</v>
      </c>
      <c r="G286" s="1534" t="n">
        <f aca="false">$G$7</f>
        <v>0.55</v>
      </c>
      <c r="H286" s="1467" t="n">
        <f aca="false">$H$7</f>
        <v>0.1</v>
      </c>
      <c r="I286" s="1468" t="n">
        <f aca="false">$I$7</f>
        <v>0.012</v>
      </c>
      <c r="J286" s="1535" t="n">
        <f aca="false">$J$7</f>
        <v>2.388</v>
      </c>
      <c r="K286" s="1404" t="s">
        <v>824</v>
      </c>
      <c r="L286" s="1405" t="n">
        <f aca="false">SUM(I286:J286)</f>
        <v>2.4</v>
      </c>
      <c r="M286" s="607"/>
      <c r="N286" s="607"/>
      <c r="O286" s="607"/>
      <c r="P286" s="607"/>
      <c r="Q286" s="607"/>
      <c r="R286" s="607"/>
    </row>
    <row r="287" customFormat="false" ht="32.25" hidden="false" customHeight="true" outlineLevel="0" collapsed="false">
      <c r="A287" s="1386" t="s">
        <v>825</v>
      </c>
      <c r="B287" s="1563" t="n">
        <v>0</v>
      </c>
      <c r="C287" s="1388" t="n">
        <f aca="false">ROUNDDOWN(B287*C288/B288,0)</f>
        <v>0</v>
      </c>
      <c r="D287" s="1407" t="n">
        <f aca="false">ROUNDDOWN(B287*D288/B288,0)</f>
        <v>0</v>
      </c>
      <c r="E287" s="1407" t="n">
        <f aca="false">ROUNDDOWN(D287*E288/D288,0)</f>
        <v>0</v>
      </c>
      <c r="F287" s="1408" t="s">
        <v>635</v>
      </c>
      <c r="G287" s="1409" t="n">
        <f aca="false">ROUNDDOWN(B287*G288/B288,0)</f>
        <v>0</v>
      </c>
      <c r="H287" s="1410" t="n">
        <f aca="false">ROUNDDOWN(B287*H288/B288,0)</f>
        <v>0</v>
      </c>
      <c r="I287" s="1411" t="n">
        <f aca="false">ROUNDDOWN(B287*I288/B288,0)</f>
        <v>0</v>
      </c>
      <c r="J287" s="1412" t="n">
        <f aca="false">B287-C287-D287-G287-H287-I287</f>
        <v>0</v>
      </c>
      <c r="K287" s="1404"/>
      <c r="L287" s="1413" t="n">
        <f aca="false">SUM(I287:J287)</f>
        <v>0</v>
      </c>
      <c r="M287" s="1406"/>
      <c r="N287" s="1406"/>
      <c r="O287" s="1406"/>
      <c r="P287" s="1406"/>
      <c r="Q287" s="1406"/>
      <c r="R287" s="1406"/>
    </row>
    <row r="288" s="1406" customFormat="true" ht="15" hidden="false" customHeight="true" outlineLevel="0" collapsed="false">
      <c r="A288" s="1537" t="s">
        <v>823</v>
      </c>
      <c r="B288" s="1474" t="n">
        <f aca="false">SUM(C288:J288)</f>
        <v>103.72</v>
      </c>
      <c r="C288" s="1538" t="n">
        <f aca="false">C286*2</f>
        <v>92.98</v>
      </c>
      <c r="D288" s="1539" t="n">
        <f aca="false">D286*2</f>
        <v>4.64</v>
      </c>
      <c r="E288" s="1539"/>
      <c r="F288" s="1540" t="s">
        <v>635</v>
      </c>
      <c r="G288" s="1541" t="n">
        <f aca="false">G286*2</f>
        <v>1.1</v>
      </c>
      <c r="H288" s="1542" t="n">
        <f aca="false">H286*2</f>
        <v>0.2</v>
      </c>
      <c r="I288" s="1543" t="n">
        <f aca="false">I286*2</f>
        <v>0.024</v>
      </c>
      <c r="J288" s="1544" t="n">
        <f aca="false">J286*2</f>
        <v>4.776</v>
      </c>
      <c r="L288" s="1423" t="n">
        <f aca="false">L286*2</f>
        <v>4.8</v>
      </c>
      <c r="M288" s="607"/>
      <c r="N288" s="607"/>
      <c r="O288" s="607"/>
      <c r="P288" s="607"/>
      <c r="Q288" s="607"/>
      <c r="R288" s="607"/>
    </row>
    <row r="289" customFormat="false" ht="30" hidden="false" customHeight="true" outlineLevel="0" collapsed="false">
      <c r="A289" s="1424" t="s">
        <v>763</v>
      </c>
      <c r="B289" s="1425" t="n">
        <f aca="false">'☆短期集計R7'!B34+'☆短期集計R7'!D34</f>
        <v>628299535</v>
      </c>
      <c r="C289" s="1426" t="n">
        <f aca="false">C285+C287</f>
        <v>563240366</v>
      </c>
      <c r="D289" s="1427" t="n">
        <f aca="false">D285+D287</f>
        <v>28107499</v>
      </c>
      <c r="E289" s="1427"/>
      <c r="F289" s="1428" t="s">
        <v>635</v>
      </c>
      <c r="G289" s="1427" t="n">
        <f aca="false">G285+G287</f>
        <v>6663415</v>
      </c>
      <c r="H289" s="1426" t="n">
        <f aca="false">H285+H287</f>
        <v>1211530</v>
      </c>
      <c r="I289" s="1427" t="n">
        <f aca="false">I285+I287</f>
        <v>145383</v>
      </c>
      <c r="J289" s="1429" t="n">
        <f aca="false">J285+J287</f>
        <v>28931342</v>
      </c>
      <c r="L289" s="1430" t="n">
        <f aca="false">L285+L287</f>
        <v>29076725</v>
      </c>
      <c r="M289" s="1431"/>
      <c r="N289" s="1431"/>
      <c r="O289" s="1431"/>
      <c r="P289" s="1431"/>
      <c r="Q289" s="1431"/>
      <c r="R289" s="1431"/>
    </row>
    <row r="290" s="1431" customFormat="true" ht="20.1" hidden="false" customHeight="true" outlineLevel="0" collapsed="false">
      <c r="C290" s="1432" t="s">
        <v>826</v>
      </c>
      <c r="D290" s="1433" t="s">
        <v>827</v>
      </c>
      <c r="E290" s="1433"/>
      <c r="F290" s="1432" t="s">
        <v>828</v>
      </c>
      <c r="G290" s="1432" t="s">
        <v>829</v>
      </c>
      <c r="H290" s="1434" t="s">
        <v>830</v>
      </c>
      <c r="I290" s="1434" t="s">
        <v>831</v>
      </c>
      <c r="J290" s="1434" t="s">
        <v>832</v>
      </c>
      <c r="L290" s="1435"/>
      <c r="M290" s="1089"/>
      <c r="N290" s="1089"/>
      <c r="O290" s="1089"/>
      <c r="P290" s="1089"/>
      <c r="Q290" s="1089"/>
      <c r="R290" s="1089"/>
    </row>
    <row r="291" s="1089" customFormat="true" ht="13.5" hidden="false" customHeight="true" outlineLevel="0" collapsed="false">
      <c r="C291" s="1436"/>
      <c r="D291" s="1437"/>
      <c r="E291" s="1437"/>
      <c r="F291" s="1436"/>
      <c r="G291" s="1437"/>
      <c r="H291" s="1437"/>
      <c r="I291" s="1437"/>
      <c r="J291" s="1437"/>
      <c r="L291" s="1438"/>
      <c r="M291" s="607"/>
      <c r="N291" s="607"/>
      <c r="O291" s="607"/>
      <c r="P291" s="607"/>
      <c r="Q291" s="607"/>
      <c r="R291" s="607"/>
    </row>
    <row r="292" customFormat="false" ht="20.1" hidden="false" customHeight="true" outlineLevel="0" collapsed="false">
      <c r="A292" s="796" t="s">
        <v>238</v>
      </c>
      <c r="B292" s="1089"/>
      <c r="C292" s="1089"/>
      <c r="D292" s="1089"/>
      <c r="E292" s="1089"/>
      <c r="F292" s="1089"/>
      <c r="G292" s="1377"/>
      <c r="H292" s="1089"/>
      <c r="I292" s="1089"/>
      <c r="J292" s="1089"/>
      <c r="L292" s="1378" t="s">
        <v>812</v>
      </c>
      <c r="M292" s="945"/>
      <c r="N292" s="945"/>
      <c r="O292" s="945"/>
      <c r="P292" s="945"/>
      <c r="Q292" s="945"/>
      <c r="R292" s="945"/>
    </row>
    <row r="293" s="945" customFormat="true" ht="30" hidden="false" customHeight="true" outlineLevel="0" collapsed="false">
      <c r="A293" s="1379" t="s">
        <v>483</v>
      </c>
      <c r="B293" s="1380" t="s">
        <v>813</v>
      </c>
      <c r="C293" s="1381" t="s">
        <v>814</v>
      </c>
      <c r="D293" s="1439" t="s">
        <v>815</v>
      </c>
      <c r="E293" s="1440" t="s">
        <v>833</v>
      </c>
      <c r="F293" s="1441" t="s">
        <v>834</v>
      </c>
      <c r="G293" s="1442" t="s">
        <v>817</v>
      </c>
      <c r="H293" s="1382" t="s">
        <v>818</v>
      </c>
      <c r="I293" s="1382" t="s">
        <v>819</v>
      </c>
      <c r="J293" s="1384" t="s">
        <v>820</v>
      </c>
      <c r="L293" s="1385" t="s">
        <v>821</v>
      </c>
      <c r="M293" s="607"/>
      <c r="N293" s="607"/>
      <c r="O293" s="607"/>
      <c r="P293" s="607"/>
      <c r="Q293" s="607"/>
      <c r="R293" s="607"/>
    </row>
    <row r="294" customFormat="false" ht="32.25" hidden="false" customHeight="true" outlineLevel="0" collapsed="false">
      <c r="A294" s="1443" t="s">
        <v>852</v>
      </c>
      <c r="B294" s="1387" t="n">
        <f aca="false">B300-B296-B298</f>
        <v>505275364</v>
      </c>
      <c r="C294" s="1388" t="n">
        <f aca="false">ROUNDDOWN(B294*C295/B295,0)</f>
        <v>445481730</v>
      </c>
      <c r="D294" s="1444" t="n">
        <f aca="false">ROUNDDOWN(B294*D295/B295,0)</f>
        <v>22230966</v>
      </c>
      <c r="E294" s="1445" t="n">
        <f aca="false">ROUNDDOWN(B294*E295/B295,0)</f>
        <v>7857496</v>
      </c>
      <c r="F294" s="1446" t="n">
        <f aca="false">ROUNDDOWN(B294*F295/B295,0)</f>
        <v>479115</v>
      </c>
      <c r="G294" s="1446" t="n">
        <f aca="false">ROUNDDOWN(B294*G295/B295,0)</f>
        <v>5270272</v>
      </c>
      <c r="H294" s="1446" t="n">
        <f aca="false">ROUNDDOWN(B294*H295/B295,0)</f>
        <v>958231</v>
      </c>
      <c r="I294" s="1446" t="n">
        <f aca="false">ROUNDDOWN(B294*I295/B295,0)</f>
        <v>114987</v>
      </c>
      <c r="J294" s="1447" t="n">
        <f aca="false">B294-C294-D294-E294-F294-G294-H294-I294</f>
        <v>22882567</v>
      </c>
      <c r="L294" s="1448" t="n">
        <f aca="false">SUM(I294:J294)</f>
        <v>22997554</v>
      </c>
      <c r="M294" s="1536"/>
      <c r="N294" s="1536"/>
      <c r="O294" s="1536"/>
      <c r="P294" s="1536"/>
      <c r="Q294" s="1536"/>
      <c r="R294" s="1536"/>
    </row>
    <row r="295" s="1536" customFormat="true" ht="15" hidden="false" customHeight="true" outlineLevel="0" collapsed="false">
      <c r="A295" s="1529" t="s">
        <v>823</v>
      </c>
      <c r="B295" s="1463" t="n">
        <f aca="false">SUM(C295:J295)</f>
        <v>52.73</v>
      </c>
      <c r="C295" s="1545" t="n">
        <f aca="false">$C$16</f>
        <v>46.49</v>
      </c>
      <c r="D295" s="1465" t="n">
        <f aca="false">$D$16</f>
        <v>2.32</v>
      </c>
      <c r="E295" s="1546" t="n">
        <f aca="false">$E$16</f>
        <v>0.82</v>
      </c>
      <c r="F295" s="1547" t="n">
        <f aca="false">$F$16</f>
        <v>0.05</v>
      </c>
      <c r="G295" s="1547" t="n">
        <f aca="false">$G$16</f>
        <v>0.55</v>
      </c>
      <c r="H295" s="1548" t="n">
        <f aca="false">$H$16</f>
        <v>0.1</v>
      </c>
      <c r="I295" s="1549" t="n">
        <f aca="false">$I$16</f>
        <v>0.012</v>
      </c>
      <c r="J295" s="1550" t="n">
        <f aca="false">$J$16</f>
        <v>2.388</v>
      </c>
      <c r="K295" s="1406"/>
      <c r="L295" s="1457" t="n">
        <f aca="false">SUM(I295:J295)</f>
        <v>2.4</v>
      </c>
      <c r="M295" s="607"/>
      <c r="N295" s="607"/>
      <c r="O295" s="607"/>
      <c r="P295" s="607"/>
      <c r="Q295" s="607"/>
      <c r="R295" s="607"/>
    </row>
    <row r="296" customFormat="false" ht="32.25" hidden="false" customHeight="true" outlineLevel="0" collapsed="false">
      <c r="A296" s="1386" t="s">
        <v>836</v>
      </c>
      <c r="B296" s="1387" t="n">
        <f aca="false">'☆掛負収入'!I631+'☆掛負収入'!I632</f>
        <v>132066353</v>
      </c>
      <c r="C296" s="1388" t="n">
        <f aca="false">ROUNDDOWN((B296-E296)/B297*C297,0)</f>
        <v>118258791</v>
      </c>
      <c r="D296" s="1458" t="n">
        <f aca="false">ROUNDDOWN((B296-E296)/B297*D297,0)</f>
        <v>5901492</v>
      </c>
      <c r="E296" s="1459" t="n">
        <f aca="false">ROUNDDOWN(B307*E281/1000,0)</f>
        <v>20454</v>
      </c>
      <c r="F296" s="1388" t="n">
        <f aca="false">ROUNDDOWN((B296-E296)/B297*F297,0)</f>
        <v>127187</v>
      </c>
      <c r="G296" s="1388" t="n">
        <f aca="false">ROUNDDOWN((B296-E296)/B297*G297,0)</f>
        <v>1399060</v>
      </c>
      <c r="H296" s="1409" t="n">
        <f aca="false">ROUNDDOWN((B296-E296)/B297*H297,0)</f>
        <v>254374</v>
      </c>
      <c r="I296" s="1409" t="n">
        <f aca="false">ROUNDDOWN((B296-E296)/B297*I297,0)</f>
        <v>30524</v>
      </c>
      <c r="J296" s="1460" t="n">
        <f aca="false">B296-C296-D296-E296-F296-G296-H296-I296</f>
        <v>6074471</v>
      </c>
      <c r="K296" s="1404" t="s">
        <v>824</v>
      </c>
      <c r="L296" s="1461" t="n">
        <f aca="false">SUM(I296:J296)</f>
        <v>6104995</v>
      </c>
      <c r="M296" s="1406"/>
      <c r="N296" s="1406"/>
      <c r="O296" s="1406"/>
      <c r="P296" s="1406"/>
      <c r="Q296" s="1406"/>
      <c r="R296" s="1406"/>
    </row>
    <row r="297" s="1406" customFormat="true" ht="15" hidden="false" customHeight="true" outlineLevel="0" collapsed="false">
      <c r="A297" s="1551" t="s">
        <v>823</v>
      </c>
      <c r="B297" s="1463" t="n">
        <f aca="false">SUM(C297:J297)</f>
        <v>51.91</v>
      </c>
      <c r="C297" s="1464" t="n">
        <f aca="false">C295</f>
        <v>46.49</v>
      </c>
      <c r="D297" s="1465" t="n">
        <f aca="false">D295</f>
        <v>2.32</v>
      </c>
      <c r="E297" s="1466" t="s">
        <v>837</v>
      </c>
      <c r="F297" s="1467" t="n">
        <f aca="false">F295</f>
        <v>0.05</v>
      </c>
      <c r="G297" s="1467" t="n">
        <f aca="false">G295</f>
        <v>0.55</v>
      </c>
      <c r="H297" s="1468" t="n">
        <f aca="false">H295</f>
        <v>0.1</v>
      </c>
      <c r="I297" s="1469" t="n">
        <f aca="false">I295</f>
        <v>0.012</v>
      </c>
      <c r="J297" s="1470" t="n">
        <f aca="false">J295</f>
        <v>2.388</v>
      </c>
      <c r="K297" s="1404"/>
      <c r="L297" s="1471" t="n">
        <f aca="false">SUM(I297:J297)</f>
        <v>2.4</v>
      </c>
      <c r="M297" s="607"/>
      <c r="N297" s="607"/>
      <c r="O297" s="607"/>
      <c r="P297" s="607"/>
      <c r="Q297" s="607"/>
      <c r="R297" s="607"/>
    </row>
    <row r="298" customFormat="false" ht="32.25" hidden="false" customHeight="true" outlineLevel="0" collapsed="false">
      <c r="A298" s="1472" t="s">
        <v>838</v>
      </c>
      <c r="B298" s="1387" t="n">
        <f aca="false">'☆掛負収入'!I648+E298</f>
        <v>57067</v>
      </c>
      <c r="C298" s="1388" t="n">
        <f aca="false">ROUNDDOWN((B298-E298)/B299*C299,0)</f>
        <v>50884</v>
      </c>
      <c r="D298" s="1458" t="n">
        <f aca="false">ROUNDDOWN((B298-E298)/B299*D299,0)</f>
        <v>2539</v>
      </c>
      <c r="E298" s="1473" t="n">
        <f aca="false">'☆労組公的負担（短期）'!F15</f>
        <v>250</v>
      </c>
      <c r="F298" s="1388" t="n">
        <f aca="false">ROUNDDOWN((B298-E298)/B299*F299,0)</f>
        <v>54</v>
      </c>
      <c r="G298" s="1388" t="n">
        <f aca="false">ROUNDDOWN((B298-E298)/B299*G299,0)</f>
        <v>601</v>
      </c>
      <c r="H298" s="1409" t="n">
        <f aca="false">H300-H294-H296</f>
        <v>110</v>
      </c>
      <c r="I298" s="1409" t="n">
        <f aca="false">I300-I294-I296</f>
        <v>16</v>
      </c>
      <c r="J298" s="1460" t="n">
        <f aca="false">B298-C298-D298-E298-F298-G298-H298-I298</f>
        <v>2613</v>
      </c>
      <c r="L298" s="1461" t="n">
        <f aca="false">SUM(I298:J298)</f>
        <v>2629</v>
      </c>
      <c r="M298" s="1406"/>
      <c r="N298" s="1406"/>
      <c r="O298" s="1406"/>
      <c r="P298" s="1406"/>
      <c r="Q298" s="1406"/>
      <c r="R298" s="1406"/>
    </row>
    <row r="299" s="1406" customFormat="true" ht="15" hidden="false" customHeight="true" outlineLevel="0" collapsed="false">
      <c r="A299" s="1537" t="s">
        <v>823</v>
      </c>
      <c r="B299" s="1474" t="n">
        <f aca="false">SUM(C299:J299)</f>
        <v>51.91</v>
      </c>
      <c r="C299" s="1464" t="n">
        <f aca="false">C295</f>
        <v>46.49</v>
      </c>
      <c r="D299" s="1465" t="n">
        <f aca="false">D295</f>
        <v>2.32</v>
      </c>
      <c r="E299" s="1475" t="s">
        <v>839</v>
      </c>
      <c r="F299" s="1476" t="n">
        <f aca="false">F295</f>
        <v>0.05</v>
      </c>
      <c r="G299" s="1476" t="n">
        <f aca="false">G295</f>
        <v>0.55</v>
      </c>
      <c r="H299" s="1477" t="n">
        <f aca="false">H295</f>
        <v>0.1</v>
      </c>
      <c r="I299" s="1478" t="n">
        <f aca="false">I295</f>
        <v>0.012</v>
      </c>
      <c r="J299" s="1479" t="n">
        <f aca="false">J295</f>
        <v>2.388</v>
      </c>
      <c r="L299" s="1480" t="n">
        <f aca="false">SUM(I299:J299)</f>
        <v>2.4</v>
      </c>
      <c r="M299" s="607"/>
      <c r="N299" s="607"/>
      <c r="O299" s="607"/>
      <c r="P299" s="607"/>
      <c r="Q299" s="607"/>
      <c r="R299" s="607"/>
    </row>
    <row r="300" customFormat="false" ht="30" hidden="false" customHeight="true" outlineLevel="0" collapsed="false">
      <c r="A300" s="1424" t="s">
        <v>763</v>
      </c>
      <c r="B300" s="1481" t="n">
        <f aca="false">'☆掛負収入'!I650</f>
        <v>637398784</v>
      </c>
      <c r="C300" s="1482" t="n">
        <f aca="false">C294+C296+C298</f>
        <v>563791405</v>
      </c>
      <c r="D300" s="1483" t="n">
        <f aca="false">D294+D296+D298</f>
        <v>28134997</v>
      </c>
      <c r="E300" s="1484" t="n">
        <f aca="false">E294+E296+E298</f>
        <v>7878200</v>
      </c>
      <c r="F300" s="1485" t="n">
        <f aca="false">F294+F296+F298</f>
        <v>606356</v>
      </c>
      <c r="G300" s="1485" t="n">
        <f aca="false">G294+G296+G298</f>
        <v>6669933</v>
      </c>
      <c r="H300" s="1485" t="n">
        <f aca="false">ROUNDDOWN((B305+B336)*H281/1000,0)-H336-H289</f>
        <v>1212715</v>
      </c>
      <c r="I300" s="1485" t="n">
        <f aca="false">ROUNDDOWN((B305+B336)*I281/1000,0)-H338-I289</f>
        <v>145527</v>
      </c>
      <c r="J300" s="1552" t="n">
        <f aca="false">J294+J296+J298</f>
        <v>28959651</v>
      </c>
      <c r="L300" s="1488" t="n">
        <f aca="false">SUM(I300:J300)</f>
        <v>29105178</v>
      </c>
      <c r="M300" s="1432"/>
      <c r="N300" s="1432"/>
      <c r="O300" s="1432"/>
      <c r="P300" s="1432"/>
      <c r="Q300" s="1432"/>
      <c r="R300" s="1432"/>
    </row>
    <row r="301" s="1432" customFormat="true" ht="20.1" hidden="false" customHeight="true" outlineLevel="0" collapsed="false">
      <c r="C301" s="1432" t="s">
        <v>826</v>
      </c>
      <c r="D301" s="1432" t="s">
        <v>827</v>
      </c>
      <c r="E301" s="1432" t="s">
        <v>827</v>
      </c>
      <c r="F301" s="1432" t="s">
        <v>828</v>
      </c>
      <c r="G301" s="1432" t="s">
        <v>829</v>
      </c>
      <c r="H301" s="1432" t="s">
        <v>830</v>
      </c>
      <c r="I301" s="1432" t="s">
        <v>831</v>
      </c>
      <c r="J301" s="1432" t="s">
        <v>832</v>
      </c>
      <c r="L301" s="1489"/>
      <c r="M301" s="789"/>
      <c r="N301" s="789"/>
      <c r="O301" s="789"/>
      <c r="P301" s="789"/>
      <c r="Q301" s="789"/>
      <c r="R301" s="789"/>
    </row>
    <row r="302" s="789" customFormat="true" ht="18.75" hidden="false" customHeight="true" outlineLevel="0" collapsed="false">
      <c r="A302" s="1490" t="s">
        <v>840</v>
      </c>
      <c r="B302" s="1491" t="n">
        <f aca="false">B289+B300</f>
        <v>1265698319</v>
      </c>
      <c r="C302" s="1492"/>
      <c r="D302" s="1492"/>
      <c r="E302" s="1492"/>
      <c r="K302" s="1367"/>
    </row>
    <row r="303" s="789" customFormat="true" ht="18.75" hidden="false" customHeight="true" outlineLevel="0" collapsed="false">
      <c r="A303" s="1502"/>
      <c r="B303" s="1495"/>
      <c r="C303" s="1496" t="s">
        <v>841</v>
      </c>
      <c r="D303" s="1497"/>
      <c r="E303" s="1498"/>
      <c r="F303" s="1499" t="s">
        <v>842</v>
      </c>
      <c r="G303" s="1498"/>
      <c r="H303" s="1500" t="n">
        <f aca="false">G289+G300</f>
        <v>13333348</v>
      </c>
      <c r="I303" s="1501" t="s">
        <v>544</v>
      </c>
      <c r="K303" s="1367"/>
    </row>
    <row r="304" s="789" customFormat="true" ht="18.75" hidden="false" customHeight="true" outlineLevel="0" collapsed="false">
      <c r="A304" s="1502" t="s">
        <v>843</v>
      </c>
      <c r="B304" s="1503"/>
      <c r="C304" s="1504"/>
      <c r="D304" s="1505"/>
      <c r="E304" s="1500" t="n">
        <f aca="false">C289+C300</f>
        <v>1127031771</v>
      </c>
      <c r="F304" s="1506" t="str">
        <f aca="false">IF(H303=('☆拠出金明細R7'!V81-H334),"　","明細と不一致!")</f>
        <v>　</v>
      </c>
      <c r="G304" s="1507" t="n">
        <f aca="false">B305</f>
        <v>12121225000</v>
      </c>
      <c r="H304" s="1508" t="n">
        <f aca="false">G281</f>
        <v>1.1</v>
      </c>
      <c r="I304" s="1500"/>
      <c r="K304" s="1367"/>
    </row>
    <row r="305" s="789" customFormat="true" ht="18.75" hidden="false" customHeight="true" outlineLevel="0" collapsed="false">
      <c r="A305" s="1509" t="s">
        <v>690</v>
      </c>
      <c r="B305" s="1510" t="n">
        <f aca="false">ROUNDUP(((H303+H334)/G281*1000)-B336,-3)</f>
        <v>12121225000</v>
      </c>
      <c r="C305" s="1496" t="s">
        <v>844</v>
      </c>
      <c r="D305" s="1497"/>
      <c r="E305" s="1511"/>
      <c r="F305" s="1499" t="s">
        <v>845</v>
      </c>
      <c r="G305" s="1498"/>
      <c r="H305" s="1500" t="n">
        <f aca="false">H289+H300</f>
        <v>2424245</v>
      </c>
      <c r="I305" s="1094" t="s">
        <v>545</v>
      </c>
      <c r="K305" s="1367"/>
      <c r="L305" s="1406"/>
      <c r="M305" s="1406"/>
      <c r="N305" s="1406"/>
      <c r="O305" s="1406"/>
      <c r="P305" s="1406"/>
      <c r="Q305" s="1406"/>
    </row>
    <row r="306" s="1406" customFormat="true" ht="18.75" hidden="false" customHeight="true" outlineLevel="0" collapsed="false">
      <c r="A306" s="1509"/>
      <c r="B306" s="1510"/>
      <c r="C306" s="1512"/>
      <c r="D306" s="1505"/>
      <c r="E306" s="1500" t="n">
        <f aca="false">D289+D300+E300</f>
        <v>64120696</v>
      </c>
      <c r="F306" s="1506" t="str">
        <f aca="false">IF(H305=('☆拠出金明細R7'!AD80-H336),"　","明細と不一致!")</f>
        <v>　</v>
      </c>
      <c r="G306" s="1507" t="n">
        <f aca="false">B305</f>
        <v>12121225000</v>
      </c>
      <c r="H306" s="1508" t="n">
        <f aca="false">H281</f>
        <v>0.2</v>
      </c>
      <c r="I306" s="1094"/>
      <c r="K306" s="1513"/>
      <c r="L306" s="607"/>
      <c r="M306" s="607"/>
      <c r="N306" s="607"/>
      <c r="O306" s="607"/>
      <c r="P306" s="607"/>
      <c r="Q306" s="607"/>
    </row>
    <row r="307" customFormat="false" ht="18.75" hidden="false" customHeight="true" outlineLevel="0" collapsed="false">
      <c r="A307" s="1514" t="s">
        <v>859</v>
      </c>
      <c r="B307" s="1515" t="n">
        <v>24944000</v>
      </c>
      <c r="C307" s="1516" t="s">
        <v>847</v>
      </c>
      <c r="D307" s="1518"/>
      <c r="E307" s="1498"/>
      <c r="F307" s="1518" t="s">
        <v>848</v>
      </c>
      <c r="G307" s="1497"/>
      <c r="H307" s="1500" t="n">
        <f aca="false">I289+I300</f>
        <v>290910</v>
      </c>
      <c r="I307" s="1094" t="s">
        <v>546</v>
      </c>
      <c r="K307" s="1362"/>
      <c r="L307" s="607"/>
    </row>
    <row r="308" customFormat="false" ht="18.75" hidden="false" customHeight="true" outlineLevel="0" collapsed="false">
      <c r="A308" s="1514"/>
      <c r="B308" s="1515"/>
      <c r="C308" s="1519"/>
      <c r="D308" s="1506" t="str">
        <f aca="false">IF(E308=('☆拠出金明細R7'!K81-E339),"　","明細と不一致!")</f>
        <v>　</v>
      </c>
      <c r="E308" s="1500" t="n">
        <f aca="false">F300</f>
        <v>606356</v>
      </c>
      <c r="F308" s="1506" t="str">
        <f aca="false">IF(H307=('☆拠出金明細R7'!AN81-H338),"　","明細と不一致!")</f>
        <v>　</v>
      </c>
      <c r="G308" s="1507" t="n">
        <f aca="false">B305</f>
        <v>12121225000</v>
      </c>
      <c r="H308" s="1520" t="n">
        <f aca="false">I281</f>
        <v>0.024</v>
      </c>
      <c r="K308" s="1362"/>
      <c r="L308" s="607"/>
    </row>
    <row r="309" customFormat="false" ht="18.75" hidden="false" customHeight="true" outlineLevel="0" collapsed="false">
      <c r="A309" s="1278"/>
      <c r="B309" s="1521"/>
      <c r="C309" s="1516" t="s">
        <v>849</v>
      </c>
      <c r="D309" s="1518"/>
      <c r="E309" s="1522"/>
      <c r="F309" s="1523" t="s">
        <v>850</v>
      </c>
      <c r="G309" s="1523"/>
      <c r="H309" s="1523"/>
      <c r="K309" s="1362"/>
      <c r="L309" s="607"/>
    </row>
    <row r="310" customFormat="false" ht="18.75" hidden="false" customHeight="true" outlineLevel="0" collapsed="false">
      <c r="A310" s="1278"/>
      <c r="B310" s="1521"/>
      <c r="C310" s="1524"/>
      <c r="D310" s="1511"/>
      <c r="E310" s="1500" t="n">
        <f aca="false">J289+J300</f>
        <v>57890993</v>
      </c>
      <c r="F310" s="1523"/>
      <c r="G310" s="1523"/>
      <c r="H310" s="1523"/>
      <c r="I310" s="1560"/>
      <c r="K310" s="1362"/>
      <c r="L310" s="789"/>
      <c r="M310" s="789"/>
      <c r="N310" s="789"/>
      <c r="O310" s="789"/>
      <c r="P310" s="789"/>
      <c r="Q310" s="789"/>
    </row>
    <row r="311" s="789" customFormat="true" ht="26.25" hidden="false" customHeight="true" outlineLevel="0" collapsed="false">
      <c r="A311" s="1363" t="n">
        <f aca="false">A280</f>
        <v>46387</v>
      </c>
      <c r="B311" s="1364" t="s">
        <v>801</v>
      </c>
      <c r="C311" s="1365" t="s">
        <v>802</v>
      </c>
      <c r="D311" s="1130" t="s">
        <v>803</v>
      </c>
      <c r="E311" s="1130" t="s">
        <v>804</v>
      </c>
      <c r="F311" s="1130" t="s">
        <v>805</v>
      </c>
      <c r="G311" s="1130" t="s">
        <v>806</v>
      </c>
      <c r="H311" s="1130" t="s">
        <v>807</v>
      </c>
      <c r="I311" s="1130" t="s">
        <v>808</v>
      </c>
      <c r="J311" s="1366"/>
      <c r="L311" s="1367"/>
      <c r="M311" s="1369"/>
      <c r="N311" s="1369"/>
      <c r="O311" s="1369"/>
      <c r="P311" s="1369"/>
      <c r="Q311" s="1369"/>
      <c r="R311" s="1369"/>
    </row>
    <row r="312" s="1369" customFormat="true" ht="26.25" hidden="false" customHeight="true" outlineLevel="0" collapsed="false">
      <c r="A312" s="1368"/>
      <c r="C312" s="1365"/>
      <c r="D312" s="1526" t="n">
        <f aca="false">$D$2</f>
        <v>4.64</v>
      </c>
      <c r="E312" s="1527" t="n">
        <f aca="false">$E$2</f>
        <v>0.82</v>
      </c>
      <c r="F312" s="1527" t="n">
        <f aca="false">$F$2</f>
        <v>0.05</v>
      </c>
      <c r="G312" s="1527" t="n">
        <f aca="false">$G$2</f>
        <v>1.1</v>
      </c>
      <c r="H312" s="1527" t="n">
        <f aca="false">$H$2</f>
        <v>0.2</v>
      </c>
      <c r="I312" s="1527" t="n">
        <f aca="false">$I$2</f>
        <v>0.024</v>
      </c>
      <c r="J312" s="1373"/>
      <c r="L312" s="1374"/>
      <c r="M312" s="607"/>
      <c r="N312" s="607"/>
      <c r="O312" s="607"/>
      <c r="P312" s="607"/>
      <c r="Q312" s="607"/>
      <c r="R312" s="607"/>
    </row>
    <row r="313" customFormat="false" ht="13.9" hidden="false" customHeight="true" outlineLevel="0" collapsed="false">
      <c r="C313" s="1366"/>
      <c r="D313" s="1366"/>
      <c r="E313" s="1366"/>
      <c r="F313" s="1528"/>
      <c r="G313" s="1366"/>
      <c r="H313" s="1366"/>
      <c r="I313" s="1366"/>
      <c r="J313" s="1366"/>
    </row>
    <row r="314" customFormat="false" ht="20.1" hidden="false" customHeight="true" outlineLevel="0" collapsed="false">
      <c r="A314" s="796" t="s">
        <v>811</v>
      </c>
      <c r="G314" s="1377"/>
      <c r="L314" s="1378" t="s">
        <v>812</v>
      </c>
      <c r="M314" s="1222"/>
      <c r="N314" s="1222"/>
      <c r="O314" s="1222"/>
      <c r="P314" s="1222"/>
      <c r="Q314" s="1222"/>
      <c r="R314" s="1222"/>
    </row>
    <row r="315" s="1222" customFormat="true" ht="30" hidden="false" customHeight="true" outlineLevel="0" collapsed="false">
      <c r="A315" s="1379" t="s">
        <v>483</v>
      </c>
      <c r="B315" s="1380" t="s">
        <v>813</v>
      </c>
      <c r="C315" s="1381" t="s">
        <v>814</v>
      </c>
      <c r="D315" s="1382" t="s">
        <v>815</v>
      </c>
      <c r="E315" s="1382"/>
      <c r="F315" s="1383" t="s">
        <v>816</v>
      </c>
      <c r="G315" s="1382" t="s">
        <v>817</v>
      </c>
      <c r="H315" s="1382" t="s">
        <v>818</v>
      </c>
      <c r="I315" s="1382" t="s">
        <v>819</v>
      </c>
      <c r="J315" s="1384" t="s">
        <v>820</v>
      </c>
      <c r="L315" s="1385" t="s">
        <v>821</v>
      </c>
      <c r="M315" s="607"/>
      <c r="N315" s="607"/>
      <c r="O315" s="607"/>
      <c r="P315" s="607"/>
      <c r="Q315" s="607"/>
      <c r="R315" s="607"/>
    </row>
    <row r="316" customFormat="false" ht="32.25" hidden="false" customHeight="true" outlineLevel="0" collapsed="false">
      <c r="A316" s="1386" t="s">
        <v>822</v>
      </c>
      <c r="B316" s="1387" t="n">
        <f aca="false">B320-B318</f>
        <v>365041686</v>
      </c>
      <c r="C316" s="1388" t="n">
        <f aca="false">ROUNDDOWN(B316*C317/B317,0)</f>
        <v>327242344</v>
      </c>
      <c r="D316" s="1389" t="n">
        <f aca="false">ROUNDDOWN(B316*D317/B317,0)</f>
        <v>16330441</v>
      </c>
      <c r="E316" s="1389" t="n">
        <f aca="false">ROUNDDOWN(D316*E317/D317,0)</f>
        <v>0</v>
      </c>
      <c r="F316" s="1390" t="s">
        <v>635</v>
      </c>
      <c r="G316" s="1391" t="n">
        <f aca="false">ROUNDDOWN(B316*G317/B317,0)</f>
        <v>3871440</v>
      </c>
      <c r="H316" s="1392" t="n">
        <f aca="false">ROUNDDOWN(B316*H317/B317,0)</f>
        <v>703898</v>
      </c>
      <c r="I316" s="1389" t="n">
        <f aca="false">ROUNDDOWN(B316*I317/B317,0)</f>
        <v>84467</v>
      </c>
      <c r="J316" s="1393" t="n">
        <f aca="false">B316-C316-D316-G316-H316-I316</f>
        <v>16809096</v>
      </c>
      <c r="L316" s="1394" t="n">
        <f aca="false">SUM(I316:J316)</f>
        <v>16893563</v>
      </c>
      <c r="M316" s="1536"/>
      <c r="N316" s="1536"/>
      <c r="O316" s="1536"/>
      <c r="P316" s="1536"/>
      <c r="Q316" s="1536"/>
      <c r="R316" s="1536"/>
    </row>
    <row r="317" s="1536" customFormat="true" ht="15" hidden="false" customHeight="true" outlineLevel="0" collapsed="false">
      <c r="A317" s="1529" t="s">
        <v>823</v>
      </c>
      <c r="B317" s="1530" t="n">
        <f aca="false">SUM(C317:J317)</f>
        <v>51.86</v>
      </c>
      <c r="C317" s="1531" t="n">
        <f aca="false">$C$7</f>
        <v>46.49</v>
      </c>
      <c r="D317" s="1532" t="n">
        <f aca="false">$D$7</f>
        <v>2.32</v>
      </c>
      <c r="E317" s="1532"/>
      <c r="F317" s="1533" t="s">
        <v>635</v>
      </c>
      <c r="G317" s="1534" t="n">
        <f aca="false">$G$7</f>
        <v>0.55</v>
      </c>
      <c r="H317" s="1467" t="n">
        <f aca="false">$H$7</f>
        <v>0.1</v>
      </c>
      <c r="I317" s="1468" t="n">
        <f aca="false">$I$7</f>
        <v>0.012</v>
      </c>
      <c r="J317" s="1535" t="n">
        <f aca="false">$J$7</f>
        <v>2.388</v>
      </c>
      <c r="K317" s="1404" t="s">
        <v>824</v>
      </c>
      <c r="L317" s="1405" t="n">
        <f aca="false">SUM(I317:J317)</f>
        <v>2.4</v>
      </c>
      <c r="M317" s="607"/>
      <c r="N317" s="607"/>
      <c r="O317" s="607"/>
      <c r="P317" s="607"/>
      <c r="Q317" s="607"/>
      <c r="R317" s="607"/>
    </row>
    <row r="318" customFormat="false" ht="32.25" hidden="false" customHeight="true" outlineLevel="0" collapsed="false">
      <c r="A318" s="1386" t="s">
        <v>825</v>
      </c>
      <c r="B318" s="1387" t="n">
        <f aca="false">'☆短期集計R7'!D35</f>
        <v>1270075</v>
      </c>
      <c r="C318" s="1388" t="n">
        <f aca="false">ROUNDDOWN(B318*C319/B319,0)</f>
        <v>1138561</v>
      </c>
      <c r="D318" s="1407" t="n">
        <f aca="false">ROUNDDOWN(B318*D319/B319,0)</f>
        <v>56817</v>
      </c>
      <c r="E318" s="1407" t="n">
        <f aca="false">ROUNDDOWN(D318*E319/D319,0)</f>
        <v>0</v>
      </c>
      <c r="F318" s="1408" t="s">
        <v>635</v>
      </c>
      <c r="G318" s="1409" t="n">
        <f aca="false">ROUNDDOWN(B318*G319/B319,0)</f>
        <v>13469</v>
      </c>
      <c r="H318" s="1410" t="n">
        <f aca="false">ROUNDDOWN(B318*H319/B319,0)</f>
        <v>2449</v>
      </c>
      <c r="I318" s="1411" t="n">
        <f aca="false">ROUNDDOWN(B318*I319/B319,0)</f>
        <v>293</v>
      </c>
      <c r="J318" s="1412" t="n">
        <f aca="false">B318-C318-D318-G318-H318-I318</f>
        <v>58486</v>
      </c>
      <c r="K318" s="1404"/>
      <c r="L318" s="1413" t="n">
        <f aca="false">SUM(I318:J318)</f>
        <v>58779</v>
      </c>
      <c r="M318" s="1406"/>
      <c r="N318" s="1406"/>
      <c r="O318" s="1406"/>
      <c r="P318" s="1406"/>
      <c r="Q318" s="1406"/>
      <c r="R318" s="1406"/>
    </row>
    <row r="319" s="1406" customFormat="true" ht="15" hidden="false" customHeight="true" outlineLevel="0" collapsed="false">
      <c r="A319" s="1537" t="s">
        <v>823</v>
      </c>
      <c r="B319" s="1474" t="n">
        <f aca="false">SUM(C319:J319)</f>
        <v>103.72</v>
      </c>
      <c r="C319" s="1538" t="n">
        <f aca="false">C317*2</f>
        <v>92.98</v>
      </c>
      <c r="D319" s="1539" t="n">
        <f aca="false">D317*2</f>
        <v>4.64</v>
      </c>
      <c r="E319" s="1539"/>
      <c r="F319" s="1540" t="s">
        <v>635</v>
      </c>
      <c r="G319" s="1541" t="n">
        <f aca="false">G317*2</f>
        <v>1.1</v>
      </c>
      <c r="H319" s="1542" t="n">
        <f aca="false">H317*2</f>
        <v>0.2</v>
      </c>
      <c r="I319" s="1543" t="n">
        <f aca="false">I317*2</f>
        <v>0.024</v>
      </c>
      <c r="J319" s="1544" t="n">
        <f aca="false">J317*2</f>
        <v>4.776</v>
      </c>
      <c r="L319" s="1423" t="n">
        <f aca="false">L317*2</f>
        <v>4.8</v>
      </c>
      <c r="M319" s="607"/>
      <c r="N319" s="607"/>
      <c r="O319" s="607"/>
      <c r="P319" s="607"/>
      <c r="Q319" s="607"/>
      <c r="R319" s="607"/>
    </row>
    <row r="320" customFormat="false" ht="30" hidden="false" customHeight="true" outlineLevel="0" collapsed="false">
      <c r="A320" s="1424" t="s">
        <v>763</v>
      </c>
      <c r="B320" s="1425" t="n">
        <f aca="false">'☆短期集計R7'!B35+'☆短期集計R7'!D35</f>
        <v>366311761</v>
      </c>
      <c r="C320" s="1426" t="n">
        <f aca="false">C316+C318</f>
        <v>328380905</v>
      </c>
      <c r="D320" s="1427" t="n">
        <f aca="false">D316+D318</f>
        <v>16387258</v>
      </c>
      <c r="E320" s="1427"/>
      <c r="F320" s="1428" t="s">
        <v>635</v>
      </c>
      <c r="G320" s="1427" t="n">
        <f aca="false">G316+G318</f>
        <v>3884909</v>
      </c>
      <c r="H320" s="1426" t="n">
        <f aca="false">H316+H318</f>
        <v>706347</v>
      </c>
      <c r="I320" s="1427" t="n">
        <f aca="false">I316+I318</f>
        <v>84760</v>
      </c>
      <c r="J320" s="1429" t="n">
        <f aca="false">J316+J318</f>
        <v>16867582</v>
      </c>
      <c r="L320" s="1430" t="n">
        <f aca="false">L316+L318</f>
        <v>16952342</v>
      </c>
      <c r="M320" s="1431"/>
      <c r="N320" s="1431"/>
      <c r="O320" s="1431"/>
      <c r="P320" s="1431"/>
      <c r="Q320" s="1431"/>
      <c r="R320" s="1431"/>
    </row>
    <row r="321" s="1431" customFormat="true" ht="20.1" hidden="false" customHeight="true" outlineLevel="0" collapsed="false">
      <c r="C321" s="1432" t="s">
        <v>826</v>
      </c>
      <c r="D321" s="1433" t="s">
        <v>827</v>
      </c>
      <c r="E321" s="1433"/>
      <c r="F321" s="1432" t="s">
        <v>828</v>
      </c>
      <c r="G321" s="1432" t="s">
        <v>829</v>
      </c>
      <c r="H321" s="1434" t="s">
        <v>830</v>
      </c>
      <c r="I321" s="1434" t="s">
        <v>831</v>
      </c>
      <c r="J321" s="1434" t="s">
        <v>832</v>
      </c>
      <c r="L321" s="1435"/>
      <c r="M321" s="1089"/>
      <c r="N321" s="1089"/>
      <c r="O321" s="1089"/>
      <c r="P321" s="1089"/>
      <c r="Q321" s="1089"/>
      <c r="R321" s="1089"/>
    </row>
    <row r="322" s="1089" customFormat="true" ht="13.5" hidden="false" customHeight="true" outlineLevel="0" collapsed="false">
      <c r="C322" s="1436"/>
      <c r="D322" s="1437"/>
      <c r="E322" s="1437"/>
      <c r="F322" s="1436"/>
      <c r="G322" s="1437"/>
      <c r="H322" s="1437"/>
      <c r="I322" s="1437"/>
      <c r="J322" s="1437"/>
      <c r="L322" s="1438"/>
      <c r="M322" s="607"/>
      <c r="N322" s="607"/>
      <c r="O322" s="607"/>
      <c r="P322" s="607"/>
      <c r="Q322" s="607"/>
      <c r="R322" s="607"/>
    </row>
    <row r="323" customFormat="false" ht="20.1" hidden="false" customHeight="true" outlineLevel="0" collapsed="false">
      <c r="A323" s="796" t="s">
        <v>238</v>
      </c>
      <c r="B323" s="1089"/>
      <c r="C323" s="1089"/>
      <c r="D323" s="1089"/>
      <c r="E323" s="1089"/>
      <c r="F323" s="1089"/>
      <c r="G323" s="1377"/>
      <c r="H323" s="1089"/>
      <c r="I323" s="1089"/>
      <c r="J323" s="1089"/>
      <c r="L323" s="1378" t="s">
        <v>812</v>
      </c>
      <c r="M323" s="945"/>
      <c r="N323" s="945"/>
      <c r="O323" s="945"/>
      <c r="P323" s="945"/>
      <c r="Q323" s="945"/>
      <c r="R323" s="945"/>
    </row>
    <row r="324" s="945" customFormat="true" ht="30" hidden="false" customHeight="true" outlineLevel="0" collapsed="false">
      <c r="A324" s="1379" t="s">
        <v>483</v>
      </c>
      <c r="B324" s="1380" t="s">
        <v>813</v>
      </c>
      <c r="C324" s="1381" t="s">
        <v>814</v>
      </c>
      <c r="D324" s="1439" t="s">
        <v>815</v>
      </c>
      <c r="E324" s="1440" t="s">
        <v>866</v>
      </c>
      <c r="F324" s="1441" t="s">
        <v>834</v>
      </c>
      <c r="G324" s="1442" t="s">
        <v>817</v>
      </c>
      <c r="H324" s="1382" t="s">
        <v>818</v>
      </c>
      <c r="I324" s="1382" t="s">
        <v>819</v>
      </c>
      <c r="J324" s="1384" t="s">
        <v>820</v>
      </c>
      <c r="L324" s="1385" t="s">
        <v>821</v>
      </c>
      <c r="M324" s="607"/>
      <c r="N324" s="607"/>
      <c r="O324" s="607"/>
      <c r="P324" s="607"/>
      <c r="Q324" s="607"/>
      <c r="R324" s="607"/>
    </row>
    <row r="325" customFormat="false" ht="32.25" hidden="false" customHeight="true" outlineLevel="0" collapsed="false">
      <c r="A325" s="1443" t="s">
        <v>852</v>
      </c>
      <c r="B325" s="1387" t="n">
        <f aca="false">B331-B327-B329</f>
        <v>273118753</v>
      </c>
      <c r="C325" s="1388" t="n">
        <f aca="false">ROUNDDOWN(B325*C326/B326,0)</f>
        <v>240798233</v>
      </c>
      <c r="D325" s="1444" t="n">
        <f aca="false">ROUNDDOWN(B325*D326/B326,0)</f>
        <v>12016603</v>
      </c>
      <c r="E325" s="1445" t="n">
        <f aca="false">ROUNDDOWN(B325*E326/B326,0)</f>
        <v>4247247</v>
      </c>
      <c r="F325" s="1446" t="n">
        <f aca="false">ROUNDDOWN(B325*F326/B326,0)</f>
        <v>258978</v>
      </c>
      <c r="G325" s="1446" t="n">
        <f aca="false">ROUNDDOWN(B325*G326/B326,0)</f>
        <v>2848763</v>
      </c>
      <c r="H325" s="1446" t="n">
        <f aca="false">ROUNDDOWN(B325*H326/B326,0)</f>
        <v>517957</v>
      </c>
      <c r="I325" s="1446" t="n">
        <f aca="false">ROUNDDOWN(B325*I326/B326,0)</f>
        <v>62154</v>
      </c>
      <c r="J325" s="1447" t="n">
        <f aca="false">B325-C325-D325-E325-F325-G325-H325-I325</f>
        <v>12368818</v>
      </c>
      <c r="L325" s="1448" t="n">
        <f aca="false">SUM(I325:J325)</f>
        <v>12430972</v>
      </c>
      <c r="M325" s="1536"/>
      <c r="N325" s="1536"/>
      <c r="O325" s="1536"/>
      <c r="P325" s="1536"/>
      <c r="Q325" s="1536"/>
      <c r="R325" s="1536"/>
    </row>
    <row r="326" s="1536" customFormat="true" ht="15" hidden="false" customHeight="true" outlineLevel="0" collapsed="false">
      <c r="A326" s="1529" t="s">
        <v>823</v>
      </c>
      <c r="B326" s="1463" t="n">
        <f aca="false">SUM(C326:J326)</f>
        <v>52.73</v>
      </c>
      <c r="C326" s="1545" t="n">
        <f aca="false">$C$16</f>
        <v>46.49</v>
      </c>
      <c r="D326" s="1465" t="n">
        <f aca="false">$D$16</f>
        <v>2.32</v>
      </c>
      <c r="E326" s="1546" t="n">
        <f aca="false">$E$16</f>
        <v>0.82</v>
      </c>
      <c r="F326" s="1547" t="n">
        <f aca="false">$F$16</f>
        <v>0.05</v>
      </c>
      <c r="G326" s="1547" t="n">
        <f aca="false">$G$16</f>
        <v>0.55</v>
      </c>
      <c r="H326" s="1548" t="n">
        <f aca="false">$H$16</f>
        <v>0.1</v>
      </c>
      <c r="I326" s="1549" t="n">
        <f aca="false">$I$16</f>
        <v>0.012</v>
      </c>
      <c r="J326" s="1550" t="n">
        <f aca="false">$J$16</f>
        <v>2.388</v>
      </c>
      <c r="K326" s="1406"/>
      <c r="L326" s="1457" t="n">
        <f aca="false">SUM(I326:J326)</f>
        <v>2.4</v>
      </c>
      <c r="M326" s="607"/>
      <c r="N326" s="607"/>
      <c r="O326" s="607"/>
      <c r="P326" s="607"/>
      <c r="Q326" s="607"/>
      <c r="R326" s="607"/>
    </row>
    <row r="327" customFormat="false" ht="32.25" hidden="false" customHeight="true" outlineLevel="0" collapsed="false">
      <c r="A327" s="1386" t="s">
        <v>836</v>
      </c>
      <c r="B327" s="1387" t="n">
        <f aca="false">'☆掛負収入'!I696+'☆掛負収入'!I697</f>
        <v>96481657</v>
      </c>
      <c r="C327" s="1388" t="n">
        <f aca="false">ROUNDDOWN((B327-E327)/B328*C328,0)</f>
        <v>86398222</v>
      </c>
      <c r="D327" s="1458" t="n">
        <f aca="false">ROUNDDOWN((B327-E327)/B328*D328,0)</f>
        <v>4311548</v>
      </c>
      <c r="E327" s="1459" t="n">
        <f aca="false">ROUNDDOWN(B338*E312/1000,0)</f>
        <v>10766</v>
      </c>
      <c r="F327" s="1388" t="n">
        <f aca="false">ROUNDDOWN((B327-E327)/B328*F328,0)</f>
        <v>92921</v>
      </c>
      <c r="G327" s="1388" t="n">
        <f aca="false">ROUNDDOWN((B327-E327)/B328*G328,0)</f>
        <v>1022134</v>
      </c>
      <c r="H327" s="1409" t="n">
        <f aca="false">ROUNDDOWN((B327-E327)/B328*H328,0)</f>
        <v>185842</v>
      </c>
      <c r="I327" s="1409" t="n">
        <f aca="false">ROUNDDOWN((B327-E327)/B328*I328,0)</f>
        <v>22301</v>
      </c>
      <c r="J327" s="1460" t="n">
        <f aca="false">B327-C327-D327-E327-F327-G327-H327-I327</f>
        <v>4437923</v>
      </c>
      <c r="K327" s="1404" t="s">
        <v>824</v>
      </c>
      <c r="L327" s="1461" t="n">
        <f aca="false">SUM(I327:J327)</f>
        <v>4460224</v>
      </c>
      <c r="M327" s="1406"/>
      <c r="N327" s="1406"/>
      <c r="O327" s="1406"/>
      <c r="P327" s="1406"/>
      <c r="Q327" s="1406"/>
      <c r="R327" s="1406"/>
    </row>
    <row r="328" s="1406" customFormat="true" ht="15" hidden="false" customHeight="true" outlineLevel="0" collapsed="false">
      <c r="A328" s="1551" t="s">
        <v>823</v>
      </c>
      <c r="B328" s="1463" t="n">
        <f aca="false">SUM(C328:J328)</f>
        <v>51.91</v>
      </c>
      <c r="C328" s="1464" t="n">
        <f aca="false">C326</f>
        <v>46.49</v>
      </c>
      <c r="D328" s="1465" t="n">
        <f aca="false">D326</f>
        <v>2.32</v>
      </c>
      <c r="E328" s="1466" t="s">
        <v>837</v>
      </c>
      <c r="F328" s="1467" t="n">
        <f aca="false">F326</f>
        <v>0.05</v>
      </c>
      <c r="G328" s="1467" t="n">
        <f aca="false">G326</f>
        <v>0.55</v>
      </c>
      <c r="H328" s="1468" t="n">
        <f aca="false">H326</f>
        <v>0.1</v>
      </c>
      <c r="I328" s="1469" t="n">
        <f aca="false">I326</f>
        <v>0.012</v>
      </c>
      <c r="J328" s="1470" t="n">
        <f aca="false">J326</f>
        <v>2.388</v>
      </c>
      <c r="K328" s="1404"/>
      <c r="L328" s="1471" t="n">
        <f aca="false">SUM(I328:J328)</f>
        <v>2.4</v>
      </c>
      <c r="M328" s="607"/>
      <c r="N328" s="607"/>
      <c r="O328" s="607"/>
      <c r="P328" s="607"/>
      <c r="Q328" s="607"/>
      <c r="R328" s="607"/>
    </row>
    <row r="329" customFormat="false" ht="32.25" hidden="false" customHeight="true" outlineLevel="0" collapsed="false">
      <c r="A329" s="1472" t="s">
        <v>838</v>
      </c>
      <c r="B329" s="1387" t="n">
        <f aca="false">'☆掛負収入'!I713+E329</f>
        <v>48758</v>
      </c>
      <c r="C329" s="1388" t="n">
        <f aca="false">ROUNDDOWN((B329-E329)/B330*C330,0)</f>
        <v>43432</v>
      </c>
      <c r="D329" s="1458" t="n">
        <f aca="false">ROUNDDOWN((B329-E329)/B330*D330,0)</f>
        <v>2167</v>
      </c>
      <c r="E329" s="1473" t="n">
        <f aca="false">'☆労組公的負担（短期）'!F16</f>
        <v>262</v>
      </c>
      <c r="F329" s="1388" t="n">
        <f aca="false">ROUNDDOWN((B329-E329)/B330*F330,0)</f>
        <v>46</v>
      </c>
      <c r="G329" s="1388" t="n">
        <f aca="false">ROUNDDOWN((B329-E329)/B330*G330,0)</f>
        <v>513</v>
      </c>
      <c r="H329" s="1409" t="n">
        <f aca="false">H331-H325-H327</f>
        <v>94</v>
      </c>
      <c r="I329" s="1409" t="n">
        <f aca="false">I331-I325-I327</f>
        <v>13</v>
      </c>
      <c r="J329" s="1460" t="n">
        <f aca="false">B329-C329-D329-E329-F329-G329-H329-I329</f>
        <v>2231</v>
      </c>
      <c r="L329" s="1461" t="n">
        <f aca="false">SUM(I329:J329)</f>
        <v>2244</v>
      </c>
      <c r="M329" s="1406"/>
      <c r="N329" s="1406"/>
      <c r="O329" s="1406"/>
      <c r="P329" s="1406"/>
      <c r="Q329" s="1406"/>
      <c r="R329" s="1406"/>
    </row>
    <row r="330" s="1406" customFormat="true" ht="15" hidden="false" customHeight="true" outlineLevel="0" collapsed="false">
      <c r="A330" s="1537" t="s">
        <v>823</v>
      </c>
      <c r="B330" s="1474" t="n">
        <f aca="false">SUM(C330:J330)</f>
        <v>51.91</v>
      </c>
      <c r="C330" s="1464" t="n">
        <f aca="false">C326</f>
        <v>46.49</v>
      </c>
      <c r="D330" s="1465" t="n">
        <f aca="false">D326</f>
        <v>2.32</v>
      </c>
      <c r="E330" s="1475" t="s">
        <v>839</v>
      </c>
      <c r="F330" s="1476" t="n">
        <f aca="false">F326</f>
        <v>0.05</v>
      </c>
      <c r="G330" s="1476" t="n">
        <f aca="false">G326</f>
        <v>0.55</v>
      </c>
      <c r="H330" s="1477" t="n">
        <f aca="false">H326</f>
        <v>0.1</v>
      </c>
      <c r="I330" s="1478" t="n">
        <f aca="false">I326</f>
        <v>0.012</v>
      </c>
      <c r="J330" s="1479" t="n">
        <f aca="false">J326</f>
        <v>2.388</v>
      </c>
      <c r="L330" s="1480" t="n">
        <f aca="false">SUM(I330:J330)</f>
        <v>2.4</v>
      </c>
      <c r="M330" s="607"/>
      <c r="N330" s="607"/>
      <c r="O330" s="607"/>
      <c r="P330" s="607"/>
      <c r="Q330" s="607"/>
      <c r="R330" s="607"/>
    </row>
    <row r="331" customFormat="false" ht="30" hidden="false" customHeight="true" outlineLevel="0" collapsed="false">
      <c r="A331" s="1424" t="s">
        <v>763</v>
      </c>
      <c r="B331" s="1481" t="n">
        <f aca="false">'☆掛負収入'!I715</f>
        <v>369649168</v>
      </c>
      <c r="C331" s="1482" t="n">
        <f aca="false">C325+C327+C329</f>
        <v>327239887</v>
      </c>
      <c r="D331" s="1483" t="n">
        <f aca="false">D325+D327+D329</f>
        <v>16330318</v>
      </c>
      <c r="E331" s="1484" t="n">
        <f aca="false">E325+E327+E329</f>
        <v>4258275</v>
      </c>
      <c r="F331" s="1485" t="n">
        <f aca="false">F325+F327+F329</f>
        <v>351945</v>
      </c>
      <c r="G331" s="1485" t="n">
        <f aca="false">G325+G327+G329</f>
        <v>3871410</v>
      </c>
      <c r="H331" s="1485" t="n">
        <f aca="false">ROUNDDOWN(B336*H312/1000,0)-H320</f>
        <v>703893</v>
      </c>
      <c r="I331" s="1485" t="n">
        <f aca="false">ROUNDDOWN(B336*I312/1000,0)-I320</f>
        <v>84468</v>
      </c>
      <c r="J331" s="1552" t="n">
        <f aca="false">J325+J327+J329</f>
        <v>16808972</v>
      </c>
      <c r="L331" s="1488" t="n">
        <f aca="false">SUM(I331:J331)</f>
        <v>16893440</v>
      </c>
      <c r="M331" s="1432"/>
      <c r="N331" s="1432"/>
      <c r="O331" s="1432"/>
      <c r="P331" s="1432"/>
      <c r="Q331" s="1432"/>
      <c r="R331" s="1432"/>
    </row>
    <row r="332" s="1432" customFormat="true" ht="20.1" hidden="false" customHeight="true" outlineLevel="0" collapsed="false">
      <c r="C332" s="1432" t="s">
        <v>826</v>
      </c>
      <c r="D332" s="1432" t="s">
        <v>827</v>
      </c>
      <c r="E332" s="1432" t="s">
        <v>827</v>
      </c>
      <c r="F332" s="1432" t="s">
        <v>828</v>
      </c>
      <c r="G332" s="1432" t="s">
        <v>829</v>
      </c>
      <c r="H332" s="1432" t="s">
        <v>830</v>
      </c>
      <c r="I332" s="1432" t="s">
        <v>831</v>
      </c>
      <c r="J332" s="1432" t="s">
        <v>832</v>
      </c>
      <c r="L332" s="1489"/>
      <c r="M332" s="789"/>
      <c r="N332" s="789"/>
      <c r="O332" s="789"/>
      <c r="P332" s="789"/>
      <c r="Q332" s="789"/>
      <c r="R332" s="789"/>
    </row>
    <row r="333" s="789" customFormat="true" ht="18.75" hidden="false" customHeight="true" outlineLevel="0" collapsed="false">
      <c r="A333" s="1490" t="s">
        <v>840</v>
      </c>
      <c r="B333" s="1491" t="n">
        <f aca="false">B320+B331</f>
        <v>735960929</v>
      </c>
      <c r="C333" s="1492"/>
      <c r="D333" s="1492"/>
      <c r="E333" s="1492"/>
      <c r="F333" s="1564"/>
      <c r="J333" s="1565" t="s">
        <v>867</v>
      </c>
      <c r="K333" s="1565"/>
      <c r="L333" s="1565"/>
    </row>
    <row r="334" s="789" customFormat="true" ht="18.75" hidden="false" customHeight="true" outlineLevel="0" collapsed="false">
      <c r="A334" s="1502"/>
      <c r="B334" s="1495"/>
      <c r="C334" s="1496" t="s">
        <v>841</v>
      </c>
      <c r="D334" s="1497"/>
      <c r="E334" s="1498"/>
      <c r="F334" s="1499" t="s">
        <v>842</v>
      </c>
      <c r="G334" s="1498"/>
      <c r="H334" s="1500" t="n">
        <f aca="false">G320+G331</f>
        <v>7756319</v>
      </c>
      <c r="I334" s="1501" t="s">
        <v>544</v>
      </c>
      <c r="J334" s="1566" t="s">
        <v>855</v>
      </c>
      <c r="K334" s="1566"/>
      <c r="L334" s="1567" t="n">
        <f aca="false">L223+L254+L316</f>
        <v>50678636</v>
      </c>
    </row>
    <row r="335" s="789" customFormat="true" ht="18.75" hidden="false" customHeight="true" outlineLevel="0" collapsed="false">
      <c r="A335" s="1502" t="s">
        <v>843</v>
      </c>
      <c r="B335" s="1503"/>
      <c r="C335" s="1504"/>
      <c r="D335" s="1505"/>
      <c r="E335" s="1500" t="n">
        <f aca="false">C320+C331</f>
        <v>655620792</v>
      </c>
      <c r="F335" s="1506" t="str">
        <f aca="false">IF(H334=('☆拠出金明細R7'!V81-H303),"　","明細と不一致!")</f>
        <v>　</v>
      </c>
      <c r="G335" s="1507" t="n">
        <f aca="false">B336</f>
        <v>7051200000</v>
      </c>
      <c r="H335" s="1508" t="n">
        <f aca="false">G312</f>
        <v>1.1</v>
      </c>
      <c r="I335" s="1500"/>
      <c r="J335" s="1566" t="s">
        <v>856</v>
      </c>
      <c r="K335" s="1566"/>
      <c r="L335" s="1567" t="n">
        <f aca="false">L285</f>
        <v>29076725</v>
      </c>
    </row>
    <row r="336" s="789" customFormat="true" ht="18.75" hidden="false" customHeight="true" outlineLevel="0" collapsed="false">
      <c r="A336" s="1509" t="s">
        <v>690</v>
      </c>
      <c r="B336" s="1510" t="n">
        <f aca="false">ROUNDUP(H334/G312*1000,-3)</f>
        <v>7051200000</v>
      </c>
      <c r="C336" s="1496" t="s">
        <v>844</v>
      </c>
      <c r="D336" s="1497"/>
      <c r="E336" s="1511"/>
      <c r="F336" s="1499" t="s">
        <v>845</v>
      </c>
      <c r="G336" s="1498"/>
      <c r="H336" s="1500" t="n">
        <f aca="false">H320+H331</f>
        <v>1410240</v>
      </c>
      <c r="I336" s="1094" t="s">
        <v>545</v>
      </c>
      <c r="J336" s="1566" t="s">
        <v>857</v>
      </c>
      <c r="K336" s="1566"/>
      <c r="L336" s="1567" t="n">
        <f aca="false">L225+L256+L318</f>
        <v>212036</v>
      </c>
      <c r="M336" s="1406"/>
      <c r="N336" s="1406"/>
      <c r="O336" s="1406"/>
      <c r="P336" s="1406"/>
      <c r="Q336" s="1406"/>
    </row>
    <row r="337" s="1406" customFormat="true" ht="18.75" hidden="false" customHeight="true" outlineLevel="0" collapsed="false">
      <c r="A337" s="1509"/>
      <c r="B337" s="1510"/>
      <c r="C337" s="1512"/>
      <c r="D337" s="1505"/>
      <c r="E337" s="1500" t="n">
        <f aca="false">D320+D331+E331</f>
        <v>36975851</v>
      </c>
      <c r="F337" s="1506" t="str">
        <f aca="false">IF(H336=('☆拠出金明細R7'!AD80-H305),"　","明細と不一致!")</f>
        <v>　</v>
      </c>
      <c r="G337" s="1507" t="n">
        <f aca="false">B336</f>
        <v>7051200000</v>
      </c>
      <c r="H337" s="1508" t="n">
        <f aca="false">H312</f>
        <v>0.2</v>
      </c>
      <c r="I337" s="1094"/>
      <c r="J337" s="1566" t="s">
        <v>858</v>
      </c>
      <c r="K337" s="1566"/>
      <c r="L337" s="1567" t="n">
        <f aca="false">L232+L234+L263+L265+L325+L327</f>
        <v>50697154</v>
      </c>
      <c r="M337" s="607"/>
      <c r="N337" s="607"/>
      <c r="O337" s="607"/>
      <c r="P337" s="607"/>
      <c r="Q337" s="607"/>
    </row>
    <row r="338" customFormat="false" ht="18.75" hidden="false" customHeight="true" outlineLevel="0" collapsed="false">
      <c r="A338" s="1514" t="s">
        <v>846</v>
      </c>
      <c r="B338" s="1515" t="n">
        <v>13130000</v>
      </c>
      <c r="C338" s="1516" t="s">
        <v>847</v>
      </c>
      <c r="D338" s="1518"/>
      <c r="E338" s="1498"/>
      <c r="F338" s="1518" t="s">
        <v>848</v>
      </c>
      <c r="G338" s="1497"/>
      <c r="H338" s="1500" t="n">
        <f aca="false">I320+I331</f>
        <v>169228</v>
      </c>
      <c r="I338" s="1094" t="s">
        <v>546</v>
      </c>
      <c r="J338" s="1566" t="s">
        <v>860</v>
      </c>
      <c r="K338" s="1566"/>
      <c r="L338" s="1567" t="n">
        <f aca="false">L294+L296</f>
        <v>29102549</v>
      </c>
    </row>
    <row r="339" customFormat="false" ht="18.75" hidden="false" customHeight="true" outlineLevel="0" collapsed="false">
      <c r="A339" s="1514"/>
      <c r="B339" s="1515"/>
      <c r="C339" s="1519"/>
      <c r="D339" s="1506" t="str">
        <f aca="false">IF(E339=('☆拠出金明細R7'!K81-E308),"　","明細と不一致!")</f>
        <v>　</v>
      </c>
      <c r="E339" s="1500" t="n">
        <f aca="false">F331</f>
        <v>351945</v>
      </c>
      <c r="F339" s="1506" t="str">
        <f aca="false">IF(H338=('☆拠出金明細R7'!AN81-H307),"　","明細と不一致!")</f>
        <v>　</v>
      </c>
      <c r="G339" s="1507" t="n">
        <f aca="false">B336</f>
        <v>7051200000</v>
      </c>
      <c r="H339" s="1520" t="n">
        <f aca="false">I312</f>
        <v>0.024</v>
      </c>
      <c r="J339" s="1566" t="s">
        <v>861</v>
      </c>
      <c r="K339" s="1566"/>
      <c r="L339" s="1567" t="n">
        <f aca="false">L236+L267+L329</f>
        <v>6791</v>
      </c>
    </row>
    <row r="340" customFormat="false" ht="18.75" hidden="false" customHeight="true" outlineLevel="0" collapsed="false">
      <c r="A340" s="1278"/>
      <c r="B340" s="1521"/>
      <c r="C340" s="1516" t="s">
        <v>849</v>
      </c>
      <c r="D340" s="1518"/>
      <c r="E340" s="1522"/>
      <c r="F340" s="1523" t="s">
        <v>850</v>
      </c>
      <c r="G340" s="1523"/>
      <c r="H340" s="1523"/>
      <c r="J340" s="1568" t="s">
        <v>862</v>
      </c>
      <c r="K340" s="1568"/>
      <c r="L340" s="1569" t="n">
        <f aca="false">L298</f>
        <v>2629</v>
      </c>
    </row>
    <row r="341" customFormat="false" ht="18.75" hidden="false" customHeight="true" outlineLevel="0" collapsed="false">
      <c r="A341" s="1278"/>
      <c r="B341" s="1521"/>
      <c r="C341" s="1524"/>
      <c r="D341" s="1511"/>
      <c r="E341" s="1500" t="n">
        <f aca="false">J320+J331</f>
        <v>33676554</v>
      </c>
      <c r="F341" s="1523"/>
      <c r="G341" s="1523"/>
      <c r="H341" s="1523"/>
      <c r="I341" s="1560"/>
      <c r="J341" s="1570" t="s">
        <v>489</v>
      </c>
      <c r="K341" s="1570"/>
      <c r="L341" s="1571" t="n">
        <f aca="false">SUM(L334:L340)</f>
        <v>159776520</v>
      </c>
      <c r="M341" s="789"/>
      <c r="N341" s="789"/>
      <c r="O341" s="789"/>
      <c r="P341" s="789"/>
      <c r="Q341" s="789"/>
    </row>
    <row r="342" s="789" customFormat="true" ht="26.25" hidden="false" customHeight="true" outlineLevel="0" collapsed="false">
      <c r="A342" s="1363" t="n">
        <f aca="false">EOMONTH(A311,1)</f>
        <v>46418</v>
      </c>
      <c r="B342" s="1364" t="s">
        <v>801</v>
      </c>
      <c r="C342" s="1365" t="s">
        <v>802</v>
      </c>
      <c r="D342" s="1130" t="s">
        <v>803</v>
      </c>
      <c r="E342" s="1130" t="s">
        <v>804</v>
      </c>
      <c r="F342" s="1130" t="s">
        <v>805</v>
      </c>
      <c r="G342" s="1130" t="s">
        <v>806</v>
      </c>
      <c r="H342" s="1130" t="s">
        <v>807</v>
      </c>
      <c r="I342" s="1130" t="s">
        <v>808</v>
      </c>
      <c r="J342" s="1366"/>
      <c r="L342" s="1367"/>
      <c r="M342" s="1369"/>
      <c r="N342" s="1369"/>
      <c r="O342" s="1369"/>
      <c r="P342" s="1369"/>
      <c r="Q342" s="1369"/>
      <c r="R342" s="1369"/>
    </row>
    <row r="343" s="1369" customFormat="true" ht="26.25" hidden="false" customHeight="true" outlineLevel="0" collapsed="false">
      <c r="A343" s="1368"/>
      <c r="C343" s="1365"/>
      <c r="D343" s="1526" t="n">
        <f aca="false">$D$2</f>
        <v>4.64</v>
      </c>
      <c r="E343" s="1527" t="n">
        <f aca="false">$E$2</f>
        <v>0.82</v>
      </c>
      <c r="F343" s="1527" t="n">
        <f aca="false">$F$2</f>
        <v>0.05</v>
      </c>
      <c r="G343" s="1527" t="n">
        <f aca="false">$G$2</f>
        <v>1.1</v>
      </c>
      <c r="H343" s="1527" t="n">
        <f aca="false">$H$2</f>
        <v>0.2</v>
      </c>
      <c r="I343" s="1527" t="n">
        <f aca="false">$I$2</f>
        <v>0.024</v>
      </c>
      <c r="J343" s="1373"/>
      <c r="L343" s="1374"/>
      <c r="M343" s="607"/>
      <c r="N343" s="607"/>
      <c r="O343" s="607"/>
      <c r="P343" s="607"/>
      <c r="Q343" s="607"/>
      <c r="R343" s="607"/>
    </row>
    <row r="344" customFormat="false" ht="13.9" hidden="false" customHeight="true" outlineLevel="0" collapsed="false">
      <c r="C344" s="1366"/>
      <c r="D344" s="1366"/>
      <c r="E344" s="1366"/>
      <c r="F344" s="1528"/>
      <c r="G344" s="1366"/>
      <c r="H344" s="1366"/>
      <c r="I344" s="1366"/>
      <c r="J344" s="1366"/>
    </row>
    <row r="345" customFormat="false" ht="20.1" hidden="false" customHeight="true" outlineLevel="0" collapsed="false">
      <c r="A345" s="796" t="s">
        <v>811</v>
      </c>
      <c r="G345" s="1377"/>
      <c r="L345" s="1378" t="s">
        <v>812</v>
      </c>
      <c r="M345" s="1222"/>
      <c r="N345" s="1222"/>
      <c r="O345" s="1222"/>
      <c r="P345" s="1222"/>
      <c r="Q345" s="1222"/>
      <c r="R345" s="1222"/>
    </row>
    <row r="346" s="1222" customFormat="true" ht="30" hidden="false" customHeight="true" outlineLevel="0" collapsed="false">
      <c r="A346" s="1379" t="s">
        <v>483</v>
      </c>
      <c r="B346" s="1380" t="s">
        <v>813</v>
      </c>
      <c r="C346" s="1381" t="s">
        <v>814</v>
      </c>
      <c r="D346" s="1382" t="s">
        <v>815</v>
      </c>
      <c r="E346" s="1382"/>
      <c r="F346" s="1383" t="s">
        <v>816</v>
      </c>
      <c r="G346" s="1382" t="s">
        <v>817</v>
      </c>
      <c r="H346" s="1382" t="s">
        <v>818</v>
      </c>
      <c r="I346" s="1382" t="s">
        <v>819</v>
      </c>
      <c r="J346" s="1384" t="s">
        <v>820</v>
      </c>
      <c r="L346" s="1385" t="s">
        <v>821</v>
      </c>
      <c r="M346" s="607"/>
      <c r="N346" s="607"/>
      <c r="O346" s="607"/>
      <c r="P346" s="607"/>
      <c r="Q346" s="607"/>
      <c r="R346" s="607"/>
    </row>
    <row r="347" customFormat="false" ht="32.25" hidden="false" customHeight="true" outlineLevel="0" collapsed="false">
      <c r="A347" s="1386" t="s">
        <v>822</v>
      </c>
      <c r="B347" s="1387" t="n">
        <f aca="false">B351-B349</f>
        <v>364666157</v>
      </c>
      <c r="C347" s="1388" t="n">
        <f aca="false">ROUNDDOWN(B347*C348/B348,0)</f>
        <v>326905700</v>
      </c>
      <c r="D347" s="1389" t="n">
        <f aca="false">ROUNDDOWN(B347*D348/B348,0)</f>
        <v>16313642</v>
      </c>
      <c r="E347" s="1389" t="n">
        <f aca="false">ROUNDDOWN(D347*E348/D348,0)</f>
        <v>0</v>
      </c>
      <c r="F347" s="1390" t="s">
        <v>635</v>
      </c>
      <c r="G347" s="1391" t="n">
        <f aca="false">ROUNDDOWN(B347*G348/B348,0)</f>
        <v>3867458</v>
      </c>
      <c r="H347" s="1392" t="n">
        <f aca="false">ROUNDDOWN(B347*H348/B348,0)</f>
        <v>703174</v>
      </c>
      <c r="I347" s="1389" t="n">
        <f aca="false">ROUNDDOWN(B347*I348/B348,0)</f>
        <v>84380</v>
      </c>
      <c r="J347" s="1393" t="n">
        <f aca="false">B347-C347-D347-G347-H347-I347</f>
        <v>16791803</v>
      </c>
      <c r="L347" s="1394" t="n">
        <f aca="false">SUM(I347:J347)</f>
        <v>16876183</v>
      </c>
      <c r="M347" s="1536"/>
      <c r="N347" s="1536"/>
      <c r="O347" s="1536"/>
      <c r="P347" s="1536"/>
      <c r="Q347" s="1536"/>
      <c r="R347" s="1536"/>
    </row>
    <row r="348" s="1536" customFormat="true" ht="15" hidden="false" customHeight="true" outlineLevel="0" collapsed="false">
      <c r="A348" s="1529" t="s">
        <v>823</v>
      </c>
      <c r="B348" s="1530" t="n">
        <f aca="false">SUM(C348:J348)</f>
        <v>51.86</v>
      </c>
      <c r="C348" s="1531" t="n">
        <f aca="false">$C$7</f>
        <v>46.49</v>
      </c>
      <c r="D348" s="1532" t="n">
        <f aca="false">$D$7</f>
        <v>2.32</v>
      </c>
      <c r="E348" s="1532"/>
      <c r="F348" s="1533" t="s">
        <v>635</v>
      </c>
      <c r="G348" s="1534" t="n">
        <f aca="false">$G$7</f>
        <v>0.55</v>
      </c>
      <c r="H348" s="1467" t="n">
        <f aca="false">$H$7</f>
        <v>0.1</v>
      </c>
      <c r="I348" s="1468" t="n">
        <f aca="false">$I$7</f>
        <v>0.012</v>
      </c>
      <c r="J348" s="1535" t="n">
        <f aca="false">$J$7</f>
        <v>2.388</v>
      </c>
      <c r="K348" s="1404" t="s">
        <v>824</v>
      </c>
      <c r="L348" s="1405" t="n">
        <f aca="false">SUM(I348:J348)</f>
        <v>2.4</v>
      </c>
      <c r="M348" s="607"/>
      <c r="N348" s="607"/>
      <c r="O348" s="607"/>
      <c r="P348" s="607"/>
      <c r="Q348" s="607"/>
      <c r="R348" s="607"/>
    </row>
    <row r="349" customFormat="false" ht="32.25" hidden="false" customHeight="true" outlineLevel="0" collapsed="false">
      <c r="A349" s="1386" t="s">
        <v>825</v>
      </c>
      <c r="B349" s="1387" t="n">
        <f aca="false">'☆短期集計R7'!D36</f>
        <v>1487293</v>
      </c>
      <c r="C349" s="1388" t="n">
        <f aca="false">ROUNDDOWN(B349*C350/B350,0)</f>
        <v>1333286</v>
      </c>
      <c r="D349" s="1407" t="n">
        <f aca="false">ROUNDDOWN(B349*D350/B350,0)</f>
        <v>66535</v>
      </c>
      <c r="E349" s="1407" t="n">
        <f aca="false">ROUNDDOWN(D349*E350/D350,0)</f>
        <v>0</v>
      </c>
      <c r="F349" s="1408" t="s">
        <v>635</v>
      </c>
      <c r="G349" s="1409" t="n">
        <f aca="false">ROUNDDOWN(B349*G350/B350,0)</f>
        <v>15773</v>
      </c>
      <c r="H349" s="1410" t="n">
        <f aca="false">ROUNDDOWN(B349*H350/B350,0)</f>
        <v>2867</v>
      </c>
      <c r="I349" s="1411" t="n">
        <f aca="false">ROUNDDOWN(B349*I350/B350,0)</f>
        <v>344</v>
      </c>
      <c r="J349" s="1412" t="n">
        <f aca="false">B349-C349-D349-G349-H349-I349</f>
        <v>68488</v>
      </c>
      <c r="K349" s="1404"/>
      <c r="L349" s="1413" t="n">
        <f aca="false">SUM(I349:J349)</f>
        <v>68832</v>
      </c>
      <c r="M349" s="1406"/>
      <c r="N349" s="1406"/>
      <c r="O349" s="1406"/>
      <c r="P349" s="1406"/>
      <c r="Q349" s="1406"/>
      <c r="R349" s="1406"/>
    </row>
    <row r="350" s="1406" customFormat="true" ht="15" hidden="false" customHeight="true" outlineLevel="0" collapsed="false">
      <c r="A350" s="1537" t="s">
        <v>823</v>
      </c>
      <c r="B350" s="1474" t="n">
        <f aca="false">SUM(C350:J350)</f>
        <v>103.72</v>
      </c>
      <c r="C350" s="1538" t="n">
        <f aca="false">C348*2</f>
        <v>92.98</v>
      </c>
      <c r="D350" s="1539" t="n">
        <f aca="false">D348*2</f>
        <v>4.64</v>
      </c>
      <c r="E350" s="1539"/>
      <c r="F350" s="1540" t="s">
        <v>635</v>
      </c>
      <c r="G350" s="1541" t="n">
        <f aca="false">G348*2</f>
        <v>1.1</v>
      </c>
      <c r="H350" s="1542" t="n">
        <f aca="false">H348*2</f>
        <v>0.2</v>
      </c>
      <c r="I350" s="1543" t="n">
        <f aca="false">I348*2</f>
        <v>0.024</v>
      </c>
      <c r="J350" s="1544" t="n">
        <f aca="false">J348*2</f>
        <v>4.776</v>
      </c>
      <c r="L350" s="1423" t="n">
        <f aca="false">L348*2</f>
        <v>4.8</v>
      </c>
      <c r="M350" s="607"/>
      <c r="N350" s="607"/>
      <c r="O350" s="607"/>
      <c r="P350" s="607"/>
      <c r="Q350" s="607"/>
      <c r="R350" s="607"/>
    </row>
    <row r="351" customFormat="false" ht="30" hidden="false" customHeight="true" outlineLevel="0" collapsed="false">
      <c r="A351" s="1424" t="s">
        <v>763</v>
      </c>
      <c r="B351" s="1425" t="n">
        <f aca="false">'☆短期集計R7'!B36+'☆短期集計R7'!D36</f>
        <v>366153450</v>
      </c>
      <c r="C351" s="1426" t="n">
        <f aca="false">C347+C349</f>
        <v>328238986</v>
      </c>
      <c r="D351" s="1427" t="n">
        <f aca="false">D347+D349</f>
        <v>16380177</v>
      </c>
      <c r="E351" s="1427"/>
      <c r="F351" s="1428" t="s">
        <v>635</v>
      </c>
      <c r="G351" s="1427" t="n">
        <f aca="false">G347+G349</f>
        <v>3883231</v>
      </c>
      <c r="H351" s="1426" t="n">
        <f aca="false">H347+H349</f>
        <v>706041</v>
      </c>
      <c r="I351" s="1427" t="n">
        <f aca="false">I347+I349</f>
        <v>84724</v>
      </c>
      <c r="J351" s="1429" t="n">
        <f aca="false">J347+J349</f>
        <v>16860291</v>
      </c>
      <c r="L351" s="1430" t="n">
        <f aca="false">L347+L349</f>
        <v>16945015</v>
      </c>
      <c r="M351" s="1431"/>
      <c r="N351" s="1431"/>
      <c r="O351" s="1431"/>
      <c r="P351" s="1431"/>
      <c r="Q351" s="1431"/>
      <c r="R351" s="1431"/>
    </row>
    <row r="352" s="1431" customFormat="true" ht="20.1" hidden="false" customHeight="true" outlineLevel="0" collapsed="false">
      <c r="C352" s="1432" t="s">
        <v>826</v>
      </c>
      <c r="D352" s="1433" t="s">
        <v>827</v>
      </c>
      <c r="E352" s="1433"/>
      <c r="F352" s="1432" t="s">
        <v>828</v>
      </c>
      <c r="G352" s="1432" t="s">
        <v>829</v>
      </c>
      <c r="H352" s="1434" t="s">
        <v>830</v>
      </c>
      <c r="I352" s="1434" t="s">
        <v>831</v>
      </c>
      <c r="J352" s="1434" t="s">
        <v>832</v>
      </c>
      <c r="L352" s="1435"/>
      <c r="M352" s="1089"/>
      <c r="N352" s="1089"/>
      <c r="O352" s="1089"/>
      <c r="P352" s="1089"/>
      <c r="Q352" s="1089"/>
      <c r="R352" s="1089"/>
    </row>
    <row r="353" s="1089" customFormat="true" ht="13.5" hidden="false" customHeight="true" outlineLevel="0" collapsed="false">
      <c r="C353" s="1436"/>
      <c r="D353" s="1437"/>
      <c r="E353" s="1437"/>
      <c r="F353" s="1436"/>
      <c r="G353" s="1437"/>
      <c r="H353" s="1437"/>
      <c r="I353" s="1437"/>
      <c r="J353" s="1437"/>
      <c r="L353" s="1438"/>
      <c r="M353" s="607"/>
      <c r="N353" s="607"/>
      <c r="O353" s="607"/>
      <c r="P353" s="607"/>
      <c r="Q353" s="607"/>
      <c r="R353" s="607"/>
    </row>
    <row r="354" customFormat="false" ht="20.1" hidden="false" customHeight="true" outlineLevel="0" collapsed="false">
      <c r="A354" s="796" t="s">
        <v>238</v>
      </c>
      <c r="B354" s="1089"/>
      <c r="C354" s="1089"/>
      <c r="D354" s="1089"/>
      <c r="E354" s="1089"/>
      <c r="F354" s="1089"/>
      <c r="G354" s="1377"/>
      <c r="H354" s="1089"/>
      <c r="I354" s="1089"/>
      <c r="J354" s="1089"/>
      <c r="L354" s="1378" t="s">
        <v>812</v>
      </c>
      <c r="M354" s="945"/>
      <c r="N354" s="945"/>
      <c r="O354" s="945"/>
      <c r="P354" s="945"/>
      <c r="Q354" s="945"/>
      <c r="R354" s="945"/>
    </row>
    <row r="355" s="945" customFormat="true" ht="30" hidden="false" customHeight="true" outlineLevel="0" collapsed="false">
      <c r="A355" s="1379" t="s">
        <v>483</v>
      </c>
      <c r="B355" s="1380" t="s">
        <v>813</v>
      </c>
      <c r="C355" s="1381" t="s">
        <v>814</v>
      </c>
      <c r="D355" s="1439" t="s">
        <v>815</v>
      </c>
      <c r="E355" s="1440" t="s">
        <v>833</v>
      </c>
      <c r="F355" s="1441" t="s">
        <v>834</v>
      </c>
      <c r="G355" s="1442" t="s">
        <v>817</v>
      </c>
      <c r="H355" s="1382" t="s">
        <v>818</v>
      </c>
      <c r="I355" s="1382" t="s">
        <v>819</v>
      </c>
      <c r="J355" s="1384" t="s">
        <v>820</v>
      </c>
      <c r="L355" s="1385" t="s">
        <v>821</v>
      </c>
      <c r="M355" s="607"/>
      <c r="N355" s="607"/>
      <c r="O355" s="607"/>
      <c r="P355" s="607"/>
      <c r="Q355" s="607"/>
      <c r="R355" s="607"/>
    </row>
    <row r="356" customFormat="false" ht="32.25" hidden="false" customHeight="true" outlineLevel="0" collapsed="false">
      <c r="A356" s="1443" t="s">
        <v>852</v>
      </c>
      <c r="B356" s="1387" t="n">
        <f aca="false">B362-B358-B360</f>
        <v>272740850</v>
      </c>
      <c r="C356" s="1388" t="n">
        <f aca="false">ROUNDDOWN(B356*C357/B357,0)</f>
        <v>240465050</v>
      </c>
      <c r="D356" s="1444" t="n">
        <f aca="false">ROUNDDOWN(B356*D357/B357,0)</f>
        <v>11999976</v>
      </c>
      <c r="E356" s="1445" t="n">
        <f aca="false">ROUNDDOWN(B356*E357/B357,0)</f>
        <v>4241371</v>
      </c>
      <c r="F356" s="1446" t="n">
        <f aca="false">ROUNDDOWN(B356*F357/B357,0)</f>
        <v>258620</v>
      </c>
      <c r="G356" s="1446" t="n">
        <f aca="false">ROUNDDOWN(B356*G357/B357,0)</f>
        <v>2844822</v>
      </c>
      <c r="H356" s="1446" t="n">
        <f aca="false">ROUNDDOWN(B356*H357/B357,0)</f>
        <v>517240</v>
      </c>
      <c r="I356" s="1446" t="n">
        <f aca="false">ROUNDDOWN(B356*I357/B357,0)</f>
        <v>62068</v>
      </c>
      <c r="J356" s="1447" t="n">
        <f aca="false">B356-C356-D356-E356-F356-G356-H356-I356</f>
        <v>12351703</v>
      </c>
      <c r="L356" s="1448" t="n">
        <f aca="false">SUM(I356:J356)</f>
        <v>12413771</v>
      </c>
      <c r="M356" s="1536"/>
      <c r="N356" s="1536"/>
      <c r="O356" s="1536"/>
      <c r="P356" s="1536"/>
      <c r="Q356" s="1536"/>
      <c r="R356" s="1536"/>
    </row>
    <row r="357" s="1536" customFormat="true" ht="15" hidden="false" customHeight="true" outlineLevel="0" collapsed="false">
      <c r="A357" s="1529" t="s">
        <v>823</v>
      </c>
      <c r="B357" s="1463" t="n">
        <f aca="false">SUM(C357:J357)</f>
        <v>52.73</v>
      </c>
      <c r="C357" s="1545" t="n">
        <f aca="false">$C$16</f>
        <v>46.49</v>
      </c>
      <c r="D357" s="1465" t="n">
        <f aca="false">$D$16</f>
        <v>2.32</v>
      </c>
      <c r="E357" s="1546" t="n">
        <f aca="false">$E$16</f>
        <v>0.82</v>
      </c>
      <c r="F357" s="1547" t="n">
        <f aca="false">$F$16</f>
        <v>0.05</v>
      </c>
      <c r="G357" s="1547" t="n">
        <f aca="false">$G$16</f>
        <v>0.55</v>
      </c>
      <c r="H357" s="1548" t="n">
        <f aca="false">$H$16</f>
        <v>0.1</v>
      </c>
      <c r="I357" s="1549" t="n">
        <f aca="false">$I$16</f>
        <v>0.012</v>
      </c>
      <c r="J357" s="1550" t="n">
        <f aca="false">$J$16</f>
        <v>2.388</v>
      </c>
      <c r="K357" s="1406"/>
      <c r="L357" s="1457" t="n">
        <f aca="false">SUM(I357:J357)</f>
        <v>2.4</v>
      </c>
      <c r="M357" s="607"/>
      <c r="N357" s="607"/>
      <c r="O357" s="607"/>
      <c r="P357" s="607"/>
      <c r="Q357" s="607"/>
      <c r="R357" s="607"/>
    </row>
    <row r="358" customFormat="false" ht="32.25" hidden="false" customHeight="true" outlineLevel="0" collapsed="false">
      <c r="A358" s="1386" t="s">
        <v>836</v>
      </c>
      <c r="B358" s="1387" t="n">
        <f aca="false">'☆掛負収入'!I761+'☆掛負収入'!I762</f>
        <v>96872725</v>
      </c>
      <c r="C358" s="1388" t="n">
        <f aca="false">ROUNDDOWN((B358-E358)/B359*C359,0)</f>
        <v>86748369</v>
      </c>
      <c r="D358" s="1458" t="n">
        <f aca="false">ROUNDDOWN((B358-E358)/B359*D359,0)</f>
        <v>4329021</v>
      </c>
      <c r="E358" s="1459" t="n">
        <f aca="false">ROUNDDOWN(B369*E343/1000,0)</f>
        <v>10865</v>
      </c>
      <c r="F358" s="1388" t="n">
        <f aca="false">ROUNDDOWN((B358-E358)/B359*F359,0)</f>
        <v>93297</v>
      </c>
      <c r="G358" s="1388" t="n">
        <f aca="false">ROUNDDOWN((B358-E358)/B359*G359,0)</f>
        <v>1026276</v>
      </c>
      <c r="H358" s="1409" t="n">
        <f aca="false">ROUNDDOWN((B358-E358)/B359*H359,0)</f>
        <v>186595</v>
      </c>
      <c r="I358" s="1409" t="n">
        <f aca="false">ROUNDDOWN((B358-E358)/B359*I359,0)</f>
        <v>22391</v>
      </c>
      <c r="J358" s="1460" t="n">
        <f aca="false">B358-C358-D358-E358-F358-G358-H358-I358</f>
        <v>4455911</v>
      </c>
      <c r="K358" s="1404" t="s">
        <v>824</v>
      </c>
      <c r="L358" s="1461" t="n">
        <f aca="false">SUM(I358:J358)</f>
        <v>4478302</v>
      </c>
      <c r="M358" s="1406"/>
      <c r="N358" s="1406"/>
      <c r="O358" s="1406"/>
      <c r="P358" s="1406"/>
      <c r="Q358" s="1406"/>
      <c r="R358" s="1406"/>
    </row>
    <row r="359" s="1406" customFormat="true" ht="15" hidden="false" customHeight="true" outlineLevel="0" collapsed="false">
      <c r="A359" s="1551" t="s">
        <v>823</v>
      </c>
      <c r="B359" s="1463" t="n">
        <f aca="false">SUM(C359:J359)</f>
        <v>51.91</v>
      </c>
      <c r="C359" s="1464" t="n">
        <f aca="false">C357</f>
        <v>46.49</v>
      </c>
      <c r="D359" s="1465" t="n">
        <f aca="false">D357</f>
        <v>2.32</v>
      </c>
      <c r="E359" s="1466" t="s">
        <v>837</v>
      </c>
      <c r="F359" s="1467" t="n">
        <f aca="false">F357</f>
        <v>0.05</v>
      </c>
      <c r="G359" s="1467" t="n">
        <f aca="false">G357</f>
        <v>0.55</v>
      </c>
      <c r="H359" s="1468" t="n">
        <f aca="false">H357</f>
        <v>0.1</v>
      </c>
      <c r="I359" s="1469" t="n">
        <f aca="false">I357</f>
        <v>0.012</v>
      </c>
      <c r="J359" s="1470" t="n">
        <f aca="false">J357</f>
        <v>2.388</v>
      </c>
      <c r="K359" s="1404"/>
      <c r="L359" s="1471" t="n">
        <f aca="false">SUM(I359:J359)</f>
        <v>2.4</v>
      </c>
      <c r="M359" s="607"/>
      <c r="N359" s="607"/>
      <c r="O359" s="607"/>
      <c r="P359" s="607"/>
      <c r="Q359" s="607"/>
      <c r="R359" s="607"/>
    </row>
    <row r="360" customFormat="false" ht="32.25" hidden="false" customHeight="true" outlineLevel="0" collapsed="false">
      <c r="A360" s="1472" t="s">
        <v>838</v>
      </c>
      <c r="B360" s="1387" t="n">
        <f aca="false">'☆掛負収入'!I778+E360</f>
        <v>50963</v>
      </c>
      <c r="C360" s="1388" t="n">
        <f aca="false">ROUNDDOWN((B360-E360)/B361*C361,0)</f>
        <v>45407</v>
      </c>
      <c r="D360" s="1458" t="n">
        <f aca="false">ROUNDDOWN((B360-E360)/B361*D361,0)</f>
        <v>2265</v>
      </c>
      <c r="E360" s="1473" t="n">
        <f aca="false">'☆労組公的負担（短期）'!F17</f>
        <v>262</v>
      </c>
      <c r="F360" s="1388" t="n">
        <f aca="false">ROUNDDOWN((B360-E360)/B361*F361,0)</f>
        <v>48</v>
      </c>
      <c r="G360" s="1388" t="n">
        <f aca="false">ROUNDDOWN((B360-E360)/B361*G361,0)</f>
        <v>537</v>
      </c>
      <c r="H360" s="1409" t="n">
        <f aca="false">H362-H356-H358</f>
        <v>99</v>
      </c>
      <c r="I360" s="1409" t="n">
        <f aca="false">I362-I356-I358</f>
        <v>14</v>
      </c>
      <c r="J360" s="1460" t="n">
        <f aca="false">B360-C360-D360-E360-F360-G360-H360-I360</f>
        <v>2331</v>
      </c>
      <c r="L360" s="1461" t="n">
        <f aca="false">SUM(I360:J360)</f>
        <v>2345</v>
      </c>
      <c r="M360" s="1406"/>
      <c r="N360" s="1406"/>
      <c r="O360" s="1406"/>
      <c r="P360" s="1406"/>
      <c r="Q360" s="1406"/>
      <c r="R360" s="1406"/>
    </row>
    <row r="361" s="1406" customFormat="true" ht="15" hidden="false" customHeight="true" outlineLevel="0" collapsed="false">
      <c r="A361" s="1537" t="s">
        <v>823</v>
      </c>
      <c r="B361" s="1474" t="n">
        <f aca="false">SUM(C361:J361)</f>
        <v>51.91</v>
      </c>
      <c r="C361" s="1464" t="n">
        <f aca="false">C357</f>
        <v>46.49</v>
      </c>
      <c r="D361" s="1465" t="n">
        <f aca="false">D357</f>
        <v>2.32</v>
      </c>
      <c r="E361" s="1475" t="s">
        <v>839</v>
      </c>
      <c r="F361" s="1476" t="n">
        <f aca="false">F357</f>
        <v>0.05</v>
      </c>
      <c r="G361" s="1476" t="n">
        <f aca="false">G357</f>
        <v>0.55</v>
      </c>
      <c r="H361" s="1477" t="n">
        <f aca="false">H357</f>
        <v>0.1</v>
      </c>
      <c r="I361" s="1478" t="n">
        <f aca="false">I357</f>
        <v>0.012</v>
      </c>
      <c r="J361" s="1479" t="n">
        <f aca="false">J357</f>
        <v>2.388</v>
      </c>
      <c r="L361" s="1480" t="n">
        <f aca="false">SUM(I361:J361)</f>
        <v>2.4</v>
      </c>
      <c r="M361" s="607"/>
      <c r="N361" s="607"/>
      <c r="O361" s="607"/>
      <c r="P361" s="607"/>
      <c r="Q361" s="607"/>
      <c r="R361" s="607"/>
    </row>
    <row r="362" customFormat="false" ht="30" hidden="false" customHeight="true" outlineLevel="0" collapsed="false">
      <c r="A362" s="1424" t="s">
        <v>763</v>
      </c>
      <c r="B362" s="1481" t="n">
        <f aca="false">'☆掛負収入'!I780</f>
        <v>369664538</v>
      </c>
      <c r="C362" s="1482" t="n">
        <f aca="false">C356+C358+C360</f>
        <v>327258826</v>
      </c>
      <c r="D362" s="1483" t="n">
        <f aca="false">D356+D358+D360</f>
        <v>16331262</v>
      </c>
      <c r="E362" s="1484" t="n">
        <f aca="false">E356+E358+E360</f>
        <v>4252498</v>
      </c>
      <c r="F362" s="1485" t="n">
        <f aca="false">F356+F358+F360</f>
        <v>351965</v>
      </c>
      <c r="G362" s="1485" t="n">
        <f aca="false">G356+G358+G360</f>
        <v>3871635</v>
      </c>
      <c r="H362" s="1485" t="n">
        <f aca="false">ROUNDDOWN(B367*H343/1000,0)-H351</f>
        <v>703934</v>
      </c>
      <c r="I362" s="1485" t="n">
        <f aca="false">ROUNDDOWN(B367*I343/1000,0)-I351</f>
        <v>84473</v>
      </c>
      <c r="J362" s="1552" t="n">
        <f aca="false">J356+J358+J360</f>
        <v>16809945</v>
      </c>
      <c r="L362" s="1488" t="n">
        <f aca="false">SUM(I362:J362)</f>
        <v>16894418</v>
      </c>
      <c r="M362" s="1432"/>
      <c r="N362" s="1432"/>
      <c r="O362" s="1432"/>
      <c r="P362" s="1432"/>
      <c r="Q362" s="1432"/>
      <c r="R362" s="1432"/>
    </row>
    <row r="363" s="1432" customFormat="true" ht="20.1" hidden="false" customHeight="true" outlineLevel="0" collapsed="false">
      <c r="C363" s="1432" t="s">
        <v>826</v>
      </c>
      <c r="D363" s="1432" t="s">
        <v>827</v>
      </c>
      <c r="E363" s="1432" t="s">
        <v>827</v>
      </c>
      <c r="F363" s="1432" t="s">
        <v>828</v>
      </c>
      <c r="G363" s="1432" t="s">
        <v>829</v>
      </c>
      <c r="H363" s="1432" t="s">
        <v>830</v>
      </c>
      <c r="I363" s="1432" t="s">
        <v>831</v>
      </c>
      <c r="J363" s="1432" t="s">
        <v>832</v>
      </c>
      <c r="L363" s="1489"/>
      <c r="M363" s="789"/>
      <c r="N363" s="789"/>
      <c r="O363" s="789"/>
      <c r="P363" s="789"/>
      <c r="Q363" s="789"/>
      <c r="R363" s="789"/>
    </row>
    <row r="364" s="789" customFormat="true" ht="18.75" hidden="false" customHeight="true" outlineLevel="0" collapsed="false">
      <c r="A364" s="1490" t="s">
        <v>840</v>
      </c>
      <c r="B364" s="1491" t="n">
        <f aca="false">B351+B362</f>
        <v>735817988</v>
      </c>
      <c r="C364" s="1492"/>
      <c r="D364" s="1492"/>
      <c r="E364" s="1492"/>
      <c r="K364" s="1367"/>
    </row>
    <row r="365" s="789" customFormat="true" ht="18.75" hidden="false" customHeight="true" outlineLevel="0" collapsed="false">
      <c r="A365" s="1502"/>
      <c r="B365" s="1495"/>
      <c r="C365" s="1496" t="s">
        <v>841</v>
      </c>
      <c r="D365" s="1497"/>
      <c r="E365" s="1498"/>
      <c r="F365" s="1499" t="s">
        <v>842</v>
      </c>
      <c r="G365" s="1498"/>
      <c r="H365" s="1500" t="n">
        <f aca="false">G351+G362</f>
        <v>7754866</v>
      </c>
      <c r="I365" s="1501" t="s">
        <v>544</v>
      </c>
      <c r="K365" s="1367"/>
    </row>
    <row r="366" s="789" customFormat="true" ht="18.75" hidden="false" customHeight="true" outlineLevel="0" collapsed="false">
      <c r="A366" s="1502" t="s">
        <v>843</v>
      </c>
      <c r="B366" s="1503"/>
      <c r="C366" s="1504"/>
      <c r="D366" s="1505"/>
      <c r="E366" s="1500" t="n">
        <f aca="false">C351+C362</f>
        <v>655497812</v>
      </c>
      <c r="F366" s="1506" t="str">
        <f aca="false">IF(H365='☆拠出金明細R7'!V113,"　","明細と不一致!")</f>
        <v>　</v>
      </c>
      <c r="G366" s="1507" t="n">
        <f aca="false">B367</f>
        <v>7049879000</v>
      </c>
      <c r="H366" s="1508" t="n">
        <f aca="false">G343</f>
        <v>1.1</v>
      </c>
      <c r="I366" s="1500"/>
      <c r="K366" s="1367"/>
    </row>
    <row r="367" s="789" customFormat="true" ht="18.75" hidden="false" customHeight="true" outlineLevel="0" collapsed="false">
      <c r="A367" s="1509" t="s">
        <v>690</v>
      </c>
      <c r="B367" s="1510" t="n">
        <f aca="false">ROUNDUP(H365/G343*1000,-3)</f>
        <v>7049879000</v>
      </c>
      <c r="C367" s="1496" t="s">
        <v>844</v>
      </c>
      <c r="D367" s="1497"/>
      <c r="E367" s="1511"/>
      <c r="F367" s="1499" t="s">
        <v>845</v>
      </c>
      <c r="G367" s="1498"/>
      <c r="H367" s="1500" t="n">
        <f aca="false">H351+H362</f>
        <v>1409975</v>
      </c>
      <c r="I367" s="1094" t="s">
        <v>545</v>
      </c>
      <c r="K367" s="1367"/>
      <c r="L367" s="1406"/>
      <c r="M367" s="1406"/>
      <c r="N367" s="1406"/>
      <c r="O367" s="1406"/>
      <c r="P367" s="1406"/>
      <c r="Q367" s="1406"/>
    </row>
    <row r="368" s="1406" customFormat="true" ht="18.75" hidden="false" customHeight="true" outlineLevel="0" collapsed="false">
      <c r="A368" s="1509"/>
      <c r="B368" s="1510"/>
      <c r="C368" s="1512"/>
      <c r="D368" s="1505"/>
      <c r="E368" s="1500" t="n">
        <f aca="false">D351+D362+E362</f>
        <v>36963937</v>
      </c>
      <c r="F368" s="1506" t="str">
        <f aca="false">IF(H367='☆拠出金明細R7'!AD110,"　","明細と不一致!")</f>
        <v>　</v>
      </c>
      <c r="G368" s="1507" t="n">
        <f aca="false">B367</f>
        <v>7049879000</v>
      </c>
      <c r="H368" s="1508" t="n">
        <f aca="false">H343</f>
        <v>0.2</v>
      </c>
      <c r="I368" s="1094"/>
      <c r="K368" s="1513"/>
      <c r="L368" s="607"/>
      <c r="M368" s="607"/>
      <c r="N368" s="607"/>
      <c r="O368" s="607"/>
      <c r="P368" s="607"/>
      <c r="Q368" s="607"/>
    </row>
    <row r="369" customFormat="false" ht="18.75" hidden="false" customHeight="true" outlineLevel="0" collapsed="false">
      <c r="A369" s="1514" t="s">
        <v>846</v>
      </c>
      <c r="B369" s="1515" t="n">
        <v>13250000</v>
      </c>
      <c r="C369" s="1516" t="s">
        <v>847</v>
      </c>
      <c r="D369" s="1518"/>
      <c r="E369" s="1498"/>
      <c r="F369" s="1518" t="s">
        <v>848</v>
      </c>
      <c r="G369" s="1497"/>
      <c r="H369" s="1500" t="n">
        <f aca="false">I351+I362</f>
        <v>169197</v>
      </c>
      <c r="I369" s="1094" t="s">
        <v>546</v>
      </c>
      <c r="K369" s="1362"/>
      <c r="L369" s="607"/>
    </row>
    <row r="370" customFormat="false" ht="18.75" hidden="false" customHeight="true" outlineLevel="0" collapsed="false">
      <c r="A370" s="1514"/>
      <c r="B370" s="1515"/>
      <c r="C370" s="1519"/>
      <c r="D370" s="1506" t="str">
        <f aca="false">IF(E370='☆拠出金明細R7'!K113,"　","明細と不一致!")</f>
        <v>　</v>
      </c>
      <c r="E370" s="1500" t="n">
        <f aca="false">F362</f>
        <v>351965</v>
      </c>
      <c r="F370" s="1506" t="str">
        <f aca="false">IF(H369='☆拠出金明細R7'!AN113,"　","明細と不一致!")</f>
        <v>　</v>
      </c>
      <c r="G370" s="1507" t="n">
        <f aca="false">B367</f>
        <v>7049879000</v>
      </c>
      <c r="H370" s="1520" t="n">
        <f aca="false">I343</f>
        <v>0.024</v>
      </c>
      <c r="K370" s="1362"/>
      <c r="L370" s="607"/>
    </row>
    <row r="371" customFormat="false" ht="18.75" hidden="false" customHeight="true" outlineLevel="0" collapsed="false">
      <c r="A371" s="1278"/>
      <c r="B371" s="1521"/>
      <c r="C371" s="1516" t="s">
        <v>849</v>
      </c>
      <c r="D371" s="1518"/>
      <c r="E371" s="1522"/>
      <c r="F371" s="1523" t="s">
        <v>850</v>
      </c>
      <c r="G371" s="1523"/>
      <c r="H371" s="1523"/>
      <c r="K371" s="1362"/>
      <c r="L371" s="607"/>
    </row>
    <row r="372" customFormat="false" ht="18.75" hidden="false" customHeight="true" outlineLevel="0" collapsed="false">
      <c r="A372" s="1278"/>
      <c r="B372" s="1521"/>
      <c r="C372" s="1524"/>
      <c r="D372" s="1511"/>
      <c r="E372" s="1500" t="n">
        <f aca="false">J351+J362</f>
        <v>33670236</v>
      </c>
      <c r="F372" s="1523"/>
      <c r="G372" s="1523"/>
      <c r="H372" s="1523"/>
      <c r="I372" s="1560"/>
      <c r="K372" s="1362"/>
      <c r="L372" s="789"/>
      <c r="M372" s="789"/>
      <c r="N372" s="789"/>
      <c r="O372" s="789"/>
      <c r="P372" s="789"/>
      <c r="Q372" s="789"/>
    </row>
    <row r="373" s="789" customFormat="true" ht="26.25" hidden="false" customHeight="true" outlineLevel="0" collapsed="false">
      <c r="A373" s="1363" t="n">
        <f aca="false">EOMONTH(A342,1)</f>
        <v>46446</v>
      </c>
      <c r="B373" s="1364" t="s">
        <v>801</v>
      </c>
      <c r="C373" s="1365" t="s">
        <v>802</v>
      </c>
      <c r="D373" s="1130" t="s">
        <v>803</v>
      </c>
      <c r="E373" s="1130" t="s">
        <v>804</v>
      </c>
      <c r="F373" s="1130" t="s">
        <v>805</v>
      </c>
      <c r="G373" s="1130" t="s">
        <v>806</v>
      </c>
      <c r="H373" s="1130" t="s">
        <v>807</v>
      </c>
      <c r="I373" s="1130" t="s">
        <v>808</v>
      </c>
      <c r="J373" s="1366"/>
      <c r="L373" s="1367"/>
      <c r="M373" s="1369"/>
      <c r="N373" s="1369"/>
      <c r="O373" s="1369"/>
      <c r="P373" s="1369"/>
      <c r="Q373" s="1369"/>
      <c r="R373" s="1369"/>
    </row>
    <row r="374" s="1369" customFormat="true" ht="26.25" hidden="false" customHeight="true" outlineLevel="0" collapsed="false">
      <c r="A374" s="1368"/>
      <c r="C374" s="1365"/>
      <c r="D374" s="1526" t="n">
        <f aca="false">$D$2</f>
        <v>4.64</v>
      </c>
      <c r="E374" s="1527" t="n">
        <f aca="false">$E$2</f>
        <v>0.82</v>
      </c>
      <c r="F374" s="1527" t="n">
        <f aca="false">$F$2</f>
        <v>0.05</v>
      </c>
      <c r="G374" s="1527" t="n">
        <f aca="false">$G$2</f>
        <v>1.1</v>
      </c>
      <c r="H374" s="1527" t="n">
        <f aca="false">$H$2</f>
        <v>0.2</v>
      </c>
      <c r="I374" s="1527" t="n">
        <f aca="false">$I$2</f>
        <v>0.024</v>
      </c>
      <c r="J374" s="1373"/>
      <c r="L374" s="1374"/>
      <c r="M374" s="607"/>
      <c r="N374" s="607"/>
      <c r="O374" s="607"/>
      <c r="P374" s="607"/>
      <c r="Q374" s="607"/>
      <c r="R374" s="607"/>
    </row>
    <row r="375" customFormat="false" ht="13.9" hidden="false" customHeight="true" outlineLevel="0" collapsed="false">
      <c r="C375" s="1366"/>
      <c r="D375" s="1366"/>
      <c r="E375" s="1366"/>
      <c r="F375" s="1528"/>
      <c r="G375" s="1366"/>
      <c r="H375" s="1366"/>
      <c r="I375" s="1366"/>
      <c r="J375" s="1366"/>
    </row>
    <row r="376" customFormat="false" ht="20.1" hidden="false" customHeight="true" outlineLevel="0" collapsed="false">
      <c r="A376" s="796" t="s">
        <v>811</v>
      </c>
      <c r="G376" s="1377"/>
      <c r="L376" s="1378" t="s">
        <v>812</v>
      </c>
      <c r="M376" s="1222"/>
      <c r="N376" s="1222"/>
      <c r="O376" s="1222"/>
      <c r="P376" s="1222"/>
      <c r="Q376" s="1222"/>
      <c r="R376" s="1222"/>
    </row>
    <row r="377" s="1222" customFormat="true" ht="30" hidden="false" customHeight="true" outlineLevel="0" collapsed="false">
      <c r="A377" s="1379" t="s">
        <v>483</v>
      </c>
      <c r="B377" s="1380" t="s">
        <v>813</v>
      </c>
      <c r="C377" s="1381" t="s">
        <v>814</v>
      </c>
      <c r="D377" s="1382" t="s">
        <v>815</v>
      </c>
      <c r="E377" s="1382"/>
      <c r="F377" s="1383" t="s">
        <v>816</v>
      </c>
      <c r="G377" s="1382" t="s">
        <v>817</v>
      </c>
      <c r="H377" s="1382" t="s">
        <v>818</v>
      </c>
      <c r="I377" s="1382" t="s">
        <v>819</v>
      </c>
      <c r="J377" s="1384" t="s">
        <v>820</v>
      </c>
      <c r="L377" s="1385" t="s">
        <v>821</v>
      </c>
      <c r="M377" s="607"/>
      <c r="N377" s="607"/>
      <c r="O377" s="607"/>
      <c r="P377" s="607"/>
      <c r="Q377" s="607"/>
      <c r="R377" s="607"/>
    </row>
    <row r="378" customFormat="false" ht="32.25" hidden="false" customHeight="true" outlineLevel="0" collapsed="false">
      <c r="A378" s="1386" t="s">
        <v>822</v>
      </c>
      <c r="B378" s="1387" t="n">
        <f aca="false">B382-B380</f>
        <v>364642103</v>
      </c>
      <c r="C378" s="1388" t="n">
        <f aca="false">ROUNDDOWN(B378*C379/B379,0)</f>
        <v>326884137</v>
      </c>
      <c r="D378" s="1389" t="n">
        <f aca="false">ROUNDDOWN(B378*D379/B379,0)</f>
        <v>16312566</v>
      </c>
      <c r="E378" s="1389" t="n">
        <f aca="false">ROUNDDOWN(D378*E379/D379,0)</f>
        <v>0</v>
      </c>
      <c r="F378" s="1390" t="s">
        <v>635</v>
      </c>
      <c r="G378" s="1391" t="n">
        <f aca="false">ROUNDDOWN(B378*G379/B379,0)</f>
        <v>3867203</v>
      </c>
      <c r="H378" s="1392" t="n">
        <f aca="false">ROUNDDOWN(B378*H379/B379,0)</f>
        <v>703127</v>
      </c>
      <c r="I378" s="1389" t="n">
        <f aca="false">ROUNDDOWN(B378*I379/B379,0)</f>
        <v>84375</v>
      </c>
      <c r="J378" s="1393" t="n">
        <f aca="false">B378-C378-D378-G378-H378-I378</f>
        <v>16790695</v>
      </c>
      <c r="L378" s="1394" t="n">
        <f aca="false">SUM(I378:J378)</f>
        <v>16875070</v>
      </c>
      <c r="M378" s="1536"/>
      <c r="N378" s="1536"/>
      <c r="O378" s="1536"/>
      <c r="P378" s="1536"/>
      <c r="Q378" s="1536"/>
      <c r="R378" s="1536"/>
    </row>
    <row r="379" s="1536" customFormat="true" ht="15" hidden="false" customHeight="true" outlineLevel="0" collapsed="false">
      <c r="A379" s="1529" t="s">
        <v>823</v>
      </c>
      <c r="B379" s="1530" t="n">
        <f aca="false">SUM(C379:J379)</f>
        <v>51.86</v>
      </c>
      <c r="C379" s="1531" t="n">
        <f aca="false">$C$7</f>
        <v>46.49</v>
      </c>
      <c r="D379" s="1532" t="n">
        <f aca="false">$D$7</f>
        <v>2.32</v>
      </c>
      <c r="E379" s="1532"/>
      <c r="F379" s="1533" t="s">
        <v>635</v>
      </c>
      <c r="G379" s="1534" t="n">
        <f aca="false">$G$7</f>
        <v>0.55</v>
      </c>
      <c r="H379" s="1467" t="n">
        <f aca="false">$H$7</f>
        <v>0.1</v>
      </c>
      <c r="I379" s="1468" t="n">
        <f aca="false">$I$7</f>
        <v>0.012</v>
      </c>
      <c r="J379" s="1535" t="n">
        <f aca="false">$J$7</f>
        <v>2.388</v>
      </c>
      <c r="K379" s="1404" t="s">
        <v>824</v>
      </c>
      <c r="L379" s="1405" t="n">
        <f aca="false">SUM(I379:J379)</f>
        <v>2.4</v>
      </c>
      <c r="M379" s="607"/>
      <c r="N379" s="607"/>
      <c r="O379" s="607"/>
      <c r="P379" s="607"/>
      <c r="Q379" s="607"/>
      <c r="R379" s="607"/>
    </row>
    <row r="380" customFormat="false" ht="32.25" hidden="false" customHeight="true" outlineLevel="0" collapsed="false">
      <c r="A380" s="1386" t="s">
        <v>825</v>
      </c>
      <c r="B380" s="1387" t="n">
        <f aca="false">'☆短期集計R7'!D37</f>
        <v>873541</v>
      </c>
      <c r="C380" s="1388" t="n">
        <f aca="false">ROUNDDOWN(B380*C381/B381,0)</f>
        <v>783087</v>
      </c>
      <c r="D380" s="1407" t="n">
        <f aca="false">ROUNDDOWN(B380*D381/B381,0)</f>
        <v>39078</v>
      </c>
      <c r="E380" s="1407" t="n">
        <f aca="false">ROUNDDOWN(D380*E381/D381,0)</f>
        <v>0</v>
      </c>
      <c r="F380" s="1408" t="s">
        <v>635</v>
      </c>
      <c r="G380" s="1409" t="n">
        <f aca="false">ROUNDDOWN(B380*G381/B381,0)</f>
        <v>9264</v>
      </c>
      <c r="H380" s="1410" t="n">
        <f aca="false">ROUNDDOWN(B380*H381/B381,0)</f>
        <v>1684</v>
      </c>
      <c r="I380" s="1411" t="n">
        <f aca="false">ROUNDDOWN(B380*I381/B381,0)</f>
        <v>202</v>
      </c>
      <c r="J380" s="1412" t="n">
        <f aca="false">B380-C380-D380-G380-H380-I380</f>
        <v>40226</v>
      </c>
      <c r="K380" s="1404"/>
      <c r="L380" s="1413" t="n">
        <f aca="false">SUM(I380:J380)</f>
        <v>40428</v>
      </c>
      <c r="M380" s="1406"/>
      <c r="N380" s="1406"/>
      <c r="O380" s="1406"/>
      <c r="P380" s="1406"/>
      <c r="Q380" s="1406"/>
      <c r="R380" s="1406"/>
    </row>
    <row r="381" s="1406" customFormat="true" ht="15" hidden="false" customHeight="true" outlineLevel="0" collapsed="false">
      <c r="A381" s="1537" t="s">
        <v>823</v>
      </c>
      <c r="B381" s="1474" t="n">
        <f aca="false">SUM(C381:J381)</f>
        <v>103.72</v>
      </c>
      <c r="C381" s="1538" t="n">
        <f aca="false">C379*2</f>
        <v>92.98</v>
      </c>
      <c r="D381" s="1539" t="n">
        <f aca="false">D379*2</f>
        <v>4.64</v>
      </c>
      <c r="E381" s="1539"/>
      <c r="F381" s="1540" t="s">
        <v>635</v>
      </c>
      <c r="G381" s="1541" t="n">
        <f aca="false">G379*2</f>
        <v>1.1</v>
      </c>
      <c r="H381" s="1542" t="n">
        <f aca="false">H379*2</f>
        <v>0.2</v>
      </c>
      <c r="I381" s="1543" t="n">
        <f aca="false">I379*2</f>
        <v>0.024</v>
      </c>
      <c r="J381" s="1544" t="n">
        <f aca="false">J379*2</f>
        <v>4.776</v>
      </c>
      <c r="L381" s="1423" t="n">
        <f aca="false">L379*2</f>
        <v>4.8</v>
      </c>
      <c r="M381" s="607"/>
      <c r="N381" s="607"/>
      <c r="O381" s="607"/>
      <c r="P381" s="607"/>
      <c r="Q381" s="607"/>
      <c r="R381" s="607"/>
    </row>
    <row r="382" customFormat="false" ht="30" hidden="false" customHeight="true" outlineLevel="0" collapsed="false">
      <c r="A382" s="1424" t="s">
        <v>763</v>
      </c>
      <c r="B382" s="1425" t="n">
        <f aca="false">'☆短期集計R7'!B37+'☆短期集計R7'!D37</f>
        <v>365515644</v>
      </c>
      <c r="C382" s="1426" t="n">
        <f aca="false">C378+C380</f>
        <v>327667224</v>
      </c>
      <c r="D382" s="1427" t="n">
        <f aca="false">D378+D380</f>
        <v>16351644</v>
      </c>
      <c r="E382" s="1427"/>
      <c r="F382" s="1428" t="s">
        <v>635</v>
      </c>
      <c r="G382" s="1427" t="n">
        <f aca="false">G378+G380</f>
        <v>3876467</v>
      </c>
      <c r="H382" s="1426" t="n">
        <f aca="false">H378+H380</f>
        <v>704811</v>
      </c>
      <c r="I382" s="1427" t="n">
        <f aca="false">I378+I380</f>
        <v>84577</v>
      </c>
      <c r="J382" s="1429" t="n">
        <f aca="false">J378+J380</f>
        <v>16830921</v>
      </c>
      <c r="L382" s="1430" t="n">
        <f aca="false">L378+L380</f>
        <v>16915498</v>
      </c>
      <c r="M382" s="1431"/>
      <c r="N382" s="1431"/>
      <c r="O382" s="1431"/>
      <c r="P382" s="1431"/>
      <c r="Q382" s="1431"/>
      <c r="R382" s="1431"/>
    </row>
    <row r="383" s="1431" customFormat="true" ht="20.1" hidden="false" customHeight="true" outlineLevel="0" collapsed="false">
      <c r="C383" s="1432" t="s">
        <v>826</v>
      </c>
      <c r="D383" s="1433" t="s">
        <v>827</v>
      </c>
      <c r="E383" s="1433"/>
      <c r="F383" s="1432" t="s">
        <v>828</v>
      </c>
      <c r="G383" s="1432" t="s">
        <v>829</v>
      </c>
      <c r="H383" s="1434" t="s">
        <v>830</v>
      </c>
      <c r="I383" s="1434" t="s">
        <v>831</v>
      </c>
      <c r="J383" s="1434" t="s">
        <v>832</v>
      </c>
      <c r="L383" s="1435"/>
      <c r="M383" s="1089"/>
      <c r="N383" s="1089"/>
      <c r="O383" s="1089"/>
      <c r="P383" s="1089"/>
      <c r="Q383" s="1089"/>
      <c r="R383" s="1089"/>
    </row>
    <row r="384" s="1089" customFormat="true" ht="13.5" hidden="false" customHeight="true" outlineLevel="0" collapsed="false">
      <c r="C384" s="1436"/>
      <c r="D384" s="1437"/>
      <c r="E384" s="1437"/>
      <c r="F384" s="1436"/>
      <c r="G384" s="1437"/>
      <c r="H384" s="1437"/>
      <c r="I384" s="1437"/>
      <c r="J384" s="1437"/>
      <c r="L384" s="1438"/>
      <c r="M384" s="607"/>
      <c r="N384" s="607"/>
      <c r="O384" s="607"/>
      <c r="P384" s="607"/>
      <c r="Q384" s="607"/>
      <c r="R384" s="607"/>
    </row>
    <row r="385" customFormat="false" ht="20.1" hidden="false" customHeight="true" outlineLevel="0" collapsed="false">
      <c r="A385" s="796" t="s">
        <v>238</v>
      </c>
      <c r="B385" s="1089"/>
      <c r="C385" s="1089"/>
      <c r="D385" s="1089"/>
      <c r="E385" s="1089"/>
      <c r="F385" s="1089"/>
      <c r="G385" s="1377"/>
      <c r="H385" s="1089"/>
      <c r="I385" s="1089"/>
      <c r="J385" s="1089"/>
      <c r="L385" s="1378" t="s">
        <v>812</v>
      </c>
      <c r="M385" s="945"/>
      <c r="N385" s="945"/>
      <c r="O385" s="945"/>
      <c r="P385" s="945"/>
      <c r="Q385" s="945"/>
      <c r="R385" s="945"/>
    </row>
    <row r="386" s="945" customFormat="true" ht="30" hidden="false" customHeight="true" outlineLevel="0" collapsed="false">
      <c r="A386" s="1379" t="s">
        <v>483</v>
      </c>
      <c r="B386" s="1380" t="s">
        <v>813</v>
      </c>
      <c r="C386" s="1381" t="s">
        <v>814</v>
      </c>
      <c r="D386" s="1439" t="s">
        <v>815</v>
      </c>
      <c r="E386" s="1440" t="s">
        <v>833</v>
      </c>
      <c r="F386" s="1441" t="s">
        <v>834</v>
      </c>
      <c r="G386" s="1442" t="s">
        <v>817</v>
      </c>
      <c r="H386" s="1382" t="s">
        <v>818</v>
      </c>
      <c r="I386" s="1382" t="s">
        <v>819</v>
      </c>
      <c r="J386" s="1384" t="s">
        <v>820</v>
      </c>
      <c r="L386" s="1385" t="s">
        <v>821</v>
      </c>
      <c r="M386" s="607"/>
      <c r="N386" s="607"/>
      <c r="O386" s="607"/>
      <c r="P386" s="607"/>
      <c r="Q386" s="607"/>
      <c r="R386" s="607"/>
    </row>
    <row r="387" customFormat="false" ht="32.25" hidden="false" customHeight="true" outlineLevel="0" collapsed="false">
      <c r="A387" s="1443" t="s">
        <v>852</v>
      </c>
      <c r="B387" s="1387" t="n">
        <f aca="false">B393-B389-B391</f>
        <v>273005690</v>
      </c>
      <c r="C387" s="1388" t="n">
        <f aca="false">ROUNDDOWN(B387*C388/B388,0)</f>
        <v>240698549</v>
      </c>
      <c r="D387" s="1444" t="n">
        <f aca="false">ROUNDDOWN(B387*D388/B388,0)</f>
        <v>12011629</v>
      </c>
      <c r="E387" s="1445" t="n">
        <f aca="false">ROUNDDOWN(B387*E388/B388,0)</f>
        <v>4245489</v>
      </c>
      <c r="F387" s="1446" t="n">
        <f aca="false">ROUNDDOWN(B387*F388/B388,0)</f>
        <v>258871</v>
      </c>
      <c r="G387" s="1446" t="n">
        <f aca="false">ROUNDDOWN(B387*G388/B388,0)</f>
        <v>2847584</v>
      </c>
      <c r="H387" s="1446" t="n">
        <f aca="false">ROUNDDOWN(B387*H388/B388,0)</f>
        <v>517742</v>
      </c>
      <c r="I387" s="1446" t="n">
        <f aca="false">ROUNDDOWN(B387*I388/B388,0)</f>
        <v>62129</v>
      </c>
      <c r="J387" s="1447" t="n">
        <f aca="false">B387-C387-D387-E387-F387-G387-H387-I387</f>
        <v>12363697</v>
      </c>
      <c r="L387" s="1448" t="n">
        <f aca="false">SUM(I387:J387)</f>
        <v>12425826</v>
      </c>
      <c r="M387" s="1536"/>
      <c r="N387" s="1536"/>
      <c r="O387" s="1536"/>
      <c r="P387" s="1536"/>
      <c r="Q387" s="1536"/>
      <c r="R387" s="1536"/>
    </row>
    <row r="388" s="1536" customFormat="true" ht="15" hidden="false" customHeight="true" outlineLevel="0" collapsed="false">
      <c r="A388" s="1529" t="s">
        <v>823</v>
      </c>
      <c r="B388" s="1463" t="n">
        <f aca="false">SUM(C388:J388)</f>
        <v>52.73</v>
      </c>
      <c r="C388" s="1545" t="n">
        <f aca="false">$C$16</f>
        <v>46.49</v>
      </c>
      <c r="D388" s="1465" t="n">
        <f aca="false">$D$16</f>
        <v>2.32</v>
      </c>
      <c r="E388" s="1546" t="n">
        <f aca="false">$E$16</f>
        <v>0.82</v>
      </c>
      <c r="F388" s="1547" t="n">
        <f aca="false">$F$16</f>
        <v>0.05</v>
      </c>
      <c r="G388" s="1547" t="n">
        <f aca="false">$G$16</f>
        <v>0.55</v>
      </c>
      <c r="H388" s="1548" t="n">
        <f aca="false">$H$16</f>
        <v>0.1</v>
      </c>
      <c r="I388" s="1549" t="n">
        <f aca="false">$I$16</f>
        <v>0.012</v>
      </c>
      <c r="J388" s="1550" t="n">
        <f aca="false">$J$16</f>
        <v>2.388</v>
      </c>
      <c r="K388" s="1406"/>
      <c r="L388" s="1457" t="n">
        <f aca="false">SUM(I388:J388)</f>
        <v>2.4</v>
      </c>
      <c r="M388" s="607"/>
      <c r="N388" s="607"/>
      <c r="O388" s="607"/>
      <c r="P388" s="607"/>
      <c r="Q388" s="607"/>
      <c r="R388" s="607"/>
    </row>
    <row r="389" customFormat="false" ht="32.25" hidden="false" customHeight="true" outlineLevel="0" collapsed="false">
      <c r="A389" s="1386" t="s">
        <v>836</v>
      </c>
      <c r="B389" s="1387" t="n">
        <f aca="false">'☆掛負収入'!I826+'☆掛負収入'!I827</f>
        <v>96626479</v>
      </c>
      <c r="C389" s="1388" t="n">
        <f aca="false">ROUNDDOWN((B389-E389)/B390*C390,0)</f>
        <v>86527834</v>
      </c>
      <c r="D389" s="1458" t="n">
        <f aca="false">ROUNDDOWN((B389-E389)/B390*D390,0)</f>
        <v>4318016</v>
      </c>
      <c r="E389" s="1459" t="n">
        <f aca="false">ROUNDDOWN(B400*E374/1000,0)</f>
        <v>10865</v>
      </c>
      <c r="F389" s="1388" t="n">
        <f aca="false">ROUNDDOWN((B389-E389)/B390*F390,0)</f>
        <v>93060</v>
      </c>
      <c r="G389" s="1388" t="n">
        <f aca="false">ROUNDDOWN((B389-E389)/B390*G390,0)</f>
        <v>1023667</v>
      </c>
      <c r="H389" s="1409" t="n">
        <f aca="false">ROUNDDOWN((B389-E389)/B390*H390,0)</f>
        <v>186121</v>
      </c>
      <c r="I389" s="1409" t="n">
        <f aca="false">ROUNDDOWN((B389-E389)/B390*I390,0)</f>
        <v>22334</v>
      </c>
      <c r="J389" s="1460" t="n">
        <f aca="false">B389-C389-D389-E389-F389-G389-H389-I389</f>
        <v>4444582</v>
      </c>
      <c r="K389" s="1404" t="s">
        <v>824</v>
      </c>
      <c r="L389" s="1461" t="n">
        <f aca="false">SUM(I389:J389)</f>
        <v>4466916</v>
      </c>
      <c r="M389" s="1406"/>
      <c r="N389" s="1406"/>
      <c r="O389" s="1406"/>
      <c r="P389" s="1406"/>
      <c r="Q389" s="1406"/>
      <c r="R389" s="1406"/>
    </row>
    <row r="390" s="1406" customFormat="true" ht="15" hidden="false" customHeight="true" outlineLevel="0" collapsed="false">
      <c r="A390" s="1551" t="s">
        <v>823</v>
      </c>
      <c r="B390" s="1463" t="n">
        <f aca="false">SUM(C390:J390)</f>
        <v>51.91</v>
      </c>
      <c r="C390" s="1464" t="n">
        <f aca="false">C388</f>
        <v>46.49</v>
      </c>
      <c r="D390" s="1465" t="n">
        <f aca="false">D388</f>
        <v>2.32</v>
      </c>
      <c r="E390" s="1466" t="s">
        <v>837</v>
      </c>
      <c r="F390" s="1467" t="n">
        <f aca="false">F388</f>
        <v>0.05</v>
      </c>
      <c r="G390" s="1467" t="n">
        <f aca="false">G388</f>
        <v>0.55</v>
      </c>
      <c r="H390" s="1468" t="n">
        <f aca="false">H388</f>
        <v>0.1</v>
      </c>
      <c r="I390" s="1469" t="n">
        <f aca="false">I388</f>
        <v>0.012</v>
      </c>
      <c r="J390" s="1470" t="n">
        <f aca="false">J388</f>
        <v>2.388</v>
      </c>
      <c r="K390" s="1404"/>
      <c r="L390" s="1471" t="n">
        <f aca="false">SUM(I390:J390)</f>
        <v>2.4</v>
      </c>
      <c r="M390" s="607"/>
      <c r="N390" s="607"/>
      <c r="O390" s="607"/>
      <c r="P390" s="607"/>
      <c r="Q390" s="607"/>
      <c r="R390" s="607"/>
    </row>
    <row r="391" customFormat="false" ht="32.25" hidden="false" customHeight="true" outlineLevel="0" collapsed="false">
      <c r="A391" s="1472" t="s">
        <v>838</v>
      </c>
      <c r="B391" s="1387" t="n">
        <f aca="false">'☆掛負収入'!I843+E391</f>
        <v>50963</v>
      </c>
      <c r="C391" s="1388" t="n">
        <f aca="false">ROUNDDOWN((B391-E391)/B392*C392,0)</f>
        <v>45407</v>
      </c>
      <c r="D391" s="1458" t="n">
        <f aca="false">ROUNDDOWN((B391-E391)/B392*D392,0)</f>
        <v>2265</v>
      </c>
      <c r="E391" s="1473" t="n">
        <f aca="false">'☆労組公的負担（短期）'!F18</f>
        <v>262</v>
      </c>
      <c r="F391" s="1388" t="n">
        <f aca="false">ROUNDDOWN((B391-E391)/B392*F392,0)</f>
        <v>48</v>
      </c>
      <c r="G391" s="1388" t="n">
        <f aca="false">ROUNDDOWN((B391-E391)/B392*G392,0)</f>
        <v>537</v>
      </c>
      <c r="H391" s="1409" t="n">
        <f aca="false">H393-H387-H389</f>
        <v>99</v>
      </c>
      <c r="I391" s="1409" t="n">
        <f aca="false">I393-I387-I389</f>
        <v>12</v>
      </c>
      <c r="J391" s="1460" t="n">
        <f aca="false">B391-C391-D391-E391-F391-G391-H391-I391</f>
        <v>2333</v>
      </c>
      <c r="L391" s="1461" t="n">
        <f aca="false">SUM(I391:J391)</f>
        <v>2345</v>
      </c>
      <c r="M391" s="1406"/>
      <c r="N391" s="1406"/>
      <c r="O391" s="1406"/>
      <c r="P391" s="1406"/>
      <c r="Q391" s="1406"/>
      <c r="R391" s="1406"/>
    </row>
    <row r="392" s="1406" customFormat="true" ht="15" hidden="false" customHeight="true" outlineLevel="0" collapsed="false">
      <c r="A392" s="1537" t="s">
        <v>823</v>
      </c>
      <c r="B392" s="1474" t="n">
        <f aca="false">SUM(C392:J392)</f>
        <v>51.91</v>
      </c>
      <c r="C392" s="1464" t="n">
        <f aca="false">C388</f>
        <v>46.49</v>
      </c>
      <c r="D392" s="1465" t="n">
        <f aca="false">D388</f>
        <v>2.32</v>
      </c>
      <c r="E392" s="1475" t="s">
        <v>839</v>
      </c>
      <c r="F392" s="1476" t="n">
        <f aca="false">F388</f>
        <v>0.05</v>
      </c>
      <c r="G392" s="1476" t="n">
        <f aca="false">G388</f>
        <v>0.55</v>
      </c>
      <c r="H392" s="1477" t="n">
        <f aca="false">H388</f>
        <v>0.1</v>
      </c>
      <c r="I392" s="1478" t="n">
        <f aca="false">I388</f>
        <v>0.012</v>
      </c>
      <c r="J392" s="1479" t="n">
        <f aca="false">J388</f>
        <v>2.388</v>
      </c>
      <c r="L392" s="1480" t="n">
        <f aca="false">SUM(I392:J392)</f>
        <v>2.4</v>
      </c>
      <c r="M392" s="607"/>
      <c r="N392" s="607"/>
      <c r="O392" s="607"/>
      <c r="P392" s="607"/>
      <c r="Q392" s="607"/>
      <c r="R392" s="607"/>
    </row>
    <row r="393" customFormat="false" ht="30" hidden="false" customHeight="true" outlineLevel="0" collapsed="false">
      <c r="A393" s="1424" t="s">
        <v>763</v>
      </c>
      <c r="B393" s="1481" t="n">
        <f aca="false">'☆掛負収入'!I845</f>
        <v>369683132</v>
      </c>
      <c r="C393" s="1482" t="n">
        <f aca="false">C387+C389+C391</f>
        <v>327271790</v>
      </c>
      <c r="D393" s="1483" t="n">
        <f aca="false">D387+D389+D391</f>
        <v>16331910</v>
      </c>
      <c r="E393" s="1484" t="n">
        <f aca="false">E387+E389+E391</f>
        <v>4256616</v>
      </c>
      <c r="F393" s="1485" t="n">
        <f aca="false">F387+F389+F391</f>
        <v>351979</v>
      </c>
      <c r="G393" s="1485" t="n">
        <f aca="false">G387+G389+G391</f>
        <v>3871788</v>
      </c>
      <c r="H393" s="1485" t="n">
        <f aca="false">ROUNDDOWN(B398*H374/1000,0)-H382</f>
        <v>703962</v>
      </c>
      <c r="I393" s="1485" t="n">
        <f aca="false">ROUNDDOWN(B398*I374/1000,0)-I382</f>
        <v>84475</v>
      </c>
      <c r="J393" s="1486" t="n">
        <f aca="false">J387+J389+J391</f>
        <v>16810612</v>
      </c>
      <c r="K393" s="1487"/>
      <c r="L393" s="1488" t="n">
        <f aca="false">SUM(I393:J393)</f>
        <v>16895087</v>
      </c>
      <c r="M393" s="1432"/>
      <c r="N393" s="1432"/>
      <c r="O393" s="1432"/>
      <c r="P393" s="1432"/>
      <c r="Q393" s="1432"/>
      <c r="R393" s="1432"/>
    </row>
    <row r="394" s="1432" customFormat="true" ht="20.1" hidden="false" customHeight="true" outlineLevel="0" collapsed="false">
      <c r="C394" s="1432" t="s">
        <v>826</v>
      </c>
      <c r="D394" s="1432" t="s">
        <v>827</v>
      </c>
      <c r="E394" s="1432" t="s">
        <v>827</v>
      </c>
      <c r="F394" s="1432" t="s">
        <v>828</v>
      </c>
      <c r="G394" s="1432" t="s">
        <v>829</v>
      </c>
      <c r="H394" s="1432" t="s">
        <v>830</v>
      </c>
      <c r="I394" s="1432" t="s">
        <v>831</v>
      </c>
      <c r="J394" s="1432" t="s">
        <v>832</v>
      </c>
      <c r="L394" s="1489"/>
      <c r="M394" s="789"/>
      <c r="N394" s="789"/>
      <c r="O394" s="789"/>
      <c r="P394" s="789"/>
      <c r="Q394" s="789"/>
      <c r="R394" s="789"/>
    </row>
    <row r="395" s="789" customFormat="true" ht="18.75" hidden="false" customHeight="true" outlineLevel="0" collapsed="false">
      <c r="A395" s="1490" t="s">
        <v>840</v>
      </c>
      <c r="B395" s="1491" t="n">
        <f aca="false">B382+B393</f>
        <v>735198776</v>
      </c>
      <c r="C395" s="1492"/>
      <c r="D395" s="1492"/>
      <c r="E395" s="1492"/>
      <c r="K395" s="1367"/>
    </row>
    <row r="396" s="789" customFormat="true" ht="18.75" hidden="false" customHeight="true" outlineLevel="0" collapsed="false">
      <c r="A396" s="1502"/>
      <c r="B396" s="1495"/>
      <c r="C396" s="1496" t="s">
        <v>841</v>
      </c>
      <c r="D396" s="1497"/>
      <c r="E396" s="1498"/>
      <c r="F396" s="1499" t="s">
        <v>842</v>
      </c>
      <c r="G396" s="1498"/>
      <c r="H396" s="1500" t="n">
        <f aca="false">G382+G393</f>
        <v>7748255</v>
      </c>
      <c r="I396" s="1501" t="s">
        <v>544</v>
      </c>
      <c r="K396" s="1367"/>
    </row>
    <row r="397" s="789" customFormat="true" ht="18.75" hidden="false" customHeight="true" outlineLevel="0" collapsed="false">
      <c r="A397" s="1502" t="s">
        <v>843</v>
      </c>
      <c r="B397" s="1503"/>
      <c r="C397" s="1504"/>
      <c r="D397" s="1505"/>
      <c r="E397" s="1500" t="n">
        <f aca="false">C382+C393</f>
        <v>654939014</v>
      </c>
      <c r="F397" s="1506" t="str">
        <f aca="false">IF(H396='☆拠出金明細R7'!V114,"　","明細と不一致!")</f>
        <v>　</v>
      </c>
      <c r="G397" s="1507" t="n">
        <f aca="false">B398</f>
        <v>7043869000</v>
      </c>
      <c r="H397" s="1508" t="n">
        <f aca="false">G374</f>
        <v>1.1</v>
      </c>
      <c r="I397" s="1500"/>
      <c r="K397" s="1367"/>
    </row>
    <row r="398" s="789" customFormat="true" ht="18.75" hidden="false" customHeight="true" outlineLevel="0" collapsed="false">
      <c r="A398" s="1509" t="s">
        <v>690</v>
      </c>
      <c r="B398" s="1510" t="n">
        <f aca="false">ROUNDUP(H396/G374*1000,-3)</f>
        <v>7043869000</v>
      </c>
      <c r="C398" s="1496" t="s">
        <v>844</v>
      </c>
      <c r="D398" s="1497"/>
      <c r="E398" s="1511"/>
      <c r="F398" s="1499" t="s">
        <v>845</v>
      </c>
      <c r="G398" s="1498"/>
      <c r="H398" s="1500" t="n">
        <f aca="false">H382+H393</f>
        <v>1408773</v>
      </c>
      <c r="I398" s="1094" t="s">
        <v>545</v>
      </c>
      <c r="K398" s="1367"/>
      <c r="L398" s="1406"/>
      <c r="M398" s="1406"/>
      <c r="N398" s="1406"/>
      <c r="O398" s="1406"/>
      <c r="P398" s="1406"/>
      <c r="Q398" s="1406"/>
    </row>
    <row r="399" s="1406" customFormat="true" ht="18.75" hidden="false" customHeight="true" outlineLevel="0" collapsed="false">
      <c r="A399" s="1509"/>
      <c r="B399" s="1510"/>
      <c r="C399" s="1512"/>
      <c r="D399" s="1505"/>
      <c r="E399" s="1500" t="n">
        <f aca="false">D382+D393+E393</f>
        <v>36940170</v>
      </c>
      <c r="F399" s="1506" t="str">
        <f aca="false">IF(H398='☆拠出金明細R7'!AD112,"　","明細と不一致!")</f>
        <v>　</v>
      </c>
      <c r="G399" s="1507" t="n">
        <f aca="false">B398</f>
        <v>7043869000</v>
      </c>
      <c r="H399" s="1508" t="n">
        <f aca="false">H374</f>
        <v>0.2</v>
      </c>
      <c r="I399" s="1094"/>
      <c r="K399" s="1513"/>
      <c r="L399" s="607"/>
      <c r="M399" s="607"/>
      <c r="N399" s="607"/>
      <c r="O399" s="607"/>
      <c r="P399" s="607"/>
      <c r="Q399" s="607"/>
    </row>
    <row r="400" customFormat="false" ht="18.75" hidden="false" customHeight="true" outlineLevel="0" collapsed="false">
      <c r="A400" s="1514" t="s">
        <v>846</v>
      </c>
      <c r="B400" s="1515" t="n">
        <v>13250000</v>
      </c>
      <c r="C400" s="1516" t="s">
        <v>847</v>
      </c>
      <c r="D400" s="1518"/>
      <c r="E400" s="1498"/>
      <c r="F400" s="1518" t="s">
        <v>848</v>
      </c>
      <c r="G400" s="1497"/>
      <c r="H400" s="1500" t="n">
        <f aca="false">I382+I393</f>
        <v>169052</v>
      </c>
      <c r="I400" s="1094" t="s">
        <v>546</v>
      </c>
      <c r="K400" s="1362"/>
      <c r="L400" s="607"/>
    </row>
    <row r="401" customFormat="false" ht="18.75" hidden="false" customHeight="true" outlineLevel="0" collapsed="false">
      <c r="A401" s="1514"/>
      <c r="B401" s="1515"/>
      <c r="C401" s="1519"/>
      <c r="D401" s="1506" t="str">
        <f aca="false">IF(E401='☆拠出金明細R7'!K114,"　","明細と不一致!")</f>
        <v>　</v>
      </c>
      <c r="E401" s="1500" t="n">
        <f aca="false">F393</f>
        <v>351979</v>
      </c>
      <c r="F401" s="1506" t="str">
        <f aca="false">IF(H400='☆拠出金明細R7'!AN114,"　","明細と不一致!")</f>
        <v>　</v>
      </c>
      <c r="G401" s="1507" t="n">
        <f aca="false">B398</f>
        <v>7043869000</v>
      </c>
      <c r="H401" s="1520" t="n">
        <f aca="false">I374</f>
        <v>0.024</v>
      </c>
      <c r="K401" s="1362"/>
      <c r="L401" s="607"/>
    </row>
    <row r="402" customFormat="false" ht="18.75" hidden="false" customHeight="true" outlineLevel="0" collapsed="false">
      <c r="A402" s="1278"/>
      <c r="B402" s="1521"/>
      <c r="C402" s="1516" t="s">
        <v>849</v>
      </c>
      <c r="D402" s="1518"/>
      <c r="E402" s="1522"/>
      <c r="F402" s="1523" t="s">
        <v>850</v>
      </c>
      <c r="G402" s="1523"/>
      <c r="H402" s="1523"/>
      <c r="K402" s="1362"/>
      <c r="L402" s="607"/>
    </row>
    <row r="403" customFormat="false" ht="18.75" hidden="false" customHeight="true" outlineLevel="0" collapsed="false">
      <c r="A403" s="1278"/>
      <c r="B403" s="1521"/>
      <c r="C403" s="1524"/>
      <c r="D403" s="1511"/>
      <c r="E403" s="1500" t="n">
        <f aca="false">J382+J393</f>
        <v>33641533</v>
      </c>
      <c r="F403" s="1523"/>
      <c r="G403" s="1523"/>
      <c r="H403" s="1523"/>
      <c r="I403" s="1560"/>
      <c r="K403" s="1362"/>
      <c r="L403" s="789"/>
      <c r="M403" s="789"/>
      <c r="N403" s="789"/>
      <c r="O403" s="789"/>
      <c r="P403" s="789"/>
      <c r="Q403" s="789"/>
    </row>
    <row r="404" s="789" customFormat="true" ht="26.25" hidden="false" customHeight="true" outlineLevel="0" collapsed="false">
      <c r="A404" s="1561" t="n">
        <f aca="false">EOMONTH(A373,1)</f>
        <v>46477</v>
      </c>
      <c r="B404" s="1562" t="s">
        <v>853</v>
      </c>
      <c r="C404" s="1365" t="s">
        <v>802</v>
      </c>
      <c r="D404" s="1130" t="s">
        <v>803</v>
      </c>
      <c r="E404" s="1130" t="s">
        <v>804</v>
      </c>
      <c r="F404" s="1130" t="s">
        <v>805</v>
      </c>
      <c r="G404" s="1130" t="s">
        <v>806</v>
      </c>
      <c r="H404" s="1130" t="s">
        <v>807</v>
      </c>
      <c r="I404" s="1130" t="s">
        <v>808</v>
      </c>
      <c r="J404" s="1366"/>
      <c r="L404" s="1367"/>
      <c r="M404" s="1369"/>
      <c r="N404" s="1369"/>
      <c r="O404" s="1369"/>
      <c r="P404" s="1369"/>
      <c r="Q404" s="1369"/>
      <c r="R404" s="1369"/>
    </row>
    <row r="405" s="1369" customFormat="true" ht="26.25" hidden="false" customHeight="true" outlineLevel="0" collapsed="false">
      <c r="A405" s="1368"/>
      <c r="C405" s="1365"/>
      <c r="D405" s="1526" t="n">
        <f aca="false">$D$2</f>
        <v>4.64</v>
      </c>
      <c r="E405" s="1527" t="n">
        <f aca="false">$E$2</f>
        <v>0.82</v>
      </c>
      <c r="F405" s="1527" t="n">
        <f aca="false">$F$2</f>
        <v>0.05</v>
      </c>
      <c r="G405" s="1527" t="n">
        <f aca="false">$G$2</f>
        <v>1.1</v>
      </c>
      <c r="H405" s="1527" t="n">
        <f aca="false">$H$2</f>
        <v>0.2</v>
      </c>
      <c r="I405" s="1527" t="n">
        <f aca="false">$I$2</f>
        <v>0.024</v>
      </c>
      <c r="J405" s="1373"/>
      <c r="L405" s="1374"/>
      <c r="M405" s="607"/>
      <c r="N405" s="607"/>
      <c r="O405" s="607"/>
      <c r="P405" s="607"/>
      <c r="Q405" s="607"/>
      <c r="R405" s="607"/>
    </row>
    <row r="406" customFormat="false" ht="13.9" hidden="false" customHeight="true" outlineLevel="0" collapsed="false">
      <c r="C406" s="1366"/>
      <c r="D406" s="1366"/>
      <c r="E406" s="1366"/>
      <c r="F406" s="1528"/>
      <c r="G406" s="1366"/>
      <c r="H406" s="1366"/>
      <c r="I406" s="1366"/>
      <c r="J406" s="1366"/>
    </row>
    <row r="407" customFormat="false" ht="20.1" hidden="false" customHeight="true" outlineLevel="0" collapsed="false">
      <c r="A407" s="796" t="s">
        <v>811</v>
      </c>
      <c r="G407" s="1377"/>
      <c r="L407" s="1378" t="s">
        <v>812</v>
      </c>
      <c r="M407" s="1222"/>
      <c r="N407" s="1222"/>
      <c r="O407" s="1222"/>
      <c r="P407" s="1222"/>
      <c r="Q407" s="1222"/>
      <c r="R407" s="1222"/>
    </row>
    <row r="408" s="1222" customFormat="true" ht="30" hidden="false" customHeight="true" outlineLevel="0" collapsed="false">
      <c r="A408" s="1379" t="s">
        <v>483</v>
      </c>
      <c r="B408" s="1380" t="s">
        <v>813</v>
      </c>
      <c r="C408" s="1381" t="s">
        <v>814</v>
      </c>
      <c r="D408" s="1382" t="s">
        <v>815</v>
      </c>
      <c r="E408" s="1382"/>
      <c r="F408" s="1383" t="s">
        <v>816</v>
      </c>
      <c r="G408" s="1382" t="s">
        <v>817</v>
      </c>
      <c r="H408" s="1382" t="s">
        <v>818</v>
      </c>
      <c r="I408" s="1382" t="s">
        <v>819</v>
      </c>
      <c r="J408" s="1384" t="s">
        <v>820</v>
      </c>
      <c r="L408" s="1385" t="s">
        <v>821</v>
      </c>
      <c r="M408" s="607"/>
      <c r="N408" s="607"/>
      <c r="O408" s="607"/>
      <c r="P408" s="607"/>
      <c r="Q408" s="607"/>
      <c r="R408" s="607"/>
    </row>
    <row r="409" customFormat="false" ht="32.25" hidden="false" customHeight="true" outlineLevel="0" collapsed="false">
      <c r="A409" s="1386" t="s">
        <v>822</v>
      </c>
      <c r="B409" s="1387" t="n">
        <f aca="false">B413-B411</f>
        <v>139822185</v>
      </c>
      <c r="C409" s="1388" t="n">
        <f aca="false">ROUNDDOWN(B409*C410/B410,0)</f>
        <v>125343875</v>
      </c>
      <c r="D409" s="1389" t="n">
        <f aca="false">ROUNDDOWN(B409*D410/B410,0)</f>
        <v>6255061</v>
      </c>
      <c r="E409" s="1389" t="n">
        <f aca="false">ROUNDDOWN(D409*E410/D410,0)</f>
        <v>0</v>
      </c>
      <c r="F409" s="1390" t="s">
        <v>635</v>
      </c>
      <c r="G409" s="1391" t="n">
        <f aca="false">ROUNDDOWN(B409*G410/B410,0)</f>
        <v>1482880</v>
      </c>
      <c r="H409" s="1392" t="n">
        <f aca="false">ROUNDDOWN(B409*H410/B410,0)</f>
        <v>269614</v>
      </c>
      <c r="I409" s="1389" t="n">
        <f aca="false">ROUNDDOWN(B409*I410/B410,0)</f>
        <v>32353</v>
      </c>
      <c r="J409" s="1393" t="n">
        <f aca="false">B409-C409-D409-G409-H409-I409</f>
        <v>6438402</v>
      </c>
      <c r="L409" s="1394" t="n">
        <f aca="false">SUM(I409:J409)</f>
        <v>6470755</v>
      </c>
      <c r="M409" s="1536"/>
      <c r="N409" s="1536"/>
      <c r="O409" s="1536"/>
      <c r="P409" s="1536"/>
      <c r="Q409" s="1536"/>
      <c r="R409" s="1536"/>
    </row>
    <row r="410" s="1536" customFormat="true" ht="15" hidden="false" customHeight="true" outlineLevel="0" collapsed="false">
      <c r="A410" s="1529" t="s">
        <v>823</v>
      </c>
      <c r="B410" s="1530" t="n">
        <f aca="false">SUM(C410:J410)</f>
        <v>51.86</v>
      </c>
      <c r="C410" s="1531" t="n">
        <f aca="false">$C$7</f>
        <v>46.49</v>
      </c>
      <c r="D410" s="1532" t="n">
        <f aca="false">$D$7</f>
        <v>2.32</v>
      </c>
      <c r="E410" s="1532"/>
      <c r="F410" s="1533" t="s">
        <v>635</v>
      </c>
      <c r="G410" s="1534" t="n">
        <f aca="false">$G$7</f>
        <v>0.55</v>
      </c>
      <c r="H410" s="1467" t="n">
        <f aca="false">$H$7</f>
        <v>0.1</v>
      </c>
      <c r="I410" s="1468" t="n">
        <f aca="false">$I$7</f>
        <v>0.012</v>
      </c>
      <c r="J410" s="1535" t="n">
        <f aca="false">$J$7</f>
        <v>2.388</v>
      </c>
      <c r="K410" s="1404" t="s">
        <v>824</v>
      </c>
      <c r="L410" s="1405" t="n">
        <f aca="false">SUM(I410:J410)</f>
        <v>2.4</v>
      </c>
      <c r="M410" s="607"/>
      <c r="N410" s="607"/>
      <c r="O410" s="607"/>
      <c r="P410" s="607"/>
      <c r="Q410" s="607"/>
      <c r="R410" s="607"/>
    </row>
    <row r="411" customFormat="false" ht="32.25" hidden="false" customHeight="true" outlineLevel="0" collapsed="false">
      <c r="A411" s="1386" t="s">
        <v>825</v>
      </c>
      <c r="B411" s="1563" t="n">
        <v>0</v>
      </c>
      <c r="C411" s="1388" t="n">
        <f aca="false">ROUNDDOWN(B411*C412/B412,0)</f>
        <v>0</v>
      </c>
      <c r="D411" s="1407" t="n">
        <f aca="false">ROUNDDOWN(B411*D412/B412,0)</f>
        <v>0</v>
      </c>
      <c r="E411" s="1407" t="n">
        <f aca="false">ROUNDDOWN(D411*E412/D412,0)</f>
        <v>0</v>
      </c>
      <c r="F411" s="1408" t="s">
        <v>635</v>
      </c>
      <c r="G411" s="1409" t="n">
        <f aca="false">ROUNDDOWN(B411*G412/B412,0)</f>
        <v>0</v>
      </c>
      <c r="H411" s="1410" t="n">
        <f aca="false">ROUNDDOWN(B411*H412/B412,0)</f>
        <v>0</v>
      </c>
      <c r="I411" s="1411" t="n">
        <f aca="false">ROUNDDOWN(B411*I412/B412,0)</f>
        <v>0</v>
      </c>
      <c r="J411" s="1412" t="n">
        <f aca="false">B411-C411-D411-G411-H411-I411</f>
        <v>0</v>
      </c>
      <c r="K411" s="1404"/>
      <c r="L411" s="1413" t="n">
        <f aca="false">SUM(I411:J411)</f>
        <v>0</v>
      </c>
      <c r="M411" s="1406"/>
      <c r="N411" s="1406"/>
      <c r="O411" s="1406"/>
      <c r="P411" s="1406"/>
      <c r="Q411" s="1406"/>
      <c r="R411" s="1406"/>
    </row>
    <row r="412" s="1406" customFormat="true" ht="15" hidden="false" customHeight="true" outlineLevel="0" collapsed="false">
      <c r="A412" s="1537" t="s">
        <v>823</v>
      </c>
      <c r="B412" s="1474" t="n">
        <f aca="false">SUM(C412:J412)</f>
        <v>103.72</v>
      </c>
      <c r="C412" s="1538" t="n">
        <f aca="false">C410*2</f>
        <v>92.98</v>
      </c>
      <c r="D412" s="1539" t="n">
        <f aca="false">D410*2</f>
        <v>4.64</v>
      </c>
      <c r="E412" s="1539"/>
      <c r="F412" s="1540" t="s">
        <v>635</v>
      </c>
      <c r="G412" s="1541" t="n">
        <f aca="false">G410*2</f>
        <v>1.1</v>
      </c>
      <c r="H412" s="1542" t="n">
        <f aca="false">H410*2</f>
        <v>0.2</v>
      </c>
      <c r="I412" s="1543" t="n">
        <f aca="false">I410*2</f>
        <v>0.024</v>
      </c>
      <c r="J412" s="1544" t="n">
        <f aca="false">J410*2</f>
        <v>4.776</v>
      </c>
      <c r="L412" s="1423" t="n">
        <f aca="false">L410*2</f>
        <v>4.8</v>
      </c>
      <c r="M412" s="607"/>
      <c r="N412" s="607"/>
      <c r="O412" s="607"/>
      <c r="P412" s="607"/>
      <c r="Q412" s="607"/>
      <c r="R412" s="607"/>
    </row>
    <row r="413" customFormat="false" ht="30" hidden="false" customHeight="true" outlineLevel="0" collapsed="false">
      <c r="A413" s="1424" t="s">
        <v>763</v>
      </c>
      <c r="B413" s="1425" t="n">
        <f aca="false">'☆短期集計R7'!B38+'☆短期集計R7'!D38</f>
        <v>139822185</v>
      </c>
      <c r="C413" s="1426" t="n">
        <f aca="false">C409+C411</f>
        <v>125343875</v>
      </c>
      <c r="D413" s="1427" t="n">
        <f aca="false">D409+D411</f>
        <v>6255061</v>
      </c>
      <c r="E413" s="1427"/>
      <c r="F413" s="1428" t="s">
        <v>635</v>
      </c>
      <c r="G413" s="1427" t="n">
        <f aca="false">G409+G411</f>
        <v>1482880</v>
      </c>
      <c r="H413" s="1426" t="n">
        <f aca="false">H409+H411</f>
        <v>269614</v>
      </c>
      <c r="I413" s="1427" t="n">
        <f aca="false">I409+I411</f>
        <v>32353</v>
      </c>
      <c r="J413" s="1429" t="n">
        <f aca="false">J409+J411</f>
        <v>6438402</v>
      </c>
      <c r="L413" s="1430" t="n">
        <f aca="false">L409+L411</f>
        <v>6470755</v>
      </c>
      <c r="M413" s="1431"/>
      <c r="N413" s="1431"/>
      <c r="O413" s="1431"/>
      <c r="P413" s="1431"/>
      <c r="Q413" s="1431"/>
      <c r="R413" s="1431"/>
    </row>
    <row r="414" s="1431" customFormat="true" ht="20.1" hidden="false" customHeight="true" outlineLevel="0" collapsed="false">
      <c r="C414" s="1432" t="s">
        <v>826</v>
      </c>
      <c r="D414" s="1433" t="s">
        <v>827</v>
      </c>
      <c r="E414" s="1433"/>
      <c r="F414" s="1432" t="s">
        <v>828</v>
      </c>
      <c r="G414" s="1432" t="s">
        <v>829</v>
      </c>
      <c r="H414" s="1434" t="s">
        <v>830</v>
      </c>
      <c r="I414" s="1434" t="s">
        <v>831</v>
      </c>
      <c r="J414" s="1434" t="s">
        <v>832</v>
      </c>
      <c r="L414" s="1435"/>
      <c r="M414" s="1089"/>
      <c r="N414" s="1089"/>
      <c r="O414" s="1089"/>
      <c r="P414" s="1089"/>
      <c r="Q414" s="1089"/>
      <c r="R414" s="1089"/>
    </row>
    <row r="415" s="1089" customFormat="true" ht="13.5" hidden="false" customHeight="true" outlineLevel="0" collapsed="false">
      <c r="C415" s="1436"/>
      <c r="D415" s="1437"/>
      <c r="E415" s="1437"/>
      <c r="F415" s="1436"/>
      <c r="G415" s="1437"/>
      <c r="H415" s="1437"/>
      <c r="I415" s="1437"/>
      <c r="J415" s="1437"/>
      <c r="L415" s="1438"/>
      <c r="M415" s="607"/>
      <c r="N415" s="607"/>
      <c r="O415" s="607"/>
      <c r="P415" s="607"/>
      <c r="Q415" s="607"/>
      <c r="R415" s="607"/>
    </row>
    <row r="416" customFormat="false" ht="20.1" hidden="false" customHeight="true" outlineLevel="0" collapsed="false">
      <c r="A416" s="796" t="s">
        <v>238</v>
      </c>
      <c r="B416" s="1089"/>
      <c r="C416" s="1089"/>
      <c r="D416" s="1089"/>
      <c r="E416" s="1089"/>
      <c r="F416" s="1089"/>
      <c r="G416" s="1377"/>
      <c r="H416" s="1089"/>
      <c r="I416" s="1089"/>
      <c r="J416" s="1089"/>
      <c r="L416" s="1378" t="s">
        <v>812</v>
      </c>
      <c r="M416" s="945"/>
      <c r="N416" s="945"/>
      <c r="O416" s="945"/>
      <c r="P416" s="945"/>
      <c r="Q416" s="945"/>
      <c r="R416" s="945"/>
    </row>
    <row r="417" s="945" customFormat="true" ht="30" hidden="false" customHeight="true" outlineLevel="0" collapsed="false">
      <c r="A417" s="1379" t="s">
        <v>483</v>
      </c>
      <c r="B417" s="1380" t="s">
        <v>813</v>
      </c>
      <c r="C417" s="1381" t="s">
        <v>814</v>
      </c>
      <c r="D417" s="1439" t="s">
        <v>815</v>
      </c>
      <c r="E417" s="1440" t="s">
        <v>833</v>
      </c>
      <c r="F417" s="1441" t="s">
        <v>834</v>
      </c>
      <c r="G417" s="1442" t="s">
        <v>817</v>
      </c>
      <c r="H417" s="1382" t="s">
        <v>818</v>
      </c>
      <c r="I417" s="1382" t="s">
        <v>819</v>
      </c>
      <c r="J417" s="1384" t="s">
        <v>820</v>
      </c>
      <c r="L417" s="1385" t="s">
        <v>821</v>
      </c>
      <c r="M417" s="607"/>
      <c r="N417" s="607"/>
      <c r="O417" s="607"/>
      <c r="P417" s="607"/>
      <c r="Q417" s="607"/>
      <c r="R417" s="607"/>
    </row>
    <row r="418" customFormat="false" ht="32.25" hidden="false" customHeight="true" outlineLevel="0" collapsed="false">
      <c r="A418" s="1443" t="s">
        <v>852</v>
      </c>
      <c r="B418" s="1387" t="n">
        <f aca="false">B424-B420-B422</f>
        <v>117860398</v>
      </c>
      <c r="C418" s="1388" t="n">
        <f aca="false">ROUNDDOWN(B418*C419/B419,0)</f>
        <v>103912950</v>
      </c>
      <c r="D418" s="1444" t="n">
        <f aca="false">ROUNDDOWN(B418*D419/B419,0)</f>
        <v>5185589</v>
      </c>
      <c r="E418" s="1445" t="n">
        <f aca="false">ROUNDDOWN(B418*E419/B419,0)</f>
        <v>1832837</v>
      </c>
      <c r="F418" s="1446" t="n">
        <f aca="false">ROUNDDOWN(B418*F419/B419,0)</f>
        <v>111758</v>
      </c>
      <c r="G418" s="1446" t="n">
        <f aca="false">ROUNDDOWN(B418*G419/B419,0)</f>
        <v>1229342</v>
      </c>
      <c r="H418" s="1446" t="n">
        <f aca="false">ROUNDDOWN(B418*H419/B419,0)</f>
        <v>223516</v>
      </c>
      <c r="I418" s="1446" t="n">
        <f aca="false">ROUNDDOWN(B418*I419/B419,0)</f>
        <v>26822</v>
      </c>
      <c r="J418" s="1447" t="n">
        <f aca="false">B418-C418-D418-E418-F418-G418-H418-I418</f>
        <v>5337584</v>
      </c>
      <c r="L418" s="1448" t="n">
        <f aca="false">SUM(I418:J418)</f>
        <v>5364406</v>
      </c>
      <c r="M418" s="1536"/>
      <c r="N418" s="1536"/>
      <c r="O418" s="1536"/>
      <c r="P418" s="1536"/>
      <c r="Q418" s="1536"/>
      <c r="R418" s="1536"/>
    </row>
    <row r="419" s="1536" customFormat="true" ht="15" hidden="false" customHeight="true" outlineLevel="0" collapsed="false">
      <c r="A419" s="1529" t="s">
        <v>823</v>
      </c>
      <c r="B419" s="1463" t="n">
        <f aca="false">SUM(C419:J419)</f>
        <v>52.73</v>
      </c>
      <c r="C419" s="1545" t="n">
        <f aca="false">$C$16</f>
        <v>46.49</v>
      </c>
      <c r="D419" s="1465" t="n">
        <f aca="false">$D$16</f>
        <v>2.32</v>
      </c>
      <c r="E419" s="1546" t="n">
        <f aca="false">$E$16</f>
        <v>0.82</v>
      </c>
      <c r="F419" s="1547" t="n">
        <f aca="false">$F$16</f>
        <v>0.05</v>
      </c>
      <c r="G419" s="1547" t="n">
        <f aca="false">$G$16</f>
        <v>0.55</v>
      </c>
      <c r="H419" s="1548" t="n">
        <f aca="false">$H$16</f>
        <v>0.1</v>
      </c>
      <c r="I419" s="1549" t="n">
        <f aca="false">$I$16</f>
        <v>0.012</v>
      </c>
      <c r="J419" s="1550" t="n">
        <f aca="false">$J$16</f>
        <v>2.388</v>
      </c>
      <c r="K419" s="1406"/>
      <c r="L419" s="1457" t="n">
        <f aca="false">SUM(I419:J419)</f>
        <v>2.4</v>
      </c>
      <c r="M419" s="607"/>
      <c r="N419" s="607"/>
      <c r="O419" s="607"/>
      <c r="P419" s="607"/>
      <c r="Q419" s="607"/>
      <c r="R419" s="607"/>
    </row>
    <row r="420" customFormat="false" ht="32.25" hidden="false" customHeight="true" outlineLevel="0" collapsed="false">
      <c r="A420" s="1386" t="s">
        <v>836</v>
      </c>
      <c r="B420" s="1387" t="n">
        <f aca="false">'☆掛負収入'!I891+'☆掛負収入'!I892</f>
        <v>27954278</v>
      </c>
      <c r="C420" s="1388" t="n">
        <f aca="false">ROUNDDOWN((B420-E420)/B421*C421,0)</f>
        <v>25031502</v>
      </c>
      <c r="D420" s="1458" t="n">
        <f aca="false">ROUNDDOWN((B420-E420)/B421*D421,0)</f>
        <v>1249152</v>
      </c>
      <c r="E420" s="1459" t="n">
        <f aca="false">ROUNDDOWN(B431*E405/1000,0)</f>
        <v>4497</v>
      </c>
      <c r="F420" s="1388" t="n">
        <f aca="false">ROUNDDOWN((B420-E420)/B421*F421,0)</f>
        <v>26921</v>
      </c>
      <c r="G420" s="1388" t="n">
        <f aca="false">ROUNDDOWN((B420-E420)/B421*G421,0)</f>
        <v>296135</v>
      </c>
      <c r="H420" s="1409" t="n">
        <f aca="false">ROUNDDOWN((B420-E420)/B421*H421,0)</f>
        <v>53842</v>
      </c>
      <c r="I420" s="1409" t="n">
        <f aca="false">ROUNDDOWN((B420-E420)/B421*I421,0)</f>
        <v>6461</v>
      </c>
      <c r="J420" s="1460" t="n">
        <f aca="false">B420-C420-D420-E420-F420-G420-H420-I420</f>
        <v>1285768</v>
      </c>
      <c r="K420" s="1404" t="s">
        <v>824</v>
      </c>
      <c r="L420" s="1461" t="n">
        <f aca="false">SUM(I420:J420)</f>
        <v>1292229</v>
      </c>
      <c r="M420" s="1406"/>
      <c r="N420" s="1406"/>
      <c r="O420" s="1406"/>
      <c r="P420" s="1406"/>
      <c r="Q420" s="1406"/>
      <c r="R420" s="1406"/>
    </row>
    <row r="421" s="1406" customFormat="true" ht="15" hidden="false" customHeight="true" outlineLevel="0" collapsed="false">
      <c r="A421" s="1551" t="s">
        <v>823</v>
      </c>
      <c r="B421" s="1463" t="n">
        <f aca="false">SUM(C421:J421)</f>
        <v>51.91</v>
      </c>
      <c r="C421" s="1464" t="n">
        <f aca="false">C419</f>
        <v>46.49</v>
      </c>
      <c r="D421" s="1465" t="n">
        <f aca="false">D419</f>
        <v>2.32</v>
      </c>
      <c r="E421" s="1466" t="s">
        <v>837</v>
      </c>
      <c r="F421" s="1467" t="n">
        <f aca="false">F419</f>
        <v>0.05</v>
      </c>
      <c r="G421" s="1467" t="n">
        <f aca="false">G419</f>
        <v>0.55</v>
      </c>
      <c r="H421" s="1468" t="n">
        <f aca="false">H419</f>
        <v>0.1</v>
      </c>
      <c r="I421" s="1469" t="n">
        <f aca="false">I419</f>
        <v>0.012</v>
      </c>
      <c r="J421" s="1470" t="n">
        <f aca="false">J419</f>
        <v>2.388</v>
      </c>
      <c r="K421" s="1404"/>
      <c r="L421" s="1471" t="n">
        <f aca="false">SUM(I421:J421)</f>
        <v>2.4</v>
      </c>
      <c r="M421" s="607"/>
      <c r="N421" s="607"/>
      <c r="O421" s="607"/>
      <c r="P421" s="607"/>
      <c r="Q421" s="607"/>
      <c r="R421" s="607"/>
    </row>
    <row r="422" customFormat="false" ht="32.25" hidden="false" customHeight="true" outlineLevel="0" collapsed="false">
      <c r="A422" s="1472" t="s">
        <v>838</v>
      </c>
      <c r="B422" s="1387" t="n">
        <f aca="false">'☆掛負収入'!I908+E422</f>
        <v>15010</v>
      </c>
      <c r="C422" s="1388" t="n">
        <f aca="false">ROUNDDOWN((B422-E422)/B423*C423,0)</f>
        <v>13374</v>
      </c>
      <c r="D422" s="1458" t="n">
        <f aca="false">ROUNDDOWN((B422-E422)/B423*D423,0)</f>
        <v>667</v>
      </c>
      <c r="E422" s="1473" t="n">
        <f aca="false">'☆労組公的負担（短期）'!F19</f>
        <v>76</v>
      </c>
      <c r="F422" s="1388" t="n">
        <f aca="false">ROUNDDOWN((B422-E422)/B423*F423,0)</f>
        <v>14</v>
      </c>
      <c r="G422" s="1388" t="n">
        <f aca="false">ROUNDDOWN((B422-E422)/B423*G423,0)</f>
        <v>158</v>
      </c>
      <c r="H422" s="1409" t="n">
        <f aca="false">H424-H418-H420</f>
        <v>31</v>
      </c>
      <c r="I422" s="1409" t="n">
        <f aca="false">I424-I418-I420</f>
        <v>5</v>
      </c>
      <c r="J422" s="1460" t="n">
        <f aca="false">B422-C422-D422-E422-F422-G422-H422-I422</f>
        <v>685</v>
      </c>
      <c r="L422" s="1461" t="n">
        <f aca="false">SUM(I422:J422)</f>
        <v>690</v>
      </c>
      <c r="M422" s="1406"/>
      <c r="N422" s="1406"/>
      <c r="O422" s="1406"/>
      <c r="P422" s="1406"/>
      <c r="Q422" s="1406"/>
      <c r="R422" s="1406"/>
    </row>
    <row r="423" s="1406" customFormat="true" ht="15" hidden="false" customHeight="true" outlineLevel="0" collapsed="false">
      <c r="A423" s="1537" t="s">
        <v>823</v>
      </c>
      <c r="B423" s="1474" t="n">
        <f aca="false">SUM(C423:J423)</f>
        <v>51.91</v>
      </c>
      <c r="C423" s="1464" t="n">
        <f aca="false">C419</f>
        <v>46.49</v>
      </c>
      <c r="D423" s="1465" t="n">
        <f aca="false">D419</f>
        <v>2.32</v>
      </c>
      <c r="E423" s="1475" t="s">
        <v>839</v>
      </c>
      <c r="F423" s="1476" t="n">
        <f aca="false">F419</f>
        <v>0.05</v>
      </c>
      <c r="G423" s="1476" t="n">
        <f aca="false">G419</f>
        <v>0.55</v>
      </c>
      <c r="H423" s="1477" t="n">
        <f aca="false">H419</f>
        <v>0.1</v>
      </c>
      <c r="I423" s="1478" t="n">
        <f aca="false">I419</f>
        <v>0.012</v>
      </c>
      <c r="J423" s="1479" t="n">
        <f aca="false">J419</f>
        <v>2.388</v>
      </c>
      <c r="L423" s="1480" t="n">
        <f aca="false">SUM(I423:J423)</f>
        <v>2.4</v>
      </c>
      <c r="M423" s="607"/>
      <c r="N423" s="607"/>
      <c r="O423" s="607"/>
      <c r="P423" s="607"/>
      <c r="Q423" s="607"/>
      <c r="R423" s="607"/>
    </row>
    <row r="424" customFormat="false" ht="30" hidden="false" customHeight="true" outlineLevel="0" collapsed="false">
      <c r="A424" s="1424" t="s">
        <v>763</v>
      </c>
      <c r="B424" s="1481" t="n">
        <f aca="false">'☆掛負収入'!I910</f>
        <v>145829686</v>
      </c>
      <c r="C424" s="1482" t="n">
        <f aca="false">C418+C420+C422</f>
        <v>128957826</v>
      </c>
      <c r="D424" s="1483" t="n">
        <f aca="false">D418+D420+D422</f>
        <v>6435408</v>
      </c>
      <c r="E424" s="1484" t="n">
        <f aca="false">E418+E420+E422</f>
        <v>1837410</v>
      </c>
      <c r="F424" s="1485" t="n">
        <f aca="false">F418+F420+F422</f>
        <v>138693</v>
      </c>
      <c r="G424" s="1485" t="n">
        <f aca="false">G418+G420+G422</f>
        <v>1525635</v>
      </c>
      <c r="H424" s="1485" t="n">
        <f aca="false">ROUNDDOWN((B429+B460)*H405/1000,0)-H460-H413</f>
        <v>277389</v>
      </c>
      <c r="I424" s="1485" t="n">
        <f aca="false">ROUNDDOWN((B429+B460)*I405/1000,0)-H462-I413</f>
        <v>33288</v>
      </c>
      <c r="J424" s="1552" t="n">
        <f aca="false">J418+J420+J422</f>
        <v>6624037</v>
      </c>
      <c r="L424" s="1488" t="n">
        <f aca="false">SUM(I424:J424)</f>
        <v>6657325</v>
      </c>
      <c r="M424" s="1432"/>
      <c r="N424" s="1432"/>
      <c r="O424" s="1432"/>
      <c r="P424" s="1432"/>
      <c r="Q424" s="1432"/>
      <c r="R424" s="1432"/>
    </row>
    <row r="425" s="1432" customFormat="true" ht="20.1" hidden="false" customHeight="true" outlineLevel="0" collapsed="false">
      <c r="C425" s="1432" t="s">
        <v>826</v>
      </c>
      <c r="D425" s="1432" t="s">
        <v>827</v>
      </c>
      <c r="E425" s="1432" t="s">
        <v>827</v>
      </c>
      <c r="F425" s="1432" t="s">
        <v>828</v>
      </c>
      <c r="G425" s="1432" t="s">
        <v>829</v>
      </c>
      <c r="H425" s="1432" t="s">
        <v>830</v>
      </c>
      <c r="I425" s="1432" t="s">
        <v>831</v>
      </c>
      <c r="J425" s="1432" t="s">
        <v>832</v>
      </c>
      <c r="L425" s="1489"/>
      <c r="M425" s="789"/>
      <c r="N425" s="789"/>
      <c r="O425" s="789"/>
      <c r="P425" s="789"/>
      <c r="Q425" s="789"/>
      <c r="R425" s="789"/>
    </row>
    <row r="426" s="789" customFormat="true" ht="18.75" hidden="false" customHeight="true" outlineLevel="0" collapsed="false">
      <c r="A426" s="1490" t="s">
        <v>840</v>
      </c>
      <c r="B426" s="1491" t="n">
        <f aca="false">B413+B424</f>
        <v>285651871</v>
      </c>
      <c r="C426" s="1492"/>
      <c r="D426" s="1492"/>
      <c r="E426" s="1492"/>
      <c r="K426" s="1367"/>
    </row>
    <row r="427" s="789" customFormat="true" ht="18.75" hidden="false" customHeight="true" outlineLevel="0" collapsed="false">
      <c r="A427" s="1502"/>
      <c r="B427" s="1495"/>
      <c r="C427" s="1496" t="s">
        <v>841</v>
      </c>
      <c r="D427" s="1497"/>
      <c r="E427" s="1498"/>
      <c r="F427" s="1499" t="s">
        <v>842</v>
      </c>
      <c r="G427" s="1498"/>
      <c r="H427" s="1500" t="n">
        <f aca="false">G413+G424</f>
        <v>3008515</v>
      </c>
      <c r="I427" s="1501" t="s">
        <v>544</v>
      </c>
      <c r="K427" s="1367"/>
    </row>
    <row r="428" s="789" customFormat="true" ht="18.75" hidden="false" customHeight="true" outlineLevel="0" collapsed="false">
      <c r="A428" s="1502" t="s">
        <v>843</v>
      </c>
      <c r="B428" s="1503"/>
      <c r="C428" s="1504"/>
      <c r="D428" s="1505"/>
      <c r="E428" s="1500" t="n">
        <f aca="false">C413+C424</f>
        <v>254301701</v>
      </c>
      <c r="F428" s="1506" t="str">
        <f aca="false">IF(H427=('☆拠出金明細R7'!V115-H458),"　","明細と不一致!")</f>
        <v>　</v>
      </c>
      <c r="G428" s="1507" t="n">
        <f aca="false">B429</f>
        <v>2735014000</v>
      </c>
      <c r="H428" s="1508" t="n">
        <f aca="false">G405</f>
        <v>1.1</v>
      </c>
      <c r="I428" s="1500"/>
      <c r="K428" s="1367"/>
    </row>
    <row r="429" s="789" customFormat="true" ht="18.75" hidden="false" customHeight="true" outlineLevel="0" collapsed="false">
      <c r="A429" s="1509" t="s">
        <v>690</v>
      </c>
      <c r="B429" s="1510" t="n">
        <f aca="false">ROUNDUP(((H427+H458)/G405*1000)-B460,-3)</f>
        <v>2735014000</v>
      </c>
      <c r="C429" s="1496" t="s">
        <v>844</v>
      </c>
      <c r="D429" s="1497"/>
      <c r="E429" s="1511"/>
      <c r="F429" s="1499" t="s">
        <v>845</v>
      </c>
      <c r="G429" s="1498"/>
      <c r="H429" s="1500" t="n">
        <f aca="false">H413+H424</f>
        <v>547003</v>
      </c>
      <c r="I429" s="1094" t="s">
        <v>545</v>
      </c>
      <c r="K429" s="1367"/>
      <c r="L429" s="1406"/>
      <c r="M429" s="1406"/>
      <c r="N429" s="1406"/>
      <c r="O429" s="1406"/>
      <c r="P429" s="1406"/>
      <c r="Q429" s="1406"/>
    </row>
    <row r="430" s="1406" customFormat="true" ht="18.75" hidden="false" customHeight="true" outlineLevel="0" collapsed="false">
      <c r="A430" s="1509"/>
      <c r="B430" s="1510"/>
      <c r="C430" s="1512"/>
      <c r="D430" s="1505"/>
      <c r="E430" s="1500" t="n">
        <f aca="false">D413+D424+E424</f>
        <v>14527879</v>
      </c>
      <c r="F430" s="1506" t="str">
        <f aca="false">IF(H429=('☆拠出金明細R7'!AD114-H460),"　","明細と不一致!")</f>
        <v>　</v>
      </c>
      <c r="G430" s="1507" t="n">
        <f aca="false">B429</f>
        <v>2735014000</v>
      </c>
      <c r="H430" s="1508" t="n">
        <f aca="false">H405</f>
        <v>0.2</v>
      </c>
      <c r="I430" s="1094"/>
      <c r="K430" s="1513"/>
      <c r="L430" s="607"/>
      <c r="M430" s="607"/>
      <c r="N430" s="607"/>
      <c r="O430" s="607"/>
      <c r="P430" s="607"/>
      <c r="Q430" s="607"/>
    </row>
    <row r="431" customFormat="false" ht="18.75" hidden="false" customHeight="true" outlineLevel="0" collapsed="false">
      <c r="A431" s="1514" t="s">
        <v>859</v>
      </c>
      <c r="B431" s="1515" t="n">
        <v>5485000</v>
      </c>
      <c r="C431" s="1516" t="s">
        <v>847</v>
      </c>
      <c r="D431" s="1518"/>
      <c r="E431" s="1498"/>
      <c r="F431" s="1518" t="s">
        <v>848</v>
      </c>
      <c r="G431" s="1497"/>
      <c r="H431" s="1500" t="n">
        <f aca="false">I413+I424</f>
        <v>65641</v>
      </c>
      <c r="I431" s="1094" t="s">
        <v>546</v>
      </c>
      <c r="K431" s="1362"/>
      <c r="L431" s="607"/>
    </row>
    <row r="432" customFormat="false" ht="18.75" hidden="false" customHeight="true" outlineLevel="0" collapsed="false">
      <c r="A432" s="1514"/>
      <c r="B432" s="1515"/>
      <c r="C432" s="1519"/>
      <c r="D432" s="1506" t="str">
        <f aca="false">IF(E432=('☆拠出金明細R7'!K115-E463),"　","明細と不一致!")</f>
        <v>　</v>
      </c>
      <c r="E432" s="1500" t="n">
        <f aca="false">F424</f>
        <v>138693</v>
      </c>
      <c r="F432" s="1506" t="str">
        <f aca="false">IF(H431=('☆拠出金明細R7'!AN115-H462),"　","明細と不一致!")</f>
        <v>　</v>
      </c>
      <c r="G432" s="1507" t="n">
        <f aca="false">B429</f>
        <v>2735014000</v>
      </c>
      <c r="H432" s="1520" t="n">
        <f aca="false">I405</f>
        <v>0.024</v>
      </c>
      <c r="K432" s="1362"/>
      <c r="L432" s="607"/>
    </row>
    <row r="433" customFormat="false" ht="18.75" hidden="false" customHeight="true" outlineLevel="0" collapsed="false">
      <c r="A433" s="1278"/>
      <c r="B433" s="1521"/>
      <c r="C433" s="1516" t="s">
        <v>849</v>
      </c>
      <c r="D433" s="1518"/>
      <c r="E433" s="1522"/>
      <c r="F433" s="1523" t="s">
        <v>850</v>
      </c>
      <c r="G433" s="1523"/>
      <c r="H433" s="1523"/>
      <c r="K433" s="1362"/>
      <c r="L433" s="607"/>
    </row>
    <row r="434" customFormat="false" ht="18.75" hidden="false" customHeight="true" outlineLevel="0" collapsed="false">
      <c r="A434" s="1278"/>
      <c r="B434" s="1521"/>
      <c r="C434" s="1524"/>
      <c r="D434" s="1511"/>
      <c r="E434" s="1500" t="n">
        <f aca="false">J413+J424</f>
        <v>13062439</v>
      </c>
      <c r="F434" s="1523"/>
      <c r="G434" s="1523"/>
      <c r="H434" s="1523"/>
      <c r="I434" s="1560"/>
      <c r="K434" s="1362"/>
      <c r="L434" s="789"/>
      <c r="M434" s="789"/>
      <c r="N434" s="789"/>
      <c r="O434" s="789"/>
      <c r="P434" s="789"/>
      <c r="Q434" s="789"/>
    </row>
    <row r="435" s="789" customFormat="true" ht="26.25" hidden="false" customHeight="true" outlineLevel="0" collapsed="false">
      <c r="A435" s="1363" t="n">
        <f aca="false">A404</f>
        <v>46477</v>
      </c>
      <c r="B435" s="1364" t="s">
        <v>801</v>
      </c>
      <c r="C435" s="1365" t="s">
        <v>802</v>
      </c>
      <c r="D435" s="1130" t="s">
        <v>803</v>
      </c>
      <c r="E435" s="1130" t="s">
        <v>804</v>
      </c>
      <c r="F435" s="1130" t="s">
        <v>805</v>
      </c>
      <c r="G435" s="1130" t="s">
        <v>806</v>
      </c>
      <c r="H435" s="1130" t="s">
        <v>807</v>
      </c>
      <c r="I435" s="1130" t="s">
        <v>808</v>
      </c>
      <c r="J435" s="1366"/>
      <c r="L435" s="1367"/>
      <c r="M435" s="1369"/>
      <c r="N435" s="1369"/>
      <c r="O435" s="1369"/>
      <c r="P435" s="1369"/>
      <c r="Q435" s="1369"/>
      <c r="R435" s="1369"/>
    </row>
    <row r="436" s="1369" customFormat="true" ht="26.25" hidden="false" customHeight="true" outlineLevel="0" collapsed="false">
      <c r="A436" s="1368"/>
      <c r="C436" s="1365"/>
      <c r="D436" s="1526" t="n">
        <f aca="false">$D$2</f>
        <v>4.64</v>
      </c>
      <c r="E436" s="1527" t="n">
        <f aca="false">$E$2</f>
        <v>0.82</v>
      </c>
      <c r="F436" s="1527" t="n">
        <f aca="false">$F$2</f>
        <v>0.05</v>
      </c>
      <c r="G436" s="1527" t="n">
        <f aca="false">$G$2</f>
        <v>1.1</v>
      </c>
      <c r="H436" s="1527" t="n">
        <f aca="false">$H$2</f>
        <v>0.2</v>
      </c>
      <c r="I436" s="1527" t="n">
        <f aca="false">$I$2</f>
        <v>0.024</v>
      </c>
      <c r="J436" s="1373"/>
      <c r="L436" s="1374"/>
      <c r="M436" s="607"/>
      <c r="N436" s="607"/>
      <c r="O436" s="607"/>
      <c r="P436" s="607"/>
      <c r="Q436" s="607"/>
      <c r="R436" s="607"/>
    </row>
    <row r="437" customFormat="false" ht="13.9" hidden="false" customHeight="true" outlineLevel="0" collapsed="false">
      <c r="C437" s="1366"/>
      <c r="D437" s="1366"/>
      <c r="E437" s="1366"/>
      <c r="F437" s="1528"/>
      <c r="G437" s="1366"/>
      <c r="H437" s="1366"/>
      <c r="I437" s="1366"/>
      <c r="J437" s="1366"/>
    </row>
    <row r="438" customFormat="false" ht="20.1" hidden="false" customHeight="true" outlineLevel="0" collapsed="false">
      <c r="A438" s="796" t="s">
        <v>811</v>
      </c>
      <c r="G438" s="1377"/>
      <c r="L438" s="1378" t="s">
        <v>812</v>
      </c>
      <c r="M438" s="1222"/>
      <c r="N438" s="1222"/>
      <c r="O438" s="1222"/>
      <c r="P438" s="1222"/>
      <c r="Q438" s="1222"/>
      <c r="R438" s="1222"/>
    </row>
    <row r="439" s="1222" customFormat="true" ht="30" hidden="false" customHeight="true" outlineLevel="0" collapsed="false">
      <c r="A439" s="1379" t="s">
        <v>483</v>
      </c>
      <c r="B439" s="1380" t="s">
        <v>813</v>
      </c>
      <c r="C439" s="1381" t="s">
        <v>814</v>
      </c>
      <c r="D439" s="1382" t="s">
        <v>815</v>
      </c>
      <c r="E439" s="1382"/>
      <c r="F439" s="1383" t="s">
        <v>816</v>
      </c>
      <c r="G439" s="1382" t="s">
        <v>817</v>
      </c>
      <c r="H439" s="1382" t="s">
        <v>818</v>
      </c>
      <c r="I439" s="1382" t="s">
        <v>819</v>
      </c>
      <c r="J439" s="1384" t="s">
        <v>820</v>
      </c>
      <c r="L439" s="1385" t="s">
        <v>821</v>
      </c>
      <c r="M439" s="607"/>
      <c r="N439" s="607"/>
      <c r="O439" s="607"/>
      <c r="P439" s="607"/>
      <c r="Q439" s="607"/>
      <c r="R439" s="607"/>
    </row>
    <row r="440" customFormat="false" ht="32.25" hidden="false" customHeight="true" outlineLevel="0" collapsed="false">
      <c r="A440" s="1386" t="s">
        <v>822</v>
      </c>
      <c r="B440" s="1387" t="n">
        <f aca="false">B444-B442</f>
        <v>355674806</v>
      </c>
      <c r="C440" s="1388" t="n">
        <f aca="false">ROUNDDOWN(B440*C441/B441,0)</f>
        <v>318845386</v>
      </c>
      <c r="D440" s="1389" t="n">
        <f aca="false">ROUNDDOWN(B440*D441/B441,0)</f>
        <v>15911406</v>
      </c>
      <c r="E440" s="1389" t="n">
        <f aca="false">ROUNDDOWN(D440*E441/D441,0)</f>
        <v>0</v>
      </c>
      <c r="F440" s="1390" t="s">
        <v>635</v>
      </c>
      <c r="G440" s="1391" t="n">
        <f aca="false">ROUNDDOWN(B440*G441/B441,0)</f>
        <v>3772100</v>
      </c>
      <c r="H440" s="1392" t="n">
        <f aca="false">ROUNDDOWN(B440*H441/B441,0)</f>
        <v>685836</v>
      </c>
      <c r="I440" s="1389" t="n">
        <f aca="false">ROUNDDOWN(B440*I441/B441,0)</f>
        <v>82300</v>
      </c>
      <c r="J440" s="1393" t="n">
        <f aca="false">B440-C440-D440-G440-H440-I440</f>
        <v>16377778</v>
      </c>
      <c r="L440" s="1394" t="n">
        <f aca="false">SUM(I440:J440)</f>
        <v>16460078</v>
      </c>
      <c r="M440" s="1536"/>
      <c r="N440" s="1536"/>
      <c r="O440" s="1536"/>
      <c r="P440" s="1536"/>
      <c r="Q440" s="1536"/>
      <c r="R440" s="1536"/>
    </row>
    <row r="441" s="1536" customFormat="true" ht="15" hidden="false" customHeight="true" outlineLevel="0" collapsed="false">
      <c r="A441" s="1529" t="s">
        <v>823</v>
      </c>
      <c r="B441" s="1530" t="n">
        <f aca="false">SUM(C441:J441)</f>
        <v>51.86</v>
      </c>
      <c r="C441" s="1531" t="n">
        <f aca="false">$C$7</f>
        <v>46.49</v>
      </c>
      <c r="D441" s="1532" t="n">
        <f aca="false">$D$7</f>
        <v>2.32</v>
      </c>
      <c r="E441" s="1532"/>
      <c r="F441" s="1533" t="s">
        <v>635</v>
      </c>
      <c r="G441" s="1534" t="n">
        <f aca="false">$G$7</f>
        <v>0.55</v>
      </c>
      <c r="H441" s="1467" t="n">
        <f aca="false">$H$7</f>
        <v>0.1</v>
      </c>
      <c r="I441" s="1468" t="n">
        <f aca="false">$I$7</f>
        <v>0.012</v>
      </c>
      <c r="J441" s="1535" t="n">
        <f aca="false">$J$7</f>
        <v>2.388</v>
      </c>
      <c r="K441" s="1404" t="s">
        <v>824</v>
      </c>
      <c r="L441" s="1405" t="n">
        <f aca="false">SUM(I441:J441)</f>
        <v>2.4</v>
      </c>
      <c r="M441" s="607"/>
      <c r="N441" s="607"/>
      <c r="O441" s="607"/>
      <c r="P441" s="607"/>
      <c r="Q441" s="607"/>
      <c r="R441" s="607"/>
    </row>
    <row r="442" customFormat="false" ht="32.25" hidden="false" customHeight="true" outlineLevel="0" collapsed="false">
      <c r="A442" s="1386" t="s">
        <v>825</v>
      </c>
      <c r="B442" s="1387" t="n">
        <f aca="false">'☆短期集計R7'!D39</f>
        <v>112219</v>
      </c>
      <c r="C442" s="1388" t="n">
        <f aca="false">ROUNDDOWN(B442*C443/B443,0)</f>
        <v>100598</v>
      </c>
      <c r="D442" s="1407" t="n">
        <f aca="false">ROUNDDOWN(B442*D443/B443,0)</f>
        <v>5020</v>
      </c>
      <c r="E442" s="1407" t="n">
        <f aca="false">ROUNDDOWN(D442*E443/D443,0)</f>
        <v>0</v>
      </c>
      <c r="F442" s="1408" t="s">
        <v>635</v>
      </c>
      <c r="G442" s="1409" t="n">
        <f aca="false">ROUNDDOWN(B442*G443/B443,0)</f>
        <v>1190</v>
      </c>
      <c r="H442" s="1410" t="n">
        <f aca="false">ROUNDDOWN(B442*H443/B443,0)</f>
        <v>216</v>
      </c>
      <c r="I442" s="1411" t="n">
        <f aca="false">ROUNDDOWN(B442*I443/B443,0)</f>
        <v>25</v>
      </c>
      <c r="J442" s="1412" t="n">
        <f aca="false">B442-C442-D442-G442-H442-I442</f>
        <v>5170</v>
      </c>
      <c r="K442" s="1404"/>
      <c r="L442" s="1413" t="n">
        <f aca="false">SUM(I442:J442)</f>
        <v>5195</v>
      </c>
      <c r="M442" s="1406"/>
      <c r="N442" s="1406"/>
      <c r="O442" s="1406"/>
      <c r="P442" s="1406"/>
      <c r="Q442" s="1406"/>
      <c r="R442" s="1406"/>
    </row>
    <row r="443" s="1406" customFormat="true" ht="15" hidden="false" customHeight="true" outlineLevel="0" collapsed="false">
      <c r="A443" s="1537" t="s">
        <v>823</v>
      </c>
      <c r="B443" s="1474" t="n">
        <f aca="false">SUM(C443:J443)</f>
        <v>103.72</v>
      </c>
      <c r="C443" s="1538" t="n">
        <f aca="false">C441*2</f>
        <v>92.98</v>
      </c>
      <c r="D443" s="1539" t="n">
        <f aca="false">D441*2</f>
        <v>4.64</v>
      </c>
      <c r="E443" s="1539"/>
      <c r="F443" s="1540" t="s">
        <v>635</v>
      </c>
      <c r="G443" s="1541" t="n">
        <f aca="false">G441*2</f>
        <v>1.1</v>
      </c>
      <c r="H443" s="1542" t="n">
        <f aca="false">H441*2</f>
        <v>0.2</v>
      </c>
      <c r="I443" s="1543" t="n">
        <f aca="false">I441*2</f>
        <v>0.024</v>
      </c>
      <c r="J443" s="1544" t="n">
        <f aca="false">J441*2</f>
        <v>4.776</v>
      </c>
      <c r="L443" s="1423" t="n">
        <f aca="false">L441*2</f>
        <v>4.8</v>
      </c>
      <c r="M443" s="607"/>
      <c r="N443" s="607"/>
      <c r="O443" s="607"/>
      <c r="P443" s="607"/>
      <c r="Q443" s="607"/>
      <c r="R443" s="607"/>
    </row>
    <row r="444" customFormat="false" ht="30" hidden="false" customHeight="true" outlineLevel="0" collapsed="false">
      <c r="A444" s="1424" t="s">
        <v>763</v>
      </c>
      <c r="B444" s="1425" t="n">
        <f aca="false">'☆短期集計R7'!B39+'☆短期集計R7'!D39</f>
        <v>355787025</v>
      </c>
      <c r="C444" s="1426" t="n">
        <f aca="false">C440+C442</f>
        <v>318945984</v>
      </c>
      <c r="D444" s="1427" t="n">
        <f aca="false">D440+D442</f>
        <v>15916426</v>
      </c>
      <c r="E444" s="1427"/>
      <c r="F444" s="1428" t="s">
        <v>635</v>
      </c>
      <c r="G444" s="1427" t="n">
        <f aca="false">G440+G442</f>
        <v>3773290</v>
      </c>
      <c r="H444" s="1426" t="n">
        <f aca="false">H440+H442</f>
        <v>686052</v>
      </c>
      <c r="I444" s="1427" t="n">
        <f aca="false">I440+I442</f>
        <v>82325</v>
      </c>
      <c r="J444" s="1429" t="n">
        <f aca="false">J440+J442</f>
        <v>16382948</v>
      </c>
      <c r="L444" s="1430" t="n">
        <f aca="false">L440+L442</f>
        <v>16465273</v>
      </c>
      <c r="M444" s="1431"/>
      <c r="N444" s="1431"/>
      <c r="O444" s="1431"/>
      <c r="P444" s="1431"/>
      <c r="Q444" s="1431"/>
      <c r="R444" s="1431"/>
    </row>
    <row r="445" s="1431" customFormat="true" ht="20.1" hidden="false" customHeight="true" outlineLevel="0" collapsed="false">
      <c r="C445" s="1432" t="s">
        <v>826</v>
      </c>
      <c r="D445" s="1433" t="s">
        <v>827</v>
      </c>
      <c r="E445" s="1433"/>
      <c r="F445" s="1432" t="s">
        <v>828</v>
      </c>
      <c r="G445" s="1432" t="s">
        <v>829</v>
      </c>
      <c r="H445" s="1434" t="s">
        <v>830</v>
      </c>
      <c r="I445" s="1434" t="s">
        <v>831</v>
      </c>
      <c r="J445" s="1434" t="s">
        <v>832</v>
      </c>
      <c r="L445" s="1435"/>
      <c r="M445" s="1089"/>
      <c r="N445" s="1089"/>
      <c r="O445" s="1089"/>
      <c r="P445" s="1089"/>
      <c r="Q445" s="1089"/>
      <c r="R445" s="1089"/>
    </row>
    <row r="446" s="1089" customFormat="true" ht="13.5" hidden="false" customHeight="true" outlineLevel="0" collapsed="false">
      <c r="C446" s="1436"/>
      <c r="D446" s="1437"/>
      <c r="E446" s="1437"/>
      <c r="F446" s="1436"/>
      <c r="G446" s="1437"/>
      <c r="H446" s="1437"/>
      <c r="I446" s="1437"/>
      <c r="J446" s="1437"/>
      <c r="L446" s="1438"/>
      <c r="M446" s="607"/>
      <c r="N446" s="607"/>
      <c r="O446" s="607"/>
      <c r="P446" s="607"/>
      <c r="Q446" s="607"/>
      <c r="R446" s="607"/>
    </row>
    <row r="447" customFormat="false" ht="20.1" hidden="false" customHeight="true" outlineLevel="0" collapsed="false">
      <c r="A447" s="796" t="s">
        <v>238</v>
      </c>
      <c r="B447" s="1089"/>
      <c r="C447" s="1089"/>
      <c r="D447" s="1089"/>
      <c r="E447" s="1089"/>
      <c r="F447" s="1089"/>
      <c r="G447" s="1377"/>
      <c r="H447" s="1089"/>
      <c r="I447" s="1089"/>
      <c r="J447" s="1089"/>
      <c r="L447" s="1378" t="s">
        <v>812</v>
      </c>
      <c r="M447" s="945"/>
      <c r="N447" s="945"/>
      <c r="O447" s="945"/>
      <c r="P447" s="945"/>
      <c r="Q447" s="945"/>
      <c r="R447" s="945"/>
    </row>
    <row r="448" s="945" customFormat="true" ht="30" hidden="false" customHeight="true" outlineLevel="0" collapsed="false">
      <c r="A448" s="1379" t="s">
        <v>483</v>
      </c>
      <c r="B448" s="1380" t="s">
        <v>813</v>
      </c>
      <c r="C448" s="1381" t="s">
        <v>814</v>
      </c>
      <c r="D448" s="1439" t="s">
        <v>815</v>
      </c>
      <c r="E448" s="1440" t="s">
        <v>833</v>
      </c>
      <c r="F448" s="1441" t="s">
        <v>834</v>
      </c>
      <c r="G448" s="1442" t="s">
        <v>817</v>
      </c>
      <c r="H448" s="1382" t="s">
        <v>818</v>
      </c>
      <c r="I448" s="1382" t="s">
        <v>819</v>
      </c>
      <c r="J448" s="1384" t="s">
        <v>820</v>
      </c>
      <c r="L448" s="1385" t="s">
        <v>821</v>
      </c>
      <c r="M448" s="607"/>
      <c r="N448" s="607"/>
      <c r="O448" s="607"/>
      <c r="P448" s="607"/>
      <c r="Q448" s="607"/>
      <c r="R448" s="607"/>
    </row>
    <row r="449" customFormat="false" ht="32.25" hidden="false" customHeight="true" outlineLevel="0" collapsed="false">
      <c r="A449" s="1443" t="s">
        <v>852</v>
      </c>
      <c r="B449" s="1387" t="n">
        <f aca="false">B455-B451-B453</f>
        <v>264253888</v>
      </c>
      <c r="C449" s="1388" t="n">
        <f aca="false">ROUNDDOWN(B449*C450/B450,0)</f>
        <v>232982424</v>
      </c>
      <c r="D449" s="1444" t="n">
        <f aca="false">ROUNDDOWN(B449*D450/B450,0)</f>
        <v>11626569</v>
      </c>
      <c r="E449" s="1445" t="n">
        <f aca="false">ROUNDDOWN(B449*E450/B450,0)</f>
        <v>4109391</v>
      </c>
      <c r="F449" s="1446" t="n">
        <f aca="false">ROUNDDOWN(B449*F450/B450,0)</f>
        <v>250572</v>
      </c>
      <c r="G449" s="1446" t="n">
        <f aca="false">ROUNDDOWN(B449*G450/B450,0)</f>
        <v>2756298</v>
      </c>
      <c r="H449" s="1446" t="n">
        <f aca="false">ROUNDDOWN(B449*H450/B450,0)</f>
        <v>501145</v>
      </c>
      <c r="I449" s="1446" t="n">
        <f aca="false">ROUNDDOWN(B449*I450/B450,0)</f>
        <v>60137</v>
      </c>
      <c r="J449" s="1447" t="n">
        <f aca="false">B449-C449-D449-E449-F449-G449-H449-I449</f>
        <v>11967352</v>
      </c>
      <c r="L449" s="1448" t="n">
        <f aca="false">SUM(I449:J449)</f>
        <v>12027489</v>
      </c>
      <c r="M449" s="1536"/>
      <c r="N449" s="1536"/>
      <c r="O449" s="1536"/>
      <c r="P449" s="1536"/>
      <c r="Q449" s="1536"/>
      <c r="R449" s="1536"/>
    </row>
    <row r="450" s="1536" customFormat="true" ht="15" hidden="false" customHeight="true" outlineLevel="0" collapsed="false">
      <c r="A450" s="1529" t="s">
        <v>823</v>
      </c>
      <c r="B450" s="1463" t="n">
        <f aca="false">SUM(C450:J450)</f>
        <v>52.73</v>
      </c>
      <c r="C450" s="1545" t="n">
        <f aca="false">$C$16</f>
        <v>46.49</v>
      </c>
      <c r="D450" s="1465" t="n">
        <f aca="false">$D$16</f>
        <v>2.32</v>
      </c>
      <c r="E450" s="1546" t="n">
        <f aca="false">$E$16</f>
        <v>0.82</v>
      </c>
      <c r="F450" s="1547" t="n">
        <f aca="false">$F$16</f>
        <v>0.05</v>
      </c>
      <c r="G450" s="1547" t="n">
        <f aca="false">$G$16</f>
        <v>0.55</v>
      </c>
      <c r="H450" s="1548" t="n">
        <f aca="false">$H$16</f>
        <v>0.1</v>
      </c>
      <c r="I450" s="1549" t="n">
        <f aca="false">$I$16</f>
        <v>0.012</v>
      </c>
      <c r="J450" s="1550" t="n">
        <f aca="false">$J$16</f>
        <v>2.388</v>
      </c>
      <c r="K450" s="1406"/>
      <c r="L450" s="1457" t="n">
        <f aca="false">SUM(I450:J450)</f>
        <v>2.4</v>
      </c>
      <c r="M450" s="607"/>
      <c r="N450" s="607"/>
      <c r="O450" s="607"/>
      <c r="P450" s="607"/>
      <c r="Q450" s="607"/>
      <c r="R450" s="607"/>
    </row>
    <row r="451" customFormat="false" ht="32.25" hidden="false" customHeight="true" outlineLevel="0" collapsed="false">
      <c r="A451" s="1386" t="s">
        <v>836</v>
      </c>
      <c r="B451" s="1387" t="n">
        <f aca="false">'☆掛負収入'!I956+'☆掛負収入'!I957</f>
        <v>95439886</v>
      </c>
      <c r="C451" s="1388" t="n">
        <f aca="false">ROUNDDOWN((B451-E451)/B452*C452,0)</f>
        <v>85464981</v>
      </c>
      <c r="D451" s="1458" t="n">
        <f aca="false">ROUNDDOWN((B451-E451)/B452*D452,0)</f>
        <v>4264976</v>
      </c>
      <c r="E451" s="1459" t="n">
        <f aca="false">ROUNDDOWN(B462*E436/1000,0)</f>
        <v>11037</v>
      </c>
      <c r="F451" s="1388" t="n">
        <f aca="false">ROUNDDOWN((B451-E451)/B452*F452,0)</f>
        <v>91917</v>
      </c>
      <c r="G451" s="1388" t="n">
        <f aca="false">ROUNDDOWN((B451-E451)/B452*G452,0)</f>
        <v>1011093</v>
      </c>
      <c r="H451" s="1409" t="n">
        <f aca="false">ROUNDDOWN((B451-E451)/B452*H452,0)</f>
        <v>183835</v>
      </c>
      <c r="I451" s="1409" t="n">
        <f aca="false">ROUNDDOWN((B451-E451)/B452*I452,0)</f>
        <v>22060</v>
      </c>
      <c r="J451" s="1460" t="n">
        <f aca="false">B451-C451-D451-E451-F451-G451-H451-I451</f>
        <v>4389987</v>
      </c>
      <c r="K451" s="1404" t="s">
        <v>824</v>
      </c>
      <c r="L451" s="1461" t="n">
        <f aca="false">SUM(I451:J451)</f>
        <v>4412047</v>
      </c>
      <c r="M451" s="1406"/>
      <c r="N451" s="1406"/>
      <c r="O451" s="1406"/>
      <c r="P451" s="1406"/>
      <c r="Q451" s="1406"/>
      <c r="R451" s="1406"/>
    </row>
    <row r="452" s="1406" customFormat="true" ht="15" hidden="false" customHeight="true" outlineLevel="0" collapsed="false">
      <c r="A452" s="1551" t="s">
        <v>823</v>
      </c>
      <c r="B452" s="1463" t="n">
        <f aca="false">SUM(C452:J452)</f>
        <v>51.91</v>
      </c>
      <c r="C452" s="1464" t="n">
        <f aca="false">C450</f>
        <v>46.49</v>
      </c>
      <c r="D452" s="1465" t="n">
        <f aca="false">D450</f>
        <v>2.32</v>
      </c>
      <c r="E452" s="1466" t="s">
        <v>837</v>
      </c>
      <c r="F452" s="1467" t="n">
        <f aca="false">F450</f>
        <v>0.05</v>
      </c>
      <c r="G452" s="1467" t="n">
        <f aca="false">G450</f>
        <v>0.55</v>
      </c>
      <c r="H452" s="1468" t="n">
        <f aca="false">H450</f>
        <v>0.1</v>
      </c>
      <c r="I452" s="1469" t="n">
        <f aca="false">I450</f>
        <v>0.012</v>
      </c>
      <c r="J452" s="1470" t="n">
        <f aca="false">J450</f>
        <v>2.388</v>
      </c>
      <c r="K452" s="1404"/>
      <c r="L452" s="1471" t="n">
        <f aca="false">SUM(I452:J452)</f>
        <v>2.4</v>
      </c>
      <c r="M452" s="607"/>
      <c r="N452" s="607"/>
      <c r="O452" s="607"/>
      <c r="P452" s="607"/>
      <c r="Q452" s="607"/>
      <c r="R452" s="607"/>
    </row>
    <row r="453" customFormat="false" ht="32.25" hidden="false" customHeight="true" outlineLevel="0" collapsed="false">
      <c r="A453" s="1472" t="s">
        <v>838</v>
      </c>
      <c r="B453" s="1387" t="n">
        <f aca="false">'☆掛負収入'!I973+E453</f>
        <v>50963</v>
      </c>
      <c r="C453" s="1388" t="n">
        <f aca="false">ROUNDDOWN((B453-E453)/B454*C454,0)</f>
        <v>45407</v>
      </c>
      <c r="D453" s="1458" t="n">
        <f aca="false">ROUNDDOWN((B453-E453)/B454*D454,0)</f>
        <v>2265</v>
      </c>
      <c r="E453" s="1473" t="n">
        <f aca="false">'☆労組公的負担（短期）'!F20</f>
        <v>262</v>
      </c>
      <c r="F453" s="1388" t="n">
        <f aca="false">ROUNDDOWN((B453-E453)/B454*F454,0)</f>
        <v>48</v>
      </c>
      <c r="G453" s="1388" t="n">
        <f aca="false">ROUNDDOWN((B453-E453)/B454*G454,0)</f>
        <v>537</v>
      </c>
      <c r="H453" s="1409" t="n">
        <f aca="false">H455-H449-H451</f>
        <v>98</v>
      </c>
      <c r="I453" s="1409" t="n">
        <f aca="false">I455-I449-I451</f>
        <v>13</v>
      </c>
      <c r="J453" s="1460" t="n">
        <f aca="false">B453-C453-D453-E453-F453-G453-H453-I453</f>
        <v>2333</v>
      </c>
      <c r="L453" s="1461" t="n">
        <f aca="false">SUM(I453:J453)</f>
        <v>2346</v>
      </c>
      <c r="M453" s="1406"/>
      <c r="N453" s="1406"/>
      <c r="O453" s="1406"/>
      <c r="P453" s="1406"/>
      <c r="Q453" s="1406"/>
      <c r="R453" s="1406"/>
    </row>
    <row r="454" s="1406" customFormat="true" ht="15" hidden="false" customHeight="true" outlineLevel="0" collapsed="false">
      <c r="A454" s="1537" t="s">
        <v>823</v>
      </c>
      <c r="B454" s="1474" t="n">
        <f aca="false">SUM(C454:J454)</f>
        <v>51.91</v>
      </c>
      <c r="C454" s="1464" t="n">
        <f aca="false">C450</f>
        <v>46.49</v>
      </c>
      <c r="D454" s="1465" t="n">
        <f aca="false">D450</f>
        <v>2.32</v>
      </c>
      <c r="E454" s="1475" t="s">
        <v>839</v>
      </c>
      <c r="F454" s="1476" t="n">
        <f aca="false">F450</f>
        <v>0.05</v>
      </c>
      <c r="G454" s="1476" t="n">
        <f aca="false">G450</f>
        <v>0.55</v>
      </c>
      <c r="H454" s="1477" t="n">
        <f aca="false">H450</f>
        <v>0.1</v>
      </c>
      <c r="I454" s="1478" t="n">
        <f aca="false">I450</f>
        <v>0.012</v>
      </c>
      <c r="J454" s="1479" t="n">
        <f aca="false">J450</f>
        <v>2.388</v>
      </c>
      <c r="L454" s="1480" t="n">
        <f aca="false">SUM(I454:J454)</f>
        <v>2.4</v>
      </c>
      <c r="M454" s="607"/>
      <c r="N454" s="607"/>
      <c r="O454" s="607"/>
      <c r="P454" s="607"/>
      <c r="Q454" s="607"/>
      <c r="R454" s="607"/>
    </row>
    <row r="455" customFormat="false" ht="30" hidden="false" customHeight="true" outlineLevel="0" collapsed="false">
      <c r="A455" s="1424" t="s">
        <v>763</v>
      </c>
      <c r="B455" s="1481" t="n">
        <f aca="false">'☆掛負収入'!I975</f>
        <v>359744737</v>
      </c>
      <c r="C455" s="1482" t="n">
        <f aca="false">C449+C451+C453</f>
        <v>318492812</v>
      </c>
      <c r="D455" s="1483" t="n">
        <f aca="false">D449+D451+D453</f>
        <v>15893810</v>
      </c>
      <c r="E455" s="1484" t="n">
        <f aca="false">E449+E451+E453</f>
        <v>4120690</v>
      </c>
      <c r="F455" s="1485" t="n">
        <f aca="false">F449+F451+F453</f>
        <v>342537</v>
      </c>
      <c r="G455" s="1485" t="n">
        <f aca="false">G449+G451+G453</f>
        <v>3767928</v>
      </c>
      <c r="H455" s="1485" t="n">
        <f aca="false">ROUNDDOWN(B460*H436/1000,0)-H444</f>
        <v>685078</v>
      </c>
      <c r="I455" s="1485" t="n">
        <f aca="false">ROUNDDOWN(B460*I436/1000,0)-I444</f>
        <v>82210</v>
      </c>
      <c r="J455" s="1552" t="n">
        <f aca="false">J449+J451+J453</f>
        <v>16359672</v>
      </c>
      <c r="L455" s="1488" t="n">
        <f aca="false">SUM(I455:J455)</f>
        <v>16441882</v>
      </c>
      <c r="M455" s="1432"/>
      <c r="N455" s="1432"/>
      <c r="O455" s="1432"/>
      <c r="P455" s="1432"/>
      <c r="Q455" s="1432"/>
      <c r="R455" s="1432"/>
    </row>
    <row r="456" s="1432" customFormat="true" ht="20.1" hidden="false" customHeight="true" outlineLevel="0" collapsed="false">
      <c r="C456" s="1432" t="s">
        <v>826</v>
      </c>
      <c r="D456" s="1432" t="s">
        <v>827</v>
      </c>
      <c r="E456" s="1432" t="s">
        <v>827</v>
      </c>
      <c r="F456" s="1432" t="s">
        <v>828</v>
      </c>
      <c r="G456" s="1432" t="s">
        <v>829</v>
      </c>
      <c r="H456" s="1432" t="s">
        <v>830</v>
      </c>
      <c r="I456" s="1432" t="s">
        <v>831</v>
      </c>
      <c r="J456" s="1432" t="s">
        <v>832</v>
      </c>
      <c r="L456" s="1489"/>
      <c r="M456" s="789"/>
      <c r="N456" s="789"/>
      <c r="O456" s="789"/>
      <c r="P456" s="789"/>
      <c r="Q456" s="789"/>
      <c r="R456" s="789"/>
    </row>
    <row r="457" s="789" customFormat="true" ht="18.75" hidden="false" customHeight="true" outlineLevel="0" collapsed="false">
      <c r="A457" s="1490" t="s">
        <v>840</v>
      </c>
      <c r="B457" s="1491" t="n">
        <f aca="false">B444+B455</f>
        <v>715531762</v>
      </c>
      <c r="C457" s="1492"/>
      <c r="D457" s="1492"/>
      <c r="E457" s="1492"/>
      <c r="J457" s="1565" t="s">
        <v>868</v>
      </c>
      <c r="K457" s="1565"/>
      <c r="L457" s="1565"/>
    </row>
    <row r="458" s="789" customFormat="true" ht="18.75" hidden="false" customHeight="true" outlineLevel="0" collapsed="false">
      <c r="A458" s="1502"/>
      <c r="B458" s="1495"/>
      <c r="C458" s="1496" t="s">
        <v>841</v>
      </c>
      <c r="D458" s="1497"/>
      <c r="E458" s="1498"/>
      <c r="F458" s="1499" t="s">
        <v>842</v>
      </c>
      <c r="G458" s="1498"/>
      <c r="H458" s="1500" t="n">
        <f aca="false">G444+G455</f>
        <v>7541218</v>
      </c>
      <c r="I458" s="1501" t="s">
        <v>544</v>
      </c>
      <c r="J458" s="1566" t="s">
        <v>855</v>
      </c>
      <c r="K458" s="1566"/>
      <c r="L458" s="1567" t="n">
        <f aca="false">L347+L378+L440</f>
        <v>50211331</v>
      </c>
    </row>
    <row r="459" s="789" customFormat="true" ht="18.75" hidden="false" customHeight="true" outlineLevel="0" collapsed="false">
      <c r="A459" s="1502" t="s">
        <v>843</v>
      </c>
      <c r="B459" s="1503"/>
      <c r="C459" s="1504"/>
      <c r="D459" s="1505"/>
      <c r="E459" s="1500" t="n">
        <f aca="false">C444+C455</f>
        <v>637438796</v>
      </c>
      <c r="F459" s="1506" t="str">
        <f aca="false">IF(H458=('☆拠出金明細R7'!V115-H427),"　","明細と不一致!")</f>
        <v>　</v>
      </c>
      <c r="G459" s="1507" t="n">
        <f aca="false">B460</f>
        <v>6855653000</v>
      </c>
      <c r="H459" s="1508" t="n">
        <f aca="false">G436</f>
        <v>1.1</v>
      </c>
      <c r="I459" s="1500"/>
      <c r="J459" s="1566" t="s">
        <v>856</v>
      </c>
      <c r="K459" s="1566"/>
      <c r="L459" s="1567" t="n">
        <f aca="false">L409</f>
        <v>6470755</v>
      </c>
    </row>
    <row r="460" s="789" customFormat="true" ht="18.75" hidden="false" customHeight="true" outlineLevel="0" collapsed="false">
      <c r="A460" s="1509" t="s">
        <v>690</v>
      </c>
      <c r="B460" s="1510" t="n">
        <f aca="false">ROUNDUP(H458/G436*1000,-3)</f>
        <v>6855653000</v>
      </c>
      <c r="C460" s="1496" t="s">
        <v>844</v>
      </c>
      <c r="D460" s="1497"/>
      <c r="E460" s="1511"/>
      <c r="F460" s="1499" t="s">
        <v>845</v>
      </c>
      <c r="G460" s="1498"/>
      <c r="H460" s="1500" t="n">
        <f aca="false">H444+H455</f>
        <v>1371130</v>
      </c>
      <c r="I460" s="1094" t="s">
        <v>545</v>
      </c>
      <c r="J460" s="1566" t="s">
        <v>857</v>
      </c>
      <c r="K460" s="1566"/>
      <c r="L460" s="1567" t="n">
        <f aca="false">L349+L380+L442</f>
        <v>114455</v>
      </c>
      <c r="M460" s="1406"/>
      <c r="N460" s="1406"/>
      <c r="O460" s="1406"/>
      <c r="P460" s="1406"/>
      <c r="Q460" s="1406"/>
    </row>
    <row r="461" s="1406" customFormat="true" ht="18.75" hidden="false" customHeight="true" outlineLevel="0" collapsed="false">
      <c r="A461" s="1509"/>
      <c r="B461" s="1510"/>
      <c r="C461" s="1512"/>
      <c r="D461" s="1505"/>
      <c r="E461" s="1500" t="n">
        <f aca="false">D444+D455+E455</f>
        <v>35930926</v>
      </c>
      <c r="F461" s="1506" t="str">
        <f aca="false">IF(H460=('☆拠出金明細R7'!AD114-H429),"　","明細と不一致!")</f>
        <v>　</v>
      </c>
      <c r="G461" s="1507" t="n">
        <f aca="false">B460</f>
        <v>6855653000</v>
      </c>
      <c r="H461" s="1508" t="n">
        <f aca="false">H436</f>
        <v>0.2</v>
      </c>
      <c r="I461" s="1094"/>
      <c r="J461" s="1566" t="s">
        <v>858</v>
      </c>
      <c r="K461" s="1566"/>
      <c r="L461" s="1567" t="n">
        <f aca="false">L356+L358+L387+L389+L449+L451</f>
        <v>50224351</v>
      </c>
      <c r="M461" s="607"/>
      <c r="N461" s="607"/>
      <c r="O461" s="607"/>
      <c r="P461" s="607"/>
      <c r="Q461" s="607"/>
    </row>
    <row r="462" customFormat="false" ht="18.75" hidden="false" customHeight="true" outlineLevel="0" collapsed="false">
      <c r="A462" s="1514" t="s">
        <v>846</v>
      </c>
      <c r="B462" s="1515" t="n">
        <v>13460000</v>
      </c>
      <c r="C462" s="1516" t="s">
        <v>847</v>
      </c>
      <c r="D462" s="1518"/>
      <c r="E462" s="1498"/>
      <c r="F462" s="1518" t="s">
        <v>848</v>
      </c>
      <c r="G462" s="1497"/>
      <c r="H462" s="1500" t="n">
        <f aca="false">I444+I455</f>
        <v>164535</v>
      </c>
      <c r="I462" s="1094" t="s">
        <v>546</v>
      </c>
      <c r="J462" s="1566" t="s">
        <v>860</v>
      </c>
      <c r="K462" s="1566"/>
      <c r="L462" s="1567" t="n">
        <f aca="false">L418+L420</f>
        <v>6656635</v>
      </c>
    </row>
    <row r="463" customFormat="false" ht="18.75" hidden="false" customHeight="true" outlineLevel="0" collapsed="false">
      <c r="A463" s="1514"/>
      <c r="B463" s="1515"/>
      <c r="C463" s="1519"/>
      <c r="D463" s="1506" t="str">
        <f aca="false">IF(E463=('☆拠出金明細R7'!K115-E432),"　","明細と不一致!")</f>
        <v>　</v>
      </c>
      <c r="E463" s="1500" t="n">
        <f aca="false">F455</f>
        <v>342537</v>
      </c>
      <c r="F463" s="1506" t="str">
        <f aca="false">IF(H462=('☆拠出金明細R7'!AN115-H431),"　","明細と不一致!")</f>
        <v>　</v>
      </c>
      <c r="G463" s="1507" t="n">
        <f aca="false">B460</f>
        <v>6855653000</v>
      </c>
      <c r="H463" s="1520" t="n">
        <f aca="false">I436</f>
        <v>0.024</v>
      </c>
      <c r="J463" s="1566" t="s">
        <v>861</v>
      </c>
      <c r="K463" s="1566"/>
      <c r="L463" s="1567" t="n">
        <f aca="false">L360+L391+L453</f>
        <v>7036</v>
      </c>
    </row>
    <row r="464" customFormat="false" ht="18.75" hidden="false" customHeight="true" outlineLevel="0" collapsed="false">
      <c r="A464" s="1278"/>
      <c r="B464" s="1521"/>
      <c r="C464" s="1516" t="s">
        <v>849</v>
      </c>
      <c r="D464" s="1518"/>
      <c r="E464" s="1522"/>
      <c r="F464" s="1523" t="s">
        <v>850</v>
      </c>
      <c r="G464" s="1523"/>
      <c r="H464" s="1523"/>
      <c r="J464" s="1568" t="s">
        <v>862</v>
      </c>
      <c r="K464" s="1568"/>
      <c r="L464" s="1569" t="n">
        <f aca="false">L422</f>
        <v>690</v>
      </c>
    </row>
    <row r="465" customFormat="false" ht="18.75" hidden="false" customHeight="true" outlineLevel="0" collapsed="false">
      <c r="A465" s="1278"/>
      <c r="B465" s="1521"/>
      <c r="C465" s="1524"/>
      <c r="D465" s="1511"/>
      <c r="E465" s="1500" t="n">
        <f aca="false">J444+J455</f>
        <v>32742620</v>
      </c>
      <c r="F465" s="1523"/>
      <c r="G465" s="1523"/>
      <c r="H465" s="1523"/>
      <c r="I465" s="1560"/>
      <c r="J465" s="1570" t="s">
        <v>489</v>
      </c>
      <c r="K465" s="1570"/>
      <c r="L465" s="1571" t="n">
        <f aca="false">SUM(L458:L464)</f>
        <v>113685253</v>
      </c>
      <c r="M465" s="789"/>
      <c r="N465" s="789"/>
      <c r="O465" s="789"/>
      <c r="P465" s="789"/>
      <c r="Q465" s="789"/>
    </row>
    <row r="466" s="789" customFormat="true" ht="26.25" hidden="false" customHeight="true" outlineLevel="0" collapsed="false">
      <c r="A466" s="1576" t="n">
        <f aca="false">A94</f>
        <v>46203</v>
      </c>
      <c r="B466" s="1577" t="s">
        <v>869</v>
      </c>
      <c r="C466" s="1365" t="s">
        <v>802</v>
      </c>
      <c r="D466" s="1130" t="s">
        <v>803</v>
      </c>
      <c r="E466" s="1130" t="s">
        <v>804</v>
      </c>
      <c r="F466" s="1130" t="s">
        <v>805</v>
      </c>
      <c r="G466" s="1130" t="s">
        <v>806</v>
      </c>
      <c r="H466" s="1130" t="s">
        <v>807</v>
      </c>
      <c r="I466" s="1130" t="s">
        <v>808</v>
      </c>
      <c r="J466" s="1366"/>
      <c r="L466" s="1367"/>
      <c r="M466" s="1369"/>
      <c r="N466" s="1369"/>
      <c r="O466" s="1369"/>
      <c r="P466" s="1369"/>
      <c r="Q466" s="1369"/>
      <c r="R466" s="1369"/>
    </row>
    <row r="467" s="1369" customFormat="true" ht="26.25" hidden="false" customHeight="true" outlineLevel="0" collapsed="false">
      <c r="A467" s="1578"/>
      <c r="C467" s="1365"/>
      <c r="D467" s="1526" t="n">
        <f aca="false">$D$2</f>
        <v>4.64</v>
      </c>
      <c r="E467" s="1527" t="n">
        <f aca="false">$E$2</f>
        <v>0.82</v>
      </c>
      <c r="F467" s="1527" t="n">
        <f aca="false">$F$2</f>
        <v>0.05</v>
      </c>
      <c r="G467" s="1527" t="n">
        <f aca="false">$G$2</f>
        <v>1.1</v>
      </c>
      <c r="H467" s="1527" t="n">
        <f aca="false">$H$2</f>
        <v>0.2</v>
      </c>
      <c r="I467" s="1527" t="n">
        <f aca="false">$I$2</f>
        <v>0.024</v>
      </c>
      <c r="J467" s="1373"/>
      <c r="L467" s="1374"/>
      <c r="M467" s="607"/>
      <c r="N467" s="607"/>
      <c r="O467" s="607"/>
      <c r="P467" s="607"/>
      <c r="Q467" s="607"/>
      <c r="R467" s="607"/>
    </row>
    <row r="468" customFormat="false" ht="13.9" hidden="false" customHeight="true" outlineLevel="0" collapsed="false">
      <c r="C468" s="1366"/>
      <c r="D468" s="1366"/>
      <c r="E468" s="1366"/>
      <c r="F468" s="1528"/>
      <c r="G468" s="1366"/>
      <c r="H468" s="1366"/>
      <c r="I468" s="1366"/>
      <c r="J468" s="1366"/>
    </row>
    <row r="469" customFormat="false" ht="20.1" hidden="false" customHeight="true" outlineLevel="0" collapsed="false">
      <c r="A469" s="796" t="s">
        <v>811</v>
      </c>
      <c r="G469" s="1377"/>
      <c r="L469" s="1378" t="s">
        <v>812</v>
      </c>
      <c r="M469" s="1222"/>
      <c r="N469" s="1222"/>
      <c r="O469" s="1222"/>
      <c r="P469" s="1222"/>
      <c r="Q469" s="1222"/>
      <c r="R469" s="1222"/>
    </row>
    <row r="470" s="1222" customFormat="true" ht="30" hidden="false" customHeight="true" outlineLevel="0" collapsed="false">
      <c r="A470" s="1379" t="s">
        <v>483</v>
      </c>
      <c r="B470" s="1380" t="s">
        <v>813</v>
      </c>
      <c r="C470" s="1381" t="s">
        <v>814</v>
      </c>
      <c r="D470" s="1382" t="s">
        <v>815</v>
      </c>
      <c r="E470" s="1382"/>
      <c r="F470" s="1383" t="s">
        <v>816</v>
      </c>
      <c r="G470" s="1382" t="s">
        <v>817</v>
      </c>
      <c r="H470" s="1382" t="s">
        <v>818</v>
      </c>
      <c r="I470" s="1382" t="s">
        <v>819</v>
      </c>
      <c r="J470" s="1384" t="s">
        <v>820</v>
      </c>
      <c r="L470" s="1385" t="s">
        <v>821</v>
      </c>
      <c r="M470" s="607"/>
      <c r="N470" s="607"/>
      <c r="O470" s="607"/>
      <c r="P470" s="607"/>
      <c r="Q470" s="607"/>
      <c r="R470" s="607"/>
    </row>
    <row r="471" customFormat="false" ht="32.25" hidden="false" customHeight="true" outlineLevel="0" collapsed="false">
      <c r="A471" s="1386" t="s">
        <v>822</v>
      </c>
      <c r="B471" s="1387" t="n">
        <f aca="false">B475-B473</f>
        <v>17812876</v>
      </c>
      <c r="C471" s="1388" t="n">
        <f aca="false">ROUNDDOWN(B471*C472/B472,0)</f>
        <v>15968388</v>
      </c>
      <c r="D471" s="1389" t="n">
        <f aca="false">ROUNDDOWN(B471*D472/B472,0)</f>
        <v>796873</v>
      </c>
      <c r="E471" s="1389" t="n">
        <f aca="false">ROUNDDOWN(D471*E472/D472,0)</f>
        <v>0</v>
      </c>
      <c r="F471" s="1390" t="s">
        <v>635</v>
      </c>
      <c r="G471" s="1391" t="n">
        <f aca="false">ROUNDDOWN(B471*G472/B472,0)</f>
        <v>188914</v>
      </c>
      <c r="H471" s="1392" t="n">
        <f aca="false">ROUNDDOWN(B471*H472/B472,0)</f>
        <v>34348</v>
      </c>
      <c r="I471" s="1389" t="n">
        <f aca="false">ROUNDDOWN(B471*I472/B472,0)</f>
        <v>4121</v>
      </c>
      <c r="J471" s="1393" t="n">
        <f aca="false">B471-C471-D471-G471-H471-I471</f>
        <v>820232</v>
      </c>
      <c r="L471" s="1394" t="n">
        <f aca="false">SUM(I471:J471)</f>
        <v>824353</v>
      </c>
      <c r="M471" s="1536"/>
      <c r="N471" s="1536"/>
      <c r="O471" s="1536"/>
      <c r="P471" s="1536"/>
      <c r="Q471" s="1536"/>
      <c r="R471" s="1536"/>
    </row>
    <row r="472" s="1536" customFormat="true" ht="15" hidden="false" customHeight="true" outlineLevel="0" collapsed="false">
      <c r="A472" s="1529" t="s">
        <v>823</v>
      </c>
      <c r="B472" s="1530" t="n">
        <f aca="false">SUM(C472:J472)</f>
        <v>51.86</v>
      </c>
      <c r="C472" s="1531" t="n">
        <f aca="false">$C$7</f>
        <v>46.49</v>
      </c>
      <c r="D472" s="1532" t="n">
        <f aca="false">$D$7</f>
        <v>2.32</v>
      </c>
      <c r="E472" s="1532"/>
      <c r="F472" s="1533" t="s">
        <v>635</v>
      </c>
      <c r="G472" s="1534" t="n">
        <f aca="false">$G$7</f>
        <v>0.55</v>
      </c>
      <c r="H472" s="1467" t="n">
        <f aca="false">$H$7</f>
        <v>0.1</v>
      </c>
      <c r="I472" s="1468" t="n">
        <f aca="false">$I$7</f>
        <v>0.012</v>
      </c>
      <c r="J472" s="1535" t="n">
        <f aca="false">$J$7</f>
        <v>2.388</v>
      </c>
      <c r="K472" s="1404" t="s">
        <v>824</v>
      </c>
      <c r="L472" s="1405" t="n">
        <f aca="false">SUM(I472:J472)</f>
        <v>2.4</v>
      </c>
      <c r="M472" s="607"/>
      <c r="N472" s="607"/>
      <c r="O472" s="607"/>
      <c r="P472" s="607"/>
      <c r="Q472" s="607"/>
      <c r="R472" s="607"/>
    </row>
    <row r="473" customFormat="false" ht="32.25" hidden="false" customHeight="true" outlineLevel="0" collapsed="false">
      <c r="A473" s="1386" t="s">
        <v>825</v>
      </c>
      <c r="B473" s="1563" t="n">
        <v>0</v>
      </c>
      <c r="C473" s="1388" t="n">
        <f aca="false">ROUNDDOWN(B473*C474/B474,0)</f>
        <v>0</v>
      </c>
      <c r="D473" s="1407" t="n">
        <f aca="false">ROUNDDOWN(B473*D474/B474,0)</f>
        <v>0</v>
      </c>
      <c r="E473" s="1407" t="n">
        <f aca="false">ROUNDDOWN(D473*E474/D474,0)</f>
        <v>0</v>
      </c>
      <c r="F473" s="1408" t="s">
        <v>635</v>
      </c>
      <c r="G473" s="1409" t="n">
        <f aca="false">ROUNDDOWN(B473*G474/B474,0)</f>
        <v>0</v>
      </c>
      <c r="H473" s="1410" t="n">
        <f aca="false">ROUNDDOWN(B473*H474/B474,0)</f>
        <v>0</v>
      </c>
      <c r="I473" s="1411" t="n">
        <f aca="false">ROUNDDOWN(B473*I474/B474,0)</f>
        <v>0</v>
      </c>
      <c r="J473" s="1412" t="n">
        <f aca="false">B473-C473-D473-G473-H473-I473</f>
        <v>0</v>
      </c>
      <c r="K473" s="1404"/>
      <c r="L473" s="1413" t="n">
        <f aca="false">SUM(I473:J473)</f>
        <v>0</v>
      </c>
      <c r="M473" s="1406"/>
      <c r="N473" s="1406"/>
      <c r="O473" s="1406"/>
      <c r="P473" s="1406"/>
      <c r="Q473" s="1406"/>
      <c r="R473" s="1406"/>
    </row>
    <row r="474" s="1406" customFormat="true" ht="15" hidden="false" customHeight="true" outlineLevel="0" collapsed="false">
      <c r="A474" s="1537" t="s">
        <v>823</v>
      </c>
      <c r="B474" s="1474" t="n">
        <f aca="false">SUM(C474:J474)</f>
        <v>103.72</v>
      </c>
      <c r="C474" s="1538" t="n">
        <f aca="false">C472*2</f>
        <v>92.98</v>
      </c>
      <c r="D474" s="1539" t="n">
        <f aca="false">D472*2</f>
        <v>4.64</v>
      </c>
      <c r="E474" s="1539"/>
      <c r="F474" s="1540" t="s">
        <v>635</v>
      </c>
      <c r="G474" s="1541" t="n">
        <f aca="false">G472*2</f>
        <v>1.1</v>
      </c>
      <c r="H474" s="1542" t="n">
        <f aca="false">H472*2</f>
        <v>0.2</v>
      </c>
      <c r="I474" s="1543" t="n">
        <f aca="false">I472*2</f>
        <v>0.024</v>
      </c>
      <c r="J474" s="1544" t="n">
        <f aca="false">J472*2</f>
        <v>4.776</v>
      </c>
      <c r="L474" s="1423" t="n">
        <f aca="false">L472*2</f>
        <v>4.8</v>
      </c>
      <c r="M474" s="607"/>
      <c r="N474" s="607"/>
      <c r="O474" s="607"/>
      <c r="P474" s="607"/>
      <c r="Q474" s="607"/>
      <c r="R474" s="607"/>
    </row>
    <row r="475" customFormat="false" ht="30" hidden="false" customHeight="true" outlineLevel="0" collapsed="false">
      <c r="A475" s="1424" t="s">
        <v>763</v>
      </c>
      <c r="B475" s="1425" t="n">
        <f aca="false">'☆短期集計R7'!B40+'☆短期集計R7'!D40</f>
        <v>17812876</v>
      </c>
      <c r="C475" s="1426" t="n">
        <f aca="false">C471+C473</f>
        <v>15968388</v>
      </c>
      <c r="D475" s="1427" t="n">
        <f aca="false">D471+D473</f>
        <v>796873</v>
      </c>
      <c r="E475" s="1427"/>
      <c r="F475" s="1428" t="s">
        <v>635</v>
      </c>
      <c r="G475" s="1427" t="n">
        <f aca="false">G471+G473</f>
        <v>188914</v>
      </c>
      <c r="H475" s="1426" t="n">
        <f aca="false">H471+H473</f>
        <v>34348</v>
      </c>
      <c r="I475" s="1427" t="n">
        <f aca="false">I471+I473</f>
        <v>4121</v>
      </c>
      <c r="J475" s="1429" t="n">
        <f aca="false">J471+J473</f>
        <v>820232</v>
      </c>
      <c r="L475" s="1430" t="n">
        <f aca="false">L471+L473</f>
        <v>824353</v>
      </c>
      <c r="M475" s="1431"/>
      <c r="N475" s="1431"/>
      <c r="O475" s="1431"/>
      <c r="P475" s="1431"/>
      <c r="Q475" s="1431"/>
      <c r="R475" s="1431"/>
    </row>
    <row r="476" s="1431" customFormat="true" ht="20.1" hidden="false" customHeight="true" outlineLevel="0" collapsed="false">
      <c r="C476" s="1432" t="s">
        <v>826</v>
      </c>
      <c r="D476" s="1433" t="s">
        <v>827</v>
      </c>
      <c r="E476" s="1433"/>
      <c r="F476" s="1432" t="s">
        <v>828</v>
      </c>
      <c r="G476" s="1432" t="s">
        <v>829</v>
      </c>
      <c r="H476" s="1434" t="s">
        <v>830</v>
      </c>
      <c r="I476" s="1434" t="s">
        <v>831</v>
      </c>
      <c r="J476" s="1434" t="s">
        <v>832</v>
      </c>
      <c r="L476" s="1435"/>
      <c r="M476" s="1089"/>
      <c r="N476" s="1089"/>
      <c r="O476" s="1089"/>
      <c r="P476" s="1089"/>
      <c r="Q476" s="1089"/>
      <c r="R476" s="1089"/>
    </row>
    <row r="477" s="1089" customFormat="true" ht="13.5" hidden="false" customHeight="true" outlineLevel="0" collapsed="false">
      <c r="C477" s="1436"/>
      <c r="D477" s="1437"/>
      <c r="E477" s="1437"/>
      <c r="F477" s="1436"/>
      <c r="G477" s="1437"/>
      <c r="H477" s="1437"/>
      <c r="I477" s="1437"/>
      <c r="J477" s="1437"/>
      <c r="L477" s="1438"/>
      <c r="M477" s="607"/>
      <c r="N477" s="607"/>
      <c r="O477" s="607"/>
      <c r="P477" s="607"/>
      <c r="Q477" s="607"/>
      <c r="R477" s="607"/>
    </row>
    <row r="478" customFormat="false" ht="20.1" hidden="false" customHeight="true" outlineLevel="0" collapsed="false">
      <c r="A478" s="796" t="s">
        <v>238</v>
      </c>
      <c r="B478" s="1089"/>
      <c r="C478" s="1089"/>
      <c r="D478" s="1089"/>
      <c r="E478" s="1089"/>
      <c r="F478" s="1089"/>
      <c r="G478" s="1377"/>
      <c r="H478" s="1089"/>
      <c r="I478" s="1089"/>
      <c r="J478" s="1089"/>
      <c r="L478" s="1378" t="s">
        <v>812</v>
      </c>
      <c r="M478" s="945"/>
      <c r="N478" s="945"/>
      <c r="O478" s="945"/>
      <c r="P478" s="945"/>
      <c r="Q478" s="945"/>
      <c r="R478" s="945"/>
    </row>
    <row r="479" s="945" customFormat="true" ht="30" hidden="false" customHeight="true" outlineLevel="0" collapsed="false">
      <c r="A479" s="1379" t="s">
        <v>483</v>
      </c>
      <c r="B479" s="1380" t="s">
        <v>813</v>
      </c>
      <c r="C479" s="1381" t="s">
        <v>814</v>
      </c>
      <c r="D479" s="1439" t="s">
        <v>815</v>
      </c>
      <c r="E479" s="1440" t="s">
        <v>833</v>
      </c>
      <c r="F479" s="1441" t="s">
        <v>834</v>
      </c>
      <c r="G479" s="1442" t="s">
        <v>817</v>
      </c>
      <c r="H479" s="1382" t="s">
        <v>818</v>
      </c>
      <c r="I479" s="1382" t="s">
        <v>819</v>
      </c>
      <c r="J479" s="1384" t="s">
        <v>820</v>
      </c>
      <c r="L479" s="1385" t="s">
        <v>821</v>
      </c>
      <c r="M479" s="607"/>
      <c r="N479" s="607"/>
      <c r="O479" s="607"/>
      <c r="P479" s="607"/>
      <c r="Q479" s="607"/>
      <c r="R479" s="607"/>
    </row>
    <row r="480" customFormat="false" ht="32.25" hidden="false" customHeight="true" outlineLevel="0" collapsed="false">
      <c r="A480" s="1443" t="s">
        <v>852</v>
      </c>
      <c r="B480" s="1387" t="n">
        <f aca="false">B486-B482-B484</f>
        <v>14445775</v>
      </c>
      <c r="C480" s="1388" t="n">
        <f aca="false">ROUNDDOWN(B480*C481/B481,0)</f>
        <v>12736280</v>
      </c>
      <c r="D480" s="1444" t="n">
        <f aca="false">ROUNDDOWN(B480*D481/B481,0)</f>
        <v>635581</v>
      </c>
      <c r="E480" s="1445" t="n">
        <f aca="false">ROUNDDOWN(B480*E481/B481,0)</f>
        <v>224645</v>
      </c>
      <c r="F480" s="1446" t="n">
        <f aca="false">ROUNDDOWN(B480*F481/B481,0)</f>
        <v>13697</v>
      </c>
      <c r="G480" s="1446" t="n">
        <f aca="false">ROUNDDOWN(B480*G481/B481,0)+1</f>
        <v>150677</v>
      </c>
      <c r="H480" s="1446" t="n">
        <f aca="false">ROUNDDOWN(B480*H481/B481,0)</f>
        <v>27395</v>
      </c>
      <c r="I480" s="1446" t="n">
        <f aca="false">ROUNDDOWN(B480*I481/B481,0)</f>
        <v>3287</v>
      </c>
      <c r="J480" s="1447" t="n">
        <f aca="false">B480-C480-D480-E480-F480-G480-H480-I480</f>
        <v>654213</v>
      </c>
      <c r="L480" s="1448" t="n">
        <f aca="false">SUM(I480:J480)</f>
        <v>657500</v>
      </c>
      <c r="M480" s="1536"/>
      <c r="N480" s="1536"/>
      <c r="O480" s="1536"/>
      <c r="P480" s="1536"/>
      <c r="Q480" s="1536"/>
      <c r="R480" s="1536"/>
    </row>
    <row r="481" s="1536" customFormat="true" ht="15" hidden="false" customHeight="true" outlineLevel="0" collapsed="false">
      <c r="A481" s="1529" t="s">
        <v>823</v>
      </c>
      <c r="B481" s="1463" t="n">
        <f aca="false">SUM(C481:J481)</f>
        <v>52.73</v>
      </c>
      <c r="C481" s="1545" t="n">
        <f aca="false">$C$16</f>
        <v>46.49</v>
      </c>
      <c r="D481" s="1465" t="n">
        <f aca="false">$D$16</f>
        <v>2.32</v>
      </c>
      <c r="E481" s="1546" t="n">
        <f aca="false">$E$16</f>
        <v>0.82</v>
      </c>
      <c r="F481" s="1547" t="n">
        <f aca="false">$F$16</f>
        <v>0.05</v>
      </c>
      <c r="G481" s="1547" t="n">
        <f aca="false">$G$16</f>
        <v>0.55</v>
      </c>
      <c r="H481" s="1548" t="n">
        <f aca="false">$H$16</f>
        <v>0.1</v>
      </c>
      <c r="I481" s="1549" t="n">
        <f aca="false">$I$16</f>
        <v>0.012</v>
      </c>
      <c r="J481" s="1550" t="n">
        <f aca="false">$J$16</f>
        <v>2.388</v>
      </c>
      <c r="K481" s="1406"/>
      <c r="L481" s="1457" t="n">
        <f aca="false">SUM(I481:J481)</f>
        <v>2.4</v>
      </c>
      <c r="M481" s="607"/>
      <c r="N481" s="607"/>
      <c r="O481" s="607"/>
      <c r="P481" s="607"/>
      <c r="Q481" s="607"/>
      <c r="R481" s="607"/>
    </row>
    <row r="482" customFormat="false" ht="32.25" hidden="false" customHeight="true" outlineLevel="0" collapsed="false">
      <c r="A482" s="1386" t="s">
        <v>836</v>
      </c>
      <c r="B482" s="1387" t="n">
        <f aca="false">'☆掛負収入'!I1021+'☆掛負収入'!I1022</f>
        <v>3330329</v>
      </c>
      <c r="C482" s="1388" t="n">
        <f aca="false">ROUNDDOWN((B482-E482)/B483*C483,0)</f>
        <v>2982604</v>
      </c>
      <c r="D482" s="1458" t="n">
        <f aca="false">ROUNDDOWN((B482-E482)/B483*D483,0)</f>
        <v>148841</v>
      </c>
      <c r="E482" s="1459" t="n">
        <f aca="false">ROUNDDOWN(B493*E467/1000,0)</f>
        <v>0</v>
      </c>
      <c r="F482" s="1388" t="n">
        <f aca="false">ROUNDDOWN((B482-E482)/B483*F483,0)</f>
        <v>3207</v>
      </c>
      <c r="G482" s="1579" t="n">
        <f aca="false">ROUNDDOWN((B482-E482)/B483*G483,0)</f>
        <v>35285</v>
      </c>
      <c r="H482" s="1409" t="n">
        <f aca="false">ROUNDDOWN((B482-E482)/B483*H483,0)</f>
        <v>6415</v>
      </c>
      <c r="I482" s="1579" t="n">
        <f aca="false">ROUNDDOWN((B482-E482)/B483*I483,0)</f>
        <v>769</v>
      </c>
      <c r="J482" s="1460" t="n">
        <f aca="false">B482-C482-D482-E482-F482-G482-H482-I482</f>
        <v>153208</v>
      </c>
      <c r="K482" s="1404" t="s">
        <v>824</v>
      </c>
      <c r="L482" s="1461" t="n">
        <f aca="false">SUM(I482:J482)</f>
        <v>153977</v>
      </c>
      <c r="M482" s="1406"/>
      <c r="N482" s="1406"/>
      <c r="O482" s="1406"/>
      <c r="P482" s="1406"/>
      <c r="Q482" s="1406"/>
      <c r="R482" s="1406"/>
    </row>
    <row r="483" s="1406" customFormat="true" ht="15" hidden="false" customHeight="true" outlineLevel="0" collapsed="false">
      <c r="A483" s="1551" t="s">
        <v>823</v>
      </c>
      <c r="B483" s="1463" t="n">
        <f aca="false">SUM(C483:J483)</f>
        <v>51.91</v>
      </c>
      <c r="C483" s="1464" t="n">
        <f aca="false">C481</f>
        <v>46.49</v>
      </c>
      <c r="D483" s="1465" t="n">
        <f aca="false">D481</f>
        <v>2.32</v>
      </c>
      <c r="E483" s="1466" t="s">
        <v>837</v>
      </c>
      <c r="F483" s="1467" t="n">
        <f aca="false">F481</f>
        <v>0.05</v>
      </c>
      <c r="G483" s="1467" t="n">
        <f aca="false">G481</f>
        <v>0.55</v>
      </c>
      <c r="H483" s="1468" t="n">
        <f aca="false">H481</f>
        <v>0.1</v>
      </c>
      <c r="I483" s="1469" t="n">
        <f aca="false">I481</f>
        <v>0.012</v>
      </c>
      <c r="J483" s="1470" t="n">
        <f aca="false">J481</f>
        <v>2.388</v>
      </c>
      <c r="K483" s="1404"/>
      <c r="L483" s="1471" t="n">
        <f aca="false">SUM(I483:J483)</f>
        <v>2.4</v>
      </c>
      <c r="M483" s="607"/>
      <c r="N483" s="607"/>
      <c r="O483" s="607"/>
      <c r="P483" s="607"/>
      <c r="Q483" s="607"/>
      <c r="R483" s="607"/>
    </row>
    <row r="484" customFormat="false" ht="32.25" hidden="false" customHeight="true" outlineLevel="0" collapsed="false">
      <c r="A484" s="1472" t="s">
        <v>838</v>
      </c>
      <c r="B484" s="1387" t="n">
        <f aca="false">'☆掛負収入'!I1038+E484</f>
        <v>26406</v>
      </c>
      <c r="C484" s="1388" t="n">
        <f aca="false">ROUNDDOWN((B484-E484)/B485*C485,0)</f>
        <v>23616</v>
      </c>
      <c r="D484" s="1458" t="n">
        <f aca="false">ROUNDDOWN((B484-E484)/B485*D485,0)</f>
        <v>1178</v>
      </c>
      <c r="E484" s="1473" t="n">
        <f aca="false">'☆労組公的負担（短期）'!F21</f>
        <v>36</v>
      </c>
      <c r="F484" s="1388" t="n">
        <f aca="false">ROUNDDOWN((B484-E484)/B485*F485,0)</f>
        <v>25</v>
      </c>
      <c r="G484" s="1388" t="n">
        <f aca="false">ROUNDDOWN((B484-E484)/B485*G485,0)</f>
        <v>279</v>
      </c>
      <c r="H484" s="1409" t="n">
        <f aca="false">H486-H480-H482</f>
        <v>52</v>
      </c>
      <c r="I484" s="1409" t="n">
        <f aca="false">I486-I480-I482</f>
        <v>8</v>
      </c>
      <c r="J484" s="1460" t="n">
        <f aca="false">B484-C484-D484-E484-F484-G484-H484-I484</f>
        <v>1212</v>
      </c>
      <c r="L484" s="1461" t="n">
        <f aca="false">SUM(I484:J484)</f>
        <v>1220</v>
      </c>
      <c r="M484" s="1406"/>
      <c r="N484" s="1406"/>
      <c r="O484" s="1406"/>
      <c r="P484" s="1406"/>
      <c r="Q484" s="1406"/>
      <c r="R484" s="1406"/>
    </row>
    <row r="485" s="1406" customFormat="true" ht="15" hidden="false" customHeight="true" outlineLevel="0" collapsed="false">
      <c r="A485" s="1537" t="s">
        <v>823</v>
      </c>
      <c r="B485" s="1474" t="n">
        <f aca="false">SUM(C485:J485)</f>
        <v>51.91</v>
      </c>
      <c r="C485" s="1464" t="n">
        <f aca="false">C481</f>
        <v>46.49</v>
      </c>
      <c r="D485" s="1465" t="n">
        <f aca="false">D481</f>
        <v>2.32</v>
      </c>
      <c r="E485" s="1475" t="s">
        <v>839</v>
      </c>
      <c r="F485" s="1476" t="n">
        <f aca="false">F481</f>
        <v>0.05</v>
      </c>
      <c r="G485" s="1476" t="n">
        <f aca="false">G481</f>
        <v>0.55</v>
      </c>
      <c r="H485" s="1477" t="n">
        <f aca="false">H481</f>
        <v>0.1</v>
      </c>
      <c r="I485" s="1478" t="n">
        <f aca="false">I481</f>
        <v>0.012</v>
      </c>
      <c r="J485" s="1479" t="n">
        <f aca="false">J481</f>
        <v>2.388</v>
      </c>
      <c r="L485" s="1480" t="n">
        <f aca="false">SUM(I485:J485)</f>
        <v>2.4</v>
      </c>
      <c r="M485" s="607"/>
      <c r="N485" s="607"/>
      <c r="O485" s="607"/>
      <c r="P485" s="607"/>
      <c r="Q485" s="607"/>
      <c r="R485" s="607"/>
    </row>
    <row r="486" customFormat="false" ht="30" hidden="false" customHeight="true" outlineLevel="0" collapsed="false">
      <c r="A486" s="1424" t="s">
        <v>763</v>
      </c>
      <c r="B486" s="1481" t="n">
        <f aca="false">'☆掛負収入'!I1040</f>
        <v>17802510</v>
      </c>
      <c r="C486" s="1482" t="n">
        <f aca="false">C480+C482+C484</f>
        <v>15742500</v>
      </c>
      <c r="D486" s="1483" t="n">
        <f aca="false">D480+D482+D484</f>
        <v>785600</v>
      </c>
      <c r="E486" s="1484" t="n">
        <f aca="false">E480+E482+E484</f>
        <v>224681</v>
      </c>
      <c r="F486" s="1485" t="n">
        <f aca="false">F480+F482+F484</f>
        <v>16929</v>
      </c>
      <c r="G486" s="1485" t="n">
        <f aca="false">G480+G482+G484</f>
        <v>186241</v>
      </c>
      <c r="H486" s="1485" t="n">
        <f aca="false">ROUNDDOWN(B491*H467/1000,0)-H475</f>
        <v>33862</v>
      </c>
      <c r="I486" s="1485" t="n">
        <f aca="false">ROUNDDOWN(B491*I467/1000,0)-I475</f>
        <v>4064</v>
      </c>
      <c r="J486" s="1486" t="n">
        <f aca="false">J480+J482+J484</f>
        <v>808633</v>
      </c>
      <c r="K486" s="1487"/>
      <c r="L486" s="1488" t="n">
        <f aca="false">SUM(I486:J486)</f>
        <v>812697</v>
      </c>
      <c r="M486" s="1432"/>
      <c r="N486" s="1432"/>
      <c r="O486" s="1432"/>
      <c r="P486" s="1432"/>
      <c r="Q486" s="1432"/>
      <c r="R486" s="1432"/>
    </row>
    <row r="487" s="1432" customFormat="true" ht="20.1" hidden="false" customHeight="true" outlineLevel="0" collapsed="false">
      <c r="C487" s="1432" t="s">
        <v>826</v>
      </c>
      <c r="D487" s="1432" t="s">
        <v>827</v>
      </c>
      <c r="E487" s="1432" t="s">
        <v>827</v>
      </c>
      <c r="F487" s="1432" t="s">
        <v>828</v>
      </c>
      <c r="G487" s="1432" t="s">
        <v>829</v>
      </c>
      <c r="H487" s="1432" t="s">
        <v>830</v>
      </c>
      <c r="I487" s="1432" t="s">
        <v>831</v>
      </c>
      <c r="J487" s="1432" t="s">
        <v>832</v>
      </c>
      <c r="L487" s="1489"/>
      <c r="M487" s="789"/>
      <c r="N487" s="789"/>
      <c r="O487" s="789"/>
      <c r="P487" s="789"/>
      <c r="Q487" s="789"/>
      <c r="R487" s="789"/>
    </row>
    <row r="488" s="789" customFormat="true" ht="18.75" hidden="false" customHeight="true" outlineLevel="0" collapsed="false">
      <c r="A488" s="1490" t="s">
        <v>840</v>
      </c>
      <c r="B488" s="1491" t="n">
        <f aca="false">B475+B486</f>
        <v>35615386</v>
      </c>
      <c r="C488" s="1492"/>
      <c r="D488" s="1492"/>
      <c r="E488" s="1492"/>
      <c r="F488" s="1564"/>
      <c r="L488" s="1367"/>
    </row>
    <row r="489" s="789" customFormat="true" ht="18.75" hidden="false" customHeight="true" outlineLevel="0" collapsed="false">
      <c r="A489" s="1502"/>
      <c r="B489" s="1495"/>
      <c r="C489" s="1496" t="s">
        <v>841</v>
      </c>
      <c r="D489" s="1497"/>
      <c r="E489" s="1498"/>
      <c r="F489" s="1499" t="s">
        <v>842</v>
      </c>
      <c r="G489" s="1498"/>
      <c r="H489" s="1500" t="n">
        <f aca="false">G475+G486</f>
        <v>375155</v>
      </c>
      <c r="I489" s="1501" t="s">
        <v>544</v>
      </c>
      <c r="K489" s="1367"/>
    </row>
    <row r="490" s="789" customFormat="true" ht="18.75" hidden="false" customHeight="true" outlineLevel="0" collapsed="false">
      <c r="A490" s="1502" t="s">
        <v>843</v>
      </c>
      <c r="B490" s="1503"/>
      <c r="C490" s="1504"/>
      <c r="D490" s="1505"/>
      <c r="E490" s="1500" t="n">
        <f aca="false">C475+C486</f>
        <v>31710888</v>
      </c>
      <c r="F490" s="1580"/>
      <c r="G490" s="1507" t="n">
        <f aca="false">B491</f>
        <v>341050000</v>
      </c>
      <c r="H490" s="1508" t="n">
        <f aca="false">G467</f>
        <v>1.1</v>
      </c>
      <c r="I490" s="1500"/>
      <c r="K490" s="1367"/>
    </row>
    <row r="491" s="789" customFormat="true" ht="18.75" hidden="false" customHeight="true" outlineLevel="0" collapsed="false">
      <c r="A491" s="1509" t="s">
        <v>690</v>
      </c>
      <c r="B491" s="1510" t="n">
        <f aca="false">ROUNDUP(H489/G467*1000,-3)</f>
        <v>341050000</v>
      </c>
      <c r="C491" s="1496" t="s">
        <v>844</v>
      </c>
      <c r="D491" s="1497"/>
      <c r="E491" s="1511"/>
      <c r="F491" s="1499" t="s">
        <v>845</v>
      </c>
      <c r="G491" s="1498"/>
      <c r="H491" s="1500" t="n">
        <f aca="false">H475+H486</f>
        <v>68210</v>
      </c>
      <c r="I491" s="1094" t="s">
        <v>545</v>
      </c>
      <c r="K491" s="1367"/>
      <c r="L491" s="1406"/>
      <c r="M491" s="1406"/>
      <c r="N491" s="1406"/>
      <c r="O491" s="1406"/>
      <c r="P491" s="1406"/>
      <c r="Q491" s="1406"/>
    </row>
    <row r="492" s="1406" customFormat="true" ht="18.75" hidden="false" customHeight="true" outlineLevel="0" collapsed="false">
      <c r="A492" s="1509"/>
      <c r="B492" s="1510"/>
      <c r="C492" s="1512"/>
      <c r="D492" s="1505"/>
      <c r="E492" s="1500" t="n">
        <f aca="false">D475+D486+E486</f>
        <v>1807154</v>
      </c>
      <c r="F492" s="1499"/>
      <c r="G492" s="1507" t="n">
        <f aca="false">B491</f>
        <v>341050000</v>
      </c>
      <c r="H492" s="1508" t="n">
        <f aca="false">H467</f>
        <v>0.2</v>
      </c>
      <c r="I492" s="1094"/>
      <c r="K492" s="1513"/>
      <c r="L492" s="607"/>
      <c r="M492" s="607"/>
      <c r="N492" s="607"/>
      <c r="O492" s="607"/>
      <c r="P492" s="607"/>
      <c r="Q492" s="607"/>
    </row>
    <row r="493" customFormat="false" ht="18.75" hidden="false" customHeight="true" outlineLevel="0" collapsed="false">
      <c r="A493" s="1514" t="s">
        <v>859</v>
      </c>
      <c r="B493" s="1581"/>
      <c r="C493" s="1516" t="s">
        <v>847</v>
      </c>
      <c r="D493" s="1518"/>
      <c r="E493" s="1498"/>
      <c r="F493" s="1518" t="s">
        <v>848</v>
      </c>
      <c r="G493" s="1497"/>
      <c r="H493" s="1500" t="n">
        <f aca="false">I475+I486</f>
        <v>8185</v>
      </c>
      <c r="I493" s="1094" t="s">
        <v>546</v>
      </c>
      <c r="K493" s="1362"/>
      <c r="L493" s="607"/>
    </row>
    <row r="494" customFormat="false" ht="18.75" hidden="false" customHeight="true" outlineLevel="0" collapsed="false">
      <c r="A494" s="1514"/>
      <c r="B494" s="1581"/>
      <c r="C494" s="1519"/>
      <c r="D494" s="1511"/>
      <c r="E494" s="1500" t="n">
        <f aca="false">F486</f>
        <v>16929</v>
      </c>
      <c r="F494" s="1582"/>
      <c r="G494" s="1507" t="n">
        <f aca="false">B491</f>
        <v>341050000</v>
      </c>
      <c r="H494" s="1520" t="n">
        <f aca="false">I467</f>
        <v>0.024</v>
      </c>
      <c r="K494" s="1362"/>
      <c r="L494" s="607"/>
    </row>
    <row r="495" customFormat="false" ht="18.75" hidden="false" customHeight="true" outlineLevel="0" collapsed="false">
      <c r="A495" s="1278"/>
      <c r="B495" s="1521"/>
      <c r="C495" s="1516" t="s">
        <v>849</v>
      </c>
      <c r="D495" s="1518"/>
      <c r="E495" s="1522"/>
      <c r="F495" s="1523" t="s">
        <v>850</v>
      </c>
      <c r="G495" s="1523"/>
      <c r="H495" s="1523"/>
      <c r="K495" s="1362"/>
      <c r="L495" s="607"/>
    </row>
    <row r="496" customFormat="false" ht="18.75" hidden="false" customHeight="true" outlineLevel="0" collapsed="false">
      <c r="A496" s="1278"/>
      <c r="B496" s="1521"/>
      <c r="C496" s="1524"/>
      <c r="D496" s="1511"/>
      <c r="E496" s="1500" t="n">
        <f aca="false">J475+J486</f>
        <v>1628865</v>
      </c>
      <c r="F496" s="1523"/>
      <c r="G496" s="1523"/>
      <c r="H496" s="1523"/>
      <c r="I496" s="1560"/>
      <c r="K496" s="1362"/>
      <c r="L496" s="789"/>
      <c r="M496" s="789"/>
      <c r="N496" s="789"/>
      <c r="O496" s="789"/>
      <c r="P496" s="789"/>
      <c r="Q496" s="789"/>
    </row>
    <row r="497" s="789" customFormat="true" ht="26.25" hidden="false" customHeight="true" outlineLevel="0" collapsed="false">
      <c r="A497" s="1576" t="n">
        <f aca="false">A280</f>
        <v>46387</v>
      </c>
      <c r="B497" s="1577" t="s">
        <v>869</v>
      </c>
      <c r="C497" s="1365" t="s">
        <v>802</v>
      </c>
      <c r="D497" s="1130" t="s">
        <v>803</v>
      </c>
      <c r="E497" s="1130" t="s">
        <v>804</v>
      </c>
      <c r="F497" s="1130" t="s">
        <v>805</v>
      </c>
      <c r="G497" s="1130" t="s">
        <v>806</v>
      </c>
      <c r="H497" s="1130" t="s">
        <v>807</v>
      </c>
      <c r="I497" s="1130" t="s">
        <v>808</v>
      </c>
      <c r="J497" s="1366"/>
      <c r="L497" s="1367"/>
      <c r="M497" s="1369"/>
      <c r="N497" s="1369"/>
      <c r="O497" s="1369"/>
      <c r="P497" s="1369"/>
      <c r="Q497" s="1369"/>
      <c r="R497" s="1369"/>
    </row>
    <row r="498" s="1369" customFormat="true" ht="26.25" hidden="false" customHeight="true" outlineLevel="0" collapsed="false">
      <c r="A498" s="1578"/>
      <c r="C498" s="1365"/>
      <c r="D498" s="1526" t="n">
        <f aca="false">$D$2</f>
        <v>4.64</v>
      </c>
      <c r="E498" s="1527" t="n">
        <f aca="false">$E$2</f>
        <v>0.82</v>
      </c>
      <c r="F498" s="1527" t="n">
        <f aca="false">$F$2</f>
        <v>0.05</v>
      </c>
      <c r="G498" s="1527" t="n">
        <f aca="false">$G$2</f>
        <v>1.1</v>
      </c>
      <c r="H498" s="1527" t="n">
        <f aca="false">$H$2</f>
        <v>0.2</v>
      </c>
      <c r="I498" s="1527" t="n">
        <f aca="false">$I$2</f>
        <v>0.024</v>
      </c>
      <c r="J498" s="1373"/>
      <c r="L498" s="1374"/>
      <c r="M498" s="607"/>
      <c r="N498" s="607"/>
      <c r="O498" s="607"/>
      <c r="P498" s="607"/>
      <c r="Q498" s="607"/>
      <c r="R498" s="607"/>
    </row>
    <row r="499" customFormat="false" ht="13.9" hidden="false" customHeight="true" outlineLevel="0" collapsed="false">
      <c r="C499" s="1366"/>
      <c r="D499" s="1366"/>
      <c r="E499" s="1366"/>
      <c r="F499" s="1528"/>
      <c r="G499" s="1366"/>
      <c r="H499" s="1366"/>
      <c r="I499" s="1366"/>
      <c r="J499" s="1366"/>
    </row>
    <row r="500" customFormat="false" ht="20.1" hidden="false" customHeight="true" outlineLevel="0" collapsed="false">
      <c r="A500" s="796" t="s">
        <v>811</v>
      </c>
      <c r="G500" s="1377"/>
      <c r="L500" s="1378" t="s">
        <v>812</v>
      </c>
      <c r="M500" s="1222"/>
      <c r="N500" s="1222"/>
      <c r="O500" s="1222"/>
      <c r="P500" s="1222"/>
      <c r="Q500" s="1222"/>
      <c r="R500" s="1222"/>
    </row>
    <row r="501" s="1222" customFormat="true" ht="30" hidden="false" customHeight="true" outlineLevel="0" collapsed="false">
      <c r="A501" s="1379" t="s">
        <v>483</v>
      </c>
      <c r="B501" s="1380" t="s">
        <v>813</v>
      </c>
      <c r="C501" s="1381" t="s">
        <v>814</v>
      </c>
      <c r="D501" s="1382" t="s">
        <v>815</v>
      </c>
      <c r="E501" s="1382"/>
      <c r="F501" s="1383" t="s">
        <v>816</v>
      </c>
      <c r="G501" s="1382" t="s">
        <v>817</v>
      </c>
      <c r="H501" s="1382" t="s">
        <v>818</v>
      </c>
      <c r="I501" s="1382" t="s">
        <v>819</v>
      </c>
      <c r="J501" s="1384" t="s">
        <v>820</v>
      </c>
      <c r="L501" s="1385" t="s">
        <v>821</v>
      </c>
      <c r="M501" s="607"/>
      <c r="N501" s="607"/>
      <c r="O501" s="607"/>
      <c r="P501" s="607"/>
      <c r="Q501" s="607"/>
      <c r="R501" s="607"/>
    </row>
    <row r="502" customFormat="false" ht="32.25" hidden="false" customHeight="true" outlineLevel="0" collapsed="false">
      <c r="A502" s="1386" t="s">
        <v>822</v>
      </c>
      <c r="B502" s="1387" t="n">
        <f aca="false">B506-B504</f>
        <v>17812885</v>
      </c>
      <c r="C502" s="1388" t="n">
        <f aca="false">ROUNDDOWN(B502*C503/B503,0)</f>
        <v>15968396</v>
      </c>
      <c r="D502" s="1389" t="n">
        <f aca="false">ROUNDDOWN(B502*D503/B503,0)</f>
        <v>796874</v>
      </c>
      <c r="E502" s="1389"/>
      <c r="F502" s="1390" t="s">
        <v>635</v>
      </c>
      <c r="G502" s="1391" t="n">
        <f aca="false">ROUNDDOWN(B502*G503/B503,0)</f>
        <v>188914</v>
      </c>
      <c r="H502" s="1392" t="n">
        <f aca="false">ROUNDDOWN(B502*H503/B503,0)</f>
        <v>34348</v>
      </c>
      <c r="I502" s="1389" t="n">
        <f aca="false">ROUNDDOWN(B502*I503/B503,0)</f>
        <v>4121</v>
      </c>
      <c r="J502" s="1393" t="n">
        <f aca="false">B502-C502-D502-G502-H502-I502</f>
        <v>820232</v>
      </c>
      <c r="L502" s="1394" t="n">
        <f aca="false">SUM(I502:J502)</f>
        <v>824353</v>
      </c>
      <c r="M502" s="1536"/>
      <c r="N502" s="1536"/>
      <c r="O502" s="1536"/>
      <c r="P502" s="1536"/>
      <c r="Q502" s="1536"/>
      <c r="R502" s="1536"/>
    </row>
    <row r="503" s="1536" customFormat="true" ht="15" hidden="false" customHeight="true" outlineLevel="0" collapsed="false">
      <c r="A503" s="1529" t="s">
        <v>823</v>
      </c>
      <c r="B503" s="1530" t="n">
        <f aca="false">SUM(C503:J503)</f>
        <v>51.86</v>
      </c>
      <c r="C503" s="1531" t="n">
        <f aca="false">$C$7</f>
        <v>46.49</v>
      </c>
      <c r="D503" s="1532" t="n">
        <f aca="false">$D$7</f>
        <v>2.32</v>
      </c>
      <c r="E503" s="1532"/>
      <c r="F503" s="1533" t="s">
        <v>635</v>
      </c>
      <c r="G503" s="1534" t="n">
        <f aca="false">$G$7</f>
        <v>0.55</v>
      </c>
      <c r="H503" s="1467" t="n">
        <f aca="false">$H$7</f>
        <v>0.1</v>
      </c>
      <c r="I503" s="1468" t="n">
        <f aca="false">$I$7</f>
        <v>0.012</v>
      </c>
      <c r="J503" s="1535" t="n">
        <f aca="false">$J$7</f>
        <v>2.388</v>
      </c>
      <c r="K503" s="1404" t="s">
        <v>824</v>
      </c>
      <c r="L503" s="1405" t="n">
        <f aca="false">SUM(I503:J503)</f>
        <v>2.4</v>
      </c>
      <c r="M503" s="607"/>
      <c r="N503" s="607"/>
      <c r="O503" s="607"/>
      <c r="P503" s="607"/>
      <c r="Q503" s="607"/>
      <c r="R503" s="607"/>
    </row>
    <row r="504" customFormat="false" ht="32.25" hidden="false" customHeight="true" outlineLevel="0" collapsed="false">
      <c r="A504" s="1386" t="s">
        <v>825</v>
      </c>
      <c r="B504" s="1563" t="n">
        <v>0</v>
      </c>
      <c r="C504" s="1388" t="n">
        <f aca="false">ROUNDDOWN(B504*C505/B505,0)</f>
        <v>0</v>
      </c>
      <c r="D504" s="1407" t="n">
        <f aca="false">ROUNDDOWN(B504*D505/B505,0)</f>
        <v>0</v>
      </c>
      <c r="E504" s="1407"/>
      <c r="F504" s="1408" t="s">
        <v>635</v>
      </c>
      <c r="G504" s="1409" t="n">
        <f aca="false">ROUNDDOWN(B504*G505/B505,0)</f>
        <v>0</v>
      </c>
      <c r="H504" s="1410" t="n">
        <f aca="false">ROUNDDOWN(B504*H505/B505,0)</f>
        <v>0</v>
      </c>
      <c r="I504" s="1411" t="n">
        <f aca="false">ROUNDDOWN(B504*I505/B505,0)</f>
        <v>0</v>
      </c>
      <c r="J504" s="1412" t="n">
        <f aca="false">B504-C504-D504-G504-H504-I504</f>
        <v>0</v>
      </c>
      <c r="K504" s="1404"/>
      <c r="L504" s="1413" t="n">
        <f aca="false">SUM(I504:J504)</f>
        <v>0</v>
      </c>
      <c r="M504" s="1406"/>
      <c r="N504" s="1406"/>
      <c r="O504" s="1406"/>
      <c r="P504" s="1406"/>
      <c r="Q504" s="1406"/>
      <c r="R504" s="1406"/>
    </row>
    <row r="505" s="1406" customFormat="true" ht="15" hidden="false" customHeight="true" outlineLevel="0" collapsed="false">
      <c r="A505" s="1537" t="s">
        <v>823</v>
      </c>
      <c r="B505" s="1474" t="n">
        <f aca="false">SUM(C505:J505)</f>
        <v>103.72</v>
      </c>
      <c r="C505" s="1538" t="n">
        <f aca="false">C503*2</f>
        <v>92.98</v>
      </c>
      <c r="D505" s="1539" t="n">
        <f aca="false">D503*2</f>
        <v>4.64</v>
      </c>
      <c r="E505" s="1539"/>
      <c r="F505" s="1540" t="s">
        <v>635</v>
      </c>
      <c r="G505" s="1541" t="n">
        <f aca="false">G503*2</f>
        <v>1.1</v>
      </c>
      <c r="H505" s="1542" t="n">
        <f aca="false">H503*2</f>
        <v>0.2</v>
      </c>
      <c r="I505" s="1543" t="n">
        <f aca="false">I503*2</f>
        <v>0.024</v>
      </c>
      <c r="J505" s="1544" t="n">
        <f aca="false">J503*2</f>
        <v>4.776</v>
      </c>
      <c r="L505" s="1423" t="n">
        <f aca="false">L503*2</f>
        <v>4.8</v>
      </c>
      <c r="M505" s="607"/>
      <c r="N505" s="607"/>
      <c r="O505" s="607"/>
      <c r="P505" s="607"/>
      <c r="Q505" s="607"/>
      <c r="R505" s="607"/>
    </row>
    <row r="506" customFormat="false" ht="30" hidden="false" customHeight="true" outlineLevel="0" collapsed="false">
      <c r="A506" s="1424" t="s">
        <v>763</v>
      </c>
      <c r="B506" s="1425" t="n">
        <f aca="false">'☆短期集計R7'!B41+'☆短期集計R7'!D41</f>
        <v>17812885</v>
      </c>
      <c r="C506" s="1426" t="n">
        <f aca="false">C502+C504</f>
        <v>15968396</v>
      </c>
      <c r="D506" s="1427" t="n">
        <f aca="false">D502+D504</f>
        <v>796874</v>
      </c>
      <c r="E506" s="1427"/>
      <c r="F506" s="1428" t="s">
        <v>635</v>
      </c>
      <c r="G506" s="1427" t="n">
        <f aca="false">G502+G504</f>
        <v>188914</v>
      </c>
      <c r="H506" s="1426" t="n">
        <f aca="false">H502+H504</f>
        <v>34348</v>
      </c>
      <c r="I506" s="1427" t="n">
        <f aca="false">I502+I504</f>
        <v>4121</v>
      </c>
      <c r="J506" s="1429" t="n">
        <f aca="false">J502+J504</f>
        <v>820232</v>
      </c>
      <c r="L506" s="1430" t="n">
        <f aca="false">L502+L504</f>
        <v>824353</v>
      </c>
      <c r="M506" s="1431"/>
      <c r="N506" s="1431"/>
      <c r="O506" s="1431"/>
      <c r="P506" s="1431"/>
      <c r="Q506" s="1431"/>
      <c r="R506" s="1431"/>
    </row>
    <row r="507" s="1431" customFormat="true" ht="20.1" hidden="false" customHeight="true" outlineLevel="0" collapsed="false">
      <c r="C507" s="1432" t="s">
        <v>826</v>
      </c>
      <c r="D507" s="1433" t="s">
        <v>827</v>
      </c>
      <c r="E507" s="1433"/>
      <c r="F507" s="1432" t="s">
        <v>828</v>
      </c>
      <c r="G507" s="1432" t="s">
        <v>829</v>
      </c>
      <c r="H507" s="1434" t="s">
        <v>830</v>
      </c>
      <c r="I507" s="1434" t="s">
        <v>831</v>
      </c>
      <c r="J507" s="1434" t="s">
        <v>832</v>
      </c>
      <c r="L507" s="1435"/>
      <c r="M507" s="1089"/>
      <c r="N507" s="1089"/>
      <c r="O507" s="1089"/>
      <c r="P507" s="1089"/>
      <c r="Q507" s="1089"/>
      <c r="R507" s="1089"/>
    </row>
    <row r="508" s="1089" customFormat="true" ht="13.5" hidden="false" customHeight="true" outlineLevel="0" collapsed="false">
      <c r="C508" s="1436"/>
      <c r="D508" s="1437"/>
      <c r="E508" s="1437"/>
      <c r="F508" s="1436"/>
      <c r="G508" s="1437"/>
      <c r="H508" s="1437"/>
      <c r="I508" s="1437"/>
      <c r="J508" s="1437"/>
      <c r="L508" s="1438"/>
      <c r="M508" s="607"/>
      <c r="N508" s="607"/>
      <c r="O508" s="607"/>
      <c r="P508" s="607"/>
      <c r="Q508" s="607"/>
      <c r="R508" s="607"/>
    </row>
    <row r="509" customFormat="false" ht="20.1" hidden="false" customHeight="true" outlineLevel="0" collapsed="false">
      <c r="A509" s="796" t="s">
        <v>238</v>
      </c>
      <c r="B509" s="1089"/>
      <c r="C509" s="1089"/>
      <c r="D509" s="1089"/>
      <c r="E509" s="1089"/>
      <c r="F509" s="1089"/>
      <c r="G509" s="1377"/>
      <c r="H509" s="1089"/>
      <c r="I509" s="1089"/>
      <c r="J509" s="1089"/>
      <c r="L509" s="1378" t="s">
        <v>812</v>
      </c>
      <c r="M509" s="945"/>
      <c r="N509" s="945"/>
      <c r="O509" s="945"/>
      <c r="P509" s="945"/>
      <c r="Q509" s="945"/>
      <c r="R509" s="945"/>
    </row>
    <row r="510" s="945" customFormat="true" ht="30" hidden="false" customHeight="true" outlineLevel="0" collapsed="false">
      <c r="A510" s="1379" t="s">
        <v>483</v>
      </c>
      <c r="B510" s="1380" t="s">
        <v>813</v>
      </c>
      <c r="C510" s="1381" t="s">
        <v>814</v>
      </c>
      <c r="D510" s="1439" t="s">
        <v>815</v>
      </c>
      <c r="E510" s="1440" t="s">
        <v>833</v>
      </c>
      <c r="F510" s="1441" t="s">
        <v>834</v>
      </c>
      <c r="G510" s="1442" t="s">
        <v>817</v>
      </c>
      <c r="H510" s="1382" t="s">
        <v>818</v>
      </c>
      <c r="I510" s="1382" t="s">
        <v>819</v>
      </c>
      <c r="J510" s="1384" t="s">
        <v>820</v>
      </c>
      <c r="L510" s="1385" t="s">
        <v>821</v>
      </c>
      <c r="M510" s="607"/>
      <c r="N510" s="607"/>
      <c r="O510" s="607"/>
      <c r="P510" s="607"/>
      <c r="Q510" s="607"/>
      <c r="R510" s="607"/>
    </row>
    <row r="511" customFormat="false" ht="32.25" hidden="false" customHeight="true" outlineLevel="0" collapsed="false">
      <c r="A511" s="1443" t="s">
        <v>852</v>
      </c>
      <c r="B511" s="1387" t="n">
        <f aca="false">B517-B513-B515</f>
        <v>14445801</v>
      </c>
      <c r="C511" s="1388" t="n">
        <f aca="false">ROUNDDOWN(B511*C512/B512,0)</f>
        <v>12736303</v>
      </c>
      <c r="D511" s="1444" t="n">
        <f aca="false">ROUNDDOWN(B511*D512/B512,0)</f>
        <v>635582</v>
      </c>
      <c r="E511" s="1445" t="n">
        <f aca="false">ROUNDDOWN(B511*E512/B512,0)</f>
        <v>224645</v>
      </c>
      <c r="F511" s="1446" t="n">
        <f aca="false">ROUNDDOWN(B511*F512/B512,0)</f>
        <v>13697</v>
      </c>
      <c r="G511" s="1446" t="n">
        <f aca="false">ROUNDDOWN(B511*G512/B512,0)+1</f>
        <v>150677</v>
      </c>
      <c r="H511" s="1446" t="n">
        <f aca="false">ROUNDDOWN(B511*H512/B512,0)</f>
        <v>27395</v>
      </c>
      <c r="I511" s="1446" t="n">
        <f aca="false">ROUNDDOWN(B511*I512/B512,0)</f>
        <v>3287</v>
      </c>
      <c r="J511" s="1447" t="n">
        <f aca="false">B511-C511-D511-E511-F511-G511-H511-I511</f>
        <v>654215</v>
      </c>
      <c r="L511" s="1448" t="n">
        <f aca="false">SUM(I511:J511)</f>
        <v>657502</v>
      </c>
      <c r="M511" s="1536"/>
      <c r="N511" s="1536"/>
      <c r="O511" s="1536"/>
      <c r="P511" s="1536"/>
      <c r="Q511" s="1536"/>
      <c r="R511" s="1536"/>
    </row>
    <row r="512" s="1536" customFormat="true" ht="15" hidden="false" customHeight="true" outlineLevel="0" collapsed="false">
      <c r="A512" s="1529" t="s">
        <v>823</v>
      </c>
      <c r="B512" s="1463" t="n">
        <f aca="false">SUM(C512:J512)</f>
        <v>52.73</v>
      </c>
      <c r="C512" s="1545" t="n">
        <f aca="false">$C$16</f>
        <v>46.49</v>
      </c>
      <c r="D512" s="1465" t="n">
        <f aca="false">$D$16</f>
        <v>2.32</v>
      </c>
      <c r="E512" s="1546" t="n">
        <f aca="false">$E$16</f>
        <v>0.82</v>
      </c>
      <c r="F512" s="1547" t="n">
        <f aca="false">$F$16</f>
        <v>0.05</v>
      </c>
      <c r="G512" s="1547" t="n">
        <f aca="false">$G$16</f>
        <v>0.55</v>
      </c>
      <c r="H512" s="1548" t="n">
        <f aca="false">$H$16</f>
        <v>0.1</v>
      </c>
      <c r="I512" s="1549" t="n">
        <f aca="false">$I$16</f>
        <v>0.012</v>
      </c>
      <c r="J512" s="1550" t="n">
        <f aca="false">$J$16</f>
        <v>2.388</v>
      </c>
      <c r="K512" s="1406"/>
      <c r="L512" s="1457" t="n">
        <f aca="false">SUM(I512:J512)</f>
        <v>2.4</v>
      </c>
      <c r="M512" s="607"/>
      <c r="N512" s="607"/>
      <c r="O512" s="607"/>
      <c r="P512" s="607"/>
      <c r="Q512" s="607"/>
      <c r="R512" s="607"/>
    </row>
    <row r="513" customFormat="false" ht="32.25" hidden="false" customHeight="true" outlineLevel="0" collapsed="false">
      <c r="A513" s="1386" t="s">
        <v>836</v>
      </c>
      <c r="B513" s="1387" t="n">
        <f aca="false">'☆掛負収入'!I1086+'☆掛負収入'!I1087</f>
        <v>3330330</v>
      </c>
      <c r="C513" s="1388" t="n">
        <f aca="false">ROUNDDOWN((B513-E513)/B514*C514,0)</f>
        <v>2982605</v>
      </c>
      <c r="D513" s="1458" t="n">
        <f aca="false">ROUNDDOWN((B513-E513)/B514*D514,0)</f>
        <v>148841</v>
      </c>
      <c r="E513" s="1459" t="n">
        <f aca="false">ROUNDDOWN(B524*E498/1000,0)</f>
        <v>0</v>
      </c>
      <c r="F513" s="1388" t="n">
        <f aca="false">ROUNDDOWN((B513-E513)/B514*F514,0)</f>
        <v>3207</v>
      </c>
      <c r="G513" s="1388" t="n">
        <f aca="false">ROUNDDOWN((B513-E513)/B514*G514,0)</f>
        <v>35285</v>
      </c>
      <c r="H513" s="1409" t="n">
        <f aca="false">ROUNDDOWN((B513-E513)/B514*H514,0)</f>
        <v>6415</v>
      </c>
      <c r="I513" s="1409" t="n">
        <f aca="false">ROUNDDOWN((B513-E513)/B514*I514,0)</f>
        <v>769</v>
      </c>
      <c r="J513" s="1460" t="n">
        <f aca="false">B513-C513-D513-E513-F513-G513-H513-I513</f>
        <v>153208</v>
      </c>
      <c r="K513" s="1404" t="s">
        <v>824</v>
      </c>
      <c r="L513" s="1461" t="n">
        <f aca="false">SUM(I513:J513)</f>
        <v>153977</v>
      </c>
      <c r="M513" s="1406"/>
      <c r="N513" s="1406"/>
      <c r="O513" s="1406"/>
      <c r="P513" s="1406"/>
      <c r="Q513" s="1406"/>
      <c r="R513" s="1406"/>
    </row>
    <row r="514" s="1406" customFormat="true" ht="15" hidden="false" customHeight="true" outlineLevel="0" collapsed="false">
      <c r="A514" s="1551" t="s">
        <v>823</v>
      </c>
      <c r="B514" s="1463" t="n">
        <f aca="false">SUM(C514:J514)</f>
        <v>51.91</v>
      </c>
      <c r="C514" s="1464" t="n">
        <f aca="false">C512</f>
        <v>46.49</v>
      </c>
      <c r="D514" s="1465" t="n">
        <f aca="false">D512</f>
        <v>2.32</v>
      </c>
      <c r="E514" s="1466" t="s">
        <v>837</v>
      </c>
      <c r="F514" s="1467" t="n">
        <f aca="false">F512</f>
        <v>0.05</v>
      </c>
      <c r="G514" s="1467" t="n">
        <f aca="false">G512</f>
        <v>0.55</v>
      </c>
      <c r="H514" s="1468" t="n">
        <f aca="false">H512</f>
        <v>0.1</v>
      </c>
      <c r="I514" s="1469" t="n">
        <f aca="false">I512</f>
        <v>0.012</v>
      </c>
      <c r="J514" s="1470" t="n">
        <f aca="false">J512</f>
        <v>2.388</v>
      </c>
      <c r="K514" s="1404"/>
      <c r="L514" s="1471" t="n">
        <f aca="false">SUM(I514:J514)</f>
        <v>2.4</v>
      </c>
      <c r="M514" s="607"/>
      <c r="N514" s="607"/>
      <c r="O514" s="607"/>
      <c r="P514" s="607"/>
      <c r="Q514" s="607"/>
      <c r="R514" s="607"/>
    </row>
    <row r="515" customFormat="false" ht="32.25" hidden="false" customHeight="true" outlineLevel="0" collapsed="false">
      <c r="A515" s="1472" t="s">
        <v>838</v>
      </c>
      <c r="B515" s="1387" t="n">
        <f aca="false">'☆掛負収入'!I1103+E515</f>
        <v>26394</v>
      </c>
      <c r="C515" s="1388" t="n">
        <f aca="false">ROUNDDOWN((B515-E515)/B516*C516,0)</f>
        <v>23616</v>
      </c>
      <c r="D515" s="1458" t="n">
        <f aca="false">ROUNDDOWN((B515-E515)/B516*D516,0)</f>
        <v>1178</v>
      </c>
      <c r="E515" s="1473" t="n">
        <f aca="false">'☆労組公的負担（短期）'!F22</f>
        <v>24</v>
      </c>
      <c r="F515" s="1388" t="n">
        <f aca="false">ROUNDDOWN((B515-E515)/B516*F516,0)</f>
        <v>25</v>
      </c>
      <c r="G515" s="1388" t="n">
        <f aca="false">ROUNDDOWN((B515-E515)/B516*G516,0)</f>
        <v>279</v>
      </c>
      <c r="H515" s="1409" t="n">
        <f aca="false">H517-H511-H513</f>
        <v>52</v>
      </c>
      <c r="I515" s="1409" t="n">
        <f aca="false">I517-I511-I513</f>
        <v>8</v>
      </c>
      <c r="J515" s="1460" t="n">
        <f aca="false">B515-C515-D515-E515-F515-G515-H515-I515</f>
        <v>1212</v>
      </c>
      <c r="L515" s="1461" t="n">
        <f aca="false">SUM(I515:J515)</f>
        <v>1220</v>
      </c>
      <c r="M515" s="1406"/>
      <c r="N515" s="1406"/>
      <c r="O515" s="1406"/>
      <c r="P515" s="1406"/>
      <c r="Q515" s="1406"/>
      <c r="R515" s="1406"/>
    </row>
    <row r="516" s="1406" customFormat="true" ht="15" hidden="false" customHeight="true" outlineLevel="0" collapsed="false">
      <c r="A516" s="1537" t="s">
        <v>823</v>
      </c>
      <c r="B516" s="1474" t="n">
        <f aca="false">SUM(C516:J516)</f>
        <v>51.91</v>
      </c>
      <c r="C516" s="1464" t="n">
        <f aca="false">C512</f>
        <v>46.49</v>
      </c>
      <c r="D516" s="1465" t="n">
        <f aca="false">D512</f>
        <v>2.32</v>
      </c>
      <c r="E516" s="1475" t="s">
        <v>839</v>
      </c>
      <c r="F516" s="1476" t="n">
        <f aca="false">F512</f>
        <v>0.05</v>
      </c>
      <c r="G516" s="1476" t="n">
        <f aca="false">G512</f>
        <v>0.55</v>
      </c>
      <c r="H516" s="1477" t="n">
        <f aca="false">H512</f>
        <v>0.1</v>
      </c>
      <c r="I516" s="1478" t="n">
        <f aca="false">I512</f>
        <v>0.012</v>
      </c>
      <c r="J516" s="1479" t="n">
        <f aca="false">J512</f>
        <v>2.388</v>
      </c>
      <c r="L516" s="1480" t="n">
        <f aca="false">SUM(I516:J516)</f>
        <v>2.4</v>
      </c>
      <c r="M516" s="607"/>
      <c r="N516" s="607"/>
      <c r="O516" s="607"/>
      <c r="P516" s="607"/>
      <c r="Q516" s="607"/>
      <c r="R516" s="607"/>
    </row>
    <row r="517" customFormat="false" ht="30" hidden="false" customHeight="true" outlineLevel="0" collapsed="false">
      <c r="A517" s="1424" t="s">
        <v>763</v>
      </c>
      <c r="B517" s="1481" t="n">
        <f aca="false">'☆掛負収入'!I1105</f>
        <v>17802525</v>
      </c>
      <c r="C517" s="1482" t="n">
        <f aca="false">C511+C513+C515</f>
        <v>15742524</v>
      </c>
      <c r="D517" s="1483" t="n">
        <f aca="false">D511+D513+D515</f>
        <v>785601</v>
      </c>
      <c r="E517" s="1484" t="n">
        <f aca="false">E511+E513+E515</f>
        <v>224669</v>
      </c>
      <c r="F517" s="1485" t="n">
        <f aca="false">F511+F513+F515</f>
        <v>16929</v>
      </c>
      <c r="G517" s="1485" t="n">
        <f aca="false">G511+G513+G515</f>
        <v>186241</v>
      </c>
      <c r="H517" s="1485" t="n">
        <f aca="false">ROUNDDOWN(B522*H498/1000,0)-H506</f>
        <v>33862</v>
      </c>
      <c r="I517" s="1485" t="n">
        <f aca="false">ROUNDDOWN(B522*I498/1000,0)-I506</f>
        <v>4064</v>
      </c>
      <c r="J517" s="1486" t="n">
        <f aca="false">J511+J513+J515</f>
        <v>808635</v>
      </c>
      <c r="K517" s="1487"/>
      <c r="L517" s="1488" t="n">
        <f aca="false">SUM(I517:J517)</f>
        <v>812699</v>
      </c>
      <c r="M517" s="1432"/>
      <c r="N517" s="1432"/>
      <c r="O517" s="1432"/>
      <c r="P517" s="1432"/>
      <c r="Q517" s="1432"/>
      <c r="R517" s="1432"/>
    </row>
    <row r="518" s="1432" customFormat="true" ht="20.1" hidden="false" customHeight="true" outlineLevel="0" collapsed="false">
      <c r="C518" s="1432" t="s">
        <v>826</v>
      </c>
      <c r="D518" s="1432" t="s">
        <v>827</v>
      </c>
      <c r="E518" s="1432" t="s">
        <v>827</v>
      </c>
      <c r="F518" s="1432" t="s">
        <v>828</v>
      </c>
      <c r="G518" s="1432" t="s">
        <v>829</v>
      </c>
      <c r="H518" s="1432" t="s">
        <v>830</v>
      </c>
      <c r="I518" s="1432" t="s">
        <v>831</v>
      </c>
      <c r="J518" s="1432" t="s">
        <v>832</v>
      </c>
      <c r="L518" s="1489"/>
      <c r="M518" s="789"/>
      <c r="N518" s="789"/>
      <c r="O518" s="789"/>
      <c r="P518" s="789"/>
      <c r="Q518" s="789"/>
      <c r="R518" s="789"/>
    </row>
    <row r="519" s="789" customFormat="true" ht="18.75" hidden="false" customHeight="true" outlineLevel="0" collapsed="false">
      <c r="A519" s="1490" t="s">
        <v>840</v>
      </c>
      <c r="B519" s="1491" t="n">
        <f aca="false">B506+B517</f>
        <v>35615410</v>
      </c>
      <c r="C519" s="1492"/>
      <c r="D519" s="1492"/>
      <c r="E519" s="1492"/>
      <c r="J519" s="1565" t="s">
        <v>870</v>
      </c>
      <c r="K519" s="1565"/>
      <c r="L519" s="1565"/>
    </row>
    <row r="520" s="789" customFormat="true" ht="18.75" hidden="false" customHeight="true" outlineLevel="0" collapsed="false">
      <c r="A520" s="1502"/>
      <c r="B520" s="1495"/>
      <c r="C520" s="1496" t="s">
        <v>841</v>
      </c>
      <c r="D520" s="1497"/>
      <c r="E520" s="1498"/>
      <c r="F520" s="1499" t="s">
        <v>842</v>
      </c>
      <c r="G520" s="1498"/>
      <c r="H520" s="1500" t="n">
        <f aca="false">G506+G517</f>
        <v>375155</v>
      </c>
      <c r="I520" s="1501" t="s">
        <v>544</v>
      </c>
      <c r="J520" s="1566" t="s">
        <v>856</v>
      </c>
      <c r="K520" s="1566"/>
      <c r="L520" s="1567" t="n">
        <f aca="false">L471+L502</f>
        <v>1648706</v>
      </c>
    </row>
    <row r="521" s="789" customFormat="true" ht="18.75" hidden="false" customHeight="true" outlineLevel="0" collapsed="false">
      <c r="A521" s="1502" t="s">
        <v>843</v>
      </c>
      <c r="B521" s="1503"/>
      <c r="C521" s="1504"/>
      <c r="D521" s="1505"/>
      <c r="E521" s="1500" t="n">
        <f aca="false">C506+C517</f>
        <v>31710920</v>
      </c>
      <c r="F521" s="1580"/>
      <c r="G521" s="1507" t="n">
        <f aca="false">B522</f>
        <v>341050000</v>
      </c>
      <c r="H521" s="1508" t="n">
        <f aca="false">G498</f>
        <v>1.1</v>
      </c>
      <c r="I521" s="1500"/>
      <c r="J521" s="1566" t="s">
        <v>860</v>
      </c>
      <c r="K521" s="1566"/>
      <c r="L521" s="1567" t="n">
        <f aca="false">L480+L482+L511+L513</f>
        <v>1622956</v>
      </c>
    </row>
    <row r="522" s="789" customFormat="true" ht="18.75" hidden="false" customHeight="true" outlineLevel="0" collapsed="false">
      <c r="A522" s="1509" t="s">
        <v>690</v>
      </c>
      <c r="B522" s="1510" t="n">
        <f aca="false">ROUNDUP(H520/G498*1000,-3)</f>
        <v>341050000</v>
      </c>
      <c r="C522" s="1496" t="s">
        <v>844</v>
      </c>
      <c r="D522" s="1497"/>
      <c r="E522" s="1511"/>
      <c r="F522" s="1499" t="s">
        <v>845</v>
      </c>
      <c r="G522" s="1498"/>
      <c r="H522" s="1500" t="n">
        <f aca="false">H506+H517</f>
        <v>68210</v>
      </c>
      <c r="I522" s="1094" t="s">
        <v>545</v>
      </c>
      <c r="J522" s="1566" t="s">
        <v>862</v>
      </c>
      <c r="K522" s="1566"/>
      <c r="L522" s="1567" t="n">
        <f aca="false">L484+L515</f>
        <v>2440</v>
      </c>
      <c r="M522" s="1406"/>
      <c r="N522" s="1406"/>
      <c r="O522" s="1406"/>
      <c r="P522" s="1406"/>
      <c r="Q522" s="1406"/>
    </row>
    <row r="523" s="1406" customFormat="true" ht="18.75" hidden="false" customHeight="true" outlineLevel="0" collapsed="false">
      <c r="A523" s="1509"/>
      <c r="B523" s="1510"/>
      <c r="C523" s="1512"/>
      <c r="D523" s="1505"/>
      <c r="E523" s="1500" t="n">
        <f aca="false">D506+D517+E517</f>
        <v>1807144</v>
      </c>
      <c r="F523" s="1499"/>
      <c r="G523" s="1507" t="n">
        <f aca="false">B522</f>
        <v>341050000</v>
      </c>
      <c r="H523" s="1508" t="n">
        <f aca="false">H498</f>
        <v>0.2</v>
      </c>
      <c r="I523" s="1094"/>
      <c r="J523" s="1570" t="s">
        <v>489</v>
      </c>
      <c r="K523" s="1570"/>
      <c r="L523" s="1571" t="n">
        <f aca="false">SUM(L520:L522)</f>
        <v>3274102</v>
      </c>
      <c r="M523" s="607"/>
      <c r="N523" s="607"/>
      <c r="O523" s="607"/>
      <c r="P523" s="607"/>
      <c r="Q523" s="607"/>
    </row>
    <row r="524" customFormat="false" ht="18.75" hidden="false" customHeight="true" outlineLevel="0" collapsed="false">
      <c r="A524" s="1514" t="s">
        <v>859</v>
      </c>
      <c r="B524" s="1581"/>
      <c r="C524" s="1516" t="s">
        <v>847</v>
      </c>
      <c r="D524" s="1518"/>
      <c r="E524" s="1498"/>
      <c r="F524" s="1518" t="s">
        <v>848</v>
      </c>
      <c r="G524" s="1497"/>
      <c r="H524" s="1500" t="n">
        <f aca="false">I506+I517</f>
        <v>8185</v>
      </c>
      <c r="I524" s="1094" t="s">
        <v>546</v>
      </c>
      <c r="J524" s="1583" t="s">
        <v>871</v>
      </c>
      <c r="K524" s="1583"/>
      <c r="L524" s="1569" t="n">
        <f aca="false">L465</f>
        <v>113685253</v>
      </c>
    </row>
    <row r="525" customFormat="false" ht="18.75" hidden="false" customHeight="true" outlineLevel="0" collapsed="false">
      <c r="A525" s="1514"/>
      <c r="B525" s="1581"/>
      <c r="C525" s="1519"/>
      <c r="D525" s="1511"/>
      <c r="E525" s="1500" t="n">
        <f aca="false">F517</f>
        <v>16929</v>
      </c>
      <c r="F525" s="1582"/>
      <c r="G525" s="1507" t="n">
        <f aca="false">B522</f>
        <v>341050000</v>
      </c>
      <c r="H525" s="1520" t="n">
        <f aca="false">I498</f>
        <v>0.024</v>
      </c>
      <c r="J525" s="1584" t="s">
        <v>872</v>
      </c>
      <c r="K525" s="1584"/>
      <c r="L525" s="1571" t="n">
        <f aca="false">SUM(L523:L524)</f>
        <v>116959355</v>
      </c>
    </row>
    <row r="526" customFormat="false" ht="18.75" hidden="false" customHeight="true" outlineLevel="0" collapsed="false">
      <c r="A526" s="1278"/>
      <c r="B526" s="1521"/>
      <c r="C526" s="1516" t="s">
        <v>849</v>
      </c>
      <c r="D526" s="1518"/>
      <c r="E526" s="1522"/>
      <c r="F526" s="1523" t="s">
        <v>850</v>
      </c>
      <c r="G526" s="1523"/>
      <c r="H526" s="1523"/>
      <c r="J526" s="1585"/>
      <c r="K526" s="1585"/>
      <c r="L526" s="1586"/>
    </row>
    <row r="527" customFormat="false" ht="18.75" hidden="false" customHeight="true" outlineLevel="0" collapsed="false">
      <c r="A527" s="1278"/>
      <c r="B527" s="1521"/>
      <c r="C527" s="1524"/>
      <c r="D527" s="1511"/>
      <c r="E527" s="1500" t="n">
        <f aca="false">J506+J517</f>
        <v>1628867</v>
      </c>
      <c r="F527" s="1523"/>
      <c r="G527" s="1523"/>
      <c r="H527" s="1523"/>
      <c r="I527" s="1560"/>
      <c r="J527" s="1438"/>
      <c r="K527" s="1438"/>
      <c r="L527" s="1586"/>
    </row>
  </sheetData>
  <mergeCells count="299">
    <mergeCell ref="C1:C2"/>
    <mergeCell ref="D5:E5"/>
    <mergeCell ref="D6:E6"/>
    <mergeCell ref="D7:E7"/>
    <mergeCell ref="K7:K8"/>
    <mergeCell ref="D8:E8"/>
    <mergeCell ref="D9:E9"/>
    <mergeCell ref="D10:E10"/>
    <mergeCell ref="D11:E11"/>
    <mergeCell ref="K17:K18"/>
    <mergeCell ref="A26:A27"/>
    <mergeCell ref="B26:B27"/>
    <mergeCell ref="A28:A29"/>
    <mergeCell ref="B28:B29"/>
    <mergeCell ref="F30:H31"/>
    <mergeCell ref="C32:C33"/>
    <mergeCell ref="D36:E36"/>
    <mergeCell ref="D37:E37"/>
    <mergeCell ref="D38:E38"/>
    <mergeCell ref="K38:K39"/>
    <mergeCell ref="D39:E39"/>
    <mergeCell ref="D40:E40"/>
    <mergeCell ref="D41:E41"/>
    <mergeCell ref="D42:E42"/>
    <mergeCell ref="K48:K49"/>
    <mergeCell ref="A57:A58"/>
    <mergeCell ref="B57:B58"/>
    <mergeCell ref="A59:A60"/>
    <mergeCell ref="B59:B60"/>
    <mergeCell ref="F61:H62"/>
    <mergeCell ref="C63:C64"/>
    <mergeCell ref="D67:E67"/>
    <mergeCell ref="D68:E68"/>
    <mergeCell ref="D69:E69"/>
    <mergeCell ref="K69:K70"/>
    <mergeCell ref="D70:E70"/>
    <mergeCell ref="D71:E71"/>
    <mergeCell ref="D72:E72"/>
    <mergeCell ref="D73:E73"/>
    <mergeCell ref="K79:K80"/>
    <mergeCell ref="A88:A89"/>
    <mergeCell ref="B88:B89"/>
    <mergeCell ref="A90:A91"/>
    <mergeCell ref="B90:B91"/>
    <mergeCell ref="F92:H93"/>
    <mergeCell ref="C94:C95"/>
    <mergeCell ref="D98:E98"/>
    <mergeCell ref="D99:E99"/>
    <mergeCell ref="D100:E100"/>
    <mergeCell ref="K100:K101"/>
    <mergeCell ref="D101:E101"/>
    <mergeCell ref="D102:E102"/>
    <mergeCell ref="D103:E103"/>
    <mergeCell ref="D104:E104"/>
    <mergeCell ref="K110:K111"/>
    <mergeCell ref="J116:L116"/>
    <mergeCell ref="J117:K117"/>
    <mergeCell ref="J118:K118"/>
    <mergeCell ref="A119:A120"/>
    <mergeCell ref="B119:B120"/>
    <mergeCell ref="J119:K119"/>
    <mergeCell ref="J120:K120"/>
    <mergeCell ref="A121:A122"/>
    <mergeCell ref="B121:B122"/>
    <mergeCell ref="J121:K121"/>
    <mergeCell ref="J122:K122"/>
    <mergeCell ref="F123:H124"/>
    <mergeCell ref="J123:K123"/>
    <mergeCell ref="J124:K124"/>
    <mergeCell ref="C125:C126"/>
    <mergeCell ref="D129:E129"/>
    <mergeCell ref="D130:E130"/>
    <mergeCell ref="D131:E131"/>
    <mergeCell ref="K131:K132"/>
    <mergeCell ref="D132:E132"/>
    <mergeCell ref="D133:E133"/>
    <mergeCell ref="D134:E134"/>
    <mergeCell ref="D135:E135"/>
    <mergeCell ref="K141:K142"/>
    <mergeCell ref="A150:A151"/>
    <mergeCell ref="B150:B151"/>
    <mergeCell ref="A152:A153"/>
    <mergeCell ref="B152:B153"/>
    <mergeCell ref="F154:H155"/>
    <mergeCell ref="C156:C157"/>
    <mergeCell ref="D160:E160"/>
    <mergeCell ref="D161:E161"/>
    <mergeCell ref="D162:E162"/>
    <mergeCell ref="K162:K163"/>
    <mergeCell ref="D163:E163"/>
    <mergeCell ref="D164:E164"/>
    <mergeCell ref="D165:E165"/>
    <mergeCell ref="D166:E166"/>
    <mergeCell ref="K172:K173"/>
    <mergeCell ref="A181:A182"/>
    <mergeCell ref="B181:B182"/>
    <mergeCell ref="A183:A184"/>
    <mergeCell ref="B183:B184"/>
    <mergeCell ref="F185:H186"/>
    <mergeCell ref="C187:C188"/>
    <mergeCell ref="D191:E191"/>
    <mergeCell ref="D192:E192"/>
    <mergeCell ref="D193:E193"/>
    <mergeCell ref="K193:K194"/>
    <mergeCell ref="D194:E194"/>
    <mergeCell ref="D195:E195"/>
    <mergeCell ref="D196:E196"/>
    <mergeCell ref="D197:E197"/>
    <mergeCell ref="K203:K204"/>
    <mergeCell ref="J209:L209"/>
    <mergeCell ref="J210:K210"/>
    <mergeCell ref="J211:K211"/>
    <mergeCell ref="A212:A213"/>
    <mergeCell ref="B212:B213"/>
    <mergeCell ref="J212:K212"/>
    <mergeCell ref="J213:K213"/>
    <mergeCell ref="A214:A215"/>
    <mergeCell ref="B214:B215"/>
    <mergeCell ref="J214:K214"/>
    <mergeCell ref="J215:K215"/>
    <mergeCell ref="F216:H217"/>
    <mergeCell ref="C218:C219"/>
    <mergeCell ref="D222:E222"/>
    <mergeCell ref="D223:E223"/>
    <mergeCell ref="D224:E224"/>
    <mergeCell ref="K224:K225"/>
    <mergeCell ref="D225:E225"/>
    <mergeCell ref="D226:E226"/>
    <mergeCell ref="D227:E227"/>
    <mergeCell ref="D228:E228"/>
    <mergeCell ref="K234:K235"/>
    <mergeCell ref="J241:J242"/>
    <mergeCell ref="A243:A244"/>
    <mergeCell ref="B243:B244"/>
    <mergeCell ref="A245:A246"/>
    <mergeCell ref="B245:B246"/>
    <mergeCell ref="F247:H248"/>
    <mergeCell ref="C249:C250"/>
    <mergeCell ref="D253:E253"/>
    <mergeCell ref="D254:E254"/>
    <mergeCell ref="D255:E255"/>
    <mergeCell ref="K255:K256"/>
    <mergeCell ref="D256:E256"/>
    <mergeCell ref="D257:E257"/>
    <mergeCell ref="D258:E258"/>
    <mergeCell ref="D259:E259"/>
    <mergeCell ref="K265:K266"/>
    <mergeCell ref="A274:A275"/>
    <mergeCell ref="B274:B275"/>
    <mergeCell ref="A276:A277"/>
    <mergeCell ref="B276:B277"/>
    <mergeCell ref="F278:H279"/>
    <mergeCell ref="C280:C281"/>
    <mergeCell ref="D284:E284"/>
    <mergeCell ref="D285:E285"/>
    <mergeCell ref="D286:E286"/>
    <mergeCell ref="K286:K287"/>
    <mergeCell ref="D287:E287"/>
    <mergeCell ref="D288:E288"/>
    <mergeCell ref="D289:E289"/>
    <mergeCell ref="D290:E290"/>
    <mergeCell ref="K296:K297"/>
    <mergeCell ref="A305:A306"/>
    <mergeCell ref="B305:B306"/>
    <mergeCell ref="A307:A308"/>
    <mergeCell ref="B307:B308"/>
    <mergeCell ref="F309:H310"/>
    <mergeCell ref="C311:C312"/>
    <mergeCell ref="D315:E315"/>
    <mergeCell ref="D316:E316"/>
    <mergeCell ref="D317:E317"/>
    <mergeCell ref="K317:K318"/>
    <mergeCell ref="D318:E318"/>
    <mergeCell ref="D319:E319"/>
    <mergeCell ref="D320:E320"/>
    <mergeCell ref="D321:E321"/>
    <mergeCell ref="K327:K328"/>
    <mergeCell ref="J333:L333"/>
    <mergeCell ref="J334:K334"/>
    <mergeCell ref="J335:K335"/>
    <mergeCell ref="A336:A337"/>
    <mergeCell ref="B336:B337"/>
    <mergeCell ref="J336:K336"/>
    <mergeCell ref="J337:K337"/>
    <mergeCell ref="A338:A339"/>
    <mergeCell ref="B338:B339"/>
    <mergeCell ref="J338:K338"/>
    <mergeCell ref="J339:K339"/>
    <mergeCell ref="F340:H341"/>
    <mergeCell ref="J340:K340"/>
    <mergeCell ref="J341:K341"/>
    <mergeCell ref="C342:C343"/>
    <mergeCell ref="D346:E346"/>
    <mergeCell ref="D347:E347"/>
    <mergeCell ref="D348:E348"/>
    <mergeCell ref="K348:K349"/>
    <mergeCell ref="D349:E349"/>
    <mergeCell ref="D350:E350"/>
    <mergeCell ref="D351:E351"/>
    <mergeCell ref="D352:E352"/>
    <mergeCell ref="K358:K359"/>
    <mergeCell ref="A367:A368"/>
    <mergeCell ref="B367:B368"/>
    <mergeCell ref="A369:A370"/>
    <mergeCell ref="B369:B370"/>
    <mergeCell ref="F371:H372"/>
    <mergeCell ref="C373:C374"/>
    <mergeCell ref="D377:E377"/>
    <mergeCell ref="D378:E378"/>
    <mergeCell ref="D379:E379"/>
    <mergeCell ref="K379:K380"/>
    <mergeCell ref="D380:E380"/>
    <mergeCell ref="D381:E381"/>
    <mergeCell ref="D382:E382"/>
    <mergeCell ref="D383:E383"/>
    <mergeCell ref="K389:K390"/>
    <mergeCell ref="A398:A399"/>
    <mergeCell ref="B398:B399"/>
    <mergeCell ref="A400:A401"/>
    <mergeCell ref="B400:B401"/>
    <mergeCell ref="F402:H403"/>
    <mergeCell ref="C404:C405"/>
    <mergeCell ref="D408:E408"/>
    <mergeCell ref="D409:E409"/>
    <mergeCell ref="D410:E410"/>
    <mergeCell ref="K410:K411"/>
    <mergeCell ref="D411:E411"/>
    <mergeCell ref="D412:E412"/>
    <mergeCell ref="D413:E413"/>
    <mergeCell ref="D414:E414"/>
    <mergeCell ref="K420:K421"/>
    <mergeCell ref="A429:A430"/>
    <mergeCell ref="B429:B430"/>
    <mergeCell ref="A431:A432"/>
    <mergeCell ref="B431:B432"/>
    <mergeCell ref="F433:H434"/>
    <mergeCell ref="C435:C436"/>
    <mergeCell ref="D439:E439"/>
    <mergeCell ref="D440:E440"/>
    <mergeCell ref="D441:E441"/>
    <mergeCell ref="K441:K442"/>
    <mergeCell ref="D442:E442"/>
    <mergeCell ref="D443:E443"/>
    <mergeCell ref="D444:E444"/>
    <mergeCell ref="D445:E445"/>
    <mergeCell ref="K451:K452"/>
    <mergeCell ref="J457:L457"/>
    <mergeCell ref="J458:K458"/>
    <mergeCell ref="J459:K459"/>
    <mergeCell ref="A460:A461"/>
    <mergeCell ref="B460:B461"/>
    <mergeCell ref="J460:K460"/>
    <mergeCell ref="J461:K461"/>
    <mergeCell ref="A462:A463"/>
    <mergeCell ref="B462:B463"/>
    <mergeCell ref="J462:K462"/>
    <mergeCell ref="J463:K463"/>
    <mergeCell ref="F464:H465"/>
    <mergeCell ref="J464:K464"/>
    <mergeCell ref="J465:K465"/>
    <mergeCell ref="C466:C467"/>
    <mergeCell ref="D470:E470"/>
    <mergeCell ref="D471:E471"/>
    <mergeCell ref="D472:E472"/>
    <mergeCell ref="K472:K473"/>
    <mergeCell ref="D473:E473"/>
    <mergeCell ref="D474:E474"/>
    <mergeCell ref="D475:E475"/>
    <mergeCell ref="D476:E476"/>
    <mergeCell ref="K482:K483"/>
    <mergeCell ref="A491:A492"/>
    <mergeCell ref="B491:B492"/>
    <mergeCell ref="A493:A494"/>
    <mergeCell ref="B493:B494"/>
    <mergeCell ref="F495:H496"/>
    <mergeCell ref="C497:C498"/>
    <mergeCell ref="D501:E501"/>
    <mergeCell ref="D502:E502"/>
    <mergeCell ref="D503:E503"/>
    <mergeCell ref="K503:K504"/>
    <mergeCell ref="D504:E504"/>
    <mergeCell ref="D505:E505"/>
    <mergeCell ref="D506:E506"/>
    <mergeCell ref="D507:E507"/>
    <mergeCell ref="K513:K514"/>
    <mergeCell ref="J519:L519"/>
    <mergeCell ref="J520:K520"/>
    <mergeCell ref="J521:K521"/>
    <mergeCell ref="A522:A523"/>
    <mergeCell ref="B522:B523"/>
    <mergeCell ref="J522:K522"/>
    <mergeCell ref="J523:K523"/>
    <mergeCell ref="A524:A525"/>
    <mergeCell ref="B524:B525"/>
    <mergeCell ref="J524:K524"/>
    <mergeCell ref="J525:K525"/>
    <mergeCell ref="F526:H527"/>
    <mergeCell ref="J526:K526"/>
    <mergeCell ref="J527:K527"/>
  </mergeCells>
  <conditionalFormatting sqref="H23">
    <cfRule type="expression" priority="2" aboveAverage="0" equalAverage="0" bottom="0" percent="0" rank="0" text="" dxfId="27">
      <formula>$H$23="  "</formula>
    </cfRule>
  </conditionalFormatting>
  <conditionalFormatting sqref="F25">
    <cfRule type="expression" priority="3" aboveAverage="0" equalAverage="0" bottom="0" percent="0" rank="0" text="" dxfId="28">
      <formula>NOT(ISERROR(SEARCH("明細",F25)))</formula>
    </cfRule>
    <cfRule type="expression" priority="4" aboveAverage="0" equalAverage="0" bottom="0" percent="0" rank="0" text="" dxfId="29">
      <formula>$H$23="  "</formula>
    </cfRule>
  </conditionalFormatting>
  <conditionalFormatting sqref="F27">
    <cfRule type="expression" priority="5" aboveAverage="0" equalAverage="0" bottom="0" percent="0" rank="0" text="" dxfId="30">
      <formula>NOT(ISERROR(SEARCH("明細",F27)))</formula>
    </cfRule>
    <cfRule type="expression" priority="6" aboveAverage="0" equalAverage="0" bottom="0" percent="0" rank="0" text="" dxfId="31">
      <formula>$H$23="  "</formula>
    </cfRule>
  </conditionalFormatting>
  <conditionalFormatting sqref="F29">
    <cfRule type="expression" priority="7" aboveAverage="0" equalAverage="0" bottom="0" percent="0" rank="0" text="" dxfId="32">
      <formula>NOT(ISERROR(SEARCH("明細",F29)))</formula>
    </cfRule>
    <cfRule type="expression" priority="8" aboveAverage="0" equalAverage="0" bottom="0" percent="0" rank="0" text="" dxfId="33">
      <formula>$H$23="  "</formula>
    </cfRule>
  </conditionalFormatting>
  <conditionalFormatting sqref="D29">
    <cfRule type="expression" priority="9" aboveAverage="0" equalAverage="0" bottom="0" percent="0" rank="0" text="" dxfId="34">
      <formula>NOT(ISERROR(SEARCH("明細",D29)))</formula>
    </cfRule>
    <cfRule type="expression" priority="10" aboveAverage="0" equalAverage="0" bottom="0" percent="0" rank="0" text="" dxfId="35">
      <formula>$H$23="  "</formula>
    </cfRule>
  </conditionalFormatting>
  <conditionalFormatting sqref="D60">
    <cfRule type="expression" priority="11" aboveAverage="0" equalAverage="0" bottom="0" percent="0" rank="0" text="" dxfId="36">
      <formula>NOT(ISERROR(SEARCH("明細",D60)))</formula>
    </cfRule>
    <cfRule type="expression" priority="12" aboveAverage="0" equalAverage="0" bottom="0" percent="0" rank="0" text="" dxfId="37">
      <formula>$H$23="  "</formula>
    </cfRule>
  </conditionalFormatting>
  <conditionalFormatting sqref="F56">
    <cfRule type="expression" priority="13" aboveAverage="0" equalAverage="0" bottom="0" percent="0" rank="0" text="" dxfId="38">
      <formula>NOT(ISERROR(SEARCH("明細",F56)))</formula>
    </cfRule>
    <cfRule type="expression" priority="14" aboveAverage="0" equalAverage="0" bottom="0" percent="0" rank="0" text="" dxfId="39">
      <formula>$H$23="  "</formula>
    </cfRule>
  </conditionalFormatting>
  <conditionalFormatting sqref="F58">
    <cfRule type="expression" priority="15" aboveAverage="0" equalAverage="0" bottom="0" percent="0" rank="0" text="" dxfId="40">
      <formula>NOT(ISERROR(SEARCH("明細",F58)))</formula>
    </cfRule>
    <cfRule type="expression" priority="16" aboveAverage="0" equalAverage="0" bottom="0" percent="0" rank="0" text="" dxfId="41">
      <formula>$H$23="  "</formula>
    </cfRule>
  </conditionalFormatting>
  <conditionalFormatting sqref="F60">
    <cfRule type="expression" priority="17" aboveAverage="0" equalAverage="0" bottom="0" percent="0" rank="0" text="" dxfId="42">
      <formula>NOT(ISERROR(SEARCH("明細",F60)))</formula>
    </cfRule>
    <cfRule type="expression" priority="18" aboveAverage="0" equalAverage="0" bottom="0" percent="0" rank="0" text="" dxfId="43">
      <formula>$H$23="  "</formula>
    </cfRule>
  </conditionalFormatting>
  <conditionalFormatting sqref="D91">
    <cfRule type="expression" priority="19" aboveAverage="0" equalAverage="0" bottom="0" percent="0" rank="0" text="" dxfId="44">
      <formula>NOT(ISERROR(SEARCH("明細",D91)))</formula>
    </cfRule>
    <cfRule type="expression" priority="20" aboveAverage="0" equalAverage="0" bottom="0" percent="0" rank="0" text="" dxfId="45">
      <formula>$H$23="  "</formula>
    </cfRule>
  </conditionalFormatting>
  <conditionalFormatting sqref="D122">
    <cfRule type="expression" priority="21" aboveAverage="0" equalAverage="0" bottom="0" percent="0" rank="0" text="" dxfId="46">
      <formula>NOT(ISERROR(SEARCH("明細",D122)))</formula>
    </cfRule>
    <cfRule type="expression" priority="22" aboveAverage="0" equalAverage="0" bottom="0" percent="0" rank="0" text="" dxfId="47">
      <formula>$H$23="  "</formula>
    </cfRule>
  </conditionalFormatting>
  <conditionalFormatting sqref="D153">
    <cfRule type="expression" priority="23" aboveAverage="0" equalAverage="0" bottom="0" percent="0" rank="0" text="" dxfId="48">
      <formula>NOT(ISERROR(SEARCH("明細",D153)))</formula>
    </cfRule>
    <cfRule type="expression" priority="24" aboveAverage="0" equalAverage="0" bottom="0" percent="0" rank="0" text="" dxfId="49">
      <formula>$H$23="  "</formula>
    </cfRule>
  </conditionalFormatting>
  <conditionalFormatting sqref="D184">
    <cfRule type="expression" priority="25" aboveAverage="0" equalAverage="0" bottom="0" percent="0" rank="0" text="" dxfId="50">
      <formula>NOT(ISERROR(SEARCH("明細",D184)))</formula>
    </cfRule>
    <cfRule type="expression" priority="26" aboveAverage="0" equalAverage="0" bottom="0" percent="0" rank="0" text="" dxfId="51">
      <formula>$H$23="  "</formula>
    </cfRule>
  </conditionalFormatting>
  <conditionalFormatting sqref="D215">
    <cfRule type="expression" priority="27" aboveAverage="0" equalAverage="0" bottom="0" percent="0" rank="0" text="" dxfId="52">
      <formula>NOT(ISERROR(SEARCH("明細",D215)))</formula>
    </cfRule>
    <cfRule type="expression" priority="28" aboveAverage="0" equalAverage="0" bottom="0" percent="0" rank="0" text="" dxfId="53">
      <formula>$H$23="  "</formula>
    </cfRule>
  </conditionalFormatting>
  <conditionalFormatting sqref="D246">
    <cfRule type="expression" priority="29" aboveAverage="0" equalAverage="0" bottom="0" percent="0" rank="0" text="" dxfId="54">
      <formula>NOT(ISERROR(SEARCH("明細",D246)))</formula>
    </cfRule>
    <cfRule type="expression" priority="30" aboveAverage="0" equalAverage="0" bottom="0" percent="0" rank="0" text="" dxfId="55">
      <formula>$H$23="  "</formula>
    </cfRule>
  </conditionalFormatting>
  <conditionalFormatting sqref="D277">
    <cfRule type="expression" priority="31" aboveAverage="0" equalAverage="0" bottom="0" percent="0" rank="0" text="" dxfId="56">
      <formula>NOT(ISERROR(SEARCH("明細",D277)))</formula>
    </cfRule>
    <cfRule type="expression" priority="32" aboveAverage="0" equalAverage="0" bottom="0" percent="0" rank="0" text="" dxfId="57">
      <formula>$H$23="  "</formula>
    </cfRule>
  </conditionalFormatting>
  <conditionalFormatting sqref="D308">
    <cfRule type="expression" priority="33" aboveAverage="0" equalAverage="0" bottom="0" percent="0" rank="0" text="" dxfId="58">
      <formula>NOT(ISERROR(SEARCH("明細",D308)))</formula>
    </cfRule>
    <cfRule type="expression" priority="34" aboveAverage="0" equalAverage="0" bottom="0" percent="0" rank="0" text="" dxfId="59">
      <formula>$H$23="  "</formula>
    </cfRule>
  </conditionalFormatting>
  <conditionalFormatting sqref="D339">
    <cfRule type="expression" priority="35" aboveAverage="0" equalAverage="0" bottom="0" percent="0" rank="0" text="" dxfId="60">
      <formula>NOT(ISERROR(SEARCH("明細",D339)))</formula>
    </cfRule>
    <cfRule type="expression" priority="36" aboveAverage="0" equalAverage="0" bottom="0" percent="0" rank="0" text="" dxfId="61">
      <formula>$H$23="  "</formula>
    </cfRule>
  </conditionalFormatting>
  <conditionalFormatting sqref="D370">
    <cfRule type="expression" priority="37" aboveAverage="0" equalAverage="0" bottom="0" percent="0" rank="0" text="" dxfId="62">
      <formula>NOT(ISERROR(SEARCH("明細",D370)))</formula>
    </cfRule>
    <cfRule type="expression" priority="38" aboveAverage="0" equalAverage="0" bottom="0" percent="0" rank="0" text="" dxfId="63">
      <formula>$H$23="  "</formula>
    </cfRule>
  </conditionalFormatting>
  <conditionalFormatting sqref="D401">
    <cfRule type="expression" priority="39" aboveAverage="0" equalAverage="0" bottom="0" percent="0" rank="0" text="" dxfId="64">
      <formula>NOT(ISERROR(SEARCH("明細",D401)))</formula>
    </cfRule>
    <cfRule type="expression" priority="40" aboveAverage="0" equalAverage="0" bottom="0" percent="0" rank="0" text="" dxfId="65">
      <formula>$H$23="  "</formula>
    </cfRule>
  </conditionalFormatting>
  <conditionalFormatting sqref="D432">
    <cfRule type="expression" priority="41" aboveAverage="0" equalAverage="0" bottom="0" percent="0" rank="0" text="" dxfId="66">
      <formula>NOT(ISERROR(SEARCH("明細",D432)))</formula>
    </cfRule>
    <cfRule type="expression" priority="42" aboveAverage="0" equalAverage="0" bottom="0" percent="0" rank="0" text="" dxfId="67">
      <formula>$H$23="  "</formula>
    </cfRule>
  </conditionalFormatting>
  <conditionalFormatting sqref="D463">
    <cfRule type="expression" priority="43" aboveAverage="0" equalAverage="0" bottom="0" percent="0" rank="0" text="" dxfId="68">
      <formula>NOT(ISERROR(SEARCH("明細",D463)))</formula>
    </cfRule>
    <cfRule type="expression" priority="44" aboveAverage="0" equalAverage="0" bottom="0" percent="0" rank="0" text="" dxfId="69">
      <formula>$H$23="  "</formula>
    </cfRule>
  </conditionalFormatting>
  <conditionalFormatting sqref="F87">
    <cfRule type="expression" priority="45" aboveAverage="0" equalAverage="0" bottom="0" percent="0" rank="0" text="" dxfId="70">
      <formula>NOT(ISERROR(SEARCH("明細",F87)))</formula>
    </cfRule>
    <cfRule type="expression" priority="46" aboveAverage="0" equalAverage="0" bottom="0" percent="0" rank="0" text="" dxfId="71">
      <formula>$H$23="  "</formula>
    </cfRule>
  </conditionalFormatting>
  <conditionalFormatting sqref="F118">
    <cfRule type="expression" priority="47" aboveAverage="0" equalAverage="0" bottom="0" percent="0" rank="0" text="" dxfId="72">
      <formula>NOT(ISERROR(SEARCH("明細",F118)))</formula>
    </cfRule>
    <cfRule type="expression" priority="48" aboveAverage="0" equalAverage="0" bottom="0" percent="0" rank="0" text="" dxfId="73">
      <formula>$H$23="  "</formula>
    </cfRule>
  </conditionalFormatting>
  <conditionalFormatting sqref="F149">
    <cfRule type="expression" priority="49" aboveAverage="0" equalAverage="0" bottom="0" percent="0" rank="0" text="" dxfId="74">
      <formula>NOT(ISERROR(SEARCH("明細",F149)))</formula>
    </cfRule>
    <cfRule type="expression" priority="50" aboveAverage="0" equalAverage="0" bottom="0" percent="0" rank="0" text="" dxfId="75">
      <formula>$H$23="  "</formula>
    </cfRule>
  </conditionalFormatting>
  <conditionalFormatting sqref="F180">
    <cfRule type="expression" priority="51" aboveAverage="0" equalAverage="0" bottom="0" percent="0" rank="0" text="" dxfId="76">
      <formula>NOT(ISERROR(SEARCH("明細",F180)))</formula>
    </cfRule>
    <cfRule type="expression" priority="52" aboveAverage="0" equalAverage="0" bottom="0" percent="0" rank="0" text="" dxfId="77">
      <formula>$H$23="  "</formula>
    </cfRule>
  </conditionalFormatting>
  <conditionalFormatting sqref="F211">
    <cfRule type="expression" priority="53" aboveAverage="0" equalAverage="0" bottom="0" percent="0" rank="0" text="" dxfId="78">
      <formula>NOT(ISERROR(SEARCH("明細",F211)))</formula>
    </cfRule>
    <cfRule type="expression" priority="54" aboveAverage="0" equalAverage="0" bottom="0" percent="0" rank="0" text="" dxfId="79">
      <formula>$H$23="  "</formula>
    </cfRule>
  </conditionalFormatting>
  <conditionalFormatting sqref="F242">
    <cfRule type="expression" priority="55" aboveAverage="0" equalAverage="0" bottom="0" percent="0" rank="0" text="" dxfId="80">
      <formula>NOT(ISERROR(SEARCH("明細",F242)))</formula>
    </cfRule>
    <cfRule type="expression" priority="56" aboveAverage="0" equalAverage="0" bottom="0" percent="0" rank="0" text="" dxfId="81">
      <formula>$H$23="  "</formula>
    </cfRule>
  </conditionalFormatting>
  <conditionalFormatting sqref="F273">
    <cfRule type="expression" priority="57" aboveAverage="0" equalAverage="0" bottom="0" percent="0" rank="0" text="" dxfId="82">
      <formula>NOT(ISERROR(SEARCH("明細",F273)))</formula>
    </cfRule>
    <cfRule type="expression" priority="58" aboveAverage="0" equalAverage="0" bottom="0" percent="0" rank="0" text="" dxfId="83">
      <formula>$H$23="  "</formula>
    </cfRule>
  </conditionalFormatting>
  <conditionalFormatting sqref="F304">
    <cfRule type="expression" priority="59" aboveAverage="0" equalAverage="0" bottom="0" percent="0" rank="0" text="" dxfId="84">
      <formula>NOT(ISERROR(SEARCH("明細",F304)))</formula>
    </cfRule>
    <cfRule type="expression" priority="60" aboveAverage="0" equalAverage="0" bottom="0" percent="0" rank="0" text="" dxfId="85">
      <formula>$H$23="  "</formula>
    </cfRule>
  </conditionalFormatting>
  <conditionalFormatting sqref="F335">
    <cfRule type="expression" priority="61" aboveAverage="0" equalAverage="0" bottom="0" percent="0" rank="0" text="" dxfId="86">
      <formula>NOT(ISERROR(SEARCH("明細",F335)))</formula>
    </cfRule>
    <cfRule type="expression" priority="62" aboveAverage="0" equalAverage="0" bottom="0" percent="0" rank="0" text="" dxfId="87">
      <formula>$H$23="  "</formula>
    </cfRule>
  </conditionalFormatting>
  <conditionalFormatting sqref="F366">
    <cfRule type="expression" priority="63" aboveAverage="0" equalAverage="0" bottom="0" percent="0" rank="0" text="" dxfId="88">
      <formula>NOT(ISERROR(SEARCH("明細",F366)))</formula>
    </cfRule>
    <cfRule type="expression" priority="64" aboveAverage="0" equalAverage="0" bottom="0" percent="0" rank="0" text="" dxfId="89">
      <formula>$H$23="  "</formula>
    </cfRule>
  </conditionalFormatting>
  <conditionalFormatting sqref="F397">
    <cfRule type="expression" priority="65" aboveAverage="0" equalAverage="0" bottom="0" percent="0" rank="0" text="" dxfId="90">
      <formula>NOT(ISERROR(SEARCH("明細",F397)))</formula>
    </cfRule>
    <cfRule type="expression" priority="66" aboveAverage="0" equalAverage="0" bottom="0" percent="0" rank="0" text="" dxfId="91">
      <formula>$H$23="  "</formula>
    </cfRule>
  </conditionalFormatting>
  <conditionalFormatting sqref="F428">
    <cfRule type="expression" priority="67" aboveAverage="0" equalAverage="0" bottom="0" percent="0" rank="0" text="" dxfId="92">
      <formula>NOT(ISERROR(SEARCH("明細",F428)))</formula>
    </cfRule>
    <cfRule type="expression" priority="68" aboveAverage="0" equalAverage="0" bottom="0" percent="0" rank="0" text="" dxfId="93">
      <formula>$H$23="  "</formula>
    </cfRule>
  </conditionalFormatting>
  <conditionalFormatting sqref="F459">
    <cfRule type="expression" priority="69" aboveAverage="0" equalAverage="0" bottom="0" percent="0" rank="0" text="" dxfId="94">
      <formula>NOT(ISERROR(SEARCH("明細",F459)))</formula>
    </cfRule>
    <cfRule type="expression" priority="70" aboveAverage="0" equalAverage="0" bottom="0" percent="0" rank="0" text="" dxfId="95">
      <formula>$H$23="  "</formula>
    </cfRule>
  </conditionalFormatting>
  <conditionalFormatting sqref="F89">
    <cfRule type="expression" priority="71" aboveAverage="0" equalAverage="0" bottom="0" percent="0" rank="0" text="" dxfId="96">
      <formula>NOT(ISERROR(SEARCH("明細",F89)))</formula>
    </cfRule>
    <cfRule type="expression" priority="72" aboveAverage="0" equalAverage="0" bottom="0" percent="0" rank="0" text="" dxfId="97">
      <formula>$H$23="  "</formula>
    </cfRule>
  </conditionalFormatting>
  <conditionalFormatting sqref="F120">
    <cfRule type="expression" priority="73" aboveAverage="0" equalAverage="0" bottom="0" percent="0" rank="0" text="" dxfId="98">
      <formula>NOT(ISERROR(SEARCH("明細",F120)))</formula>
    </cfRule>
    <cfRule type="expression" priority="74" aboveAverage="0" equalAverage="0" bottom="0" percent="0" rank="0" text="" dxfId="99">
      <formula>$H$23="  "</formula>
    </cfRule>
  </conditionalFormatting>
  <conditionalFormatting sqref="F151">
    <cfRule type="expression" priority="75" aboveAverage="0" equalAverage="0" bottom="0" percent="0" rank="0" text="" dxfId="100">
      <formula>NOT(ISERROR(SEARCH("明細",F151)))</formula>
    </cfRule>
    <cfRule type="expression" priority="76" aboveAverage="0" equalAverage="0" bottom="0" percent="0" rank="0" text="" dxfId="101">
      <formula>$H$23="  "</formula>
    </cfRule>
  </conditionalFormatting>
  <conditionalFormatting sqref="F182">
    <cfRule type="expression" priority="77" aboveAverage="0" equalAverage="0" bottom="0" percent="0" rank="0" text="" dxfId="102">
      <formula>NOT(ISERROR(SEARCH("明細",F182)))</formula>
    </cfRule>
    <cfRule type="expression" priority="78" aboveAverage="0" equalAverage="0" bottom="0" percent="0" rank="0" text="" dxfId="103">
      <formula>$H$23="  "</formula>
    </cfRule>
  </conditionalFormatting>
  <conditionalFormatting sqref="F213">
    <cfRule type="expression" priority="79" aboveAverage="0" equalAverage="0" bottom="0" percent="0" rank="0" text="" dxfId="104">
      <formula>NOT(ISERROR(SEARCH("明細",F213)))</formula>
    </cfRule>
    <cfRule type="expression" priority="80" aboveAverage="0" equalAverage="0" bottom="0" percent="0" rank="0" text="" dxfId="105">
      <formula>$H$23="  "</formula>
    </cfRule>
  </conditionalFormatting>
  <conditionalFormatting sqref="F244">
    <cfRule type="expression" priority="81" aboveAverage="0" equalAverage="0" bottom="0" percent="0" rank="0" text="" dxfId="106">
      <formula>NOT(ISERROR(SEARCH("明細",F244)))</formula>
    </cfRule>
    <cfRule type="expression" priority="82" aboveAverage="0" equalAverage="0" bottom="0" percent="0" rank="0" text="" dxfId="107">
      <formula>$H$23="  "</formula>
    </cfRule>
  </conditionalFormatting>
  <conditionalFormatting sqref="F275">
    <cfRule type="expression" priority="83" aboveAverage="0" equalAverage="0" bottom="0" percent="0" rank="0" text="" dxfId="108">
      <formula>NOT(ISERROR(SEARCH("明細",F275)))</formula>
    </cfRule>
    <cfRule type="expression" priority="84" aboveAverage="0" equalAverage="0" bottom="0" percent="0" rank="0" text="" dxfId="109">
      <formula>$H$23="  "</formula>
    </cfRule>
  </conditionalFormatting>
  <conditionalFormatting sqref="F306">
    <cfRule type="expression" priority="85" aboveAverage="0" equalAverage="0" bottom="0" percent="0" rank="0" text="" dxfId="110">
      <formula>NOT(ISERROR(SEARCH("明細",F306)))</formula>
    </cfRule>
    <cfRule type="expression" priority="86" aboveAverage="0" equalAverage="0" bottom="0" percent="0" rank="0" text="" dxfId="111">
      <formula>$H$23="  "</formula>
    </cfRule>
  </conditionalFormatting>
  <conditionalFormatting sqref="F337">
    <cfRule type="expression" priority="87" aboveAverage="0" equalAverage="0" bottom="0" percent="0" rank="0" text="" dxfId="112">
      <formula>NOT(ISERROR(SEARCH("明細",F337)))</formula>
    </cfRule>
    <cfRule type="expression" priority="88" aboveAverage="0" equalAverage="0" bottom="0" percent="0" rank="0" text="" dxfId="113">
      <formula>$H$23="  "</formula>
    </cfRule>
  </conditionalFormatting>
  <conditionalFormatting sqref="F368">
    <cfRule type="expression" priority="89" aboveAverage="0" equalAverage="0" bottom="0" percent="0" rank="0" text="" dxfId="114">
      <formula>NOT(ISERROR(SEARCH("明細",F368)))</formula>
    </cfRule>
    <cfRule type="expression" priority="90" aboveAverage="0" equalAverage="0" bottom="0" percent="0" rank="0" text="" dxfId="115">
      <formula>$H$23="  "</formula>
    </cfRule>
  </conditionalFormatting>
  <conditionalFormatting sqref="F399">
    <cfRule type="expression" priority="91" aboveAverage="0" equalAverage="0" bottom="0" percent="0" rank="0" text="" dxfId="116">
      <formula>NOT(ISERROR(SEARCH("明細",F399)))</formula>
    </cfRule>
    <cfRule type="expression" priority="92" aboveAverage="0" equalAverage="0" bottom="0" percent="0" rank="0" text="" dxfId="117">
      <formula>$H$23="  "</formula>
    </cfRule>
  </conditionalFormatting>
  <conditionalFormatting sqref="F430">
    <cfRule type="expression" priority="93" aboveAverage="0" equalAverage="0" bottom="0" percent="0" rank="0" text="" dxfId="118">
      <formula>NOT(ISERROR(SEARCH("明細",F430)))</formula>
    </cfRule>
    <cfRule type="expression" priority="94" aboveAverage="0" equalAverage="0" bottom="0" percent="0" rank="0" text="" dxfId="119">
      <formula>$H$23="  "</formula>
    </cfRule>
  </conditionalFormatting>
  <conditionalFormatting sqref="F461">
    <cfRule type="expression" priority="95" aboveAverage="0" equalAverage="0" bottom="0" percent="0" rank="0" text="" dxfId="120">
      <formula>NOT(ISERROR(SEARCH("明細",F461)))</formula>
    </cfRule>
    <cfRule type="expression" priority="96" aboveAverage="0" equalAverage="0" bottom="0" percent="0" rank="0" text="" dxfId="121">
      <formula>$H$23="  "</formula>
    </cfRule>
  </conditionalFormatting>
  <conditionalFormatting sqref="F91">
    <cfRule type="expression" priority="97" aboveAverage="0" equalAverage="0" bottom="0" percent="0" rank="0" text="" dxfId="122">
      <formula>NOT(ISERROR(SEARCH("明細",F91)))</formula>
    </cfRule>
    <cfRule type="expression" priority="98" aboveAverage="0" equalAverage="0" bottom="0" percent="0" rank="0" text="" dxfId="123">
      <formula>$H$23="  "</formula>
    </cfRule>
  </conditionalFormatting>
  <conditionalFormatting sqref="F122">
    <cfRule type="expression" priority="99" aboveAverage="0" equalAverage="0" bottom="0" percent="0" rank="0" text="" dxfId="124">
      <formula>NOT(ISERROR(SEARCH("明細",F122)))</formula>
    </cfRule>
    <cfRule type="expression" priority="100" aboveAverage="0" equalAverage="0" bottom="0" percent="0" rank="0" text="" dxfId="125">
      <formula>$H$23="  "</formula>
    </cfRule>
  </conditionalFormatting>
  <conditionalFormatting sqref="F153">
    <cfRule type="expression" priority="101" aboveAverage="0" equalAverage="0" bottom="0" percent="0" rank="0" text="" dxfId="126">
      <formula>NOT(ISERROR(SEARCH("明細",F153)))</formula>
    </cfRule>
    <cfRule type="expression" priority="102" aboveAverage="0" equalAverage="0" bottom="0" percent="0" rank="0" text="" dxfId="127">
      <formula>$H$23="  "</formula>
    </cfRule>
  </conditionalFormatting>
  <conditionalFormatting sqref="F184">
    <cfRule type="expression" priority="103" aboveAverage="0" equalAverage="0" bottom="0" percent="0" rank="0" text="" dxfId="128">
      <formula>NOT(ISERROR(SEARCH("明細",F184)))</formula>
    </cfRule>
    <cfRule type="expression" priority="104" aboveAverage="0" equalAverage="0" bottom="0" percent="0" rank="0" text="" dxfId="129">
      <formula>$H$23="  "</formula>
    </cfRule>
  </conditionalFormatting>
  <conditionalFormatting sqref="F215">
    <cfRule type="expression" priority="105" aboveAverage="0" equalAverage="0" bottom="0" percent="0" rank="0" text="" dxfId="130">
      <formula>NOT(ISERROR(SEARCH("明細",F215)))</formula>
    </cfRule>
    <cfRule type="expression" priority="106" aboveAverage="0" equalAverage="0" bottom="0" percent="0" rank="0" text="" dxfId="131">
      <formula>$H$23="  "</formula>
    </cfRule>
  </conditionalFormatting>
  <conditionalFormatting sqref="F246">
    <cfRule type="expression" priority="107" aboveAverage="0" equalAverage="0" bottom="0" percent="0" rank="0" text="" dxfId="132">
      <formula>NOT(ISERROR(SEARCH("明細",F246)))</formula>
    </cfRule>
    <cfRule type="expression" priority="108" aboveAverage="0" equalAverage="0" bottom="0" percent="0" rank="0" text="" dxfId="133">
      <formula>$H$23="  "</formula>
    </cfRule>
  </conditionalFormatting>
  <conditionalFormatting sqref="F277">
    <cfRule type="expression" priority="109" aboveAverage="0" equalAverage="0" bottom="0" percent="0" rank="0" text="" dxfId="134">
      <formula>NOT(ISERROR(SEARCH("明細",F277)))</formula>
    </cfRule>
    <cfRule type="expression" priority="110" aboveAverage="0" equalAverage="0" bottom="0" percent="0" rank="0" text="" dxfId="135">
      <formula>$H$23="  "</formula>
    </cfRule>
  </conditionalFormatting>
  <conditionalFormatting sqref="F308">
    <cfRule type="expression" priority="111" aboveAverage="0" equalAverage="0" bottom="0" percent="0" rank="0" text="" dxfId="136">
      <formula>NOT(ISERROR(SEARCH("明細",F308)))</formula>
    </cfRule>
    <cfRule type="expression" priority="112" aboveAverage="0" equalAverage="0" bottom="0" percent="0" rank="0" text="" dxfId="137">
      <formula>$H$23="  "</formula>
    </cfRule>
  </conditionalFormatting>
  <conditionalFormatting sqref="F339">
    <cfRule type="expression" priority="113" aboveAverage="0" equalAverage="0" bottom="0" percent="0" rank="0" text="" dxfId="138">
      <formula>NOT(ISERROR(SEARCH("明細",F339)))</formula>
    </cfRule>
    <cfRule type="expression" priority="114" aboveAverage="0" equalAverage="0" bottom="0" percent="0" rank="0" text="" dxfId="139">
      <formula>$H$23="  "</formula>
    </cfRule>
  </conditionalFormatting>
  <conditionalFormatting sqref="F370">
    <cfRule type="expression" priority="115" aboveAverage="0" equalAverage="0" bottom="0" percent="0" rank="0" text="" dxfId="140">
      <formula>NOT(ISERROR(SEARCH("明細",F370)))</formula>
    </cfRule>
    <cfRule type="expression" priority="116" aboveAverage="0" equalAverage="0" bottom="0" percent="0" rank="0" text="" dxfId="141">
      <formula>$H$23="  "</formula>
    </cfRule>
  </conditionalFormatting>
  <conditionalFormatting sqref="F401">
    <cfRule type="expression" priority="117" aboveAverage="0" equalAverage="0" bottom="0" percent="0" rank="0" text="" dxfId="142">
      <formula>NOT(ISERROR(SEARCH("明細",F401)))</formula>
    </cfRule>
    <cfRule type="expression" priority="118" aboveAverage="0" equalAverage="0" bottom="0" percent="0" rank="0" text="" dxfId="143">
      <formula>$H$23="  "</formula>
    </cfRule>
  </conditionalFormatting>
  <conditionalFormatting sqref="F432">
    <cfRule type="expression" priority="119" aboveAverage="0" equalAverage="0" bottom="0" percent="0" rank="0" text="" dxfId="144">
      <formula>NOT(ISERROR(SEARCH("明細",F432)))</formula>
    </cfRule>
    <cfRule type="expression" priority="120" aboveAverage="0" equalAverage="0" bottom="0" percent="0" rank="0" text="" dxfId="145">
      <formula>$H$23="  "</formula>
    </cfRule>
  </conditionalFormatting>
  <conditionalFormatting sqref="F463">
    <cfRule type="expression" priority="121" aboveAverage="0" equalAverage="0" bottom="0" percent="0" rank="0" text="" dxfId="146">
      <formula>NOT(ISERROR(SEARCH("明細",F463)))</formula>
    </cfRule>
    <cfRule type="expression" priority="122" aboveAverage="0" equalAverage="0" bottom="0" percent="0" rank="0" text="" dxfId="147">
      <formula>$H$23="  "</formula>
    </cfRule>
  </conditionalFormatting>
  <conditionalFormatting sqref="F55">
    <cfRule type="expression" priority="123" aboveAverage="0" equalAverage="0" bottom="0" percent="0" rank="0" text="" dxfId="148">
      <formula>$F$56="明細と不一致"</formula>
    </cfRule>
  </conditionalFormatting>
  <conditionalFormatting sqref="F24">
    <cfRule type="expression" priority="124" aboveAverage="0" equalAverage="0" bottom="0" percent="0" rank="0" text="" dxfId="149">
      <formula>$F$25="*明細*"</formula>
    </cfRule>
  </conditionalFormatting>
  <printOptions headings="false" gridLines="false" gridLinesSet="true" horizontalCentered="true" verticalCentered="false"/>
  <pageMargins left="0" right="0" top="0.7875" bottom="0" header="0.511811023622047" footer="0.511811023622047"/>
  <pageSetup paperSize="9" scale="81" fitToWidth="1" fitToHeight="1" pageOrder="downThenOver" orientation="landscape" blackAndWhite="false" draft="false" cellComments="none" horizontalDpi="300" verticalDpi="300" copies="1"/>
  <headerFooter differentFirst="false" differentOddEven="false">
    <oddHeader/>
    <oddFooter/>
  </headerFooter>
  <rowBreaks count="16" manualBreakCount="16">
    <brk id="31" man="true" max="16383" min="0"/>
    <brk id="62" man="true" max="16383" min="0"/>
    <brk id="93" man="true" max="16383" min="0"/>
    <brk id="124" man="true" max="16383" min="0"/>
    <brk id="155" man="true" max="16383" min="0"/>
    <brk id="186" man="true" max="16383" min="0"/>
    <brk id="217" man="true" max="16383" min="0"/>
    <brk id="248" man="true" max="16383" min="0"/>
    <brk id="279" man="true" max="16383" min="0"/>
    <brk id="310" man="true" max="16383" min="0"/>
    <brk id="341" man="true" max="16383" min="0"/>
    <brk id="372" man="true" max="16383" min="0"/>
    <brk id="403" man="true" max="16383" min="0"/>
    <brk id="434" man="true" max="16383" min="0"/>
    <brk id="465" man="true" max="16383" min="0"/>
    <brk id="496" man="true" max="16383" min="0"/>
  </rowBreaks>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A1" activeCellId="0" sqref="A1"/>
    </sheetView>
  </sheetViews>
  <sheetFormatPr defaultColWidth="8.79296875" defaultRowHeight="17.25" zeroHeight="false" outlineLevelRow="0" outlineLevelCol="0"/>
  <cols>
    <col collapsed="false" customWidth="true" hidden="false" outlineLevel="0" max="14" min="1" style="607" width="13.09"/>
    <col collapsed="false" customWidth="true" hidden="false" outlineLevel="0" max="15" min="15" style="607" width="7.39"/>
  </cols>
  <sheetData>
    <row r="1" customFormat="false" ht="21.75" hidden="false" customHeight="true" outlineLevel="0" collapsed="false">
      <c r="A1" s="1587" t="str">
        <f aca="false">'☆掛負収入'!A2</f>
        <v>令和8年度</v>
      </c>
      <c r="B1" s="1588" t="s">
        <v>873</v>
      </c>
    </row>
    <row r="2" customFormat="false" ht="12.75" hidden="false" customHeight="true" outlineLevel="0" collapsed="false">
      <c r="G2" s="1114"/>
    </row>
    <row r="3" customFormat="false" ht="21.75" hidden="false" customHeight="true" outlineLevel="0" collapsed="false">
      <c r="A3" s="1589" t="s">
        <v>874</v>
      </c>
      <c r="B3" s="1589"/>
      <c r="C3" s="1589"/>
      <c r="D3" s="1589" t="s">
        <v>875</v>
      </c>
      <c r="E3" s="1590"/>
      <c r="F3" s="1590"/>
      <c r="G3" s="1591" t="s">
        <v>535</v>
      </c>
      <c r="H3" s="1591"/>
      <c r="I3" s="1589" t="s">
        <v>876</v>
      </c>
      <c r="J3" s="1589"/>
      <c r="K3" s="1589"/>
      <c r="L3" s="1589"/>
      <c r="M3" s="1591"/>
      <c r="N3" s="1591" t="s">
        <v>535</v>
      </c>
      <c r="O3" s="1589"/>
      <c r="P3" s="1113" t="s">
        <v>605</v>
      </c>
      <c r="Q3" s="1589"/>
      <c r="R3" s="1153"/>
      <c r="S3" s="1153"/>
      <c r="T3" s="1153"/>
    </row>
    <row r="4" customFormat="false" ht="30" hidden="false" customHeight="true" outlineLevel="0" collapsed="false">
      <c r="A4" s="1592" t="s">
        <v>394</v>
      </c>
      <c r="B4" s="1593" t="s">
        <v>877</v>
      </c>
      <c r="C4" s="1592" t="s">
        <v>491</v>
      </c>
      <c r="D4" s="1593" t="s">
        <v>878</v>
      </c>
      <c r="E4" s="1593" t="s">
        <v>879</v>
      </c>
      <c r="F4" s="1593" t="s">
        <v>880</v>
      </c>
      <c r="G4" s="1593" t="s">
        <v>881</v>
      </c>
      <c r="H4" s="1594" t="s">
        <v>882</v>
      </c>
      <c r="I4" s="1592" t="s">
        <v>394</v>
      </c>
      <c r="J4" s="1593" t="s">
        <v>877</v>
      </c>
      <c r="K4" s="1592" t="s">
        <v>491</v>
      </c>
      <c r="L4" s="1593" t="s">
        <v>878</v>
      </c>
      <c r="M4" s="1592" t="s">
        <v>883</v>
      </c>
      <c r="N4" s="1593" t="s">
        <v>884</v>
      </c>
      <c r="O4" s="1594" t="s">
        <v>885</v>
      </c>
      <c r="P4" s="1589" t="n">
        <v>31</v>
      </c>
      <c r="Q4" s="1589"/>
      <c r="R4" s="1153"/>
      <c r="S4" s="1153"/>
      <c r="T4" s="1153"/>
    </row>
    <row r="5" customFormat="false" ht="21.75" hidden="false" customHeight="true" outlineLevel="0" collapsed="false">
      <c r="A5" s="1595" t="s">
        <v>559</v>
      </c>
      <c r="B5" s="1596" t="n">
        <f aca="false">J5+B26+B47+I47+B68+I68</f>
        <v>347616215</v>
      </c>
      <c r="C5" s="1596" t="n">
        <f aca="false">K5+C26+D26+J26+C47+J47+C68+J68</f>
        <v>351591834</v>
      </c>
      <c r="D5" s="1596" t="n">
        <f aca="false">L5+E26+D47+K47+D68+K68</f>
        <v>97893428</v>
      </c>
      <c r="E5" s="1596" t="n">
        <f aca="false">SUM(B5:D5)</f>
        <v>797101477</v>
      </c>
      <c r="F5" s="1596" t="n">
        <f aca="true">OFFSET('☆振替R7'!$B$10,$P$4*$P5,0,1,1)+OFFSET('☆振替R7'!$B$21,$P$4*$P5,0,1,1)</f>
        <v>797101477</v>
      </c>
      <c r="G5" s="1596" t="n">
        <f aca="false">'☆短期集計R7'!E25</f>
        <v>797101477</v>
      </c>
      <c r="H5" s="1597" t="str">
        <f aca="false">IF(AND(E5=F5,E5=G5),"○","×")</f>
        <v>○</v>
      </c>
      <c r="I5" s="1595" t="s">
        <v>559</v>
      </c>
      <c r="J5" s="1596" t="n">
        <f aca="true">OFFSET('☆振替R7'!$C$6,$P$4*$P5,0,1,1)</f>
        <v>311621246</v>
      </c>
      <c r="K5" s="1596" t="n">
        <f aca="true">OFFSET('☆振替R7'!$C$21,$P$4*$P5,0,1,1)</f>
        <v>311276420</v>
      </c>
      <c r="L5" s="1596" t="n">
        <f aca="true">OFFSET('☆振替R7'!$C$8,$P$4*$P5,0,1,1)</f>
        <v>87756757</v>
      </c>
      <c r="M5" s="1596" t="n">
        <f aca="false">SUM(J5:L5)</f>
        <v>710654423</v>
      </c>
      <c r="N5" s="1596" t="n">
        <f aca="true">OFFSET('☆振替R7'!$E$25,$P$4*$P5,0,1,1)</f>
        <v>710654423</v>
      </c>
      <c r="O5" s="1598" t="str">
        <f aca="false">IF(M5=N5,"○","×")</f>
        <v>○</v>
      </c>
      <c r="P5" s="1589" t="n">
        <v>0</v>
      </c>
      <c r="Q5" s="1589"/>
      <c r="R5" s="1153"/>
      <c r="S5" s="1153"/>
      <c r="T5" s="1153"/>
    </row>
    <row r="6" customFormat="false" ht="21.75" hidden="false" customHeight="true" outlineLevel="0" collapsed="false">
      <c r="A6" s="1595" t="s">
        <v>560</v>
      </c>
      <c r="B6" s="1596" t="n">
        <f aca="false">J6+B27+B48+I48+B69+I69</f>
        <v>350207199</v>
      </c>
      <c r="C6" s="1596" t="n">
        <f aca="false">K6+C27+D27+J27+C48+J48+C69+J69</f>
        <v>354839877</v>
      </c>
      <c r="D6" s="1596" t="n">
        <f aca="false">L6+E27+D48+K48+D69+K69</f>
        <v>2192748</v>
      </c>
      <c r="E6" s="1596" t="n">
        <f aca="false">SUM(B6:D6)</f>
        <v>707239824</v>
      </c>
      <c r="F6" s="1596" t="n">
        <f aca="true">OFFSET('☆振替R7'!$B$10,$P$4*$P6,0,1,1)+OFFSET('☆振替R7'!$B$21,$P$4*$P6,0,1,1)</f>
        <v>707239824</v>
      </c>
      <c r="G6" s="1596" t="n">
        <f aca="false">'☆短期集計R7'!E26</f>
        <v>707239824</v>
      </c>
      <c r="H6" s="1597" t="str">
        <f aca="false">IF(AND(E6=F6,E6=G6),"○","×")</f>
        <v>○</v>
      </c>
      <c r="I6" s="1595" t="s">
        <v>560</v>
      </c>
      <c r="J6" s="1596" t="n">
        <f aca="true">OFFSET('☆振替R7'!$C$6,$P$4*$P6,0,1,1)</f>
        <v>313943939</v>
      </c>
      <c r="K6" s="1596" t="n">
        <f aca="true">OFFSET('☆振替R7'!$C$21,$P$4*$P6,0,1,1)</f>
        <v>314156315</v>
      </c>
      <c r="L6" s="1596" t="n">
        <f aca="true">OFFSET('☆振替R7'!$C$8,$P$4*$P6,0,1,1)</f>
        <v>1965693</v>
      </c>
      <c r="M6" s="1596" t="n">
        <f aca="false">SUM(J6:L6)</f>
        <v>630065947</v>
      </c>
      <c r="N6" s="1596" t="n">
        <f aca="true">OFFSET('☆振替R7'!$E$25,$P$4*$P6,0,1,1)</f>
        <v>630065947</v>
      </c>
      <c r="O6" s="1598" t="str">
        <f aca="false">IF(M6=N6,"○","×")</f>
        <v>○</v>
      </c>
      <c r="P6" s="1589" t="n">
        <v>1</v>
      </c>
      <c r="Q6" s="1589"/>
      <c r="R6" s="1153"/>
      <c r="S6" s="1153"/>
      <c r="T6" s="1153"/>
    </row>
    <row r="7" customFormat="false" ht="21.75" hidden="false" customHeight="true" outlineLevel="0" collapsed="false">
      <c r="A7" s="1595" t="s">
        <v>561</v>
      </c>
      <c r="B7" s="1596" t="n">
        <f aca="false">J7+B28+B49+I49+B70+I70</f>
        <v>349686293</v>
      </c>
      <c r="C7" s="1596" t="n">
        <f aca="false">K7+C28+D28+J28+C49+J49+C70+J70</f>
        <v>354141739</v>
      </c>
      <c r="D7" s="1596" t="n">
        <f aca="false">L7+E28+D49+K49+D70+K70</f>
        <v>2880046</v>
      </c>
      <c r="E7" s="1596" t="n">
        <f aca="false">SUM(B7:D7)</f>
        <v>706708078</v>
      </c>
      <c r="F7" s="1596" t="n">
        <f aca="true">OFFSET('☆振替R7'!$B$10,$P$4*$P7,0,1,1)+OFFSET('☆振替R7'!$B$21,$P$4*$P7,0,1,1)</f>
        <v>706708078</v>
      </c>
      <c r="G7" s="1596" t="n">
        <f aca="false">'☆短期集計R7'!E27</f>
        <v>706708078</v>
      </c>
      <c r="H7" s="1597" t="str">
        <f aca="false">IF(AND(E7=F7,E7=G7),"○","×")</f>
        <v>○</v>
      </c>
      <c r="I7" s="1595" t="s">
        <v>561</v>
      </c>
      <c r="J7" s="1596" t="n">
        <f aca="true">OFFSET('☆振替R7'!$C$6,$P$4*$P7,0,1,1)</f>
        <v>313476971</v>
      </c>
      <c r="K7" s="1596" t="n">
        <f aca="true">OFFSET('☆振替R7'!$C$21,$P$4*$P7,0,1,1)</f>
        <v>313538725</v>
      </c>
      <c r="L7" s="1596" t="n">
        <f aca="true">OFFSET('☆振替R7'!$C$8,$P$4*$P7,0,1,1)</f>
        <v>2581822</v>
      </c>
      <c r="M7" s="1596" t="n">
        <f aca="false">SUM(J7:L7)</f>
        <v>629597518</v>
      </c>
      <c r="N7" s="1596" t="n">
        <f aca="true">OFFSET('☆振替R7'!$E$25,$P$4*$P7,0,1,1)</f>
        <v>629597518</v>
      </c>
      <c r="O7" s="1598" t="str">
        <f aca="false">IF(M7=N7,"○","×")</f>
        <v>○</v>
      </c>
      <c r="P7" s="1589" t="n">
        <v>2</v>
      </c>
      <c r="Q7" s="1589"/>
      <c r="R7" s="1153"/>
      <c r="S7" s="1153"/>
      <c r="T7" s="1153"/>
    </row>
    <row r="8" customFormat="false" ht="21.75" hidden="false" customHeight="true" outlineLevel="0" collapsed="false">
      <c r="A8" s="1595" t="s">
        <v>886</v>
      </c>
      <c r="B8" s="1596" t="n">
        <f aca="false">J8+B29+B50+I50+B71+I71</f>
        <v>614527425</v>
      </c>
      <c r="C8" s="1596" t="n">
        <f aca="false">K8+C29+D29+J29+C50+J50+C71+J71</f>
        <v>622929746</v>
      </c>
      <c r="D8" s="1599" t="n">
        <f aca="false">L8+E29+D50+K50+D71+K71</f>
        <v>0</v>
      </c>
      <c r="E8" s="1596" t="n">
        <f aca="false">SUM(B8:D8)</f>
        <v>1237457171</v>
      </c>
      <c r="F8" s="1596" t="n">
        <f aca="true">OFFSET('☆振替R7'!$B$10,$P$4*$P8,0,1,1)+OFFSET('☆振替R7'!$B$21,$P$4*$P8,0,1,1)</f>
        <v>1237457171</v>
      </c>
      <c r="G8" s="1596" t="n">
        <f aca="false">'☆短期集計R7'!E28</f>
        <v>1237457171</v>
      </c>
      <c r="H8" s="1597" t="str">
        <f aca="false">IF(AND(E8=F8,E8=G8),"○","×")</f>
        <v>○</v>
      </c>
      <c r="I8" s="1595" t="s">
        <v>886</v>
      </c>
      <c r="J8" s="1596" t="n">
        <f aca="true">OFFSET('☆振替R7'!$C$6,$P$4*$P8,0,1,1)</f>
        <v>550894330</v>
      </c>
      <c r="K8" s="1596" t="n">
        <f aca="true">OFFSET('☆振替R7'!$C$21,$P$4*$P8,0,1,1)</f>
        <v>550983780</v>
      </c>
      <c r="L8" s="1599" t="n">
        <f aca="true">OFFSET('☆振替R7'!$C$8,$P$4*$P8,0,1,1)</f>
        <v>0</v>
      </c>
      <c r="M8" s="1596" t="n">
        <f aca="false">SUM(J8:L8)</f>
        <v>1101878110</v>
      </c>
      <c r="N8" s="1596" t="n">
        <f aca="true">OFFSET('☆振替R7'!$E$25,$P$4*$P8,0,1,1)</f>
        <v>1101878110</v>
      </c>
      <c r="O8" s="1598" t="str">
        <f aca="false">IF(M8=N8,"○","×")</f>
        <v>○</v>
      </c>
      <c r="P8" s="1589" t="n">
        <v>3</v>
      </c>
      <c r="Q8" s="1589"/>
      <c r="R8" s="1153"/>
      <c r="S8" s="1153"/>
      <c r="T8" s="1153"/>
    </row>
    <row r="9" customFormat="false" ht="21.75" hidden="false" customHeight="true" outlineLevel="0" collapsed="false">
      <c r="A9" s="1595" t="s">
        <v>562</v>
      </c>
      <c r="B9" s="1596" t="n">
        <f aca="false">J9+B30+B51+I51+B72+I72</f>
        <v>355477296</v>
      </c>
      <c r="C9" s="1596" t="n">
        <f aca="false">K9+C30+D30+J30+C51+J51+C72+J72</f>
        <v>360215631</v>
      </c>
      <c r="D9" s="1596" t="n">
        <f aca="false">L9+E30+D51+K51+D72+K72</f>
        <v>1298881</v>
      </c>
      <c r="E9" s="1596" t="n">
        <f aca="false">SUM(B9:D9)</f>
        <v>716991808</v>
      </c>
      <c r="F9" s="1596" t="n">
        <f aca="true">OFFSET('☆振替R7'!$B$10,$P$4*$P9,0,1,1)+OFFSET('☆振替R7'!$B$21,$P$4*$P9,0,1,1)</f>
        <v>716991808</v>
      </c>
      <c r="G9" s="1596" t="n">
        <f aca="false">'☆短期集計R7'!E29</f>
        <v>716991808</v>
      </c>
      <c r="H9" s="1597" t="str">
        <f aca="false">IF(AND(E9=F9,E9=G9),"○","×")</f>
        <v>○</v>
      </c>
      <c r="I9" s="1595" t="s">
        <v>562</v>
      </c>
      <c r="J9" s="1596" t="n">
        <f aca="true">OFFSET('☆振替R7'!$C$6,$P$4*$P9,0,1,1)</f>
        <v>318668328</v>
      </c>
      <c r="K9" s="1596" t="n">
        <f aca="true">OFFSET('☆振替R7'!$C$21,$P$4*$P9,0,1,1)</f>
        <v>318900406</v>
      </c>
      <c r="L9" s="1596" t="n">
        <f aca="true">OFFSET('☆振替R7'!$C$8,$P$4*$P9,0,1,1)</f>
        <v>1164384</v>
      </c>
      <c r="M9" s="1596" t="n">
        <f aca="false">SUM(J9:L9)</f>
        <v>638733118</v>
      </c>
      <c r="N9" s="1596" t="n">
        <f aca="true">OFFSET('☆振替R7'!$E$25,$P$4*$P9,0,1,1)</f>
        <v>638733118</v>
      </c>
      <c r="O9" s="1598" t="str">
        <f aca="false">IF(M9=N9,"○","×")</f>
        <v>○</v>
      </c>
      <c r="P9" s="1589" t="n">
        <v>4</v>
      </c>
      <c r="Q9" s="1589"/>
      <c r="R9" s="1153"/>
      <c r="S9" s="1153"/>
      <c r="T9" s="1153"/>
    </row>
    <row r="10" customFormat="false" ht="21.75" hidden="false" customHeight="true" outlineLevel="0" collapsed="false">
      <c r="A10" s="1595" t="s">
        <v>563</v>
      </c>
      <c r="B10" s="1596" t="n">
        <f aca="false">J10+B31+B52+I52+B73+I73</f>
        <v>352107037</v>
      </c>
      <c r="C10" s="1596" t="n">
        <f aca="false">K10+C31+D31+J31+C52+J52+C73+J73</f>
        <v>356751068</v>
      </c>
      <c r="D10" s="1596" t="n">
        <f aca="false">L10+E31+D52+K52+D73+K73</f>
        <v>1918883</v>
      </c>
      <c r="E10" s="1596" t="n">
        <f aca="false">SUM(B10:D10)</f>
        <v>710776988</v>
      </c>
      <c r="F10" s="1596" t="n">
        <f aca="true">OFFSET('☆振替R7'!$B$10,$P$4*$P10,0,1,1)+OFFSET('☆振替R7'!$B$21,$P$4*$P10,0,1,1)</f>
        <v>710776988</v>
      </c>
      <c r="G10" s="1596" t="n">
        <f aca="false">'☆短期集計R7'!E30</f>
        <v>710776988</v>
      </c>
      <c r="H10" s="1597" t="str">
        <f aca="false">IF(AND(E10=F10,E10=G10),"○","×")</f>
        <v>○</v>
      </c>
      <c r="I10" s="1595" t="s">
        <v>563</v>
      </c>
      <c r="J10" s="1596" t="n">
        <f aca="true">OFFSET('☆振替R7'!$C$6,$P$4*$P10,0,1,1)</f>
        <v>315647052</v>
      </c>
      <c r="K10" s="1596" t="n">
        <f aca="true">OFFSET('☆振替R7'!$C$21,$P$4*$P10,0,1,1)</f>
        <v>315839465</v>
      </c>
      <c r="L10" s="1596" t="n">
        <f aca="true">OFFSET('☆振替R7'!$C$8,$P$4*$P10,0,1,1)</f>
        <v>1720186</v>
      </c>
      <c r="M10" s="1596" t="n">
        <f aca="false">SUM(J10:L10)</f>
        <v>633206703</v>
      </c>
      <c r="N10" s="1596" t="n">
        <f aca="true">OFFSET('☆振替R7'!$E$25,$P$4*$P10,0,1,1)</f>
        <v>633206703</v>
      </c>
      <c r="O10" s="1598" t="str">
        <f aca="false">IF(M10=N10,"○","×")</f>
        <v>○</v>
      </c>
      <c r="P10" s="1589" t="n">
        <v>5</v>
      </c>
      <c r="Q10" s="1589"/>
      <c r="R10" s="1153"/>
      <c r="S10" s="1153"/>
      <c r="T10" s="1153"/>
    </row>
    <row r="11" customFormat="false" ht="21.75" hidden="false" customHeight="true" outlineLevel="0" collapsed="false">
      <c r="A11" s="1595" t="s">
        <v>564</v>
      </c>
      <c r="B11" s="1596" t="n">
        <f aca="false">J11+B32+B53+I53+B74+I74</f>
        <v>355514939</v>
      </c>
      <c r="C11" s="1596" t="n">
        <f aca="false">K11+C32+D32+J32+C53+J53+C74+J74</f>
        <v>360138827</v>
      </c>
      <c r="D11" s="1596" t="n">
        <f aca="false">L11+E32+D53+K53+D74+K74</f>
        <v>4935296</v>
      </c>
      <c r="E11" s="1596" t="n">
        <f aca="false">SUM(B11:D11)</f>
        <v>720589062</v>
      </c>
      <c r="F11" s="1596" t="n">
        <f aca="true">OFFSET('☆振替R7'!$B$10,$P$4*$P11,0,1,1)+OFFSET('☆振替R7'!$B$21,$P$4*$P11,0,1,1)</f>
        <v>720589062</v>
      </c>
      <c r="G11" s="1596" t="n">
        <f aca="false">'☆短期集計R7'!E31</f>
        <v>720589062</v>
      </c>
      <c r="H11" s="1597" t="str">
        <f aca="false">IF(AND(E11=F11,E11=G11),"○","×")</f>
        <v>○</v>
      </c>
      <c r="I11" s="1595" t="s">
        <v>564</v>
      </c>
      <c r="J11" s="1596" t="n">
        <f aca="true">OFFSET('☆振替R7'!$C$6,$P$4*$P11,0,1,1)</f>
        <v>318702073</v>
      </c>
      <c r="K11" s="1596" t="n">
        <f aca="true">OFFSET('☆振替R7'!$C$21,$P$4*$P11,0,1,1)</f>
        <v>318823182</v>
      </c>
      <c r="L11" s="1596" t="n">
        <f aca="true">OFFSET('☆振替R7'!$C$8,$P$4*$P11,0,1,1)</f>
        <v>4424255</v>
      </c>
      <c r="M11" s="1596" t="n">
        <f aca="false">SUM(J11:L11)</f>
        <v>641949510</v>
      </c>
      <c r="N11" s="1596" t="n">
        <f aca="true">OFFSET('☆振替R7'!$E$25,$P$4*$P11,0,1,1)</f>
        <v>641949510</v>
      </c>
      <c r="O11" s="1598" t="str">
        <f aca="false">IF(M11=N11,"○","×")</f>
        <v>○</v>
      </c>
      <c r="P11" s="1589" t="n">
        <v>6</v>
      </c>
      <c r="Q11" s="1149"/>
      <c r="R11" s="1153"/>
      <c r="S11" s="1153"/>
      <c r="T11" s="1153"/>
    </row>
    <row r="12" customFormat="false" ht="21.75" hidden="false" customHeight="true" outlineLevel="0" collapsed="false">
      <c r="A12" s="1595" t="s">
        <v>565</v>
      </c>
      <c r="B12" s="1596" t="n">
        <f aca="false">J12+B33+B54+I54+B75+I75</f>
        <v>365227784</v>
      </c>
      <c r="C12" s="1596" t="n">
        <f aca="false">K12+C33+D33+J33+C54+J54+C75+J75</f>
        <v>370249515</v>
      </c>
      <c r="D12" s="1596" t="n">
        <f aca="false">L12+E33+D54+K54+D75+K75</f>
        <v>2298242</v>
      </c>
      <c r="E12" s="1596" t="n">
        <f aca="false">SUM(B12:D12)</f>
        <v>737775541</v>
      </c>
      <c r="F12" s="1596" t="n">
        <f aca="true">OFFSET('☆振替R7'!$B$10,$P$4*$P12,0,1,1)+OFFSET('☆振替R7'!$B$21,$P$4*$P12,0,1,1)</f>
        <v>737775541</v>
      </c>
      <c r="G12" s="1596" t="n">
        <f aca="false">'☆短期集計R7'!E32</f>
        <v>737775541</v>
      </c>
      <c r="H12" s="1597" t="str">
        <f aca="false">IF(AND(E12=F12,E12=G12),"○","×")</f>
        <v>○</v>
      </c>
      <c r="I12" s="1595" t="s">
        <v>565</v>
      </c>
      <c r="J12" s="1596" t="n">
        <f aca="true">OFFSET('☆振替R7'!$C$6,$P$4*$P12,0,1,1)</f>
        <v>327409172</v>
      </c>
      <c r="K12" s="1596" t="n">
        <f aca="true">OFFSET('☆振替R7'!$C$21,$P$4*$P12,0,1,1)</f>
        <v>327771551</v>
      </c>
      <c r="L12" s="1596" t="n">
        <f aca="true">OFFSET('☆振替R7'!$C$8,$P$4*$P12,0,1,1)</f>
        <v>2060263</v>
      </c>
      <c r="M12" s="1596" t="n">
        <f aca="false">SUM(J12:L12)</f>
        <v>657240986</v>
      </c>
      <c r="N12" s="1596" t="n">
        <f aca="true">OFFSET('☆振替R7'!$E$25,$P$4*$P12,0,1,1)</f>
        <v>657240986</v>
      </c>
      <c r="O12" s="1598" t="str">
        <f aca="false">IF(M12=N12,"○","×")</f>
        <v>○</v>
      </c>
      <c r="P12" s="1589" t="n">
        <v>7</v>
      </c>
      <c r="Q12" s="1149"/>
      <c r="R12" s="1153"/>
      <c r="S12" s="1153"/>
      <c r="T12" s="1153"/>
    </row>
    <row r="13" customFormat="false" ht="21.75" hidden="false" customHeight="true" outlineLevel="0" collapsed="false">
      <c r="A13" s="1595" t="s">
        <v>566</v>
      </c>
      <c r="B13" s="1596" t="n">
        <f aca="false">J13+B34+B55+I55+B76+I76</f>
        <v>364811284</v>
      </c>
      <c r="C13" s="1596" t="n">
        <f aca="false">K13+C34+D34+J34+C55+J55+C76+J76</f>
        <v>369564417</v>
      </c>
      <c r="D13" s="1596" t="n">
        <f aca="false">L13+E34+D55+K55+D76+K76</f>
        <v>1013274</v>
      </c>
      <c r="E13" s="1596" t="n">
        <f aca="false">SUM(B13:D13)</f>
        <v>735388975</v>
      </c>
      <c r="F13" s="1596" t="n">
        <f aca="true">OFFSET('☆振替R7'!$B$10,$P$4*$P13,0,1,1)+OFFSET('☆振替R7'!$B$21,$P$4*$P13,0,1,1)</f>
        <v>735388975</v>
      </c>
      <c r="G13" s="1596" t="n">
        <f aca="false">'☆短期集計R7'!E33</f>
        <v>735388975</v>
      </c>
      <c r="H13" s="1597" t="str">
        <f aca="false">IF(AND(E13=F13,E13=G13),"○","×")</f>
        <v>○</v>
      </c>
      <c r="I13" s="1595" t="s">
        <v>566</v>
      </c>
      <c r="J13" s="1596" t="n">
        <f aca="true">OFFSET('☆振替R7'!$C$6,$P$4*$P13,0,1,1)</f>
        <v>327035800</v>
      </c>
      <c r="K13" s="1596" t="n">
        <f aca="true">OFFSET('☆振替R7'!$C$21,$P$4*$P13,0,1,1)</f>
        <v>327165828</v>
      </c>
      <c r="L13" s="1596" t="n">
        <f aca="true">OFFSET('☆振替R7'!$C$8,$P$4*$P13,0,1,1)</f>
        <v>908351</v>
      </c>
      <c r="M13" s="1596" t="n">
        <f aca="false">SUM(J13:L13)</f>
        <v>655109979</v>
      </c>
      <c r="N13" s="1596" t="n">
        <f aca="true">OFFSET('☆振替R7'!$E$25,$P$4*$P13,0,1,1)</f>
        <v>655109979</v>
      </c>
      <c r="O13" s="1598" t="str">
        <f aca="false">IF(M13=N13,"○","×")</f>
        <v>○</v>
      </c>
      <c r="P13" s="1589" t="n">
        <v>8</v>
      </c>
      <c r="Q13" s="1149"/>
      <c r="R13" s="1153"/>
      <c r="S13" s="1153"/>
      <c r="T13" s="1153"/>
    </row>
    <row r="14" customFormat="false" ht="21.75" hidden="false" customHeight="true" outlineLevel="0" collapsed="false">
      <c r="A14" s="1595" t="s">
        <v>887</v>
      </c>
      <c r="B14" s="1596" t="n">
        <f aca="false">J14+B35+B56+I56+B77+I77</f>
        <v>628299535</v>
      </c>
      <c r="C14" s="1596" t="n">
        <f aca="false">K14+C35+D35+J35+C56+J56+C77+J77</f>
        <v>637398784</v>
      </c>
      <c r="D14" s="1599" t="n">
        <f aca="false">L14+E35+D56+K56+D77+K77</f>
        <v>0</v>
      </c>
      <c r="E14" s="1596" t="n">
        <f aca="false">SUM(B14:D14)</f>
        <v>1265698319</v>
      </c>
      <c r="F14" s="1596" t="n">
        <f aca="true">OFFSET('☆振替R7'!$B$10,$P$4*$P14,0,1,1)+OFFSET('☆振替R7'!$B$21,$P$4*$P14,0,1,1)</f>
        <v>1265698319</v>
      </c>
      <c r="G14" s="1596" t="n">
        <f aca="false">'☆短期集計R7'!E34</f>
        <v>1265698319</v>
      </c>
      <c r="H14" s="1597" t="str">
        <f aca="false">IF(AND(E14=F14,E14=G14),"○","×")</f>
        <v>○</v>
      </c>
      <c r="I14" s="1595" t="s">
        <v>887</v>
      </c>
      <c r="J14" s="1596" t="n">
        <f aca="true">OFFSET('☆振替R7'!$C$6,$P$4*$P14,0,1,1)</f>
        <v>563240366</v>
      </c>
      <c r="K14" s="1596" t="n">
        <f aca="true">OFFSET('☆振替R7'!$C$21,$P$4*$P14,0,1,1)</f>
        <v>563791405</v>
      </c>
      <c r="L14" s="1599" t="n">
        <f aca="true">OFFSET('☆振替R7'!$C$8,$P$4*$P14,0,1,1)</f>
        <v>0</v>
      </c>
      <c r="M14" s="1596" t="n">
        <f aca="false">SUM(J14:L14)</f>
        <v>1127031771</v>
      </c>
      <c r="N14" s="1596" t="n">
        <f aca="true">OFFSET('☆振替R7'!$E$25,$P$4*$P14,0,1,1)</f>
        <v>1127031771</v>
      </c>
      <c r="O14" s="1598" t="str">
        <f aca="false">IF(M14=N14,"○","×")</f>
        <v>○</v>
      </c>
      <c r="P14" s="1589" t="n">
        <v>9</v>
      </c>
      <c r="Q14" s="1149"/>
      <c r="R14" s="1153"/>
      <c r="S14" s="1153"/>
      <c r="T14" s="1153"/>
    </row>
    <row r="15" customFormat="false" ht="21.75" hidden="false" customHeight="true" outlineLevel="0" collapsed="false">
      <c r="A15" s="1595" t="s">
        <v>567</v>
      </c>
      <c r="B15" s="1596" t="n">
        <f aca="false">J15+B36+B57+I57+B78+I78</f>
        <v>365041686</v>
      </c>
      <c r="C15" s="1596" t="n">
        <f aca="false">K15+C36+D36+J36+C57+J57+C78+J78</f>
        <v>369649168</v>
      </c>
      <c r="D15" s="1600" t="n">
        <f aca="false">L15+E36+D57+K57+D78+K78</f>
        <v>1270075</v>
      </c>
      <c r="E15" s="1596" t="n">
        <f aca="false">SUM(B15:D15)</f>
        <v>735960929</v>
      </c>
      <c r="F15" s="1596" t="n">
        <f aca="true">OFFSET('☆振替R7'!$B$10,$P$4*$P15,0,1,1)+OFFSET('☆振替R7'!$B$21,$P$4*$P15,0,1,1)</f>
        <v>735960929</v>
      </c>
      <c r="G15" s="1596" t="n">
        <f aca="false">'☆短期集計R7'!E35</f>
        <v>735960929</v>
      </c>
      <c r="H15" s="1597" t="str">
        <f aca="false">IF(AND(E15=F15,E15=G15),"○","×")</f>
        <v>○</v>
      </c>
      <c r="I15" s="1595" t="s">
        <v>567</v>
      </c>
      <c r="J15" s="1596" t="n">
        <f aca="true">OFFSET('☆振替R7'!$C$6,$P$4*$P15,0,1,1)</f>
        <v>327242344</v>
      </c>
      <c r="K15" s="1596" t="n">
        <f aca="true">OFFSET('☆振替R7'!$C$21,$P$4*$P15,0,1,1)</f>
        <v>327239887</v>
      </c>
      <c r="L15" s="1600" t="n">
        <f aca="true">OFFSET('☆振替R7'!$C$8,$P$4*$P15,0,1,1)</f>
        <v>1138561</v>
      </c>
      <c r="M15" s="1596" t="n">
        <f aca="false">SUM(J15:L15)</f>
        <v>655620792</v>
      </c>
      <c r="N15" s="1596" t="n">
        <f aca="true">OFFSET('☆振替R7'!$E$25,$P$4*$P15,0,1,1)</f>
        <v>655620792</v>
      </c>
      <c r="O15" s="1598" t="str">
        <f aca="false">IF(M15=N15,"○","×")</f>
        <v>○</v>
      </c>
      <c r="P15" s="1589" t="n">
        <v>10</v>
      </c>
      <c r="Q15" s="1149"/>
      <c r="R15" s="1153"/>
      <c r="S15" s="1153"/>
      <c r="T15" s="1153"/>
    </row>
    <row r="16" customFormat="false" ht="21.75" hidden="false" customHeight="true" outlineLevel="0" collapsed="false">
      <c r="A16" s="1595" t="s">
        <v>568</v>
      </c>
      <c r="B16" s="1596" t="n">
        <f aca="false">J16+B37+B58+I58+B79+I79</f>
        <v>364666157</v>
      </c>
      <c r="C16" s="1596" t="n">
        <f aca="false">K16+C37+D37+J37+C58+J58+C79+J79</f>
        <v>369664538</v>
      </c>
      <c r="D16" s="1596" t="n">
        <f aca="false">L16+E37+D58+K58+D79+K79</f>
        <v>1487293</v>
      </c>
      <c r="E16" s="1596" t="n">
        <f aca="false">SUM(B16:D16)</f>
        <v>735817988</v>
      </c>
      <c r="F16" s="1596" t="n">
        <f aca="true">OFFSET('☆振替R7'!$B$10,$P$4*$P16,0,1,1)+OFFSET('☆振替R7'!$B$21,$P$4*$P16,0,1,1)</f>
        <v>735817988</v>
      </c>
      <c r="G16" s="1596" t="n">
        <f aca="false">'☆短期集計R7'!E36</f>
        <v>735817988</v>
      </c>
      <c r="H16" s="1597" t="str">
        <f aca="false">IF(AND(E16=F16,E16=G16),"○","×")</f>
        <v>○</v>
      </c>
      <c r="I16" s="1595" t="s">
        <v>568</v>
      </c>
      <c r="J16" s="1596" t="n">
        <f aca="true">OFFSET('☆振替R7'!$C$6,$P$4*$P16,0,1,1)</f>
        <v>326905700</v>
      </c>
      <c r="K16" s="1596" t="n">
        <f aca="true">OFFSET('☆振替R7'!$C$21,$P$4*$P16,0,1,1)</f>
        <v>327258826</v>
      </c>
      <c r="L16" s="1596" t="n">
        <f aca="true">OFFSET('☆振替R7'!$C$8,$P$4*$P16,0,1,1)</f>
        <v>1333286</v>
      </c>
      <c r="M16" s="1596" t="n">
        <f aca="false">SUM(J16:L16)</f>
        <v>655497812</v>
      </c>
      <c r="N16" s="1596" t="n">
        <f aca="true">OFFSET('☆振替R7'!$E$25,$P$4*$P16,0,1,1)</f>
        <v>655497812</v>
      </c>
      <c r="O16" s="1598" t="str">
        <f aca="false">IF(M16=N16,"○","×")</f>
        <v>○</v>
      </c>
      <c r="P16" s="1589" t="n">
        <v>11</v>
      </c>
      <c r="Q16" s="1149"/>
      <c r="R16" s="1153"/>
      <c r="S16" s="1153"/>
      <c r="T16" s="1153"/>
    </row>
    <row r="17" customFormat="false" ht="21.75" hidden="false" customHeight="true" outlineLevel="0" collapsed="false">
      <c r="A17" s="1595" t="s">
        <v>569</v>
      </c>
      <c r="B17" s="1596" t="n">
        <f aca="false">J17+B38+B59+I59+B80+I80</f>
        <v>364642103</v>
      </c>
      <c r="C17" s="1596" t="n">
        <f aca="false">K17+C38+D38+J38+C59+J59+C80+J80</f>
        <v>369683132</v>
      </c>
      <c r="D17" s="1596" t="n">
        <f aca="false">L17+E38+D59+K59+D80+K80</f>
        <v>873541</v>
      </c>
      <c r="E17" s="1596" t="n">
        <f aca="false">SUM(B17:D17)</f>
        <v>735198776</v>
      </c>
      <c r="F17" s="1596" t="n">
        <f aca="true">OFFSET('☆振替R7'!$B$10,$P$4*$P17,0,1,1)+OFFSET('☆振替R7'!$B$21,$P$4*$P17,0,1,1)</f>
        <v>735198776</v>
      </c>
      <c r="G17" s="1596" t="n">
        <f aca="false">'☆短期集計R7'!E37</f>
        <v>735198776</v>
      </c>
      <c r="H17" s="1597" t="str">
        <f aca="false">IF(AND(E17=F17,E17=G17),"○","×")</f>
        <v>○</v>
      </c>
      <c r="I17" s="1595" t="s">
        <v>569</v>
      </c>
      <c r="J17" s="1596" t="n">
        <f aca="true">OFFSET('☆振替R7'!$C$6,$P$4*$P17,0,1,1)</f>
        <v>326884137</v>
      </c>
      <c r="K17" s="1596" t="n">
        <f aca="true">OFFSET('☆振替R7'!$C$21,$P$4*$P17,0,1,1)</f>
        <v>327271790</v>
      </c>
      <c r="L17" s="1596" t="n">
        <f aca="true">OFFSET('☆振替R7'!$C$8,$P$4*$P17,0,1,1)</f>
        <v>783087</v>
      </c>
      <c r="M17" s="1596" t="n">
        <f aca="false">SUM(J17:L17)</f>
        <v>654939014</v>
      </c>
      <c r="N17" s="1596" t="n">
        <f aca="true">OFFSET('☆振替R7'!$E$25,$P$4*$P17,0,1,1)</f>
        <v>654939014</v>
      </c>
      <c r="O17" s="1598" t="str">
        <f aca="false">IF(M17=N17,"○","×")</f>
        <v>○</v>
      </c>
      <c r="P17" s="1589" t="n">
        <v>12</v>
      </c>
      <c r="Q17" s="1149"/>
      <c r="R17" s="1153"/>
      <c r="S17" s="1153"/>
      <c r="T17" s="1153"/>
    </row>
    <row r="18" customFormat="false" ht="21.75" hidden="false" customHeight="true" outlineLevel="0" collapsed="false">
      <c r="A18" s="1595" t="s">
        <v>888</v>
      </c>
      <c r="B18" s="1596" t="n">
        <f aca="false">J18+B39+B60+I60+B81+I81</f>
        <v>139822185</v>
      </c>
      <c r="C18" s="1596" t="n">
        <f aca="false">K18+C39+D39+J39+C60+J60+C81+J81</f>
        <v>145829686</v>
      </c>
      <c r="D18" s="1599" t="n">
        <f aca="false">L18+E39+D60+K60+D81+K81</f>
        <v>0</v>
      </c>
      <c r="E18" s="1596" t="n">
        <f aca="false">SUM(B18:D18)</f>
        <v>285651871</v>
      </c>
      <c r="F18" s="1596" t="n">
        <f aca="true">OFFSET('☆振替R7'!$B$10,$P$4*$P18,0,1,1)+OFFSET('☆振替R7'!$B$21,$P$4*$P18,0,1,1)</f>
        <v>285651871</v>
      </c>
      <c r="G18" s="1596" t="n">
        <f aca="false">'☆短期集計R7'!E38</f>
        <v>285651871</v>
      </c>
      <c r="H18" s="1597" t="str">
        <f aca="false">IF(AND(E18=F18,E18=G18),"○","×")</f>
        <v>○</v>
      </c>
      <c r="I18" s="1595" t="s">
        <v>888</v>
      </c>
      <c r="J18" s="1596" t="n">
        <f aca="true">OFFSET('☆振替R7'!$C$6,$P$4*$P18,0,1,1)</f>
        <v>125343875</v>
      </c>
      <c r="K18" s="1596" t="n">
        <f aca="true">OFFSET('☆振替R7'!$C$21,$P$4*$P18,0,1,1)</f>
        <v>128957826</v>
      </c>
      <c r="L18" s="1599" t="n">
        <f aca="true">OFFSET('☆振替R7'!$C$8,$P$4*$P18,0,1,1)</f>
        <v>0</v>
      </c>
      <c r="M18" s="1596" t="n">
        <f aca="false">SUM(J18:L18)</f>
        <v>254301701</v>
      </c>
      <c r="N18" s="1596" t="n">
        <f aca="true">OFFSET('☆振替R7'!$E$25,$P$4*$P18,0,1,1)</f>
        <v>254301701</v>
      </c>
      <c r="O18" s="1598" t="str">
        <f aca="false">IF(M18=N18,"○","×")</f>
        <v>○</v>
      </c>
      <c r="P18" s="1589" t="n">
        <v>13</v>
      </c>
      <c r="Q18" s="1149"/>
      <c r="R18" s="1153"/>
      <c r="S18" s="1153"/>
      <c r="T18" s="1153"/>
    </row>
    <row r="19" customFormat="false" ht="21.75" hidden="false" customHeight="true" outlineLevel="0" collapsed="false">
      <c r="A19" s="1595" t="s">
        <v>570</v>
      </c>
      <c r="B19" s="1596" t="n">
        <f aca="false">J19+B40+B61+I61+B82+I82</f>
        <v>355674806</v>
      </c>
      <c r="C19" s="1596" t="n">
        <f aca="false">K19+C40+D40+J40+C61+J61+C82+J82</f>
        <v>359744737</v>
      </c>
      <c r="D19" s="1600" t="n">
        <f aca="false">L19+E40+D61+K61+D82+K82</f>
        <v>112219</v>
      </c>
      <c r="E19" s="1596" t="n">
        <f aca="false">SUM(B19:D19)</f>
        <v>715531762</v>
      </c>
      <c r="F19" s="1596" t="n">
        <f aca="true">OFFSET('☆振替R7'!$B$10,$P$4*$P19,0,1,1)+OFFSET('☆振替R7'!$B$21,$P$4*$P19,0,1,1)</f>
        <v>715531762</v>
      </c>
      <c r="G19" s="1596" t="n">
        <f aca="false">'☆短期集計R7'!E39</f>
        <v>715531762</v>
      </c>
      <c r="H19" s="1597" t="str">
        <f aca="false">IF(AND(E19=F19,E19=G19),"○","×")</f>
        <v>○</v>
      </c>
      <c r="I19" s="1595" t="s">
        <v>570</v>
      </c>
      <c r="J19" s="1596" t="n">
        <f aca="true">OFFSET('☆振替R7'!$C$6,$P$4*$P19,0,1,1)</f>
        <v>318845386</v>
      </c>
      <c r="K19" s="1596" t="n">
        <f aca="true">OFFSET('☆振替R7'!$C$21,$P$4*$P19,0,1,1)</f>
        <v>318492812</v>
      </c>
      <c r="L19" s="1600" t="n">
        <f aca="true">OFFSET('☆振替R7'!$C$8,$P$4*$P19,0,1,1)</f>
        <v>100598</v>
      </c>
      <c r="M19" s="1596" t="n">
        <f aca="false">SUM(J19:L19)</f>
        <v>637438796</v>
      </c>
      <c r="N19" s="1596" t="n">
        <f aca="true">OFFSET('☆振替R7'!$E$25,$P$4*$P19,0,1,1)</f>
        <v>637438796</v>
      </c>
      <c r="O19" s="1598" t="str">
        <f aca="false">IF(M19=N19,"○","×")</f>
        <v>○</v>
      </c>
      <c r="P19" s="1589" t="n">
        <v>14</v>
      </c>
      <c r="Q19" s="1149"/>
      <c r="R19" s="1153"/>
      <c r="S19" s="1153"/>
      <c r="T19" s="1153"/>
    </row>
    <row r="20" customFormat="false" ht="21.75" hidden="false" customHeight="true" outlineLevel="0" collapsed="false">
      <c r="A20" s="1601" t="s">
        <v>639</v>
      </c>
      <c r="B20" s="1596" t="n">
        <f aca="false">J20+B41+B62+I62+B83+I83</f>
        <v>17812876</v>
      </c>
      <c r="C20" s="1596" t="n">
        <f aca="false">K20+C41+D41+J41+C62+J62+C83+J83</f>
        <v>17802510</v>
      </c>
      <c r="D20" s="1599" t="n">
        <f aca="false">L20+E41+D62+K62+D83+K83</f>
        <v>0</v>
      </c>
      <c r="E20" s="1596" t="n">
        <f aca="false">SUM(B20:D20)</f>
        <v>35615386</v>
      </c>
      <c r="F20" s="1596" t="n">
        <f aca="true">OFFSET('☆振替R7'!$B$10,$P$4*$P20,0,1,1)+OFFSET('☆振替R7'!$B$21,$P$4*$P20,0,1,1)</f>
        <v>35615386</v>
      </c>
      <c r="G20" s="1596" t="n">
        <f aca="false">'☆短期集計R7'!E40</f>
        <v>35615386</v>
      </c>
      <c r="H20" s="1597" t="str">
        <f aca="false">IF(AND(E20=F20,E20=G20),"○","×")</f>
        <v>○</v>
      </c>
      <c r="I20" s="1601" t="s">
        <v>639</v>
      </c>
      <c r="J20" s="1596" t="n">
        <f aca="true">OFFSET('☆振替R7'!$C$6,$P$4*$P20,0,1,1)</f>
        <v>15968388</v>
      </c>
      <c r="K20" s="1596" t="n">
        <f aca="true">OFFSET('☆振替R7'!$C$21,$P$4*$P20,0,1,1)</f>
        <v>15742500</v>
      </c>
      <c r="L20" s="1599" t="n">
        <f aca="true">OFFSET('☆振替R7'!$C$8,$P$4*$P20,0,1,1)</f>
        <v>0</v>
      </c>
      <c r="M20" s="1596" t="n">
        <f aca="false">SUM(J20:L20)</f>
        <v>31710888</v>
      </c>
      <c r="N20" s="1596" t="n">
        <f aca="true">OFFSET('☆振替R7'!$E$25,$P$4*$P20,0,1,1)</f>
        <v>31710888</v>
      </c>
      <c r="O20" s="1598" t="str">
        <f aca="false">IF(M20=N20,"○","×")</f>
        <v>○</v>
      </c>
      <c r="P20" s="1589" t="n">
        <v>15</v>
      </c>
      <c r="Q20" s="1153"/>
      <c r="R20" s="1149"/>
      <c r="S20" s="1149"/>
      <c r="T20" s="1149"/>
      <c r="U20" s="1149"/>
      <c r="V20" s="1149"/>
      <c r="W20" s="1149"/>
      <c r="X20" s="1149"/>
      <c r="Y20" s="1149"/>
    </row>
    <row r="21" customFormat="false" ht="21.75" hidden="false" customHeight="true" outlineLevel="0" collapsed="false">
      <c r="A21" s="1601" t="s">
        <v>640</v>
      </c>
      <c r="B21" s="1596" t="n">
        <f aca="false">J21+B42+B63+I63+B84+I84</f>
        <v>17812885</v>
      </c>
      <c r="C21" s="1596" t="n">
        <f aca="false">K21+C42+D42+J42+C63+J63+C84+J84</f>
        <v>17802525</v>
      </c>
      <c r="D21" s="1599" t="n">
        <f aca="false">L21+E42+D63+K63+D84+K84</f>
        <v>0</v>
      </c>
      <c r="E21" s="1596" t="n">
        <f aca="false">SUM(B21:D21)</f>
        <v>35615410</v>
      </c>
      <c r="F21" s="1596" t="n">
        <f aca="true">OFFSET('☆振替R7'!$B$10,$P$4*$P21,0,1,1)+OFFSET('☆振替R7'!$B$21,$P$4*$P21,0,1,1)</f>
        <v>35615410</v>
      </c>
      <c r="G21" s="1596" t="n">
        <f aca="false">'☆短期集計R7'!E41</f>
        <v>35615410</v>
      </c>
      <c r="H21" s="1597" t="str">
        <f aca="false">IF(AND(E21=F21,E21=G21),"○","×")</f>
        <v>○</v>
      </c>
      <c r="I21" s="1601" t="s">
        <v>640</v>
      </c>
      <c r="J21" s="1596" t="n">
        <f aca="true">OFFSET('☆振替R7'!$C$6,$P$4*$P21,0,1,1)</f>
        <v>15968396</v>
      </c>
      <c r="K21" s="1596" t="n">
        <f aca="true">OFFSET('☆振替R7'!$C$21,$P$4*$P21,0,1,1)</f>
        <v>15742524</v>
      </c>
      <c r="L21" s="1599" t="n">
        <f aca="true">OFFSET('☆振替R7'!$C$8,$P$4*$P21,0,1,1)</f>
        <v>0</v>
      </c>
      <c r="M21" s="1596" t="n">
        <f aca="false">SUM(J21:L21)</f>
        <v>31710920</v>
      </c>
      <c r="N21" s="1596" t="n">
        <f aca="true">OFFSET('☆振替R7'!$E$25,$P$4*$P21,0,1,1)</f>
        <v>31710920</v>
      </c>
      <c r="O21" s="1598" t="str">
        <f aca="false">IF(M21=N21,"○","×")</f>
        <v>○</v>
      </c>
      <c r="P21" s="1589" t="n">
        <v>16</v>
      </c>
      <c r="Q21" s="1153"/>
      <c r="R21" s="1149"/>
      <c r="S21" s="1149"/>
      <c r="T21" s="1149"/>
      <c r="U21" s="1149"/>
      <c r="V21" s="1149"/>
      <c r="W21" s="1149"/>
      <c r="X21" s="1149"/>
      <c r="Y21" s="1149"/>
    </row>
    <row r="22" customFormat="false" ht="21.75" hidden="false" customHeight="true" outlineLevel="0" collapsed="false">
      <c r="A22" s="1592" t="s">
        <v>571</v>
      </c>
      <c r="B22" s="1596" t="n">
        <f aca="false">SUM(B5:B21)</f>
        <v>5708947705</v>
      </c>
      <c r="C22" s="1596" t="n">
        <f aca="false">SUM(C5:C21)</f>
        <v>5787997734</v>
      </c>
      <c r="D22" s="1596" t="n">
        <f aca="false">SUM(D5:D21)</f>
        <v>118173926</v>
      </c>
      <c r="E22" s="1596" t="n">
        <f aca="false">SUM(E5:E21)</f>
        <v>11615119365</v>
      </c>
      <c r="F22" s="1596" t="n">
        <f aca="false">SUM(F5:F21)</f>
        <v>11615119365</v>
      </c>
      <c r="G22" s="1596" t="n">
        <f aca="false">SUM(G5:G21)</f>
        <v>11615119365</v>
      </c>
      <c r="H22" s="1597" t="str">
        <f aca="false">IF(AND(E22=F22,E22=G22),"○","×")</f>
        <v>○</v>
      </c>
      <c r="I22" s="1592" t="s">
        <v>571</v>
      </c>
      <c r="J22" s="1596" t="n">
        <f aca="false">SUM(J5:J21)</f>
        <v>5117797503</v>
      </c>
      <c r="K22" s="1596" t="n">
        <f aca="false">SUM(K5:K21)</f>
        <v>5122953242</v>
      </c>
      <c r="L22" s="1596" t="n">
        <f aca="false">SUM(L5:L21)</f>
        <v>105937243</v>
      </c>
      <c r="M22" s="1596" t="n">
        <f aca="false">SUM(M5:M21)</f>
        <v>10346687988</v>
      </c>
      <c r="N22" s="1596" t="n">
        <f aca="false">SUM(N5:N21)</f>
        <v>10346687988</v>
      </c>
      <c r="O22" s="1598" t="str">
        <f aca="false">IF(M22=N22,"○","×")</f>
        <v>○</v>
      </c>
      <c r="P22" s="1589"/>
      <c r="Q22" s="1149"/>
      <c r="R22" s="1149"/>
      <c r="S22" s="1149"/>
      <c r="T22" s="1149"/>
      <c r="U22" s="1149"/>
      <c r="V22" s="1149"/>
      <c r="W22" s="1149"/>
      <c r="X22" s="1149"/>
      <c r="Y22" s="1149"/>
    </row>
    <row r="23" customFormat="false" ht="21.75" hidden="false" customHeight="true" outlineLevel="0" collapsed="false">
      <c r="A23" s="1602"/>
      <c r="B23" s="1603"/>
      <c r="C23" s="1603"/>
      <c r="D23" s="1603"/>
      <c r="E23" s="1603"/>
      <c r="F23" s="1603"/>
      <c r="G23" s="1603"/>
      <c r="H23" s="1604"/>
      <c r="I23" s="1602"/>
      <c r="J23" s="1603"/>
      <c r="K23" s="1603"/>
      <c r="L23" s="1603"/>
      <c r="M23" s="1603"/>
      <c r="N23" s="1603"/>
      <c r="O23" s="1605"/>
      <c r="P23" s="1149"/>
      <c r="Q23" s="1149"/>
      <c r="R23" s="1149"/>
      <c r="S23" s="1149"/>
      <c r="T23" s="1149"/>
      <c r="U23" s="1149"/>
      <c r="V23" s="1149"/>
      <c r="W23" s="1149"/>
      <c r="X23" s="1149"/>
      <c r="Y23" s="1149"/>
    </row>
    <row r="24" customFormat="false" ht="21.75" hidden="false" customHeight="true" outlineLevel="0" collapsed="false">
      <c r="A24" s="1589" t="s">
        <v>889</v>
      </c>
      <c r="B24" s="1606"/>
      <c r="C24" s="1607"/>
      <c r="D24" s="1607"/>
      <c r="E24" s="1607"/>
      <c r="F24" s="1589"/>
      <c r="G24" s="1591" t="s">
        <v>535</v>
      </c>
      <c r="H24" s="1589"/>
      <c r="I24" s="1589" t="s">
        <v>890</v>
      </c>
      <c r="J24" s="1606"/>
      <c r="K24" s="1607"/>
      <c r="L24" s="1607"/>
      <c r="M24" s="1589"/>
      <c r="N24" s="1589"/>
      <c r="O24" s="1589"/>
      <c r="P24" s="1589"/>
      <c r="Q24" s="1589"/>
      <c r="R24" s="1589"/>
      <c r="S24" s="1589"/>
      <c r="T24" s="1589"/>
      <c r="U24" s="1589"/>
      <c r="V24" s="1589"/>
      <c r="W24" s="1589"/>
      <c r="X24" s="1589"/>
      <c r="Y24" s="1589"/>
    </row>
    <row r="25" customFormat="false" ht="30" hidden="false" customHeight="true" outlineLevel="0" collapsed="false">
      <c r="A25" s="1592" t="s">
        <v>394</v>
      </c>
      <c r="B25" s="1593" t="s">
        <v>877</v>
      </c>
      <c r="C25" s="1592" t="s">
        <v>491</v>
      </c>
      <c r="D25" s="1592" t="s">
        <v>891</v>
      </c>
      <c r="E25" s="1593" t="s">
        <v>878</v>
      </c>
      <c r="F25" s="1592" t="s">
        <v>892</v>
      </c>
      <c r="G25" s="1593" t="s">
        <v>893</v>
      </c>
      <c r="H25" s="1594" t="s">
        <v>894</v>
      </c>
      <c r="I25" s="1592" t="s">
        <v>394</v>
      </c>
      <c r="J25" s="1592" t="s">
        <v>895</v>
      </c>
      <c r="K25" s="1593" t="s">
        <v>896</v>
      </c>
      <c r="L25" s="1594" t="s">
        <v>897</v>
      </c>
      <c r="M25" s="1608"/>
      <c r="N25" s="1609"/>
      <c r="O25" s="1609"/>
      <c r="P25" s="1608"/>
      <c r="Q25" s="1609"/>
      <c r="R25" s="1609"/>
      <c r="S25" s="1609"/>
    </row>
    <row r="26" customFormat="false" ht="21.75" hidden="false" customHeight="true" outlineLevel="0" collapsed="false">
      <c r="A26" s="1595" t="s">
        <v>559</v>
      </c>
      <c r="B26" s="1596" t="n">
        <f aca="true">OFFSET('☆振替R7'!$D$6,$P$4*$P5,0,1,1)</f>
        <v>15550898</v>
      </c>
      <c r="C26" s="1596" t="n">
        <f aca="true">OFFSET('☆振替R7'!$D$21,$P$4*$P5,0,1,1)</f>
        <v>15533689</v>
      </c>
      <c r="D26" s="1596" t="n">
        <f aca="true">OFFSET('☆振替R7'!$E$21,$P$4*$P5,0,1,1)</f>
        <v>4025496</v>
      </c>
      <c r="E26" s="1596" t="n">
        <f aca="true">OFFSET('☆振替R7'!$D$8,$P$4*$P5,0,1,1)</f>
        <v>4379343</v>
      </c>
      <c r="F26" s="1596" t="n">
        <f aca="false">SUM(B26:E26)</f>
        <v>39489426</v>
      </c>
      <c r="G26" s="1596" t="n">
        <f aca="true">OFFSET('☆振替R7'!$E$27,$P$4*$P5,0,1,1)</f>
        <v>39489426</v>
      </c>
      <c r="H26" s="1598" t="str">
        <f aca="false">IF(F26=G26,"○","×")</f>
        <v>○</v>
      </c>
      <c r="I26" s="1595" t="s">
        <v>559</v>
      </c>
      <c r="J26" s="1596" t="n">
        <f aca="true">OFFSET('☆振替R7'!$F$21,$P$4*$P5,0,1,1)</f>
        <v>334776</v>
      </c>
      <c r="K26" s="1596" t="n">
        <f aca="true">OFFSET('☆振替R7'!$E$29,$P$4*$P5,0,1,1)</f>
        <v>334776</v>
      </c>
      <c r="L26" s="1598" t="str">
        <f aca="false">IF(J26=K26,"○","×")</f>
        <v>○</v>
      </c>
      <c r="M26" s="1608"/>
      <c r="N26" s="1609"/>
      <c r="O26" s="1609"/>
      <c r="P26" s="1609"/>
      <c r="Q26" s="1610"/>
      <c r="R26" s="1610"/>
      <c r="S26" s="1610"/>
    </row>
    <row r="27" customFormat="false" ht="21.75" hidden="false" customHeight="true" outlineLevel="0" collapsed="false">
      <c r="A27" s="1595" t="s">
        <v>560</v>
      </c>
      <c r="B27" s="1596" t="n">
        <f aca="true">OFFSET('☆振替R7'!$D$6,$P$4*$P6,0,1,1)</f>
        <v>15666808</v>
      </c>
      <c r="C27" s="1596" t="n">
        <f aca="true">OFFSET('☆振替R7'!$D$21,$P$4*$P6,0,1,1)</f>
        <v>15677406</v>
      </c>
      <c r="D27" s="1596" t="n">
        <f aca="true">OFFSET('☆振替R7'!$E$21,$P$4*$P6,0,1,1)</f>
        <v>4057893</v>
      </c>
      <c r="E27" s="1596" t="n">
        <f aca="true">OFFSET('☆振替R7'!$D$8,$P$4*$P6,0,1,1)</f>
        <v>98094</v>
      </c>
      <c r="F27" s="1596" t="n">
        <f aca="false">SUM(B27:E27)</f>
        <v>35500201</v>
      </c>
      <c r="G27" s="1596" t="n">
        <f aca="true">OFFSET('☆振替R7'!$E$27,$P$4*$P6,0,1,1)</f>
        <v>35500201</v>
      </c>
      <c r="H27" s="1598" t="str">
        <f aca="false">IF(F27=G27,"○","×")</f>
        <v>○</v>
      </c>
      <c r="I27" s="1595" t="s">
        <v>560</v>
      </c>
      <c r="J27" s="1596" t="n">
        <f aca="true">OFFSET('☆振替R7'!$F$21,$P$4*$P6,0,1,1)</f>
        <v>337874</v>
      </c>
      <c r="K27" s="1596" t="n">
        <f aca="true">OFFSET('☆振替R7'!$E$29,$P$4*$P6,0,1,1)</f>
        <v>337874</v>
      </c>
      <c r="L27" s="1598" t="str">
        <f aca="false">IF(J27=K27,"○","×")</f>
        <v>○</v>
      </c>
      <c r="M27" s="1610"/>
      <c r="N27" s="1610"/>
      <c r="O27" s="1610"/>
      <c r="P27" s="1610"/>
      <c r="Q27" s="1610"/>
      <c r="R27" s="1610"/>
      <c r="S27" s="1610"/>
    </row>
    <row r="28" customFormat="false" ht="21.75" hidden="false" customHeight="true" outlineLevel="0" collapsed="false">
      <c r="A28" s="1595" t="s">
        <v>561</v>
      </c>
      <c r="B28" s="1596" t="n">
        <f aca="true">OFFSET('☆振替R7'!$D$6,$P$4*$P7,0,1,1)</f>
        <v>15643505</v>
      </c>
      <c r="C28" s="1596" t="n">
        <f aca="true">OFFSET('☆振替R7'!$D$21,$P$4*$P7,0,1,1)</f>
        <v>15646586</v>
      </c>
      <c r="D28" s="1596" t="n">
        <f aca="true">OFFSET('☆振替R7'!$E$21,$P$4*$P7,0,1,1)</f>
        <v>4049348</v>
      </c>
      <c r="E28" s="1596" t="n">
        <f aca="true">OFFSET('☆振替R7'!$D$8,$P$4*$P7,0,1,1)</f>
        <v>128841</v>
      </c>
      <c r="F28" s="1596" t="n">
        <f aca="false">SUM(B28:E28)</f>
        <v>35468280</v>
      </c>
      <c r="G28" s="1596" t="n">
        <f aca="true">OFFSET('☆振替R7'!$E$27,$P$4*$P7,0,1,1)</f>
        <v>35468280</v>
      </c>
      <c r="H28" s="1598" t="str">
        <f aca="false">IF(F28=G28,"○","×")</f>
        <v>○</v>
      </c>
      <c r="I28" s="1595" t="s">
        <v>561</v>
      </c>
      <c r="J28" s="1596" t="n">
        <f aca="true">OFFSET('☆振替R7'!$F$21,$P$4*$P7,0,1,1)</f>
        <v>337210</v>
      </c>
      <c r="K28" s="1596" t="n">
        <f aca="true">OFFSET('☆振替R7'!$E$29,$P$4*$P7,0,1,1)</f>
        <v>337210</v>
      </c>
      <c r="L28" s="1598" t="str">
        <f aca="false">IF(J28=K28,"○","×")</f>
        <v>○</v>
      </c>
      <c r="M28" s="1610"/>
      <c r="N28" s="1610"/>
      <c r="O28" s="1610"/>
      <c r="P28" s="1610"/>
      <c r="Q28" s="1610"/>
      <c r="R28" s="1610"/>
      <c r="S28" s="1610"/>
    </row>
    <row r="29" customFormat="false" ht="21.75" hidden="false" customHeight="true" outlineLevel="0" collapsed="false">
      <c r="A29" s="1595" t="s">
        <v>886</v>
      </c>
      <c r="B29" s="1596" t="n">
        <f aca="true">OFFSET('☆振替R7'!$D$6,$P$4*$P8,0,1,1)</f>
        <v>27491392</v>
      </c>
      <c r="C29" s="1596" t="n">
        <f aca="true">OFFSET('☆振替R7'!$D$21,$P$4*$P8,0,1,1)</f>
        <v>27495855</v>
      </c>
      <c r="D29" s="1596" t="n">
        <f aca="true">OFFSET('☆振替R7'!$E$21,$P$4*$P8,0,1,1)</f>
        <v>7709955</v>
      </c>
      <c r="E29" s="1599" t="n">
        <f aca="true">OFFSET('☆振替R7'!$D$8,$P$4*$P8,0,1,1)</f>
        <v>0</v>
      </c>
      <c r="F29" s="1596" t="n">
        <f aca="false">SUM(B29:E29)</f>
        <v>62697202</v>
      </c>
      <c r="G29" s="1596" t="n">
        <f aca="true">OFFSET('☆振替R7'!$E$27,$P$4*$P8,0,1,1)</f>
        <v>62697202</v>
      </c>
      <c r="H29" s="1598" t="str">
        <f aca="false">IF(F29=G29,"○","×")</f>
        <v>○</v>
      </c>
      <c r="I29" s="1595" t="s">
        <v>886</v>
      </c>
      <c r="J29" s="1596" t="n">
        <f aca="true">OFFSET('☆振替R7'!$F$21,$P$4*$P8,0,1,1)</f>
        <v>592581</v>
      </c>
      <c r="K29" s="1596" t="n">
        <f aca="true">OFFSET('☆振替R7'!$E$29,$P$4*$P8,0,1,1)</f>
        <v>592581</v>
      </c>
      <c r="L29" s="1598" t="str">
        <f aca="false">IF(J29=K29,"○","×")</f>
        <v>○</v>
      </c>
      <c r="M29" s="1610"/>
      <c r="N29" s="1610"/>
      <c r="O29" s="1610"/>
      <c r="P29" s="1610"/>
      <c r="Q29" s="1609"/>
      <c r="R29" s="1609"/>
      <c r="S29" s="1609"/>
    </row>
    <row r="30" customFormat="false" ht="21.75" hidden="false" customHeight="true" outlineLevel="0" collapsed="false">
      <c r="A30" s="1595" t="s">
        <v>562</v>
      </c>
      <c r="B30" s="1596" t="n">
        <f aca="true">OFFSET('☆振替R7'!$D$6,$P$4*$P9,0,1,1)</f>
        <v>15902570</v>
      </c>
      <c r="C30" s="1596" t="n">
        <f aca="true">OFFSET('☆振替R7'!$D$21,$P$4*$P9,0,1,1)</f>
        <v>15914151</v>
      </c>
      <c r="D30" s="1596" t="n">
        <f aca="true">OFFSET('☆振替R7'!$E$21,$P$4*$P9,0,1,1)</f>
        <v>4136470</v>
      </c>
      <c r="E30" s="1596" t="n">
        <f aca="true">OFFSET('☆振替R7'!$D$8,$P$4*$P9,0,1,1)</f>
        <v>58106</v>
      </c>
      <c r="F30" s="1596" t="n">
        <f aca="false">SUM(B30:E30)</f>
        <v>36011297</v>
      </c>
      <c r="G30" s="1596" t="n">
        <f aca="true">OFFSET('☆振替R7'!$E$27,$P$4*$P9,0,1,1)</f>
        <v>36011297</v>
      </c>
      <c r="H30" s="1598" t="str">
        <f aca="false">IF(F30=G30,"○","×")</f>
        <v>○</v>
      </c>
      <c r="I30" s="1595" t="s">
        <v>562</v>
      </c>
      <c r="J30" s="1596" t="n">
        <f aca="true">OFFSET('☆振替R7'!$F$21,$P$4*$P9,0,1,1)</f>
        <v>342976</v>
      </c>
      <c r="K30" s="1596" t="n">
        <f aca="true">OFFSET('☆振替R7'!$E$29,$P$4*$P9,0,1,1)</f>
        <v>342976</v>
      </c>
      <c r="L30" s="1598" t="str">
        <f aca="false">IF(J30=K30,"○","×")</f>
        <v>○</v>
      </c>
      <c r="M30" s="1608"/>
      <c r="N30" s="1609"/>
      <c r="O30" s="1609"/>
      <c r="P30" s="1609"/>
      <c r="Q30" s="1611"/>
      <c r="R30" s="1611"/>
      <c r="S30" s="1611"/>
    </row>
    <row r="31" customFormat="false" ht="21.75" hidden="false" customHeight="true" outlineLevel="0" collapsed="false">
      <c r="A31" s="1595" t="s">
        <v>563</v>
      </c>
      <c r="B31" s="1596" t="n">
        <f aca="true">OFFSET('☆振替R7'!$D$6,$P$4*$P10,0,1,1)</f>
        <v>15751799</v>
      </c>
      <c r="C31" s="1596" t="n">
        <f aca="true">OFFSET('☆振替R7'!$D$21,$P$4*$P10,0,1,1)</f>
        <v>15761400</v>
      </c>
      <c r="D31" s="1596" t="n">
        <f aca="true">OFFSET('☆振替R7'!$E$21,$P$4*$P10,0,1,1)</f>
        <v>4089706</v>
      </c>
      <c r="E31" s="1596" t="n">
        <f aca="true">OFFSET('☆振替R7'!$D$8,$P$4*$P10,0,1,1)</f>
        <v>85842</v>
      </c>
      <c r="F31" s="1596" t="n">
        <f aca="false">SUM(B31:E31)</f>
        <v>35688747</v>
      </c>
      <c r="G31" s="1596" t="n">
        <f aca="true">OFFSET('☆振替R7'!$E$27,$P$4*$P10,0,1,1)</f>
        <v>35688747</v>
      </c>
      <c r="H31" s="1598" t="str">
        <f aca="false">IF(F31=G31,"○","×")</f>
        <v>○</v>
      </c>
      <c r="I31" s="1595" t="s">
        <v>563</v>
      </c>
      <c r="J31" s="1596" t="n">
        <f aca="true">OFFSET('☆振替R7'!$F$21,$P$4*$P10,0,1,1)</f>
        <v>339683</v>
      </c>
      <c r="K31" s="1596" t="n">
        <f aca="true">OFFSET('☆振替R7'!$E$29,$P$4*$P10,0,1,1)</f>
        <v>339683</v>
      </c>
      <c r="L31" s="1598" t="str">
        <f aca="false">IF(J31=K31,"○","×")</f>
        <v>○</v>
      </c>
      <c r="M31" s="1611"/>
      <c r="N31" s="1611"/>
      <c r="O31" s="1611"/>
      <c r="P31" s="1611"/>
      <c r="Q31" s="1609"/>
      <c r="R31" s="1609"/>
      <c r="S31" s="1609"/>
    </row>
    <row r="32" customFormat="false" ht="21.75" hidden="false" customHeight="true" outlineLevel="0" collapsed="false">
      <c r="A32" s="1595" t="s">
        <v>564</v>
      </c>
      <c r="B32" s="1596" t="n">
        <f aca="true">OFFSET('☆振替R7'!$D$6,$P$4*$P11,0,1,1)</f>
        <v>15904254</v>
      </c>
      <c r="C32" s="1596" t="n">
        <f aca="true">OFFSET('☆振替R7'!$D$21,$P$4*$P11,0,1,1)</f>
        <v>15910297</v>
      </c>
      <c r="D32" s="1596" t="n">
        <f aca="true">OFFSET('☆振替R7'!$E$21,$P$4*$P11,0,1,1)</f>
        <v>4145893</v>
      </c>
      <c r="E32" s="1596" t="n">
        <f aca="true">OFFSET('☆振替R7'!$D$8,$P$4*$P11,0,1,1)</f>
        <v>220784</v>
      </c>
      <c r="F32" s="1596" t="n">
        <f aca="false">SUM(B32:E32)</f>
        <v>36181228</v>
      </c>
      <c r="G32" s="1596" t="n">
        <f aca="true">OFFSET('☆振替R7'!$E$27,$P$4*$P11,0,1,1)</f>
        <v>36181228</v>
      </c>
      <c r="H32" s="1598" t="str">
        <f aca="false">IF(F32=G32,"○","×")</f>
        <v>○</v>
      </c>
      <c r="I32" s="1595" t="s">
        <v>564</v>
      </c>
      <c r="J32" s="1596" t="n">
        <f aca="true">OFFSET('☆振替R7'!$F$21,$P$4*$P11,0,1,1)</f>
        <v>342892</v>
      </c>
      <c r="K32" s="1596" t="n">
        <f aca="true">OFFSET('☆振替R7'!$E$29,$P$4*$P11,0,1,1)</f>
        <v>342892</v>
      </c>
      <c r="L32" s="1598" t="str">
        <f aca="false">IF(J32=K32,"○","×")</f>
        <v>○</v>
      </c>
      <c r="M32" s="1608"/>
      <c r="N32" s="1609"/>
      <c r="O32" s="1609"/>
      <c r="P32" s="1609"/>
      <c r="Q32" s="1609"/>
      <c r="R32" s="1609"/>
      <c r="S32" s="1609"/>
    </row>
    <row r="33" customFormat="false" ht="21.75" hidden="false" customHeight="true" outlineLevel="0" collapsed="false">
      <c r="A33" s="1595" t="s">
        <v>565</v>
      </c>
      <c r="B33" s="1596" t="n">
        <f aca="true">OFFSET('☆振替R7'!$D$6,$P$4*$P12,0,1,1)</f>
        <v>16338767</v>
      </c>
      <c r="C33" s="1596" t="n">
        <f aca="true">OFFSET('☆振替R7'!$D$21,$P$4*$P12,0,1,1)</f>
        <v>16356850</v>
      </c>
      <c r="D33" s="1596" t="n">
        <f aca="true">OFFSET('☆振替R7'!$E$21,$P$4*$P12,0,1,1)</f>
        <v>4264974</v>
      </c>
      <c r="E33" s="1596" t="n">
        <f aca="true">OFFSET('☆振替R7'!$D$8,$P$4*$P12,0,1,1)</f>
        <v>102813</v>
      </c>
      <c r="F33" s="1596" t="n">
        <f aca="false">SUM(B33:E33)</f>
        <v>37063404</v>
      </c>
      <c r="G33" s="1596" t="n">
        <f aca="true">OFFSET('☆振替R7'!$E$27,$P$4*$P12,0,1,1)</f>
        <v>37063404</v>
      </c>
      <c r="H33" s="1598" t="str">
        <f aca="false">IF(F33=G33,"○","×")</f>
        <v>○</v>
      </c>
      <c r="I33" s="1595" t="s">
        <v>565</v>
      </c>
      <c r="J33" s="1596" t="n">
        <f aca="true">OFFSET('☆振替R7'!$F$21,$P$4*$P12,0,1,1)</f>
        <v>352516</v>
      </c>
      <c r="K33" s="1596" t="n">
        <f aca="true">OFFSET('☆振替R7'!$E$29,$P$4*$P12,0,1,1)</f>
        <v>352516</v>
      </c>
      <c r="L33" s="1598" t="str">
        <f aca="false">IF(J33=K33,"○","×")</f>
        <v>○</v>
      </c>
      <c r="M33" s="1608"/>
      <c r="N33" s="1609"/>
      <c r="O33" s="1609"/>
      <c r="P33" s="1609"/>
      <c r="Q33" s="1609"/>
      <c r="R33" s="1609"/>
      <c r="S33" s="1609"/>
    </row>
    <row r="34" customFormat="false" ht="21.75" hidden="false" customHeight="true" outlineLevel="0" collapsed="false">
      <c r="A34" s="1595" t="s">
        <v>566</v>
      </c>
      <c r="B34" s="1596" t="n">
        <f aca="true">OFFSET('☆振替R7'!$D$6,$P$4*$P13,0,1,1)</f>
        <v>16320134</v>
      </c>
      <c r="C34" s="1596" t="n">
        <f aca="true">OFFSET('☆振替R7'!$D$21,$P$4*$P13,0,1,1)</f>
        <v>16326622</v>
      </c>
      <c r="D34" s="1596" t="n">
        <f aca="true">OFFSET('☆振替R7'!$E$21,$P$4*$P13,0,1,1)</f>
        <v>4256216</v>
      </c>
      <c r="E34" s="1596" t="n">
        <f aca="true">OFFSET('☆振替R7'!$D$8,$P$4*$P13,0,1,1)</f>
        <v>45329</v>
      </c>
      <c r="F34" s="1596" t="n">
        <f aca="false">SUM(B34:E34)</f>
        <v>36948301</v>
      </c>
      <c r="G34" s="1596" t="n">
        <f aca="true">OFFSET('☆振替R7'!$E$27,$P$4*$P13,0,1,1)</f>
        <v>36948301</v>
      </c>
      <c r="H34" s="1598" t="str">
        <f aca="false">IF(F34=G34,"○","×")</f>
        <v>○</v>
      </c>
      <c r="I34" s="1595" t="s">
        <v>566</v>
      </c>
      <c r="J34" s="1596" t="n">
        <f aca="true">OFFSET('☆振替R7'!$F$21,$P$4*$P13,0,1,1)</f>
        <v>351865</v>
      </c>
      <c r="K34" s="1596" t="n">
        <f aca="true">OFFSET('☆振替R7'!$E$29,$P$4*$P13,0,1,1)</f>
        <v>351865</v>
      </c>
      <c r="L34" s="1598" t="str">
        <f aca="false">IF(J34=K34,"○","×")</f>
        <v>○</v>
      </c>
      <c r="M34" s="1608"/>
      <c r="N34" s="1609"/>
      <c r="O34" s="1609"/>
      <c r="P34" s="1609"/>
      <c r="Q34" s="1609"/>
      <c r="R34" s="1609"/>
      <c r="S34" s="1609"/>
    </row>
    <row r="35" customFormat="false" ht="21.75" hidden="false" customHeight="true" outlineLevel="0" collapsed="false">
      <c r="A35" s="1595" t="s">
        <v>887</v>
      </c>
      <c r="B35" s="1596" t="n">
        <f aca="true">OFFSET('☆振替R7'!$D$6,$P$4*$P14,0,1,1)</f>
        <v>28107499</v>
      </c>
      <c r="C35" s="1596" t="n">
        <f aca="true">OFFSET('☆振替R7'!$D$21,$P$4*$P14,0,1,1)</f>
        <v>28134997</v>
      </c>
      <c r="D35" s="1596" t="n">
        <f aca="true">OFFSET('☆振替R7'!$E$21,$P$4*$P14,0,1,1)</f>
        <v>7878200</v>
      </c>
      <c r="E35" s="1599" t="n">
        <f aca="true">OFFSET('☆振替R7'!$D$8,$P$4*$P14,0,1,1)</f>
        <v>0</v>
      </c>
      <c r="F35" s="1596" t="n">
        <f aca="false">SUM(B35:E35)</f>
        <v>64120696</v>
      </c>
      <c r="G35" s="1596" t="n">
        <f aca="true">OFFSET('☆振替R7'!$E$27,$P$4*$P14,0,1,1)</f>
        <v>64120696</v>
      </c>
      <c r="H35" s="1598" t="str">
        <f aca="false">IF(F35=G35,"○","×")</f>
        <v>○</v>
      </c>
      <c r="I35" s="1595" t="s">
        <v>887</v>
      </c>
      <c r="J35" s="1596" t="n">
        <f aca="true">OFFSET('☆振替R7'!$F$21,$P$4*$P14,0,1,1)</f>
        <v>606356</v>
      </c>
      <c r="K35" s="1596" t="n">
        <f aca="true">OFFSET('☆振替R7'!$E$29,$P$4*$P14,0,1,1)</f>
        <v>606356</v>
      </c>
      <c r="L35" s="1598" t="str">
        <f aca="false">IF(J35=K35,"○","×")</f>
        <v>○</v>
      </c>
      <c r="M35" s="1608"/>
      <c r="N35" s="1609"/>
      <c r="O35" s="1609"/>
      <c r="P35" s="1609"/>
      <c r="Q35" s="1609"/>
      <c r="R35" s="1609"/>
      <c r="S35" s="1609"/>
    </row>
    <row r="36" customFormat="false" ht="21.75" hidden="false" customHeight="true" outlineLevel="0" collapsed="false">
      <c r="A36" s="1595" t="s">
        <v>567</v>
      </c>
      <c r="B36" s="1596" t="n">
        <f aca="true">OFFSET('☆振替R7'!$D$6,$P$4*$P15,0,1,1)</f>
        <v>16330441</v>
      </c>
      <c r="C36" s="1596" t="n">
        <f aca="true">OFFSET('☆振替R7'!$D$21,$P$4*$P15,0,1,1)</f>
        <v>16330318</v>
      </c>
      <c r="D36" s="1596" t="n">
        <f aca="true">OFFSET('☆振替R7'!$E$21,$P$4*$P15,0,1,1)</f>
        <v>4258275</v>
      </c>
      <c r="E36" s="1600" t="n">
        <f aca="true">OFFSET('☆振替R7'!$D$8,$P$4*$P15,0,1,1)</f>
        <v>56817</v>
      </c>
      <c r="F36" s="1596" t="n">
        <f aca="false">SUM(B36:E36)</f>
        <v>36975851</v>
      </c>
      <c r="G36" s="1596" t="n">
        <f aca="true">OFFSET('☆振替R7'!$E$27,$P$4*$P15,0,1,1)</f>
        <v>36975851</v>
      </c>
      <c r="H36" s="1598" t="str">
        <f aca="false">IF(F36=G36,"○","×")</f>
        <v>○</v>
      </c>
      <c r="I36" s="1595" t="s">
        <v>567</v>
      </c>
      <c r="J36" s="1596" t="n">
        <f aca="true">OFFSET('☆振替R7'!$F$21,$P$4*$P15,0,1,1)</f>
        <v>351945</v>
      </c>
      <c r="K36" s="1596" t="n">
        <f aca="true">OFFSET('☆振替R7'!$E$29,$P$4*$P15,0,1,1)</f>
        <v>351945</v>
      </c>
      <c r="L36" s="1598" t="str">
        <f aca="false">IF(J36=K36,"○","×")</f>
        <v>○</v>
      </c>
      <c r="M36" s="1612"/>
      <c r="N36" s="1612"/>
      <c r="O36" s="1612"/>
      <c r="P36" s="1612"/>
      <c r="Q36" s="1612"/>
      <c r="R36" s="1612"/>
      <c r="S36" s="1612"/>
    </row>
    <row r="37" customFormat="false" ht="21.75" hidden="false" customHeight="true" outlineLevel="0" collapsed="false">
      <c r="A37" s="1595" t="s">
        <v>568</v>
      </c>
      <c r="B37" s="1596" t="n">
        <f aca="true">OFFSET('☆振替R7'!$D$6,$P$4*$P16,0,1,1)</f>
        <v>16313642</v>
      </c>
      <c r="C37" s="1596" t="n">
        <f aca="true">OFFSET('☆振替R7'!$D$21,$P$4*$P16,0,1,1)</f>
        <v>16331262</v>
      </c>
      <c r="D37" s="1596" t="n">
        <f aca="true">OFFSET('☆振替R7'!$E$21,$P$4*$P16,0,1,1)</f>
        <v>4252498</v>
      </c>
      <c r="E37" s="1596" t="n">
        <f aca="true">OFFSET('☆振替R7'!$D$8,$P$4*$P16,0,1,1)</f>
        <v>66535</v>
      </c>
      <c r="F37" s="1596" t="n">
        <f aca="false">SUM(B37:E37)</f>
        <v>36963937</v>
      </c>
      <c r="G37" s="1596" t="n">
        <f aca="true">OFFSET('☆振替R7'!$E$27,$P$4*$P16,0,1,1)</f>
        <v>36963937</v>
      </c>
      <c r="H37" s="1598" t="str">
        <f aca="false">IF(F37=G37,"○","×")</f>
        <v>○</v>
      </c>
      <c r="I37" s="1595" t="s">
        <v>568</v>
      </c>
      <c r="J37" s="1596" t="n">
        <f aca="true">OFFSET('☆振替R7'!$F$21,$P$4*$P16,0,1,1)</f>
        <v>351965</v>
      </c>
      <c r="K37" s="1596" t="n">
        <f aca="true">OFFSET('☆振替R7'!$E$29,$P$4*$P16,0,1,1)</f>
        <v>351965</v>
      </c>
      <c r="L37" s="1598" t="str">
        <f aca="false">IF(J37=K37,"○","×")</f>
        <v>○</v>
      </c>
      <c r="M37" s="1589"/>
      <c r="N37" s="1612"/>
      <c r="O37" s="1612"/>
      <c r="P37" s="1589"/>
      <c r="Q37" s="1612"/>
      <c r="R37" s="1612"/>
      <c r="S37" s="1612"/>
    </row>
    <row r="38" customFormat="false" ht="21.75" hidden="false" customHeight="true" outlineLevel="0" collapsed="false">
      <c r="A38" s="1595" t="s">
        <v>569</v>
      </c>
      <c r="B38" s="1596" t="n">
        <f aca="true">OFFSET('☆振替R7'!$D$6,$P$4*$P17,0,1,1)</f>
        <v>16312566</v>
      </c>
      <c r="C38" s="1596" t="n">
        <f aca="true">OFFSET('☆振替R7'!$D$21,$P$4*$P17,0,1,1)</f>
        <v>16331910</v>
      </c>
      <c r="D38" s="1596" t="n">
        <f aca="true">OFFSET('☆振替R7'!$E$21,$P$4*$P17,0,1,1)</f>
        <v>4256616</v>
      </c>
      <c r="E38" s="1596" t="n">
        <f aca="true">OFFSET('☆振替R7'!$D$8,$P$4*$P17,0,1,1)</f>
        <v>39078</v>
      </c>
      <c r="F38" s="1596" t="n">
        <f aca="false">SUM(B38:E38)</f>
        <v>36940170</v>
      </c>
      <c r="G38" s="1596" t="n">
        <f aca="true">OFFSET('☆振替R7'!$E$27,$P$4*$P17,0,1,1)</f>
        <v>36940170</v>
      </c>
      <c r="H38" s="1598" t="str">
        <f aca="false">IF(F38=G38,"○","×")</f>
        <v>○</v>
      </c>
      <c r="I38" s="1595" t="s">
        <v>569</v>
      </c>
      <c r="J38" s="1596" t="n">
        <f aca="true">OFFSET('☆振替R7'!$F$21,$P$4*$P17,0,1,1)</f>
        <v>351979</v>
      </c>
      <c r="K38" s="1596" t="n">
        <f aca="true">OFFSET('☆振替R7'!$E$29,$P$4*$P17,0,1,1)</f>
        <v>351979</v>
      </c>
      <c r="L38" s="1598" t="str">
        <f aca="false">IF(J38=K38,"○","×")</f>
        <v>○</v>
      </c>
      <c r="M38" s="1589"/>
      <c r="N38" s="1612"/>
      <c r="O38" s="1612"/>
      <c r="P38" s="1589"/>
      <c r="Q38" s="1612"/>
      <c r="R38" s="1612"/>
      <c r="S38" s="1612"/>
    </row>
    <row r="39" customFormat="false" ht="21.75" hidden="false" customHeight="true" outlineLevel="0" collapsed="false">
      <c r="A39" s="1595" t="s">
        <v>888</v>
      </c>
      <c r="B39" s="1596" t="n">
        <f aca="true">OFFSET('☆振替R7'!$D$6,$P$4*$P18,0,1,1)</f>
        <v>6255061</v>
      </c>
      <c r="C39" s="1596" t="n">
        <f aca="true">OFFSET('☆振替R7'!$D$21,$P$4*$P18,0,1,1)</f>
        <v>6435408</v>
      </c>
      <c r="D39" s="1596" t="n">
        <f aca="true">OFFSET('☆振替R7'!$E$21,$P$4*$P18,0,1,1)</f>
        <v>1837410</v>
      </c>
      <c r="E39" s="1599" t="n">
        <f aca="true">OFFSET('☆振替R7'!$D$8,$P$4*$P18,0,1,1)</f>
        <v>0</v>
      </c>
      <c r="F39" s="1596" t="n">
        <f aca="false">SUM(B39:E39)</f>
        <v>14527879</v>
      </c>
      <c r="G39" s="1596" t="n">
        <f aca="true">OFFSET('☆振替R7'!$E$27,$P$4*$P18,0,1,1)</f>
        <v>14527879</v>
      </c>
      <c r="H39" s="1598" t="str">
        <f aca="false">IF(F39=G39,"○","×")</f>
        <v>○</v>
      </c>
      <c r="I39" s="1595" t="s">
        <v>888</v>
      </c>
      <c r="J39" s="1596" t="n">
        <f aca="true">OFFSET('☆振替R7'!$F$21,$P$4*$P18,0,1,1)</f>
        <v>138693</v>
      </c>
      <c r="K39" s="1596" t="n">
        <f aca="true">OFFSET('☆振替R7'!$E$29,$P$4*$P18,0,1,1)</f>
        <v>138693</v>
      </c>
      <c r="L39" s="1598" t="str">
        <f aca="false">IF(J39=K39,"○","×")</f>
        <v>○</v>
      </c>
      <c r="M39" s="1589"/>
      <c r="N39" s="1149"/>
      <c r="O39" s="1149"/>
      <c r="P39" s="1589"/>
      <c r="Q39" s="1149"/>
    </row>
    <row r="40" customFormat="false" ht="21.75" hidden="false" customHeight="true" outlineLevel="0" collapsed="false">
      <c r="A40" s="1595" t="s">
        <v>570</v>
      </c>
      <c r="B40" s="1596" t="n">
        <f aca="true">OFFSET('☆振替R7'!$D$6,$P$4*$P19,0,1,1)</f>
        <v>15911406</v>
      </c>
      <c r="C40" s="1596" t="n">
        <f aca="true">OFFSET('☆振替R7'!$D$21,$P$4*$P19,0,1,1)</f>
        <v>15893810</v>
      </c>
      <c r="D40" s="1596" t="n">
        <f aca="true">OFFSET('☆振替R7'!$E$21,$P$4*$P19,0,1,1)</f>
        <v>4120690</v>
      </c>
      <c r="E40" s="1600" t="n">
        <f aca="true">OFFSET('☆振替R7'!$D$8,$P$4*$P19,0,1,1)</f>
        <v>5020</v>
      </c>
      <c r="F40" s="1596" t="n">
        <f aca="false">SUM(B40:E40)</f>
        <v>35930926</v>
      </c>
      <c r="G40" s="1596" t="n">
        <f aca="true">OFFSET('☆振替R7'!$E$27,$P$4*$P19,0,1,1)</f>
        <v>35930926</v>
      </c>
      <c r="H40" s="1598" t="str">
        <f aca="false">IF(F40=G40,"○","×")</f>
        <v>○</v>
      </c>
      <c r="I40" s="1595" t="s">
        <v>570</v>
      </c>
      <c r="J40" s="1596" t="n">
        <f aca="true">OFFSET('☆振替R7'!$F$21,$P$4*$P19,0,1,1)</f>
        <v>342537</v>
      </c>
      <c r="K40" s="1596" t="n">
        <f aca="true">OFFSET('☆振替R7'!$E$29,$P$4*$P19,0,1,1)</f>
        <v>342537</v>
      </c>
      <c r="L40" s="1598" t="str">
        <f aca="false">IF(J40=K40,"○","×")</f>
        <v>○</v>
      </c>
      <c r="M40" s="1589"/>
      <c r="N40" s="1149"/>
      <c r="O40" s="1149"/>
      <c r="P40" s="1589"/>
      <c r="Q40" s="1149"/>
    </row>
    <row r="41" customFormat="false" ht="21.75" hidden="false" customHeight="true" outlineLevel="0" collapsed="false">
      <c r="A41" s="1601" t="s">
        <v>639</v>
      </c>
      <c r="B41" s="1596" t="n">
        <f aca="true">OFFSET('☆振替R7'!$D$6,$P$4*$P20,0,1,1)</f>
        <v>796873</v>
      </c>
      <c r="C41" s="1596" t="n">
        <f aca="true">OFFSET('☆振替R7'!$D$21,$P$4*$P20,0,1,1)</f>
        <v>785600</v>
      </c>
      <c r="D41" s="1596" t="n">
        <f aca="true">OFFSET('☆振替R7'!$E$21,$P$4*$P20,0,1,1)</f>
        <v>224681</v>
      </c>
      <c r="E41" s="1599" t="n">
        <f aca="true">OFFSET('☆振替R7'!$D$8,$P$4*$P20,0,1,1)</f>
        <v>0</v>
      </c>
      <c r="F41" s="1596" t="n">
        <f aca="false">SUM(B41:E41)</f>
        <v>1807154</v>
      </c>
      <c r="G41" s="1596" t="n">
        <f aca="true">OFFSET('☆振替R7'!$E$27,$P$4*$P20,0,1,1)</f>
        <v>1807154</v>
      </c>
      <c r="H41" s="1598" t="str">
        <f aca="false">IF(F41=G41,"○","×")</f>
        <v>○</v>
      </c>
      <c r="I41" s="1601" t="s">
        <v>639</v>
      </c>
      <c r="J41" s="1596" t="n">
        <f aca="true">OFFSET('☆振替R7'!$F$21,$P$4*$P20,0,1,1)</f>
        <v>16929</v>
      </c>
      <c r="K41" s="1596" t="n">
        <f aca="true">OFFSET('☆振替R7'!$E$29,$P$4*$P20,0,1,1)</f>
        <v>16929</v>
      </c>
      <c r="L41" s="1598" t="str">
        <f aca="false">IF(J41=K41,"○","×")</f>
        <v>○</v>
      </c>
      <c r="M41" s="1613"/>
      <c r="N41" s="1149"/>
      <c r="O41" s="1149"/>
      <c r="P41" s="1613"/>
      <c r="Q41" s="1149"/>
    </row>
    <row r="42" customFormat="false" ht="21.75" hidden="false" customHeight="true" outlineLevel="0" collapsed="false">
      <c r="A42" s="1601" t="s">
        <v>640</v>
      </c>
      <c r="B42" s="1596" t="n">
        <f aca="true">OFFSET('☆振替R7'!$D$6,$P$4*$P21,0,1,1)</f>
        <v>796874</v>
      </c>
      <c r="C42" s="1596" t="n">
        <f aca="true">OFFSET('☆振替R7'!$D$21,$P$4*$P21,0,1,1)</f>
        <v>785601</v>
      </c>
      <c r="D42" s="1596" t="n">
        <f aca="true">OFFSET('☆振替R7'!$E$21,$P$4*$P21,0,1,1)</f>
        <v>224669</v>
      </c>
      <c r="E42" s="1599" t="n">
        <f aca="true">OFFSET('☆振替R7'!$D$8,$P$4*$P21,0,1,1)</f>
        <v>0</v>
      </c>
      <c r="F42" s="1596" t="n">
        <f aca="false">SUM(B42:E42)</f>
        <v>1807144</v>
      </c>
      <c r="G42" s="1596" t="n">
        <f aca="true">OFFSET('☆振替R7'!$E$27,$P$4*$P21,0,1,1)</f>
        <v>1807144</v>
      </c>
      <c r="H42" s="1598" t="str">
        <f aca="false">IF(F42=G42,"○","×")</f>
        <v>○</v>
      </c>
      <c r="I42" s="1601" t="s">
        <v>640</v>
      </c>
      <c r="J42" s="1596" t="n">
        <f aca="true">OFFSET('☆振替R7'!$F$21,$P$4*$P21,0,1,1)</f>
        <v>16929</v>
      </c>
      <c r="K42" s="1596" t="n">
        <f aca="true">OFFSET('☆振替R7'!$E$29,$P$4*$P21,0,1,1)</f>
        <v>16929</v>
      </c>
      <c r="L42" s="1598" t="str">
        <f aca="false">IF(J42=K42,"○","×")</f>
        <v>○</v>
      </c>
      <c r="M42" s="1614"/>
      <c r="N42" s="1149"/>
      <c r="O42" s="1149"/>
      <c r="P42" s="1614"/>
      <c r="Q42" s="1615"/>
    </row>
    <row r="43" customFormat="false" ht="21.75" hidden="false" customHeight="true" outlineLevel="0" collapsed="false">
      <c r="A43" s="1592" t="s">
        <v>571</v>
      </c>
      <c r="B43" s="1596" t="n">
        <f aca="false">SUM(B26:B42)</f>
        <v>255394489</v>
      </c>
      <c r="C43" s="1596" t="n">
        <f aca="false">SUM(C26:C42)</f>
        <v>255651762</v>
      </c>
      <c r="D43" s="1596" t="n">
        <f aca="false">SUM(D26:D42)</f>
        <v>67788990</v>
      </c>
      <c r="E43" s="1596" t="n">
        <f aca="false">SUM(E26:E42)</f>
        <v>5286602</v>
      </c>
      <c r="F43" s="1596" t="n">
        <f aca="false">SUM(F26:F42)</f>
        <v>584121843</v>
      </c>
      <c r="G43" s="1596" t="n">
        <f aca="false">SUM(G26:G42)</f>
        <v>584121843</v>
      </c>
      <c r="H43" s="1598" t="str">
        <f aca="false">IF(F43=G43,"○","×")</f>
        <v>○</v>
      </c>
      <c r="I43" s="1592" t="s">
        <v>571</v>
      </c>
      <c r="J43" s="1596" t="n">
        <f aca="false">SUM(J26:J42)</f>
        <v>5509706</v>
      </c>
      <c r="K43" s="1596" t="n">
        <f aca="false">SUM(K26:K42)</f>
        <v>5509706</v>
      </c>
      <c r="L43" s="1598" t="str">
        <f aca="false">IF(J43=K43,"○","×")</f>
        <v>○</v>
      </c>
      <c r="M43" s="1614"/>
      <c r="O43" s="1149"/>
      <c r="P43" s="1614"/>
      <c r="Q43" s="1615"/>
      <c r="R43" s="1149"/>
    </row>
    <row r="44" customFormat="false" ht="21.75" hidden="false" customHeight="true" outlineLevel="0" collapsed="false">
      <c r="A44" s="1612"/>
      <c r="B44" s="1149"/>
      <c r="C44" s="1149"/>
      <c r="D44" s="1149"/>
      <c r="E44" s="1616"/>
      <c r="F44" s="1617"/>
      <c r="G44" s="1602"/>
      <c r="H44" s="1603"/>
      <c r="I44" s="1603"/>
      <c r="J44" s="1603"/>
      <c r="K44" s="1603"/>
      <c r="L44" s="1614"/>
      <c r="M44" s="1615"/>
      <c r="O44" s="1149"/>
      <c r="P44" s="1618"/>
      <c r="Q44" s="1619"/>
      <c r="R44" s="1149"/>
    </row>
    <row r="45" customFormat="false" ht="21.75" hidden="false" customHeight="true" outlineLevel="0" collapsed="false">
      <c r="A45" s="1589" t="s">
        <v>898</v>
      </c>
      <c r="B45" s="1606"/>
      <c r="C45" s="1607"/>
      <c r="D45" s="1607"/>
      <c r="E45" s="1607"/>
      <c r="F45" s="1591" t="s">
        <v>535</v>
      </c>
      <c r="G45" s="1589"/>
      <c r="H45" s="1589" t="s">
        <v>899</v>
      </c>
      <c r="I45" s="1606"/>
      <c r="J45" s="1607"/>
      <c r="K45" s="1607"/>
      <c r="L45" s="1607"/>
      <c r="M45" s="1591" t="s">
        <v>535</v>
      </c>
      <c r="N45" s="1589"/>
      <c r="O45" s="1589"/>
      <c r="P45" s="1589"/>
      <c r="Q45" s="1589"/>
      <c r="R45" s="1589"/>
      <c r="S45" s="1589"/>
    </row>
    <row r="46" customFormat="false" ht="30" hidden="false" customHeight="true" outlineLevel="0" collapsed="false">
      <c r="A46" s="1592" t="s">
        <v>394</v>
      </c>
      <c r="B46" s="1593" t="s">
        <v>877</v>
      </c>
      <c r="C46" s="1592" t="s">
        <v>491</v>
      </c>
      <c r="D46" s="1593" t="s">
        <v>878</v>
      </c>
      <c r="E46" s="1592" t="s">
        <v>900</v>
      </c>
      <c r="F46" s="1593" t="s">
        <v>901</v>
      </c>
      <c r="G46" s="1594" t="s">
        <v>902</v>
      </c>
      <c r="H46" s="1592" t="s">
        <v>394</v>
      </c>
      <c r="I46" s="1593" t="s">
        <v>877</v>
      </c>
      <c r="J46" s="1592" t="s">
        <v>491</v>
      </c>
      <c r="K46" s="1593" t="s">
        <v>878</v>
      </c>
      <c r="L46" s="1592" t="s">
        <v>903</v>
      </c>
      <c r="M46" s="1593" t="s">
        <v>904</v>
      </c>
      <c r="N46" s="1594" t="s">
        <v>905</v>
      </c>
      <c r="O46" s="1609"/>
      <c r="P46" s="1608"/>
      <c r="Q46" s="1609"/>
      <c r="R46" s="1609"/>
      <c r="S46" s="1609"/>
    </row>
    <row r="47" customFormat="false" ht="21.75" hidden="false" customHeight="true" outlineLevel="0" collapsed="false">
      <c r="A47" s="1595" t="s">
        <v>559</v>
      </c>
      <c r="B47" s="1596" t="n">
        <f aca="true">OFFSET('☆振替R7'!$G$6,$P$4*$P5,0,1,1)</f>
        <v>3686635</v>
      </c>
      <c r="C47" s="1596" t="n">
        <f aca="true">OFFSET('☆振替R7'!$G$21,$P$4*$P5,0,1,1)</f>
        <v>3682554</v>
      </c>
      <c r="D47" s="1596" t="n">
        <f aca="true">OFFSET('☆振替R7'!$G$8,$P$4*$P5,0,1,1)</f>
        <v>1038206</v>
      </c>
      <c r="E47" s="1596" t="n">
        <f aca="false">SUM(B47:D47)</f>
        <v>8407395</v>
      </c>
      <c r="F47" s="1596" t="n">
        <f aca="true">OFFSET('☆振替R7'!$H$24,$P$4*$P5,0,1,1)</f>
        <v>8407395</v>
      </c>
      <c r="G47" s="1598" t="str">
        <f aca="false">IF(E47=F47,"○","×")</f>
        <v>○</v>
      </c>
      <c r="H47" s="1595" t="s">
        <v>559</v>
      </c>
      <c r="I47" s="1596" t="n">
        <f aca="true">OFFSET('☆振替R7'!$H$6,$P$4*$P5,0,1,1)</f>
        <v>670297</v>
      </c>
      <c r="J47" s="1596" t="n">
        <f aca="true">OFFSET('☆振替R7'!$H$21,$P$4*$P5,0,1,1)</f>
        <v>669556</v>
      </c>
      <c r="K47" s="1596" t="n">
        <f aca="true">OFFSET('☆振替R7'!$H$8,$P$4*$P5,0,1,1)</f>
        <v>188764</v>
      </c>
      <c r="L47" s="1596" t="n">
        <f aca="false">SUM(I47:K47)</f>
        <v>1528617</v>
      </c>
      <c r="M47" s="1596" t="n">
        <f aca="true">OFFSET('☆振替R7'!$H$26,$P$4*$P5,0,1,1)</f>
        <v>1528617</v>
      </c>
      <c r="N47" s="1598" t="str">
        <f aca="false">IF(L47=M47,"○","×")</f>
        <v>○</v>
      </c>
      <c r="O47" s="1609"/>
      <c r="P47" s="1609"/>
      <c r="Q47" s="1609"/>
      <c r="R47" s="1609"/>
      <c r="S47" s="1609"/>
    </row>
    <row r="48" customFormat="false" ht="21.75" hidden="false" customHeight="true" outlineLevel="0" collapsed="false">
      <c r="A48" s="1595" t="s">
        <v>560</v>
      </c>
      <c r="B48" s="1596" t="n">
        <f aca="true">OFFSET('☆振替R7'!$G$6,$P$4*$P6,0,1,1)</f>
        <v>3714114</v>
      </c>
      <c r="C48" s="1596" t="n">
        <f aca="true">OFFSET('☆振替R7'!$G$21,$P$4*$P6,0,1,1)</f>
        <v>3716625</v>
      </c>
      <c r="D48" s="1596" t="n">
        <f aca="true">OFFSET('☆振替R7'!$G$8,$P$4*$P6,0,1,1)</f>
        <v>23255</v>
      </c>
      <c r="E48" s="1596" t="n">
        <f aca="false">SUM(B48:D48)</f>
        <v>7453994</v>
      </c>
      <c r="F48" s="1596" t="n">
        <f aca="true">OFFSET('☆振替R7'!$H$24,$P$4*$P6,0,1,1)</f>
        <v>7453994</v>
      </c>
      <c r="G48" s="1598" t="str">
        <f aca="false">IF(E48=F48,"○","×")</f>
        <v>○</v>
      </c>
      <c r="H48" s="1595" t="s">
        <v>560</v>
      </c>
      <c r="I48" s="1596" t="n">
        <f aca="true">OFFSET('☆振替R7'!$H$6,$P$4*$P6,0,1,1)</f>
        <v>675293</v>
      </c>
      <c r="J48" s="1596" t="n">
        <f aca="true">OFFSET('☆振替R7'!$H$21,$P$4*$P6,0,1,1)</f>
        <v>675750</v>
      </c>
      <c r="K48" s="1596" t="n">
        <f aca="true">OFFSET('☆振替R7'!$H$8,$P$4*$P6,0,1,1)</f>
        <v>4228</v>
      </c>
      <c r="L48" s="1596" t="n">
        <f aca="false">SUM(I48:K48)</f>
        <v>1355271</v>
      </c>
      <c r="M48" s="1596" t="n">
        <f aca="true">OFFSET('☆振替R7'!$H$26,$P$4*$P6,0,1,1)</f>
        <v>1355271</v>
      </c>
      <c r="N48" s="1598" t="str">
        <f aca="false">IF(L48=M48,"○","×")</f>
        <v>○</v>
      </c>
      <c r="O48" s="1609"/>
      <c r="P48" s="1609"/>
      <c r="Q48" s="1609"/>
      <c r="R48" s="1609"/>
      <c r="S48" s="1609"/>
    </row>
    <row r="49" customFormat="false" ht="21.75" hidden="false" customHeight="true" outlineLevel="0" collapsed="false">
      <c r="A49" s="1595" t="s">
        <v>561</v>
      </c>
      <c r="B49" s="1596" t="n">
        <f aca="true">OFFSET('☆振替R7'!$G$6,$P$4*$P7,0,1,1)</f>
        <v>3708589</v>
      </c>
      <c r="C49" s="1596" t="n">
        <f aca="true">OFFSET('☆振替R7'!$G$21,$P$4*$P7,0,1,1)</f>
        <v>3709320</v>
      </c>
      <c r="D49" s="1596" t="n">
        <f aca="true">OFFSET('☆振替R7'!$G$8,$P$4*$P7,0,1,1)</f>
        <v>30544</v>
      </c>
      <c r="E49" s="1596" t="n">
        <f aca="false">SUM(B49:D49)</f>
        <v>7448453</v>
      </c>
      <c r="F49" s="1596" t="n">
        <f aca="true">OFFSET('☆振替R7'!$H$24,$P$4*$P7,0,1,1)</f>
        <v>7448453</v>
      </c>
      <c r="G49" s="1598" t="str">
        <f aca="false">IF(E49=F49,"○","×")</f>
        <v>○</v>
      </c>
      <c r="H49" s="1595" t="s">
        <v>561</v>
      </c>
      <c r="I49" s="1596" t="n">
        <f aca="true">OFFSET('☆振替R7'!$H$6,$P$4*$P7,0,1,1)</f>
        <v>674289</v>
      </c>
      <c r="J49" s="1596" t="n">
        <f aca="true">OFFSET('☆振替R7'!$H$21,$P$4*$P7,0,1,1)</f>
        <v>674422</v>
      </c>
      <c r="K49" s="1596" t="n">
        <f aca="true">OFFSET('☆振替R7'!$H$8,$P$4*$P7,0,1,1)</f>
        <v>5553</v>
      </c>
      <c r="L49" s="1596" t="n">
        <f aca="false">SUM(I49:K49)</f>
        <v>1354264</v>
      </c>
      <c r="M49" s="1596" t="n">
        <f aca="true">OFFSET('☆振替R7'!$H$26,$P$4*$P7,0,1,1)</f>
        <v>1354264</v>
      </c>
      <c r="N49" s="1598" t="str">
        <f aca="false">IF(L49=M49,"○","×")</f>
        <v>○</v>
      </c>
      <c r="O49" s="1609"/>
      <c r="P49" s="1609"/>
      <c r="Q49" s="1609"/>
      <c r="R49" s="1609"/>
      <c r="S49" s="1609"/>
    </row>
    <row r="50" customFormat="false" ht="21.75" hidden="false" customHeight="true" outlineLevel="0" collapsed="false">
      <c r="A50" s="1595" t="s">
        <v>886</v>
      </c>
      <c r="B50" s="1596" t="n">
        <f aca="true">OFFSET('☆振替R7'!$G$6,$P$4*$P8,0,1,1)</f>
        <v>6517356</v>
      </c>
      <c r="C50" s="1596" t="n">
        <f aca="true">OFFSET('☆振替R7'!$G$21,$P$4*$P8,0,1,1)</f>
        <v>6518413</v>
      </c>
      <c r="D50" s="1599" t="n">
        <f aca="true">OFFSET('☆振替R7'!$G$8,$P$4*$P8,0,1,1)</f>
        <v>0</v>
      </c>
      <c r="E50" s="1596" t="n">
        <f aca="false">SUM(B50:D50)</f>
        <v>13035769</v>
      </c>
      <c r="F50" s="1596" t="n">
        <f aca="true">OFFSET('☆振替R7'!$H$24,$P$4*$P8,0,1,1)</f>
        <v>13035769</v>
      </c>
      <c r="G50" s="1598" t="str">
        <f aca="false">IF(E50=F50,"○","×")</f>
        <v>○</v>
      </c>
      <c r="H50" s="1595" t="s">
        <v>886</v>
      </c>
      <c r="I50" s="1596" t="n">
        <f aca="true">OFFSET('☆振替R7'!$H$6,$P$4*$P8,0,1,1)</f>
        <v>1184973</v>
      </c>
      <c r="J50" s="1596" t="n">
        <f aca="true">OFFSET('☆振替R7'!$H$21,$P$4*$P8,0,1,1)</f>
        <v>1185167</v>
      </c>
      <c r="K50" s="1599" t="n">
        <f aca="true">OFFSET('☆振替R7'!$H$8,$P$4*$P8,0,1,1)</f>
        <v>0</v>
      </c>
      <c r="L50" s="1596" t="n">
        <f aca="false">SUM(I50:K50)</f>
        <v>2370140</v>
      </c>
      <c r="M50" s="1596" t="n">
        <f aca="true">OFFSET('☆振替R7'!$H$26,$P$4*$P8,0,1,1)</f>
        <v>2370140</v>
      </c>
      <c r="N50" s="1598" t="str">
        <f aca="false">IF(L50=M50,"○","×")</f>
        <v>○</v>
      </c>
      <c r="O50" s="1609"/>
      <c r="P50" s="1608"/>
      <c r="Q50" s="1609"/>
      <c r="R50" s="1609"/>
      <c r="S50" s="1609"/>
    </row>
    <row r="51" customFormat="false" ht="21.75" hidden="false" customHeight="true" outlineLevel="0" collapsed="false">
      <c r="A51" s="1595" t="s">
        <v>562</v>
      </c>
      <c r="B51" s="1596" t="n">
        <f aca="true">OFFSET('☆振替R7'!$G$6,$P$4*$P9,0,1,1)</f>
        <v>3770006</v>
      </c>
      <c r="C51" s="1596" t="n">
        <f aca="true">OFFSET('☆振替R7'!$G$21,$P$4*$P9,0,1,1)</f>
        <v>3772750</v>
      </c>
      <c r="D51" s="1596" t="n">
        <f aca="true">OFFSET('☆振替R7'!$G$8,$P$4*$P9,0,1,1)</f>
        <v>13775</v>
      </c>
      <c r="E51" s="1596" t="n">
        <f aca="false">SUM(B51:D51)</f>
        <v>7556531</v>
      </c>
      <c r="F51" s="1596" t="n">
        <f aca="true">OFFSET('☆振替R7'!$H$24,$P$4*$P9,0,1,1)</f>
        <v>7556531</v>
      </c>
      <c r="G51" s="1598" t="str">
        <f aca="false">IF(E51=F51,"○","×")</f>
        <v>○</v>
      </c>
      <c r="H51" s="1595" t="s">
        <v>562</v>
      </c>
      <c r="I51" s="1596" t="n">
        <f aca="true">OFFSET('☆振替R7'!$H$6,$P$4*$P9,0,1,1)</f>
        <v>685455</v>
      </c>
      <c r="J51" s="1596" t="n">
        <f aca="true">OFFSET('☆振替R7'!$H$21,$P$4*$P9,0,1,1)</f>
        <v>685955</v>
      </c>
      <c r="K51" s="1596" t="n">
        <f aca="true">OFFSET('☆振替R7'!$H$8,$P$4*$P9,0,1,1)</f>
        <v>2504</v>
      </c>
      <c r="L51" s="1596" t="n">
        <f aca="false">SUM(I51:K51)</f>
        <v>1373914</v>
      </c>
      <c r="M51" s="1596" t="n">
        <f aca="true">OFFSET('☆振替R7'!$H$26,$P$4*$P9,0,1,1)</f>
        <v>1373914</v>
      </c>
      <c r="N51" s="1598" t="str">
        <f aca="false">IF(L51=M51,"○","×")</f>
        <v>○</v>
      </c>
      <c r="O51" s="1620"/>
      <c r="P51" s="1611"/>
      <c r="Q51" s="1611"/>
      <c r="R51" s="1611"/>
      <c r="S51" s="1611"/>
    </row>
    <row r="52" customFormat="false" ht="21.75" hidden="false" customHeight="true" outlineLevel="0" collapsed="false">
      <c r="A52" s="1595" t="s">
        <v>563</v>
      </c>
      <c r="B52" s="1596" t="n">
        <f aca="true">OFFSET('☆振替R7'!$G$6,$P$4*$P10,0,1,1)</f>
        <v>3734262</v>
      </c>
      <c r="C52" s="1596" t="n">
        <f aca="true">OFFSET('☆振替R7'!$G$21,$P$4*$P10,0,1,1)</f>
        <v>3736538</v>
      </c>
      <c r="D52" s="1596" t="n">
        <f aca="true">OFFSET('☆振替R7'!$G$8,$P$4*$P10,0,1,1)</f>
        <v>20350</v>
      </c>
      <c r="E52" s="1596" t="n">
        <f aca="false">SUM(B52:D52)</f>
        <v>7491150</v>
      </c>
      <c r="F52" s="1596" t="n">
        <f aca="true">OFFSET('☆振替R7'!$H$24,$P$4*$P10,0,1,1)</f>
        <v>7491150</v>
      </c>
      <c r="G52" s="1598" t="str">
        <f aca="false">IF(E52=F52,"○","×")</f>
        <v>○</v>
      </c>
      <c r="H52" s="1595" t="s">
        <v>563</v>
      </c>
      <c r="I52" s="1596" t="n">
        <f aca="true">OFFSET('☆振替R7'!$H$6,$P$4*$P10,0,1,1)</f>
        <v>678956</v>
      </c>
      <c r="J52" s="1596" t="n">
        <f aca="true">OFFSET('☆振替R7'!$H$21,$P$4*$P10,0,1,1)</f>
        <v>679371</v>
      </c>
      <c r="K52" s="1596" t="n">
        <f aca="true">OFFSET('☆振替R7'!$H$8,$P$4*$P10,0,1,1)</f>
        <v>3700</v>
      </c>
      <c r="L52" s="1596" t="n">
        <f aca="false">SUM(I52:K52)</f>
        <v>1362027</v>
      </c>
      <c r="M52" s="1596" t="n">
        <f aca="true">OFFSET('☆振替R7'!$H$26,$P$4*$P10,0,1,1)</f>
        <v>1362027</v>
      </c>
      <c r="N52" s="1598" t="str">
        <f aca="false">IF(L52=M52,"○","×")</f>
        <v>○</v>
      </c>
      <c r="O52" s="1609"/>
      <c r="P52" s="1608"/>
      <c r="Q52" s="1609"/>
      <c r="R52" s="1609"/>
      <c r="S52" s="1609"/>
    </row>
    <row r="53" customFormat="false" ht="21.75" hidden="false" customHeight="true" outlineLevel="0" collapsed="false">
      <c r="A53" s="1595" t="s">
        <v>564</v>
      </c>
      <c r="B53" s="1596" t="n">
        <f aca="true">OFFSET('☆振替R7'!$G$6,$P$4*$P11,0,1,1)</f>
        <v>3770405</v>
      </c>
      <c r="C53" s="1596" t="n">
        <f aca="true">OFFSET('☆振替R7'!$G$21,$P$4*$P11,0,1,1)</f>
        <v>3771836</v>
      </c>
      <c r="D53" s="1596" t="n">
        <f aca="true">OFFSET('☆振替R7'!$G$8,$P$4*$P11,0,1,1)</f>
        <v>52341</v>
      </c>
      <c r="E53" s="1596" t="n">
        <f aca="false">SUM(B53:D53)</f>
        <v>7594582</v>
      </c>
      <c r="F53" s="1596" t="n">
        <f aca="true">OFFSET('☆振替R7'!$H$24,$P$4*$P11,0,1,1)</f>
        <v>7594582</v>
      </c>
      <c r="G53" s="1598" t="str">
        <f aca="false">IF(E53=F53,"○","×")</f>
        <v>○</v>
      </c>
      <c r="H53" s="1595" t="s">
        <v>564</v>
      </c>
      <c r="I53" s="1596" t="n">
        <f aca="true">OFFSET('☆振替R7'!$H$6,$P$4*$P11,0,1,1)</f>
        <v>685528</v>
      </c>
      <c r="J53" s="1596" t="n">
        <f aca="true">OFFSET('☆振替R7'!$H$21,$P$4*$P11,0,1,1)</f>
        <v>685789</v>
      </c>
      <c r="K53" s="1596" t="n">
        <f aca="true">OFFSET('☆振替R7'!$H$8,$P$4*$P11,0,1,1)</f>
        <v>9516</v>
      </c>
      <c r="L53" s="1596" t="n">
        <f aca="false">SUM(I53:K53)</f>
        <v>1380833</v>
      </c>
      <c r="M53" s="1596" t="n">
        <f aca="true">OFFSET('☆振替R7'!$H$26,$P$4*$P11,0,1,1)</f>
        <v>1380833</v>
      </c>
      <c r="N53" s="1598" t="str">
        <f aca="false">IF(L53=M53,"○","×")</f>
        <v>○</v>
      </c>
      <c r="O53" s="1609"/>
      <c r="P53" s="1608"/>
      <c r="Q53" s="1609"/>
      <c r="R53" s="1609"/>
      <c r="S53" s="1609"/>
    </row>
    <row r="54" customFormat="false" ht="21.75" hidden="false" customHeight="true" outlineLevel="0" collapsed="false">
      <c r="A54" s="1595" t="s">
        <v>565</v>
      </c>
      <c r="B54" s="1596" t="n">
        <f aca="true">OFFSET('☆振替R7'!$G$6,$P$4*$P12,0,1,1)</f>
        <v>3873414</v>
      </c>
      <c r="C54" s="1596" t="n">
        <f aca="true">OFFSET('☆振替R7'!$G$21,$P$4*$P12,0,1,1)</f>
        <v>3877700</v>
      </c>
      <c r="D54" s="1596" t="n">
        <f aca="true">OFFSET('☆振替R7'!$G$8,$P$4*$P12,0,1,1)</f>
        <v>24373</v>
      </c>
      <c r="E54" s="1596" t="n">
        <f aca="false">SUM(B54:D54)</f>
        <v>7775487</v>
      </c>
      <c r="F54" s="1596" t="n">
        <f aca="true">OFFSET('☆振替R7'!$H$24,$P$4*$P12,0,1,1)</f>
        <v>7775487</v>
      </c>
      <c r="G54" s="1598" t="str">
        <f aca="false">IF(E54=F54,"○","×")</f>
        <v>○</v>
      </c>
      <c r="H54" s="1595" t="s">
        <v>565</v>
      </c>
      <c r="I54" s="1596" t="n">
        <f aca="true">OFFSET('☆振替R7'!$H$6,$P$4*$P12,0,1,1)</f>
        <v>704257</v>
      </c>
      <c r="J54" s="1596" t="n">
        <f aca="true">OFFSET('☆振替R7'!$H$21,$P$4*$P12,0,1,1)</f>
        <v>705037</v>
      </c>
      <c r="K54" s="1596" t="n">
        <f aca="true">OFFSET('☆振替R7'!$H$8,$P$4*$P12,0,1,1)</f>
        <v>4431</v>
      </c>
      <c r="L54" s="1596" t="n">
        <f aca="false">SUM(I54:K54)</f>
        <v>1413725</v>
      </c>
      <c r="M54" s="1596" t="n">
        <f aca="true">OFFSET('☆振替R7'!$H$26,$P$4*$P12,0,1,1)</f>
        <v>1413725</v>
      </c>
      <c r="N54" s="1598" t="str">
        <f aca="false">IF(L54=M54,"○","×")</f>
        <v>○</v>
      </c>
      <c r="O54" s="1609"/>
      <c r="P54" s="1608"/>
      <c r="Q54" s="1609"/>
      <c r="R54" s="1609"/>
      <c r="S54" s="1609"/>
    </row>
    <row r="55" customFormat="false" ht="21.75" hidden="false" customHeight="true" outlineLevel="0" collapsed="false">
      <c r="A55" s="1595" t="s">
        <v>566</v>
      </c>
      <c r="B55" s="1596" t="n">
        <f aca="true">OFFSET('☆振替R7'!$G$6,$P$4*$P13,0,1,1)</f>
        <v>3868997</v>
      </c>
      <c r="C55" s="1596" t="n">
        <f aca="true">OFFSET('☆振替R7'!$G$21,$P$4*$P13,0,1,1)</f>
        <v>3870534</v>
      </c>
      <c r="D55" s="1596" t="n">
        <f aca="true">OFFSET('☆振替R7'!$G$8,$P$4*$P13,0,1,1)</f>
        <v>10746</v>
      </c>
      <c r="E55" s="1596" t="n">
        <f aca="false">SUM(B55:D55)</f>
        <v>7750277</v>
      </c>
      <c r="F55" s="1596" t="n">
        <f aca="true">OFFSET('☆振替R7'!$H$24,$P$4*$P13,0,1,1)</f>
        <v>7750277</v>
      </c>
      <c r="G55" s="1598" t="str">
        <f aca="false">IF(E55=F55,"○","×")</f>
        <v>○</v>
      </c>
      <c r="H55" s="1595" t="s">
        <v>566</v>
      </c>
      <c r="I55" s="1596" t="n">
        <f aca="true">OFFSET('☆振替R7'!$H$6,$P$4*$P13,0,1,1)</f>
        <v>703454</v>
      </c>
      <c r="J55" s="1596" t="n">
        <f aca="true">OFFSET('☆振替R7'!$H$21,$P$4*$P13,0,1,1)</f>
        <v>703734</v>
      </c>
      <c r="K55" s="1596" t="n">
        <f aca="true">OFFSET('☆振替R7'!$H$8,$P$4*$P13,0,1,1)</f>
        <v>1953</v>
      </c>
      <c r="L55" s="1596" t="n">
        <f aca="false">SUM(I55:K55)</f>
        <v>1409141</v>
      </c>
      <c r="M55" s="1596" t="n">
        <f aca="true">OFFSET('☆振替R7'!$H$26,$P$4*$P13,0,1,1)</f>
        <v>1409141</v>
      </c>
      <c r="N55" s="1598" t="str">
        <f aca="false">IF(L55=M55,"○","×")</f>
        <v>○</v>
      </c>
      <c r="O55" s="1609"/>
      <c r="P55" s="1608"/>
      <c r="Q55" s="1609"/>
      <c r="R55" s="1609"/>
      <c r="S55" s="1609"/>
    </row>
    <row r="56" customFormat="false" ht="21.75" hidden="false" customHeight="true" outlineLevel="0" collapsed="false">
      <c r="A56" s="1595" t="s">
        <v>887</v>
      </c>
      <c r="B56" s="1596" t="n">
        <f aca="true">OFFSET('☆振替R7'!$G$6,$P$4*$P14,0,1,1)</f>
        <v>6663415</v>
      </c>
      <c r="C56" s="1596" t="n">
        <f aca="true">OFFSET('☆振替R7'!$G$21,$P$4*$P14,0,1,1)</f>
        <v>6669933</v>
      </c>
      <c r="D56" s="1599" t="n">
        <f aca="true">OFFSET('☆振替R7'!$G$8,$P$4*$P14,0,1,1)</f>
        <v>0</v>
      </c>
      <c r="E56" s="1596" t="n">
        <f aca="false">SUM(B56:D56)</f>
        <v>13333348</v>
      </c>
      <c r="F56" s="1596" t="n">
        <f aca="true">OFFSET('☆振替R7'!$H$24,$P$4*$P14,0,1,1)</f>
        <v>13333348</v>
      </c>
      <c r="G56" s="1598" t="str">
        <f aca="false">IF(E56=F56,"○","×")</f>
        <v>○</v>
      </c>
      <c r="H56" s="1595" t="s">
        <v>887</v>
      </c>
      <c r="I56" s="1596" t="n">
        <f aca="true">OFFSET('☆振替R7'!$H$6,$P$4*$P14,0,1,1)</f>
        <v>1211530</v>
      </c>
      <c r="J56" s="1596" t="n">
        <f aca="true">OFFSET('☆振替R7'!$H$21,$P$4*$P14,0,1,1)</f>
        <v>1212715</v>
      </c>
      <c r="K56" s="1599" t="n">
        <f aca="true">OFFSET('☆振替R7'!$H$8,$P$4*$P14,0,1,1)</f>
        <v>0</v>
      </c>
      <c r="L56" s="1596" t="n">
        <f aca="false">SUM(I56:K56)</f>
        <v>2424245</v>
      </c>
      <c r="M56" s="1596" t="n">
        <f aca="true">OFFSET('☆振替R7'!$H$26,$P$4*$P14,0,1,1)</f>
        <v>2424245</v>
      </c>
      <c r="N56" s="1598" t="str">
        <f aca="false">IF(L56=M56,"○","×")</f>
        <v>○</v>
      </c>
      <c r="O56" s="1609"/>
      <c r="P56" s="1608"/>
      <c r="Q56" s="1609"/>
      <c r="R56" s="1609"/>
      <c r="S56" s="1609"/>
    </row>
    <row r="57" customFormat="false" ht="21.75" hidden="false" customHeight="true" outlineLevel="0" collapsed="false">
      <c r="A57" s="1595" t="s">
        <v>567</v>
      </c>
      <c r="B57" s="1596" t="n">
        <f aca="true">OFFSET('☆振替R7'!$G$6,$P$4*$P15,0,1,1)</f>
        <v>3871440</v>
      </c>
      <c r="C57" s="1596" t="n">
        <f aca="true">OFFSET('☆振替R7'!$G$21,$P$4*$P15,0,1,1)</f>
        <v>3871410</v>
      </c>
      <c r="D57" s="1600" t="n">
        <f aca="true">OFFSET('☆振替R7'!$G$8,$P$4*$P15,0,1,1)</f>
        <v>13469</v>
      </c>
      <c r="E57" s="1596" t="n">
        <f aca="false">SUM(B57:D57)</f>
        <v>7756319</v>
      </c>
      <c r="F57" s="1596" t="n">
        <f aca="true">OFFSET('☆振替R7'!$H$24,$P$4*$P15,0,1,1)</f>
        <v>7756319</v>
      </c>
      <c r="G57" s="1598" t="str">
        <f aca="false">IF(E57=F57,"○","×")</f>
        <v>○</v>
      </c>
      <c r="H57" s="1595" t="s">
        <v>567</v>
      </c>
      <c r="I57" s="1596" t="n">
        <f aca="true">OFFSET('☆振替R7'!$H$6,$P$4*$P15,0,1,1)</f>
        <v>703898</v>
      </c>
      <c r="J57" s="1596" t="n">
        <f aca="true">OFFSET('☆振替R7'!$H$21,$P$4*$P15,0,1,1)</f>
        <v>703893</v>
      </c>
      <c r="K57" s="1600" t="n">
        <f aca="true">OFFSET('☆振替R7'!$H$8,$P$4*$P15,0,1,1)</f>
        <v>2449</v>
      </c>
      <c r="L57" s="1596" t="n">
        <f aca="false">SUM(I57:K57)</f>
        <v>1410240</v>
      </c>
      <c r="M57" s="1596" t="n">
        <f aca="true">OFFSET('☆振替R7'!$H$26,$P$4*$P15,0,1,1)</f>
        <v>1410240</v>
      </c>
      <c r="N57" s="1598" t="str">
        <f aca="false">IF(L57=M57,"○","×")</f>
        <v>○</v>
      </c>
      <c r="O57" s="1612"/>
      <c r="P57" s="1612"/>
      <c r="Q57" s="1612"/>
      <c r="R57" s="1612"/>
      <c r="S57" s="1612"/>
    </row>
    <row r="58" customFormat="false" ht="21.75" hidden="false" customHeight="true" outlineLevel="0" collapsed="false">
      <c r="A58" s="1595" t="s">
        <v>568</v>
      </c>
      <c r="B58" s="1596" t="n">
        <f aca="true">OFFSET('☆振替R7'!$G$6,$P$4*$P16,0,1,1)</f>
        <v>3867458</v>
      </c>
      <c r="C58" s="1596" t="n">
        <f aca="true">OFFSET('☆振替R7'!$G$21,$P$4*$P16,0,1,1)</f>
        <v>3871635</v>
      </c>
      <c r="D58" s="1596" t="n">
        <f aca="true">OFFSET('☆振替R7'!$G$8,$P$4*$P16,0,1,1)</f>
        <v>15773</v>
      </c>
      <c r="E58" s="1596" t="n">
        <f aca="false">SUM(B58:D58)</f>
        <v>7754866</v>
      </c>
      <c r="F58" s="1596" t="n">
        <f aca="true">OFFSET('☆振替R7'!$H$24,$P$4*$P16,0,1,1)</f>
        <v>7754866</v>
      </c>
      <c r="G58" s="1598" t="str">
        <f aca="false">IF(E58=F58,"○","×")</f>
        <v>○</v>
      </c>
      <c r="H58" s="1595" t="s">
        <v>568</v>
      </c>
      <c r="I58" s="1596" t="n">
        <f aca="true">OFFSET('☆振替R7'!$H$6,$P$4*$P16,0,1,1)</f>
        <v>703174</v>
      </c>
      <c r="J58" s="1596" t="n">
        <f aca="true">OFFSET('☆振替R7'!$H$21,$P$4*$P16,0,1,1)</f>
        <v>703934</v>
      </c>
      <c r="K58" s="1596" t="n">
        <f aca="true">OFFSET('☆振替R7'!$H$8,$P$4*$P16,0,1,1)</f>
        <v>2867</v>
      </c>
      <c r="L58" s="1596" t="n">
        <f aca="false">SUM(I58:K58)</f>
        <v>1409975</v>
      </c>
      <c r="M58" s="1596" t="n">
        <f aca="true">OFFSET('☆振替R7'!$H$26,$P$4*$P16,0,1,1)</f>
        <v>1409975</v>
      </c>
      <c r="N58" s="1598" t="str">
        <f aca="false">IF(L58=M58,"○","×")</f>
        <v>○</v>
      </c>
      <c r="O58" s="1612"/>
      <c r="P58" s="1589"/>
      <c r="Q58" s="1612"/>
      <c r="R58" s="1612"/>
      <c r="S58" s="1612"/>
    </row>
    <row r="59" customFormat="false" ht="21.75" hidden="false" customHeight="true" outlineLevel="0" collapsed="false">
      <c r="A59" s="1595" t="s">
        <v>569</v>
      </c>
      <c r="B59" s="1596" t="n">
        <f aca="true">OFFSET('☆振替R7'!$G$6,$P$4*$P17,0,1,1)</f>
        <v>3867203</v>
      </c>
      <c r="C59" s="1596" t="n">
        <f aca="true">OFFSET('☆振替R7'!$G$21,$P$4*$P17,0,1,1)</f>
        <v>3871788</v>
      </c>
      <c r="D59" s="1596" t="n">
        <f aca="true">OFFSET('☆振替R7'!$G$8,$P$4*$P17,0,1,1)</f>
        <v>9264</v>
      </c>
      <c r="E59" s="1596" t="n">
        <f aca="false">SUM(B59:D59)</f>
        <v>7748255</v>
      </c>
      <c r="F59" s="1596" t="n">
        <f aca="true">OFFSET('☆振替R7'!$H$24,$P$4*$P17,0,1,1)</f>
        <v>7748255</v>
      </c>
      <c r="G59" s="1598" t="str">
        <f aca="false">IF(E59=F59,"○","×")</f>
        <v>○</v>
      </c>
      <c r="H59" s="1595" t="s">
        <v>569</v>
      </c>
      <c r="I59" s="1596" t="n">
        <f aca="true">OFFSET('☆振替R7'!$H$6,$P$4*$P17,0,1,1)</f>
        <v>703127</v>
      </c>
      <c r="J59" s="1596" t="n">
        <f aca="true">OFFSET('☆振替R7'!$H$21,$P$4*$P17,0,1,1)</f>
        <v>703962</v>
      </c>
      <c r="K59" s="1596" t="n">
        <f aca="true">OFFSET('☆振替R7'!$H$8,$P$4*$P17,0,1,1)</f>
        <v>1684</v>
      </c>
      <c r="L59" s="1596" t="n">
        <f aca="false">SUM(I59:K59)</f>
        <v>1408773</v>
      </c>
      <c r="M59" s="1596" t="n">
        <f aca="true">OFFSET('☆振替R7'!$H$26,$P$4*$P17,0,1,1)</f>
        <v>1408773</v>
      </c>
      <c r="N59" s="1598" t="str">
        <f aca="false">IF(L59=M59,"○","×")</f>
        <v>○</v>
      </c>
      <c r="O59" s="1612"/>
      <c r="P59" s="1589"/>
      <c r="Q59" s="1612"/>
      <c r="R59" s="1612"/>
      <c r="S59" s="1612"/>
    </row>
    <row r="60" customFormat="false" ht="21.75" hidden="false" customHeight="true" outlineLevel="0" collapsed="false">
      <c r="A60" s="1595" t="s">
        <v>888</v>
      </c>
      <c r="B60" s="1596" t="n">
        <f aca="true">OFFSET('☆振替R7'!$G$6,$P$4*$P18,0,1,1)</f>
        <v>1482880</v>
      </c>
      <c r="C60" s="1596" t="n">
        <f aca="true">OFFSET('☆振替R7'!$G$21,$P$4*$P18,0,1,1)</f>
        <v>1525635</v>
      </c>
      <c r="D60" s="1599" t="n">
        <f aca="true">OFFSET('☆振替R7'!$G$8,$P$4*$P18,0,1,1)</f>
        <v>0</v>
      </c>
      <c r="E60" s="1596" t="n">
        <f aca="false">SUM(B60:D60)</f>
        <v>3008515</v>
      </c>
      <c r="F60" s="1596" t="n">
        <f aca="true">OFFSET('☆振替R7'!$H$24,$P$4*$P18,0,1,1)</f>
        <v>3008515</v>
      </c>
      <c r="G60" s="1598" t="str">
        <f aca="false">IF(E60=F60,"○","×")</f>
        <v>○</v>
      </c>
      <c r="H60" s="1595" t="s">
        <v>888</v>
      </c>
      <c r="I60" s="1596" t="n">
        <f aca="true">OFFSET('☆振替R7'!$H$6,$P$4*$P18,0,1,1)</f>
        <v>269614</v>
      </c>
      <c r="J60" s="1596" t="n">
        <f aca="true">OFFSET('☆振替R7'!$H$21,$P$4*$P18,0,1,1)</f>
        <v>277389</v>
      </c>
      <c r="K60" s="1599" t="n">
        <f aca="true">OFFSET('☆振替R7'!$H$8,$P$4*$P18,0,1,1)</f>
        <v>0</v>
      </c>
      <c r="L60" s="1596" t="n">
        <f aca="false">SUM(I60:K60)</f>
        <v>547003</v>
      </c>
      <c r="M60" s="1596" t="n">
        <f aca="true">OFFSET('☆振替R7'!$H$26,$P$4*$P18,0,1,1)</f>
        <v>547003</v>
      </c>
      <c r="N60" s="1598" t="str">
        <f aca="false">IF(L60=M60,"○","×")</f>
        <v>○</v>
      </c>
      <c r="O60" s="1149"/>
      <c r="P60" s="1589"/>
      <c r="Q60" s="1149"/>
    </row>
    <row r="61" customFormat="false" ht="21.75" hidden="false" customHeight="true" outlineLevel="0" collapsed="false">
      <c r="A61" s="1595" t="s">
        <v>570</v>
      </c>
      <c r="B61" s="1596" t="n">
        <f aca="true">OFFSET('☆振替R7'!$G$6,$P$4*$P19,0,1,1)</f>
        <v>3772100</v>
      </c>
      <c r="C61" s="1596" t="n">
        <f aca="true">OFFSET('☆振替R7'!$G$21,$P$4*$P19,0,1,1)</f>
        <v>3767928</v>
      </c>
      <c r="D61" s="1600" t="n">
        <f aca="true">OFFSET('☆振替R7'!$G$8,$P$4*$P19,0,1,1)</f>
        <v>1190</v>
      </c>
      <c r="E61" s="1596" t="n">
        <f aca="false">SUM(B61:D61)</f>
        <v>7541218</v>
      </c>
      <c r="F61" s="1596" t="n">
        <f aca="true">OFFSET('☆振替R7'!$H$24,$P$4*$P19,0,1,1)</f>
        <v>7541218</v>
      </c>
      <c r="G61" s="1598" t="str">
        <f aca="false">IF(E61=F61,"○","×")</f>
        <v>○</v>
      </c>
      <c r="H61" s="1595" t="s">
        <v>570</v>
      </c>
      <c r="I61" s="1596" t="n">
        <f aca="true">OFFSET('☆振替R7'!$H$6,$P$4*$P19,0,1,1)</f>
        <v>685836</v>
      </c>
      <c r="J61" s="1596" t="n">
        <f aca="true">OFFSET('☆振替R7'!$H$21,$P$4*$P19,0,1,1)</f>
        <v>685078</v>
      </c>
      <c r="K61" s="1600" t="n">
        <f aca="true">OFFSET('☆振替R7'!$H$8,$P$4*$P19,0,1,1)</f>
        <v>216</v>
      </c>
      <c r="L61" s="1596" t="n">
        <f aca="false">SUM(I61:K61)</f>
        <v>1371130</v>
      </c>
      <c r="M61" s="1596" t="n">
        <f aca="true">OFFSET('☆振替R7'!$H$26,$P$4*$P19,0,1,1)</f>
        <v>1371130</v>
      </c>
      <c r="N61" s="1598" t="str">
        <f aca="false">IF(L61=M61,"○","×")</f>
        <v>○</v>
      </c>
      <c r="O61" s="1149"/>
      <c r="P61" s="1589"/>
      <c r="Q61" s="1149"/>
    </row>
    <row r="62" customFormat="false" ht="21.75" hidden="false" customHeight="true" outlineLevel="0" collapsed="false">
      <c r="A62" s="1601" t="s">
        <v>639</v>
      </c>
      <c r="B62" s="1596" t="n">
        <f aca="true">OFFSET('☆振替R7'!$G$6,$P$4*$P20,0,1,1)</f>
        <v>188914</v>
      </c>
      <c r="C62" s="1596" t="n">
        <f aca="true">OFFSET('☆振替R7'!$G$21,$P$4*$P20,0,1,1)</f>
        <v>186241</v>
      </c>
      <c r="D62" s="1599" t="n">
        <f aca="true">OFFSET('☆振替R7'!$G$8,$P$4*$P20,0,1,1)</f>
        <v>0</v>
      </c>
      <c r="E62" s="1596" t="n">
        <f aca="false">SUM(B62:D62)</f>
        <v>375155</v>
      </c>
      <c r="F62" s="1596" t="n">
        <f aca="true">OFFSET('☆振替R7'!$H$24,$P$4*$P20,0,1,1)</f>
        <v>375155</v>
      </c>
      <c r="G62" s="1598" t="str">
        <f aca="false">IF(E62=F62,"○","×")</f>
        <v>○</v>
      </c>
      <c r="H62" s="1601" t="s">
        <v>639</v>
      </c>
      <c r="I62" s="1596" t="n">
        <f aca="true">OFFSET('☆振替R7'!$H$6,$P$4*$P20,0,1,1)</f>
        <v>34348</v>
      </c>
      <c r="J62" s="1596" t="n">
        <f aca="true">OFFSET('☆振替R7'!$H$21,$P$4*$P20,0,1,1)</f>
        <v>33862</v>
      </c>
      <c r="K62" s="1599" t="n">
        <f aca="true">OFFSET('☆振替R7'!$H$8,$P$4*$P20,0,1,1)</f>
        <v>0</v>
      </c>
      <c r="L62" s="1596" t="n">
        <f aca="false">SUM(I62:K62)</f>
        <v>68210</v>
      </c>
      <c r="M62" s="1596" t="n">
        <f aca="true">OFFSET('☆振替R7'!$H$26,$P$4*$P20,0,1,1)</f>
        <v>68210</v>
      </c>
      <c r="N62" s="1598" t="str">
        <f aca="false">IF(L62=M62,"○","×")</f>
        <v>○</v>
      </c>
      <c r="O62" s="1149"/>
      <c r="P62" s="1613"/>
      <c r="Q62" s="1149"/>
    </row>
    <row r="63" customFormat="false" ht="21.75" hidden="false" customHeight="true" outlineLevel="0" collapsed="false">
      <c r="A63" s="1601" t="s">
        <v>640</v>
      </c>
      <c r="B63" s="1596" t="n">
        <f aca="true">OFFSET('☆振替R7'!$G$6,$P$4*$P21,0,1,1)</f>
        <v>188914</v>
      </c>
      <c r="C63" s="1596" t="n">
        <f aca="true">OFFSET('☆振替R7'!$G$21,$P$4*$P21,0,1,1)</f>
        <v>186241</v>
      </c>
      <c r="D63" s="1599" t="n">
        <f aca="true">OFFSET('☆振替R7'!$G$8,$P$4*$P21,0,1,1)</f>
        <v>0</v>
      </c>
      <c r="E63" s="1596" t="n">
        <f aca="false">SUM(B63:D63)</f>
        <v>375155</v>
      </c>
      <c r="F63" s="1596" t="n">
        <f aca="true">OFFSET('☆振替R7'!$H$24,$P$4*$P21,0,1,1)</f>
        <v>375155</v>
      </c>
      <c r="G63" s="1598" t="str">
        <f aca="false">IF(E63=F63,"○","×")</f>
        <v>○</v>
      </c>
      <c r="H63" s="1601" t="s">
        <v>640</v>
      </c>
      <c r="I63" s="1596" t="n">
        <f aca="true">OFFSET('☆振替R7'!$H$6,$P$4*$P21,0,1,1)</f>
        <v>34348</v>
      </c>
      <c r="J63" s="1596" t="n">
        <f aca="true">OFFSET('☆振替R7'!$H$21,$P$4*$P21,0,1,1)</f>
        <v>33862</v>
      </c>
      <c r="K63" s="1599" t="n">
        <f aca="true">OFFSET('☆振替R7'!$H$8,$P$4*$P21,0,1,1)</f>
        <v>0</v>
      </c>
      <c r="L63" s="1596" t="n">
        <f aca="false">SUM(I63:K63)</f>
        <v>68210</v>
      </c>
      <c r="M63" s="1596" t="n">
        <f aca="true">OFFSET('☆振替R7'!$H$26,$P$4*$P21,0,1,1)</f>
        <v>68210</v>
      </c>
      <c r="N63" s="1598" t="str">
        <f aca="false">IF(L63=M63,"○","×")</f>
        <v>○</v>
      </c>
      <c r="O63" s="1149"/>
      <c r="P63" s="1614"/>
      <c r="Q63" s="1615"/>
    </row>
    <row r="64" customFormat="false" ht="21.75" hidden="false" customHeight="true" outlineLevel="0" collapsed="false">
      <c r="A64" s="1592" t="s">
        <v>571</v>
      </c>
      <c r="B64" s="1596" t="n">
        <f aca="false">SUM(B47:B63)</f>
        <v>60546102</v>
      </c>
      <c r="C64" s="1596" t="n">
        <f aca="false">SUM(C47:C63)</f>
        <v>60607081</v>
      </c>
      <c r="D64" s="1596" t="n">
        <f aca="false">SUM(D47:D63)</f>
        <v>1253286</v>
      </c>
      <c r="E64" s="1596" t="n">
        <f aca="false">SUM(E47:E63)</f>
        <v>122406469</v>
      </c>
      <c r="F64" s="1596" t="n">
        <f aca="false">SUM(F47:F63)</f>
        <v>122406469</v>
      </c>
      <c r="G64" s="1598" t="str">
        <f aca="false">IF(E64=F64,"○","×")</f>
        <v>○</v>
      </c>
      <c r="H64" s="1592" t="s">
        <v>571</v>
      </c>
      <c r="I64" s="1596" t="n">
        <f aca="false">SUM(I47:I63)</f>
        <v>11008377</v>
      </c>
      <c r="J64" s="1596" t="n">
        <f aca="false">SUM(J47:J63)</f>
        <v>11019476</v>
      </c>
      <c r="K64" s="1596" t="n">
        <f aca="false">SUM(K47:K63)</f>
        <v>227865</v>
      </c>
      <c r="L64" s="1596" t="n">
        <f aca="false">SUM(L47:L63)</f>
        <v>22255718</v>
      </c>
      <c r="M64" s="1596" t="n">
        <f aca="false">SUM(M47:M63)</f>
        <v>22255718</v>
      </c>
      <c r="N64" s="1598" t="str">
        <f aca="false">IF(L64=M64,"○","×")</f>
        <v>○</v>
      </c>
      <c r="O64" s="1149"/>
      <c r="P64" s="1614"/>
      <c r="Q64" s="1615"/>
      <c r="R64" s="1149"/>
    </row>
    <row r="65" customFormat="false" ht="21.75" hidden="false" customHeight="true" outlineLevel="0" collapsed="false">
      <c r="A65" s="1602"/>
      <c r="B65" s="1603"/>
      <c r="C65" s="1603"/>
      <c r="D65" s="1603"/>
      <c r="E65" s="1603"/>
      <c r="F65" s="1621"/>
      <c r="G65" s="1621"/>
      <c r="H65" s="1602"/>
      <c r="I65" s="1603"/>
      <c r="J65" s="1603"/>
      <c r="K65" s="1603"/>
      <c r="L65" s="1603"/>
      <c r="M65" s="1621"/>
      <c r="N65" s="1621"/>
      <c r="O65" s="1149"/>
      <c r="P65" s="1618"/>
      <c r="Q65" s="1619"/>
      <c r="R65" s="1149"/>
    </row>
    <row r="66" customFormat="false" ht="21.75" hidden="false" customHeight="true" outlineLevel="0" collapsed="false">
      <c r="A66" s="1589" t="s">
        <v>906</v>
      </c>
      <c r="B66" s="1606"/>
      <c r="C66" s="1607"/>
      <c r="D66" s="1607"/>
      <c r="E66" s="1607"/>
      <c r="F66" s="1591" t="s">
        <v>535</v>
      </c>
      <c r="G66" s="1589"/>
      <c r="H66" s="1589" t="s">
        <v>907</v>
      </c>
      <c r="I66" s="1606"/>
      <c r="J66" s="1607"/>
      <c r="K66" s="1607"/>
      <c r="L66" s="1607"/>
      <c r="M66" s="1591" t="s">
        <v>535</v>
      </c>
      <c r="N66" s="1589"/>
      <c r="O66" s="1589"/>
      <c r="P66" s="1589"/>
      <c r="Q66" s="1589"/>
      <c r="R66" s="1589"/>
    </row>
    <row r="67" customFormat="false" ht="30" hidden="false" customHeight="true" outlineLevel="0" collapsed="false">
      <c r="A67" s="1592" t="s">
        <v>394</v>
      </c>
      <c r="B67" s="1593" t="s">
        <v>877</v>
      </c>
      <c r="C67" s="1592" t="s">
        <v>491</v>
      </c>
      <c r="D67" s="1593" t="s">
        <v>878</v>
      </c>
      <c r="E67" s="1592" t="s">
        <v>908</v>
      </c>
      <c r="F67" s="1593" t="s">
        <v>909</v>
      </c>
      <c r="G67" s="1594" t="s">
        <v>910</v>
      </c>
      <c r="H67" s="1592" t="s">
        <v>394</v>
      </c>
      <c r="I67" s="1593" t="s">
        <v>877</v>
      </c>
      <c r="J67" s="1592" t="s">
        <v>491</v>
      </c>
      <c r="K67" s="1593" t="s">
        <v>878</v>
      </c>
      <c r="L67" s="1592" t="s">
        <v>911</v>
      </c>
      <c r="M67" s="1593" t="s">
        <v>912</v>
      </c>
      <c r="N67" s="1594" t="s">
        <v>913</v>
      </c>
      <c r="O67" s="1589"/>
      <c r="P67" s="1589"/>
      <c r="Q67" s="1149"/>
      <c r="R67" s="1149"/>
    </row>
    <row r="68" customFormat="false" ht="21.75" hidden="false" customHeight="true" outlineLevel="0" collapsed="false">
      <c r="A68" s="1595" t="s">
        <v>559</v>
      </c>
      <c r="B68" s="1596" t="n">
        <f aca="true">OFFSET('☆振替R7'!$I$6,$P$4*$P5,0,1,1)</f>
        <v>80435</v>
      </c>
      <c r="C68" s="1596" t="n">
        <f aca="true">OFFSET('☆振替R7'!$I$21,$P$4*$P5,0,1,1)</f>
        <v>80348</v>
      </c>
      <c r="D68" s="1596" t="n">
        <f aca="true">OFFSET('☆振替R7'!$I$8,$P$4*$P5,0,1,1)</f>
        <v>22651</v>
      </c>
      <c r="E68" s="1596" t="n">
        <f aca="false">SUM(B68:D68)</f>
        <v>183434</v>
      </c>
      <c r="F68" s="1596" t="n">
        <f aca="true">OFFSET('☆振替R7'!$H$28,$P$4*$P5,0,1,1)</f>
        <v>183434</v>
      </c>
      <c r="G68" s="1598" t="str">
        <f aca="false">IF(E68=F68,"○","×")</f>
        <v>○</v>
      </c>
      <c r="H68" s="1595" t="s">
        <v>559</v>
      </c>
      <c r="I68" s="1596" t="n">
        <f aca="true">OFFSET('☆振替R7'!$J$6,$P$4*$P5,0,1,1)</f>
        <v>16006704</v>
      </c>
      <c r="J68" s="1596" t="n">
        <f aca="true">OFFSET('☆振替R7'!$J$21,$P$4*$P5,0,1,1)</f>
        <v>15988995</v>
      </c>
      <c r="K68" s="1596" t="n">
        <f aca="true">OFFSET('☆振替R7'!$J$8,$P$4*$P5,0,1,1)</f>
        <v>4507707</v>
      </c>
      <c r="L68" s="1596" t="n">
        <f aca="false">SUM(I68:K68)</f>
        <v>36503406</v>
      </c>
      <c r="M68" s="1596" t="n">
        <f aca="true">OFFSET('☆振替R7'!$E$31,$P$4*$P5,0,1,1)</f>
        <v>36503406</v>
      </c>
      <c r="N68" s="1598" t="str">
        <f aca="false">IF(L68=M68,"○","×")</f>
        <v>○</v>
      </c>
      <c r="O68" s="1589"/>
      <c r="P68" s="1589"/>
      <c r="Q68" s="1149"/>
      <c r="R68" s="1149"/>
    </row>
    <row r="69" customFormat="false" ht="21.75" hidden="false" customHeight="true" outlineLevel="0" collapsed="false">
      <c r="A69" s="1595" t="s">
        <v>560</v>
      </c>
      <c r="B69" s="1596" t="n">
        <f aca="true">OFFSET('☆振替R7'!$I$6,$P$4*$P6,0,1,1)</f>
        <v>81035</v>
      </c>
      <c r="C69" s="1596" t="n">
        <f aca="true">OFFSET('☆振替R7'!$I$21,$P$4*$P6,0,1,1)</f>
        <v>81090</v>
      </c>
      <c r="D69" s="1596" t="n">
        <f aca="true">OFFSET('☆振替R7'!$I$8,$P$4*$P6,0,1,1)</f>
        <v>507</v>
      </c>
      <c r="E69" s="1596" t="n">
        <f aca="false">SUM(B69:D69)</f>
        <v>162632</v>
      </c>
      <c r="F69" s="1596" t="n">
        <f aca="true">OFFSET('☆振替R7'!$H$28,$P$4*$P6,0,1,1)</f>
        <v>162632</v>
      </c>
      <c r="G69" s="1598" t="str">
        <f aca="false">IF(E69=F69,"○","×")</f>
        <v>○</v>
      </c>
      <c r="H69" s="1595" t="s">
        <v>560</v>
      </c>
      <c r="I69" s="1596" t="n">
        <f aca="true">OFFSET('☆振替R7'!$J$6,$P$4*$P6,0,1,1)</f>
        <v>16126010</v>
      </c>
      <c r="J69" s="1596" t="n">
        <f aca="true">OFFSET('☆振替R7'!$J$21,$P$4*$P6,0,1,1)</f>
        <v>16136924</v>
      </c>
      <c r="K69" s="1596" t="n">
        <f aca="true">OFFSET('☆振替R7'!$J$8,$P$4*$P6,0,1,1)</f>
        <v>100971</v>
      </c>
      <c r="L69" s="1596" t="n">
        <f aca="false">SUM(I69:K69)</f>
        <v>32363905</v>
      </c>
      <c r="M69" s="1596" t="n">
        <f aca="true">OFFSET('☆振替R7'!$E$31,$P$4*$P6,0,1,1)</f>
        <v>32363905</v>
      </c>
      <c r="N69" s="1598" t="str">
        <f aca="false">IF(L69=M69,"○","×")</f>
        <v>○</v>
      </c>
      <c r="O69" s="1589"/>
      <c r="P69" s="1589"/>
      <c r="Q69" s="1149"/>
      <c r="R69" s="1149"/>
    </row>
    <row r="70" customFormat="false" ht="21.75" hidden="false" customHeight="true" outlineLevel="0" collapsed="false">
      <c r="A70" s="1595" t="s">
        <v>561</v>
      </c>
      <c r="B70" s="1596" t="n">
        <f aca="true">OFFSET('☆振替R7'!$I$6,$P$4*$P7,0,1,1)</f>
        <v>80914</v>
      </c>
      <c r="C70" s="1596" t="n">
        <f aca="true">OFFSET('☆振替R7'!$I$21,$P$4*$P7,0,1,1)</f>
        <v>80931</v>
      </c>
      <c r="D70" s="1596" t="n">
        <f aca="true">OFFSET('☆振替R7'!$I$8,$P$4*$P7,0,1,1)</f>
        <v>666</v>
      </c>
      <c r="E70" s="1596" t="n">
        <f aca="false">SUM(B70:D70)</f>
        <v>162511</v>
      </c>
      <c r="F70" s="1596" t="n">
        <f aca="true">OFFSET('☆振替R7'!$H$28,$P$4*$P7,0,1,1)</f>
        <v>162511</v>
      </c>
      <c r="G70" s="1598" t="str">
        <f aca="false">IF(E70=F70,"○","×")</f>
        <v>○</v>
      </c>
      <c r="H70" s="1595" t="s">
        <v>561</v>
      </c>
      <c r="I70" s="1596" t="n">
        <f aca="true">OFFSET('☆振替R7'!$J$6,$P$4*$P7,0,1,1)</f>
        <v>16102025</v>
      </c>
      <c r="J70" s="1596" t="n">
        <f aca="true">OFFSET('☆振替R7'!$J$21,$P$4*$P7,0,1,1)</f>
        <v>16105197</v>
      </c>
      <c r="K70" s="1596" t="n">
        <f aca="true">OFFSET('☆振替R7'!$J$8,$P$4*$P7,0,1,1)</f>
        <v>132620</v>
      </c>
      <c r="L70" s="1596" t="n">
        <f aca="false">SUM(I70:K70)</f>
        <v>32339842</v>
      </c>
      <c r="M70" s="1596" t="n">
        <f aca="true">OFFSET('☆振替R7'!$E$31,$P$4*$P7,0,1,1)</f>
        <v>32339842</v>
      </c>
      <c r="N70" s="1598" t="str">
        <f aca="false">IF(L70=M70,"○","×")</f>
        <v>○</v>
      </c>
      <c r="O70" s="1589"/>
      <c r="P70" s="1589"/>
      <c r="Q70" s="1149"/>
      <c r="R70" s="1149"/>
    </row>
    <row r="71" customFormat="false" ht="21.75" hidden="false" customHeight="true" outlineLevel="0" collapsed="false">
      <c r="A71" s="1595" t="s">
        <v>886</v>
      </c>
      <c r="B71" s="1596" t="n">
        <f aca="true">OFFSET('☆振替R7'!$I$6,$P$4*$P8,0,1,1)</f>
        <v>142196</v>
      </c>
      <c r="C71" s="1596" t="n">
        <f aca="true">OFFSET('☆振替R7'!$I$21,$P$4*$P8,0,1,1)</f>
        <v>142221</v>
      </c>
      <c r="D71" s="1599" t="n">
        <f aca="true">OFFSET('☆振替R7'!$I$8,$P$4*$P8,0,1,1)</f>
        <v>0</v>
      </c>
      <c r="E71" s="1596" t="n">
        <f aca="false">SUM(B71:D71)</f>
        <v>284417</v>
      </c>
      <c r="F71" s="1596" t="n">
        <f aca="true">OFFSET('☆振替R7'!$H$28,$P$4*$P8,0,1,1)</f>
        <v>284417</v>
      </c>
      <c r="G71" s="1598" t="str">
        <f aca="false">IF(E71=F71,"○","×")</f>
        <v>○</v>
      </c>
      <c r="H71" s="1595" t="s">
        <v>886</v>
      </c>
      <c r="I71" s="1596" t="n">
        <f aca="true">OFFSET('☆振替R7'!$J$6,$P$4*$P8,0,1,1)</f>
        <v>28297178</v>
      </c>
      <c r="J71" s="1596" t="n">
        <f aca="true">OFFSET('☆振替R7'!$J$21,$P$4*$P8,0,1,1)</f>
        <v>28301774</v>
      </c>
      <c r="K71" s="1599" t="n">
        <f aca="true">OFFSET('☆振替R7'!$J$8,$P$4*$P8,0,1,1)</f>
        <v>0</v>
      </c>
      <c r="L71" s="1596" t="n">
        <f aca="false">SUM(I71:K71)</f>
        <v>56598952</v>
      </c>
      <c r="M71" s="1596" t="n">
        <f aca="true">OFFSET('☆振替R7'!$E$31,$P$4*$P8,0,1,1)</f>
        <v>56598952</v>
      </c>
      <c r="N71" s="1598" t="str">
        <f aca="false">IF(L71=M71,"○","×")</f>
        <v>○</v>
      </c>
      <c r="O71" s="1589"/>
      <c r="P71" s="1589"/>
      <c r="Q71" s="1149"/>
      <c r="R71" s="1149"/>
    </row>
    <row r="72" customFormat="false" ht="21.75" hidden="false" customHeight="true" outlineLevel="0" collapsed="false">
      <c r="A72" s="1595" t="s">
        <v>562</v>
      </c>
      <c r="B72" s="1596" t="n">
        <f aca="true">OFFSET('☆振替R7'!$I$6,$P$4*$P9,0,1,1)</f>
        <v>82254</v>
      </c>
      <c r="C72" s="1596" t="n">
        <f aca="true">OFFSET('☆振替R7'!$I$21,$P$4*$P9,0,1,1)</f>
        <v>82315</v>
      </c>
      <c r="D72" s="1596" t="n">
        <f aca="true">OFFSET('☆振替R7'!$I$8,$P$4*$P9,0,1,1)</f>
        <v>300</v>
      </c>
      <c r="E72" s="1596" t="n">
        <f aca="false">SUM(B72:D72)</f>
        <v>164869</v>
      </c>
      <c r="F72" s="1596" t="n">
        <f aca="true">OFFSET('☆振替R7'!$H$28,$P$4*$P9,0,1,1)</f>
        <v>164869</v>
      </c>
      <c r="G72" s="1598" t="str">
        <f aca="false">IF(E72=F72,"○","×")</f>
        <v>○</v>
      </c>
      <c r="H72" s="1595" t="s">
        <v>562</v>
      </c>
      <c r="I72" s="1596" t="n">
        <f aca="true">OFFSET('☆振替R7'!$J$6,$P$4*$P9,0,1,1)</f>
        <v>16368683</v>
      </c>
      <c r="J72" s="1596" t="n">
        <f aca="true">OFFSET('☆振替R7'!$J$21,$P$4*$P9,0,1,1)</f>
        <v>16380608</v>
      </c>
      <c r="K72" s="1596" t="n">
        <f aca="true">OFFSET('☆振替R7'!$J$8,$P$4*$P9,0,1,1)</f>
        <v>59812</v>
      </c>
      <c r="L72" s="1596" t="n">
        <f aca="false">SUM(I72:K72)</f>
        <v>32809103</v>
      </c>
      <c r="M72" s="1596" t="n">
        <f aca="true">OFFSET('☆振替R7'!$E$31,$P$4*$P9,0,1,1)</f>
        <v>32809103</v>
      </c>
      <c r="N72" s="1598" t="str">
        <f aca="false">IF(L72=M72,"○","×")</f>
        <v>○</v>
      </c>
      <c r="O72" s="1589"/>
      <c r="P72" s="1589"/>
      <c r="Q72" s="1149"/>
      <c r="R72" s="1149"/>
    </row>
    <row r="73" customFormat="false" ht="21.75" hidden="false" customHeight="true" outlineLevel="0" collapsed="false">
      <c r="A73" s="1595" t="s">
        <v>563</v>
      </c>
      <c r="B73" s="1596" t="n">
        <f aca="true">OFFSET('☆振替R7'!$I$6,$P$4*$P10,0,1,1)</f>
        <v>81474</v>
      </c>
      <c r="C73" s="1596" t="n">
        <f aca="true">OFFSET('☆振替R7'!$I$21,$P$4*$P10,0,1,1)</f>
        <v>81525</v>
      </c>
      <c r="D73" s="1596" t="n">
        <f aca="true">OFFSET('☆振替R7'!$I$8,$P$4*$P10,0,1,1)</f>
        <v>444</v>
      </c>
      <c r="E73" s="1596" t="n">
        <f aca="false">SUM(B73:D73)</f>
        <v>163443</v>
      </c>
      <c r="F73" s="1596" t="n">
        <f aca="true">OFFSET('☆振替R7'!$H$28,$P$4*$P10,0,1,1)</f>
        <v>163443</v>
      </c>
      <c r="G73" s="1598" t="str">
        <f aca="false">IF(E73=F73,"○","×")</f>
        <v>○</v>
      </c>
      <c r="H73" s="1595" t="s">
        <v>563</v>
      </c>
      <c r="I73" s="1596" t="n">
        <f aca="true">OFFSET('☆振替R7'!$J$6,$P$4*$P10,0,1,1)</f>
        <v>16213494</v>
      </c>
      <c r="J73" s="1596" t="n">
        <f aca="true">OFFSET('☆振替R7'!$J$21,$P$4*$P10,0,1,1)</f>
        <v>16223380</v>
      </c>
      <c r="K73" s="1596" t="n">
        <f aca="true">OFFSET('☆振替R7'!$J$8,$P$4*$P10,0,1,1)</f>
        <v>88361</v>
      </c>
      <c r="L73" s="1596" t="n">
        <f aca="false">SUM(I73:K73)</f>
        <v>32525235</v>
      </c>
      <c r="M73" s="1596" t="n">
        <f aca="true">OFFSET('☆振替R7'!$E$31,$P$4*$P10,0,1,1)</f>
        <v>32525235</v>
      </c>
      <c r="N73" s="1598" t="str">
        <f aca="false">IF(L73=M73,"○","×")</f>
        <v>○</v>
      </c>
      <c r="O73" s="1149"/>
      <c r="P73" s="1149"/>
      <c r="Q73" s="1149"/>
      <c r="R73" s="1149"/>
    </row>
    <row r="74" customFormat="false" ht="21.75" hidden="false" customHeight="true" outlineLevel="0" collapsed="false">
      <c r="A74" s="1595" t="s">
        <v>564</v>
      </c>
      <c r="B74" s="1596" t="n">
        <f aca="true">OFFSET('☆振替R7'!$I$6,$P$4*$P11,0,1,1)</f>
        <v>82263</v>
      </c>
      <c r="C74" s="1596" t="n">
        <f aca="true">OFFSET('☆振替R7'!$I$21,$P$4*$P11,0,1,1)</f>
        <v>82295</v>
      </c>
      <c r="D74" s="1596" t="n">
        <f aca="true">OFFSET('☆振替R7'!$I$8,$P$4*$P11,0,1,1)</f>
        <v>1141</v>
      </c>
      <c r="E74" s="1596" t="n">
        <f aca="false">SUM(B74:D74)</f>
        <v>165699</v>
      </c>
      <c r="F74" s="1596" t="n">
        <f aca="true">OFFSET('☆振替R7'!$H$28,$P$4*$P11,0,1,1)</f>
        <v>165699</v>
      </c>
      <c r="G74" s="1598" t="str">
        <f aca="false">IF(E74=F74,"○","×")</f>
        <v>○</v>
      </c>
      <c r="H74" s="1595" t="s">
        <v>564</v>
      </c>
      <c r="I74" s="1596" t="n">
        <f aca="true">OFFSET('☆振替R7'!$J$6,$P$4*$P11,0,1,1)</f>
        <v>16370416</v>
      </c>
      <c r="J74" s="1596" t="n">
        <f aca="true">OFFSET('☆振替R7'!$J$21,$P$4*$P11,0,1,1)</f>
        <v>16376643</v>
      </c>
      <c r="K74" s="1596" t="n">
        <f aca="true">OFFSET('☆振替R7'!$J$8,$P$4*$P11,0,1,1)</f>
        <v>227259</v>
      </c>
      <c r="L74" s="1596" t="n">
        <f aca="false">SUM(I74:K74)</f>
        <v>32974318</v>
      </c>
      <c r="M74" s="1596" t="n">
        <f aca="true">OFFSET('☆振替R7'!$E$31,$P$4*$P11,0,1,1)</f>
        <v>32974318</v>
      </c>
      <c r="N74" s="1598" t="str">
        <f aca="false">IF(L74=M74,"○","×")</f>
        <v>○</v>
      </c>
      <c r="O74" s="1149"/>
      <c r="P74" s="1149"/>
      <c r="Q74" s="1149"/>
      <c r="R74" s="1149"/>
    </row>
    <row r="75" customFormat="false" ht="21.75" hidden="false" customHeight="true" outlineLevel="0" collapsed="false">
      <c r="A75" s="1595" t="s">
        <v>565</v>
      </c>
      <c r="B75" s="1596" t="n">
        <f aca="true">OFFSET('☆振替R7'!$I$6,$P$4*$P12,0,1,1)</f>
        <v>84510</v>
      </c>
      <c r="C75" s="1596" t="n">
        <f aca="true">OFFSET('☆振替R7'!$I$21,$P$4*$P12,0,1,1)</f>
        <v>84606</v>
      </c>
      <c r="D75" s="1596" t="n">
        <f aca="true">OFFSET('☆振替R7'!$I$8,$P$4*$P12,0,1,1)</f>
        <v>531</v>
      </c>
      <c r="E75" s="1596" t="n">
        <f aca="false">SUM(B75:D75)</f>
        <v>169647</v>
      </c>
      <c r="F75" s="1596" t="n">
        <f aca="true">OFFSET('☆振替R7'!$H$28,$P$4*$P12,0,1,1)</f>
        <v>169647</v>
      </c>
      <c r="G75" s="1598" t="str">
        <f aca="false">IF(E75=F75,"○","×")</f>
        <v>○</v>
      </c>
      <c r="H75" s="1595" t="s">
        <v>565</v>
      </c>
      <c r="I75" s="1596" t="n">
        <f aca="true">OFFSET('☆振替R7'!$J$6,$P$4*$P12,0,1,1)</f>
        <v>16817664</v>
      </c>
      <c r="J75" s="1596" t="n">
        <f aca="true">OFFSET('☆振替R7'!$J$21,$P$4*$P12,0,1,1)</f>
        <v>16836281</v>
      </c>
      <c r="K75" s="1596" t="n">
        <f aca="true">OFFSET('☆振替R7'!$J$8,$P$4*$P12,0,1,1)</f>
        <v>105831</v>
      </c>
      <c r="L75" s="1596" t="n">
        <f aca="false">SUM(I75:K75)</f>
        <v>33759776</v>
      </c>
      <c r="M75" s="1596" t="n">
        <f aca="true">OFFSET('☆振替R7'!$E$31,$P$4*$P12,0,1,1)</f>
        <v>33759776</v>
      </c>
      <c r="N75" s="1598" t="str">
        <f aca="false">IF(L75=M75,"○","×")</f>
        <v>○</v>
      </c>
      <c r="O75" s="1149"/>
      <c r="P75" s="1149"/>
      <c r="Q75" s="1149"/>
      <c r="R75" s="1149"/>
    </row>
    <row r="76" customFormat="false" ht="21.75" hidden="false" customHeight="true" outlineLevel="0" collapsed="false">
      <c r="A76" s="1595" t="s">
        <v>566</v>
      </c>
      <c r="B76" s="1596" t="n">
        <f aca="true">OFFSET('☆振替R7'!$I$6,$P$4*$P13,0,1,1)</f>
        <v>84414</v>
      </c>
      <c r="C76" s="1596" t="n">
        <f aca="true">OFFSET('☆振替R7'!$I$21,$P$4*$P13,0,1,1)</f>
        <v>84448</v>
      </c>
      <c r="D76" s="1596" t="n">
        <f aca="true">OFFSET('☆振替R7'!$I$8,$P$4*$P13,0,1,1)</f>
        <v>234</v>
      </c>
      <c r="E76" s="1596" t="n">
        <f aca="false">SUM(B76:D76)</f>
        <v>169096</v>
      </c>
      <c r="F76" s="1596" t="n">
        <f aca="true">OFFSET('☆振替R7'!$H$28,$P$4*$P13,0,1,1)</f>
        <v>169096</v>
      </c>
      <c r="G76" s="1598" t="str">
        <f aca="false">IF(E76=F76,"○","×")</f>
        <v>○</v>
      </c>
      <c r="H76" s="1595" t="s">
        <v>566</v>
      </c>
      <c r="I76" s="1596" t="n">
        <f aca="true">OFFSET('☆振替R7'!$J$6,$P$4*$P13,0,1,1)</f>
        <v>16798485</v>
      </c>
      <c r="J76" s="1596" t="n">
        <f aca="true">OFFSET('☆振替R7'!$J$21,$P$4*$P13,0,1,1)</f>
        <v>16805170</v>
      </c>
      <c r="K76" s="1596" t="n">
        <f aca="true">OFFSET('☆振替R7'!$J$8,$P$4*$P13,0,1,1)</f>
        <v>46661</v>
      </c>
      <c r="L76" s="1596" t="n">
        <f aca="false">SUM(I76:K76)</f>
        <v>33650316</v>
      </c>
      <c r="M76" s="1596" t="n">
        <f aca="true">OFFSET('☆振替R7'!$E$31,$P$4*$P13,0,1,1)</f>
        <v>33650316</v>
      </c>
      <c r="N76" s="1598" t="str">
        <f aca="false">IF(L76=M76,"○","×")</f>
        <v>○</v>
      </c>
      <c r="O76" s="1149"/>
      <c r="P76" s="1149"/>
      <c r="Q76" s="1149"/>
      <c r="R76" s="1149"/>
    </row>
    <row r="77" customFormat="false" ht="21.75" hidden="false" customHeight="true" outlineLevel="0" collapsed="false">
      <c r="A77" s="1595" t="s">
        <v>887</v>
      </c>
      <c r="B77" s="1596" t="n">
        <f aca="true">OFFSET('☆振替R7'!$I$6,$P$4*$P14,0,1,1)</f>
        <v>145383</v>
      </c>
      <c r="C77" s="1596" t="n">
        <f aca="true">OFFSET('☆振替R7'!$I$21,$P$4*$P14,0,1,1)</f>
        <v>145527</v>
      </c>
      <c r="D77" s="1599" t="n">
        <f aca="true">OFFSET('☆振替R7'!$I$8,$P$4*$P14,0,1,1)</f>
        <v>0</v>
      </c>
      <c r="E77" s="1596" t="n">
        <f aca="false">SUM(B77:D77)</f>
        <v>290910</v>
      </c>
      <c r="F77" s="1596" t="n">
        <f aca="true">OFFSET('☆振替R7'!$H$28,$P$4*$P14,0,1,1)</f>
        <v>290910</v>
      </c>
      <c r="G77" s="1598" t="str">
        <f aca="false">IF(E77=F77,"○","×")</f>
        <v>○</v>
      </c>
      <c r="H77" s="1595" t="s">
        <v>887</v>
      </c>
      <c r="I77" s="1596" t="n">
        <f aca="true">OFFSET('☆振替R7'!$J$6,$P$4*$P14,0,1,1)</f>
        <v>28931342</v>
      </c>
      <c r="J77" s="1596" t="n">
        <f aca="true">OFFSET('☆振替R7'!$J$21,$P$4*$P14,0,1,1)</f>
        <v>28959651</v>
      </c>
      <c r="K77" s="1599" t="n">
        <f aca="true">OFFSET('☆振替R7'!$J$8,$P$4*$P14,0,1,1)</f>
        <v>0</v>
      </c>
      <c r="L77" s="1596" t="n">
        <f aca="false">SUM(I77:K77)</f>
        <v>57890993</v>
      </c>
      <c r="M77" s="1596" t="n">
        <f aca="true">OFFSET('☆振替R7'!$E$31,$P$4*$P14,0,1,1)</f>
        <v>57890993</v>
      </c>
      <c r="N77" s="1598" t="str">
        <f aca="false">IF(L77=M77,"○","×")</f>
        <v>○</v>
      </c>
      <c r="O77" s="1149"/>
      <c r="P77" s="1149"/>
      <c r="Q77" s="1149"/>
      <c r="R77" s="1149"/>
    </row>
    <row r="78" customFormat="false" ht="21.75" hidden="false" customHeight="true" outlineLevel="0" collapsed="false">
      <c r="A78" s="1595" t="s">
        <v>567</v>
      </c>
      <c r="B78" s="1596" t="n">
        <f aca="true">OFFSET('☆振替R7'!$I$6,$P$4*$P15,0,1,1)</f>
        <v>84467</v>
      </c>
      <c r="C78" s="1596" t="n">
        <f aca="true">OFFSET('☆振替R7'!$I$21,$P$4*$P15,0,1,1)</f>
        <v>84468</v>
      </c>
      <c r="D78" s="1600" t="n">
        <f aca="true">OFFSET('☆振替R7'!$I$8,$P$4*$P15,0,1,1)</f>
        <v>293</v>
      </c>
      <c r="E78" s="1596" t="n">
        <f aca="false">SUM(B78:D78)</f>
        <v>169228</v>
      </c>
      <c r="F78" s="1596" t="n">
        <f aca="true">OFFSET('☆振替R7'!$H$28,$P$4*$P15,0,1,1)</f>
        <v>169228</v>
      </c>
      <c r="G78" s="1598" t="str">
        <f aca="false">IF(E78=F78,"○","×")</f>
        <v>○</v>
      </c>
      <c r="H78" s="1595" t="s">
        <v>567</v>
      </c>
      <c r="I78" s="1596" t="n">
        <f aca="true">OFFSET('☆振替R7'!$J$6,$P$4*$P15,0,1,1)</f>
        <v>16809096</v>
      </c>
      <c r="J78" s="1596" t="n">
        <f aca="true">OFFSET('☆振替R7'!$J$21,$P$4*$P15,0,1,1)</f>
        <v>16808972</v>
      </c>
      <c r="K78" s="1600" t="n">
        <f aca="true">OFFSET('☆振替R7'!$J$8,$P$4*$P15,0,1,1)</f>
        <v>58486</v>
      </c>
      <c r="L78" s="1596" t="n">
        <f aca="false">SUM(I78:K78)</f>
        <v>33676554</v>
      </c>
      <c r="M78" s="1596" t="n">
        <f aca="true">OFFSET('☆振替R7'!$E$31,$P$4*$P15,0,1,1)</f>
        <v>33676554</v>
      </c>
      <c r="N78" s="1598" t="str">
        <f aca="false">IF(L78=M78,"○","×")</f>
        <v>○</v>
      </c>
      <c r="O78" s="1149"/>
      <c r="P78" s="1149"/>
      <c r="Q78" s="1149"/>
      <c r="R78" s="1149"/>
    </row>
    <row r="79" customFormat="false" ht="21.75" hidden="false" customHeight="true" outlineLevel="0" collapsed="false">
      <c r="A79" s="1595" t="s">
        <v>568</v>
      </c>
      <c r="B79" s="1596" t="n">
        <f aca="true">OFFSET('☆振替R7'!$I$6,$P$4*$P16,0,1,1)</f>
        <v>84380</v>
      </c>
      <c r="C79" s="1596" t="n">
        <f aca="true">OFFSET('☆振替R7'!$I$21,$P$4*$P16,0,1,1)</f>
        <v>84473</v>
      </c>
      <c r="D79" s="1596" t="n">
        <f aca="true">OFFSET('☆振替R7'!$I$8,$P$4*$P16,0,1,1)</f>
        <v>344</v>
      </c>
      <c r="E79" s="1596" t="n">
        <f aca="false">SUM(B79:D79)</f>
        <v>169197</v>
      </c>
      <c r="F79" s="1596" t="n">
        <f aca="true">OFFSET('☆振替R7'!$H$28,$P$4*$P16,0,1,1)</f>
        <v>169197</v>
      </c>
      <c r="G79" s="1598" t="str">
        <f aca="false">IF(E79=F79,"○","×")</f>
        <v>○</v>
      </c>
      <c r="H79" s="1595" t="s">
        <v>568</v>
      </c>
      <c r="I79" s="1596" t="n">
        <f aca="true">OFFSET('☆振替R7'!$J$6,$P$4*$P16,0,1,1)</f>
        <v>16791803</v>
      </c>
      <c r="J79" s="1596" t="n">
        <f aca="true">OFFSET('☆振替R7'!$J$21,$P$4*$P16,0,1,1)</f>
        <v>16809945</v>
      </c>
      <c r="K79" s="1596" t="n">
        <f aca="true">OFFSET('☆振替R7'!$J$8,$P$4*$P16,0,1,1)</f>
        <v>68488</v>
      </c>
      <c r="L79" s="1596" t="n">
        <f aca="false">SUM(I79:K79)</f>
        <v>33670236</v>
      </c>
      <c r="M79" s="1596" t="n">
        <f aca="true">OFFSET('☆振替R7'!$E$31,$P$4*$P16,0,1,1)</f>
        <v>33670236</v>
      </c>
      <c r="N79" s="1598" t="str">
        <f aca="false">IF(L79=M79,"○","×")</f>
        <v>○</v>
      </c>
      <c r="O79" s="1149"/>
      <c r="P79" s="1149"/>
      <c r="Q79" s="1149"/>
      <c r="R79" s="1149"/>
    </row>
    <row r="80" customFormat="false" ht="21.75" hidden="false" customHeight="true" outlineLevel="0" collapsed="false">
      <c r="A80" s="1595" t="s">
        <v>569</v>
      </c>
      <c r="B80" s="1596" t="n">
        <f aca="true">OFFSET('☆振替R7'!$I$6,$P$4*$P17,0,1,1)</f>
        <v>84375</v>
      </c>
      <c r="C80" s="1596" t="n">
        <f aca="true">OFFSET('☆振替R7'!$I$21,$P$4*$P17,0,1,1)</f>
        <v>84475</v>
      </c>
      <c r="D80" s="1596" t="n">
        <f aca="true">OFFSET('☆振替R7'!$I$8,$P$4*$P17,0,1,1)</f>
        <v>202</v>
      </c>
      <c r="E80" s="1596" t="n">
        <f aca="false">SUM(B80:D80)</f>
        <v>169052</v>
      </c>
      <c r="F80" s="1596" t="n">
        <f aca="true">OFFSET('☆振替R7'!$H$28,$P$4*$P17,0,1,1)</f>
        <v>169052</v>
      </c>
      <c r="G80" s="1598" t="str">
        <f aca="false">IF(E80=F80,"○","×")</f>
        <v>○</v>
      </c>
      <c r="H80" s="1595" t="s">
        <v>569</v>
      </c>
      <c r="I80" s="1596" t="n">
        <f aca="true">OFFSET('☆振替R7'!$J$6,$P$4*$P17,0,1,1)</f>
        <v>16790695</v>
      </c>
      <c r="J80" s="1596" t="n">
        <f aca="true">OFFSET('☆振替R7'!$J$21,$P$4*$P17,0,1,1)</f>
        <v>16810612</v>
      </c>
      <c r="K80" s="1596" t="n">
        <f aca="true">OFFSET('☆振替R7'!$J$8,$P$4*$P17,0,1,1)</f>
        <v>40226</v>
      </c>
      <c r="L80" s="1596" t="n">
        <f aca="false">SUM(I80:K80)</f>
        <v>33641533</v>
      </c>
      <c r="M80" s="1596" t="n">
        <f aca="true">OFFSET('☆振替R7'!$E$31,$P$4*$P17,0,1,1)</f>
        <v>33641533</v>
      </c>
      <c r="N80" s="1598" t="str">
        <f aca="false">IF(L80=M80,"○","×")</f>
        <v>○</v>
      </c>
      <c r="O80" s="1149"/>
      <c r="P80" s="1149"/>
      <c r="Q80" s="1149"/>
    </row>
    <row r="81" customFormat="false" ht="21.75" hidden="false" customHeight="true" outlineLevel="0" collapsed="false">
      <c r="A81" s="1595" t="s">
        <v>888</v>
      </c>
      <c r="B81" s="1596" t="n">
        <f aca="true">OFFSET('☆振替R7'!$I$6,$P$4*$P18,0,1,1)</f>
        <v>32353</v>
      </c>
      <c r="C81" s="1596" t="n">
        <f aca="true">OFFSET('☆振替R7'!$I$21,$P$4*$P18,0,1,1)</f>
        <v>33288</v>
      </c>
      <c r="D81" s="1599" t="n">
        <f aca="true">OFFSET('☆振替R7'!$I$8,$P$4*$P18,0,1,1)</f>
        <v>0</v>
      </c>
      <c r="E81" s="1596" t="n">
        <f aca="false">SUM(B81:D81)</f>
        <v>65641</v>
      </c>
      <c r="F81" s="1596" t="n">
        <f aca="true">OFFSET('☆振替R7'!$H$28,$P$4*$P18,0,1,1)</f>
        <v>65641</v>
      </c>
      <c r="G81" s="1598" t="str">
        <f aca="false">IF(E81=F81,"○","×")</f>
        <v>○</v>
      </c>
      <c r="H81" s="1595" t="s">
        <v>888</v>
      </c>
      <c r="I81" s="1596" t="n">
        <f aca="true">OFFSET('☆振替R7'!$J$6,$P$4*$P18,0,1,1)</f>
        <v>6438402</v>
      </c>
      <c r="J81" s="1596" t="n">
        <f aca="true">OFFSET('☆振替R7'!$J$21,$P$4*$P18,0,1,1)</f>
        <v>6624037</v>
      </c>
      <c r="K81" s="1599" t="n">
        <f aca="true">OFFSET('☆振替R7'!$J$8,$P$4*$P18,0,1,1)</f>
        <v>0</v>
      </c>
      <c r="L81" s="1596" t="n">
        <f aca="false">SUM(I81:K81)</f>
        <v>13062439</v>
      </c>
      <c r="M81" s="1596" t="n">
        <f aca="true">OFFSET('☆振替R7'!$E$31,$P$4*$P18,0,1,1)</f>
        <v>13062439</v>
      </c>
      <c r="N81" s="1598" t="str">
        <f aca="false">IF(L81=M81,"○","×")</f>
        <v>○</v>
      </c>
      <c r="O81" s="1149"/>
      <c r="P81" s="1149"/>
      <c r="Q81" s="1149"/>
    </row>
    <row r="82" customFormat="false" ht="21.75" hidden="false" customHeight="true" outlineLevel="0" collapsed="false">
      <c r="A82" s="1595" t="s">
        <v>570</v>
      </c>
      <c r="B82" s="1596" t="n">
        <f aca="true">OFFSET('☆振替R7'!$I$6,$P$4*$P19,0,1,1)</f>
        <v>82300</v>
      </c>
      <c r="C82" s="1596" t="n">
        <f aca="true">OFFSET('☆振替R7'!$I$21,$P$4*$P19,0,1,1)</f>
        <v>82210</v>
      </c>
      <c r="D82" s="1600" t="n">
        <f aca="true">OFFSET('☆振替R7'!$I$8,$P$4*$P19,0,1,1)</f>
        <v>25</v>
      </c>
      <c r="E82" s="1596" t="n">
        <f aca="false">SUM(B82:D82)</f>
        <v>164535</v>
      </c>
      <c r="F82" s="1596" t="n">
        <f aca="true">OFFSET('☆振替R7'!$H$28,$P$4*$P19,0,1,1)</f>
        <v>164535</v>
      </c>
      <c r="G82" s="1598" t="str">
        <f aca="false">IF(E82=F82,"○","×")</f>
        <v>○</v>
      </c>
      <c r="H82" s="1595" t="s">
        <v>570</v>
      </c>
      <c r="I82" s="1596" t="n">
        <f aca="true">OFFSET('☆振替R7'!$J$6,$P$4*$P19,0,1,1)</f>
        <v>16377778</v>
      </c>
      <c r="J82" s="1596" t="n">
        <f aca="true">OFFSET('☆振替R7'!$J$21,$P$4*$P19,0,1,1)</f>
        <v>16359672</v>
      </c>
      <c r="K82" s="1600" t="n">
        <f aca="true">OFFSET('☆振替R7'!$J$8,$P$4*$P19,0,1,1)</f>
        <v>5170</v>
      </c>
      <c r="L82" s="1596" t="n">
        <f aca="false">SUM(I82:K82)</f>
        <v>32742620</v>
      </c>
      <c r="M82" s="1596" t="n">
        <f aca="true">OFFSET('☆振替R7'!$E$31,$P$4*$P19,0,1,1)</f>
        <v>32742620</v>
      </c>
      <c r="N82" s="1598" t="str">
        <f aca="false">IF(L82=M82,"○","×")</f>
        <v>○</v>
      </c>
      <c r="O82" s="1149"/>
      <c r="P82" s="1149"/>
      <c r="Q82" s="1149"/>
    </row>
    <row r="83" customFormat="false" ht="21.75" hidden="false" customHeight="true" outlineLevel="0" collapsed="false">
      <c r="A83" s="1601" t="s">
        <v>639</v>
      </c>
      <c r="B83" s="1596" t="n">
        <f aca="true">OFFSET('☆振替R7'!$I$6,$P$4*$P20,0,1,1)</f>
        <v>4121</v>
      </c>
      <c r="C83" s="1596" t="n">
        <f aca="true">OFFSET('☆振替R7'!$I$21,$P$4*$P20,0,1,1)</f>
        <v>4064</v>
      </c>
      <c r="D83" s="1599" t="n">
        <f aca="true">OFFSET('☆振替R7'!$I$8,$P$4*$P20,0,1,1)</f>
        <v>0</v>
      </c>
      <c r="E83" s="1596" t="n">
        <f aca="false">SUM(B83:D83)</f>
        <v>8185</v>
      </c>
      <c r="F83" s="1596" t="n">
        <f aca="true">OFFSET('☆振替R7'!$H$28,$P$4*$P20,0,1,1)</f>
        <v>8185</v>
      </c>
      <c r="G83" s="1598" t="str">
        <f aca="false">IF(E83=F83,"○","×")</f>
        <v>○</v>
      </c>
      <c r="H83" s="1601" t="s">
        <v>639</v>
      </c>
      <c r="I83" s="1596" t="n">
        <f aca="true">OFFSET('☆振替R7'!$J$6,$P$4*$P20,0,1,1)</f>
        <v>820232</v>
      </c>
      <c r="J83" s="1596" t="n">
        <f aca="true">OFFSET('☆振替R7'!$J$21,$P$4*$P20,0,1,1)</f>
        <v>808633</v>
      </c>
      <c r="K83" s="1599" t="n">
        <f aca="true">OFFSET('☆振替R7'!$J$8,$P$4*$P20,0,1,1)</f>
        <v>0</v>
      </c>
      <c r="L83" s="1596" t="n">
        <f aca="false">SUM(I83:K83)</f>
        <v>1628865</v>
      </c>
      <c r="M83" s="1596" t="n">
        <f aca="true">OFFSET('☆振替R7'!$E$31,$P$4*$P20,0,1,1)</f>
        <v>1628865</v>
      </c>
      <c r="N83" s="1598" t="str">
        <f aca="false">IF(L83=M83,"○","×")</f>
        <v>○</v>
      </c>
      <c r="O83" s="1149"/>
      <c r="P83" s="1149"/>
      <c r="Q83" s="1149"/>
    </row>
    <row r="84" customFormat="false" ht="21.75" hidden="false" customHeight="true" outlineLevel="0" collapsed="false">
      <c r="A84" s="1601" t="s">
        <v>640</v>
      </c>
      <c r="B84" s="1596" t="n">
        <f aca="true">OFFSET('☆振替R7'!$I$6,$P$4*$P21,0,1,1)</f>
        <v>4121</v>
      </c>
      <c r="C84" s="1596" t="n">
        <f aca="true">OFFSET('☆振替R7'!$I$21,$P$4*$P21,0,1,1)</f>
        <v>4064</v>
      </c>
      <c r="D84" s="1599" t="n">
        <f aca="true">OFFSET('☆振替R7'!$I$8,$P$4*$P21,0,1,1)</f>
        <v>0</v>
      </c>
      <c r="E84" s="1596" t="n">
        <f aca="false">SUM(B84:D84)</f>
        <v>8185</v>
      </c>
      <c r="F84" s="1596" t="n">
        <f aca="true">OFFSET('☆振替R7'!$H$28,$P$4*$P21,0,1,1)</f>
        <v>8185</v>
      </c>
      <c r="G84" s="1598" t="str">
        <f aca="false">IF(E84=F84,"○","×")</f>
        <v>○</v>
      </c>
      <c r="H84" s="1601" t="s">
        <v>640</v>
      </c>
      <c r="I84" s="1596" t="n">
        <f aca="true">OFFSET('☆振替R7'!$J$6,$P$4*$P21,0,1,1)</f>
        <v>820232</v>
      </c>
      <c r="J84" s="1596" t="n">
        <f aca="true">OFFSET('☆振替R7'!$J$21,$P$4*$P21,0,1,1)</f>
        <v>808635</v>
      </c>
      <c r="K84" s="1599" t="n">
        <f aca="true">OFFSET('☆振替R7'!$J$8,$P$4*$P21,0,1,1)</f>
        <v>0</v>
      </c>
      <c r="L84" s="1596" t="n">
        <f aca="false">SUM(I84:K84)</f>
        <v>1628867</v>
      </c>
      <c r="M84" s="1596" t="n">
        <f aca="true">OFFSET('☆振替R7'!$E$31,$P$4*$P21,0,1,1)</f>
        <v>1628867</v>
      </c>
      <c r="N84" s="1598" t="str">
        <f aca="false">IF(L84=M84,"○","×")</f>
        <v>○</v>
      </c>
      <c r="O84" s="1149"/>
      <c r="P84" s="1149"/>
      <c r="Q84" s="1149"/>
    </row>
    <row r="85" customFormat="false" ht="21.75" hidden="false" customHeight="true" outlineLevel="0" collapsed="false">
      <c r="A85" s="1592" t="s">
        <v>571</v>
      </c>
      <c r="B85" s="1596" t="n">
        <f aca="false">SUM(B68:B84)</f>
        <v>1320995</v>
      </c>
      <c r="C85" s="1596" t="n">
        <f aca="false">SUM(C68:C84)</f>
        <v>1322348</v>
      </c>
      <c r="D85" s="1596" t="n">
        <f aca="false">SUM(D68:D84)</f>
        <v>27338</v>
      </c>
      <c r="E85" s="1596" t="n">
        <f aca="false">SUM(E68:E84)</f>
        <v>2670681</v>
      </c>
      <c r="F85" s="1596" t="n">
        <f aca="false">SUM(F68:F84)</f>
        <v>2670681</v>
      </c>
      <c r="G85" s="1598" t="str">
        <f aca="false">IF(E85=F85,"○","×")</f>
        <v>○</v>
      </c>
      <c r="H85" s="1592" t="s">
        <v>571</v>
      </c>
      <c r="I85" s="1596" t="n">
        <f aca="false">SUM(I68:I84)</f>
        <v>262880239</v>
      </c>
      <c r="J85" s="1596" t="n">
        <f aca="false">SUM(J68:J84)</f>
        <v>263145129</v>
      </c>
      <c r="K85" s="1596" t="n">
        <f aca="false">SUM(K68:K84)</f>
        <v>5441592</v>
      </c>
      <c r="L85" s="1596" t="n">
        <f aca="false">SUM(L68:L84)</f>
        <v>531466960</v>
      </c>
      <c r="M85" s="1596" t="n">
        <f aca="false">SUM(M68:M84)</f>
        <v>531466960</v>
      </c>
      <c r="N85" s="1598" t="str">
        <f aca="false">IF(L85=M85,"○","×")</f>
        <v>○</v>
      </c>
      <c r="O85" s="1149"/>
      <c r="P85" s="1149"/>
      <c r="Q85" s="1149"/>
    </row>
    <row r="86" customFormat="false" ht="21.75" hidden="false" customHeight="true" outlineLevel="0" collapsed="false"/>
  </sheetData>
  <mergeCells count="1">
    <mergeCell ref="P51:S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oddFooter>
  </headerFooter>
  <rowBreaks count="1" manualBreakCount="1">
    <brk id="44" man="true" max="16383" min="0"/>
  </rowBreak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X117"/>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D33" activeCellId="0" sqref="D33"/>
    </sheetView>
  </sheetViews>
  <sheetFormatPr defaultColWidth="13.89453125" defaultRowHeight="17.25" zeroHeight="false" outlineLevelRow="0" outlineLevelCol="0"/>
  <cols>
    <col collapsed="false" customWidth="true" hidden="false" outlineLevel="0" max="1" min="1" style="950" width="10.49"/>
    <col collapsed="false" customWidth="true" hidden="false" outlineLevel="0" max="3" min="2" style="793" width="13.49"/>
    <col collapsed="false" customWidth="true" hidden="false" outlineLevel="0" max="4" min="4" style="793" width="12.59"/>
    <col collapsed="false" customWidth="true" hidden="false" outlineLevel="0" max="5" min="5" style="793" width="13.49"/>
    <col collapsed="false" customWidth="true" hidden="false" outlineLevel="0" max="6" min="6" style="793" width="3.39"/>
    <col collapsed="false" customWidth="true" hidden="false" outlineLevel="0" max="7" min="7" style="793" width="10.59"/>
    <col collapsed="false" customWidth="true" hidden="false" outlineLevel="0" max="8" min="8" style="793" width="14.39"/>
    <col collapsed="false" customWidth="true" hidden="false" outlineLevel="0" max="9" min="9" style="793" width="13.49"/>
    <col collapsed="false" customWidth="true" hidden="false" outlineLevel="0" max="10" min="10" style="793" width="12.59"/>
    <col collapsed="false" customWidth="true" hidden="false" outlineLevel="0" max="11" min="11" style="793" width="13.49"/>
    <col collapsed="false" customWidth="true" hidden="false" outlineLevel="0" max="12" min="12" style="950" width="3.59"/>
    <col collapsed="false" customWidth="true" hidden="false" outlineLevel="0" max="16" min="13" style="950" width="13.59"/>
    <col collapsed="false" customWidth="false" hidden="false" outlineLevel="0" max="257" min="17" style="950" width="13.89"/>
  </cols>
  <sheetData>
    <row r="1" customFormat="false" ht="22.5" hidden="false" customHeight="true" outlineLevel="0" collapsed="false">
      <c r="A1" s="1622" t="str">
        <f aca="false">振替集計R7!A1</f>
        <v>令和8年度</v>
      </c>
      <c r="B1" s="1623" t="s">
        <v>914</v>
      </c>
      <c r="C1" s="1623"/>
      <c r="F1" s="950"/>
      <c r="G1" s="950"/>
      <c r="H1" s="950"/>
      <c r="I1" s="950"/>
      <c r="J1" s="950"/>
      <c r="K1" s="1624"/>
      <c r="L1" s="1625"/>
    </row>
    <row r="2" customFormat="false" ht="34.5" hidden="false" customHeight="true" outlineLevel="0" collapsed="false">
      <c r="A2" s="1626" t="s">
        <v>915</v>
      </c>
      <c r="B2" s="1626"/>
      <c r="C2" s="1626"/>
      <c r="D2" s="798"/>
      <c r="E2" s="799"/>
      <c r="F2" s="1627"/>
      <c r="G2" s="950" t="s">
        <v>916</v>
      </c>
      <c r="H2" s="950"/>
      <c r="I2" s="950"/>
      <c r="J2" s="950"/>
      <c r="K2" s="799" t="s">
        <v>535</v>
      </c>
      <c r="L2" s="1628"/>
      <c r="M2" s="1629" t="s">
        <v>917</v>
      </c>
      <c r="N2" s="799"/>
    </row>
    <row r="3" s="1377" customFormat="true" ht="34.5" hidden="false" customHeight="true" outlineLevel="0" collapsed="false">
      <c r="A3" s="1630" t="s">
        <v>542</v>
      </c>
      <c r="B3" s="1631" t="s">
        <v>918</v>
      </c>
      <c r="C3" s="1632" t="s">
        <v>488</v>
      </c>
      <c r="D3" s="1632"/>
      <c r="E3" s="1633" t="s">
        <v>541</v>
      </c>
      <c r="F3" s="1634"/>
      <c r="G3" s="1630" t="s">
        <v>542</v>
      </c>
      <c r="H3" s="1631" t="s">
        <v>919</v>
      </c>
      <c r="I3" s="1635" t="s">
        <v>488</v>
      </c>
      <c r="J3" s="1635"/>
      <c r="K3" s="1636" t="s">
        <v>541</v>
      </c>
      <c r="L3" s="950"/>
      <c r="M3" s="1629"/>
      <c r="N3" s="1637"/>
      <c r="Q3" s="950"/>
    </row>
    <row r="4" s="1377" customFormat="true" ht="34.5" hidden="false" customHeight="true" outlineLevel="0" collapsed="false">
      <c r="A4" s="1630"/>
      <c r="B4" s="1631"/>
      <c r="C4" s="1638" t="s">
        <v>864</v>
      </c>
      <c r="D4" s="1639" t="s">
        <v>865</v>
      </c>
      <c r="E4" s="1633"/>
      <c r="F4" s="1634"/>
      <c r="G4" s="1630"/>
      <c r="H4" s="1631"/>
      <c r="I4" s="1640" t="s">
        <v>864</v>
      </c>
      <c r="J4" s="1641" t="s">
        <v>865</v>
      </c>
      <c r="K4" s="1636"/>
      <c r="L4" s="950"/>
      <c r="M4" s="1629"/>
      <c r="N4" s="1637"/>
      <c r="Q4" s="950"/>
    </row>
    <row r="5" s="1377" customFormat="true" ht="35.25" hidden="false" customHeight="true" outlineLevel="0" collapsed="false">
      <c r="A5" s="1642" t="s">
        <v>559</v>
      </c>
      <c r="B5" s="1643" t="n">
        <f aca="true">OFFSET('☆掛負収入'!$B$65,$M$5*M6,0,1,1)</f>
        <v>489926226</v>
      </c>
      <c r="C5" s="1644" t="n">
        <f aca="true">OFFSET('☆掛負収入'!$D$65,$M$5*M6,0,1,1)-D5</f>
        <v>710665020</v>
      </c>
      <c r="D5" s="1645" t="n">
        <f aca="true">OFFSET('☆掛負収入'!$D$63,$M$5*M6,0,1,1)</f>
        <v>56730</v>
      </c>
      <c r="E5" s="1646" t="n">
        <f aca="false">SUM(B5:D5)</f>
        <v>1200647976</v>
      </c>
      <c r="F5" s="1647"/>
      <c r="G5" s="1642" t="s">
        <v>559</v>
      </c>
      <c r="H5" s="1643" t="n">
        <f aca="false">B5-H30+K27</f>
        <v>489433500</v>
      </c>
      <c r="I5" s="1648" t="n">
        <f aca="false">C5</f>
        <v>710665020</v>
      </c>
      <c r="J5" s="1649" t="n">
        <f aca="false">D5</f>
        <v>56730</v>
      </c>
      <c r="K5" s="1650" t="n">
        <f aca="false">SUM(H5:J5)</f>
        <v>1200155250</v>
      </c>
      <c r="L5" s="950"/>
      <c r="M5" s="1651" t="n">
        <v>65</v>
      </c>
      <c r="N5" s="1637"/>
    </row>
    <row r="6" s="1377" customFormat="true" ht="35.25" hidden="false" customHeight="true" outlineLevel="0" collapsed="false">
      <c r="A6" s="1652" t="s">
        <v>560</v>
      </c>
      <c r="B6" s="1643" t="n">
        <f aca="true">OFFSET('☆掛負収入'!$B$65,$M$5*M7,0,1,1)</f>
        <v>491261760</v>
      </c>
      <c r="C6" s="1644" t="n">
        <f aca="true">OFFSET('☆掛負収入'!$D$65,$M$5*M7,0,1,1)-D6</f>
        <v>713109255</v>
      </c>
      <c r="D6" s="1645" t="n">
        <f aca="true">OFFSET('☆掛負収入'!$D$63,$M$5*M7,0,1,1)</f>
        <v>56730</v>
      </c>
      <c r="E6" s="1646" t="n">
        <f aca="false">SUM(B6:D6)</f>
        <v>1204427745</v>
      </c>
      <c r="F6" s="1647"/>
      <c r="G6" s="1652" t="s">
        <v>560</v>
      </c>
      <c r="H6" s="1643" t="n">
        <f aca="false">B6-H31+K28</f>
        <v>491093400</v>
      </c>
      <c r="I6" s="1648" t="n">
        <f aca="false">C6</f>
        <v>713109255</v>
      </c>
      <c r="J6" s="1649" t="n">
        <f aca="false">D6</f>
        <v>56730</v>
      </c>
      <c r="K6" s="1650" t="n">
        <f aca="false">SUM(H6:J6)</f>
        <v>1204259385</v>
      </c>
      <c r="L6" s="950"/>
      <c r="M6" s="1653" t="n">
        <v>0</v>
      </c>
      <c r="N6" s="1628"/>
      <c r="O6" s="950"/>
      <c r="P6" s="950"/>
      <c r="Q6" s="950"/>
    </row>
    <row r="7" s="1377" customFormat="true" ht="35.25" hidden="false" customHeight="true" outlineLevel="0" collapsed="false">
      <c r="A7" s="1652" t="s">
        <v>561</v>
      </c>
      <c r="B7" s="1643" t="n">
        <f aca="true">OFFSET('☆掛負収入'!$B$65,$M$5*M8,0,1,1)</f>
        <v>490561786</v>
      </c>
      <c r="C7" s="1644" t="n">
        <f aca="true">OFFSET('☆掛負収入'!$D$65,$M$5*M8,0,1,1)-D7</f>
        <v>712027559</v>
      </c>
      <c r="D7" s="1645" t="n">
        <f aca="true">OFFSET('☆掛負収入'!$D$63,$M$5*M8,0,1,1)</f>
        <v>56730</v>
      </c>
      <c r="E7" s="1646" t="n">
        <f aca="false">SUM(B7:D7)</f>
        <v>1202646075</v>
      </c>
      <c r="F7" s="1647"/>
      <c r="G7" s="1652" t="s">
        <v>561</v>
      </c>
      <c r="H7" s="1643" t="n">
        <f aca="false">B7-H32+K29</f>
        <v>490197892</v>
      </c>
      <c r="I7" s="1648" t="n">
        <f aca="false">C7</f>
        <v>712027559</v>
      </c>
      <c r="J7" s="1649" t="n">
        <f aca="false">D7</f>
        <v>56730</v>
      </c>
      <c r="K7" s="1650" t="n">
        <f aca="false">SUM(H7:J7)</f>
        <v>1202282181</v>
      </c>
      <c r="L7" s="950"/>
      <c r="M7" s="1653" t="n">
        <v>1</v>
      </c>
      <c r="N7" s="1628"/>
    </row>
    <row r="8" s="1377" customFormat="true" ht="35.25" hidden="false" customHeight="true" outlineLevel="0" collapsed="false">
      <c r="A8" s="1652" t="s">
        <v>886</v>
      </c>
      <c r="B8" s="1643" t="n">
        <f aca="true">OFFSET('☆掛負収入'!$B$65,$M$5*M9,0,1,1)</f>
        <v>907213270</v>
      </c>
      <c r="C8" s="1644" t="n">
        <f aca="true">OFFSET('☆掛負収入'!$D$65,$M$5*M9,0,1,1)-D8</f>
        <v>1308419176</v>
      </c>
      <c r="D8" s="1645" t="n">
        <f aca="true">OFFSET('☆掛負収入'!$D$63,$M$5*M9,0,1,1)</f>
        <v>77410</v>
      </c>
      <c r="E8" s="1646" t="n">
        <f aca="false">SUM(B8:D8)</f>
        <v>2215709856</v>
      </c>
      <c r="F8" s="1647"/>
      <c r="G8" s="1652" t="s">
        <v>886</v>
      </c>
      <c r="H8" s="1654" t="n">
        <f aca="false">B8+K30</f>
        <v>907213270</v>
      </c>
      <c r="I8" s="1648" t="n">
        <f aca="false">C8</f>
        <v>1308419176</v>
      </c>
      <c r="J8" s="1649" t="n">
        <f aca="false">D8</f>
        <v>77410</v>
      </c>
      <c r="K8" s="1650" t="n">
        <f aca="false">SUM(H8:J8)</f>
        <v>2215709856</v>
      </c>
      <c r="L8" s="950"/>
      <c r="M8" s="1653" t="n">
        <v>2</v>
      </c>
      <c r="N8" s="1628"/>
    </row>
    <row r="9" s="1377" customFormat="true" ht="35.25" hidden="false" customHeight="true" outlineLevel="0" collapsed="false">
      <c r="A9" s="1652" t="s">
        <v>562</v>
      </c>
      <c r="B9" s="1643" t="n">
        <f aca="true">OFFSET('☆掛負収入'!$B$65,$M$5*M10,0,1,1)</f>
        <v>498701078</v>
      </c>
      <c r="C9" s="1655" t="n">
        <f aca="true">OFFSET('☆掛負収入'!$D$65,$M$5*M10,0,1,1)-D9</f>
        <v>724219092</v>
      </c>
      <c r="D9" s="1645" t="n">
        <f aca="true">OFFSET('☆掛負収入'!$D$63,$M$5*M10,0,1,1)</f>
        <v>56730</v>
      </c>
      <c r="E9" s="1646" t="n">
        <f aca="false">SUM(B9:D9)</f>
        <v>1222976900</v>
      </c>
      <c r="F9" s="1647"/>
      <c r="G9" s="1652" t="s">
        <v>562</v>
      </c>
      <c r="H9" s="1654" t="n">
        <f aca="false">B9-H33+K31</f>
        <v>498197371</v>
      </c>
      <c r="I9" s="1648" t="n">
        <f aca="false">C9</f>
        <v>724219092</v>
      </c>
      <c r="J9" s="1649" t="n">
        <f aca="false">D9</f>
        <v>56730</v>
      </c>
      <c r="K9" s="1650" t="n">
        <f aca="false">SUM(H9:J9)</f>
        <v>1222473193</v>
      </c>
      <c r="L9" s="950"/>
      <c r="M9" s="1653" t="n">
        <v>3</v>
      </c>
      <c r="N9" s="1628"/>
    </row>
    <row r="10" s="1377" customFormat="true" ht="35.25" hidden="false" customHeight="true" outlineLevel="0" collapsed="false">
      <c r="A10" s="1652" t="s">
        <v>563</v>
      </c>
      <c r="B10" s="1643" t="n">
        <f aca="true">OFFSET('☆掛負収入'!$B$65,$M$5*M11,0,1,1)</f>
        <v>492793379</v>
      </c>
      <c r="C10" s="1644" t="n">
        <f aca="true">OFFSET('☆掛負収入'!$D$65,$M$5*M11,0,1,1)-D10</f>
        <v>715999329</v>
      </c>
      <c r="D10" s="1645" t="n">
        <f aca="true">OFFSET('☆掛負収入'!$D$63,$M$5*M11,0,1,1)</f>
        <v>56730</v>
      </c>
      <c r="E10" s="1646" t="n">
        <f aca="false">SUM(B10:D10)</f>
        <v>1208849438</v>
      </c>
      <c r="F10" s="1647"/>
      <c r="G10" s="1652" t="s">
        <v>563</v>
      </c>
      <c r="H10" s="1654" t="n">
        <f aca="false">B10-H34+K32</f>
        <v>492425549</v>
      </c>
      <c r="I10" s="1648" t="n">
        <f aca="false">C10</f>
        <v>715999329</v>
      </c>
      <c r="J10" s="1649" t="n">
        <f aca="false">D10</f>
        <v>56730</v>
      </c>
      <c r="K10" s="1650" t="n">
        <f aca="false">SUM(H10:J10)</f>
        <v>1208481608</v>
      </c>
      <c r="L10" s="950"/>
      <c r="M10" s="1653" t="n">
        <v>4</v>
      </c>
      <c r="N10" s="1628"/>
    </row>
    <row r="11" s="1377" customFormat="true" ht="35.25" hidden="false" customHeight="true" outlineLevel="0" collapsed="false">
      <c r="A11" s="1652" t="s">
        <v>564</v>
      </c>
      <c r="B11" s="1643" t="n">
        <f aca="true">OFFSET('☆掛負収入'!$B$65,$M$5*M12,0,1,1)</f>
        <v>498248439</v>
      </c>
      <c r="C11" s="1644" t="n">
        <f aca="true">OFFSET('☆掛負収入'!$D$65,$M$5*M12,0,1,1)-D11</f>
        <v>727797097</v>
      </c>
      <c r="D11" s="1656" t="n">
        <f aca="true">OFFSET('☆掛負収入'!$D$63,$M$5*M12,0,1,1)</f>
        <v>60390</v>
      </c>
      <c r="E11" s="1646" t="n">
        <f aca="false">SUM(B11:D11)</f>
        <v>1226105926</v>
      </c>
      <c r="F11" s="1647"/>
      <c r="G11" s="1652" t="s">
        <v>564</v>
      </c>
      <c r="H11" s="1657" t="n">
        <f aca="false">B11-H35+K33</f>
        <v>497906229</v>
      </c>
      <c r="I11" s="1648" t="n">
        <f aca="false">C11</f>
        <v>727797097</v>
      </c>
      <c r="J11" s="1658" t="n">
        <f aca="false">D11</f>
        <v>60390</v>
      </c>
      <c r="K11" s="1650" t="n">
        <f aca="false">SUM(H11:J11)</f>
        <v>1225763716</v>
      </c>
      <c r="L11" s="950"/>
      <c r="M11" s="1653" t="n">
        <v>5</v>
      </c>
      <c r="N11" s="1628"/>
    </row>
    <row r="12" customFormat="false" ht="35.25" hidden="false" customHeight="true" outlineLevel="0" collapsed="false">
      <c r="A12" s="1652" t="s">
        <v>565</v>
      </c>
      <c r="B12" s="1643" t="n">
        <f aca="true">OFFSET('☆掛負収入'!$B$65,$M$5*M13,0,1,1)</f>
        <v>482544009</v>
      </c>
      <c r="C12" s="1644" t="n">
        <f aca="true">OFFSET('☆掛負収入'!$D$65,$M$5*M13,0,1,1)-D12</f>
        <v>709792336</v>
      </c>
      <c r="D12" s="1656" t="n">
        <f aca="true">OFFSET('☆掛負収入'!$D$63,$M$5*M13,0,1,1)</f>
        <v>58560</v>
      </c>
      <c r="E12" s="1646" t="n">
        <f aca="false">SUM(B12:D12)</f>
        <v>1192394905</v>
      </c>
      <c r="F12" s="1647"/>
      <c r="G12" s="1652" t="s">
        <v>565</v>
      </c>
      <c r="H12" s="1657" t="n">
        <f aca="false">B12-H36+K34</f>
        <v>482544009</v>
      </c>
      <c r="I12" s="1648" t="n">
        <f aca="false">C12</f>
        <v>709792336</v>
      </c>
      <c r="J12" s="1658" t="n">
        <f aca="false">D12</f>
        <v>58560</v>
      </c>
      <c r="K12" s="1650" t="n">
        <f aca="false">SUM(H12:J12)</f>
        <v>1192394905</v>
      </c>
      <c r="M12" s="1653" t="n">
        <v>6</v>
      </c>
      <c r="N12" s="1628"/>
      <c r="P12" s="1377"/>
    </row>
    <row r="13" customFormat="false" ht="35.25" hidden="false" customHeight="true" outlineLevel="0" collapsed="false">
      <c r="A13" s="1652" t="s">
        <v>566</v>
      </c>
      <c r="B13" s="1643" t="n">
        <f aca="true">OFFSET('☆掛負収入'!$B$65,$M$5*M14,0,1,1)</f>
        <v>481072783</v>
      </c>
      <c r="C13" s="1644" t="n">
        <f aca="true">OFFSET('☆掛負収入'!$D$65,$M$5*M14,0,1,1)-D13</f>
        <v>707991417</v>
      </c>
      <c r="D13" s="1656" t="n">
        <f aca="true">OFFSET('☆掛負収入'!$D$63,$M$5*M14,0,1,1)</f>
        <v>53070</v>
      </c>
      <c r="E13" s="1646" t="n">
        <f aca="false">SUM(B13:D13)</f>
        <v>1189117270</v>
      </c>
      <c r="F13" s="1647"/>
      <c r="G13" s="1652" t="s">
        <v>566</v>
      </c>
      <c r="H13" s="1657" t="n">
        <f aca="false">B13-H37+K35</f>
        <v>481072783</v>
      </c>
      <c r="I13" s="1648" t="n">
        <f aca="false">C13</f>
        <v>707991417</v>
      </c>
      <c r="J13" s="1658" t="n">
        <f aca="false">D13</f>
        <v>53070</v>
      </c>
      <c r="K13" s="1650" t="n">
        <f aca="false">SUM(H13:J13)</f>
        <v>1189117270</v>
      </c>
      <c r="M13" s="1653" t="n">
        <v>7</v>
      </c>
      <c r="N13" s="1628"/>
    </row>
    <row r="14" customFormat="false" ht="35.25" hidden="false" customHeight="true" outlineLevel="0" collapsed="false">
      <c r="A14" s="1652" t="s">
        <v>887</v>
      </c>
      <c r="B14" s="1643" t="n">
        <f aca="true">OFFSET('☆掛負収入'!$B$65,$M$5*M15,0,1,1)</f>
        <v>870859030</v>
      </c>
      <c r="C14" s="1644" t="n">
        <f aca="true">OFFSET('☆掛負収入'!$D$65,$M$5*M15,0,1,1)-D14</f>
        <v>1271062695</v>
      </c>
      <c r="D14" s="1656" t="n">
        <f aca="true">OFFSET('☆掛負収入'!$D$63,$M$5*M15,0,1,1)</f>
        <v>70913</v>
      </c>
      <c r="E14" s="1646" t="n">
        <f aca="false">SUM(B14:D14)</f>
        <v>2141992638</v>
      </c>
      <c r="F14" s="1647"/>
      <c r="G14" s="1652" t="s">
        <v>887</v>
      </c>
      <c r="H14" s="1657" t="n">
        <f aca="false">B14+K36</f>
        <v>870859030</v>
      </c>
      <c r="I14" s="1648" t="n">
        <f aca="false">C14</f>
        <v>1271062695</v>
      </c>
      <c r="J14" s="1658" t="n">
        <f aca="false">D14</f>
        <v>70913</v>
      </c>
      <c r="K14" s="1650" t="n">
        <f aca="false">SUM(H14:J14)</f>
        <v>2141992638</v>
      </c>
      <c r="M14" s="1653" t="n">
        <v>8</v>
      </c>
      <c r="N14" s="1628"/>
    </row>
    <row r="15" customFormat="false" ht="35.25" hidden="false" customHeight="true" outlineLevel="0" collapsed="false">
      <c r="A15" s="1652" t="s">
        <v>567</v>
      </c>
      <c r="B15" s="1643" t="n">
        <f aca="true">OFFSET('☆掛負収入'!$B$65,$M$5*M16,0,1,1)</f>
        <v>480720230</v>
      </c>
      <c r="C15" s="1644" t="n">
        <f aca="true">OFFSET('☆掛負収入'!$D$65,$M$5*M16,0,1,1)-D15</f>
        <v>707614987</v>
      </c>
      <c r="D15" s="1656" t="n">
        <f aca="true">OFFSET('☆掛負収入'!$D$63,$M$5*M16,0,1,1)</f>
        <v>53070</v>
      </c>
      <c r="E15" s="1646" t="n">
        <f aca="false">SUM(B15:D15)</f>
        <v>1188388287</v>
      </c>
      <c r="F15" s="1647"/>
      <c r="G15" s="1652" t="s">
        <v>567</v>
      </c>
      <c r="H15" s="1657" t="n">
        <f aca="false">B15-H38+K37</f>
        <v>480720230</v>
      </c>
      <c r="I15" s="1648" t="n">
        <f aca="false">C15</f>
        <v>707614987</v>
      </c>
      <c r="J15" s="1658" t="n">
        <f aca="false">D15</f>
        <v>53070</v>
      </c>
      <c r="K15" s="1650" t="n">
        <f aca="false">SUM(H15:J15)</f>
        <v>1188388287</v>
      </c>
      <c r="M15" s="1653" t="n">
        <v>9</v>
      </c>
      <c r="N15" s="1628"/>
    </row>
    <row r="16" customFormat="false" ht="35.25" hidden="false" customHeight="true" outlineLevel="0" collapsed="false">
      <c r="A16" s="1652" t="s">
        <v>568</v>
      </c>
      <c r="B16" s="1643" t="n">
        <f aca="true">OFFSET('☆掛負収入'!$B$65,$M$5*M17,0,1,1)</f>
        <v>481803224</v>
      </c>
      <c r="C16" s="1644" t="n">
        <f aca="true">OFFSET('☆掛負収入'!$D$65,$M$5*M17,0,1,1)-D16</f>
        <v>709678536</v>
      </c>
      <c r="D16" s="1656" t="n">
        <f aca="true">OFFSET('☆掛負収入'!$D$63,$M$5*M17,0,1,1)</f>
        <v>56730</v>
      </c>
      <c r="E16" s="1646" t="n">
        <f aca="false">SUM(B16:D16)</f>
        <v>1191538490</v>
      </c>
      <c r="F16" s="1647"/>
      <c r="G16" s="1652" t="s">
        <v>568</v>
      </c>
      <c r="H16" s="1657" t="n">
        <f aca="false">B16-H39+K38</f>
        <v>481803224</v>
      </c>
      <c r="I16" s="1648" t="n">
        <f aca="false">C16</f>
        <v>709678536</v>
      </c>
      <c r="J16" s="1658" t="n">
        <f aca="false">D16</f>
        <v>56730</v>
      </c>
      <c r="K16" s="1650" t="n">
        <f aca="false">SUM(H16:J16)</f>
        <v>1191538490</v>
      </c>
      <c r="M16" s="1653" t="n">
        <v>10</v>
      </c>
      <c r="N16" s="1628"/>
    </row>
    <row r="17" customFormat="false" ht="35.25" hidden="false" customHeight="true" outlineLevel="0" collapsed="false">
      <c r="A17" s="1652" t="s">
        <v>569</v>
      </c>
      <c r="B17" s="1643" t="n">
        <f aca="true">OFFSET('☆掛負収入'!$B$65,$M$5*M18,0,1,1)</f>
        <v>480921440</v>
      </c>
      <c r="C17" s="1644" t="n">
        <f aca="true">OFFSET('☆掛負収入'!$D$65,$M$5*M18,0,1,1)-D17</f>
        <v>708719994</v>
      </c>
      <c r="D17" s="1656" t="n">
        <f aca="true">OFFSET('☆掛負収入'!$D$63,$M$5*M18,0,1,1)</f>
        <v>56730</v>
      </c>
      <c r="E17" s="1646" t="n">
        <f aca="false">SUM(B17:D17)</f>
        <v>1189698164</v>
      </c>
      <c r="F17" s="1647"/>
      <c r="G17" s="1652" t="s">
        <v>569</v>
      </c>
      <c r="H17" s="1657" t="n">
        <f aca="false">B17-H40+K39</f>
        <v>480921440</v>
      </c>
      <c r="I17" s="1648" t="n">
        <f aca="false">C17</f>
        <v>708719994</v>
      </c>
      <c r="J17" s="1658" t="n">
        <f aca="false">D17</f>
        <v>56730</v>
      </c>
      <c r="K17" s="1650" t="n">
        <f aca="false">SUM(H17:J17)</f>
        <v>1189698164</v>
      </c>
      <c r="M17" s="1653" t="n">
        <v>11</v>
      </c>
      <c r="N17" s="1628"/>
    </row>
    <row r="18" customFormat="false" ht="35.25" hidden="false" customHeight="true" outlineLevel="0" collapsed="false">
      <c r="A18" s="1652" t="s">
        <v>888</v>
      </c>
      <c r="B18" s="1643" t="n">
        <f aca="true">OFFSET('☆掛負収入'!$B$65,$M$5*M19,0,1,1)</f>
        <v>196926277</v>
      </c>
      <c r="C18" s="1644" t="n">
        <f aca="true">OFFSET('☆掛負収入'!$D$65,$M$5*M19,0,1,1)-D18</f>
        <v>278995099</v>
      </c>
      <c r="D18" s="1656" t="n">
        <f aca="true">OFFSET('☆掛負収入'!$D$63,$M$5*M19,0,1,1)</f>
        <v>18026</v>
      </c>
      <c r="E18" s="1646" t="n">
        <f aca="false">SUM(B18:D18)</f>
        <v>475939402</v>
      </c>
      <c r="F18" s="1647"/>
      <c r="G18" s="1652" t="s">
        <v>888</v>
      </c>
      <c r="H18" s="1657" t="n">
        <f aca="false">B18+K40</f>
        <v>196926277</v>
      </c>
      <c r="I18" s="1648" t="n">
        <f aca="false">C18</f>
        <v>278995099</v>
      </c>
      <c r="J18" s="1658" t="n">
        <f aca="false">D18</f>
        <v>18026</v>
      </c>
      <c r="K18" s="1650" t="n">
        <f aca="false">SUM(H18:J18)</f>
        <v>475939402</v>
      </c>
      <c r="M18" s="1653" t="n">
        <v>12</v>
      </c>
      <c r="N18" s="1628"/>
    </row>
    <row r="19" customFormat="false" ht="35.25" hidden="false" customHeight="true" outlineLevel="0" collapsed="false">
      <c r="A19" s="1652" t="s">
        <v>570</v>
      </c>
      <c r="B19" s="1643" t="n">
        <f aca="true">OFFSET('☆掛負収入'!$B$65,$M$5*M20,0,1,1)</f>
        <v>475792313</v>
      </c>
      <c r="C19" s="1644" t="n">
        <f aca="true">OFFSET('☆掛負収入'!$D$65,$M$5*M20,0,1,1)-D19</f>
        <v>656750671</v>
      </c>
      <c r="D19" s="1656" t="n">
        <f aca="true">OFFSET('☆掛負収入'!$D$63,$M$5*M20,0,1,1)</f>
        <v>56730</v>
      </c>
      <c r="E19" s="1646" t="n">
        <f aca="false">SUM(B19:D19)</f>
        <v>1132599714</v>
      </c>
      <c r="F19" s="1647"/>
      <c r="G19" s="1652" t="s">
        <v>570</v>
      </c>
      <c r="H19" s="1657" t="n">
        <f aca="false">B19-H41+K41</f>
        <v>475792313</v>
      </c>
      <c r="I19" s="1648" t="n">
        <f aca="false">C19</f>
        <v>656750671</v>
      </c>
      <c r="J19" s="1658" t="n">
        <f aca="false">D19</f>
        <v>56730</v>
      </c>
      <c r="K19" s="1650" t="n">
        <f aca="false">SUM(H19:J19)</f>
        <v>1132599714</v>
      </c>
      <c r="M19" s="1653" t="n">
        <v>13</v>
      </c>
      <c r="N19" s="1628"/>
    </row>
    <row r="20" customFormat="false" ht="35.25" hidden="false" customHeight="true" outlineLevel="0" collapsed="false">
      <c r="A20" s="1659" t="s">
        <v>920</v>
      </c>
      <c r="B20" s="1643" t="n">
        <f aca="true">OFFSET('☆掛負収入'!$B$65,$M$5*M21,0,1,1)</f>
        <v>24371886</v>
      </c>
      <c r="C20" s="1644" t="n">
        <f aca="true">OFFSET('☆掛負収入'!$D$65,$M$5*M21,0,1,1)-D20</f>
        <v>35276276</v>
      </c>
      <c r="D20" s="1656" t="n">
        <f aca="true">OFFSET('☆掛負収入'!$D$63,$M$5*M21,0,1,1)</f>
        <v>42684</v>
      </c>
      <c r="E20" s="1646" t="n">
        <f aca="false">SUM(B20:D20)</f>
        <v>59690846</v>
      </c>
      <c r="F20" s="1647"/>
      <c r="G20" s="1659" t="s">
        <v>920</v>
      </c>
      <c r="H20" s="1654" t="n">
        <f aca="false">B20</f>
        <v>24371886</v>
      </c>
      <c r="I20" s="1648" t="n">
        <f aca="false">C20</f>
        <v>35276276</v>
      </c>
      <c r="J20" s="1658" t="n">
        <f aca="false">D20</f>
        <v>42684</v>
      </c>
      <c r="K20" s="1650" t="n">
        <f aca="false">SUM(H20:J20)</f>
        <v>59690846</v>
      </c>
      <c r="M20" s="1653" t="n">
        <v>14</v>
      </c>
      <c r="N20" s="1628"/>
    </row>
    <row r="21" customFormat="false" ht="35.25" hidden="false" customHeight="true" outlineLevel="0" collapsed="false">
      <c r="A21" s="1660" t="s">
        <v>921</v>
      </c>
      <c r="B21" s="1643" t="n">
        <f aca="true">OFFSET('☆掛負収入'!$B$65,$M$5*M22,0,1,1)</f>
        <v>24371902</v>
      </c>
      <c r="C21" s="1644" t="n">
        <f aca="true">OFFSET('☆掛負収入'!$D$65,$M$5*M22,0,1,1)-D21</f>
        <v>35276282</v>
      </c>
      <c r="D21" s="1656" t="n">
        <f aca="true">OFFSET('☆掛負収入'!$D$63,$M$5*M22,0,1,1)</f>
        <v>42686</v>
      </c>
      <c r="E21" s="1661" t="n">
        <f aca="false">SUM(B21:D21)</f>
        <v>59690870</v>
      </c>
      <c r="F21" s="1647"/>
      <c r="G21" s="1660" t="s">
        <v>921</v>
      </c>
      <c r="H21" s="1662" t="n">
        <f aca="false">B21</f>
        <v>24371902</v>
      </c>
      <c r="I21" s="1648" t="n">
        <f aca="false">C21</f>
        <v>35276282</v>
      </c>
      <c r="J21" s="1658" t="n">
        <f aca="false">D21</f>
        <v>42686</v>
      </c>
      <c r="K21" s="1650" t="n">
        <f aca="false">SUM(H21:J21)</f>
        <v>59690870</v>
      </c>
      <c r="M21" s="1653" t="n">
        <v>15</v>
      </c>
      <c r="N21" s="1628"/>
    </row>
    <row r="22" customFormat="false" ht="35.25" hidden="false" customHeight="true" outlineLevel="0" collapsed="false">
      <c r="A22" s="1663" t="s">
        <v>571</v>
      </c>
      <c r="B22" s="1664" t="n">
        <f aca="false">SUM(B5:B21)</f>
        <v>7868089032</v>
      </c>
      <c r="C22" s="1664" t="n">
        <f aca="false">SUM(C5:C21)</f>
        <v>11433394821</v>
      </c>
      <c r="D22" s="1664" t="n">
        <f aca="false">SUM(D5:D21)</f>
        <v>930649</v>
      </c>
      <c r="E22" s="1665" t="n">
        <f aca="false">SUM(B22:D22)</f>
        <v>19302414502</v>
      </c>
      <c r="F22" s="1647"/>
      <c r="G22" s="1663" t="s">
        <v>571</v>
      </c>
      <c r="H22" s="1666" t="n">
        <f aca="false">SUM(H5:H21)</f>
        <v>7865850305</v>
      </c>
      <c r="I22" s="1667" t="n">
        <f aca="false">SUM(I5:I21)</f>
        <v>11433394821</v>
      </c>
      <c r="J22" s="1668" t="n">
        <f aca="false">SUM(J5:J21)</f>
        <v>930649</v>
      </c>
      <c r="K22" s="1669" t="n">
        <f aca="false">SUM(H22:J22)</f>
        <v>19300175775</v>
      </c>
      <c r="M22" s="1670" t="n">
        <v>16</v>
      </c>
      <c r="N22" s="1628"/>
    </row>
    <row r="23" customFormat="false" ht="41.25" hidden="false" customHeight="true" outlineLevel="0" collapsed="false">
      <c r="B23" s="950"/>
      <c r="C23" s="950"/>
      <c r="D23" s="950"/>
      <c r="E23" s="950"/>
      <c r="F23" s="950"/>
      <c r="G23" s="1671"/>
      <c r="H23" s="1672" t="s">
        <v>922</v>
      </c>
      <c r="I23" s="1672"/>
      <c r="J23" s="1672"/>
      <c r="M23" s="1673"/>
      <c r="N23" s="798"/>
      <c r="O23" s="1671"/>
      <c r="P23" s="1673"/>
      <c r="Q23" s="1673"/>
      <c r="R23" s="1673"/>
      <c r="S23" s="1628"/>
    </row>
    <row r="24" customFormat="false" ht="34.5" hidden="false" customHeight="true" outlineLevel="0" collapsed="false">
      <c r="A24" s="1674" t="s">
        <v>923</v>
      </c>
      <c r="B24" s="950"/>
      <c r="C24" s="950"/>
      <c r="D24" s="799" t="s">
        <v>535</v>
      </c>
      <c r="E24" s="799"/>
      <c r="F24" s="950"/>
      <c r="G24" s="950" t="s">
        <v>924</v>
      </c>
      <c r="H24" s="799" t="s">
        <v>535</v>
      </c>
      <c r="I24" s="950"/>
      <c r="J24" s="1673"/>
      <c r="K24" s="1673"/>
      <c r="L24" s="798"/>
      <c r="N24" s="1673"/>
      <c r="O24" s="1673"/>
      <c r="P24" s="1673"/>
      <c r="Q24" s="1673"/>
      <c r="R24" s="798"/>
      <c r="S24" s="1671"/>
      <c r="T24" s="1673"/>
      <c r="U24" s="1673"/>
      <c r="V24" s="1673"/>
      <c r="W24" s="1628"/>
    </row>
    <row r="25" customFormat="false" ht="34.5" hidden="false" customHeight="true" outlineLevel="0" collapsed="false">
      <c r="A25" s="1630" t="s">
        <v>542</v>
      </c>
      <c r="B25" s="1675" t="s">
        <v>925</v>
      </c>
      <c r="C25" s="1675"/>
      <c r="D25" s="1675"/>
      <c r="E25" s="1676"/>
      <c r="F25" s="950"/>
      <c r="G25" s="1677" t="s">
        <v>926</v>
      </c>
      <c r="H25" s="1678" t="n">
        <f aca="false">'☆掛負収入'!D1127</f>
        <v>486979788</v>
      </c>
      <c r="I25" s="799"/>
      <c r="J25" s="1679" t="s">
        <v>927</v>
      </c>
      <c r="K25" s="1679"/>
      <c r="L25" s="1679"/>
      <c r="M25" s="798"/>
      <c r="N25" s="1673"/>
      <c r="O25" s="1673"/>
      <c r="P25" s="1673"/>
      <c r="Q25" s="798"/>
      <c r="R25" s="1671"/>
      <c r="S25" s="1673"/>
      <c r="T25" s="1673"/>
      <c r="U25" s="1673"/>
      <c r="V25" s="1628"/>
    </row>
    <row r="26" customFormat="false" ht="34.5" hidden="false" customHeight="true" outlineLevel="0" collapsed="false">
      <c r="A26" s="1630"/>
      <c r="B26" s="1680" t="s">
        <v>864</v>
      </c>
      <c r="C26" s="1681" t="s">
        <v>865</v>
      </c>
      <c r="D26" s="1682" t="s">
        <v>891</v>
      </c>
      <c r="E26" s="1676"/>
      <c r="F26" s="950"/>
      <c r="G26" s="1677"/>
      <c r="H26" s="1678"/>
      <c r="I26" s="1673"/>
      <c r="J26" s="1683" t="s">
        <v>587</v>
      </c>
      <c r="K26" s="1684" t="s">
        <v>928</v>
      </c>
      <c r="L26" s="1637"/>
      <c r="N26" s="1673"/>
      <c r="O26" s="1673"/>
      <c r="P26" s="798"/>
      <c r="Q26" s="1671"/>
      <c r="R26" s="1673"/>
      <c r="S26" s="1673"/>
      <c r="T26" s="1673"/>
      <c r="U26" s="1628"/>
      <c r="V26" s="1685"/>
      <c r="W26" s="1686"/>
      <c r="X26" s="1686"/>
    </row>
    <row r="27" customFormat="false" ht="35.25" hidden="false" customHeight="true" outlineLevel="0" collapsed="false">
      <c r="A27" s="1642" t="s">
        <v>559</v>
      </c>
      <c r="B27" s="1643" t="n">
        <f aca="false">I5-D27</f>
        <v>489002964</v>
      </c>
      <c r="C27" s="1687" t="n">
        <f aca="false">J5</f>
        <v>56730</v>
      </c>
      <c r="D27" s="1688" t="n">
        <v>221662056</v>
      </c>
      <c r="E27" s="1689"/>
      <c r="F27" s="798"/>
      <c r="G27" s="1690"/>
      <c r="H27" s="1671"/>
      <c r="I27" s="1673"/>
      <c r="J27" s="1691" t="s">
        <v>559</v>
      </c>
      <c r="K27" s="1692" t="n">
        <f aca="false">未納者等入金!B5</f>
        <v>0</v>
      </c>
      <c r="L27" s="1628"/>
      <c r="M27" s="798"/>
      <c r="N27" s="1673"/>
      <c r="O27" s="1673"/>
      <c r="P27" s="798"/>
      <c r="Q27" s="1671"/>
      <c r="R27" s="1673"/>
      <c r="S27" s="1673"/>
      <c r="T27" s="1673"/>
      <c r="U27" s="1628"/>
      <c r="V27" s="1685"/>
      <c r="W27" s="1686"/>
      <c r="X27" s="1686"/>
    </row>
    <row r="28" customFormat="false" ht="35.25" hidden="false" customHeight="true" outlineLevel="0" collapsed="false">
      <c r="A28" s="1652" t="s">
        <v>560</v>
      </c>
      <c r="B28" s="1643" t="n">
        <f aca="false">I6-D28</f>
        <v>491416077</v>
      </c>
      <c r="C28" s="1687" t="n">
        <f aca="false">J6</f>
        <v>56730</v>
      </c>
      <c r="D28" s="1688" t="n">
        <v>221693178</v>
      </c>
      <c r="E28" s="1689"/>
      <c r="F28" s="798"/>
      <c r="G28" s="1679" t="s">
        <v>929</v>
      </c>
      <c r="H28" s="1679"/>
      <c r="I28" s="1679"/>
      <c r="J28" s="1693" t="s">
        <v>560</v>
      </c>
      <c r="K28" s="1692" t="n">
        <f aca="false">未納者等入金!B6</f>
        <v>0</v>
      </c>
      <c r="L28" s="1628"/>
      <c r="M28" s="1637"/>
      <c r="N28" s="1673"/>
      <c r="O28" s="1673"/>
      <c r="P28" s="798"/>
      <c r="Q28" s="1671"/>
      <c r="R28" s="1673"/>
      <c r="S28" s="1673"/>
      <c r="T28" s="1673"/>
      <c r="U28" s="1628"/>
      <c r="V28" s="1685"/>
      <c r="W28" s="1686"/>
      <c r="X28" s="1686"/>
    </row>
    <row r="29" customFormat="false" ht="35.25" hidden="false" customHeight="true" outlineLevel="0" collapsed="false">
      <c r="A29" s="1652" t="s">
        <v>561</v>
      </c>
      <c r="B29" s="1643" t="n">
        <f aca="false">I7-D29</f>
        <v>490367099</v>
      </c>
      <c r="C29" s="1687" t="n">
        <f aca="false">J7</f>
        <v>56730</v>
      </c>
      <c r="D29" s="1688" t="n">
        <v>221660460</v>
      </c>
      <c r="E29" s="1689"/>
      <c r="F29" s="950"/>
      <c r="G29" s="1683" t="s">
        <v>537</v>
      </c>
      <c r="H29" s="1684" t="s">
        <v>930</v>
      </c>
      <c r="I29" s="1694"/>
      <c r="J29" s="1693" t="s">
        <v>561</v>
      </c>
      <c r="K29" s="1692" t="n">
        <f aca="false">未納者等入金!B7</f>
        <v>0</v>
      </c>
      <c r="L29" s="1628"/>
      <c r="M29" s="1628"/>
      <c r="N29" s="1673"/>
      <c r="O29" s="1673"/>
      <c r="P29" s="798"/>
      <c r="Q29" s="1671"/>
      <c r="R29" s="1673"/>
      <c r="S29" s="1673"/>
      <c r="T29" s="1673"/>
      <c r="U29" s="1628"/>
      <c r="V29" s="1685"/>
      <c r="W29" s="1686"/>
      <c r="X29" s="1686"/>
    </row>
    <row r="30" customFormat="false" ht="35.25" hidden="false" customHeight="true" outlineLevel="0" collapsed="false">
      <c r="A30" s="1652" t="s">
        <v>886</v>
      </c>
      <c r="B30" s="1643" t="n">
        <f aca="false">I8-D30</f>
        <v>906318986</v>
      </c>
      <c r="C30" s="1687" t="n">
        <f aca="false">J8</f>
        <v>77410</v>
      </c>
      <c r="D30" s="1688" t="n">
        <v>402100190</v>
      </c>
      <c r="E30" s="1689"/>
      <c r="F30" s="950"/>
      <c r="G30" s="1691" t="s">
        <v>559</v>
      </c>
      <c r="H30" s="1692" t="n">
        <f aca="false">還付!B5+還付!B21</f>
        <v>492726</v>
      </c>
      <c r="I30" s="1694"/>
      <c r="J30" s="1693" t="s">
        <v>886</v>
      </c>
      <c r="K30" s="1692" t="n">
        <f aca="false">未納者等入金!B8</f>
        <v>0</v>
      </c>
      <c r="L30" s="1628"/>
      <c r="M30" s="1628"/>
      <c r="N30" s="1673"/>
      <c r="O30" s="798"/>
      <c r="P30" s="1671"/>
      <c r="Q30" s="1673"/>
      <c r="R30" s="1673"/>
      <c r="S30" s="1673"/>
      <c r="T30" s="1628"/>
      <c r="U30" s="1685"/>
      <c r="V30" s="1686"/>
      <c r="W30" s="1686"/>
    </row>
    <row r="31" customFormat="false" ht="35.25" hidden="false" customHeight="true" outlineLevel="0" collapsed="false">
      <c r="A31" s="1652" t="s">
        <v>562</v>
      </c>
      <c r="B31" s="1643" t="n">
        <f aca="false">I9-D31</f>
        <v>498533919</v>
      </c>
      <c r="C31" s="1687" t="n">
        <f aca="false">J9</f>
        <v>56730</v>
      </c>
      <c r="D31" s="1688" t="n">
        <v>225685173</v>
      </c>
      <c r="E31" s="1689"/>
      <c r="F31" s="950"/>
      <c r="G31" s="1693" t="s">
        <v>560</v>
      </c>
      <c r="H31" s="1692" t="n">
        <f aca="false">還付!B6+還付!B22</f>
        <v>168360</v>
      </c>
      <c r="I31" s="1695"/>
      <c r="J31" s="1693" t="s">
        <v>562</v>
      </c>
      <c r="K31" s="1692" t="n">
        <f aca="false">未納者等入金!B9</f>
        <v>0</v>
      </c>
      <c r="L31" s="1628"/>
      <c r="M31" s="1628"/>
      <c r="N31" s="1673"/>
      <c r="O31" s="798"/>
      <c r="P31" s="1671"/>
      <c r="Q31" s="1673"/>
      <c r="R31" s="1673"/>
      <c r="S31" s="1673"/>
      <c r="T31" s="1628"/>
      <c r="U31" s="1685"/>
      <c r="V31" s="1686"/>
      <c r="W31" s="1686"/>
    </row>
    <row r="32" customFormat="false" ht="35.25" hidden="false" customHeight="true" outlineLevel="0" collapsed="false">
      <c r="A32" s="1652" t="s">
        <v>563</v>
      </c>
      <c r="B32" s="1643" t="n">
        <f aca="false">I10-D32</f>
        <v>492285615</v>
      </c>
      <c r="C32" s="1687" t="n">
        <f aca="false">J10</f>
        <v>56730</v>
      </c>
      <c r="D32" s="1688" t="n">
        <v>223713714</v>
      </c>
      <c r="E32" s="1689"/>
      <c r="F32" s="950"/>
      <c r="G32" s="1693" t="s">
        <v>561</v>
      </c>
      <c r="H32" s="1692" t="n">
        <f aca="false">還付!B7+還付!B23</f>
        <v>363894</v>
      </c>
      <c r="I32" s="1695"/>
      <c r="J32" s="1693" t="s">
        <v>563</v>
      </c>
      <c r="K32" s="1692" t="n">
        <f aca="false">未納者等入金!B10</f>
        <v>0</v>
      </c>
      <c r="L32" s="1628"/>
      <c r="M32" s="1628"/>
      <c r="N32" s="1673"/>
      <c r="O32" s="798"/>
      <c r="P32" s="1671"/>
      <c r="Q32" s="1673"/>
      <c r="R32" s="1673"/>
      <c r="S32" s="1673"/>
      <c r="T32" s="1628"/>
      <c r="U32" s="1685"/>
      <c r="V32" s="1686"/>
      <c r="W32" s="1686"/>
    </row>
    <row r="33" customFormat="false" ht="35.25" hidden="false" customHeight="true" outlineLevel="0" collapsed="false">
      <c r="A33" s="1652" t="s">
        <v>564</v>
      </c>
      <c r="B33" s="1643" t="n">
        <f aca="false">I11-D33</f>
        <v>511957910</v>
      </c>
      <c r="C33" s="1687" t="n">
        <f aca="false">J11</f>
        <v>60390</v>
      </c>
      <c r="D33" s="1688" t="n">
        <v>215839187</v>
      </c>
      <c r="E33" s="1689"/>
      <c r="F33" s="950"/>
      <c r="G33" s="1693" t="s">
        <v>562</v>
      </c>
      <c r="H33" s="1692" t="n">
        <f aca="false">還付!B8+還付!B24</f>
        <v>503707</v>
      </c>
      <c r="I33" s="1695"/>
      <c r="J33" s="1693" t="s">
        <v>564</v>
      </c>
      <c r="K33" s="1692" t="n">
        <f aca="false">未納者等入金!B11</f>
        <v>0</v>
      </c>
      <c r="L33" s="1628"/>
      <c r="M33" s="1628"/>
      <c r="N33" s="1673"/>
      <c r="O33" s="798"/>
      <c r="P33" s="1671"/>
      <c r="Q33" s="1673"/>
      <c r="R33" s="1673"/>
      <c r="S33" s="1673"/>
      <c r="T33" s="1628"/>
      <c r="U33" s="1685"/>
      <c r="V33" s="1686"/>
      <c r="W33" s="1686"/>
    </row>
    <row r="34" customFormat="false" ht="35.25" hidden="false" customHeight="true" outlineLevel="0" collapsed="false">
      <c r="A34" s="1652" t="s">
        <v>565</v>
      </c>
      <c r="B34" s="1643" t="n">
        <f aca="false">I12-D34</f>
        <v>493999741</v>
      </c>
      <c r="C34" s="1687" t="n">
        <f aca="false">J12</f>
        <v>58560</v>
      </c>
      <c r="D34" s="1688" t="n">
        <v>215792595</v>
      </c>
      <c r="E34" s="1689"/>
      <c r="F34" s="950"/>
      <c r="G34" s="1693" t="s">
        <v>563</v>
      </c>
      <c r="H34" s="1692" t="n">
        <f aca="false">還付!B9+還付!B25</f>
        <v>367830</v>
      </c>
      <c r="I34" s="1695"/>
      <c r="J34" s="1693" t="s">
        <v>565</v>
      </c>
      <c r="K34" s="1692" t="n">
        <f aca="false">未納者等入金!B12</f>
        <v>0</v>
      </c>
      <c r="L34" s="1628"/>
      <c r="M34" s="1628"/>
      <c r="N34" s="1673"/>
      <c r="O34" s="798"/>
      <c r="P34" s="1671"/>
      <c r="Q34" s="1673"/>
      <c r="R34" s="1673"/>
      <c r="S34" s="1673"/>
      <c r="T34" s="1628"/>
      <c r="U34" s="1685"/>
      <c r="V34" s="1686"/>
      <c r="W34" s="1686"/>
    </row>
    <row r="35" customFormat="false" ht="35.25" hidden="false" customHeight="true" outlineLevel="0" collapsed="false">
      <c r="A35" s="1652" t="s">
        <v>566</v>
      </c>
      <c r="B35" s="1643" t="n">
        <f aca="false">I13-D35</f>
        <v>492201734</v>
      </c>
      <c r="C35" s="1687" t="n">
        <f aca="false">J13</f>
        <v>53070</v>
      </c>
      <c r="D35" s="1688" t="n">
        <v>215789683</v>
      </c>
      <c r="E35" s="1689"/>
      <c r="F35" s="950"/>
      <c r="G35" s="1693" t="s">
        <v>564</v>
      </c>
      <c r="H35" s="1692" t="n">
        <f aca="false">還付!B10+還付!B26</f>
        <v>342210</v>
      </c>
      <c r="I35" s="1695"/>
      <c r="J35" s="1693" t="s">
        <v>566</v>
      </c>
      <c r="K35" s="1692" t="n">
        <f aca="false">未納者等入金!B13</f>
        <v>0</v>
      </c>
      <c r="L35" s="1628"/>
      <c r="M35" s="1628"/>
      <c r="N35" s="1673"/>
      <c r="O35" s="798"/>
      <c r="P35" s="1671"/>
      <c r="Q35" s="1673"/>
      <c r="R35" s="1673"/>
      <c r="S35" s="1673"/>
      <c r="T35" s="1628"/>
      <c r="U35" s="1685"/>
      <c r="V35" s="1686"/>
      <c r="W35" s="1686"/>
    </row>
    <row r="36" customFormat="false" ht="35.25" hidden="false" customHeight="true" outlineLevel="0" collapsed="false">
      <c r="A36" s="1652" t="s">
        <v>887</v>
      </c>
      <c r="B36" s="1643" t="n">
        <f aca="false">I14-D36</f>
        <v>924941460</v>
      </c>
      <c r="C36" s="1687" t="n">
        <f aca="false">J14</f>
        <v>70913</v>
      </c>
      <c r="D36" s="1688" t="n">
        <v>346121235</v>
      </c>
      <c r="E36" s="1689"/>
      <c r="F36" s="950"/>
      <c r="G36" s="1693" t="s">
        <v>565</v>
      </c>
      <c r="H36" s="1692" t="n">
        <f aca="false">還付!B11+還付!B27</f>
        <v>0</v>
      </c>
      <c r="I36" s="1695"/>
      <c r="J36" s="1693" t="s">
        <v>887</v>
      </c>
      <c r="K36" s="1692" t="n">
        <f aca="false">未納者等入金!B14</f>
        <v>0</v>
      </c>
      <c r="L36" s="1628"/>
      <c r="M36" s="1628"/>
      <c r="N36" s="1673"/>
      <c r="O36" s="798"/>
      <c r="P36" s="1671"/>
      <c r="Q36" s="1673"/>
      <c r="R36" s="1673"/>
      <c r="S36" s="1673"/>
      <c r="T36" s="1628"/>
      <c r="U36" s="1685"/>
      <c r="V36" s="1686"/>
      <c r="W36" s="1686"/>
    </row>
    <row r="37" customFormat="false" ht="35.25" hidden="false" customHeight="true" outlineLevel="0" collapsed="false">
      <c r="A37" s="1652" t="s">
        <v>567</v>
      </c>
      <c r="B37" s="1643" t="n">
        <f aca="false">I15-D37</f>
        <v>491863160</v>
      </c>
      <c r="C37" s="1687" t="n">
        <f aca="false">J15</f>
        <v>53070</v>
      </c>
      <c r="D37" s="1688" t="n">
        <v>215751827</v>
      </c>
      <c r="E37" s="1689"/>
      <c r="F37" s="950"/>
      <c r="G37" s="1693" t="s">
        <v>566</v>
      </c>
      <c r="H37" s="1692" t="n">
        <f aca="false">還付!B12+還付!B28</f>
        <v>0</v>
      </c>
      <c r="I37" s="1695"/>
      <c r="J37" s="1693" t="s">
        <v>567</v>
      </c>
      <c r="K37" s="1692" t="n">
        <f aca="false">未納者等入金!B15</f>
        <v>0</v>
      </c>
      <c r="L37" s="1628"/>
      <c r="M37" s="1628"/>
      <c r="N37" s="1673"/>
      <c r="O37" s="798"/>
      <c r="P37" s="1671"/>
      <c r="Q37" s="1673"/>
      <c r="R37" s="1673"/>
      <c r="S37" s="1673"/>
      <c r="T37" s="1628"/>
      <c r="U37" s="1685"/>
      <c r="V37" s="1686"/>
      <c r="W37" s="1686"/>
    </row>
    <row r="38" customFormat="false" ht="35.25" hidden="false" customHeight="true" outlineLevel="0" collapsed="false">
      <c r="A38" s="1652" t="s">
        <v>568</v>
      </c>
      <c r="B38" s="1643" t="n">
        <f aca="false">I16-D38</f>
        <v>493626440</v>
      </c>
      <c r="C38" s="1687" t="n">
        <f aca="false">J16</f>
        <v>56730</v>
      </c>
      <c r="D38" s="1688" t="n">
        <v>216052096</v>
      </c>
      <c r="E38" s="1689"/>
      <c r="F38" s="950"/>
      <c r="G38" s="1693" t="s">
        <v>567</v>
      </c>
      <c r="H38" s="1692" t="n">
        <f aca="false">還付!B13+還付!B29</f>
        <v>0</v>
      </c>
      <c r="I38" s="1695"/>
      <c r="J38" s="1693" t="s">
        <v>568</v>
      </c>
      <c r="K38" s="1692" t="n">
        <f aca="false">未納者等入金!B16</f>
        <v>0</v>
      </c>
      <c r="L38" s="1628"/>
      <c r="M38" s="1628"/>
      <c r="N38" s="1673"/>
      <c r="O38" s="798"/>
      <c r="P38" s="1671"/>
      <c r="Q38" s="1673"/>
      <c r="R38" s="1673"/>
      <c r="S38" s="1673"/>
      <c r="T38" s="1628"/>
      <c r="U38" s="1685"/>
      <c r="V38" s="1686"/>
      <c r="W38" s="1686"/>
    </row>
    <row r="39" customFormat="false" ht="35.25" hidden="false" customHeight="true" outlineLevel="0" collapsed="false">
      <c r="A39" s="1652" t="s">
        <v>569</v>
      </c>
      <c r="B39" s="1643" t="n">
        <f aca="false">I17-D39</f>
        <v>493012346</v>
      </c>
      <c r="C39" s="1687" t="n">
        <f aca="false">J17</f>
        <v>56730</v>
      </c>
      <c r="D39" s="1688" t="n">
        <v>215707648</v>
      </c>
      <c r="E39" s="1689"/>
      <c r="F39" s="950"/>
      <c r="G39" s="1693" t="s">
        <v>568</v>
      </c>
      <c r="H39" s="1692" t="n">
        <f aca="false">還付!B14+還付!B30</f>
        <v>0</v>
      </c>
      <c r="I39" s="1695"/>
      <c r="J39" s="1693" t="s">
        <v>569</v>
      </c>
      <c r="K39" s="1692" t="n">
        <f aca="false">未納者等入金!B17</f>
        <v>0</v>
      </c>
      <c r="L39" s="1628"/>
      <c r="M39" s="1628"/>
      <c r="O39" s="798"/>
      <c r="P39" s="1671"/>
      <c r="Q39" s="1673"/>
      <c r="R39" s="1673"/>
      <c r="S39" s="1673"/>
      <c r="T39" s="1628"/>
      <c r="U39" s="1685"/>
      <c r="V39" s="1686"/>
      <c r="W39" s="1686"/>
    </row>
    <row r="40" customFormat="false" ht="35.25" hidden="false" customHeight="true" outlineLevel="0" collapsed="false">
      <c r="A40" s="1652" t="s">
        <v>888</v>
      </c>
      <c r="B40" s="1643" t="n">
        <f aca="false">I18-D40</f>
        <v>190494303</v>
      </c>
      <c r="C40" s="1687" t="n">
        <f aca="false">J18</f>
        <v>18026</v>
      </c>
      <c r="D40" s="1688" t="n">
        <v>88500796</v>
      </c>
      <c r="E40" s="1689"/>
      <c r="F40" s="950"/>
      <c r="G40" s="1693" t="s">
        <v>569</v>
      </c>
      <c r="H40" s="1692" t="n">
        <f aca="false">還付!B15+還付!B31</f>
        <v>0</v>
      </c>
      <c r="I40" s="1695"/>
      <c r="J40" s="1696" t="s">
        <v>888</v>
      </c>
      <c r="K40" s="1692" t="n">
        <f aca="false">未納者等入金!B18</f>
        <v>0</v>
      </c>
      <c r="L40" s="1628"/>
      <c r="M40" s="1628"/>
      <c r="N40" s="1673"/>
      <c r="O40" s="1673"/>
      <c r="P40" s="798"/>
      <c r="Q40" s="1671"/>
      <c r="R40" s="1673"/>
      <c r="S40" s="1673"/>
      <c r="T40" s="1673"/>
      <c r="U40" s="1628"/>
      <c r="V40" s="1685"/>
      <c r="W40" s="1686"/>
      <c r="X40" s="1686"/>
    </row>
    <row r="41" customFormat="false" ht="35.25" hidden="false" customHeight="true" outlineLevel="0" collapsed="false">
      <c r="A41" s="1652" t="s">
        <v>570</v>
      </c>
      <c r="B41" s="1643" t="n">
        <f aca="false">I19-D41</f>
        <v>438905615</v>
      </c>
      <c r="C41" s="1687" t="n">
        <f aca="false">J19</f>
        <v>56730</v>
      </c>
      <c r="D41" s="1688" t="n">
        <v>217845056</v>
      </c>
      <c r="E41" s="1689"/>
      <c r="F41" s="950"/>
      <c r="G41" s="1696" t="s">
        <v>570</v>
      </c>
      <c r="H41" s="1692" t="n">
        <f aca="false">還付!B16+還付!B32</f>
        <v>0</v>
      </c>
      <c r="I41" s="1697"/>
      <c r="J41" s="1698" t="s">
        <v>570</v>
      </c>
      <c r="K41" s="1692" t="n">
        <f aca="false">未納者等入金!B19</f>
        <v>0</v>
      </c>
      <c r="L41" s="1628"/>
      <c r="M41" s="1628"/>
      <c r="N41" s="1673"/>
      <c r="O41" s="1673"/>
      <c r="P41" s="798"/>
      <c r="Q41" s="1671"/>
      <c r="R41" s="1673"/>
      <c r="S41" s="1673"/>
      <c r="T41" s="1673"/>
      <c r="U41" s="1628"/>
      <c r="V41" s="1685"/>
      <c r="W41" s="1686"/>
      <c r="X41" s="1686"/>
    </row>
    <row r="42" customFormat="false" ht="35.25" hidden="false" customHeight="true" outlineLevel="0" collapsed="false">
      <c r="A42" s="1659" t="s">
        <v>920</v>
      </c>
      <c r="B42" s="1643" t="n">
        <f aca="false">I20-D42</f>
        <v>34377051</v>
      </c>
      <c r="C42" s="1687" t="n">
        <f aca="false">J20</f>
        <v>42684</v>
      </c>
      <c r="D42" s="1699" t="n">
        <v>899225</v>
      </c>
      <c r="E42" s="1689"/>
      <c r="F42" s="950"/>
      <c r="G42" s="1700" t="s">
        <v>571</v>
      </c>
      <c r="H42" s="1701" t="n">
        <f aca="false">SUM(H30:H41)</f>
        <v>2238727</v>
      </c>
      <c r="I42" s="1702"/>
      <c r="J42" s="1703" t="s">
        <v>571</v>
      </c>
      <c r="K42" s="1701" t="n">
        <f aca="false">SUM(K27:K41)</f>
        <v>0</v>
      </c>
      <c r="L42" s="1628"/>
      <c r="M42" s="1628"/>
      <c r="N42" s="1628"/>
      <c r="O42" s="1628"/>
      <c r="P42" s="1628"/>
      <c r="Q42" s="798"/>
      <c r="R42" s="1671"/>
      <c r="S42" s="1628"/>
      <c r="T42" s="1628"/>
      <c r="U42" s="1628"/>
      <c r="V42" s="1628"/>
    </row>
    <row r="43" customFormat="false" ht="35.25" hidden="false" customHeight="true" outlineLevel="0" collapsed="false">
      <c r="A43" s="1660" t="s">
        <v>921</v>
      </c>
      <c r="B43" s="1662" t="n">
        <f aca="false">I21-D43</f>
        <v>34376558</v>
      </c>
      <c r="C43" s="1704" t="n">
        <f aca="false">J21</f>
        <v>42686</v>
      </c>
      <c r="D43" s="1705" t="n">
        <v>899724</v>
      </c>
      <c r="E43" s="1689"/>
      <c r="F43" s="950"/>
      <c r="G43" s="1671"/>
      <c r="H43" s="1673"/>
      <c r="I43" s="1625"/>
      <c r="J43" s="1706"/>
      <c r="K43" s="1707"/>
      <c r="L43" s="1628"/>
      <c r="M43" s="1628"/>
      <c r="N43" s="1628"/>
      <c r="O43" s="1628"/>
      <c r="P43" s="1628"/>
      <c r="Q43" s="798"/>
      <c r="R43" s="1671"/>
      <c r="S43" s="1628"/>
      <c r="T43" s="1628"/>
      <c r="U43" s="1628"/>
      <c r="V43" s="1628"/>
    </row>
    <row r="44" customFormat="false" ht="35.25" hidden="false" customHeight="true" outlineLevel="0" collapsed="false">
      <c r="A44" s="1663" t="s">
        <v>571</v>
      </c>
      <c r="B44" s="1666" t="n">
        <f aca="false">SUM(B27:B43)</f>
        <v>7967680978</v>
      </c>
      <c r="C44" s="1664" t="n">
        <f aca="false">SUM(C27:C43)</f>
        <v>930649</v>
      </c>
      <c r="D44" s="1708" t="n">
        <f aca="false">SUM(D27:D43)</f>
        <v>3465713843</v>
      </c>
      <c r="E44" s="1709"/>
      <c r="F44" s="950"/>
      <c r="G44" s="1671"/>
      <c r="H44" s="1673"/>
      <c r="I44" s="1625"/>
      <c r="J44" s="1706"/>
      <c r="K44" s="1707"/>
      <c r="L44" s="1628"/>
      <c r="M44" s="1628"/>
      <c r="N44" s="1628"/>
      <c r="O44" s="1628"/>
      <c r="P44" s="1628"/>
      <c r="Q44" s="798"/>
      <c r="R44" s="1671"/>
      <c r="S44" s="1628"/>
      <c r="T44" s="1628"/>
      <c r="U44" s="1628"/>
      <c r="V44" s="1628"/>
    </row>
    <row r="45" s="1582" customFormat="true" ht="34.5" hidden="false" customHeight="true" outlineLevel="0" collapsed="false">
      <c r="A45" s="1710" t="str">
        <f aca="false">A1</f>
        <v>令和8年度</v>
      </c>
      <c r="B45" s="1623" t="s">
        <v>931</v>
      </c>
      <c r="C45" s="793"/>
      <c r="D45" s="793"/>
      <c r="E45" s="793"/>
      <c r="F45" s="793"/>
      <c r="G45" s="950"/>
      <c r="H45" s="950"/>
      <c r="I45" s="950"/>
      <c r="J45" s="950"/>
      <c r="K45" s="950"/>
      <c r="L45" s="793"/>
      <c r="M45" s="1711" t="s">
        <v>932</v>
      </c>
      <c r="N45" s="1625"/>
      <c r="O45" s="1625"/>
      <c r="P45" s="1625"/>
      <c r="Q45" s="1712"/>
      <c r="R45" s="1624"/>
      <c r="S45" s="1625"/>
      <c r="T45" s="1625"/>
      <c r="U45" s="1625"/>
      <c r="V45" s="1625"/>
    </row>
    <row r="46" customFormat="false" ht="34.5" hidden="false" customHeight="true" outlineLevel="0" collapsed="false">
      <c r="A46" s="1626" t="s">
        <v>933</v>
      </c>
      <c r="B46" s="950"/>
      <c r="C46" s="950"/>
      <c r="D46" s="950"/>
      <c r="E46" s="799"/>
      <c r="F46" s="1627"/>
      <c r="G46" s="950" t="s">
        <v>934</v>
      </c>
      <c r="H46" s="950"/>
      <c r="I46" s="950"/>
      <c r="J46" s="950"/>
      <c r="K46" s="799"/>
      <c r="L46" s="798"/>
      <c r="M46" s="1626" t="s">
        <v>935</v>
      </c>
      <c r="P46" s="799"/>
      <c r="Q46" s="1628"/>
      <c r="R46" s="1706"/>
      <c r="S46" s="1713"/>
      <c r="T46" s="1712"/>
    </row>
    <row r="47" customFormat="false" ht="34.5" hidden="false" customHeight="true" outlineLevel="0" collapsed="false">
      <c r="A47" s="1323" t="s">
        <v>542</v>
      </c>
      <c r="B47" s="1631" t="s">
        <v>936</v>
      </c>
      <c r="C47" s="1632" t="s">
        <v>491</v>
      </c>
      <c r="D47" s="1632"/>
      <c r="E47" s="1714" t="s">
        <v>541</v>
      </c>
      <c r="F47" s="1715"/>
      <c r="G47" s="1323" t="s">
        <v>542</v>
      </c>
      <c r="H47" s="1631" t="s">
        <v>937</v>
      </c>
      <c r="I47" s="1632" t="s">
        <v>491</v>
      </c>
      <c r="J47" s="1632"/>
      <c r="K47" s="1636" t="s">
        <v>541</v>
      </c>
      <c r="L47" s="798"/>
      <c r="M47" s="1323" t="s">
        <v>542</v>
      </c>
      <c r="N47" s="1631" t="s">
        <v>938</v>
      </c>
      <c r="O47" s="1716" t="s">
        <v>491</v>
      </c>
      <c r="P47" s="1717" t="s">
        <v>541</v>
      </c>
    </row>
    <row r="48" customFormat="false" ht="34.5" hidden="false" customHeight="true" outlineLevel="0" collapsed="false">
      <c r="A48" s="1323"/>
      <c r="B48" s="1631"/>
      <c r="C48" s="1638" t="s">
        <v>864</v>
      </c>
      <c r="D48" s="1718" t="s">
        <v>865</v>
      </c>
      <c r="E48" s="1714"/>
      <c r="F48" s="1715"/>
      <c r="G48" s="1323"/>
      <c r="H48" s="1631"/>
      <c r="I48" s="1640" t="s">
        <v>864</v>
      </c>
      <c r="J48" s="1641" t="s">
        <v>865</v>
      </c>
      <c r="K48" s="1636"/>
      <c r="L48" s="798"/>
      <c r="M48" s="1323"/>
      <c r="N48" s="1631"/>
      <c r="O48" s="1716"/>
      <c r="P48" s="1717"/>
    </row>
    <row r="49" customFormat="false" ht="35.25" hidden="false" customHeight="true" outlineLevel="0" collapsed="false">
      <c r="A49" s="1642" t="s">
        <v>559</v>
      </c>
      <c r="B49" s="1643" t="n">
        <f aca="true">OFFSET('☆掛負収入'!$C$65,$M$5*M6,0,1,1)+K70</f>
        <v>40201528</v>
      </c>
      <c r="C49" s="1719" t="n">
        <f aca="false">O49-D49</f>
        <v>40063843</v>
      </c>
      <c r="D49" s="1720" t="n">
        <f aca="true">OFFSET('☆掛負収入'!$E$63,$M$5*M6,0,1,1)</f>
        <v>4650</v>
      </c>
      <c r="E49" s="1646" t="n">
        <f aca="false">SUM(B49:D49)</f>
        <v>80270021</v>
      </c>
      <c r="F49" s="1721"/>
      <c r="G49" s="1642" t="s">
        <v>559</v>
      </c>
      <c r="H49" s="1643" t="n">
        <f aca="false">B49-H70</f>
        <v>40161142</v>
      </c>
      <c r="I49" s="1648" t="n">
        <f aca="false">C49</f>
        <v>40063843</v>
      </c>
      <c r="J49" s="1649" t="n">
        <f aca="false">D49</f>
        <v>4650</v>
      </c>
      <c r="K49" s="1650" t="n">
        <f aca="false">SUM(H49:J49)</f>
        <v>80229635</v>
      </c>
      <c r="L49" s="798"/>
      <c r="M49" s="1642" t="s">
        <v>559</v>
      </c>
      <c r="N49" s="1643" t="n">
        <f aca="true">OFFSET('☆掛負収入'!$C$65,$M$5*M6,0,1,1)</f>
        <v>40201528</v>
      </c>
      <c r="O49" s="1643" t="n">
        <f aca="true">OFFSET('☆掛負収入'!$E$65,$M$5*M6,0,1,1)</f>
        <v>40068493</v>
      </c>
      <c r="P49" s="1646" t="n">
        <f aca="false">SUM(N49:O49)</f>
        <v>80270021</v>
      </c>
    </row>
    <row r="50" customFormat="false" ht="35.25" hidden="false" customHeight="true" outlineLevel="0" collapsed="false">
      <c r="A50" s="1652" t="s">
        <v>560</v>
      </c>
      <c r="B50" s="1643" t="n">
        <f aca="true">OFFSET('☆掛負収入'!$C$65,$M$5*M7,0,1,1)+K71</f>
        <v>40270934</v>
      </c>
      <c r="C50" s="1644" t="n">
        <f aca="false">O50-D50</f>
        <v>40264484</v>
      </c>
      <c r="D50" s="1722" t="n">
        <f aca="true">OFFSET('☆掛負収入'!$E$63,$M$5*M7,0,1,1)</f>
        <v>4650</v>
      </c>
      <c r="E50" s="1646" t="n">
        <f aca="false">SUM(B50:D50)</f>
        <v>80540068</v>
      </c>
      <c r="F50" s="1721"/>
      <c r="G50" s="1652" t="s">
        <v>560</v>
      </c>
      <c r="H50" s="1643" t="n">
        <f aca="false">B50-H71</f>
        <v>40257134</v>
      </c>
      <c r="I50" s="1648" t="n">
        <f aca="false">C50</f>
        <v>40264484</v>
      </c>
      <c r="J50" s="1649" t="n">
        <f aca="false">D50</f>
        <v>4650</v>
      </c>
      <c r="K50" s="1650" t="n">
        <f aca="false">SUM(H50:J50)</f>
        <v>80526268</v>
      </c>
      <c r="L50" s="798"/>
      <c r="M50" s="1652" t="s">
        <v>560</v>
      </c>
      <c r="N50" s="1643" t="n">
        <f aca="true">OFFSET('☆掛負収入'!$C$65,$M$5*M7,0,1,1)</f>
        <v>40270934</v>
      </c>
      <c r="O50" s="1643" t="n">
        <f aca="true">OFFSET('☆掛負収入'!$E$65,$M$5*M7,0,1,1)</f>
        <v>40269134</v>
      </c>
      <c r="P50" s="1646" t="n">
        <f aca="false">SUM(N50:O50)</f>
        <v>80540068</v>
      </c>
    </row>
    <row r="51" customFormat="false" ht="35.25" hidden="false" customHeight="true" outlineLevel="0" collapsed="false">
      <c r="A51" s="1652" t="s">
        <v>561</v>
      </c>
      <c r="B51" s="1643" t="n">
        <f aca="true">OFFSET('☆掛負収入'!$C$65,$M$5*M8,0,1,1)+K72</f>
        <v>40212577</v>
      </c>
      <c r="C51" s="1644" t="n">
        <f aca="false">O51-D51</f>
        <v>40176158</v>
      </c>
      <c r="D51" s="1722" t="n">
        <f aca="true">OFFSET('☆掛負収入'!$E$63,$M$5*M8,0,1,1)</f>
        <v>4650</v>
      </c>
      <c r="E51" s="1646" t="n">
        <f aca="false">SUM(B51:D51)</f>
        <v>80393385</v>
      </c>
      <c r="F51" s="1721"/>
      <c r="G51" s="1652" t="s">
        <v>561</v>
      </c>
      <c r="H51" s="1643" t="n">
        <f aca="false">B51-H72</f>
        <v>40182751</v>
      </c>
      <c r="I51" s="1648" t="n">
        <f aca="false">C51</f>
        <v>40176158</v>
      </c>
      <c r="J51" s="1649" t="n">
        <f aca="false">D51</f>
        <v>4650</v>
      </c>
      <c r="K51" s="1650" t="n">
        <f aca="false">SUM(H51:J51)</f>
        <v>80363559</v>
      </c>
      <c r="L51" s="798"/>
      <c r="M51" s="1652" t="s">
        <v>561</v>
      </c>
      <c r="N51" s="1643" t="n">
        <f aca="true">OFFSET('☆掛負収入'!$C$65,$M$5*M8,0,1,1)</f>
        <v>40212577</v>
      </c>
      <c r="O51" s="1643" t="n">
        <f aca="true">OFFSET('☆掛負収入'!$E$65,$M$5*M8,0,1,1)</f>
        <v>40180808</v>
      </c>
      <c r="P51" s="1646" t="n">
        <f aca="false">SUM(N51:O51)</f>
        <v>80393385</v>
      </c>
    </row>
    <row r="52" customFormat="false" ht="35.25" hidden="false" customHeight="true" outlineLevel="0" collapsed="false">
      <c r="A52" s="1652" t="s">
        <v>886</v>
      </c>
      <c r="B52" s="1643" t="n">
        <f aca="true">OFFSET('☆掛負収入'!$C$65,$M$5*M9,0,1,1)+K73</f>
        <v>74370232</v>
      </c>
      <c r="C52" s="1644" t="n">
        <f aca="false">O52-D52</f>
        <v>74366479</v>
      </c>
      <c r="D52" s="1656" t="n">
        <f aca="true">OFFSET('☆掛負収入'!$E$63,$M$5*M9,0,1,1)</f>
        <v>6344</v>
      </c>
      <c r="E52" s="1646" t="n">
        <f aca="false">SUM(B52:D52)</f>
        <v>148743055</v>
      </c>
      <c r="F52" s="1721"/>
      <c r="G52" s="1652" t="s">
        <v>886</v>
      </c>
      <c r="H52" s="1654" t="n">
        <f aca="false">B52</f>
        <v>74370232</v>
      </c>
      <c r="I52" s="1648" t="n">
        <f aca="false">C52</f>
        <v>74366479</v>
      </c>
      <c r="J52" s="1649" t="n">
        <f aca="false">D52</f>
        <v>6344</v>
      </c>
      <c r="K52" s="1650" t="n">
        <f aca="false">SUM(H52:J52)</f>
        <v>148743055</v>
      </c>
      <c r="L52" s="798"/>
      <c r="M52" s="1652" t="s">
        <v>886</v>
      </c>
      <c r="N52" s="1643" t="n">
        <f aca="true">OFFSET('☆掛負収入'!$C$65,$M$5*M9,0,1,1)</f>
        <v>74370232</v>
      </c>
      <c r="O52" s="1643" t="n">
        <f aca="true">OFFSET('☆掛負収入'!$E$65,$M$5*M9,0,1,1)</f>
        <v>74372823</v>
      </c>
      <c r="P52" s="1646" t="n">
        <f aca="false">SUM(N52:O52)</f>
        <v>148743055</v>
      </c>
    </row>
    <row r="53" customFormat="false" ht="35.25" hidden="false" customHeight="true" outlineLevel="0" collapsed="false">
      <c r="A53" s="1652" t="s">
        <v>562</v>
      </c>
      <c r="B53" s="1643" t="n">
        <f aca="true">OFFSET('☆掛負収入'!$C$65,$M$5*M10,0,1,1)+K74</f>
        <v>40879913</v>
      </c>
      <c r="C53" s="1644" t="n">
        <f aca="false">O53-D53</f>
        <v>40847028</v>
      </c>
      <c r="D53" s="1645" t="n">
        <f aca="true">OFFSET('☆掛負収入'!$E$63,$M$5*M10,0,1,1)</f>
        <v>4650</v>
      </c>
      <c r="E53" s="1646" t="n">
        <f aca="false">SUM(B53:D53)</f>
        <v>81731591</v>
      </c>
      <c r="F53" s="1721"/>
      <c r="G53" s="1652" t="s">
        <v>562</v>
      </c>
      <c r="H53" s="1654" t="n">
        <f aca="false">B53-H73</f>
        <v>40838626</v>
      </c>
      <c r="I53" s="1648" t="n">
        <f aca="false">C53</f>
        <v>40847028</v>
      </c>
      <c r="J53" s="1649" t="n">
        <f aca="false">D53</f>
        <v>4650</v>
      </c>
      <c r="K53" s="1650" t="n">
        <f aca="false">SUM(H53:J53)</f>
        <v>81690304</v>
      </c>
      <c r="L53" s="798"/>
      <c r="M53" s="1652" t="s">
        <v>562</v>
      </c>
      <c r="N53" s="1643" t="n">
        <f aca="true">OFFSET('☆掛負収入'!$C$65,$M$5*M10,0,1,1)</f>
        <v>40879913</v>
      </c>
      <c r="O53" s="1643" t="n">
        <f aca="true">OFFSET('☆掛負収入'!$E$65,$M$5*M10,0,1,1)</f>
        <v>40851678</v>
      </c>
      <c r="P53" s="1646" t="n">
        <f aca="false">SUM(N53:O53)</f>
        <v>81731591</v>
      </c>
    </row>
    <row r="54" customFormat="false" ht="35.25" hidden="false" customHeight="true" outlineLevel="0" collapsed="false">
      <c r="A54" s="1652" t="s">
        <v>563</v>
      </c>
      <c r="B54" s="1643" t="n">
        <f aca="true">OFFSET('☆掛負収入'!$C$65,$M$5*M11,0,1,1)+K75</f>
        <v>40391309</v>
      </c>
      <c r="C54" s="1644" t="n">
        <f aca="false">O54-D54</f>
        <v>40362810</v>
      </c>
      <c r="D54" s="1645" t="n">
        <f aca="true">OFFSET('☆掛負収入'!$E$63,$M$5*M11,0,1,1)</f>
        <v>4650</v>
      </c>
      <c r="E54" s="1646" t="n">
        <f aca="false">SUM(B54:D54)</f>
        <v>80758769</v>
      </c>
      <c r="F54" s="1721"/>
      <c r="G54" s="1652" t="s">
        <v>563</v>
      </c>
      <c r="H54" s="1654" t="n">
        <f aca="false">B54-H74</f>
        <v>40361159</v>
      </c>
      <c r="I54" s="1648" t="n">
        <f aca="false">C54</f>
        <v>40362810</v>
      </c>
      <c r="J54" s="1649" t="n">
        <f aca="false">D54</f>
        <v>4650</v>
      </c>
      <c r="K54" s="1650" t="n">
        <f aca="false">SUM(H54:J54)</f>
        <v>80728619</v>
      </c>
      <c r="L54" s="798"/>
      <c r="M54" s="1652" t="s">
        <v>563</v>
      </c>
      <c r="N54" s="1643" t="n">
        <f aca="true">OFFSET('☆掛負収入'!$C$65,$M$5*M11,0,1,1)</f>
        <v>40391309</v>
      </c>
      <c r="O54" s="1643" t="n">
        <f aca="true">OFFSET('☆掛負収入'!$E$65,$M$5*M11,0,1,1)</f>
        <v>40367460</v>
      </c>
      <c r="P54" s="1646" t="n">
        <f aca="false">SUM(N54:O54)</f>
        <v>80758769</v>
      </c>
    </row>
    <row r="55" customFormat="false" ht="35.25" hidden="false" customHeight="true" outlineLevel="0" collapsed="false">
      <c r="A55" s="1652" t="s">
        <v>564</v>
      </c>
      <c r="B55" s="1643" t="n">
        <f aca="true">OFFSET('☆掛負収入'!$C$65,$M$5*M12,0,1,1)+K76</f>
        <v>40801581</v>
      </c>
      <c r="C55" s="1644" t="n">
        <f aca="false">O55-D55</f>
        <v>40980234</v>
      </c>
      <c r="D55" s="1645" t="n">
        <f aca="true">OFFSET('☆掛負収入'!$E$63,$M$5*M12,0,1,1)</f>
        <v>4950</v>
      </c>
      <c r="E55" s="1646" t="n">
        <f aca="false">SUM(B55:D55)</f>
        <v>81786765</v>
      </c>
      <c r="F55" s="1721"/>
      <c r="G55" s="1652" t="s">
        <v>564</v>
      </c>
      <c r="H55" s="1657" t="n">
        <f aca="false">B55-H75</f>
        <v>40773531</v>
      </c>
      <c r="I55" s="1648" t="n">
        <f aca="false">C55</f>
        <v>40980234</v>
      </c>
      <c r="J55" s="1649" t="n">
        <f aca="false">D55</f>
        <v>4950</v>
      </c>
      <c r="K55" s="1650" t="n">
        <f aca="false">SUM(H55:J55)</f>
        <v>81758715</v>
      </c>
      <c r="L55" s="798"/>
      <c r="M55" s="1652" t="s">
        <v>564</v>
      </c>
      <c r="N55" s="1643" t="n">
        <f aca="true">OFFSET('☆掛負収入'!$C$65,$M$5*M12,0,1,1)</f>
        <v>40801581</v>
      </c>
      <c r="O55" s="1643" t="n">
        <f aca="true">OFFSET('☆掛負収入'!$E$65,$M$5*M12,0,1,1)</f>
        <v>40985184</v>
      </c>
      <c r="P55" s="1646" t="n">
        <f aca="false">SUM(N55:O55)</f>
        <v>81786765</v>
      </c>
    </row>
    <row r="56" customFormat="false" ht="35.25" hidden="false" customHeight="true" outlineLevel="0" collapsed="false">
      <c r="A56" s="1652" t="s">
        <v>565</v>
      </c>
      <c r="B56" s="1643" t="n">
        <f aca="true">OFFSET('☆掛負収入'!$C$65,$M$5*M13,0,1,1)+K77</f>
        <v>39551964</v>
      </c>
      <c r="C56" s="1644" t="n">
        <f aca="false">O56-D56</f>
        <v>39523795</v>
      </c>
      <c r="D56" s="1645" t="n">
        <f aca="true">OFFSET('☆掛負収入'!$E$63,$M$5*M13,0,1,1)</f>
        <v>4800</v>
      </c>
      <c r="E56" s="1646" t="n">
        <f aca="false">SUM(B56:D56)</f>
        <v>79080559</v>
      </c>
      <c r="F56" s="1721"/>
      <c r="G56" s="1652" t="s">
        <v>565</v>
      </c>
      <c r="H56" s="1657" t="n">
        <f aca="false">B56-H76</f>
        <v>39551964</v>
      </c>
      <c r="I56" s="1648" t="n">
        <f aca="false">C56</f>
        <v>39523795</v>
      </c>
      <c r="J56" s="1649" t="n">
        <f aca="false">D56</f>
        <v>4800</v>
      </c>
      <c r="K56" s="1650" t="n">
        <f aca="false">SUM(H56:J56)</f>
        <v>79080559</v>
      </c>
      <c r="L56" s="798"/>
      <c r="M56" s="1652" t="s">
        <v>565</v>
      </c>
      <c r="N56" s="1643" t="n">
        <f aca="true">OFFSET('☆掛負収入'!$C$65,$M$5*M13,0,1,1)</f>
        <v>39551964</v>
      </c>
      <c r="O56" s="1643" t="n">
        <f aca="true">OFFSET('☆掛負収入'!$E$65,$M$5*M13,0,1,1)</f>
        <v>39528595</v>
      </c>
      <c r="P56" s="1646" t="n">
        <f aca="false">SUM(N56:O56)</f>
        <v>79080559</v>
      </c>
    </row>
    <row r="57" customFormat="false" ht="35.25" hidden="false" customHeight="true" outlineLevel="0" collapsed="false">
      <c r="A57" s="1652" t="s">
        <v>566</v>
      </c>
      <c r="B57" s="1643" t="n">
        <f aca="true">OFFSET('☆掛負収入'!$C$65,$M$5*M14,0,1,1)+K78</f>
        <v>39443899</v>
      </c>
      <c r="C57" s="1644" t="n">
        <f aca="false">O57-D57</f>
        <v>39386070</v>
      </c>
      <c r="D57" s="1645" t="n">
        <f aca="true">OFFSET('☆掛負収入'!$E$63,$M$5*M14,0,1,1)</f>
        <v>4350</v>
      </c>
      <c r="E57" s="1646" t="n">
        <f aca="false">SUM(B57:D57)</f>
        <v>78834319</v>
      </c>
      <c r="F57" s="1721"/>
      <c r="G57" s="1652" t="s">
        <v>566</v>
      </c>
      <c r="H57" s="1657" t="n">
        <f aca="false">B57-H77</f>
        <v>39443899</v>
      </c>
      <c r="I57" s="1648" t="n">
        <f aca="false">C57</f>
        <v>39386070</v>
      </c>
      <c r="J57" s="1649" t="n">
        <f aca="false">D57</f>
        <v>4350</v>
      </c>
      <c r="K57" s="1650" t="n">
        <f aca="false">SUM(H57:J57)</f>
        <v>78834319</v>
      </c>
      <c r="L57" s="798"/>
      <c r="M57" s="1652" t="s">
        <v>566</v>
      </c>
      <c r="N57" s="1643" t="n">
        <f aca="true">OFFSET('☆掛負収入'!$C$65,$M$5*M14,0,1,1)</f>
        <v>39443899</v>
      </c>
      <c r="O57" s="1643" t="n">
        <f aca="true">OFFSET('☆掛負収入'!$E$65,$M$5*M14,0,1,1)</f>
        <v>39390420</v>
      </c>
      <c r="P57" s="1646" t="n">
        <f aca="false">SUM(N57:O57)</f>
        <v>78834319</v>
      </c>
    </row>
    <row r="58" customFormat="false" ht="35.25" hidden="false" customHeight="true" outlineLevel="0" collapsed="false">
      <c r="A58" s="1652" t="s">
        <v>887</v>
      </c>
      <c r="B58" s="1643" t="n">
        <f aca="true">OFFSET('☆掛負収入'!$C$65,$M$5*M15,0,1,1)+K79</f>
        <v>71390536</v>
      </c>
      <c r="C58" s="1644" t="n">
        <f aca="false">O58-D58</f>
        <v>71388132</v>
      </c>
      <c r="D58" s="1645" t="n">
        <f aca="true">OFFSET('☆掛負収入'!$E$63,$M$5*M15,0,1,1)</f>
        <v>5812</v>
      </c>
      <c r="E58" s="1646" t="n">
        <f aca="false">SUM(B58:D58)</f>
        <v>142784480</v>
      </c>
      <c r="F58" s="1721"/>
      <c r="G58" s="1652" t="s">
        <v>887</v>
      </c>
      <c r="H58" s="1657" t="n">
        <f aca="false">B58</f>
        <v>71390536</v>
      </c>
      <c r="I58" s="1648" t="n">
        <f aca="false">C58</f>
        <v>71388132</v>
      </c>
      <c r="J58" s="1649" t="n">
        <f aca="false">D58</f>
        <v>5812</v>
      </c>
      <c r="K58" s="1650" t="n">
        <f aca="false">SUM(H58:J58)</f>
        <v>142784480</v>
      </c>
      <c r="L58" s="798"/>
      <c r="M58" s="1652" t="s">
        <v>887</v>
      </c>
      <c r="N58" s="1643" t="n">
        <f aca="true">OFFSET('☆掛負収入'!$C$65,$M$5*M15,0,1,1)</f>
        <v>71390536</v>
      </c>
      <c r="O58" s="1643" t="n">
        <f aca="true">OFFSET('☆掛負収入'!$E$65,$M$5*M15,0,1,1)</f>
        <v>71393944</v>
      </c>
      <c r="P58" s="1646" t="n">
        <f aca="false">SUM(N58:O58)</f>
        <v>142784480</v>
      </c>
    </row>
    <row r="59" customFormat="false" ht="35.25" hidden="false" customHeight="true" outlineLevel="0" collapsed="false">
      <c r="A59" s="1652" t="s">
        <v>567</v>
      </c>
      <c r="B59" s="1643" t="n">
        <f aca="true">OFFSET('☆掛負収入'!$C$65,$M$5*M16,0,1,1)+K80</f>
        <v>39417023</v>
      </c>
      <c r="C59" s="1644" t="n">
        <f aca="false">O59-D59</f>
        <v>39379425</v>
      </c>
      <c r="D59" s="1645" t="n">
        <f aca="true">OFFSET('☆掛負収入'!$E$63,$M$5*M16,0,1,1)</f>
        <v>4350</v>
      </c>
      <c r="E59" s="1646" t="n">
        <f aca="false">SUM(B59:D59)</f>
        <v>78800798</v>
      </c>
      <c r="F59" s="1721"/>
      <c r="G59" s="1652" t="s">
        <v>567</v>
      </c>
      <c r="H59" s="1657" t="n">
        <f aca="false">B59-H78</f>
        <v>39417023</v>
      </c>
      <c r="I59" s="1648" t="n">
        <f aca="false">C59</f>
        <v>39379425</v>
      </c>
      <c r="J59" s="1649" t="n">
        <f aca="false">D59</f>
        <v>4350</v>
      </c>
      <c r="K59" s="1650" t="n">
        <f aca="false">SUM(H59:J59)</f>
        <v>78800798</v>
      </c>
      <c r="L59" s="798"/>
      <c r="M59" s="1652" t="s">
        <v>567</v>
      </c>
      <c r="N59" s="1643" t="n">
        <f aca="true">OFFSET('☆掛負収入'!$C$65,$M$5*M16,0,1,1)</f>
        <v>39417023</v>
      </c>
      <c r="O59" s="1643" t="n">
        <f aca="true">OFFSET('☆掛負収入'!$E$65,$M$5*M16,0,1,1)</f>
        <v>39383775</v>
      </c>
      <c r="P59" s="1646" t="n">
        <f aca="false">SUM(N59:O59)</f>
        <v>78800798</v>
      </c>
    </row>
    <row r="60" customFormat="false" ht="35.25" hidden="false" customHeight="true" outlineLevel="0" collapsed="false">
      <c r="A60" s="1652" t="s">
        <v>568</v>
      </c>
      <c r="B60" s="1643" t="n">
        <f aca="true">OFFSET('☆掛負収入'!$C$65,$M$5*M17,0,1,1)+K81</f>
        <v>39488093</v>
      </c>
      <c r="C60" s="1644" t="n">
        <f aca="false">O60-D60</f>
        <v>39462675</v>
      </c>
      <c r="D60" s="1645" t="n">
        <f aca="true">OFFSET('☆掛負収入'!$E$63,$M$5*M17,0,1,1)</f>
        <v>4650</v>
      </c>
      <c r="E60" s="1646" t="n">
        <f aca="false">SUM(B60:D60)</f>
        <v>78955418</v>
      </c>
      <c r="F60" s="1721"/>
      <c r="G60" s="1652" t="s">
        <v>568</v>
      </c>
      <c r="H60" s="1657" t="n">
        <f aca="false">B60-H79</f>
        <v>39488093</v>
      </c>
      <c r="I60" s="1648" t="n">
        <f aca="false">C60</f>
        <v>39462675</v>
      </c>
      <c r="J60" s="1649" t="n">
        <f aca="false">D60</f>
        <v>4650</v>
      </c>
      <c r="K60" s="1650" t="n">
        <f aca="false">SUM(H60:J60)</f>
        <v>78955418</v>
      </c>
      <c r="L60" s="798"/>
      <c r="M60" s="1652" t="s">
        <v>568</v>
      </c>
      <c r="N60" s="1643" t="n">
        <f aca="true">OFFSET('☆掛負収入'!$C$65,$M$5*M17,0,1,1)</f>
        <v>39488093</v>
      </c>
      <c r="O60" s="1643" t="n">
        <f aca="true">OFFSET('☆掛負収入'!$E$65,$M$5*M17,0,1,1)</f>
        <v>39467325</v>
      </c>
      <c r="P60" s="1646" t="n">
        <f aca="false">SUM(N60:O60)</f>
        <v>78955418</v>
      </c>
    </row>
    <row r="61" customFormat="false" ht="35.25" hidden="false" customHeight="true" outlineLevel="0" collapsed="false">
      <c r="A61" s="1652" t="s">
        <v>569</v>
      </c>
      <c r="B61" s="1643" t="n">
        <f aca="true">OFFSET('☆掛負収入'!$C$65,$M$5*M18,0,1,1)+K82</f>
        <v>39424667</v>
      </c>
      <c r="C61" s="1644" t="n">
        <f aca="false">O61-D61</f>
        <v>39420148</v>
      </c>
      <c r="D61" s="1645" t="n">
        <f aca="true">OFFSET('☆掛負収入'!$E$63,$M$5*M18,0,1,1)</f>
        <v>4650</v>
      </c>
      <c r="E61" s="1646" t="n">
        <f aca="false">SUM(B61:D61)</f>
        <v>78849465</v>
      </c>
      <c r="F61" s="1721"/>
      <c r="G61" s="1652" t="s">
        <v>569</v>
      </c>
      <c r="H61" s="1657" t="n">
        <f aca="false">B61-H80</f>
        <v>39424667</v>
      </c>
      <c r="I61" s="1648" t="n">
        <f aca="false">C61</f>
        <v>39420148</v>
      </c>
      <c r="J61" s="1649" t="n">
        <f aca="false">D61</f>
        <v>4650</v>
      </c>
      <c r="K61" s="1650" t="n">
        <f aca="false">SUM(H61:J61)</f>
        <v>78849465</v>
      </c>
      <c r="L61" s="798"/>
      <c r="M61" s="1652" t="s">
        <v>569</v>
      </c>
      <c r="N61" s="1643" t="n">
        <f aca="true">OFFSET('☆掛負収入'!$C$65,$M$5*M18,0,1,1)</f>
        <v>39424667</v>
      </c>
      <c r="O61" s="1643" t="n">
        <f aca="true">OFFSET('☆掛負収入'!$E$65,$M$5*M18,0,1,1)</f>
        <v>39424798</v>
      </c>
      <c r="P61" s="1646" t="n">
        <f aca="false">SUM(N61:O61)</f>
        <v>78849465</v>
      </c>
    </row>
    <row r="62" customFormat="false" ht="35.25" hidden="false" customHeight="true" outlineLevel="0" collapsed="false">
      <c r="A62" s="1652" t="s">
        <v>888</v>
      </c>
      <c r="B62" s="1643" t="n">
        <f aca="true">OFFSET('☆掛負収入'!$C$65,$M$5*M19,0,1,1)+K83</f>
        <v>16148980</v>
      </c>
      <c r="C62" s="1644" t="n">
        <f aca="false">O62-D62</f>
        <v>16687363</v>
      </c>
      <c r="D62" s="1645" t="n">
        <f aca="true">OFFSET('☆掛負収入'!$E$63,$M$5*M19,0,1,1)</f>
        <v>1477</v>
      </c>
      <c r="E62" s="1646" t="n">
        <f aca="false">SUM(B62:D62)</f>
        <v>32837820</v>
      </c>
      <c r="F62" s="1721"/>
      <c r="G62" s="1652" t="s">
        <v>888</v>
      </c>
      <c r="H62" s="1657" t="n">
        <f aca="false">B62</f>
        <v>16148980</v>
      </c>
      <c r="I62" s="1648" t="n">
        <f aca="false">C62</f>
        <v>16687363</v>
      </c>
      <c r="J62" s="1649" t="n">
        <f aca="false">D62</f>
        <v>1477</v>
      </c>
      <c r="K62" s="1650" t="n">
        <f aca="false">SUM(H62:J62)</f>
        <v>32837820</v>
      </c>
      <c r="L62" s="798"/>
      <c r="M62" s="1652" t="s">
        <v>888</v>
      </c>
      <c r="N62" s="1643" t="n">
        <f aca="true">OFFSET('☆掛負収入'!$C$65,$M$5*M19,0,1,1)</f>
        <v>16148980</v>
      </c>
      <c r="O62" s="1643" t="n">
        <f aca="true">OFFSET('☆掛負収入'!$E$65,$M$5*M19,0,1,1)</f>
        <v>16688840</v>
      </c>
      <c r="P62" s="1646" t="n">
        <f aca="false">SUM(N62:O62)</f>
        <v>32837820</v>
      </c>
    </row>
    <row r="63" customFormat="false" ht="35.25" hidden="false" customHeight="true" outlineLevel="0" collapsed="false">
      <c r="A63" s="1652" t="s">
        <v>570</v>
      </c>
      <c r="B63" s="1643" t="n">
        <f aca="true">OFFSET('☆掛負収入'!$C$65,$M$5*M20,0,1,1)+K84</f>
        <v>39009119</v>
      </c>
      <c r="C63" s="1644" t="n">
        <f aca="false">O63-D63</f>
        <v>38986694</v>
      </c>
      <c r="D63" s="1645" t="n">
        <f aca="true">OFFSET('☆掛負収入'!$E$63,$M$5*M20,0,1,1)</f>
        <v>4650</v>
      </c>
      <c r="E63" s="1646" t="n">
        <f aca="false">SUM(B63:D63)</f>
        <v>78000463</v>
      </c>
      <c r="F63" s="1721"/>
      <c r="G63" s="1652" t="s">
        <v>570</v>
      </c>
      <c r="H63" s="1657" t="n">
        <f aca="false">B63-H81</f>
        <v>39009119</v>
      </c>
      <c r="I63" s="1648" t="n">
        <f aca="false">C63</f>
        <v>38986694</v>
      </c>
      <c r="J63" s="1649" t="n">
        <f aca="false">D63</f>
        <v>4650</v>
      </c>
      <c r="K63" s="1650" t="n">
        <f aca="false">SUM(H63:J63)</f>
        <v>78000463</v>
      </c>
      <c r="L63" s="798"/>
      <c r="M63" s="1652" t="s">
        <v>570</v>
      </c>
      <c r="N63" s="1643" t="n">
        <f aca="true">OFFSET('☆掛負収入'!$C$65,$M$5*M20,0,1,1)</f>
        <v>39009119</v>
      </c>
      <c r="O63" s="1643" t="n">
        <f aca="true">OFFSET('☆掛負収入'!$E$65,$M$5*M20,0,1,1)</f>
        <v>38991344</v>
      </c>
      <c r="P63" s="1723" t="n">
        <f aca="false">SUM(N63:O63)</f>
        <v>78000463</v>
      </c>
    </row>
    <row r="64" customFormat="false" ht="35.25" hidden="false" customHeight="true" outlineLevel="0" collapsed="false">
      <c r="A64" s="1659" t="s">
        <v>920</v>
      </c>
      <c r="B64" s="1643" t="n">
        <f aca="true">OFFSET('☆掛負収入'!$C$65,$M$5*M21,0,1,1)</f>
        <v>1995481</v>
      </c>
      <c r="C64" s="1644" t="n">
        <f aca="false">O64-D64</f>
        <v>1958592</v>
      </c>
      <c r="D64" s="1645" t="n">
        <f aca="true">OFFSET('☆掛負収入'!$E$63,$M$5*M21,0,1,1)</f>
        <v>3498</v>
      </c>
      <c r="E64" s="1646" t="n">
        <f aca="false">SUM(B64:D64)</f>
        <v>3957571</v>
      </c>
      <c r="F64" s="1721"/>
      <c r="G64" s="1659" t="s">
        <v>920</v>
      </c>
      <c r="H64" s="1657" t="n">
        <f aca="false">B64</f>
        <v>1995481</v>
      </c>
      <c r="I64" s="1648" t="n">
        <f aca="false">C64</f>
        <v>1958592</v>
      </c>
      <c r="J64" s="1649" t="n">
        <f aca="false">D64</f>
        <v>3498</v>
      </c>
      <c r="K64" s="1650" t="n">
        <f aca="false">SUM(H64:J64)</f>
        <v>3957571</v>
      </c>
      <c r="L64" s="798"/>
      <c r="M64" s="1659" t="s">
        <v>920</v>
      </c>
      <c r="N64" s="1643" t="n">
        <f aca="true">OFFSET('☆掛負収入'!$C$65,$M$5*M21,0,1,1)</f>
        <v>1995481</v>
      </c>
      <c r="O64" s="1643" t="n">
        <f aca="true">OFFSET('☆掛負収入'!$E$65,$M$5*M21,0,1,1)</f>
        <v>1962090</v>
      </c>
      <c r="P64" s="1724" t="n">
        <f aca="false">SUM(N64:O64)</f>
        <v>3957571</v>
      </c>
    </row>
    <row r="65" customFormat="false" ht="35.25" hidden="false" customHeight="true" outlineLevel="0" collapsed="false">
      <c r="A65" s="1660" t="s">
        <v>921</v>
      </c>
      <c r="B65" s="1643" t="n">
        <f aca="true">OFFSET('☆掛負収入'!$C$65,$M$5*M22,0,1,1)</f>
        <v>1995497</v>
      </c>
      <c r="C65" s="1644" t="n">
        <f aca="false">O65-D65</f>
        <v>1958615</v>
      </c>
      <c r="D65" s="1645" t="n">
        <f aca="true">OFFSET('☆掛負収入'!$E$63,$M$5*M22,0,1,1)</f>
        <v>3499</v>
      </c>
      <c r="E65" s="1661" t="n">
        <f aca="false">SUM(B65:D65)</f>
        <v>3957611</v>
      </c>
      <c r="F65" s="1721"/>
      <c r="G65" s="1660" t="s">
        <v>921</v>
      </c>
      <c r="H65" s="1662" t="n">
        <f aca="false">B65</f>
        <v>1995497</v>
      </c>
      <c r="I65" s="1725" t="n">
        <f aca="false">C65</f>
        <v>1958615</v>
      </c>
      <c r="J65" s="1726" t="n">
        <f aca="false">D65</f>
        <v>3499</v>
      </c>
      <c r="K65" s="1650" t="n">
        <f aca="false">SUM(H65:J65)</f>
        <v>3957611</v>
      </c>
      <c r="L65" s="798"/>
      <c r="M65" s="1660" t="s">
        <v>921</v>
      </c>
      <c r="N65" s="1643" t="n">
        <f aca="true">OFFSET('☆掛負収入'!$C$65,$M$5*M22,0,1,1)</f>
        <v>1995497</v>
      </c>
      <c r="O65" s="1643" t="n">
        <f aca="true">OFFSET('☆掛負収入'!$E$65,$M$5*M22,0,1,1)</f>
        <v>1962114</v>
      </c>
      <c r="P65" s="1727" t="n">
        <f aca="false">SUM(N65:O65)</f>
        <v>3957611</v>
      </c>
    </row>
    <row r="66" customFormat="false" ht="35.25" hidden="false" customHeight="true" outlineLevel="0" collapsed="false">
      <c r="A66" s="1663" t="s">
        <v>571</v>
      </c>
      <c r="B66" s="1664" t="n">
        <f aca="false">SUM(B49:B65)</f>
        <v>644993333</v>
      </c>
      <c r="C66" s="1728" t="n">
        <f aca="false">SUM(C49:C65)</f>
        <v>645212545</v>
      </c>
      <c r="D66" s="1729" t="n">
        <f aca="false">SUM(D49:D65)</f>
        <v>76280</v>
      </c>
      <c r="E66" s="1669" t="n">
        <f aca="false">SUM(B66:D66)</f>
        <v>1290282158</v>
      </c>
      <c r="F66" s="1721"/>
      <c r="G66" s="1663" t="s">
        <v>571</v>
      </c>
      <c r="H66" s="1666" t="n">
        <f aca="false">SUM(H49:H65)</f>
        <v>644809834</v>
      </c>
      <c r="I66" s="1666" t="n">
        <f aca="false">SUM(I49:I65)</f>
        <v>645212545</v>
      </c>
      <c r="J66" s="1666" t="n">
        <f aca="false">SUM(J49:J65)</f>
        <v>76280</v>
      </c>
      <c r="K66" s="1669" t="n">
        <f aca="false">SUM(H66:J66)</f>
        <v>1290098659</v>
      </c>
      <c r="L66" s="798"/>
      <c r="M66" s="1663" t="s">
        <v>571</v>
      </c>
      <c r="N66" s="1664" t="n">
        <f aca="false">SUM(N49:N65)</f>
        <v>644993333</v>
      </c>
      <c r="O66" s="1664" t="n">
        <f aca="false">SUM(O49:O65)</f>
        <v>645288825</v>
      </c>
      <c r="P66" s="1708" t="n">
        <f aca="false">SUM(P49:P65)</f>
        <v>1290282158</v>
      </c>
    </row>
    <row r="67" customFormat="false" ht="41.25" hidden="false" customHeight="true" outlineLevel="0" collapsed="false">
      <c r="A67" s="1730" t="s">
        <v>939</v>
      </c>
      <c r="B67" s="950"/>
      <c r="C67" s="950"/>
      <c r="D67" s="950"/>
      <c r="E67" s="950"/>
      <c r="F67" s="950"/>
      <c r="G67" s="1671"/>
      <c r="H67" s="1673"/>
      <c r="I67" s="1673"/>
      <c r="J67" s="1673"/>
      <c r="K67" s="798"/>
      <c r="L67" s="798"/>
    </row>
    <row r="68" customFormat="false" ht="34.5" hidden="false" customHeight="true" outlineLevel="0" collapsed="false">
      <c r="A68" s="950" t="s">
        <v>940</v>
      </c>
      <c r="B68" s="799"/>
      <c r="C68" s="1628"/>
      <c r="D68" s="950" t="s">
        <v>941</v>
      </c>
      <c r="E68" s="950"/>
      <c r="F68" s="950"/>
      <c r="G68" s="1679" t="s">
        <v>942</v>
      </c>
      <c r="H68" s="1679"/>
      <c r="I68" s="1679"/>
      <c r="J68" s="1679" t="s">
        <v>943</v>
      </c>
      <c r="K68" s="1679"/>
      <c r="L68" s="1679"/>
      <c r="M68" s="798"/>
    </row>
    <row r="69" customFormat="false" ht="35.25" hidden="false" customHeight="true" outlineLevel="0" collapsed="false">
      <c r="A69" s="1630" t="s">
        <v>542</v>
      </c>
      <c r="B69" s="1633" t="s">
        <v>491</v>
      </c>
      <c r="C69" s="1709"/>
      <c r="D69" s="1731" t="s">
        <v>944</v>
      </c>
      <c r="E69" s="1732"/>
      <c r="F69" s="950"/>
      <c r="G69" s="1683" t="s">
        <v>537</v>
      </c>
      <c r="H69" s="1684" t="s">
        <v>945</v>
      </c>
      <c r="I69" s="1709"/>
      <c r="J69" s="1683" t="s">
        <v>587</v>
      </c>
      <c r="K69" s="1684" t="s">
        <v>946</v>
      </c>
      <c r="L69" s="798"/>
      <c r="M69" s="798"/>
      <c r="N69" s="798"/>
    </row>
    <row r="70" s="798" customFormat="true" ht="35.25" hidden="false" customHeight="true" outlineLevel="0" collapsed="false">
      <c r="A70" s="1630"/>
      <c r="B70" s="1633"/>
      <c r="C70" s="1709"/>
      <c r="D70" s="1733" t="s">
        <v>947</v>
      </c>
      <c r="E70" s="1734"/>
      <c r="F70" s="950"/>
      <c r="G70" s="1691" t="s">
        <v>559</v>
      </c>
      <c r="H70" s="1692" t="n">
        <f aca="false">還付!C5+還付!C21</f>
        <v>40386</v>
      </c>
      <c r="I70" s="1694"/>
      <c r="J70" s="1691" t="s">
        <v>559</v>
      </c>
      <c r="K70" s="1692" t="n">
        <f aca="false">未納者等入金!C5</f>
        <v>0</v>
      </c>
      <c r="L70" s="793"/>
      <c r="N70" s="950"/>
    </row>
    <row r="71" s="798" customFormat="true" ht="35.25" hidden="false" customHeight="true" outlineLevel="0" collapsed="false">
      <c r="A71" s="1642" t="s">
        <v>559</v>
      </c>
      <c r="B71" s="1735" t="n">
        <f aca="true">OFFSET('☆掛負収入'!$F$65,$M$5*M6,0,1,1)</f>
        <v>483168</v>
      </c>
      <c r="C71" s="1709"/>
      <c r="D71" s="1736" t="n">
        <f aca="false">'☆掛負収入'!E1127</f>
        <v>80051472</v>
      </c>
      <c r="E71" s="1737"/>
      <c r="G71" s="1693" t="s">
        <v>560</v>
      </c>
      <c r="H71" s="1692" t="n">
        <f aca="false">還付!C6+還付!C22</f>
        <v>13800</v>
      </c>
      <c r="I71" s="1695"/>
      <c r="J71" s="1693" t="s">
        <v>560</v>
      </c>
      <c r="K71" s="1692" t="n">
        <f aca="false">未納者等入金!C6</f>
        <v>0</v>
      </c>
      <c r="L71" s="793"/>
      <c r="O71" s="950"/>
      <c r="P71" s="950"/>
      <c r="Q71" s="950"/>
    </row>
    <row r="72" s="798" customFormat="true" ht="35.25" hidden="false" customHeight="true" outlineLevel="0" collapsed="false">
      <c r="A72" s="1652" t="s">
        <v>560</v>
      </c>
      <c r="B72" s="1735" t="n">
        <f aca="true">OFFSET('☆掛負収入'!$F$65,$M$5*M7,0,1,1)</f>
        <v>483067</v>
      </c>
      <c r="C72" s="1709"/>
      <c r="D72" s="1736"/>
      <c r="E72" s="1737"/>
      <c r="G72" s="1693" t="s">
        <v>561</v>
      </c>
      <c r="H72" s="1692" t="n">
        <f aca="false">還付!C7+還付!C23</f>
        <v>29826</v>
      </c>
      <c r="I72" s="1695"/>
      <c r="J72" s="1693" t="s">
        <v>561</v>
      </c>
      <c r="K72" s="1692" t="n">
        <f aca="false">未納者等入金!C7</f>
        <v>0</v>
      </c>
      <c r="L72" s="793"/>
      <c r="M72" s="950"/>
      <c r="N72" s="1637"/>
      <c r="O72" s="950"/>
      <c r="P72" s="950"/>
      <c r="Q72" s="950"/>
      <c r="R72" s="1738"/>
    </row>
    <row r="73" s="798" customFormat="true" ht="35.25" hidden="false" customHeight="true" outlineLevel="0" collapsed="false">
      <c r="A73" s="1652" t="s">
        <v>561</v>
      </c>
      <c r="B73" s="1735" t="n">
        <f aca="true">OFFSET('☆掛負収入'!$F$65,$M$5*M8,0,1,1)</f>
        <v>482919</v>
      </c>
      <c r="C73" s="1709"/>
      <c r="D73" s="1709"/>
      <c r="E73" s="1709"/>
      <c r="F73" s="950"/>
      <c r="G73" s="1693" t="s">
        <v>562</v>
      </c>
      <c r="H73" s="1692" t="n">
        <f aca="false">還付!C8+還付!C24</f>
        <v>41287</v>
      </c>
      <c r="I73" s="1695"/>
      <c r="J73" s="1693" t="s">
        <v>886</v>
      </c>
      <c r="K73" s="1692" t="n">
        <f aca="false">未納者等入金!C8</f>
        <v>0</v>
      </c>
      <c r="L73" s="793"/>
      <c r="M73" s="950"/>
      <c r="N73" s="1628"/>
      <c r="R73" s="1738"/>
    </row>
    <row r="74" s="798" customFormat="true" ht="35.25" hidden="false" customHeight="true" outlineLevel="0" collapsed="false">
      <c r="A74" s="1652" t="s">
        <v>886</v>
      </c>
      <c r="B74" s="1735" t="n">
        <f aca="true">OFFSET('☆掛負収入'!$F$65,$M$5*M9,0,1,1)</f>
        <v>874113</v>
      </c>
      <c r="C74" s="1709"/>
      <c r="D74" s="1709"/>
      <c r="E74" s="1709"/>
      <c r="F74" s="950"/>
      <c r="G74" s="1693" t="s">
        <v>563</v>
      </c>
      <c r="H74" s="1692" t="n">
        <f aca="false">還付!C9+還付!C25</f>
        <v>30150</v>
      </c>
      <c r="I74" s="1739"/>
      <c r="J74" s="1693" t="s">
        <v>562</v>
      </c>
      <c r="K74" s="1692" t="n">
        <f aca="false">未納者等入金!C9</f>
        <v>0</v>
      </c>
      <c r="L74" s="793"/>
      <c r="M74" s="950"/>
      <c r="N74" s="1628"/>
      <c r="O74" s="1637"/>
      <c r="P74" s="1637"/>
      <c r="Q74" s="1721"/>
      <c r="R74" s="1738"/>
    </row>
    <row r="75" s="798" customFormat="true" ht="35.25" hidden="false" customHeight="true" outlineLevel="0" collapsed="false">
      <c r="A75" s="1652" t="s">
        <v>562</v>
      </c>
      <c r="B75" s="1735" t="n">
        <f aca="true">OFFSET('☆掛負収入'!$F$65,$M$5*M10,0,1,1)</f>
        <v>491785</v>
      </c>
      <c r="C75" s="1709"/>
      <c r="D75" s="1709"/>
      <c r="E75" s="1709"/>
      <c r="F75" s="950"/>
      <c r="G75" s="1693" t="s">
        <v>564</v>
      </c>
      <c r="H75" s="1692" t="n">
        <f aca="false">還付!C10+還付!C26</f>
        <v>28050</v>
      </c>
      <c r="I75" s="1739"/>
      <c r="J75" s="1693" t="s">
        <v>563</v>
      </c>
      <c r="K75" s="1692" t="n">
        <f aca="false">未納者等入金!C10</f>
        <v>0</v>
      </c>
      <c r="L75" s="793"/>
      <c r="M75" s="950"/>
      <c r="N75" s="1628"/>
      <c r="O75" s="1628"/>
      <c r="P75" s="1628"/>
      <c r="Q75" s="1628"/>
      <c r="R75" s="1738"/>
    </row>
    <row r="76" s="798" customFormat="true" ht="35.25" hidden="false" customHeight="true" outlineLevel="0" collapsed="false">
      <c r="A76" s="1652" t="s">
        <v>563</v>
      </c>
      <c r="B76" s="1735" t="n">
        <f aca="true">OFFSET('☆掛負収入'!$F$65,$M$5*M11,0,1,1)</f>
        <v>486781</v>
      </c>
      <c r="C76" s="1709"/>
      <c r="D76" s="1709"/>
      <c r="E76" s="1709"/>
      <c r="F76" s="950"/>
      <c r="G76" s="1693" t="s">
        <v>565</v>
      </c>
      <c r="H76" s="1692" t="n">
        <f aca="false">還付!C11+還付!C27</f>
        <v>0</v>
      </c>
      <c r="I76" s="1739"/>
      <c r="J76" s="1693" t="s">
        <v>564</v>
      </c>
      <c r="K76" s="1692" t="n">
        <f aca="false">未納者等入金!C11</f>
        <v>0</v>
      </c>
      <c r="L76" s="793"/>
      <c r="M76" s="950"/>
      <c r="N76" s="1628"/>
      <c r="O76" s="1628"/>
      <c r="P76" s="1628"/>
      <c r="Q76" s="1628"/>
      <c r="R76" s="1738"/>
    </row>
    <row r="77" s="798" customFormat="true" ht="35.25" hidden="false" customHeight="true" outlineLevel="0" collapsed="false">
      <c r="A77" s="1652" t="s">
        <v>564</v>
      </c>
      <c r="B77" s="1735" t="n">
        <f aca="true">OFFSET('☆掛負収入'!$F$65,$M$5*M12,0,1,1)</f>
        <v>495169</v>
      </c>
      <c r="C77" s="1709"/>
      <c r="D77" s="1709"/>
      <c r="E77" s="1709"/>
      <c r="F77" s="950"/>
      <c r="G77" s="1693" t="s">
        <v>566</v>
      </c>
      <c r="H77" s="1692" t="n">
        <f aca="false">還付!C12+還付!C28</f>
        <v>0</v>
      </c>
      <c r="I77" s="1739"/>
      <c r="J77" s="1693" t="s">
        <v>565</v>
      </c>
      <c r="K77" s="1692" t="n">
        <f aca="false">未納者等入金!C12</f>
        <v>0</v>
      </c>
      <c r="L77" s="793"/>
      <c r="M77" s="950"/>
      <c r="N77" s="1628"/>
      <c r="O77" s="1628"/>
      <c r="P77" s="1628"/>
      <c r="Q77" s="1628"/>
      <c r="R77" s="1738"/>
    </row>
    <row r="78" s="798" customFormat="true" ht="35.25" hidden="false" customHeight="true" outlineLevel="0" collapsed="false">
      <c r="A78" s="1652" t="s">
        <v>565</v>
      </c>
      <c r="B78" s="1735" t="n">
        <f aca="true">OFFSET('☆掛負収入'!$F$65,$M$5*M13,0,1,1)</f>
        <v>514821</v>
      </c>
      <c r="C78" s="1709"/>
      <c r="D78" s="1709"/>
      <c r="E78" s="1709"/>
      <c r="F78" s="950"/>
      <c r="G78" s="1693" t="s">
        <v>567</v>
      </c>
      <c r="H78" s="1692" t="n">
        <f aca="false">還付!C13+還付!C29</f>
        <v>0</v>
      </c>
      <c r="I78" s="1739"/>
      <c r="J78" s="1693" t="s">
        <v>566</v>
      </c>
      <c r="K78" s="1692" t="n">
        <f aca="false">未納者等入金!C13</f>
        <v>0</v>
      </c>
      <c r="L78" s="793"/>
      <c r="M78" s="950"/>
      <c r="N78" s="1628"/>
      <c r="O78" s="1628"/>
      <c r="P78" s="1628"/>
      <c r="Q78" s="1628"/>
      <c r="R78" s="1738"/>
    </row>
    <row r="79" s="798" customFormat="true" ht="35.25" hidden="false" customHeight="true" outlineLevel="0" collapsed="false">
      <c r="A79" s="1652" t="s">
        <v>566</v>
      </c>
      <c r="B79" s="1735" t="n">
        <f aca="true">OFFSET('☆掛負収入'!$F$65,$M$5*M14,0,1,1)</f>
        <v>514655</v>
      </c>
      <c r="C79" s="1709"/>
      <c r="D79" s="1709"/>
      <c r="E79" s="1709"/>
      <c r="F79" s="950"/>
      <c r="G79" s="1693" t="s">
        <v>568</v>
      </c>
      <c r="H79" s="1692" t="n">
        <f aca="false">還付!C14+還付!C30</f>
        <v>0</v>
      </c>
      <c r="I79" s="1739"/>
      <c r="J79" s="1693" t="s">
        <v>887</v>
      </c>
      <c r="K79" s="1692" t="n">
        <f aca="false">未納者等入金!C14</f>
        <v>0</v>
      </c>
      <c r="L79" s="793"/>
      <c r="M79" s="950"/>
      <c r="N79" s="1628"/>
      <c r="O79" s="1628"/>
      <c r="P79" s="1628"/>
      <c r="Q79" s="1628"/>
      <c r="R79" s="1738"/>
    </row>
    <row r="80" s="798" customFormat="true" ht="35.25" hidden="false" customHeight="true" outlineLevel="0" collapsed="false">
      <c r="A80" s="1652" t="s">
        <v>887</v>
      </c>
      <c r="B80" s="1735" t="n">
        <f aca="true">OFFSET('☆掛負収入'!$F$65,$M$5*M15,0,1,1)</f>
        <v>905702</v>
      </c>
      <c r="C80" s="1709"/>
      <c r="D80" s="1709"/>
      <c r="E80" s="1709"/>
      <c r="F80" s="950"/>
      <c r="G80" s="1693" t="s">
        <v>569</v>
      </c>
      <c r="H80" s="1692" t="n">
        <f aca="false">還付!C15+還付!C31</f>
        <v>0</v>
      </c>
      <c r="I80" s="1739"/>
      <c r="J80" s="1693" t="s">
        <v>567</v>
      </c>
      <c r="K80" s="1692" t="n">
        <f aca="false">未納者等入金!C15</f>
        <v>0</v>
      </c>
      <c r="L80" s="793"/>
      <c r="M80" s="950"/>
      <c r="N80" s="1628"/>
      <c r="O80" s="1628"/>
      <c r="P80" s="1628"/>
      <c r="Q80" s="1628"/>
      <c r="R80" s="1738"/>
    </row>
    <row r="81" s="798" customFormat="true" ht="35.25" hidden="false" customHeight="true" outlineLevel="0" collapsed="false">
      <c r="A81" s="1652" t="s">
        <v>567</v>
      </c>
      <c r="B81" s="1735" t="n">
        <f aca="true">OFFSET('☆掛負収入'!$F$65,$M$5*M16,0,1,1)</f>
        <v>514166</v>
      </c>
      <c r="C81" s="1709"/>
      <c r="D81" s="1709"/>
      <c r="E81" s="1709"/>
      <c r="F81" s="950"/>
      <c r="G81" s="1696" t="s">
        <v>570</v>
      </c>
      <c r="H81" s="1692" t="n">
        <f aca="false">還付!C16+還付!C32</f>
        <v>0</v>
      </c>
      <c r="I81" s="1740"/>
      <c r="J81" s="1693" t="s">
        <v>568</v>
      </c>
      <c r="K81" s="1692" t="n">
        <f aca="false">未納者等入金!C16</f>
        <v>0</v>
      </c>
      <c r="L81" s="793"/>
      <c r="M81" s="950"/>
      <c r="N81" s="1628"/>
      <c r="O81" s="1628"/>
      <c r="P81" s="1628"/>
      <c r="Q81" s="1628"/>
      <c r="R81" s="1738"/>
    </row>
    <row r="82" s="798" customFormat="true" ht="35.25" hidden="false" customHeight="true" outlineLevel="0" collapsed="false">
      <c r="A82" s="1652" t="s">
        <v>568</v>
      </c>
      <c r="B82" s="1735" t="n">
        <f aca="true">OFFSET('☆掛負収入'!$F$65,$M$5*M17,0,1,1)</f>
        <v>516130</v>
      </c>
      <c r="C82" s="1709"/>
      <c r="D82" s="1709"/>
      <c r="E82" s="1709"/>
      <c r="F82" s="950"/>
      <c r="G82" s="1700" t="s">
        <v>571</v>
      </c>
      <c r="H82" s="1701" t="n">
        <f aca="false">SUM(H70:H81)</f>
        <v>183499</v>
      </c>
      <c r="I82" s="1702"/>
      <c r="J82" s="1693" t="s">
        <v>569</v>
      </c>
      <c r="K82" s="1692" t="n">
        <f aca="false">未納者等入金!C17</f>
        <v>0</v>
      </c>
      <c r="L82" s="793"/>
      <c r="M82" s="950"/>
      <c r="N82" s="1628"/>
      <c r="O82" s="1628"/>
      <c r="P82" s="1628"/>
      <c r="Q82" s="1628"/>
      <c r="R82" s="1738"/>
    </row>
    <row r="83" s="798" customFormat="true" ht="35.25" hidden="false" customHeight="true" outlineLevel="0" collapsed="false">
      <c r="A83" s="1652" t="s">
        <v>569</v>
      </c>
      <c r="B83" s="1735" t="n">
        <f aca="true">OFFSET('☆掛負収入'!$F$65,$M$5*M18,0,1,1)</f>
        <v>515309</v>
      </c>
      <c r="C83" s="1709"/>
      <c r="D83" s="1709"/>
      <c r="E83" s="1709"/>
      <c r="F83" s="950"/>
      <c r="G83" s="1741"/>
      <c r="H83" s="1709"/>
      <c r="I83" s="1709"/>
      <c r="J83" s="1696" t="s">
        <v>888</v>
      </c>
      <c r="K83" s="1692" t="n">
        <f aca="false">未納者等入金!C18</f>
        <v>0</v>
      </c>
      <c r="L83" s="793"/>
      <c r="M83" s="950"/>
      <c r="N83" s="1628"/>
      <c r="O83" s="1628"/>
      <c r="P83" s="1628"/>
      <c r="Q83" s="1628"/>
      <c r="R83" s="1738"/>
    </row>
    <row r="84" s="798" customFormat="true" ht="35.25" hidden="false" customHeight="true" outlineLevel="0" collapsed="false">
      <c r="A84" s="1652" t="s">
        <v>888</v>
      </c>
      <c r="B84" s="1735" t="n">
        <f aca="true">OFFSET('☆掛負収入'!$F$65,$M$5*M19,0,1,1)</f>
        <v>214324</v>
      </c>
      <c r="C84" s="793"/>
      <c r="D84" s="793"/>
      <c r="E84" s="793"/>
      <c r="F84" s="950"/>
      <c r="G84" s="1741"/>
      <c r="H84" s="1709"/>
      <c r="I84" s="1709"/>
      <c r="J84" s="1698" t="s">
        <v>570</v>
      </c>
      <c r="K84" s="1692" t="n">
        <f aca="false">未納者等入金!C19</f>
        <v>0</v>
      </c>
      <c r="L84" s="793"/>
      <c r="M84" s="950"/>
      <c r="N84" s="1628"/>
      <c r="O84" s="1628"/>
      <c r="P84" s="1628"/>
      <c r="Q84" s="1628"/>
      <c r="R84" s="1738"/>
    </row>
    <row r="85" s="798" customFormat="true" ht="35.25" hidden="false" customHeight="true" outlineLevel="0" collapsed="false">
      <c r="A85" s="1652" t="s">
        <v>570</v>
      </c>
      <c r="B85" s="1735" t="n">
        <f aca="true">OFFSET('☆掛負収入'!$F$65,$M$5*M20,0,1,1)</f>
        <v>515892</v>
      </c>
      <c r="C85" s="793"/>
      <c r="D85" s="793"/>
      <c r="E85" s="793"/>
      <c r="F85" s="950"/>
      <c r="I85" s="1709"/>
      <c r="J85" s="1703" t="s">
        <v>571</v>
      </c>
      <c r="K85" s="1701" t="n">
        <f aca="false">SUM(K70:K84)</f>
        <v>0</v>
      </c>
      <c r="L85" s="793"/>
      <c r="M85" s="950"/>
      <c r="N85" s="1628"/>
      <c r="O85" s="1628"/>
      <c r="P85" s="1628"/>
      <c r="Q85" s="1628"/>
      <c r="R85" s="1738"/>
    </row>
    <row r="86" s="798" customFormat="true" ht="35.25" hidden="false" customHeight="true" outlineLevel="0" collapsed="false">
      <c r="A86" s="1659" t="s">
        <v>920</v>
      </c>
      <c r="B86" s="1735" t="n">
        <f aca="true">OFFSET('☆掛負収入'!$F$65,$M$5*M21,0,1,1)</f>
        <v>25771</v>
      </c>
      <c r="C86" s="793"/>
      <c r="D86" s="793"/>
      <c r="E86" s="793"/>
      <c r="F86" s="950"/>
      <c r="I86" s="1742"/>
      <c r="J86" s="1712"/>
      <c r="K86" s="1713"/>
      <c r="L86" s="793"/>
      <c r="M86" s="950"/>
      <c r="N86" s="1628"/>
      <c r="O86" s="1628"/>
      <c r="P86" s="1628"/>
      <c r="Q86" s="1628"/>
      <c r="R86" s="1628"/>
      <c r="S86" s="1738"/>
    </row>
    <row r="87" s="798" customFormat="true" ht="35.25" hidden="false" customHeight="true" outlineLevel="0" collapsed="false">
      <c r="A87" s="1660" t="s">
        <v>921</v>
      </c>
      <c r="B87" s="1743" t="n">
        <f aca="true">OFFSET('☆掛負収入'!$F$65,$M$5*M22,0,1,1)</f>
        <v>25781</v>
      </c>
      <c r="C87" s="793"/>
      <c r="D87" s="793"/>
      <c r="E87" s="793"/>
      <c r="F87" s="950"/>
      <c r="I87" s="1742"/>
      <c r="J87" s="1712"/>
      <c r="K87" s="1713"/>
      <c r="L87" s="793"/>
      <c r="M87" s="950"/>
      <c r="N87" s="1628"/>
      <c r="O87" s="1628"/>
      <c r="P87" s="1628"/>
      <c r="Q87" s="1628"/>
      <c r="R87" s="1628"/>
      <c r="S87" s="1738"/>
    </row>
    <row r="88" s="798" customFormat="true" ht="35.25" hidden="false" customHeight="true" outlineLevel="0" collapsed="false">
      <c r="A88" s="1663" t="s">
        <v>571</v>
      </c>
      <c r="B88" s="1665" t="n">
        <f aca="false">SUM(B71:B87)</f>
        <v>8059553</v>
      </c>
      <c r="C88" s="793"/>
      <c r="D88" s="793"/>
      <c r="E88" s="793"/>
      <c r="F88" s="950"/>
      <c r="L88" s="793"/>
      <c r="M88" s="950"/>
      <c r="N88" s="1628"/>
      <c r="O88" s="1628"/>
      <c r="P88" s="1628"/>
      <c r="Q88" s="1628"/>
      <c r="R88" s="1628"/>
      <c r="S88" s="1738"/>
    </row>
    <row r="89" s="798" customFormat="true" ht="34.5" hidden="false" customHeight="true" outlineLevel="0" collapsed="false">
      <c r="A89" s="950"/>
      <c r="B89" s="793"/>
      <c r="C89" s="793"/>
      <c r="D89" s="793"/>
      <c r="E89" s="793"/>
      <c r="F89" s="1721"/>
      <c r="K89" s="793"/>
      <c r="L89" s="950"/>
      <c r="M89" s="1628"/>
      <c r="N89" s="1628"/>
      <c r="O89" s="1628"/>
      <c r="P89" s="1628"/>
    </row>
    <row r="90" s="798" customFormat="true" ht="34.5" hidden="false" customHeight="true" outlineLevel="0" collapsed="false">
      <c r="A90" s="950"/>
      <c r="B90" s="793"/>
      <c r="C90" s="793"/>
      <c r="D90" s="793"/>
      <c r="E90" s="793"/>
      <c r="F90" s="1721"/>
      <c r="K90" s="793"/>
      <c r="L90" s="950"/>
      <c r="M90" s="1628"/>
      <c r="N90" s="1628"/>
      <c r="O90" s="1628"/>
      <c r="P90" s="1628"/>
    </row>
    <row r="91" s="798" customFormat="true" ht="34.5" hidden="false" customHeight="true" outlineLevel="0" collapsed="false">
      <c r="A91" s="950"/>
      <c r="B91" s="793"/>
      <c r="C91" s="793"/>
      <c r="D91" s="793"/>
      <c r="E91" s="793"/>
      <c r="F91" s="1721"/>
      <c r="K91" s="793"/>
      <c r="L91" s="950"/>
      <c r="N91" s="1628"/>
      <c r="O91" s="1628"/>
      <c r="P91" s="1628"/>
    </row>
    <row r="92" s="798" customFormat="true" ht="34.5" hidden="false" customHeight="true" outlineLevel="0" collapsed="false">
      <c r="A92" s="950"/>
      <c r="B92" s="793"/>
      <c r="C92" s="793"/>
      <c r="D92" s="793"/>
      <c r="E92" s="793"/>
      <c r="F92" s="1721"/>
      <c r="K92" s="793"/>
      <c r="L92" s="950"/>
      <c r="N92" s="1628"/>
      <c r="O92" s="1628"/>
      <c r="P92" s="1628"/>
    </row>
    <row r="93" s="798" customFormat="true" ht="34.5" hidden="false" customHeight="true" outlineLevel="0" collapsed="false">
      <c r="A93" s="950"/>
      <c r="B93" s="793"/>
      <c r="C93" s="793"/>
      <c r="D93" s="793"/>
      <c r="E93" s="793"/>
      <c r="F93" s="1721"/>
      <c r="K93" s="793"/>
      <c r="L93" s="950"/>
    </row>
    <row r="94" s="798" customFormat="true" ht="34.5" hidden="false" customHeight="true" outlineLevel="0" collapsed="false">
      <c r="A94" s="950"/>
      <c r="B94" s="793"/>
      <c r="C94" s="793"/>
      <c r="D94" s="793"/>
      <c r="E94" s="793"/>
      <c r="F94" s="1721"/>
      <c r="K94" s="793"/>
      <c r="L94" s="950"/>
    </row>
    <row r="95" s="798" customFormat="true" ht="34.5" hidden="false" customHeight="true" outlineLevel="0" collapsed="false">
      <c r="A95" s="950"/>
      <c r="B95" s="793"/>
      <c r="C95" s="793"/>
      <c r="D95" s="793"/>
      <c r="E95" s="793"/>
      <c r="F95" s="1721"/>
      <c r="K95" s="793"/>
      <c r="L95" s="950"/>
    </row>
    <row r="96" s="798" customFormat="true" ht="34.5" hidden="false" customHeight="true" outlineLevel="0" collapsed="false">
      <c r="A96" s="950"/>
      <c r="B96" s="793"/>
      <c r="C96" s="793"/>
      <c r="D96" s="793"/>
      <c r="E96" s="793"/>
      <c r="F96" s="1721"/>
      <c r="K96" s="793"/>
      <c r="L96" s="950"/>
    </row>
    <row r="97" s="798" customFormat="true" ht="34.5" hidden="false" customHeight="true" outlineLevel="0" collapsed="false">
      <c r="A97" s="950"/>
      <c r="B97" s="793"/>
      <c r="C97" s="793"/>
      <c r="D97" s="793"/>
      <c r="E97" s="793"/>
      <c r="F97" s="1721"/>
      <c r="K97" s="793"/>
      <c r="L97" s="950"/>
    </row>
    <row r="98" s="798" customFormat="true" ht="34.5" hidden="false" customHeight="true" outlineLevel="0" collapsed="false">
      <c r="A98" s="950"/>
      <c r="B98" s="793"/>
      <c r="C98" s="793"/>
      <c r="D98" s="793"/>
      <c r="E98" s="793"/>
      <c r="F98" s="1721"/>
      <c r="K98" s="793"/>
      <c r="L98" s="950"/>
    </row>
    <row r="99" s="798" customFormat="true" ht="34.5" hidden="false" customHeight="true" outlineLevel="0" collapsed="false">
      <c r="A99" s="950"/>
      <c r="B99" s="793"/>
      <c r="C99" s="793"/>
      <c r="D99" s="793"/>
      <c r="E99" s="793"/>
      <c r="F99" s="1721"/>
      <c r="K99" s="793"/>
      <c r="L99" s="950"/>
    </row>
    <row r="100" s="798" customFormat="true" ht="34.5" hidden="false" customHeight="true" outlineLevel="0" collapsed="false">
      <c r="A100" s="950"/>
      <c r="B100" s="793"/>
      <c r="C100" s="793"/>
      <c r="D100" s="793"/>
      <c r="E100" s="793"/>
      <c r="F100" s="1721"/>
      <c r="K100" s="793"/>
      <c r="L100" s="950"/>
    </row>
    <row r="101" s="798" customFormat="true" ht="34.5" hidden="false" customHeight="true" outlineLevel="0" collapsed="false">
      <c r="A101" s="950"/>
      <c r="B101" s="793"/>
      <c r="C101" s="793"/>
      <c r="D101" s="793"/>
      <c r="E101" s="793"/>
      <c r="F101" s="1721"/>
      <c r="K101" s="793"/>
      <c r="L101" s="950"/>
    </row>
    <row r="102" s="798" customFormat="true" ht="34.5" hidden="false" customHeight="true" outlineLevel="0" collapsed="false">
      <c r="A102" s="950"/>
      <c r="B102" s="793"/>
      <c r="C102" s="793"/>
      <c r="D102" s="793"/>
      <c r="E102" s="793"/>
      <c r="F102" s="1721"/>
      <c r="K102" s="793"/>
      <c r="L102" s="950"/>
    </row>
    <row r="103" s="798" customFormat="true" ht="34.5" hidden="false" customHeight="true" outlineLevel="0" collapsed="false">
      <c r="A103" s="950"/>
      <c r="B103" s="793"/>
      <c r="C103" s="793"/>
      <c r="D103" s="793"/>
      <c r="E103" s="793"/>
      <c r="F103" s="1721"/>
      <c r="K103" s="793"/>
      <c r="L103" s="950"/>
    </row>
    <row r="104" s="798" customFormat="true" ht="34.5" hidden="false" customHeight="true" outlineLevel="0" collapsed="false">
      <c r="A104" s="950"/>
      <c r="B104" s="793"/>
      <c r="C104" s="793"/>
      <c r="D104" s="793"/>
      <c r="E104" s="793"/>
      <c r="F104" s="1721"/>
      <c r="K104" s="793"/>
      <c r="L104" s="950"/>
    </row>
    <row r="105" s="798" customFormat="true" ht="34.5" hidden="false" customHeight="true" outlineLevel="0" collapsed="false">
      <c r="A105" s="950"/>
      <c r="B105" s="793"/>
      <c r="C105" s="793"/>
      <c r="D105" s="793"/>
      <c r="E105" s="793"/>
      <c r="F105" s="1721"/>
      <c r="K105" s="793"/>
      <c r="L105" s="950"/>
    </row>
    <row r="106" s="798" customFormat="true" ht="34.5" hidden="false" customHeight="true" outlineLevel="0" collapsed="false">
      <c r="A106" s="950"/>
      <c r="B106" s="793"/>
      <c r="C106" s="793"/>
      <c r="D106" s="793"/>
      <c r="E106" s="793"/>
      <c r="F106" s="1721"/>
      <c r="K106" s="793"/>
      <c r="L106" s="950"/>
    </row>
    <row r="107" s="798" customFormat="true" ht="34.5" hidden="false" customHeight="true" outlineLevel="0" collapsed="false">
      <c r="A107" s="950"/>
      <c r="B107" s="793"/>
      <c r="C107" s="793"/>
      <c r="D107" s="793"/>
      <c r="E107" s="793"/>
      <c r="F107" s="793"/>
      <c r="G107" s="793"/>
      <c r="H107" s="793"/>
      <c r="K107" s="793"/>
      <c r="L107" s="950"/>
    </row>
    <row r="108" s="798" customFormat="true" ht="34.5" hidden="false" customHeight="true" outlineLevel="0" collapsed="false">
      <c r="A108" s="950"/>
      <c r="B108" s="793"/>
      <c r="C108" s="793"/>
      <c r="D108" s="793"/>
      <c r="E108" s="793"/>
      <c r="F108" s="793"/>
      <c r="G108" s="793"/>
      <c r="H108" s="793"/>
      <c r="K108" s="793"/>
      <c r="L108" s="950"/>
    </row>
    <row r="109" s="798" customFormat="true" ht="34.5" hidden="false" customHeight="true" outlineLevel="0" collapsed="false">
      <c r="A109" s="950"/>
      <c r="B109" s="793"/>
      <c r="C109" s="793"/>
      <c r="D109" s="793"/>
      <c r="E109" s="793"/>
      <c r="F109" s="793"/>
      <c r="G109" s="793"/>
      <c r="H109" s="793"/>
      <c r="K109" s="793"/>
      <c r="L109" s="950"/>
    </row>
    <row r="110" s="798" customFormat="true" ht="34.5" hidden="false" customHeight="true" outlineLevel="0" collapsed="false">
      <c r="A110" s="950"/>
      <c r="B110" s="793"/>
      <c r="C110" s="793"/>
      <c r="D110" s="793"/>
      <c r="E110" s="793"/>
      <c r="F110" s="793"/>
      <c r="G110" s="793"/>
      <c r="H110" s="793"/>
      <c r="I110" s="793"/>
      <c r="J110" s="793"/>
      <c r="K110" s="950"/>
    </row>
    <row r="111" s="798" customFormat="true" ht="34.5" hidden="false" customHeight="true" outlineLevel="0" collapsed="false">
      <c r="A111" s="950"/>
      <c r="B111" s="793"/>
      <c r="C111" s="793"/>
      <c r="D111" s="793"/>
      <c r="E111" s="793"/>
      <c r="F111" s="793"/>
      <c r="G111" s="793"/>
      <c r="H111" s="793"/>
      <c r="I111" s="793"/>
      <c r="J111" s="793"/>
      <c r="K111" s="950"/>
    </row>
    <row r="112" s="798" customFormat="true" ht="17.25" hidden="false" customHeight="false" outlineLevel="0" collapsed="false">
      <c r="A112" s="950"/>
      <c r="B112" s="793"/>
      <c r="C112" s="793"/>
      <c r="D112" s="793"/>
      <c r="E112" s="793"/>
      <c r="F112" s="793"/>
      <c r="G112" s="793"/>
      <c r="H112" s="793"/>
      <c r="I112" s="793"/>
      <c r="J112" s="793"/>
      <c r="K112" s="793"/>
      <c r="L112" s="950"/>
    </row>
    <row r="113" s="798" customFormat="true" ht="17.25" hidden="false" customHeight="false" outlineLevel="0" collapsed="false">
      <c r="A113" s="950"/>
      <c r="B113" s="793"/>
      <c r="C113" s="793"/>
      <c r="D113" s="793"/>
      <c r="E113" s="793"/>
      <c r="F113" s="793"/>
      <c r="G113" s="793"/>
      <c r="H113" s="793"/>
      <c r="I113" s="793"/>
      <c r="J113" s="793"/>
      <c r="K113" s="793"/>
      <c r="L113" s="950"/>
    </row>
    <row r="114" customFormat="false" ht="17.25" hidden="false" customHeight="false" outlineLevel="0" collapsed="false">
      <c r="M114" s="798"/>
      <c r="N114" s="798"/>
      <c r="O114" s="798"/>
      <c r="P114" s="798"/>
    </row>
    <row r="115" customFormat="false" ht="17.25" hidden="false" customHeight="false" outlineLevel="0" collapsed="false">
      <c r="M115" s="798"/>
      <c r="N115" s="798"/>
      <c r="O115" s="798"/>
      <c r="P115" s="798"/>
    </row>
    <row r="116" customFormat="false" ht="17.25" hidden="false" customHeight="false" outlineLevel="0" collapsed="false">
      <c r="N116" s="798"/>
      <c r="O116" s="798"/>
      <c r="P116" s="798"/>
    </row>
    <row r="117" customFormat="false" ht="17.25" hidden="false" customHeight="false" outlineLevel="0" collapsed="false">
      <c r="N117" s="798"/>
      <c r="O117" s="798"/>
      <c r="P117" s="798"/>
    </row>
  </sheetData>
  <mergeCells count="33">
    <mergeCell ref="M2:M4"/>
    <mergeCell ref="A3:A4"/>
    <mergeCell ref="B3:B4"/>
    <mergeCell ref="C3:D3"/>
    <mergeCell ref="E3:E4"/>
    <mergeCell ref="G3:G4"/>
    <mergeCell ref="H3:H4"/>
    <mergeCell ref="I3:J3"/>
    <mergeCell ref="K3:K4"/>
    <mergeCell ref="H23:J23"/>
    <mergeCell ref="A25:A26"/>
    <mergeCell ref="B25:D25"/>
    <mergeCell ref="G25:G26"/>
    <mergeCell ref="H25:H26"/>
    <mergeCell ref="J25:L25"/>
    <mergeCell ref="G28:I28"/>
    <mergeCell ref="A47:A48"/>
    <mergeCell ref="B47:B48"/>
    <mergeCell ref="C47:D47"/>
    <mergeCell ref="E47:E48"/>
    <mergeCell ref="G47:G48"/>
    <mergeCell ref="H47:H48"/>
    <mergeCell ref="I47:J47"/>
    <mergeCell ref="K47:K48"/>
    <mergeCell ref="M47:M48"/>
    <mergeCell ref="N47:N48"/>
    <mergeCell ref="O47:O48"/>
    <mergeCell ref="P47:P48"/>
    <mergeCell ref="G68:I68"/>
    <mergeCell ref="J68:L68"/>
    <mergeCell ref="A69:A70"/>
    <mergeCell ref="B69:B70"/>
    <mergeCell ref="D71:D72"/>
  </mergeCells>
  <printOptions headings="false" gridLines="false" gridLinesSet="true" horizontalCentered="false" verticalCentered="false"/>
  <pageMargins left="0.511805555555556" right="0.0784722222222222" top="0.315277777777778" bottom="0" header="0.511811023622047" footer="0"/>
  <pageSetup paperSize="9" scale="58" fitToWidth="1" fitToHeight="1" pageOrder="downThenOver" orientation="portrait" blackAndWhite="false" draft="false" cellComments="none" horizontalDpi="300" verticalDpi="300" copies="1"/>
  <headerFooter differentFirst="false" differentOddEven="false">
    <oddHeader/>
    <oddFooter>&amp;R&amp;9&amp;Z&amp;F&amp;A</oddFooter>
  </headerFooter>
  <rowBreaks count="1" manualBreakCount="1">
    <brk id="44" man="true" max="16383" min="0"/>
  </rowBreaks>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U87"/>
  <sheetViews>
    <sheetView showFormulas="false" showGridLines="true" showRowColHeaders="true" showZeros="true" rightToLeft="false" tabSelected="false" showOutlineSymbols="true" defaultGridColor="true" view="normal" topLeftCell="A41" colorId="64" zoomScale="100" zoomScaleNormal="100" zoomScalePageLayoutView="70" workbookViewId="0">
      <selection pane="topLeft" activeCell="A67" activeCellId="0" sqref="A67"/>
    </sheetView>
  </sheetViews>
  <sheetFormatPr defaultColWidth="8.79296875" defaultRowHeight="17.25" zeroHeight="false" outlineLevelRow="0" outlineLevelCol="0"/>
  <cols>
    <col collapsed="false" customWidth="true" hidden="false" outlineLevel="0" max="1" min="1" style="950" width="17"/>
    <col collapsed="false" customWidth="true" hidden="false" outlineLevel="0" max="2" min="2" style="793" width="30.49"/>
    <col collapsed="false" customWidth="true" hidden="false" outlineLevel="0" max="3" min="3" style="793" width="32.39"/>
    <col collapsed="false" customWidth="true" hidden="false" outlineLevel="0" max="4" min="4" style="793" width="30.59"/>
    <col collapsed="false" customWidth="true" hidden="false" outlineLevel="0" max="5" min="5" style="793" width="9.59"/>
    <col collapsed="false" customWidth="true" hidden="false" outlineLevel="0" max="6" min="6" style="793" width="2.49"/>
    <col collapsed="false" customWidth="true" hidden="false" outlineLevel="0" max="7" min="7" style="793" width="13.79"/>
    <col collapsed="false" customWidth="true" hidden="false" outlineLevel="0" max="8" min="8" style="793" width="17"/>
    <col collapsed="false" customWidth="true" hidden="false" outlineLevel="0" max="9" min="9" style="793" width="1.59"/>
    <col collapsed="false" customWidth="true" hidden="false" outlineLevel="0" max="10" min="10" style="793" width="5.39"/>
    <col collapsed="false" customWidth="true" hidden="false" outlineLevel="0" max="11" min="11" style="950" width="11.69"/>
    <col collapsed="false" customWidth="true" hidden="false" outlineLevel="0" max="12" min="12" style="950" width="10.69"/>
    <col collapsed="false" customWidth="true" hidden="false" outlineLevel="0" max="14" min="13" style="793" width="10.69"/>
    <col collapsed="false" customWidth="true" hidden="false" outlineLevel="0" max="15" min="15" style="950" width="10.69"/>
    <col collapsed="false" customWidth="true" hidden="false" outlineLevel="0" max="17" min="16" style="950" width="11.99"/>
    <col collapsed="false" customWidth="true" hidden="false" outlineLevel="0" max="21" min="18" style="950" width="10.69"/>
    <col collapsed="false" customWidth="false" hidden="false" outlineLevel="0" max="257" min="22" style="950" width="8.79"/>
  </cols>
  <sheetData>
    <row r="1" s="1623" customFormat="true" ht="22.5" hidden="false" customHeight="true" outlineLevel="0" collapsed="false">
      <c r="A1" s="1744" t="str">
        <f aca="false">'☆長期集計R7'!A1</f>
        <v>令和8年度</v>
      </c>
      <c r="B1" s="1745" t="s">
        <v>948</v>
      </c>
      <c r="C1" s="1746"/>
      <c r="D1" s="1745"/>
      <c r="E1" s="1746"/>
      <c r="F1" s="1746"/>
      <c r="G1" s="1745"/>
      <c r="H1" s="1745"/>
    </row>
    <row r="2" customFormat="false" ht="29.25" hidden="false" customHeight="true" outlineLevel="0" collapsed="false">
      <c r="A2" s="950" t="s">
        <v>949</v>
      </c>
      <c r="B2" s="950"/>
      <c r="C2" s="950"/>
      <c r="D2" s="950"/>
      <c r="E2" s="799" t="s">
        <v>535</v>
      </c>
      <c r="F2" s="1747"/>
      <c r="G2" s="950" t="s">
        <v>950</v>
      </c>
      <c r="H2" s="950"/>
      <c r="I2" s="798"/>
      <c r="J2" s="1748" t="s">
        <v>951</v>
      </c>
      <c r="K2" s="1748"/>
      <c r="L2" s="798"/>
      <c r="M2" s="798"/>
      <c r="N2" s="950"/>
      <c r="O2" s="799"/>
    </row>
    <row r="3" customFormat="false" ht="33" hidden="false" customHeight="true" outlineLevel="0" collapsed="false">
      <c r="A3" s="1630" t="s">
        <v>542</v>
      </c>
      <c r="B3" s="1749" t="s">
        <v>952</v>
      </c>
      <c r="C3" s="1750" t="s">
        <v>491</v>
      </c>
      <c r="D3" s="1751" t="s">
        <v>953</v>
      </c>
      <c r="E3" s="1752" t="s">
        <v>541</v>
      </c>
      <c r="F3" s="1715"/>
      <c r="G3" s="1753" t="s">
        <v>542</v>
      </c>
      <c r="H3" s="1754" t="s">
        <v>543</v>
      </c>
      <c r="I3" s="950"/>
      <c r="J3" s="1753" t="s">
        <v>537</v>
      </c>
      <c r="K3" s="1755" t="s">
        <v>954</v>
      </c>
      <c r="M3" s="950"/>
      <c r="N3" s="950"/>
    </row>
    <row r="4" customFormat="false" ht="24.75" hidden="false" customHeight="true" outlineLevel="0" collapsed="false">
      <c r="A4" s="1642" t="s">
        <v>559</v>
      </c>
      <c r="B4" s="1756" t="n">
        <f aca="true">OFFSET('☆掛負収入'!$H$65,$G$24*$G25,0,1,1)-D4</f>
        <v>347973438</v>
      </c>
      <c r="C4" s="1756" t="n">
        <f aca="true">OFFSET('☆掛負収入'!$I$65,$G$24*$G25,0,1,1)</f>
        <v>351591834</v>
      </c>
      <c r="D4" s="1757" t="n">
        <f aca="true">OFFSET('☆掛負収入'!$H$64,$G$24*$G25,0,1,1)</f>
        <v>98124999</v>
      </c>
      <c r="E4" s="1758" t="n">
        <f aca="false">SUM(B4:D4)</f>
        <v>797690271</v>
      </c>
      <c r="F4" s="1721"/>
      <c r="G4" s="1691" t="s">
        <v>559</v>
      </c>
      <c r="H4" s="1759" t="n">
        <f aca="false">還付!J5</f>
        <v>231571</v>
      </c>
      <c r="I4" s="950"/>
      <c r="J4" s="1760" t="s">
        <v>559</v>
      </c>
      <c r="K4" s="1759" t="n">
        <f aca="false">還付!D5+還付!D21</f>
        <v>357223</v>
      </c>
      <c r="M4" s="950"/>
      <c r="N4" s="950"/>
    </row>
    <row r="5" customFormat="false" ht="24.75" hidden="false" customHeight="true" outlineLevel="0" collapsed="false">
      <c r="A5" s="1652" t="s">
        <v>560</v>
      </c>
      <c r="B5" s="1761" t="n">
        <f aca="true">OFFSET('☆掛負収入'!$H$65,$G$24*$G26,0,1,1)-D5</f>
        <v>350309882</v>
      </c>
      <c r="C5" s="1756" t="n">
        <f aca="true">OFFSET('☆掛負収入'!$I$65,$G$24*$G26,0,1,1)</f>
        <v>354839877</v>
      </c>
      <c r="D5" s="1762" t="n">
        <f aca="true">OFFSET('☆掛負収入'!$H$64,$G$24*$G26,0,1,1)</f>
        <v>2899667</v>
      </c>
      <c r="E5" s="1758" t="n">
        <f aca="false">SUM(B5:D5)</f>
        <v>708049426</v>
      </c>
      <c r="F5" s="1721"/>
      <c r="G5" s="1693" t="s">
        <v>560</v>
      </c>
      <c r="H5" s="1763" t="n">
        <f aca="false">還付!J6</f>
        <v>706919</v>
      </c>
      <c r="I5" s="950"/>
      <c r="J5" s="1764" t="s">
        <v>560</v>
      </c>
      <c r="K5" s="1759" t="n">
        <f aca="false">還付!D6+還付!D22</f>
        <v>102683</v>
      </c>
      <c r="M5" s="950"/>
      <c r="N5" s="950"/>
    </row>
    <row r="6" customFormat="false" ht="24.75" hidden="false" customHeight="true" outlineLevel="0" collapsed="false">
      <c r="A6" s="1652" t="s">
        <v>561</v>
      </c>
      <c r="B6" s="1761" t="n">
        <f aca="true">OFFSET('☆掛負収入'!$H$65,$G$24*$G27,0,1,1)-D6</f>
        <v>349909827</v>
      </c>
      <c r="C6" s="1756" t="n">
        <f aca="true">OFFSET('☆掛負収入'!$I$65,$G$24*$G27,0,1,1)</f>
        <v>354141739</v>
      </c>
      <c r="D6" s="1762" t="n">
        <f aca="true">OFFSET('☆掛負収入'!$H$64,$G$24*$G27,0,1,1)</f>
        <v>2880046</v>
      </c>
      <c r="E6" s="1758" t="n">
        <f aca="false">SUM(B6:D6)</f>
        <v>706931612</v>
      </c>
      <c r="F6" s="1721"/>
      <c r="G6" s="1693" t="s">
        <v>561</v>
      </c>
      <c r="H6" s="1763" t="n">
        <f aca="false">還付!J7</f>
        <v>0</v>
      </c>
      <c r="I6" s="950"/>
      <c r="J6" s="1764" t="s">
        <v>561</v>
      </c>
      <c r="K6" s="1759" t="n">
        <f aca="false">還付!D7+還付!D23</f>
        <v>223534</v>
      </c>
      <c r="M6" s="950"/>
      <c r="N6" s="950"/>
    </row>
    <row r="7" customFormat="false" ht="24.75" hidden="false" customHeight="true" outlineLevel="0" collapsed="false">
      <c r="A7" s="1652" t="s">
        <v>886</v>
      </c>
      <c r="B7" s="1761" t="n">
        <f aca="true">OFFSET('☆掛負収入'!$H$65,$G$24*$G28,0,1,1)-D7</f>
        <v>614527425</v>
      </c>
      <c r="C7" s="1756" t="n">
        <f aca="true">OFFSET('☆掛負収入'!$I$65,$G$24*$G28,0,1,1)</f>
        <v>622929746</v>
      </c>
      <c r="D7" s="1765" t="n">
        <f aca="true">OFFSET('☆掛負収入'!$H$64,$G$24*$G28,0,1,1)</f>
        <v>0</v>
      </c>
      <c r="E7" s="1758" t="n">
        <f aca="false">SUM(B7:D7)</f>
        <v>1237457171</v>
      </c>
      <c r="F7" s="1721"/>
      <c r="G7" s="1693" t="s">
        <v>562</v>
      </c>
      <c r="H7" s="1763" t="n">
        <f aca="false">還付!J8</f>
        <v>998736</v>
      </c>
      <c r="I7" s="950"/>
      <c r="J7" s="1764" t="s">
        <v>562</v>
      </c>
      <c r="K7" s="1759" t="n">
        <f aca="false">還付!D8+還付!D24</f>
        <v>285482</v>
      </c>
      <c r="M7" s="950"/>
      <c r="N7" s="950"/>
    </row>
    <row r="8" customFormat="false" ht="24.75" hidden="false" customHeight="true" outlineLevel="0" collapsed="false">
      <c r="A8" s="1652" t="s">
        <v>562</v>
      </c>
      <c r="B8" s="1761" t="n">
        <f aca="true">OFFSET('☆掛負収入'!$H$65,$G$24*$G29,0,1,1)-D8</f>
        <v>355762778</v>
      </c>
      <c r="C8" s="1756" t="n">
        <f aca="true">OFFSET('☆掛負収入'!$I$65,$G$24*$G29,0,1,1)</f>
        <v>360215631</v>
      </c>
      <c r="D8" s="1762" t="n">
        <f aca="true">OFFSET('☆掛負収入'!$H$64,$G$24*$G29,0,1,1)</f>
        <v>2297617</v>
      </c>
      <c r="E8" s="1758" t="n">
        <f aca="false">SUM(B8:D8)</f>
        <v>718276026</v>
      </c>
      <c r="F8" s="1721"/>
      <c r="G8" s="1693" t="s">
        <v>563</v>
      </c>
      <c r="H8" s="1763" t="n">
        <f aca="false">還付!J9</f>
        <v>1560321</v>
      </c>
      <c r="I8" s="950"/>
      <c r="J8" s="1764" t="s">
        <v>563</v>
      </c>
      <c r="K8" s="1759" t="n">
        <f aca="false">還付!D9+還付!D25</f>
        <v>208471</v>
      </c>
      <c r="M8" s="950"/>
      <c r="N8" s="950"/>
    </row>
    <row r="9" customFormat="false" ht="24.75" hidden="false" customHeight="true" outlineLevel="0" collapsed="false">
      <c r="A9" s="1652" t="s">
        <v>563</v>
      </c>
      <c r="B9" s="1761" t="n">
        <f aca="true">OFFSET('☆掛負収入'!$H$65,$G$24*$G30,0,1,1)-D9</f>
        <v>352315508</v>
      </c>
      <c r="C9" s="1756" t="n">
        <f aca="true">OFFSET('☆掛負収入'!$I$65,$G$24*$G30,0,1,1)</f>
        <v>356751068</v>
      </c>
      <c r="D9" s="1762" t="n">
        <f aca="true">OFFSET('☆掛負収入'!$H$64,$G$24*$G30,0,1,1)</f>
        <v>3479204</v>
      </c>
      <c r="E9" s="1758" t="n">
        <f aca="false">SUM(B9:D9)</f>
        <v>712545780</v>
      </c>
      <c r="F9" s="1721"/>
      <c r="G9" s="1693" t="s">
        <v>564</v>
      </c>
      <c r="H9" s="1763" t="n">
        <f aca="false">還付!J10</f>
        <v>1942502</v>
      </c>
      <c r="I9" s="950"/>
      <c r="J9" s="1764" t="s">
        <v>564</v>
      </c>
      <c r="K9" s="1759" t="n">
        <f aca="false">還付!D10+還付!D26</f>
        <v>204325</v>
      </c>
      <c r="M9" s="950"/>
      <c r="N9" s="950"/>
    </row>
    <row r="10" customFormat="false" ht="24.75" hidden="false" customHeight="true" outlineLevel="0" collapsed="false">
      <c r="A10" s="1652" t="s">
        <v>564</v>
      </c>
      <c r="B10" s="1761" t="n">
        <f aca="true">OFFSET('☆掛負収入'!$H$65,$G$24*$G31,0,1,1)-D10</f>
        <v>355719264</v>
      </c>
      <c r="C10" s="1756" t="n">
        <f aca="true">OFFSET('☆掛負収入'!$I$65,$G$24*$G31,0,1,1)</f>
        <v>360138827</v>
      </c>
      <c r="D10" s="1762" t="n">
        <f aca="true">OFFSET('☆掛負収入'!$H$64,$G$24*$G31,0,1,1)</f>
        <v>6877798</v>
      </c>
      <c r="E10" s="1758" t="n">
        <f aca="false">SUM(B10:D10)</f>
        <v>722735889</v>
      </c>
      <c r="F10" s="1721"/>
      <c r="G10" s="1693" t="s">
        <v>565</v>
      </c>
      <c r="H10" s="1763" t="n">
        <f aca="false">還付!J11</f>
        <v>338855</v>
      </c>
      <c r="I10" s="950"/>
      <c r="J10" s="1764" t="s">
        <v>565</v>
      </c>
      <c r="K10" s="1759" t="n">
        <f aca="false">還付!D11+還付!D27</f>
        <v>0</v>
      </c>
      <c r="M10" s="950"/>
      <c r="N10" s="950"/>
    </row>
    <row r="11" customFormat="false" ht="24.75" hidden="false" customHeight="true" outlineLevel="0" collapsed="false">
      <c r="A11" s="1652" t="s">
        <v>565</v>
      </c>
      <c r="B11" s="1761" t="n">
        <f aca="true">OFFSET('☆掛負収入'!$H$65,$G$24*$G32,0,1,1)-D11</f>
        <v>365227784</v>
      </c>
      <c r="C11" s="1756" t="n">
        <f aca="true">OFFSET('☆掛負収入'!$I$65,$G$24*$G32,0,1,1)</f>
        <v>370249515</v>
      </c>
      <c r="D11" s="1762" t="n">
        <f aca="true">OFFSET('☆掛負収入'!$H$64,$G$24*$G32,0,1,1)</f>
        <v>2637097</v>
      </c>
      <c r="E11" s="1758" t="n">
        <f aca="false">SUM(B11:D11)</f>
        <v>738114396</v>
      </c>
      <c r="F11" s="1721"/>
      <c r="G11" s="1693" t="s">
        <v>566</v>
      </c>
      <c r="H11" s="1763" t="n">
        <f aca="false">還付!J12</f>
        <v>352644</v>
      </c>
      <c r="I11" s="950"/>
      <c r="J11" s="1764" t="s">
        <v>566</v>
      </c>
      <c r="K11" s="1759" t="n">
        <f aca="false">還付!D12+還付!D28</f>
        <v>0</v>
      </c>
      <c r="M11" s="950"/>
      <c r="N11" s="950"/>
    </row>
    <row r="12" customFormat="false" ht="24.75" hidden="false" customHeight="true" outlineLevel="0" collapsed="false">
      <c r="A12" s="1652" t="s">
        <v>566</v>
      </c>
      <c r="B12" s="1761" t="n">
        <f aca="true">OFFSET('☆掛負収入'!$H$65,$G$24*$G33,0,1,1)-D12</f>
        <v>364811284</v>
      </c>
      <c r="C12" s="1756" t="n">
        <f aca="true">OFFSET('☆掛負収入'!$I$65,$G$24*$G33,0,1,1)</f>
        <v>369564417</v>
      </c>
      <c r="D12" s="1762" t="n">
        <f aca="true">OFFSET('☆掛負収入'!$H$64,$G$24*$G33,0,1,1)</f>
        <v>1365918</v>
      </c>
      <c r="E12" s="1758" t="n">
        <f aca="false">SUM(B12:D12)</f>
        <v>735741619</v>
      </c>
      <c r="F12" s="1721"/>
      <c r="G12" s="1693" t="s">
        <v>567</v>
      </c>
      <c r="H12" s="1763" t="n">
        <f aca="false">還付!J13</f>
        <v>0</v>
      </c>
      <c r="I12" s="950"/>
      <c r="J12" s="1764" t="s">
        <v>567</v>
      </c>
      <c r="K12" s="1759" t="n">
        <f aca="false">還付!D13+還付!D29</f>
        <v>0</v>
      </c>
      <c r="M12" s="950"/>
      <c r="N12" s="950"/>
    </row>
    <row r="13" customFormat="false" ht="24.75" hidden="false" customHeight="true" outlineLevel="0" collapsed="false">
      <c r="A13" s="1652" t="s">
        <v>887</v>
      </c>
      <c r="B13" s="1761" t="n">
        <f aca="true">OFFSET('☆掛負収入'!$H$65,$G$24*$G34,0,1,1)-D13</f>
        <v>628299535</v>
      </c>
      <c r="C13" s="1756" t="n">
        <f aca="true">OFFSET('☆掛負収入'!$I$65,$G$24*$G34,0,1,1)</f>
        <v>637398784</v>
      </c>
      <c r="D13" s="1765" t="n">
        <f aca="true">OFFSET('☆掛負収入'!$H$64,$G$24*$G34,0,1,1)</f>
        <v>0</v>
      </c>
      <c r="E13" s="1758" t="n">
        <f aca="false">SUM(B13:D13)</f>
        <v>1265698319</v>
      </c>
      <c r="F13" s="1721"/>
      <c r="G13" s="1693" t="s">
        <v>568</v>
      </c>
      <c r="H13" s="1763" t="n">
        <f aca="false">還付!J14</f>
        <v>0</v>
      </c>
      <c r="I13" s="950"/>
      <c r="J13" s="1764" t="s">
        <v>568</v>
      </c>
      <c r="K13" s="1759" t="n">
        <f aca="false">還付!D14+還付!D30</f>
        <v>0</v>
      </c>
      <c r="M13" s="950"/>
      <c r="N13" s="950"/>
    </row>
    <row r="14" customFormat="false" ht="24.75" hidden="false" customHeight="true" outlineLevel="0" collapsed="false">
      <c r="A14" s="1652" t="s">
        <v>567</v>
      </c>
      <c r="B14" s="1761" t="n">
        <f aca="true">OFFSET('☆掛負収入'!$H$65,$G$24*$G35,0,1,1)-D14</f>
        <v>365041686</v>
      </c>
      <c r="C14" s="1756" t="n">
        <f aca="true">OFFSET('☆掛負収入'!$I$65,$G$24*$G35,0,1,1)</f>
        <v>369649168</v>
      </c>
      <c r="D14" s="1766" t="n">
        <f aca="true">OFFSET('☆掛負収入'!$H$64,$G$24*$G35,0,1,1)</f>
        <v>1270075</v>
      </c>
      <c r="E14" s="1758" t="n">
        <f aca="false">SUM(B14:D14)</f>
        <v>735960929</v>
      </c>
      <c r="F14" s="1721"/>
      <c r="G14" s="1693" t="s">
        <v>569</v>
      </c>
      <c r="H14" s="1763" t="n">
        <f aca="false">還付!J15</f>
        <v>0</v>
      </c>
      <c r="I14" s="950"/>
      <c r="J14" s="1764" t="s">
        <v>569</v>
      </c>
      <c r="K14" s="1759" t="n">
        <f aca="false">還付!D15+還付!D31</f>
        <v>0</v>
      </c>
      <c r="M14" s="950"/>
      <c r="N14" s="950"/>
    </row>
    <row r="15" customFormat="false" ht="24.75" hidden="false" customHeight="true" outlineLevel="0" collapsed="false">
      <c r="A15" s="1652" t="s">
        <v>568</v>
      </c>
      <c r="B15" s="1761" t="n">
        <f aca="true">OFFSET('☆掛負収入'!$H$65,$G$24*$G36,0,1,1)-D15</f>
        <v>364666157</v>
      </c>
      <c r="C15" s="1756" t="n">
        <f aca="true">OFFSET('☆掛負収入'!$I$65,$G$24*$G36,0,1,1)</f>
        <v>369664538</v>
      </c>
      <c r="D15" s="1762" t="n">
        <f aca="true">OFFSET('☆掛負収入'!$H$64,$G$24*$G36,0,1,1)</f>
        <v>1487293</v>
      </c>
      <c r="E15" s="1758" t="n">
        <f aca="false">SUM(B15:D15)</f>
        <v>735817988</v>
      </c>
      <c r="F15" s="1721"/>
      <c r="G15" s="1696" t="s">
        <v>570</v>
      </c>
      <c r="H15" s="1767" t="n">
        <f aca="false">還付!J16</f>
        <v>0</v>
      </c>
      <c r="I15" s="950"/>
      <c r="J15" s="1768" t="s">
        <v>570</v>
      </c>
      <c r="K15" s="1759" t="n">
        <f aca="false">還付!D16+還付!D32</f>
        <v>0</v>
      </c>
      <c r="M15" s="950"/>
      <c r="N15" s="950"/>
    </row>
    <row r="16" customFormat="false" ht="24.75" hidden="false" customHeight="true" outlineLevel="0" collapsed="false">
      <c r="A16" s="1652" t="s">
        <v>569</v>
      </c>
      <c r="B16" s="1761" t="n">
        <f aca="true">OFFSET('☆掛負収入'!$H$65,$G$24*$G37,0,1,1)-D16</f>
        <v>364642103</v>
      </c>
      <c r="C16" s="1756" t="n">
        <f aca="true">OFFSET('☆掛負収入'!$I$65,$G$24*$G37,0,1,1)</f>
        <v>369683132</v>
      </c>
      <c r="D16" s="1762" t="n">
        <f aca="true">OFFSET('☆掛負収入'!$H$64,$G$24*$G37,0,1,1)</f>
        <v>873541</v>
      </c>
      <c r="E16" s="1758" t="n">
        <f aca="false">SUM(B16:D16)</f>
        <v>735198776</v>
      </c>
      <c r="F16" s="1721"/>
      <c r="G16" s="1769" t="s">
        <v>571</v>
      </c>
      <c r="H16" s="1770" t="n">
        <f aca="false">SUM(H4:H15)</f>
        <v>6131548</v>
      </c>
      <c r="I16" s="950"/>
      <c r="J16" s="1771" t="s">
        <v>571</v>
      </c>
      <c r="K16" s="1770" t="n">
        <f aca="false">SUM(K4:K15)</f>
        <v>1381718</v>
      </c>
      <c r="M16" s="950"/>
      <c r="N16" s="950"/>
    </row>
    <row r="17" customFormat="false" ht="24.75" hidden="false" customHeight="true" outlineLevel="0" collapsed="false">
      <c r="A17" s="1652" t="s">
        <v>888</v>
      </c>
      <c r="B17" s="1772" t="n">
        <f aca="true">OFFSET('☆掛負収入'!$H$65,$G$24*$G38,0,1,1)-D17</f>
        <v>139822185</v>
      </c>
      <c r="C17" s="1756" t="n">
        <f aca="true">OFFSET('☆掛負収入'!$I$65,$G$24*$G38,0,1,1)</f>
        <v>145829686</v>
      </c>
      <c r="D17" s="1773" t="n">
        <f aca="true">OFFSET('☆掛負収入'!$H$64,$G$24*$G38,0,1,1)</f>
        <v>0</v>
      </c>
      <c r="E17" s="1758" t="n">
        <f aca="false">SUM(B17:D17)</f>
        <v>285651871</v>
      </c>
      <c r="F17" s="1721"/>
      <c r="G17" s="1774"/>
      <c r="H17" s="1713"/>
      <c r="I17" s="950"/>
      <c r="J17" s="950"/>
      <c r="M17" s="950"/>
      <c r="N17" s="950"/>
    </row>
    <row r="18" customFormat="false" ht="24.75" hidden="false" customHeight="true" outlineLevel="0" collapsed="false">
      <c r="A18" s="1652" t="s">
        <v>570</v>
      </c>
      <c r="B18" s="1761" t="n">
        <f aca="true">OFFSET('☆掛負収入'!$H$65,$G$24*$G39,0,1,1)-D18</f>
        <v>355674806</v>
      </c>
      <c r="C18" s="1756" t="n">
        <f aca="true">OFFSET('☆掛負収入'!$I$65,$G$24*$G39,0,1,1)</f>
        <v>359744737</v>
      </c>
      <c r="D18" s="1766" t="n">
        <f aca="true">OFFSET('☆掛負収入'!$H$64,$G$24*$G39,0,1,1)</f>
        <v>112219</v>
      </c>
      <c r="E18" s="1775" t="n">
        <f aca="false">SUM(B18:D18)</f>
        <v>715531762</v>
      </c>
      <c r="F18" s="1721"/>
      <c r="G18" s="1774"/>
      <c r="H18" s="1713"/>
      <c r="I18" s="950"/>
      <c r="J18" s="950"/>
      <c r="M18" s="950"/>
      <c r="N18" s="950"/>
    </row>
    <row r="19" customFormat="false" ht="24.75" hidden="false" customHeight="true" outlineLevel="0" collapsed="false">
      <c r="A19" s="1659" t="s">
        <v>920</v>
      </c>
      <c r="B19" s="1761" t="n">
        <f aca="true">OFFSET('☆掛負収入'!$H$65,$G$24*$G40,0,1,1)-D19</f>
        <v>17812876</v>
      </c>
      <c r="C19" s="1761" t="n">
        <f aca="true">OFFSET('☆掛負収入'!$I$65,$G$24*$G40,0,1,1)</f>
        <v>17802510</v>
      </c>
      <c r="D19" s="1765" t="n">
        <f aca="true">OFFSET('☆掛負収入'!$H$64,$G$24*$G40,0,1,1)</f>
        <v>0</v>
      </c>
      <c r="E19" s="1776" t="n">
        <f aca="false">SUM(B19:D19)</f>
        <v>35615386</v>
      </c>
      <c r="F19" s="1721"/>
      <c r="G19" s="1774"/>
      <c r="H19" s="1713"/>
      <c r="I19" s="950"/>
      <c r="J19" s="950"/>
      <c r="M19" s="950"/>
      <c r="N19" s="950"/>
    </row>
    <row r="20" customFormat="false" ht="24.75" hidden="false" customHeight="true" outlineLevel="0" collapsed="false">
      <c r="A20" s="1660" t="s">
        <v>921</v>
      </c>
      <c r="B20" s="1777" t="n">
        <f aca="true">OFFSET('☆掛負収入'!$H$65,$G$24*$G41,0,1,1)-D20</f>
        <v>17812885</v>
      </c>
      <c r="C20" s="1777" t="n">
        <f aca="true">OFFSET('☆掛負収入'!$I$65,$G$24*$G41,0,1,1)</f>
        <v>17802525</v>
      </c>
      <c r="D20" s="1778" t="n">
        <f aca="true">OFFSET('☆掛負収入'!$H$64,$G$24*$G41,0,1,1)</f>
        <v>0</v>
      </c>
      <c r="E20" s="1779" t="n">
        <f aca="false">SUM(B20:D20)</f>
        <v>35615410</v>
      </c>
      <c r="F20" s="1721"/>
      <c r="G20" s="1774"/>
      <c r="H20" s="1713"/>
      <c r="I20" s="950"/>
      <c r="J20" s="950"/>
      <c r="M20" s="950"/>
      <c r="N20" s="950"/>
    </row>
    <row r="21" customFormat="false" ht="24.75" hidden="false" customHeight="true" outlineLevel="0" collapsed="false">
      <c r="A21" s="1663" t="s">
        <v>571</v>
      </c>
      <c r="B21" s="1780" t="n">
        <f aca="false">SUM(B4:B20)</f>
        <v>5710329423</v>
      </c>
      <c r="C21" s="1780" t="n">
        <f aca="false">SUM(C4:C20)</f>
        <v>5787997734</v>
      </c>
      <c r="D21" s="1781" t="n">
        <f aca="false">SUM(D4:D20)</f>
        <v>124305474</v>
      </c>
      <c r="E21" s="1782" t="n">
        <f aca="false">SUM(E4:E20)</f>
        <v>11622632631</v>
      </c>
      <c r="F21" s="1721"/>
      <c r="G21" s="1774"/>
      <c r="H21" s="1713"/>
      <c r="I21" s="798"/>
      <c r="J21" s="798"/>
      <c r="K21" s="798"/>
      <c r="L21" s="798"/>
      <c r="M21" s="798"/>
      <c r="N21" s="798"/>
    </row>
    <row r="22" customFormat="false" ht="10.5" hidden="false" customHeight="true" outlineLevel="0" collapsed="false">
      <c r="B22" s="1721"/>
      <c r="C22" s="1721"/>
      <c r="D22" s="1721"/>
      <c r="G22" s="1783"/>
      <c r="H22" s="1783"/>
      <c r="K22" s="798"/>
      <c r="L22" s="798"/>
      <c r="O22" s="798"/>
      <c r="P22" s="798"/>
      <c r="Q22" s="798"/>
      <c r="R22" s="798"/>
      <c r="S22" s="798"/>
      <c r="T22" s="798"/>
      <c r="U22" s="798"/>
    </row>
    <row r="23" customFormat="false" ht="29.25" hidden="false" customHeight="true" outlineLevel="0" collapsed="false">
      <c r="A23" s="950" t="s">
        <v>955</v>
      </c>
      <c r="B23" s="950"/>
      <c r="C23" s="950"/>
      <c r="D23" s="950"/>
      <c r="E23" s="799" t="s">
        <v>535</v>
      </c>
      <c r="F23" s="950"/>
      <c r="G23" s="1784" t="s">
        <v>956</v>
      </c>
      <c r="H23" s="1784"/>
      <c r="I23" s="1785"/>
      <c r="J23" s="1748" t="s">
        <v>957</v>
      </c>
      <c r="K23" s="1748"/>
      <c r="M23" s="950"/>
      <c r="N23" s="798"/>
    </row>
    <row r="24" customFormat="false" ht="33" hidden="false" customHeight="true" outlineLevel="0" collapsed="false">
      <c r="A24" s="1630" t="s">
        <v>394</v>
      </c>
      <c r="B24" s="1749" t="s">
        <v>958</v>
      </c>
      <c r="C24" s="1750" t="s">
        <v>491</v>
      </c>
      <c r="D24" s="1751" t="s">
        <v>959</v>
      </c>
      <c r="E24" s="1752" t="s">
        <v>541</v>
      </c>
      <c r="F24" s="1721"/>
      <c r="G24" s="1786" t="n">
        <v>65</v>
      </c>
      <c r="H24" s="1787"/>
      <c r="I24" s="1715"/>
      <c r="J24" s="1753" t="s">
        <v>587</v>
      </c>
      <c r="K24" s="1755" t="s">
        <v>960</v>
      </c>
      <c r="M24" s="950"/>
      <c r="N24" s="950"/>
    </row>
    <row r="25" customFormat="false" ht="24.75" hidden="false" customHeight="true" outlineLevel="0" collapsed="false">
      <c r="A25" s="1642" t="s">
        <v>559</v>
      </c>
      <c r="B25" s="1756" t="n">
        <f aca="false">B4-K4+K25</f>
        <v>347616215</v>
      </c>
      <c r="C25" s="1756" t="n">
        <f aca="false">C4</f>
        <v>351591834</v>
      </c>
      <c r="D25" s="1757" t="n">
        <f aca="false">D4-H4</f>
        <v>97893428</v>
      </c>
      <c r="E25" s="1758" t="n">
        <f aca="false">SUM(B25:D25)</f>
        <v>797101477</v>
      </c>
      <c r="F25" s="1721"/>
      <c r="G25" s="1788" t="n">
        <v>0</v>
      </c>
      <c r="H25" s="1787"/>
      <c r="I25" s="1709"/>
      <c r="J25" s="1691" t="s">
        <v>559</v>
      </c>
      <c r="K25" s="1759" t="n">
        <f aca="false">未納者等入金!D5</f>
        <v>0</v>
      </c>
      <c r="M25" s="950"/>
      <c r="N25" s="950"/>
    </row>
    <row r="26" customFormat="false" ht="24.75" hidden="false" customHeight="true" outlineLevel="0" collapsed="false">
      <c r="A26" s="1652" t="s">
        <v>560</v>
      </c>
      <c r="B26" s="1756" t="n">
        <f aca="false">B5-K5+K26</f>
        <v>350207199</v>
      </c>
      <c r="C26" s="1761" t="n">
        <f aca="false">C5</f>
        <v>354839877</v>
      </c>
      <c r="D26" s="1757" t="n">
        <f aca="false">D5-H5</f>
        <v>2192748</v>
      </c>
      <c r="E26" s="1758" t="n">
        <f aca="false">SUM(B26:D26)</f>
        <v>707239824</v>
      </c>
      <c r="F26" s="1721"/>
      <c r="G26" s="1788" t="n">
        <v>1</v>
      </c>
      <c r="H26" s="1787"/>
      <c r="I26" s="1709"/>
      <c r="J26" s="1693" t="s">
        <v>560</v>
      </c>
      <c r="K26" s="1759" t="n">
        <f aca="false">未納者等入金!D6</f>
        <v>0</v>
      </c>
      <c r="M26" s="950"/>
      <c r="N26" s="950"/>
    </row>
    <row r="27" customFormat="false" ht="24.75" hidden="false" customHeight="true" outlineLevel="0" collapsed="false">
      <c r="A27" s="1652" t="s">
        <v>561</v>
      </c>
      <c r="B27" s="1756" t="n">
        <f aca="false">B6-K6+K27</f>
        <v>349686293</v>
      </c>
      <c r="C27" s="1761" t="n">
        <f aca="false">C6</f>
        <v>354141739</v>
      </c>
      <c r="D27" s="1757" t="n">
        <f aca="false">D6-H6</f>
        <v>2880046</v>
      </c>
      <c r="E27" s="1758" t="n">
        <f aca="false">SUM(B27:D27)</f>
        <v>706708078</v>
      </c>
      <c r="F27" s="1721"/>
      <c r="G27" s="1788" t="n">
        <v>2</v>
      </c>
      <c r="H27" s="1787"/>
      <c r="I27" s="1709"/>
      <c r="J27" s="1693" t="s">
        <v>561</v>
      </c>
      <c r="K27" s="1759" t="n">
        <f aca="false">未納者等入金!D7</f>
        <v>0</v>
      </c>
      <c r="M27" s="950"/>
      <c r="N27" s="950"/>
    </row>
    <row r="28" customFormat="false" ht="24.75" hidden="false" customHeight="true" outlineLevel="0" collapsed="false">
      <c r="A28" s="1652" t="s">
        <v>886</v>
      </c>
      <c r="B28" s="1761" t="n">
        <f aca="false">B7+K28</f>
        <v>614527425</v>
      </c>
      <c r="C28" s="1761" t="n">
        <f aca="false">C7</f>
        <v>622929746</v>
      </c>
      <c r="D28" s="1765" t="n">
        <f aca="false">D7</f>
        <v>0</v>
      </c>
      <c r="E28" s="1758" t="n">
        <f aca="false">SUM(B28:D28)</f>
        <v>1237457171</v>
      </c>
      <c r="F28" s="1721"/>
      <c r="G28" s="1788" t="n">
        <v>3</v>
      </c>
      <c r="H28" s="1787"/>
      <c r="I28" s="1709"/>
      <c r="J28" s="1693" t="s">
        <v>886</v>
      </c>
      <c r="K28" s="1759" t="n">
        <f aca="false">未納者等入金!D8</f>
        <v>0</v>
      </c>
      <c r="M28" s="950"/>
      <c r="N28" s="950"/>
    </row>
    <row r="29" customFormat="false" ht="24.75" hidden="false" customHeight="true" outlineLevel="0" collapsed="false">
      <c r="A29" s="1652" t="s">
        <v>562</v>
      </c>
      <c r="B29" s="1761" t="n">
        <f aca="false">B8-K7+K29</f>
        <v>355477296</v>
      </c>
      <c r="C29" s="1761" t="n">
        <f aca="false">C8</f>
        <v>360215631</v>
      </c>
      <c r="D29" s="1762" t="n">
        <f aca="false">D8-H7</f>
        <v>1298881</v>
      </c>
      <c r="E29" s="1758" t="n">
        <f aca="false">SUM(B29:D29)</f>
        <v>716991808</v>
      </c>
      <c r="F29" s="1721"/>
      <c r="G29" s="1788" t="n">
        <v>4</v>
      </c>
      <c r="H29" s="1787"/>
      <c r="I29" s="1709"/>
      <c r="J29" s="1693" t="s">
        <v>562</v>
      </c>
      <c r="K29" s="1759" t="n">
        <f aca="false">未納者等入金!D9</f>
        <v>0</v>
      </c>
      <c r="M29" s="950"/>
      <c r="N29" s="950"/>
    </row>
    <row r="30" customFormat="false" ht="24.75" hidden="false" customHeight="true" outlineLevel="0" collapsed="false">
      <c r="A30" s="1652" t="s">
        <v>563</v>
      </c>
      <c r="B30" s="1761" t="n">
        <f aca="false">B9-K8+K30</f>
        <v>352107037</v>
      </c>
      <c r="C30" s="1761" t="n">
        <f aca="false">C9</f>
        <v>356751068</v>
      </c>
      <c r="D30" s="1762" t="n">
        <f aca="false">D9-H8</f>
        <v>1918883</v>
      </c>
      <c r="E30" s="1758" t="n">
        <f aca="false">SUM(B30:D30)</f>
        <v>710776988</v>
      </c>
      <c r="F30" s="1721"/>
      <c r="G30" s="1788" t="n">
        <v>5</v>
      </c>
      <c r="H30" s="1787"/>
      <c r="I30" s="1709"/>
      <c r="J30" s="1693" t="s">
        <v>563</v>
      </c>
      <c r="K30" s="1759" t="n">
        <f aca="false">未納者等入金!D10</f>
        <v>0</v>
      </c>
      <c r="M30" s="950"/>
      <c r="N30" s="950"/>
    </row>
    <row r="31" customFormat="false" ht="24.75" hidden="false" customHeight="true" outlineLevel="0" collapsed="false">
      <c r="A31" s="1652" t="s">
        <v>564</v>
      </c>
      <c r="B31" s="1761" t="n">
        <f aca="false">B10-K9+K31</f>
        <v>355514939</v>
      </c>
      <c r="C31" s="1761" t="n">
        <f aca="false">C10</f>
        <v>360138827</v>
      </c>
      <c r="D31" s="1762" t="n">
        <f aca="false">D10-H9</f>
        <v>4935296</v>
      </c>
      <c r="E31" s="1758" t="n">
        <f aca="false">SUM(B31:D31)</f>
        <v>720589062</v>
      </c>
      <c r="F31" s="1721"/>
      <c r="G31" s="1788" t="n">
        <v>6</v>
      </c>
      <c r="H31" s="1787"/>
      <c r="I31" s="1709"/>
      <c r="J31" s="1693" t="s">
        <v>564</v>
      </c>
      <c r="K31" s="1759" t="n">
        <f aca="false">未納者等入金!D11</f>
        <v>0</v>
      </c>
      <c r="M31" s="950"/>
      <c r="N31" s="950"/>
    </row>
    <row r="32" customFormat="false" ht="24.75" hidden="false" customHeight="true" outlineLevel="0" collapsed="false">
      <c r="A32" s="1652" t="s">
        <v>565</v>
      </c>
      <c r="B32" s="1761" t="n">
        <f aca="false">B11-K10+K32</f>
        <v>365227784</v>
      </c>
      <c r="C32" s="1761" t="n">
        <f aca="false">C11</f>
        <v>370249515</v>
      </c>
      <c r="D32" s="1762" t="n">
        <f aca="false">D11-H10</f>
        <v>2298242</v>
      </c>
      <c r="E32" s="1758" t="n">
        <f aca="false">SUM(B32:D32)</f>
        <v>737775541</v>
      </c>
      <c r="F32" s="1721"/>
      <c r="G32" s="1788" t="n">
        <v>7</v>
      </c>
      <c r="H32" s="1787"/>
      <c r="I32" s="1709"/>
      <c r="J32" s="1693" t="s">
        <v>565</v>
      </c>
      <c r="K32" s="1759" t="n">
        <f aca="false">未納者等入金!D12</f>
        <v>0</v>
      </c>
      <c r="M32" s="950"/>
      <c r="N32" s="950"/>
    </row>
    <row r="33" customFormat="false" ht="24.75" hidden="false" customHeight="true" outlineLevel="0" collapsed="false">
      <c r="A33" s="1652" t="s">
        <v>566</v>
      </c>
      <c r="B33" s="1761" t="n">
        <f aca="false">B12-K11+K33</f>
        <v>364811284</v>
      </c>
      <c r="C33" s="1761" t="n">
        <f aca="false">C12</f>
        <v>369564417</v>
      </c>
      <c r="D33" s="1762" t="n">
        <f aca="false">D12-H11</f>
        <v>1013274</v>
      </c>
      <c r="E33" s="1758" t="n">
        <f aca="false">SUM(B33:D33)</f>
        <v>735388975</v>
      </c>
      <c r="F33" s="1721"/>
      <c r="G33" s="1788" t="n">
        <v>8</v>
      </c>
      <c r="H33" s="1787"/>
      <c r="I33" s="1709"/>
      <c r="J33" s="1693" t="s">
        <v>566</v>
      </c>
      <c r="K33" s="1759" t="n">
        <f aca="false">未納者等入金!D13</f>
        <v>0</v>
      </c>
      <c r="M33" s="950"/>
      <c r="N33" s="950"/>
    </row>
    <row r="34" customFormat="false" ht="24.75" hidden="false" customHeight="true" outlineLevel="0" collapsed="false">
      <c r="A34" s="1652" t="s">
        <v>887</v>
      </c>
      <c r="B34" s="1761" t="n">
        <f aca="false">B13+K34</f>
        <v>628299535</v>
      </c>
      <c r="C34" s="1761" t="n">
        <f aca="false">C13</f>
        <v>637398784</v>
      </c>
      <c r="D34" s="1765" t="n">
        <f aca="false">D13</f>
        <v>0</v>
      </c>
      <c r="E34" s="1758" t="n">
        <f aca="false">SUM(B34:D34)</f>
        <v>1265698319</v>
      </c>
      <c r="F34" s="1721"/>
      <c r="G34" s="1788" t="n">
        <v>9</v>
      </c>
      <c r="H34" s="1787"/>
      <c r="I34" s="1709"/>
      <c r="J34" s="1693" t="s">
        <v>887</v>
      </c>
      <c r="K34" s="1759" t="n">
        <f aca="false">未納者等入金!D14</f>
        <v>0</v>
      </c>
      <c r="M34" s="950"/>
      <c r="N34" s="950"/>
    </row>
    <row r="35" customFormat="false" ht="24.75" hidden="false" customHeight="true" outlineLevel="0" collapsed="false">
      <c r="A35" s="1652" t="s">
        <v>567</v>
      </c>
      <c r="B35" s="1761" t="n">
        <f aca="false">B14-K12+K35</f>
        <v>365041686</v>
      </c>
      <c r="C35" s="1761" t="n">
        <f aca="false">C14</f>
        <v>369649168</v>
      </c>
      <c r="D35" s="1766" t="n">
        <f aca="false">D14-H12</f>
        <v>1270075</v>
      </c>
      <c r="E35" s="1758" t="n">
        <f aca="false">SUM(B35:D35)</f>
        <v>735960929</v>
      </c>
      <c r="F35" s="1721"/>
      <c r="G35" s="1788" t="n">
        <v>10</v>
      </c>
      <c r="H35" s="1787"/>
      <c r="I35" s="1709"/>
      <c r="J35" s="1693" t="s">
        <v>567</v>
      </c>
      <c r="K35" s="1759" t="n">
        <f aca="false">未納者等入金!D15</f>
        <v>0</v>
      </c>
      <c r="M35" s="950"/>
      <c r="N35" s="950"/>
    </row>
    <row r="36" customFormat="false" ht="24.75" hidden="false" customHeight="true" outlineLevel="0" collapsed="false">
      <c r="A36" s="1652" t="s">
        <v>568</v>
      </c>
      <c r="B36" s="1761" t="n">
        <f aca="false">B15-K13+K36</f>
        <v>364666157</v>
      </c>
      <c r="C36" s="1761" t="n">
        <f aca="false">C15</f>
        <v>369664538</v>
      </c>
      <c r="D36" s="1766" t="n">
        <f aca="false">D15-H13</f>
        <v>1487293</v>
      </c>
      <c r="E36" s="1758" t="n">
        <f aca="false">SUM(B36:D36)</f>
        <v>735817988</v>
      </c>
      <c r="F36" s="1721"/>
      <c r="G36" s="1788" t="n">
        <v>11</v>
      </c>
      <c r="H36" s="1787"/>
      <c r="I36" s="1709"/>
      <c r="J36" s="1693" t="s">
        <v>568</v>
      </c>
      <c r="K36" s="1759" t="n">
        <f aca="false">未納者等入金!D16</f>
        <v>0</v>
      </c>
      <c r="M36" s="950"/>
      <c r="N36" s="950"/>
    </row>
    <row r="37" customFormat="false" ht="24.75" hidden="false" customHeight="true" outlineLevel="0" collapsed="false">
      <c r="A37" s="1652" t="s">
        <v>569</v>
      </c>
      <c r="B37" s="1761" t="n">
        <f aca="false">B16-K14+K37</f>
        <v>364642103</v>
      </c>
      <c r="C37" s="1761" t="n">
        <f aca="false">C16</f>
        <v>369683132</v>
      </c>
      <c r="D37" s="1766" t="n">
        <f aca="false">D16-H14</f>
        <v>873541</v>
      </c>
      <c r="E37" s="1758" t="n">
        <f aca="false">SUM(B37:D37)</f>
        <v>735198776</v>
      </c>
      <c r="F37" s="1721"/>
      <c r="G37" s="1788" t="n">
        <v>12</v>
      </c>
      <c r="H37" s="1787"/>
      <c r="I37" s="1709"/>
      <c r="J37" s="1693" t="s">
        <v>569</v>
      </c>
      <c r="K37" s="1759" t="n">
        <f aca="false">未納者等入金!D17</f>
        <v>0</v>
      </c>
      <c r="M37" s="950"/>
      <c r="N37" s="950"/>
    </row>
    <row r="38" customFormat="false" ht="24.75" hidden="false" customHeight="true" outlineLevel="0" collapsed="false">
      <c r="A38" s="1652" t="s">
        <v>888</v>
      </c>
      <c r="B38" s="1772" t="n">
        <f aca="false">B17+K38</f>
        <v>139822185</v>
      </c>
      <c r="C38" s="1761" t="n">
        <f aca="false">C17</f>
        <v>145829686</v>
      </c>
      <c r="D38" s="1773" t="n">
        <f aca="false">D17</f>
        <v>0</v>
      </c>
      <c r="E38" s="1758" t="n">
        <f aca="false">SUM(B38:D38)</f>
        <v>285651871</v>
      </c>
      <c r="F38" s="1721"/>
      <c r="G38" s="1788" t="n">
        <v>13</v>
      </c>
      <c r="H38" s="1787"/>
      <c r="I38" s="1709"/>
      <c r="J38" s="1696" t="s">
        <v>888</v>
      </c>
      <c r="K38" s="1759" t="n">
        <f aca="false">未納者等入金!D18</f>
        <v>0</v>
      </c>
      <c r="M38" s="950"/>
      <c r="N38" s="950"/>
    </row>
    <row r="39" customFormat="false" ht="24.75" hidden="false" customHeight="true" outlineLevel="0" collapsed="false">
      <c r="A39" s="1652" t="s">
        <v>570</v>
      </c>
      <c r="B39" s="1761" t="n">
        <f aca="false">B18-K15+K39</f>
        <v>355674806</v>
      </c>
      <c r="C39" s="1761" t="n">
        <f aca="false">C18</f>
        <v>359744737</v>
      </c>
      <c r="D39" s="1766" t="n">
        <f aca="false">D18-H15</f>
        <v>112219</v>
      </c>
      <c r="E39" s="1775" t="n">
        <f aca="false">SUM(B39:D39)</f>
        <v>715531762</v>
      </c>
      <c r="F39" s="1721"/>
      <c r="G39" s="1788" t="n">
        <v>14</v>
      </c>
      <c r="H39" s="1787"/>
      <c r="I39" s="1709"/>
      <c r="J39" s="1696" t="s">
        <v>570</v>
      </c>
      <c r="K39" s="1759" t="n">
        <f aca="false">未納者等入金!D19</f>
        <v>0</v>
      </c>
      <c r="M39" s="950"/>
      <c r="N39" s="950"/>
    </row>
    <row r="40" customFormat="false" ht="24.75" hidden="false" customHeight="true" outlineLevel="0" collapsed="false">
      <c r="A40" s="1659" t="s">
        <v>920</v>
      </c>
      <c r="B40" s="1761" t="n">
        <f aca="false">B19+K40</f>
        <v>17812876</v>
      </c>
      <c r="C40" s="1761" t="n">
        <f aca="false">C19</f>
        <v>17802510</v>
      </c>
      <c r="D40" s="1765" t="n">
        <f aca="false">D19</f>
        <v>0</v>
      </c>
      <c r="E40" s="1776" t="n">
        <f aca="false">SUM(B40:D40)</f>
        <v>35615386</v>
      </c>
      <c r="F40" s="1721"/>
      <c r="G40" s="1788" t="n">
        <v>15</v>
      </c>
      <c r="H40" s="950"/>
      <c r="I40" s="1709"/>
      <c r="J40" s="1696" t="s">
        <v>920</v>
      </c>
      <c r="K40" s="1789" t="n">
        <f aca="false">未納者等入金!D20</f>
        <v>0</v>
      </c>
      <c r="M40" s="950"/>
      <c r="N40" s="950"/>
    </row>
    <row r="41" customFormat="false" ht="24.75" hidden="false" customHeight="true" outlineLevel="0" collapsed="false">
      <c r="A41" s="1660" t="s">
        <v>921</v>
      </c>
      <c r="B41" s="1777" t="n">
        <f aca="false">B20+K41</f>
        <v>17812885</v>
      </c>
      <c r="C41" s="1777" t="n">
        <f aca="false">C20</f>
        <v>17802525</v>
      </c>
      <c r="D41" s="1778" t="n">
        <f aca="false">D20</f>
        <v>0</v>
      </c>
      <c r="E41" s="1779" t="n">
        <f aca="false">SUM(B41:D41)</f>
        <v>35615410</v>
      </c>
      <c r="F41" s="1721"/>
      <c r="G41" s="1790" t="n">
        <v>16</v>
      </c>
      <c r="H41" s="950"/>
      <c r="I41" s="1709"/>
      <c r="J41" s="1791" t="s">
        <v>921</v>
      </c>
      <c r="K41" s="1792" t="n">
        <f aca="false">未納者等入金!D21</f>
        <v>0</v>
      </c>
      <c r="M41" s="950"/>
      <c r="N41" s="950"/>
    </row>
    <row r="42" customFormat="false" ht="24.75" hidden="false" customHeight="true" outlineLevel="0" collapsed="false">
      <c r="A42" s="1663" t="s">
        <v>571</v>
      </c>
      <c r="B42" s="1780" t="n">
        <f aca="false">SUM(B25:B41)</f>
        <v>5708947705</v>
      </c>
      <c r="C42" s="1780" t="n">
        <f aca="false">SUM(C25:C41)</f>
        <v>5787997734</v>
      </c>
      <c r="D42" s="1781" t="n">
        <f aca="false">SUM(D25:D41)</f>
        <v>118173926</v>
      </c>
      <c r="E42" s="1782" t="n">
        <f aca="false">SUM(E25:E41)</f>
        <v>11615119365</v>
      </c>
      <c r="F42" s="1721"/>
      <c r="I42" s="1709"/>
      <c r="J42" s="1769" t="s">
        <v>571</v>
      </c>
      <c r="K42" s="1770" t="n">
        <f aca="false">SUM(K25:K41)</f>
        <v>0</v>
      </c>
      <c r="L42" s="798"/>
      <c r="M42" s="798"/>
      <c r="N42" s="950"/>
    </row>
    <row r="43" customFormat="false" ht="7.5" hidden="false" customHeight="true" outlineLevel="0" collapsed="false">
      <c r="G43" s="1787"/>
      <c r="H43" s="1787"/>
      <c r="K43" s="1709"/>
      <c r="L43" s="798"/>
      <c r="O43" s="798"/>
      <c r="P43" s="798"/>
      <c r="Q43" s="793"/>
      <c r="R43" s="793"/>
      <c r="S43" s="798"/>
      <c r="T43" s="798"/>
      <c r="U43" s="798"/>
    </row>
    <row r="44" s="1623" customFormat="true" ht="22.5" hidden="false" customHeight="true" outlineLevel="0" collapsed="false">
      <c r="A44" s="1744" t="str">
        <f aca="false">A1</f>
        <v>令和8年度</v>
      </c>
      <c r="B44" s="1745" t="s">
        <v>961</v>
      </c>
      <c r="C44" s="1746"/>
      <c r="D44" s="1745"/>
      <c r="E44" s="1746"/>
      <c r="F44" s="1746"/>
      <c r="G44" s="1745"/>
    </row>
    <row r="45" s="798" customFormat="true" ht="30" hidden="false" customHeight="true" outlineLevel="0" collapsed="false">
      <c r="A45" s="1793" t="s">
        <v>962</v>
      </c>
      <c r="B45" s="1793"/>
      <c r="C45" s="1793"/>
      <c r="D45" s="950"/>
      <c r="E45" s="799" t="s">
        <v>535</v>
      </c>
      <c r="F45" s="1721"/>
      <c r="G45" s="1794" t="s">
        <v>963</v>
      </c>
      <c r="H45" s="1795"/>
      <c r="I45" s="1721"/>
      <c r="J45" s="1721"/>
      <c r="K45" s="1709"/>
      <c r="N45" s="1795"/>
      <c r="O45" s="1721"/>
      <c r="P45" s="1721"/>
      <c r="Q45" s="1721"/>
    </row>
    <row r="46" s="798" customFormat="true" ht="32.25" hidden="false" customHeight="true" outlineLevel="0" collapsed="false">
      <c r="A46" s="1630" t="s">
        <v>394</v>
      </c>
      <c r="B46" s="1749" t="s">
        <v>964</v>
      </c>
      <c r="C46" s="1750" t="s">
        <v>491</v>
      </c>
      <c r="D46" s="1751" t="s">
        <v>857</v>
      </c>
      <c r="E46" s="1752" t="s">
        <v>541</v>
      </c>
      <c r="F46" s="1721"/>
      <c r="G46" s="1796" t="n">
        <v>31</v>
      </c>
      <c r="H46" s="1715"/>
      <c r="I46" s="1715"/>
      <c r="J46" s="1797"/>
      <c r="K46" s="1709"/>
      <c r="M46" s="1741"/>
      <c r="N46" s="1715"/>
      <c r="O46" s="1715"/>
      <c r="P46" s="1797"/>
      <c r="Q46" s="1715"/>
    </row>
    <row r="47" s="798" customFormat="true" ht="24.75" hidden="false" customHeight="true" outlineLevel="0" collapsed="false">
      <c r="A47" s="1642" t="s">
        <v>559</v>
      </c>
      <c r="B47" s="1756" t="n">
        <f aca="true">SUM(OFFSET(('☆振替R7'!$I$6:$J$6),$G$46*G47,0))</f>
        <v>16087139</v>
      </c>
      <c r="C47" s="1756" t="n">
        <f aca="true">SUM(OFFSET(('☆振替R7'!$I$21:$J$21),$G$46*G47,0))</f>
        <v>16069343</v>
      </c>
      <c r="D47" s="1757" t="n">
        <f aca="true">SUM(OFFSET(('☆振替R7'!$I$8:$J$8),$G$46*G47,0))</f>
        <v>4530358</v>
      </c>
      <c r="E47" s="1758" t="n">
        <f aca="false">SUM(B47:D47)</f>
        <v>36686840</v>
      </c>
      <c r="F47" s="1721"/>
      <c r="G47" s="1798" t="n">
        <v>0</v>
      </c>
      <c r="H47" s="1709"/>
      <c r="I47" s="1709"/>
      <c r="J47" s="1709"/>
      <c r="K47" s="1709"/>
      <c r="N47" s="1709"/>
      <c r="O47" s="1709"/>
      <c r="P47" s="1709"/>
      <c r="Q47" s="1709"/>
      <c r="R47" s="1738"/>
    </row>
    <row r="48" s="798" customFormat="true" ht="24.75" hidden="false" customHeight="true" outlineLevel="0" collapsed="false">
      <c r="A48" s="1652" t="s">
        <v>560</v>
      </c>
      <c r="B48" s="1756" t="n">
        <f aca="true">SUM(OFFSET(('☆振替R7'!$I$6:$J$6),$G$46*G48,0))</f>
        <v>16207045</v>
      </c>
      <c r="C48" s="1756" t="n">
        <f aca="true">SUM(OFFSET(('☆振替R7'!$I$21:$J$21),$G$46*G48,0))</f>
        <v>16218014</v>
      </c>
      <c r="D48" s="1757" t="n">
        <f aca="true">SUM(OFFSET(('☆振替R7'!$I$8:$J$8),$G$46*G48,0))</f>
        <v>101478</v>
      </c>
      <c r="E48" s="1758" t="n">
        <f aca="false">SUM(B48:D48)</f>
        <v>32526537</v>
      </c>
      <c r="F48" s="1721"/>
      <c r="G48" s="1798" t="n">
        <v>1</v>
      </c>
      <c r="H48" s="1709"/>
      <c r="I48" s="1709"/>
      <c r="J48" s="1709"/>
      <c r="K48" s="1709"/>
      <c r="N48" s="1709"/>
      <c r="O48" s="1709"/>
      <c r="P48" s="1709"/>
      <c r="Q48" s="1709"/>
      <c r="R48" s="1738"/>
    </row>
    <row r="49" s="798" customFormat="true" ht="24.75" hidden="false" customHeight="true" outlineLevel="0" collapsed="false">
      <c r="A49" s="1652" t="s">
        <v>561</v>
      </c>
      <c r="B49" s="1756" t="n">
        <f aca="true">SUM(OFFSET(('☆振替R7'!$I$6:$J$6),$G$46*G49,0))</f>
        <v>16182939</v>
      </c>
      <c r="C49" s="1756" t="n">
        <f aca="true">SUM(OFFSET(('☆振替R7'!$I$21:$J$21),$G$46*G49,0))</f>
        <v>16186128</v>
      </c>
      <c r="D49" s="1757" t="n">
        <f aca="true">SUM(OFFSET(('☆振替R7'!$I$8:$J$8),$G$46*G49,0))</f>
        <v>133286</v>
      </c>
      <c r="E49" s="1758" t="n">
        <f aca="false">SUM(B49:D49)</f>
        <v>32502353</v>
      </c>
      <c r="F49" s="1721"/>
      <c r="G49" s="1798" t="n">
        <v>2</v>
      </c>
      <c r="H49" s="1709"/>
      <c r="I49" s="1709"/>
      <c r="J49" s="1709"/>
      <c r="K49" s="1709"/>
      <c r="N49" s="1709"/>
      <c r="O49" s="1709"/>
      <c r="P49" s="1709"/>
      <c r="Q49" s="1709"/>
      <c r="R49" s="1738"/>
    </row>
    <row r="50" s="798" customFormat="true" ht="24.75" hidden="false" customHeight="true" outlineLevel="0" collapsed="false">
      <c r="A50" s="1652" t="s">
        <v>886</v>
      </c>
      <c r="B50" s="1756" t="n">
        <f aca="true">SUM(OFFSET(('☆振替R7'!$I$6:$J$6),$G$46*G50,0))</f>
        <v>28439374</v>
      </c>
      <c r="C50" s="1756" t="n">
        <f aca="true">SUM(OFFSET(('☆振替R7'!$I$21:$J$21),$G$46*G50,0))</f>
        <v>28443995</v>
      </c>
      <c r="D50" s="1757" t="n">
        <f aca="true">SUM(OFFSET(('☆振替R7'!$I$8:$J$8),$G$46*G50,0))</f>
        <v>0</v>
      </c>
      <c r="E50" s="1758" t="n">
        <f aca="false">SUM(B50:D50)</f>
        <v>56883369</v>
      </c>
      <c r="F50" s="1721"/>
      <c r="G50" s="1798" t="n">
        <v>3</v>
      </c>
      <c r="H50" s="1709"/>
      <c r="I50" s="1709"/>
      <c r="J50" s="1709"/>
      <c r="K50" s="1709"/>
      <c r="N50" s="1709"/>
      <c r="O50" s="1709"/>
      <c r="P50" s="1709"/>
      <c r="Q50" s="1709"/>
      <c r="R50" s="1738"/>
    </row>
    <row r="51" s="798" customFormat="true" ht="24.75" hidden="false" customHeight="true" outlineLevel="0" collapsed="false">
      <c r="A51" s="1652" t="s">
        <v>562</v>
      </c>
      <c r="B51" s="1756" t="n">
        <f aca="true">SUM(OFFSET(('☆振替R7'!$I$6:$J$6),$G$46*G51,0))</f>
        <v>16450937</v>
      </c>
      <c r="C51" s="1756" t="n">
        <f aca="true">SUM(OFFSET(('☆振替R7'!$I$21:$J$21),$G$46*G51,0))</f>
        <v>16462923</v>
      </c>
      <c r="D51" s="1757" t="n">
        <f aca="true">SUM(OFFSET(('☆振替R7'!$I$8:$J$8),$G$46*G51,0))</f>
        <v>60112</v>
      </c>
      <c r="E51" s="1758" t="n">
        <f aca="false">SUM(B51:D51)</f>
        <v>32973972</v>
      </c>
      <c r="F51" s="1721"/>
      <c r="G51" s="1798" t="n">
        <v>4</v>
      </c>
      <c r="H51" s="1709"/>
      <c r="I51" s="1709"/>
      <c r="J51" s="1709"/>
      <c r="K51" s="1709"/>
      <c r="N51" s="1709"/>
      <c r="O51" s="1709"/>
      <c r="P51" s="1709"/>
      <c r="Q51" s="1709"/>
      <c r="R51" s="1738"/>
    </row>
    <row r="52" s="798" customFormat="true" ht="24.75" hidden="false" customHeight="true" outlineLevel="0" collapsed="false">
      <c r="A52" s="1652" t="s">
        <v>563</v>
      </c>
      <c r="B52" s="1756" t="n">
        <f aca="true">SUM(OFFSET(('☆振替R7'!$I$6:$J$6),$G$46*G52,0))</f>
        <v>16294968</v>
      </c>
      <c r="C52" s="1756" t="n">
        <f aca="true">SUM(OFFSET(('☆振替R7'!$I$21:$J$21),$G$46*G52,0))</f>
        <v>16304905</v>
      </c>
      <c r="D52" s="1757" t="n">
        <f aca="true">SUM(OFFSET(('☆振替R7'!$I$8:$J$8),$G$46*G52,0))</f>
        <v>88805</v>
      </c>
      <c r="E52" s="1758" t="n">
        <f aca="false">SUM(B52:D52)</f>
        <v>32688678</v>
      </c>
      <c r="F52" s="1721"/>
      <c r="G52" s="1798" t="n">
        <v>5</v>
      </c>
      <c r="H52" s="1709"/>
      <c r="I52" s="1709"/>
      <c r="J52" s="1709"/>
      <c r="K52" s="1709"/>
      <c r="N52" s="1709"/>
      <c r="O52" s="1709"/>
      <c r="P52" s="1709"/>
      <c r="Q52" s="1709"/>
      <c r="R52" s="1738"/>
    </row>
    <row r="53" s="798" customFormat="true" ht="24.75" hidden="false" customHeight="true" outlineLevel="0" collapsed="false">
      <c r="A53" s="1652" t="s">
        <v>564</v>
      </c>
      <c r="B53" s="1756" t="n">
        <f aca="true">SUM(OFFSET(('☆振替R7'!$I$6:$J$6),$G$46*G53,0))</f>
        <v>16452679</v>
      </c>
      <c r="C53" s="1756" t="n">
        <f aca="true">SUM(OFFSET(('☆振替R7'!$I$21:$J$21),$G$46*G53,0))</f>
        <v>16458938</v>
      </c>
      <c r="D53" s="1757" t="n">
        <f aca="true">SUM(OFFSET(('☆振替R7'!$I$8:$J$8),$G$46*G53,0))</f>
        <v>228400</v>
      </c>
      <c r="E53" s="1758" t="n">
        <f aca="false">SUM(B53:D53)</f>
        <v>33140017</v>
      </c>
      <c r="F53" s="1721"/>
      <c r="G53" s="1798" t="n">
        <v>6</v>
      </c>
      <c r="H53" s="1709"/>
      <c r="I53" s="1709"/>
      <c r="J53" s="1709"/>
      <c r="K53" s="1709"/>
      <c r="N53" s="1709"/>
      <c r="O53" s="1709"/>
      <c r="P53" s="1709"/>
      <c r="Q53" s="1709"/>
      <c r="R53" s="1738"/>
    </row>
    <row r="54" s="798" customFormat="true" ht="24.75" hidden="false" customHeight="true" outlineLevel="0" collapsed="false">
      <c r="A54" s="1652" t="s">
        <v>565</v>
      </c>
      <c r="B54" s="1756" t="n">
        <f aca="true">SUM(OFFSET(('☆振替R7'!$I$6:$J$6),$G$46*G54,0))</f>
        <v>16902174</v>
      </c>
      <c r="C54" s="1756" t="n">
        <f aca="true">SUM(OFFSET(('☆振替R7'!$I$21:$J$21),$G$46*G54,0))</f>
        <v>16920887</v>
      </c>
      <c r="D54" s="1757" t="n">
        <f aca="true">SUM(OFFSET(('☆振替R7'!$I$8:$J$8),$G$46*G54,0))</f>
        <v>106362</v>
      </c>
      <c r="E54" s="1758" t="n">
        <f aca="false">SUM(B54:D54)</f>
        <v>33929423</v>
      </c>
      <c r="F54" s="1721"/>
      <c r="G54" s="1798" t="n">
        <v>7</v>
      </c>
      <c r="H54" s="1709"/>
      <c r="I54" s="1709"/>
      <c r="J54" s="1709"/>
      <c r="K54" s="1709"/>
      <c r="N54" s="1709"/>
      <c r="O54" s="1709"/>
      <c r="P54" s="1709"/>
      <c r="Q54" s="1709"/>
      <c r="R54" s="1738"/>
    </row>
    <row r="55" s="798" customFormat="true" ht="24.75" hidden="false" customHeight="true" outlineLevel="0" collapsed="false">
      <c r="A55" s="1652" t="s">
        <v>566</v>
      </c>
      <c r="B55" s="1756" t="n">
        <f aca="true">SUM(OFFSET(('☆振替R7'!$I$6:$J$6),$G$46*G55,0))</f>
        <v>16882899</v>
      </c>
      <c r="C55" s="1756" t="n">
        <f aca="true">SUM(OFFSET(('☆振替R7'!$I$21:$J$21),$G$46*G55,0))</f>
        <v>16889618</v>
      </c>
      <c r="D55" s="1757" t="n">
        <f aca="true">SUM(OFFSET(('☆振替R7'!$I$8:$J$8),$G$46*G55,0))</f>
        <v>46895</v>
      </c>
      <c r="E55" s="1758" t="n">
        <f aca="false">SUM(B55:D55)</f>
        <v>33819412</v>
      </c>
      <c r="F55" s="1721"/>
      <c r="G55" s="1798" t="n">
        <v>8</v>
      </c>
      <c r="H55" s="1709"/>
      <c r="I55" s="1709"/>
      <c r="J55" s="1709"/>
      <c r="K55" s="1709"/>
      <c r="N55" s="1709"/>
      <c r="O55" s="1709"/>
      <c r="P55" s="1709"/>
      <c r="Q55" s="1709"/>
      <c r="R55" s="1738"/>
    </row>
    <row r="56" s="798" customFormat="true" ht="24.75" hidden="false" customHeight="true" outlineLevel="0" collapsed="false">
      <c r="A56" s="1652" t="s">
        <v>887</v>
      </c>
      <c r="B56" s="1756" t="n">
        <f aca="true">SUM(OFFSET(('☆振替R7'!$I$6:$J$6),$G$46*G56,0))</f>
        <v>29076725</v>
      </c>
      <c r="C56" s="1756" t="n">
        <f aca="true">SUM(OFFSET(('☆振替R7'!$I$21:$J$21),$G$46*G56,0))</f>
        <v>29105178</v>
      </c>
      <c r="D56" s="1757" t="n">
        <f aca="true">SUM(OFFSET(('☆振替R7'!$I$8:$J$8),$G$46*G56,0))</f>
        <v>0</v>
      </c>
      <c r="E56" s="1758" t="n">
        <f aca="false">SUM(B56:D56)</f>
        <v>58181903</v>
      </c>
      <c r="F56" s="1721"/>
      <c r="G56" s="1798" t="n">
        <v>9</v>
      </c>
      <c r="H56" s="1709"/>
      <c r="I56" s="1709"/>
      <c r="J56" s="1709"/>
      <c r="K56" s="1709"/>
      <c r="N56" s="1709"/>
      <c r="O56" s="1709"/>
      <c r="P56" s="1709"/>
      <c r="Q56" s="1709"/>
      <c r="R56" s="1738"/>
    </row>
    <row r="57" s="798" customFormat="true" ht="24.75" hidden="false" customHeight="true" outlineLevel="0" collapsed="false">
      <c r="A57" s="1652" t="s">
        <v>567</v>
      </c>
      <c r="B57" s="1756" t="n">
        <f aca="true">SUM(OFFSET(('☆振替R7'!$I$6:$J$6),$G$46*G57,0))</f>
        <v>16893563</v>
      </c>
      <c r="C57" s="1756" t="n">
        <f aca="true">SUM(OFFSET(('☆振替R7'!$I$21:$J$21),$G$46*G57,0))</f>
        <v>16893440</v>
      </c>
      <c r="D57" s="1757" t="n">
        <f aca="true">SUM(OFFSET(('☆振替R7'!$I$8:$J$8),$G$46*G57,0))</f>
        <v>58779</v>
      </c>
      <c r="E57" s="1758" t="n">
        <f aca="false">SUM(B57:D57)</f>
        <v>33845782</v>
      </c>
      <c r="F57" s="1721"/>
      <c r="G57" s="1798" t="n">
        <v>10</v>
      </c>
      <c r="H57" s="1709"/>
      <c r="I57" s="1709"/>
      <c r="J57" s="1709"/>
      <c r="K57" s="1709"/>
      <c r="L57" s="1799"/>
      <c r="N57" s="1709"/>
      <c r="O57" s="1709"/>
      <c r="P57" s="1709"/>
      <c r="Q57" s="1709"/>
      <c r="R57" s="1738"/>
    </row>
    <row r="58" s="798" customFormat="true" ht="24.75" hidden="false" customHeight="true" outlineLevel="0" collapsed="false">
      <c r="A58" s="1652" t="s">
        <v>568</v>
      </c>
      <c r="B58" s="1756" t="n">
        <f aca="true">SUM(OFFSET(('☆振替R7'!$I$6:$J$6),$G$46*G58,0))</f>
        <v>16876183</v>
      </c>
      <c r="C58" s="1756" t="n">
        <f aca="true">SUM(OFFSET(('☆振替R7'!$I$21:$J$21),$G$46*G58,0))</f>
        <v>16894418</v>
      </c>
      <c r="D58" s="1757" t="n">
        <f aca="true">SUM(OFFSET(('☆振替R7'!$I$8:$J$8),$G$46*G58,0))</f>
        <v>68832</v>
      </c>
      <c r="E58" s="1758" t="n">
        <f aca="false">SUM(B58:D58)</f>
        <v>33839433</v>
      </c>
      <c r="F58" s="1721"/>
      <c r="G58" s="1798" t="n">
        <v>11</v>
      </c>
      <c r="H58" s="1709"/>
      <c r="I58" s="1709"/>
      <c r="J58" s="1709"/>
      <c r="K58" s="1709"/>
      <c r="L58" s="1799"/>
      <c r="N58" s="1709"/>
      <c r="O58" s="1709"/>
      <c r="P58" s="1709"/>
      <c r="Q58" s="1709"/>
      <c r="R58" s="1738"/>
    </row>
    <row r="59" s="798" customFormat="true" ht="24.75" hidden="false" customHeight="true" outlineLevel="0" collapsed="false">
      <c r="A59" s="1652" t="s">
        <v>569</v>
      </c>
      <c r="B59" s="1756" t="n">
        <f aca="true">SUM(OFFSET(('☆振替R7'!$I$6:$J$6),$G$46*G59,0))</f>
        <v>16875070</v>
      </c>
      <c r="C59" s="1756" t="n">
        <f aca="true">SUM(OFFSET(('☆振替R7'!$I$21:$J$21),$G$46*G59,0))</f>
        <v>16895087</v>
      </c>
      <c r="D59" s="1757" t="n">
        <f aca="true">SUM(OFFSET(('☆振替R7'!$I$8:$J$8),$G$46*G59,0))</f>
        <v>40428</v>
      </c>
      <c r="E59" s="1758" t="n">
        <f aca="false">SUM(B59:D59)</f>
        <v>33810585</v>
      </c>
      <c r="F59" s="1721"/>
      <c r="G59" s="1798" t="n">
        <v>12</v>
      </c>
      <c r="H59" s="1709"/>
      <c r="I59" s="1709"/>
      <c r="J59" s="1709"/>
      <c r="K59" s="1709"/>
      <c r="L59" s="1741"/>
      <c r="N59" s="1709"/>
      <c r="O59" s="1709"/>
      <c r="P59" s="1709"/>
      <c r="Q59" s="1709"/>
      <c r="R59" s="1738"/>
    </row>
    <row r="60" s="798" customFormat="true" ht="24.75" hidden="false" customHeight="true" outlineLevel="0" collapsed="false">
      <c r="A60" s="1652" t="s">
        <v>888</v>
      </c>
      <c r="B60" s="1756" t="n">
        <f aca="true">SUM(OFFSET(('☆振替R7'!$I$6:$J$6),$G$46*G60,0))</f>
        <v>6470755</v>
      </c>
      <c r="C60" s="1756" t="n">
        <f aca="true">SUM(OFFSET(('☆振替R7'!$I$21:$J$21),$G$46*G60,0))</f>
        <v>6657325</v>
      </c>
      <c r="D60" s="1757" t="n">
        <f aca="true">SUM(OFFSET(('☆振替R7'!$I$8:$J$8),$G$46*G60,0))</f>
        <v>0</v>
      </c>
      <c r="E60" s="1758" t="n">
        <f aca="false">SUM(B60:D60)</f>
        <v>13128080</v>
      </c>
      <c r="F60" s="1721"/>
      <c r="G60" s="1798" t="n">
        <v>13</v>
      </c>
      <c r="H60" s="1709"/>
      <c r="I60" s="1709"/>
      <c r="J60" s="1709"/>
      <c r="N60" s="1709"/>
      <c r="O60" s="1709"/>
      <c r="P60" s="1709"/>
      <c r="Q60" s="1709"/>
      <c r="R60" s="1738"/>
    </row>
    <row r="61" s="798" customFormat="true" ht="24.75" hidden="false" customHeight="true" outlineLevel="0" collapsed="false">
      <c r="A61" s="1652" t="s">
        <v>570</v>
      </c>
      <c r="B61" s="1756" t="n">
        <f aca="true">SUM(OFFSET(('☆振替R7'!$I$6:$J$6),$G$46*G61,0))</f>
        <v>16460078</v>
      </c>
      <c r="C61" s="1756" t="n">
        <f aca="true">SUM(OFFSET(('☆振替R7'!$I$21:$J$21),$G$46*G61,0))</f>
        <v>16441882</v>
      </c>
      <c r="D61" s="1757" t="n">
        <f aca="true">SUM(OFFSET(('☆振替R7'!$I$8:$J$8),$G$46*G61,0))</f>
        <v>5195</v>
      </c>
      <c r="E61" s="1775" t="n">
        <f aca="false">SUM(B61:D61)</f>
        <v>32907155</v>
      </c>
      <c r="F61" s="1721"/>
      <c r="G61" s="1798" t="n">
        <v>14</v>
      </c>
      <c r="H61" s="1709"/>
      <c r="I61" s="1709"/>
      <c r="J61" s="1709"/>
      <c r="N61" s="1709"/>
      <c r="O61" s="1709"/>
      <c r="P61" s="1709"/>
      <c r="Q61" s="1709"/>
      <c r="R61" s="1738"/>
    </row>
    <row r="62" s="798" customFormat="true" ht="24.75" hidden="false" customHeight="true" outlineLevel="0" collapsed="false">
      <c r="A62" s="1659" t="s">
        <v>920</v>
      </c>
      <c r="B62" s="1756" t="n">
        <f aca="true">SUM(OFFSET(('☆振替R7'!$I$6:$J$6),$G$46*G62,0))</f>
        <v>824353</v>
      </c>
      <c r="C62" s="1756" t="n">
        <f aca="true">SUM(OFFSET(('☆振替R7'!$I$21:$J$21),$G$46*G62,0))</f>
        <v>812697</v>
      </c>
      <c r="D62" s="1757" t="n">
        <f aca="true">SUM(OFFSET(('☆振替R7'!$I$8:$J$8),$G$46*G62,0))</f>
        <v>0</v>
      </c>
      <c r="E62" s="1775" t="n">
        <f aca="false">SUM(B62:D62)</f>
        <v>1637050</v>
      </c>
      <c r="F62" s="1721"/>
      <c r="G62" s="1798" t="n">
        <v>15</v>
      </c>
      <c r="H62" s="1709"/>
      <c r="I62" s="1709"/>
      <c r="J62" s="1709"/>
      <c r="M62" s="1799"/>
      <c r="N62" s="1709"/>
      <c r="O62" s="1709"/>
      <c r="P62" s="1709"/>
      <c r="Q62" s="1709"/>
      <c r="R62" s="1738"/>
    </row>
    <row r="63" s="798" customFormat="true" ht="24.75" hidden="false" customHeight="true" outlineLevel="0" collapsed="false">
      <c r="A63" s="1660" t="s">
        <v>921</v>
      </c>
      <c r="B63" s="1800" t="n">
        <f aca="true">SUM(OFFSET(('☆振替R7'!$I$6:$J$6),$G$46*G63,0))</f>
        <v>824353</v>
      </c>
      <c r="C63" s="1801" t="n">
        <f aca="true">SUM(OFFSET(('☆振替R7'!$I$21:$J$21),$G$46*G63,0))</f>
        <v>812699</v>
      </c>
      <c r="D63" s="1802" t="n">
        <f aca="true">SUM(OFFSET(('☆振替R7'!$I$8:$J$8),$G$46*G63,0))</f>
        <v>0</v>
      </c>
      <c r="E63" s="1779" t="n">
        <f aca="false">SUM(B63:D63)</f>
        <v>1637052</v>
      </c>
      <c r="F63" s="1721"/>
      <c r="G63" s="1803" t="n">
        <v>16</v>
      </c>
      <c r="H63" s="1709"/>
      <c r="I63" s="1709"/>
      <c r="J63" s="1709"/>
      <c r="M63" s="1799"/>
      <c r="N63" s="1709"/>
      <c r="O63" s="1709"/>
      <c r="P63" s="1709"/>
      <c r="Q63" s="1709"/>
      <c r="R63" s="1738"/>
    </row>
    <row r="64" s="798" customFormat="true" ht="24.75" hidden="false" customHeight="true" outlineLevel="0" collapsed="false">
      <c r="A64" s="1663" t="s">
        <v>571</v>
      </c>
      <c r="B64" s="1780" t="n">
        <f aca="false">SUM(B47:B63)</f>
        <v>264201234</v>
      </c>
      <c r="C64" s="1804" t="n">
        <f aca="false">SUM(C47:C63)</f>
        <v>264467477</v>
      </c>
      <c r="D64" s="1805" t="n">
        <f aca="false">SUM(D47:D63)</f>
        <v>5468930</v>
      </c>
      <c r="E64" s="1782" t="n">
        <f aca="false">SUM(E47:E63)</f>
        <v>534137641</v>
      </c>
      <c r="F64" s="1721"/>
      <c r="G64" s="1741"/>
      <c r="H64" s="1709"/>
      <c r="I64" s="1709"/>
      <c r="J64" s="1709"/>
      <c r="M64" s="1741"/>
      <c r="N64" s="1709"/>
      <c r="O64" s="1709"/>
      <c r="P64" s="1709"/>
      <c r="Q64" s="1709"/>
      <c r="R64" s="1738"/>
    </row>
    <row r="65" s="798" customFormat="true" ht="23.25" hidden="false" customHeight="true" outlineLevel="0" collapsed="false">
      <c r="A65" s="1806"/>
      <c r="B65" s="1709"/>
      <c r="C65" s="1709"/>
      <c r="D65" s="1709"/>
      <c r="E65" s="1709"/>
      <c r="F65" s="1721"/>
      <c r="G65" s="1741"/>
      <c r="H65" s="1709"/>
      <c r="I65" s="1709"/>
      <c r="J65" s="1709"/>
      <c r="M65" s="1741"/>
      <c r="N65" s="1709"/>
      <c r="O65" s="1709"/>
      <c r="P65" s="1709"/>
      <c r="Q65" s="1709"/>
      <c r="R65" s="1738"/>
    </row>
    <row r="66" s="1808" customFormat="true" ht="30" hidden="false" customHeight="true" outlineLevel="0" collapsed="false">
      <c r="A66" s="1793" t="s">
        <v>965</v>
      </c>
      <c r="B66" s="1793"/>
      <c r="C66" s="1793"/>
      <c r="D66" s="1793"/>
      <c r="E66" s="799" t="s">
        <v>535</v>
      </c>
      <c r="F66" s="1807"/>
    </row>
    <row r="67" s="1808" customFormat="true" ht="32.25" hidden="false" customHeight="true" outlineLevel="0" collapsed="false">
      <c r="A67" s="1630" t="s">
        <v>542</v>
      </c>
      <c r="B67" s="1749" t="s">
        <v>958</v>
      </c>
      <c r="C67" s="1750" t="s">
        <v>491</v>
      </c>
      <c r="D67" s="1751" t="s">
        <v>959</v>
      </c>
      <c r="E67" s="1752" t="s">
        <v>541</v>
      </c>
      <c r="F67" s="1807"/>
    </row>
    <row r="68" s="1808" customFormat="true" ht="24.75" hidden="false" customHeight="true" outlineLevel="0" collapsed="false">
      <c r="A68" s="1642" t="s">
        <v>559</v>
      </c>
      <c r="B68" s="1756" t="n">
        <f aca="false">B25-B47</f>
        <v>331529076</v>
      </c>
      <c r="C68" s="1756" t="n">
        <f aca="false">C25-C47</f>
        <v>335522491</v>
      </c>
      <c r="D68" s="1757" t="n">
        <f aca="false">D25-D47</f>
        <v>93363070</v>
      </c>
      <c r="E68" s="1758" t="n">
        <f aca="false">SUM(B68:D68)</f>
        <v>760414637</v>
      </c>
      <c r="F68" s="1807"/>
    </row>
    <row r="69" s="1808" customFormat="true" ht="24.75" hidden="false" customHeight="true" outlineLevel="0" collapsed="false">
      <c r="A69" s="1652" t="s">
        <v>560</v>
      </c>
      <c r="B69" s="1756" t="n">
        <f aca="false">B26-B48</f>
        <v>334000154</v>
      </c>
      <c r="C69" s="1756" t="n">
        <f aca="false">C26-C48</f>
        <v>338621863</v>
      </c>
      <c r="D69" s="1757" t="n">
        <f aca="false">D26-D48</f>
        <v>2091270</v>
      </c>
      <c r="E69" s="1758" t="n">
        <f aca="false">SUM(B69:D69)</f>
        <v>674713287</v>
      </c>
      <c r="F69" s="1807"/>
    </row>
    <row r="70" s="1808" customFormat="true" ht="24.75" hidden="false" customHeight="true" outlineLevel="0" collapsed="false">
      <c r="A70" s="1652" t="s">
        <v>561</v>
      </c>
      <c r="B70" s="1756" t="n">
        <f aca="false">B27-B49</f>
        <v>333503354</v>
      </c>
      <c r="C70" s="1756" t="n">
        <f aca="false">C27-C49</f>
        <v>337955611</v>
      </c>
      <c r="D70" s="1757" t="n">
        <f aca="false">D27-D49</f>
        <v>2746760</v>
      </c>
      <c r="E70" s="1758" t="n">
        <f aca="false">SUM(B70:D70)</f>
        <v>674205725</v>
      </c>
      <c r="F70" s="1807"/>
    </row>
    <row r="71" s="1808" customFormat="true" ht="24.75" hidden="false" customHeight="true" outlineLevel="0" collapsed="false">
      <c r="A71" s="1652" t="s">
        <v>886</v>
      </c>
      <c r="B71" s="1756" t="n">
        <f aca="false">B28-B50</f>
        <v>586088051</v>
      </c>
      <c r="C71" s="1756" t="n">
        <f aca="false">C28-C50</f>
        <v>594485751</v>
      </c>
      <c r="D71" s="1757" t="n">
        <f aca="false">D28-D50</f>
        <v>0</v>
      </c>
      <c r="E71" s="1758" t="n">
        <f aca="false">SUM(B71:D71)</f>
        <v>1180573802</v>
      </c>
      <c r="F71" s="1807"/>
    </row>
    <row r="72" s="1808" customFormat="true" ht="24.75" hidden="false" customHeight="true" outlineLevel="0" collapsed="false">
      <c r="A72" s="1652" t="s">
        <v>562</v>
      </c>
      <c r="B72" s="1756" t="n">
        <f aca="false">B29-B51</f>
        <v>339026359</v>
      </c>
      <c r="C72" s="1756" t="n">
        <f aca="false">C29-C51</f>
        <v>343752708</v>
      </c>
      <c r="D72" s="1757" t="n">
        <f aca="false">D29-D51</f>
        <v>1238769</v>
      </c>
      <c r="E72" s="1758" t="n">
        <f aca="false">SUM(B72:D72)</f>
        <v>684017836</v>
      </c>
      <c r="F72" s="1807"/>
    </row>
    <row r="73" s="1808" customFormat="true" ht="24.75" hidden="false" customHeight="true" outlineLevel="0" collapsed="false">
      <c r="A73" s="1652" t="s">
        <v>563</v>
      </c>
      <c r="B73" s="1756" t="n">
        <f aca="false">B30-B52</f>
        <v>335812069</v>
      </c>
      <c r="C73" s="1756" t="n">
        <f aca="false">C30-C52</f>
        <v>340446163</v>
      </c>
      <c r="D73" s="1757" t="n">
        <f aca="false">D30-D52</f>
        <v>1830078</v>
      </c>
      <c r="E73" s="1758" t="n">
        <f aca="false">SUM(B73:D73)</f>
        <v>678088310</v>
      </c>
      <c r="F73" s="1807"/>
    </row>
    <row r="74" s="1808" customFormat="true" ht="24.75" hidden="false" customHeight="true" outlineLevel="0" collapsed="false">
      <c r="A74" s="1652" t="s">
        <v>564</v>
      </c>
      <c r="B74" s="1756" t="n">
        <f aca="false">B31-B53</f>
        <v>339062260</v>
      </c>
      <c r="C74" s="1756" t="n">
        <f aca="false">C31-C53</f>
        <v>343679889</v>
      </c>
      <c r="D74" s="1757" t="n">
        <f aca="false">D31-D53</f>
        <v>4706896</v>
      </c>
      <c r="E74" s="1758" t="n">
        <f aca="false">SUM(B74:D74)</f>
        <v>687449045</v>
      </c>
      <c r="F74" s="1807"/>
    </row>
    <row r="75" s="1808" customFormat="true" ht="24.75" hidden="false" customHeight="true" outlineLevel="0" collapsed="false">
      <c r="A75" s="1652" t="s">
        <v>565</v>
      </c>
      <c r="B75" s="1756" t="n">
        <f aca="false">B32-B54</f>
        <v>348325610</v>
      </c>
      <c r="C75" s="1756" t="n">
        <f aca="false">C32-C54</f>
        <v>353328628</v>
      </c>
      <c r="D75" s="1757" t="n">
        <f aca="false">D32-D54</f>
        <v>2191880</v>
      </c>
      <c r="E75" s="1758" t="n">
        <f aca="false">SUM(B75:D75)</f>
        <v>703846118</v>
      </c>
      <c r="F75" s="1807"/>
    </row>
    <row r="76" s="1808" customFormat="true" ht="24.75" hidden="false" customHeight="true" outlineLevel="0" collapsed="false">
      <c r="A76" s="1652" t="s">
        <v>566</v>
      </c>
      <c r="B76" s="1756" t="n">
        <f aca="false">B33-B55</f>
        <v>347928385</v>
      </c>
      <c r="C76" s="1756" t="n">
        <f aca="false">C33-C55</f>
        <v>352674799</v>
      </c>
      <c r="D76" s="1757" t="n">
        <f aca="false">D33-D55</f>
        <v>966379</v>
      </c>
      <c r="E76" s="1758" t="n">
        <f aca="false">SUM(B76:D76)</f>
        <v>701569563</v>
      </c>
      <c r="F76" s="1807"/>
    </row>
    <row r="77" s="1808" customFormat="true" ht="24.75" hidden="false" customHeight="true" outlineLevel="0" collapsed="false">
      <c r="A77" s="1652" t="s">
        <v>887</v>
      </c>
      <c r="B77" s="1756" t="n">
        <f aca="false">B34-B56</f>
        <v>599222810</v>
      </c>
      <c r="C77" s="1756" t="n">
        <f aca="false">C34-C56</f>
        <v>608293606</v>
      </c>
      <c r="D77" s="1757" t="n">
        <f aca="false">D34-D56</f>
        <v>0</v>
      </c>
      <c r="E77" s="1758" t="n">
        <f aca="false">SUM(B77:D77)</f>
        <v>1207516416</v>
      </c>
      <c r="F77" s="1807"/>
    </row>
    <row r="78" s="1808" customFormat="true" ht="24.75" hidden="false" customHeight="true" outlineLevel="0" collapsed="false">
      <c r="A78" s="1652" t="s">
        <v>567</v>
      </c>
      <c r="B78" s="1756" t="n">
        <f aca="false">B35-B57</f>
        <v>348148123</v>
      </c>
      <c r="C78" s="1756" t="n">
        <f aca="false">C35-C57</f>
        <v>352755728</v>
      </c>
      <c r="D78" s="1757" t="n">
        <f aca="false">D35-D57</f>
        <v>1211296</v>
      </c>
      <c r="E78" s="1758" t="n">
        <f aca="false">SUM(B78:D78)</f>
        <v>702115147</v>
      </c>
      <c r="F78" s="1807"/>
    </row>
    <row r="79" s="1808" customFormat="true" ht="24.75" hidden="false" customHeight="true" outlineLevel="0" collapsed="false">
      <c r="A79" s="1652" t="s">
        <v>568</v>
      </c>
      <c r="B79" s="1756" t="n">
        <f aca="false">B36-B58</f>
        <v>347789974</v>
      </c>
      <c r="C79" s="1756" t="n">
        <f aca="false">C36-C58</f>
        <v>352770120</v>
      </c>
      <c r="D79" s="1757" t="n">
        <f aca="false">D36-D58</f>
        <v>1418461</v>
      </c>
      <c r="E79" s="1758" t="n">
        <f aca="false">SUM(B79:D79)</f>
        <v>701978555</v>
      </c>
      <c r="F79" s="1807"/>
    </row>
    <row r="80" s="1808" customFormat="true" ht="24.75" hidden="false" customHeight="true" outlineLevel="0" collapsed="false">
      <c r="A80" s="1652" t="s">
        <v>569</v>
      </c>
      <c r="B80" s="1756" t="n">
        <f aca="false">B37-B59</f>
        <v>347767033</v>
      </c>
      <c r="C80" s="1756" t="n">
        <f aca="false">C37-C59</f>
        <v>352788045</v>
      </c>
      <c r="D80" s="1757" t="n">
        <f aca="false">D37-D59</f>
        <v>833113</v>
      </c>
      <c r="E80" s="1758" t="n">
        <f aca="false">SUM(B80:D80)</f>
        <v>701388191</v>
      </c>
      <c r="F80" s="1807"/>
    </row>
    <row r="81" s="1808" customFormat="true" ht="24.75" hidden="false" customHeight="true" outlineLevel="0" collapsed="false">
      <c r="A81" s="1652" t="s">
        <v>888</v>
      </c>
      <c r="B81" s="1756" t="n">
        <f aca="false">B38-B60</f>
        <v>133351430</v>
      </c>
      <c r="C81" s="1756" t="n">
        <f aca="false">C38-C60</f>
        <v>139172361</v>
      </c>
      <c r="D81" s="1757" t="n">
        <f aca="false">D38-D60</f>
        <v>0</v>
      </c>
      <c r="E81" s="1758" t="n">
        <f aca="false">SUM(B81:D81)</f>
        <v>272523791</v>
      </c>
      <c r="F81" s="1807"/>
    </row>
    <row r="82" s="1808" customFormat="true" ht="24.75" hidden="false" customHeight="true" outlineLevel="0" collapsed="false">
      <c r="A82" s="1652" t="s">
        <v>570</v>
      </c>
      <c r="B82" s="1756" t="n">
        <f aca="false">B39-B61</f>
        <v>339214728</v>
      </c>
      <c r="C82" s="1756" t="n">
        <f aca="false">C39-C61</f>
        <v>343302855</v>
      </c>
      <c r="D82" s="1757" t="n">
        <f aca="false">D39-D61</f>
        <v>107024</v>
      </c>
      <c r="E82" s="1775" t="n">
        <f aca="false">SUM(B82:D82)</f>
        <v>682624607</v>
      </c>
      <c r="F82" s="1807"/>
    </row>
    <row r="83" s="1808" customFormat="true" ht="24.75" hidden="false" customHeight="true" outlineLevel="0" collapsed="false">
      <c r="A83" s="1659" t="s">
        <v>920</v>
      </c>
      <c r="B83" s="1756" t="n">
        <f aca="false">B40-B62</f>
        <v>16988523</v>
      </c>
      <c r="C83" s="1756" t="n">
        <f aca="false">C40-C62</f>
        <v>16989813</v>
      </c>
      <c r="D83" s="1757" t="n">
        <f aca="false">D40-D62</f>
        <v>0</v>
      </c>
      <c r="E83" s="1776" t="n">
        <f aca="false">SUM(B83:D83)</f>
        <v>33978336</v>
      </c>
      <c r="F83" s="1807"/>
    </row>
    <row r="84" s="1808" customFormat="true" ht="24.75" hidden="false" customHeight="true" outlineLevel="0" collapsed="false">
      <c r="A84" s="1660" t="s">
        <v>921</v>
      </c>
      <c r="B84" s="1801" t="n">
        <f aca="false">B41-B63</f>
        <v>16988532</v>
      </c>
      <c r="C84" s="1801" t="n">
        <f aca="false">C41-C63</f>
        <v>16989826</v>
      </c>
      <c r="D84" s="1802" t="n">
        <f aca="false">D41-D63</f>
        <v>0</v>
      </c>
      <c r="E84" s="1779" t="n">
        <f aca="false">SUM(B84:D84)</f>
        <v>33978358</v>
      </c>
      <c r="F84" s="1807"/>
    </row>
    <row r="85" s="798" customFormat="true" ht="24.75" hidden="false" customHeight="true" outlineLevel="0" collapsed="false">
      <c r="A85" s="1663" t="s">
        <v>571</v>
      </c>
      <c r="B85" s="1804" t="n">
        <f aca="false">SUM(B68:B84)</f>
        <v>5444746471</v>
      </c>
      <c r="C85" s="1804" t="n">
        <f aca="false">SUM(C68:C84)</f>
        <v>5523530257</v>
      </c>
      <c r="D85" s="1805" t="n">
        <f aca="false">SUM(D68:D84)</f>
        <v>112704996</v>
      </c>
      <c r="E85" s="1782" t="n">
        <f aca="false">SUM(E68:E84)</f>
        <v>11080981724</v>
      </c>
      <c r="F85" s="1721"/>
      <c r="K85" s="950"/>
      <c r="L85" s="950"/>
    </row>
    <row r="86" s="798" customFormat="true" ht="23.1" hidden="false" customHeight="true" outlineLevel="0" collapsed="false">
      <c r="A86" s="1806"/>
      <c r="B86" s="1709"/>
      <c r="C86" s="1709"/>
      <c r="D86" s="1709"/>
      <c r="E86" s="1709"/>
      <c r="F86" s="1721"/>
      <c r="K86" s="950"/>
      <c r="L86" s="950"/>
    </row>
    <row r="87" customFormat="false" ht="17.25" hidden="false" customHeight="false" outlineLevel="0" collapsed="false">
      <c r="A87" s="798"/>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8" scale="80"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K43" activeCellId="0" sqref="K43"/>
    </sheetView>
  </sheetViews>
  <sheetFormatPr defaultColWidth="8.79296875" defaultRowHeight="17.25" zeroHeight="false" outlineLevelRow="0" outlineLevelCol="0"/>
  <cols>
    <col collapsed="false" customWidth="true" hidden="false" outlineLevel="0" max="1" min="1" style="950" width="17"/>
    <col collapsed="false" customWidth="true" hidden="false" outlineLevel="0" max="5" min="2" style="793" width="17"/>
    <col collapsed="false" customWidth="true" hidden="false" outlineLevel="0" max="6" min="6" style="793" width="5.89"/>
    <col collapsed="false" customWidth="true" hidden="false" outlineLevel="0" max="8" min="7" style="793" width="16.89"/>
    <col collapsed="false" customWidth="true" hidden="false" outlineLevel="0" max="9" min="9" style="793" width="5.59"/>
    <col collapsed="false" customWidth="true" hidden="false" outlineLevel="0" max="10" min="10" style="950" width="17"/>
    <col collapsed="false" customWidth="true" hidden="false" outlineLevel="0" max="11" min="11" style="950" width="16.89"/>
    <col collapsed="false" customWidth="true" hidden="false" outlineLevel="0" max="12" min="12" style="793" width="2.89"/>
    <col collapsed="false" customWidth="true" hidden="false" outlineLevel="0" max="13" min="13" style="793" width="12.09"/>
    <col collapsed="false" customWidth="true" hidden="false" outlineLevel="0" max="14" min="14" style="950" width="12.09"/>
    <col collapsed="false" customWidth="true" hidden="false" outlineLevel="0" max="16" min="15" style="950" width="11.99"/>
    <col collapsed="false" customWidth="true" hidden="false" outlineLevel="0" max="20" min="17" style="950" width="10.69"/>
    <col collapsed="false" customWidth="false" hidden="false" outlineLevel="0" max="257" min="21" style="950" width="8.79"/>
  </cols>
  <sheetData>
    <row r="1" s="1623" customFormat="true" ht="22.5" hidden="false" customHeight="true" outlineLevel="0" collapsed="false">
      <c r="A1" s="1809" t="str">
        <f aca="false">'☆短期集計R7'!A1</f>
        <v>令和8年度</v>
      </c>
      <c r="B1" s="1623" t="s">
        <v>966</v>
      </c>
      <c r="C1" s="1810"/>
      <c r="E1" s="1810"/>
      <c r="F1" s="1810"/>
    </row>
    <row r="2" customFormat="false" ht="30" hidden="false" customHeight="true" outlineLevel="0" collapsed="false">
      <c r="A2" s="950" t="s">
        <v>967</v>
      </c>
      <c r="B2" s="950"/>
      <c r="C2" s="950"/>
      <c r="D2" s="950"/>
      <c r="E2" s="799" t="s">
        <v>535</v>
      </c>
      <c r="F2" s="1747"/>
      <c r="G2" s="950" t="s">
        <v>968</v>
      </c>
      <c r="H2" s="950"/>
      <c r="I2" s="950"/>
      <c r="J2" s="1748" t="s">
        <v>969</v>
      </c>
      <c r="K2" s="1748"/>
      <c r="L2" s="950"/>
      <c r="M2" s="950"/>
    </row>
    <row r="3" customFormat="false" ht="33.75" hidden="false" customHeight="true" outlineLevel="0" collapsed="false">
      <c r="A3" s="1323" t="s">
        <v>542</v>
      </c>
      <c r="B3" s="1749" t="s">
        <v>952</v>
      </c>
      <c r="C3" s="1750" t="s">
        <v>491</v>
      </c>
      <c r="D3" s="1751" t="s">
        <v>953</v>
      </c>
      <c r="E3" s="1752" t="s">
        <v>541</v>
      </c>
      <c r="F3" s="1715"/>
      <c r="G3" s="1753" t="s">
        <v>542</v>
      </c>
      <c r="H3" s="1754" t="s">
        <v>574</v>
      </c>
      <c r="I3" s="950"/>
      <c r="J3" s="1753" t="s">
        <v>537</v>
      </c>
      <c r="K3" s="1755" t="s">
        <v>954</v>
      </c>
      <c r="L3" s="950"/>
      <c r="M3" s="950"/>
    </row>
    <row r="4" customFormat="false" ht="24" hidden="false" customHeight="true" outlineLevel="0" collapsed="false">
      <c r="A4" s="1642" t="s">
        <v>559</v>
      </c>
      <c r="B4" s="1756" t="n">
        <f aca="true">OFFSET('☆掛負収入'!$K$65,$G$24*$G25,0,1,1)-D4</f>
        <v>31144066</v>
      </c>
      <c r="C4" s="1756" t="n">
        <f aca="true">OFFSET('☆掛負収入'!$L$65,$G$24*$G25,0,1,1)</f>
        <v>31101068</v>
      </c>
      <c r="D4" s="1757" t="n">
        <f aca="true">OFFSET('☆掛負収入'!$K$64,$G$24*$G25,0,1,1)</f>
        <v>5128891</v>
      </c>
      <c r="E4" s="1758" t="n">
        <f aca="false">SUM(B4:D4)</f>
        <v>67374025</v>
      </c>
      <c r="F4" s="1721"/>
      <c r="G4" s="1691" t="s">
        <v>559</v>
      </c>
      <c r="H4" s="1759" t="n">
        <f aca="false">還付!J21</f>
        <v>0</v>
      </c>
      <c r="I4" s="950"/>
      <c r="J4" s="1760" t="s">
        <v>559</v>
      </c>
      <c r="K4" s="1759" t="n">
        <f aca="false">還付!E5+還付!E21</f>
        <v>6920</v>
      </c>
      <c r="L4" s="950"/>
      <c r="M4" s="950"/>
    </row>
    <row r="5" customFormat="false" ht="24" hidden="false" customHeight="true" outlineLevel="0" collapsed="false">
      <c r="A5" s="1652" t="s">
        <v>560</v>
      </c>
      <c r="B5" s="1761" t="n">
        <f aca="true">OFFSET('☆掛負収入'!$K$65,$G$24*$G26,0,1,1)-D5</f>
        <v>31307506</v>
      </c>
      <c r="C5" s="1756" t="n">
        <f aca="true">OFFSET('☆掛負収入'!$L$65,$G$24*$G26,0,1,1)</f>
        <v>31307243</v>
      </c>
      <c r="D5" s="1762" t="n">
        <f aca="true">OFFSET('☆掛負収入'!$K$64,$G$24*$G26,0,1,1)</f>
        <v>166737</v>
      </c>
      <c r="E5" s="1758" t="n">
        <f aca="false">SUM(B5:D5)</f>
        <v>62781486</v>
      </c>
      <c r="F5" s="1721"/>
      <c r="G5" s="1693" t="s">
        <v>560</v>
      </c>
      <c r="H5" s="1763" t="n">
        <f aca="false">還付!J22</f>
        <v>34534</v>
      </c>
      <c r="I5" s="950"/>
      <c r="J5" s="1764" t="s">
        <v>560</v>
      </c>
      <c r="K5" s="1759" t="n">
        <f aca="false">還付!E6+還付!E22</f>
        <v>3950</v>
      </c>
      <c r="L5" s="950"/>
      <c r="M5" s="950"/>
    </row>
    <row r="6" customFormat="false" ht="24" hidden="false" customHeight="true" outlineLevel="0" collapsed="false">
      <c r="A6" s="1652" t="s">
        <v>561</v>
      </c>
      <c r="B6" s="1761" t="n">
        <f aca="true">OFFSET('☆掛負収入'!$K$65,$G$24*$G27,0,1,1)-D6</f>
        <v>31417297</v>
      </c>
      <c r="C6" s="1756" t="n">
        <f aca="true">OFFSET('☆掛負収入'!$L$65,$G$24*$G27,0,1,1)</f>
        <v>31407862</v>
      </c>
      <c r="D6" s="1762" t="n">
        <f aca="true">OFFSET('☆掛負収入'!$K$64,$G$24*$G27,0,1,1)</f>
        <v>227024</v>
      </c>
      <c r="E6" s="1758" t="n">
        <f aca="false">SUM(B6:D6)</f>
        <v>63052183</v>
      </c>
      <c r="F6" s="1721"/>
      <c r="G6" s="1693" t="s">
        <v>561</v>
      </c>
      <c r="H6" s="1763" t="n">
        <f aca="false">還付!J23</f>
        <v>0</v>
      </c>
      <c r="I6" s="950"/>
      <c r="J6" s="1764" t="s">
        <v>561</v>
      </c>
      <c r="K6" s="1759" t="n">
        <f aca="false">還付!E7+還付!E23</f>
        <v>3239</v>
      </c>
      <c r="L6" s="950"/>
      <c r="M6" s="950"/>
    </row>
    <row r="7" customFormat="false" ht="24" hidden="false" customHeight="true" outlineLevel="0" collapsed="false">
      <c r="A7" s="1652" t="s">
        <v>886</v>
      </c>
      <c r="B7" s="1761" t="n">
        <f aca="true">OFFSET('☆掛負収入'!$K$65,$G$24*$G28,0,1,1)-D7</f>
        <v>58354858</v>
      </c>
      <c r="C7" s="1756" t="n">
        <f aca="true">OFFSET('☆掛負収入'!$L$65,$G$24*$G28,0,1,1)</f>
        <v>58358254</v>
      </c>
      <c r="D7" s="1765" t="n">
        <f aca="true">OFFSET('☆掛負収入'!$K$64,$G$24*$G28,0,1,1)</f>
        <v>0</v>
      </c>
      <c r="E7" s="1758" t="n">
        <f aca="false">SUM(B7:D7)</f>
        <v>116713112</v>
      </c>
      <c r="F7" s="1721"/>
      <c r="G7" s="1693" t="s">
        <v>562</v>
      </c>
      <c r="H7" s="1763" t="n">
        <f aca="false">還付!J24</f>
        <v>13904</v>
      </c>
      <c r="I7" s="950"/>
      <c r="J7" s="1764" t="s">
        <v>562</v>
      </c>
      <c r="K7" s="1759" t="n">
        <f aca="false">還付!E8+還付!E24</f>
        <v>3476</v>
      </c>
      <c r="L7" s="950"/>
      <c r="M7" s="950"/>
    </row>
    <row r="8" customFormat="false" ht="24" hidden="false" customHeight="true" outlineLevel="0" collapsed="false">
      <c r="A8" s="1652" t="s">
        <v>562</v>
      </c>
      <c r="B8" s="1761" t="n">
        <f aca="true">OFFSET('☆掛負収入'!$K$65,$G$24*$G29,0,1,1)-D8</f>
        <v>31938344</v>
      </c>
      <c r="C8" s="1756" t="n">
        <f aca="true">OFFSET('☆掛負収入'!$L$65,$G$24*$G29,0,1,1)</f>
        <v>31956293</v>
      </c>
      <c r="D8" s="1762" t="n">
        <f aca="true">OFFSET('☆掛負収入'!$K$64,$G$24*$G29,0,1,1)</f>
        <v>156680</v>
      </c>
      <c r="E8" s="1758" t="n">
        <f aca="false">SUM(B8:D8)</f>
        <v>64051317</v>
      </c>
      <c r="F8" s="1721"/>
      <c r="G8" s="1693" t="s">
        <v>563</v>
      </c>
      <c r="H8" s="1763" t="n">
        <f aca="false">還付!J25</f>
        <v>144372</v>
      </c>
      <c r="I8" s="950"/>
      <c r="J8" s="1764" t="s">
        <v>563</v>
      </c>
      <c r="K8" s="1759" t="n">
        <f aca="false">還付!E9+還付!E25</f>
        <v>2844</v>
      </c>
      <c r="L8" s="950"/>
      <c r="M8" s="950"/>
    </row>
    <row r="9" customFormat="false" ht="24" hidden="false" customHeight="true" outlineLevel="0" collapsed="false">
      <c r="A9" s="1652" t="s">
        <v>563</v>
      </c>
      <c r="B9" s="1761" t="n">
        <f aca="true">OFFSET('☆掛負収入'!$K$65,$G$24*$G30,0,1,1)-D9</f>
        <v>31861256</v>
      </c>
      <c r="C9" s="1756" t="n">
        <f aca="true">OFFSET('☆掛負収入'!$L$65,$G$24*$G30,0,1,1)</f>
        <v>31867818</v>
      </c>
      <c r="D9" s="1762" t="n">
        <f aca="true">OFFSET('☆掛負収入'!$K$64,$G$24*$G30,0,1,1)</f>
        <v>95674</v>
      </c>
      <c r="E9" s="1758" t="n">
        <f aca="false">SUM(B9:D9)</f>
        <v>63824748</v>
      </c>
      <c r="F9" s="1721"/>
      <c r="G9" s="1693" t="s">
        <v>564</v>
      </c>
      <c r="H9" s="1763" t="n">
        <f aca="false">還付!J26</f>
        <v>220096</v>
      </c>
      <c r="I9" s="950"/>
      <c r="J9" s="1764" t="s">
        <v>564</v>
      </c>
      <c r="K9" s="1759" t="n">
        <f aca="false">還付!E10+還付!E26</f>
        <v>5609</v>
      </c>
      <c r="L9" s="950"/>
      <c r="M9" s="950"/>
    </row>
    <row r="10" customFormat="false" ht="24" hidden="false" customHeight="true" outlineLevel="0" collapsed="false">
      <c r="A10" s="1652" t="s">
        <v>564</v>
      </c>
      <c r="B10" s="1761" t="n">
        <f aca="true">OFFSET('☆掛負収入'!$K$65,$G$24*$G31,0,1,1)-D10</f>
        <v>32297481</v>
      </c>
      <c r="C10" s="1756" t="n">
        <f aca="true">OFFSET('☆掛負収入'!$L$65,$G$24*$G31,0,1,1)</f>
        <v>32292877</v>
      </c>
      <c r="D10" s="1762" t="n">
        <f aca="true">OFFSET('☆掛負収入'!$K$64,$G$24*$G31,0,1,1)</f>
        <v>345917</v>
      </c>
      <c r="E10" s="1758" t="n">
        <f aca="false">SUM(B10:D10)</f>
        <v>64936275</v>
      </c>
      <c r="F10" s="1721"/>
      <c r="G10" s="1693" t="s">
        <v>565</v>
      </c>
      <c r="H10" s="1763" t="n">
        <f aca="false">還付!J27</f>
        <v>0</v>
      </c>
      <c r="I10" s="950"/>
      <c r="J10" s="1764" t="s">
        <v>565</v>
      </c>
      <c r="K10" s="1759" t="n">
        <f aca="false">還付!E11+還付!E27</f>
        <v>0</v>
      </c>
      <c r="L10" s="950"/>
      <c r="M10" s="950"/>
    </row>
    <row r="11" customFormat="false" ht="24" hidden="false" customHeight="true" outlineLevel="0" collapsed="false">
      <c r="A11" s="1652" t="s">
        <v>565</v>
      </c>
      <c r="B11" s="1761" t="n">
        <f aca="true">OFFSET('☆掛負収入'!$K$65,$G$24*$G32,0,1,1)-D11</f>
        <v>31105975</v>
      </c>
      <c r="C11" s="1756" t="n">
        <f aca="true">OFFSET('☆掛負収入'!$L$65,$G$24*$G32,0,1,1)</f>
        <v>31107974</v>
      </c>
      <c r="D11" s="1762" t="n">
        <f aca="true">OFFSET('☆掛負収入'!$K$64,$G$24*$G32,0,1,1)</f>
        <v>123617</v>
      </c>
      <c r="E11" s="1758" t="n">
        <f aca="false">SUM(B11:D11)</f>
        <v>62337566</v>
      </c>
      <c r="F11" s="1721"/>
      <c r="G11" s="1693" t="s">
        <v>566</v>
      </c>
      <c r="H11" s="1763" t="n">
        <f aca="false">還付!J28</f>
        <v>0</v>
      </c>
      <c r="I11" s="950"/>
      <c r="J11" s="1764" t="s">
        <v>566</v>
      </c>
      <c r="K11" s="1759" t="n">
        <f aca="false">還付!E12+還付!E28</f>
        <v>0</v>
      </c>
      <c r="L11" s="950"/>
      <c r="M11" s="950"/>
    </row>
    <row r="12" customFormat="false" ht="24" hidden="false" customHeight="true" outlineLevel="0" collapsed="false">
      <c r="A12" s="1652" t="s">
        <v>566</v>
      </c>
      <c r="B12" s="1761" t="n">
        <f aca="true">OFFSET('☆掛負収入'!$K$65,$G$24*$G33,0,1,1)-D12</f>
        <v>31203687</v>
      </c>
      <c r="C12" s="1756" t="n">
        <f aca="true">OFFSET('☆掛負収入'!$L$65,$G$24*$G33,0,1,1)</f>
        <v>31158617</v>
      </c>
      <c r="D12" s="1762" t="n">
        <f aca="true">OFFSET('☆掛負収入'!$K$64,$G$24*$G33,0,1,1)</f>
        <v>91032</v>
      </c>
      <c r="E12" s="1758" t="n">
        <f aca="false">SUM(B12:D12)</f>
        <v>62453336</v>
      </c>
      <c r="F12" s="1721"/>
      <c r="G12" s="1693" t="s">
        <v>567</v>
      </c>
      <c r="H12" s="1763" t="n">
        <f aca="false">還付!J29</f>
        <v>0</v>
      </c>
      <c r="I12" s="950"/>
      <c r="J12" s="1764" t="s">
        <v>567</v>
      </c>
      <c r="K12" s="1759" t="n">
        <f aca="false">還付!E13+還付!E29</f>
        <v>0</v>
      </c>
      <c r="L12" s="950"/>
      <c r="M12" s="950"/>
    </row>
    <row r="13" customFormat="false" ht="24" hidden="false" customHeight="true" outlineLevel="0" collapsed="false">
      <c r="A13" s="1652" t="s">
        <v>887</v>
      </c>
      <c r="B13" s="1761" t="n">
        <f aca="true">OFFSET('☆掛負収入'!$K$65,$G$24*$G34,0,1,1)-D13</f>
        <v>56098280</v>
      </c>
      <c r="C13" s="1756" t="n">
        <f aca="true">OFFSET('☆掛負収入'!$L$65,$G$24*$G34,0,1,1)</f>
        <v>56103444</v>
      </c>
      <c r="D13" s="1765" t="n">
        <f aca="true">OFFSET('☆掛負収入'!$K$64,$G$24*$G34,0,1,1)</f>
        <v>0</v>
      </c>
      <c r="E13" s="1758" t="n">
        <f aca="false">SUM(B13:D13)</f>
        <v>112201724</v>
      </c>
      <c r="F13" s="1721"/>
      <c r="G13" s="1693" t="s">
        <v>568</v>
      </c>
      <c r="H13" s="1763" t="n">
        <f aca="false">還付!J30</f>
        <v>0</v>
      </c>
      <c r="I13" s="950"/>
      <c r="J13" s="1764" t="s">
        <v>568</v>
      </c>
      <c r="K13" s="1759" t="n">
        <f aca="false">還付!E14+還付!E30</f>
        <v>0</v>
      </c>
      <c r="L13" s="950"/>
      <c r="M13" s="950"/>
    </row>
    <row r="14" customFormat="false" ht="24" hidden="false" customHeight="true" outlineLevel="0" collapsed="false">
      <c r="A14" s="1652" t="s">
        <v>567</v>
      </c>
      <c r="B14" s="1761" t="n">
        <f aca="true">OFFSET('☆掛負収入'!$K$65,$G$24*$G35,0,1,1)-D14</f>
        <v>31236550</v>
      </c>
      <c r="C14" s="1756" t="n">
        <f aca="true">OFFSET('☆掛負収入'!$L$65,$G$24*$G35,0,1,1)</f>
        <v>31225936</v>
      </c>
      <c r="D14" s="1766" t="n">
        <f aca="true">OFFSET('☆掛負収入'!$K$64,$G$24*$G35,0,1,1)</f>
        <v>77228</v>
      </c>
      <c r="E14" s="1758" t="n">
        <f aca="false">SUM(B14:D14)</f>
        <v>62539714</v>
      </c>
      <c r="F14" s="1721"/>
      <c r="G14" s="1693" t="s">
        <v>569</v>
      </c>
      <c r="H14" s="1763" t="n">
        <f aca="false">還付!J31</f>
        <v>0</v>
      </c>
      <c r="I14" s="950"/>
      <c r="J14" s="1764" t="s">
        <v>569</v>
      </c>
      <c r="K14" s="1759" t="n">
        <f aca="false">還付!E15+還付!E31</f>
        <v>0</v>
      </c>
      <c r="L14" s="950"/>
      <c r="M14" s="950"/>
    </row>
    <row r="15" customFormat="false" ht="24" hidden="false" customHeight="true" outlineLevel="0" collapsed="false">
      <c r="A15" s="1652" t="s">
        <v>568</v>
      </c>
      <c r="B15" s="1761" t="n">
        <f aca="true">OFFSET('☆掛負収入'!$K$65,$G$24*$G36,0,1,1)-D15</f>
        <v>31297931</v>
      </c>
      <c r="C15" s="1756" t="n">
        <f aca="true">OFFSET('☆掛負収入'!$L$65,$G$24*$G36,0,1,1)</f>
        <v>31265991</v>
      </c>
      <c r="D15" s="1762" t="n">
        <f aca="true">OFFSET('☆掛負収入'!$K$64,$G$24*$G36,0,1,1)</f>
        <v>75931</v>
      </c>
      <c r="E15" s="1758" t="n">
        <f aca="false">SUM(B15:D15)</f>
        <v>62639853</v>
      </c>
      <c r="F15" s="1721"/>
      <c r="G15" s="1696" t="s">
        <v>570</v>
      </c>
      <c r="H15" s="1767" t="n">
        <f aca="false">還付!J32</f>
        <v>0</v>
      </c>
      <c r="I15" s="950"/>
      <c r="J15" s="1768" t="s">
        <v>570</v>
      </c>
      <c r="K15" s="1759" t="n">
        <f aca="false">還付!E16+還付!E32</f>
        <v>0</v>
      </c>
      <c r="L15" s="950"/>
      <c r="M15" s="950"/>
    </row>
    <row r="16" customFormat="false" ht="24" hidden="false" customHeight="true" outlineLevel="0" collapsed="false">
      <c r="A16" s="1652" t="s">
        <v>569</v>
      </c>
      <c r="B16" s="1761" t="n">
        <f aca="true">OFFSET('☆掛負収入'!$K$65,$G$24*$G37,0,1,1)-D16</f>
        <v>31343795</v>
      </c>
      <c r="C16" s="1756" t="n">
        <f aca="true">OFFSET('☆掛負収入'!$L$65,$G$24*$G37,0,1,1)</f>
        <v>31330292</v>
      </c>
      <c r="D16" s="1762" t="n">
        <f aca="true">OFFSET('☆掛負収入'!$K$64,$G$24*$G37,0,1,1)</f>
        <v>60734</v>
      </c>
      <c r="E16" s="1758" t="n">
        <f aca="false">SUM(B16:D16)</f>
        <v>62734821</v>
      </c>
      <c r="F16" s="1721"/>
      <c r="G16" s="1769" t="s">
        <v>571</v>
      </c>
      <c r="H16" s="1770" t="n">
        <f aca="false">SUM(H4:H15)</f>
        <v>412906</v>
      </c>
      <c r="I16" s="950"/>
      <c r="J16" s="1771" t="s">
        <v>571</v>
      </c>
      <c r="K16" s="1770" t="n">
        <f aca="false">SUM(K4:K15)</f>
        <v>26038</v>
      </c>
      <c r="L16" s="950"/>
      <c r="M16" s="950"/>
    </row>
    <row r="17" customFormat="false" ht="24" hidden="false" customHeight="true" outlineLevel="0" collapsed="false">
      <c r="A17" s="1652" t="s">
        <v>888</v>
      </c>
      <c r="B17" s="1772" t="n">
        <f aca="true">OFFSET('☆掛負収入'!$K$65,$G$24*$G38,0,1,1)-D17</f>
        <v>12910671</v>
      </c>
      <c r="C17" s="1756" t="n">
        <f aca="true">OFFSET('☆掛負収入'!$L$65,$G$24*$G38,0,1,1)</f>
        <v>13720411</v>
      </c>
      <c r="D17" s="1773" t="n">
        <f aca="true">OFFSET('☆掛負収入'!$K$64,$G$24*$G38,0,1,1)</f>
        <v>0</v>
      </c>
      <c r="E17" s="1758" t="n">
        <f aca="false">SUM(B17:D17)</f>
        <v>26631082</v>
      </c>
      <c r="F17" s="1721"/>
      <c r="G17" s="1774"/>
      <c r="H17" s="1713"/>
      <c r="I17" s="950"/>
      <c r="J17" s="798"/>
      <c r="K17" s="798"/>
      <c r="L17" s="950"/>
      <c r="M17" s="950"/>
    </row>
    <row r="18" customFormat="false" ht="24" hidden="false" customHeight="true" outlineLevel="0" collapsed="false">
      <c r="A18" s="1652" t="s">
        <v>570</v>
      </c>
      <c r="B18" s="1761" t="n">
        <f aca="true">OFFSET('☆掛負収入'!$K$65,$G$24*$G39,0,1,1)-D18</f>
        <v>32264902</v>
      </c>
      <c r="C18" s="1756" t="n">
        <f aca="true">OFFSET('☆掛負収入'!$L$65,$G$24*$G39,0,1,1)</f>
        <v>32234438</v>
      </c>
      <c r="D18" s="1766" t="n">
        <f aca="true">OFFSET('☆掛負収入'!$K$64,$G$24*$G39,0,1,1)</f>
        <v>17136</v>
      </c>
      <c r="E18" s="1775" t="n">
        <f aca="false">SUM(B18:D18)</f>
        <v>64516476</v>
      </c>
      <c r="F18" s="1721"/>
      <c r="G18" s="1774"/>
      <c r="H18" s="1713"/>
      <c r="I18" s="950"/>
      <c r="J18" s="1721"/>
      <c r="K18" s="798"/>
      <c r="L18" s="950"/>
      <c r="M18" s="950"/>
    </row>
    <row r="19" customFormat="false" ht="24" hidden="false" customHeight="true" outlineLevel="0" collapsed="false">
      <c r="A19" s="1659" t="s">
        <v>920</v>
      </c>
      <c r="B19" s="1761" t="n">
        <f aca="true">OFFSET('☆掛負収入'!$K$65,$G$24*$G40,0,1,1)-D19</f>
        <v>1479301</v>
      </c>
      <c r="C19" s="1761" t="n">
        <f aca="true">OFFSET('☆掛負収入'!$L$65,$G$24*$G40,0,1,1)</f>
        <v>1479171</v>
      </c>
      <c r="D19" s="1765" t="n">
        <f aca="true">OFFSET('☆掛負収入'!$K$64,$G$24*$G40,0,1,1)</f>
        <v>0</v>
      </c>
      <c r="E19" s="1776" t="n">
        <f aca="false">SUM(B19:D19)</f>
        <v>2958472</v>
      </c>
      <c r="F19" s="1721"/>
      <c r="G19" s="1774"/>
      <c r="H19" s="1713"/>
      <c r="I19" s="950"/>
      <c r="L19" s="950"/>
      <c r="M19" s="950"/>
    </row>
    <row r="20" customFormat="false" ht="24" hidden="false" customHeight="true" outlineLevel="0" collapsed="false">
      <c r="A20" s="1660" t="s">
        <v>921</v>
      </c>
      <c r="B20" s="1777" t="n">
        <f aca="true">OFFSET('☆掛負収入'!$K$65,$G$24*$G41,0,1,1)-D20</f>
        <v>1479310</v>
      </c>
      <c r="C20" s="1777" t="n">
        <f aca="true">OFFSET('☆掛負収入'!$L$65,$G$24*$G41,0,1,1)</f>
        <v>1479188</v>
      </c>
      <c r="D20" s="1778" t="n">
        <f aca="true">OFFSET('☆掛負収入'!$K$64,$G$24*$G41,0,1,1)</f>
        <v>0</v>
      </c>
      <c r="E20" s="1779" t="n">
        <f aca="false">SUM(B20:D20)</f>
        <v>2958498</v>
      </c>
      <c r="F20" s="1721"/>
      <c r="G20" s="1774"/>
      <c r="H20" s="1713"/>
      <c r="I20" s="950"/>
      <c r="L20" s="950"/>
      <c r="M20" s="950"/>
    </row>
    <row r="21" customFormat="false" ht="24" hidden="false" customHeight="true" outlineLevel="0" collapsed="false">
      <c r="A21" s="1811" t="s">
        <v>571</v>
      </c>
      <c r="B21" s="1780" t="n">
        <f aca="false">SUM(B4:B20)</f>
        <v>508741210</v>
      </c>
      <c r="C21" s="1780" t="n">
        <f aca="false">SUM(C4:C20)</f>
        <v>509396877</v>
      </c>
      <c r="D21" s="1781" t="n">
        <f aca="false">SUM(D4:D20)</f>
        <v>6566601</v>
      </c>
      <c r="E21" s="1782" t="n">
        <f aca="false">SUM(E4:E20)</f>
        <v>1024704688</v>
      </c>
      <c r="F21" s="1721"/>
      <c r="G21" s="1774"/>
      <c r="H21" s="1713"/>
      <c r="I21" s="950"/>
      <c r="L21" s="950"/>
      <c r="M21" s="950"/>
    </row>
    <row r="22" customFormat="false" ht="22.5" hidden="false" customHeight="true" outlineLevel="0" collapsed="false">
      <c r="B22" s="1721"/>
      <c r="C22" s="1721"/>
      <c r="D22" s="1721"/>
      <c r="J22" s="793"/>
      <c r="K22" s="798"/>
      <c r="L22" s="798"/>
      <c r="M22" s="798"/>
      <c r="N22" s="798"/>
      <c r="O22" s="798"/>
      <c r="P22" s="798"/>
      <c r="Q22" s="798"/>
    </row>
    <row r="23" customFormat="false" ht="30" hidden="false" customHeight="true" outlineLevel="0" collapsed="false">
      <c r="A23" s="950" t="s">
        <v>970</v>
      </c>
      <c r="B23" s="950"/>
      <c r="C23" s="950"/>
      <c r="D23" s="950"/>
      <c r="E23" s="799" t="s">
        <v>535</v>
      </c>
      <c r="F23" s="950"/>
      <c r="G23" s="1812" t="s">
        <v>956</v>
      </c>
      <c r="H23" s="1812"/>
      <c r="I23" s="950"/>
      <c r="J23" s="1748" t="s">
        <v>971</v>
      </c>
      <c r="K23" s="1748"/>
      <c r="L23" s="950"/>
      <c r="M23" s="950"/>
      <c r="R23" s="798"/>
    </row>
    <row r="24" customFormat="false" ht="33.75" hidden="false" customHeight="true" outlineLevel="0" collapsed="false">
      <c r="A24" s="1323" t="s">
        <v>394</v>
      </c>
      <c r="B24" s="1749" t="s">
        <v>958</v>
      </c>
      <c r="C24" s="1750" t="s">
        <v>491</v>
      </c>
      <c r="D24" s="1751" t="s">
        <v>959</v>
      </c>
      <c r="E24" s="1752" t="s">
        <v>541</v>
      </c>
      <c r="F24" s="1813"/>
      <c r="G24" s="1786" t="n">
        <v>65</v>
      </c>
      <c r="H24" s="1787"/>
      <c r="I24" s="1715"/>
      <c r="J24" s="1753" t="s">
        <v>587</v>
      </c>
      <c r="K24" s="1755" t="s">
        <v>960</v>
      </c>
      <c r="L24" s="1797"/>
      <c r="M24" s="1715"/>
      <c r="N24" s="798"/>
      <c r="O24" s="798"/>
      <c r="P24" s="798"/>
      <c r="Q24" s="798"/>
    </row>
    <row r="25" customFormat="false" ht="24" hidden="false" customHeight="true" outlineLevel="0" collapsed="false">
      <c r="A25" s="1642" t="s">
        <v>559</v>
      </c>
      <c r="B25" s="1756" t="n">
        <f aca="false">B4-K4+K25</f>
        <v>31137146</v>
      </c>
      <c r="C25" s="1756" t="n">
        <f aca="false">C4</f>
        <v>31101068</v>
      </c>
      <c r="D25" s="1757" t="n">
        <f aca="false">D4-H4</f>
        <v>5128891</v>
      </c>
      <c r="E25" s="1758" t="n">
        <f aca="false">SUM(B25:D25)</f>
        <v>67367105</v>
      </c>
      <c r="F25" s="1813"/>
      <c r="G25" s="1788" t="n">
        <v>0</v>
      </c>
      <c r="H25" s="1787"/>
      <c r="I25" s="1709"/>
      <c r="J25" s="1691" t="s">
        <v>559</v>
      </c>
      <c r="K25" s="1759" t="n">
        <f aca="false">未納者等入金!F5</f>
        <v>0</v>
      </c>
      <c r="L25" s="1814"/>
      <c r="M25" s="1709"/>
      <c r="N25" s="798"/>
      <c r="O25" s="798"/>
      <c r="P25" s="798"/>
      <c r="Q25" s="798"/>
    </row>
    <row r="26" customFormat="false" ht="24" hidden="false" customHeight="true" outlineLevel="0" collapsed="false">
      <c r="A26" s="1652" t="s">
        <v>560</v>
      </c>
      <c r="B26" s="1756" t="n">
        <f aca="false">B5-K5+K26</f>
        <v>31303556</v>
      </c>
      <c r="C26" s="1761" t="n">
        <f aca="false">C5</f>
        <v>31307243</v>
      </c>
      <c r="D26" s="1757" t="n">
        <f aca="false">D5-H5</f>
        <v>132203</v>
      </c>
      <c r="E26" s="1758" t="n">
        <f aca="false">SUM(B26:D26)</f>
        <v>62743002</v>
      </c>
      <c r="F26" s="1813"/>
      <c r="G26" s="1788" t="n">
        <v>1</v>
      </c>
      <c r="H26" s="1787"/>
      <c r="I26" s="1709"/>
      <c r="J26" s="1693" t="s">
        <v>560</v>
      </c>
      <c r="K26" s="1759" t="n">
        <f aca="false">未納者等入金!F6</f>
        <v>0</v>
      </c>
      <c r="L26" s="1814"/>
      <c r="M26" s="1709"/>
      <c r="N26" s="798"/>
      <c r="O26" s="798"/>
      <c r="P26" s="798"/>
      <c r="Q26" s="798"/>
    </row>
    <row r="27" customFormat="false" ht="24" hidden="false" customHeight="true" outlineLevel="0" collapsed="false">
      <c r="A27" s="1652" t="s">
        <v>561</v>
      </c>
      <c r="B27" s="1756" t="n">
        <f aca="false">B6-K6+K27</f>
        <v>31414058</v>
      </c>
      <c r="C27" s="1761" t="n">
        <f aca="false">C6</f>
        <v>31407862</v>
      </c>
      <c r="D27" s="1757" t="n">
        <f aca="false">D6-H6</f>
        <v>227024</v>
      </c>
      <c r="E27" s="1758" t="n">
        <f aca="false">SUM(B27:D27)</f>
        <v>63048944</v>
      </c>
      <c r="F27" s="1813"/>
      <c r="G27" s="1788" t="n">
        <v>2</v>
      </c>
      <c r="H27" s="1787"/>
      <c r="I27" s="1709"/>
      <c r="J27" s="1693" t="s">
        <v>561</v>
      </c>
      <c r="K27" s="1759" t="n">
        <f aca="false">未納者等入金!F7</f>
        <v>0</v>
      </c>
      <c r="L27" s="1814"/>
      <c r="M27" s="1709"/>
      <c r="N27" s="798"/>
      <c r="O27" s="798"/>
      <c r="P27" s="798"/>
      <c r="Q27" s="798"/>
    </row>
    <row r="28" customFormat="false" ht="24" hidden="false" customHeight="true" outlineLevel="0" collapsed="false">
      <c r="A28" s="1652" t="s">
        <v>886</v>
      </c>
      <c r="B28" s="1761" t="n">
        <f aca="false">B7+K28</f>
        <v>58354858</v>
      </c>
      <c r="C28" s="1761" t="n">
        <f aca="false">C7</f>
        <v>58358254</v>
      </c>
      <c r="D28" s="1765" t="n">
        <f aca="false">D7</f>
        <v>0</v>
      </c>
      <c r="E28" s="1758" t="n">
        <f aca="false">SUM(B28:D28)</f>
        <v>116713112</v>
      </c>
      <c r="F28" s="1813"/>
      <c r="G28" s="1788" t="n">
        <v>3</v>
      </c>
      <c r="H28" s="1787"/>
      <c r="I28" s="1709"/>
      <c r="J28" s="1693" t="s">
        <v>886</v>
      </c>
      <c r="K28" s="1759" t="n">
        <f aca="false">未納者等入金!F8</f>
        <v>0</v>
      </c>
      <c r="L28" s="1689"/>
      <c r="M28" s="1709"/>
      <c r="N28" s="798"/>
      <c r="O28" s="798"/>
      <c r="P28" s="798"/>
      <c r="Q28" s="798"/>
    </row>
    <row r="29" customFormat="false" ht="24" hidden="false" customHeight="true" outlineLevel="0" collapsed="false">
      <c r="A29" s="1652" t="s">
        <v>562</v>
      </c>
      <c r="B29" s="1761" t="n">
        <f aca="false">B8-K7+K29</f>
        <v>31934868</v>
      </c>
      <c r="C29" s="1761" t="n">
        <f aca="false">C8</f>
        <v>31956293</v>
      </c>
      <c r="D29" s="1762" t="n">
        <f aca="false">D8-H7</f>
        <v>142776</v>
      </c>
      <c r="E29" s="1758" t="n">
        <f aca="false">SUM(B29:D29)</f>
        <v>64033937</v>
      </c>
      <c r="F29" s="1813"/>
      <c r="G29" s="1788" t="n">
        <v>4</v>
      </c>
      <c r="H29" s="1787"/>
      <c r="I29" s="1709"/>
      <c r="J29" s="1693" t="s">
        <v>562</v>
      </c>
      <c r="K29" s="1759" t="n">
        <f aca="false">未納者等入金!F9</f>
        <v>0</v>
      </c>
      <c r="L29" s="1814"/>
      <c r="M29" s="1709"/>
      <c r="N29" s="798"/>
      <c r="O29" s="798"/>
      <c r="P29" s="798"/>
      <c r="Q29" s="798"/>
    </row>
    <row r="30" customFormat="false" ht="24" hidden="false" customHeight="true" outlineLevel="0" collapsed="false">
      <c r="A30" s="1652" t="s">
        <v>563</v>
      </c>
      <c r="B30" s="1761" t="n">
        <f aca="false">B9-K8+K30</f>
        <v>31858412</v>
      </c>
      <c r="C30" s="1761" t="n">
        <f aca="false">C9</f>
        <v>31867818</v>
      </c>
      <c r="D30" s="1762" t="n">
        <f aca="false">D9-H8</f>
        <v>-48698</v>
      </c>
      <c r="E30" s="1758" t="n">
        <f aca="false">SUM(B30:D30)</f>
        <v>63677532</v>
      </c>
      <c r="F30" s="1813"/>
      <c r="G30" s="1788" t="n">
        <v>5</v>
      </c>
      <c r="H30" s="1787"/>
      <c r="I30" s="1709"/>
      <c r="J30" s="1693" t="s">
        <v>563</v>
      </c>
      <c r="K30" s="1759" t="n">
        <f aca="false">未納者等入金!F10</f>
        <v>0</v>
      </c>
      <c r="L30" s="1814"/>
      <c r="M30" s="1709"/>
      <c r="N30" s="798"/>
      <c r="O30" s="798"/>
      <c r="P30" s="798"/>
      <c r="Q30" s="798"/>
    </row>
    <row r="31" customFormat="false" ht="24" hidden="false" customHeight="true" outlineLevel="0" collapsed="false">
      <c r="A31" s="1652" t="s">
        <v>564</v>
      </c>
      <c r="B31" s="1761" t="n">
        <f aca="false">B10-K9+K31</f>
        <v>32291872</v>
      </c>
      <c r="C31" s="1761" t="n">
        <f aca="false">C10</f>
        <v>32292877</v>
      </c>
      <c r="D31" s="1762" t="n">
        <f aca="false">D10-H9</f>
        <v>125821</v>
      </c>
      <c r="E31" s="1758" t="n">
        <f aca="false">SUM(B31:D31)</f>
        <v>64710570</v>
      </c>
      <c r="F31" s="1813"/>
      <c r="G31" s="1788" t="n">
        <v>6</v>
      </c>
      <c r="H31" s="1787"/>
      <c r="I31" s="1709"/>
      <c r="J31" s="1693" t="s">
        <v>564</v>
      </c>
      <c r="K31" s="1759" t="n">
        <f aca="false">未納者等入金!F11</f>
        <v>0</v>
      </c>
      <c r="L31" s="1814"/>
      <c r="M31" s="1709"/>
      <c r="N31" s="798"/>
      <c r="O31" s="798"/>
      <c r="P31" s="798"/>
      <c r="Q31" s="798"/>
    </row>
    <row r="32" customFormat="false" ht="24" hidden="false" customHeight="true" outlineLevel="0" collapsed="false">
      <c r="A32" s="1652" t="s">
        <v>565</v>
      </c>
      <c r="B32" s="1761" t="n">
        <f aca="false">B11-K10+K32</f>
        <v>31105975</v>
      </c>
      <c r="C32" s="1761" t="n">
        <f aca="false">C11</f>
        <v>31107974</v>
      </c>
      <c r="D32" s="1762" t="n">
        <f aca="false">D11-H10</f>
        <v>123617</v>
      </c>
      <c r="E32" s="1758" t="n">
        <f aca="false">SUM(B32:D32)</f>
        <v>62337566</v>
      </c>
      <c r="F32" s="1813"/>
      <c r="G32" s="1788" t="n">
        <v>7</v>
      </c>
      <c r="H32" s="1787"/>
      <c r="I32" s="1709"/>
      <c r="J32" s="1693" t="s">
        <v>565</v>
      </c>
      <c r="K32" s="1759" t="n">
        <f aca="false">未納者等入金!F12</f>
        <v>0</v>
      </c>
      <c r="L32" s="1814"/>
      <c r="M32" s="1709"/>
      <c r="N32" s="798"/>
      <c r="O32" s="798"/>
      <c r="P32" s="798"/>
      <c r="Q32" s="798"/>
    </row>
    <row r="33" customFormat="false" ht="24" hidden="false" customHeight="true" outlineLevel="0" collapsed="false">
      <c r="A33" s="1652" t="s">
        <v>566</v>
      </c>
      <c r="B33" s="1761" t="n">
        <f aca="false">B12-K11+K33</f>
        <v>31203687</v>
      </c>
      <c r="C33" s="1761" t="n">
        <f aca="false">C12</f>
        <v>31158617</v>
      </c>
      <c r="D33" s="1762" t="n">
        <f aca="false">D12-H11</f>
        <v>91032</v>
      </c>
      <c r="E33" s="1758" t="n">
        <f aca="false">SUM(B33:D33)</f>
        <v>62453336</v>
      </c>
      <c r="F33" s="1813"/>
      <c r="G33" s="1788" t="n">
        <v>8</v>
      </c>
      <c r="H33" s="1787"/>
      <c r="I33" s="1709"/>
      <c r="J33" s="1693" t="s">
        <v>566</v>
      </c>
      <c r="K33" s="1759" t="n">
        <f aca="false">未納者等入金!F13</f>
        <v>0</v>
      </c>
      <c r="L33" s="1814"/>
      <c r="M33" s="1709"/>
      <c r="N33" s="798"/>
      <c r="O33" s="798"/>
      <c r="P33" s="798"/>
      <c r="Q33" s="798"/>
    </row>
    <row r="34" customFormat="false" ht="24" hidden="false" customHeight="true" outlineLevel="0" collapsed="false">
      <c r="A34" s="1652" t="s">
        <v>887</v>
      </c>
      <c r="B34" s="1761" t="n">
        <f aca="false">B13+K34</f>
        <v>56098280</v>
      </c>
      <c r="C34" s="1761" t="n">
        <f aca="false">C13</f>
        <v>56103444</v>
      </c>
      <c r="D34" s="1765" t="n">
        <f aca="false">D13</f>
        <v>0</v>
      </c>
      <c r="E34" s="1758" t="n">
        <f aca="false">SUM(B34:D34)</f>
        <v>112201724</v>
      </c>
      <c r="F34" s="1813"/>
      <c r="G34" s="1788" t="n">
        <v>9</v>
      </c>
      <c r="H34" s="1787"/>
      <c r="I34" s="1709"/>
      <c r="J34" s="1693" t="s">
        <v>887</v>
      </c>
      <c r="K34" s="1759" t="n">
        <f aca="false">未納者等入金!F14</f>
        <v>0</v>
      </c>
      <c r="L34" s="1814"/>
      <c r="M34" s="1709"/>
      <c r="N34" s="798"/>
      <c r="O34" s="798"/>
      <c r="P34" s="798"/>
      <c r="Q34" s="798"/>
    </row>
    <row r="35" customFormat="false" ht="24" hidden="false" customHeight="true" outlineLevel="0" collapsed="false">
      <c r="A35" s="1652" t="s">
        <v>567</v>
      </c>
      <c r="B35" s="1761" t="n">
        <f aca="false">B14-K12+K35</f>
        <v>31236550</v>
      </c>
      <c r="C35" s="1761" t="n">
        <f aca="false">C14</f>
        <v>31225936</v>
      </c>
      <c r="D35" s="1766" t="n">
        <f aca="false">D14-H12</f>
        <v>77228</v>
      </c>
      <c r="E35" s="1758" t="n">
        <f aca="false">SUM(B35:D35)</f>
        <v>62539714</v>
      </c>
      <c r="F35" s="1813"/>
      <c r="G35" s="1788" t="n">
        <v>10</v>
      </c>
      <c r="H35" s="1787"/>
      <c r="I35" s="1709"/>
      <c r="J35" s="1693" t="s">
        <v>567</v>
      </c>
      <c r="K35" s="1759" t="n">
        <f aca="false">未納者等入金!F15</f>
        <v>0</v>
      </c>
      <c r="L35" s="1689"/>
      <c r="M35" s="1709"/>
      <c r="N35" s="798"/>
      <c r="O35" s="798"/>
      <c r="P35" s="798"/>
      <c r="Q35" s="798"/>
    </row>
    <row r="36" customFormat="false" ht="24" hidden="false" customHeight="true" outlineLevel="0" collapsed="false">
      <c r="A36" s="1652" t="s">
        <v>568</v>
      </c>
      <c r="B36" s="1761" t="n">
        <f aca="false">B15-K13+K36</f>
        <v>31297931</v>
      </c>
      <c r="C36" s="1761" t="n">
        <f aca="false">C15</f>
        <v>31265991</v>
      </c>
      <c r="D36" s="1766" t="n">
        <f aca="false">D15-H13</f>
        <v>75931</v>
      </c>
      <c r="E36" s="1758" t="n">
        <f aca="false">SUM(B36:D36)</f>
        <v>62639853</v>
      </c>
      <c r="F36" s="1813"/>
      <c r="G36" s="1788" t="n">
        <v>11</v>
      </c>
      <c r="H36" s="1787"/>
      <c r="I36" s="1709"/>
      <c r="J36" s="1693" t="s">
        <v>568</v>
      </c>
      <c r="K36" s="1759" t="n">
        <f aca="false">未納者等入金!F16</f>
        <v>0</v>
      </c>
      <c r="L36" s="1814"/>
      <c r="M36" s="1709"/>
      <c r="N36" s="798"/>
      <c r="O36" s="798"/>
      <c r="P36" s="798"/>
      <c r="Q36" s="798"/>
    </row>
    <row r="37" customFormat="false" ht="24" hidden="false" customHeight="true" outlineLevel="0" collapsed="false">
      <c r="A37" s="1652" t="s">
        <v>569</v>
      </c>
      <c r="B37" s="1761" t="n">
        <f aca="false">B16-K14+K37</f>
        <v>31343795</v>
      </c>
      <c r="C37" s="1761" t="n">
        <f aca="false">C16</f>
        <v>31330292</v>
      </c>
      <c r="D37" s="1766" t="n">
        <f aca="false">D16-H14</f>
        <v>60734</v>
      </c>
      <c r="E37" s="1758" t="n">
        <f aca="false">SUM(B37:D37)</f>
        <v>62734821</v>
      </c>
      <c r="F37" s="1813"/>
      <c r="G37" s="1788" t="n">
        <v>12</v>
      </c>
      <c r="H37" s="1787"/>
      <c r="I37" s="1709"/>
      <c r="J37" s="1693" t="s">
        <v>569</v>
      </c>
      <c r="K37" s="1759" t="n">
        <f aca="false">未納者等入金!F17</f>
        <v>0</v>
      </c>
      <c r="L37" s="1814"/>
      <c r="M37" s="1709"/>
      <c r="N37" s="798"/>
      <c r="O37" s="798"/>
      <c r="P37" s="798"/>
      <c r="Q37" s="798"/>
    </row>
    <row r="38" customFormat="false" ht="24" hidden="false" customHeight="true" outlineLevel="0" collapsed="false">
      <c r="A38" s="1652" t="s">
        <v>888</v>
      </c>
      <c r="B38" s="1772" t="n">
        <f aca="false">B17+K38</f>
        <v>12910671</v>
      </c>
      <c r="C38" s="1761" t="n">
        <f aca="false">C17</f>
        <v>13720411</v>
      </c>
      <c r="D38" s="1773" t="n">
        <f aca="false">D17</f>
        <v>0</v>
      </c>
      <c r="E38" s="1758" t="n">
        <f aca="false">SUM(B38:D38)</f>
        <v>26631082</v>
      </c>
      <c r="F38" s="1813"/>
      <c r="G38" s="1788" t="n">
        <v>13</v>
      </c>
      <c r="H38" s="1787"/>
      <c r="I38" s="1709"/>
      <c r="J38" s="1696" t="s">
        <v>888</v>
      </c>
      <c r="K38" s="1759" t="n">
        <f aca="false">未納者等入金!F18</f>
        <v>0</v>
      </c>
      <c r="L38" s="1814"/>
      <c r="M38" s="1709"/>
      <c r="N38" s="798"/>
      <c r="O38" s="798"/>
      <c r="P38" s="798"/>
      <c r="Q38" s="798"/>
    </row>
    <row r="39" customFormat="false" ht="24" hidden="false" customHeight="true" outlineLevel="0" collapsed="false">
      <c r="A39" s="1652" t="s">
        <v>570</v>
      </c>
      <c r="B39" s="1761" t="n">
        <f aca="false">B18-K15+K39</f>
        <v>32264902</v>
      </c>
      <c r="C39" s="1761" t="n">
        <f aca="false">C18</f>
        <v>32234438</v>
      </c>
      <c r="D39" s="1766" t="n">
        <f aca="false">D18-H15</f>
        <v>17136</v>
      </c>
      <c r="E39" s="1775" t="n">
        <f aca="false">SUM(B39:D39)</f>
        <v>64516476</v>
      </c>
      <c r="F39" s="1813"/>
      <c r="G39" s="1788" t="n">
        <v>14</v>
      </c>
      <c r="H39" s="1787"/>
      <c r="I39" s="1709"/>
      <c r="J39" s="1696" t="s">
        <v>570</v>
      </c>
      <c r="K39" s="1759" t="n">
        <f aca="false">未納者等入金!F19</f>
        <v>0</v>
      </c>
      <c r="L39" s="1815"/>
      <c r="M39" s="1709"/>
      <c r="N39" s="798"/>
      <c r="O39" s="798"/>
      <c r="P39" s="798"/>
      <c r="Q39" s="798"/>
    </row>
    <row r="40" customFormat="false" ht="24" hidden="false" customHeight="true" outlineLevel="0" collapsed="false">
      <c r="A40" s="1659" t="s">
        <v>920</v>
      </c>
      <c r="B40" s="1761" t="n">
        <f aca="false">B19+K40</f>
        <v>1479301</v>
      </c>
      <c r="C40" s="1761" t="n">
        <f aca="false">C19</f>
        <v>1479171</v>
      </c>
      <c r="D40" s="1765" t="n">
        <f aca="false">D19</f>
        <v>0</v>
      </c>
      <c r="E40" s="1776" t="n">
        <f aca="false">SUM(B40:D40)</f>
        <v>2958472</v>
      </c>
      <c r="F40" s="1813"/>
      <c r="G40" s="1788" t="n">
        <v>15</v>
      </c>
      <c r="H40" s="950"/>
      <c r="I40" s="1709"/>
      <c r="J40" s="1696" t="s">
        <v>920</v>
      </c>
      <c r="K40" s="1789" t="n">
        <f aca="false">未納者等入金!F20</f>
        <v>0</v>
      </c>
      <c r="L40" s="1689"/>
      <c r="M40" s="1709"/>
      <c r="N40" s="798"/>
      <c r="O40" s="798"/>
      <c r="P40" s="798"/>
      <c r="Q40" s="798"/>
    </row>
    <row r="41" customFormat="false" ht="24" hidden="false" customHeight="true" outlineLevel="0" collapsed="false">
      <c r="A41" s="1660" t="s">
        <v>921</v>
      </c>
      <c r="B41" s="1777" t="n">
        <f aca="false">B20+K41</f>
        <v>1479310</v>
      </c>
      <c r="C41" s="1777" t="n">
        <f aca="false">C20</f>
        <v>1479188</v>
      </c>
      <c r="D41" s="1778" t="n">
        <f aca="false">D20</f>
        <v>0</v>
      </c>
      <c r="E41" s="1779" t="n">
        <f aca="false">SUM(B41:D41)</f>
        <v>2958498</v>
      </c>
      <c r="F41" s="1813"/>
      <c r="G41" s="1790" t="n">
        <v>16</v>
      </c>
      <c r="H41" s="950"/>
      <c r="I41" s="1709"/>
      <c r="J41" s="1791" t="s">
        <v>921</v>
      </c>
      <c r="K41" s="1792" t="n">
        <f aca="false">未納者等入金!F21</f>
        <v>0</v>
      </c>
      <c r="L41" s="1689"/>
      <c r="M41" s="1709"/>
      <c r="N41" s="798"/>
      <c r="O41" s="798"/>
      <c r="P41" s="798"/>
      <c r="Q41" s="798"/>
    </row>
    <row r="42" customFormat="false" ht="24" hidden="false" customHeight="true" outlineLevel="0" collapsed="false">
      <c r="A42" s="1811" t="s">
        <v>571</v>
      </c>
      <c r="B42" s="1780" t="n">
        <f aca="false">SUM(B25:B41)</f>
        <v>508715172</v>
      </c>
      <c r="C42" s="1780" t="n">
        <f aca="false">SUM(C25:C41)</f>
        <v>509396877</v>
      </c>
      <c r="D42" s="1781" t="n">
        <f aca="false">SUM(D25:D41)</f>
        <v>6153695</v>
      </c>
      <c r="E42" s="1782" t="n">
        <f aca="false">SUM(E25:E41)</f>
        <v>1024265744</v>
      </c>
      <c r="F42" s="1721"/>
      <c r="G42" s="1816"/>
      <c r="I42" s="1709"/>
      <c r="J42" s="1769" t="s">
        <v>571</v>
      </c>
      <c r="K42" s="1770" t="n">
        <f aca="false">SUM(K25:K41)</f>
        <v>0</v>
      </c>
      <c r="L42" s="1709"/>
      <c r="M42" s="1709"/>
      <c r="N42" s="798"/>
      <c r="O42" s="798"/>
      <c r="P42" s="798"/>
      <c r="Q42" s="798"/>
    </row>
    <row r="43" customFormat="false" ht="30" hidden="false" customHeight="true" outlineLevel="0" collapsed="false">
      <c r="G43" s="1787"/>
      <c r="H43" s="1787"/>
      <c r="J43" s="798"/>
      <c r="K43" s="1709"/>
      <c r="L43" s="798"/>
      <c r="M43" s="798"/>
      <c r="N43" s="798"/>
      <c r="O43" s="798"/>
      <c r="P43" s="798"/>
      <c r="Q43" s="798"/>
    </row>
    <row r="44" s="798" customFormat="true" ht="27" hidden="false" customHeight="true" outlineLevel="0" collapsed="false">
      <c r="B44" s="1817"/>
      <c r="C44" s="1721"/>
      <c r="D44" s="1721"/>
      <c r="E44" s="1721"/>
      <c r="F44" s="1721"/>
      <c r="H44" s="1817"/>
      <c r="I44" s="1721"/>
      <c r="K44" s="1709"/>
      <c r="L44" s="1721"/>
      <c r="M44" s="1721"/>
    </row>
    <row r="45" s="798" customFormat="true" ht="17.25" hidden="false" customHeight="false" outlineLevel="0" collapsed="false">
      <c r="A45" s="1741"/>
      <c r="B45" s="1715"/>
      <c r="C45" s="1715"/>
      <c r="D45" s="1797"/>
      <c r="E45" s="1715"/>
      <c r="F45" s="1721"/>
      <c r="G45" s="1741"/>
      <c r="H45" s="1715"/>
      <c r="I45" s="1715"/>
      <c r="J45" s="1799"/>
      <c r="K45" s="1709"/>
      <c r="L45" s="1741"/>
      <c r="M45" s="1741"/>
      <c r="N45" s="1709"/>
      <c r="O45" s="1797"/>
      <c r="P45" s="1715"/>
    </row>
    <row r="46" s="798" customFormat="true" ht="23.1" hidden="false" customHeight="true" outlineLevel="0" collapsed="false">
      <c r="B46" s="1709"/>
      <c r="C46" s="1709"/>
      <c r="D46" s="1709"/>
      <c r="E46" s="1709"/>
      <c r="F46" s="1721"/>
      <c r="H46" s="1709"/>
      <c r="I46" s="1709"/>
      <c r="J46" s="1799"/>
      <c r="K46" s="1709"/>
      <c r="M46" s="793"/>
      <c r="O46" s="1709"/>
      <c r="P46" s="1709"/>
      <c r="Q46" s="1738"/>
    </row>
    <row r="47" s="798" customFormat="true" ht="23.1" hidden="false" customHeight="true" outlineLevel="0" collapsed="false">
      <c r="B47" s="1709"/>
      <c r="C47" s="1709"/>
      <c r="D47" s="1709"/>
      <c r="E47" s="1709"/>
      <c r="F47" s="1721"/>
      <c r="H47" s="1709"/>
      <c r="I47" s="1709"/>
      <c r="M47" s="1817"/>
      <c r="N47" s="1721"/>
      <c r="O47" s="1709"/>
      <c r="P47" s="1709"/>
      <c r="Q47" s="1738"/>
    </row>
    <row r="48" s="798" customFormat="true" ht="23.1" hidden="false" customHeight="true" outlineLevel="0" collapsed="false">
      <c r="B48" s="1709"/>
      <c r="C48" s="1709"/>
      <c r="D48" s="1709"/>
      <c r="E48" s="1709"/>
      <c r="F48" s="1721"/>
      <c r="H48" s="1709"/>
      <c r="I48" s="1709"/>
      <c r="M48" s="1715"/>
      <c r="N48" s="1715"/>
      <c r="O48" s="1709"/>
      <c r="P48" s="1709"/>
      <c r="Q48" s="1738"/>
    </row>
    <row r="49" s="798" customFormat="true" ht="23.1" hidden="false" customHeight="true" outlineLevel="0" collapsed="false">
      <c r="B49" s="1709"/>
      <c r="C49" s="1709"/>
      <c r="D49" s="1709"/>
      <c r="E49" s="1709"/>
      <c r="F49" s="1721"/>
      <c r="H49" s="1709"/>
      <c r="I49" s="1709"/>
      <c r="M49" s="1709"/>
      <c r="N49" s="1709"/>
      <c r="O49" s="1709"/>
      <c r="P49" s="1709"/>
      <c r="Q49" s="1738"/>
    </row>
    <row r="50" s="798" customFormat="true" ht="23.1" hidden="false" customHeight="true" outlineLevel="0" collapsed="false">
      <c r="B50" s="1709"/>
      <c r="C50" s="1709"/>
      <c r="D50" s="1709"/>
      <c r="E50" s="1709"/>
      <c r="F50" s="1721"/>
      <c r="H50" s="1709"/>
      <c r="I50" s="1709"/>
      <c r="M50" s="1709"/>
      <c r="N50" s="1709"/>
      <c r="O50" s="1709"/>
      <c r="P50" s="1709"/>
      <c r="Q50" s="1738"/>
    </row>
    <row r="51" s="798" customFormat="true" ht="23.1" hidden="false" customHeight="true" outlineLevel="0" collapsed="false">
      <c r="B51" s="1709"/>
      <c r="C51" s="1709"/>
      <c r="D51" s="1709"/>
      <c r="E51" s="1709"/>
      <c r="F51" s="1721"/>
      <c r="H51" s="1709"/>
      <c r="I51" s="1709"/>
      <c r="M51" s="1709"/>
      <c r="N51" s="1709"/>
      <c r="O51" s="1709"/>
      <c r="P51" s="1709"/>
      <c r="Q51" s="1738"/>
    </row>
    <row r="52" s="798" customFormat="true" ht="23.1" hidden="false" customHeight="true" outlineLevel="0" collapsed="false">
      <c r="B52" s="1709"/>
      <c r="C52" s="1709"/>
      <c r="D52" s="1709"/>
      <c r="E52" s="1709"/>
      <c r="F52" s="1721"/>
      <c r="H52" s="1709"/>
      <c r="I52" s="1709"/>
      <c r="M52" s="1709"/>
      <c r="N52" s="1709"/>
      <c r="O52" s="1709"/>
      <c r="P52" s="1709"/>
      <c r="Q52" s="1738"/>
    </row>
    <row r="53" s="798" customFormat="true" ht="23.1" hidden="false" customHeight="true" outlineLevel="0" collapsed="false">
      <c r="B53" s="1709"/>
      <c r="C53" s="1709"/>
      <c r="D53" s="1709"/>
      <c r="E53" s="1709"/>
      <c r="F53" s="1721"/>
      <c r="H53" s="1709"/>
      <c r="I53" s="1709"/>
      <c r="M53" s="1709"/>
      <c r="N53" s="1709"/>
      <c r="O53" s="1709"/>
      <c r="P53" s="1709"/>
      <c r="Q53" s="1738"/>
    </row>
    <row r="54" s="798" customFormat="true" ht="23.1" hidden="false" customHeight="true" outlineLevel="0" collapsed="false">
      <c r="B54" s="1709"/>
      <c r="C54" s="1709"/>
      <c r="D54" s="1709"/>
      <c r="E54" s="1709"/>
      <c r="F54" s="1721"/>
      <c r="H54" s="1709"/>
      <c r="I54" s="1709"/>
      <c r="M54" s="1709"/>
      <c r="N54" s="1709"/>
      <c r="O54" s="1709"/>
      <c r="P54" s="1709"/>
      <c r="Q54" s="1738"/>
    </row>
    <row r="55" s="798" customFormat="true" ht="23.1" hidden="false" customHeight="true" outlineLevel="0" collapsed="false">
      <c r="B55" s="1709"/>
      <c r="C55" s="1709"/>
      <c r="D55" s="1709"/>
      <c r="E55" s="1709"/>
      <c r="F55" s="1721"/>
      <c r="H55" s="1709"/>
      <c r="I55" s="1709"/>
      <c r="M55" s="1709"/>
      <c r="N55" s="1709"/>
      <c r="O55" s="1709"/>
      <c r="P55" s="1709"/>
      <c r="Q55" s="1738"/>
    </row>
    <row r="56" s="798" customFormat="true" ht="23.1" hidden="false" customHeight="true" outlineLevel="0" collapsed="false">
      <c r="B56" s="1709"/>
      <c r="C56" s="1709"/>
      <c r="D56" s="1709"/>
      <c r="E56" s="1709"/>
      <c r="F56" s="1721"/>
      <c r="H56" s="1709"/>
      <c r="I56" s="1709"/>
      <c r="M56" s="1709"/>
      <c r="N56" s="1709"/>
      <c r="O56" s="1709"/>
      <c r="P56" s="1709"/>
      <c r="Q56" s="1738"/>
    </row>
    <row r="57" s="798" customFormat="true" ht="23.1" hidden="false" customHeight="true" outlineLevel="0" collapsed="false">
      <c r="B57" s="1709"/>
      <c r="C57" s="1709"/>
      <c r="D57" s="1709"/>
      <c r="E57" s="1709"/>
      <c r="F57" s="1721"/>
      <c r="H57" s="1709"/>
      <c r="I57" s="1709"/>
      <c r="M57" s="1709"/>
      <c r="N57" s="1709"/>
      <c r="O57" s="1709"/>
      <c r="P57" s="1709"/>
      <c r="Q57" s="1738"/>
    </row>
    <row r="58" s="798" customFormat="true" ht="23.1" hidden="false" customHeight="true" outlineLevel="0" collapsed="false">
      <c r="B58" s="1709"/>
      <c r="C58" s="1709"/>
      <c r="D58" s="1709"/>
      <c r="E58" s="1709"/>
      <c r="F58" s="1721"/>
      <c r="H58" s="1709"/>
      <c r="I58" s="1709"/>
      <c r="M58" s="1709"/>
      <c r="N58" s="1709"/>
      <c r="O58" s="1709"/>
      <c r="P58" s="1709"/>
      <c r="Q58" s="1738"/>
    </row>
    <row r="59" s="798" customFormat="true" ht="23.1" hidden="false" customHeight="true" outlineLevel="0" collapsed="false">
      <c r="B59" s="1709"/>
      <c r="C59" s="1709"/>
      <c r="D59" s="1709"/>
      <c r="E59" s="1709"/>
      <c r="F59" s="1721"/>
      <c r="H59" s="1709"/>
      <c r="I59" s="1709"/>
      <c r="M59" s="1709"/>
      <c r="N59" s="1709"/>
      <c r="O59" s="1709"/>
      <c r="P59" s="1709"/>
      <c r="Q59" s="1738"/>
    </row>
    <row r="60" s="798" customFormat="true" ht="23.1" hidden="false" customHeight="true" outlineLevel="0" collapsed="false">
      <c r="B60" s="1709"/>
      <c r="C60" s="1709"/>
      <c r="D60" s="1709"/>
      <c r="E60" s="1709"/>
      <c r="F60" s="1721"/>
      <c r="H60" s="1709"/>
      <c r="I60" s="1709"/>
      <c r="M60" s="1709"/>
      <c r="N60" s="1709"/>
      <c r="O60" s="1709"/>
      <c r="P60" s="1709"/>
      <c r="Q60" s="1738"/>
    </row>
    <row r="61" s="798" customFormat="true" ht="23.1" hidden="false" customHeight="true" outlineLevel="0" collapsed="false">
      <c r="A61" s="1799"/>
      <c r="B61" s="1709"/>
      <c r="C61" s="1709"/>
      <c r="D61" s="1709"/>
      <c r="E61" s="1709"/>
      <c r="F61" s="1721"/>
      <c r="G61" s="1799"/>
      <c r="H61" s="1709"/>
      <c r="I61" s="1709"/>
      <c r="L61" s="1799"/>
      <c r="M61" s="1709"/>
      <c r="N61" s="1709"/>
      <c r="O61" s="1709"/>
      <c r="P61" s="1709"/>
      <c r="Q61" s="1738"/>
    </row>
    <row r="62" s="798" customFormat="true" ht="23.1" hidden="false" customHeight="true" outlineLevel="0" collapsed="false">
      <c r="A62" s="1799"/>
      <c r="B62" s="1709"/>
      <c r="C62" s="1709"/>
      <c r="D62" s="1709"/>
      <c r="E62" s="1709"/>
      <c r="F62" s="1721"/>
      <c r="G62" s="1799"/>
      <c r="H62" s="1709"/>
      <c r="I62" s="1709"/>
      <c r="L62" s="1799"/>
      <c r="M62" s="1709"/>
      <c r="N62" s="1709"/>
      <c r="O62" s="1709"/>
      <c r="P62" s="1709"/>
      <c r="Q62" s="1738"/>
    </row>
    <row r="63" s="798" customFormat="true" ht="23.1" hidden="false" customHeight="true" outlineLevel="0" collapsed="false">
      <c r="A63" s="1741"/>
      <c r="B63" s="1709"/>
      <c r="C63" s="1709"/>
      <c r="D63" s="1709"/>
      <c r="E63" s="1709"/>
      <c r="F63" s="1721"/>
      <c r="G63" s="1741"/>
      <c r="H63" s="1709"/>
      <c r="I63" s="1709"/>
      <c r="L63" s="1741"/>
      <c r="M63" s="1709"/>
      <c r="N63" s="1709"/>
      <c r="O63" s="1709"/>
      <c r="P63" s="1709"/>
      <c r="Q63" s="1738"/>
    </row>
    <row r="64" s="798" customFormat="true" ht="30" hidden="false" customHeight="true" outlineLevel="0" collapsed="false">
      <c r="B64" s="793"/>
      <c r="C64" s="793"/>
      <c r="D64" s="793"/>
      <c r="E64" s="793"/>
      <c r="F64" s="793"/>
      <c r="G64" s="793"/>
      <c r="H64" s="793"/>
      <c r="I64" s="793"/>
      <c r="L64" s="793"/>
      <c r="M64" s="1709"/>
      <c r="N64" s="1709"/>
    </row>
    <row r="65" s="798" customFormat="true" ht="27" hidden="false" customHeight="true" outlineLevel="0" collapsed="false">
      <c r="B65" s="1817"/>
      <c r="C65" s="1721"/>
      <c r="D65" s="1721"/>
      <c r="E65" s="1721"/>
      <c r="F65" s="1721"/>
      <c r="J65" s="950"/>
      <c r="K65" s="950"/>
      <c r="M65" s="1709"/>
      <c r="N65" s="1709"/>
    </row>
    <row r="66" s="798" customFormat="true" ht="17.25" hidden="false" customHeight="false" outlineLevel="0" collapsed="false">
      <c r="A66" s="1741"/>
      <c r="B66" s="1715"/>
      <c r="C66" s="1715"/>
      <c r="D66" s="1797"/>
      <c r="E66" s="1715"/>
      <c r="F66" s="1721"/>
      <c r="J66" s="950"/>
      <c r="K66" s="950"/>
      <c r="M66" s="1709"/>
      <c r="N66" s="1709"/>
    </row>
    <row r="67" s="798" customFormat="true" ht="23.1" hidden="false" customHeight="true" outlineLevel="0" collapsed="false">
      <c r="B67" s="1709"/>
      <c r="C67" s="1709"/>
      <c r="D67" s="1709"/>
      <c r="E67" s="1709"/>
      <c r="F67" s="1721"/>
      <c r="J67" s="950"/>
      <c r="K67" s="950"/>
      <c r="M67" s="793"/>
    </row>
    <row r="68" s="798" customFormat="true" ht="23.1" hidden="false" customHeight="true" outlineLevel="0" collapsed="false">
      <c r="B68" s="1709"/>
      <c r="C68" s="1709"/>
      <c r="D68" s="1709"/>
      <c r="E68" s="1709"/>
      <c r="F68" s="1721"/>
      <c r="J68" s="950"/>
      <c r="K68" s="950"/>
    </row>
    <row r="69" s="798" customFormat="true" ht="23.1" hidden="false" customHeight="true" outlineLevel="0" collapsed="false">
      <c r="B69" s="1709"/>
      <c r="C69" s="1709"/>
      <c r="D69" s="1709"/>
      <c r="E69" s="1709"/>
      <c r="F69" s="1721"/>
      <c r="J69" s="950"/>
      <c r="K69" s="950"/>
    </row>
    <row r="70" s="798" customFormat="true" ht="23.1" hidden="false" customHeight="true" outlineLevel="0" collapsed="false">
      <c r="B70" s="1709"/>
      <c r="C70" s="1709"/>
      <c r="D70" s="1709"/>
      <c r="E70" s="1709"/>
      <c r="F70" s="1721"/>
      <c r="J70" s="950"/>
      <c r="K70" s="950"/>
    </row>
    <row r="71" s="798" customFormat="true" ht="23.1" hidden="false" customHeight="true" outlineLevel="0" collapsed="false">
      <c r="B71" s="1709"/>
      <c r="C71" s="1709"/>
      <c r="D71" s="1709"/>
      <c r="E71" s="1709"/>
      <c r="F71" s="1721"/>
      <c r="J71" s="950"/>
      <c r="K71" s="950"/>
    </row>
    <row r="72" s="798" customFormat="true" ht="23.1" hidden="false" customHeight="true" outlineLevel="0" collapsed="false">
      <c r="B72" s="1709"/>
      <c r="C72" s="1709"/>
      <c r="D72" s="1709"/>
      <c r="E72" s="1709"/>
      <c r="F72" s="1721"/>
      <c r="J72" s="950"/>
      <c r="K72" s="950"/>
    </row>
    <row r="73" s="798" customFormat="true" ht="23.1" hidden="false" customHeight="true" outlineLevel="0" collapsed="false">
      <c r="B73" s="1709"/>
      <c r="C73" s="1709"/>
      <c r="D73" s="1709"/>
      <c r="E73" s="1709"/>
      <c r="F73" s="1721"/>
      <c r="J73" s="950"/>
      <c r="K73" s="950"/>
    </row>
    <row r="74" s="798" customFormat="true" ht="23.1" hidden="false" customHeight="true" outlineLevel="0" collapsed="false">
      <c r="B74" s="1709"/>
      <c r="C74" s="1709"/>
      <c r="D74" s="1709"/>
      <c r="E74" s="1709"/>
      <c r="F74" s="1721"/>
      <c r="J74" s="950"/>
      <c r="K74" s="950"/>
    </row>
    <row r="75" s="798" customFormat="true" ht="23.1" hidden="false" customHeight="true" outlineLevel="0" collapsed="false">
      <c r="B75" s="1709"/>
      <c r="C75" s="1709"/>
      <c r="D75" s="1709"/>
      <c r="E75" s="1709"/>
      <c r="F75" s="1721"/>
      <c r="J75" s="950"/>
      <c r="K75" s="950"/>
    </row>
    <row r="76" s="798" customFormat="true" ht="23.1" hidden="false" customHeight="true" outlineLevel="0" collapsed="false">
      <c r="B76" s="1709"/>
      <c r="C76" s="1709"/>
      <c r="D76" s="1709"/>
      <c r="E76" s="1709"/>
      <c r="F76" s="1721"/>
      <c r="J76" s="950"/>
      <c r="K76" s="950"/>
    </row>
    <row r="77" s="798" customFormat="true" ht="23.1" hidden="false" customHeight="true" outlineLevel="0" collapsed="false">
      <c r="B77" s="1709"/>
      <c r="C77" s="1709"/>
      <c r="D77" s="1709"/>
      <c r="E77" s="1709"/>
      <c r="F77" s="1721"/>
      <c r="J77" s="950"/>
      <c r="K77" s="950"/>
    </row>
    <row r="78" s="798" customFormat="true" ht="23.1" hidden="false" customHeight="true" outlineLevel="0" collapsed="false">
      <c r="B78" s="1709"/>
      <c r="C78" s="1709"/>
      <c r="D78" s="1709"/>
      <c r="E78" s="1709"/>
      <c r="F78" s="1721"/>
      <c r="J78" s="950"/>
      <c r="K78" s="950"/>
    </row>
    <row r="79" s="798" customFormat="true" ht="23.1" hidden="false" customHeight="true" outlineLevel="0" collapsed="false">
      <c r="B79" s="1709"/>
      <c r="C79" s="1709"/>
      <c r="D79" s="1709"/>
      <c r="E79" s="1709"/>
      <c r="F79" s="1721"/>
      <c r="J79" s="950"/>
      <c r="K79" s="950"/>
    </row>
    <row r="80" s="798" customFormat="true" ht="23.1" hidden="false" customHeight="true" outlineLevel="0" collapsed="false">
      <c r="B80" s="1709"/>
      <c r="C80" s="1709"/>
      <c r="D80" s="1709"/>
      <c r="E80" s="1709"/>
      <c r="F80" s="1721"/>
      <c r="J80" s="950"/>
      <c r="K80" s="950"/>
    </row>
    <row r="81" s="798" customFormat="true" ht="23.1" hidden="false" customHeight="true" outlineLevel="0" collapsed="false">
      <c r="B81" s="1709"/>
      <c r="C81" s="1709"/>
      <c r="D81" s="1709"/>
      <c r="E81" s="1709"/>
      <c r="F81" s="1721"/>
      <c r="J81" s="950"/>
      <c r="K81" s="950"/>
    </row>
    <row r="82" s="798" customFormat="true" ht="23.1" hidden="false" customHeight="true" outlineLevel="0" collapsed="false">
      <c r="A82" s="1799"/>
      <c r="B82" s="1709"/>
      <c r="C82" s="1709"/>
      <c r="D82" s="1709"/>
      <c r="E82" s="1709"/>
      <c r="F82" s="1721"/>
      <c r="J82" s="950"/>
      <c r="K82" s="950"/>
    </row>
    <row r="83" s="798" customFormat="true" ht="23.1" hidden="false" customHeight="true" outlineLevel="0" collapsed="false">
      <c r="A83" s="1799"/>
      <c r="B83" s="1709"/>
      <c r="C83" s="1709"/>
      <c r="D83" s="1709"/>
      <c r="E83" s="1709"/>
      <c r="F83" s="1721"/>
      <c r="J83" s="950"/>
      <c r="K83" s="950"/>
    </row>
    <row r="84" s="798" customFormat="true" ht="23.1" hidden="false" customHeight="true" outlineLevel="0" collapsed="false">
      <c r="A84" s="1741"/>
      <c r="B84" s="1709"/>
      <c r="C84" s="1709"/>
      <c r="D84" s="1709"/>
      <c r="E84" s="1709"/>
      <c r="F84" s="1721"/>
      <c r="J84" s="950"/>
      <c r="K84" s="950"/>
    </row>
    <row r="85" s="798" customFormat="true" ht="17.25" hidden="false" customHeight="false" outlineLevel="0" collapsed="false">
      <c r="B85" s="793"/>
      <c r="C85" s="793"/>
      <c r="D85" s="793"/>
      <c r="E85" s="793"/>
      <c r="F85" s="793"/>
      <c r="J85" s="950"/>
      <c r="K85" s="950"/>
    </row>
    <row r="86" s="798" customFormat="true" ht="17.25" hidden="false" customHeight="false" outlineLevel="0" collapsed="false">
      <c r="B86" s="793"/>
      <c r="C86" s="793"/>
      <c r="D86" s="793"/>
      <c r="E86" s="793"/>
      <c r="F86" s="793"/>
      <c r="J86" s="950"/>
      <c r="K86" s="950"/>
    </row>
    <row r="87" s="798" customFormat="true" ht="17.25" hidden="false" customHeight="false" outlineLevel="0" collapsed="false">
      <c r="B87" s="793"/>
      <c r="C87" s="793"/>
      <c r="D87" s="793"/>
      <c r="E87" s="793"/>
      <c r="F87" s="793"/>
      <c r="J87" s="950"/>
      <c r="K87" s="950"/>
    </row>
    <row r="88" s="798" customFormat="true" ht="17.25" hidden="false" customHeight="false" outlineLevel="0" collapsed="false">
      <c r="B88" s="793"/>
      <c r="C88" s="793"/>
      <c r="D88" s="793"/>
      <c r="E88" s="793"/>
      <c r="F88" s="793"/>
      <c r="J88" s="950"/>
      <c r="K88" s="950"/>
    </row>
    <row r="89" customFormat="false" ht="17.25" hidden="false" customHeight="false" outlineLevel="0" collapsed="false">
      <c r="M89" s="798"/>
      <c r="N89" s="798"/>
    </row>
    <row r="90" customFormat="false" ht="17.25" hidden="false" customHeight="false" outlineLevel="0" collapsed="false">
      <c r="M90" s="798"/>
      <c r="N90" s="798"/>
    </row>
    <row r="91" customFormat="false" ht="17.25" hidden="false" customHeight="false" outlineLevel="0" collapsed="false">
      <c r="M91" s="798"/>
      <c r="N91" s="798"/>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B12" activeCellId="0" sqref="B12"/>
    </sheetView>
  </sheetViews>
  <sheetFormatPr defaultColWidth="8.79296875" defaultRowHeight="17.25" zeroHeight="false" outlineLevelRow="0" outlineLevelCol="0"/>
  <cols>
    <col collapsed="false" customWidth="true" hidden="false" outlineLevel="0" max="1" min="1" style="950" width="17"/>
    <col collapsed="false" customWidth="true" hidden="false" outlineLevel="0" max="5" min="2" style="793" width="17"/>
    <col collapsed="false" customWidth="true" hidden="false" outlineLevel="0" max="6" min="6" style="793" width="5.89"/>
    <col collapsed="false" customWidth="true" hidden="false" outlineLevel="0" max="8" min="7" style="793" width="16.89"/>
    <col collapsed="false" customWidth="true" hidden="false" outlineLevel="0" max="9" min="9" style="793" width="5.59"/>
    <col collapsed="false" customWidth="true" hidden="false" outlineLevel="0" max="10" min="10" style="950" width="17"/>
    <col collapsed="false" customWidth="true" hidden="false" outlineLevel="0" max="11" min="11" style="950" width="16.89"/>
    <col collapsed="false" customWidth="true" hidden="false" outlineLevel="0" max="12" min="12" style="793" width="2.89"/>
    <col collapsed="false" customWidth="true" hidden="false" outlineLevel="0" max="13" min="13" style="793" width="12.09"/>
    <col collapsed="false" customWidth="true" hidden="false" outlineLevel="0" max="14" min="14" style="950" width="12.09"/>
    <col collapsed="false" customWidth="true" hidden="false" outlineLevel="0" max="16" min="15" style="950" width="11.99"/>
    <col collapsed="false" customWidth="true" hidden="false" outlineLevel="0" max="20" min="17" style="950" width="10.69"/>
    <col collapsed="false" customWidth="false" hidden="false" outlineLevel="0" max="257" min="21" style="950" width="8.79"/>
  </cols>
  <sheetData>
    <row r="1" s="1623" customFormat="true" ht="22.5" hidden="false" customHeight="true" outlineLevel="0" collapsed="false">
      <c r="A1" s="1809" t="str">
        <f aca="false">'☆短期集計R7'!A1</f>
        <v>令和8年度</v>
      </c>
      <c r="B1" s="1623" t="s">
        <v>972</v>
      </c>
      <c r="C1" s="1810"/>
      <c r="E1" s="1810"/>
      <c r="F1" s="1810"/>
    </row>
    <row r="2" customFormat="false" ht="30" hidden="false" customHeight="true" outlineLevel="0" collapsed="false">
      <c r="A2" s="950" t="s">
        <v>973</v>
      </c>
      <c r="B2" s="950"/>
      <c r="C2" s="950"/>
      <c r="D2" s="950"/>
      <c r="E2" s="799" t="s">
        <v>535</v>
      </c>
      <c r="F2" s="1747"/>
      <c r="G2" s="950" t="s">
        <v>974</v>
      </c>
      <c r="H2" s="950"/>
      <c r="I2" s="950"/>
      <c r="J2" s="1818" t="s">
        <v>975</v>
      </c>
      <c r="K2" s="1818"/>
      <c r="L2" s="950"/>
      <c r="M2" s="950"/>
    </row>
    <row r="3" customFormat="false" ht="33.75" hidden="false" customHeight="true" outlineLevel="0" collapsed="false">
      <c r="A3" s="1323" t="s">
        <v>542</v>
      </c>
      <c r="B3" s="1749" t="s">
        <v>952</v>
      </c>
      <c r="C3" s="1750" t="s">
        <v>491</v>
      </c>
      <c r="D3" s="1751" t="s">
        <v>953</v>
      </c>
      <c r="E3" s="1752" t="s">
        <v>541</v>
      </c>
      <c r="F3" s="1715"/>
      <c r="G3" s="1753" t="s">
        <v>542</v>
      </c>
      <c r="H3" s="1754" t="s">
        <v>574</v>
      </c>
      <c r="I3" s="950"/>
      <c r="J3" s="1753" t="s">
        <v>537</v>
      </c>
      <c r="K3" s="1755" t="s">
        <v>954</v>
      </c>
      <c r="L3" s="950"/>
      <c r="M3" s="950"/>
    </row>
    <row r="4" customFormat="false" ht="24" hidden="false" customHeight="true" outlineLevel="0" collapsed="false">
      <c r="A4" s="1642" t="s">
        <v>559</v>
      </c>
      <c r="B4" s="1756" t="n">
        <f aca="true">OFFSET('☆掛負収入'!$N$65,$G$24*$G25,0,1,1)-D4</f>
        <v>7698417</v>
      </c>
      <c r="C4" s="1756" t="n">
        <f aca="true">OFFSET('☆掛負収入'!$O$65,$G$24*$G25,0,1,1)</f>
        <v>7708470</v>
      </c>
      <c r="D4" s="1757" t="n">
        <f aca="true">OFFSET('☆掛負収入'!$N$64,$G$24*$G25,0,1,1)</f>
        <v>2174616</v>
      </c>
      <c r="E4" s="1758" t="n">
        <f aca="false">SUM(B4:D4)</f>
        <v>17581503</v>
      </c>
      <c r="F4" s="1721"/>
      <c r="G4" s="1691" t="s">
        <v>559</v>
      </c>
      <c r="H4" s="1759" t="n">
        <f aca="false">還付!J37</f>
        <v>5135</v>
      </c>
      <c r="I4" s="950"/>
      <c r="J4" s="1760" t="s">
        <v>559</v>
      </c>
      <c r="K4" s="1759" t="n">
        <f aca="false">還付!F5+還付!F21</f>
        <v>0</v>
      </c>
      <c r="L4" s="950"/>
      <c r="M4" s="950"/>
    </row>
    <row r="5" customFormat="false" ht="24" hidden="false" customHeight="true" outlineLevel="0" collapsed="false">
      <c r="A5" s="1652" t="s">
        <v>560</v>
      </c>
      <c r="B5" s="1761" t="n">
        <f aca="true">OFFSET('☆掛負収入'!$N$65,$G$24*$G26,0,1,1)-D5</f>
        <v>7764139</v>
      </c>
      <c r="C5" s="1756" t="n">
        <f aca="true">OFFSET('☆掛負収入'!$O$65,$G$24*$G26,0,1,1)</f>
        <v>7767967</v>
      </c>
      <c r="D5" s="1762" t="n">
        <f aca="true">OFFSET('☆掛負収入'!$N$64,$G$24*$G26,0,1,1)</f>
        <v>64285</v>
      </c>
      <c r="E5" s="1758" t="n">
        <f aca="false">SUM(B5:D5)</f>
        <v>15596391</v>
      </c>
      <c r="F5" s="1721"/>
      <c r="G5" s="1693" t="s">
        <v>560</v>
      </c>
      <c r="H5" s="1763" t="n">
        <f aca="false">還付!J38</f>
        <v>14676</v>
      </c>
      <c r="I5" s="950"/>
      <c r="J5" s="1764" t="s">
        <v>560</v>
      </c>
      <c r="K5" s="1759" t="n">
        <f aca="false">還付!F6+還付!F22</f>
        <v>1794</v>
      </c>
      <c r="L5" s="950"/>
      <c r="M5" s="950"/>
    </row>
    <row r="6" customFormat="false" ht="24" hidden="false" customHeight="true" outlineLevel="0" collapsed="false">
      <c r="A6" s="1652" t="s">
        <v>561</v>
      </c>
      <c r="B6" s="1761" t="n">
        <f aca="true">OFFSET('☆掛負収入'!$N$65,$G$24*$G27,0,1,1)-D6</f>
        <v>7754673</v>
      </c>
      <c r="C6" s="1756" t="n">
        <f aca="true">OFFSET('☆掛負収入'!$O$65,$G$24*$G27,0,1,1)</f>
        <v>7752816</v>
      </c>
      <c r="D6" s="1762" t="n">
        <f aca="true">OFFSET('☆掛負収入'!$N$64,$G$24*$G27,0,1,1)</f>
        <v>63859</v>
      </c>
      <c r="E6" s="1758" t="n">
        <f aca="false">SUM(B6:D6)</f>
        <v>15571348</v>
      </c>
      <c r="F6" s="1721"/>
      <c r="G6" s="1693" t="s">
        <v>561</v>
      </c>
      <c r="H6" s="1763" t="n">
        <f aca="false">還付!J39</f>
        <v>0</v>
      </c>
      <c r="I6" s="950"/>
      <c r="J6" s="1764" t="s">
        <v>561</v>
      </c>
      <c r="K6" s="1759" t="n">
        <f aca="false">還付!F7+還付!F23</f>
        <v>1874</v>
      </c>
      <c r="L6" s="950"/>
      <c r="M6" s="950"/>
    </row>
    <row r="7" customFormat="false" ht="24" hidden="false" customHeight="true" outlineLevel="0" collapsed="false">
      <c r="A7" s="1652" t="s">
        <v>886</v>
      </c>
      <c r="B7" s="1761" t="n">
        <f aca="true">OFFSET('☆掛負収入'!$N$65,$G$24*$G28,0,1,1)-D7</f>
        <v>13618708</v>
      </c>
      <c r="C7" s="1756" t="n">
        <f aca="true">OFFSET('☆掛負収入'!$O$65,$G$24*$G28,0,1,1)</f>
        <v>13625291</v>
      </c>
      <c r="D7" s="1765" t="n">
        <f aca="true">OFFSET('☆掛負収入'!$N$64,$G$24*$G28,0,1,1)</f>
        <v>0</v>
      </c>
      <c r="E7" s="1758" t="n">
        <f aca="false">SUM(B7:D7)</f>
        <v>27243999</v>
      </c>
      <c r="F7" s="1721"/>
      <c r="G7" s="1693" t="s">
        <v>562</v>
      </c>
      <c r="H7" s="1763" t="n">
        <f aca="false">還付!J40</f>
        <v>22140</v>
      </c>
      <c r="I7" s="950"/>
      <c r="J7" s="1764" t="s">
        <v>562</v>
      </c>
      <c r="K7" s="1759" t="n">
        <f aca="false">還付!F8+還付!F24</f>
        <v>6328</v>
      </c>
      <c r="L7" s="950"/>
      <c r="M7" s="950"/>
    </row>
    <row r="8" customFormat="false" ht="24" hidden="false" customHeight="true" outlineLevel="0" collapsed="false">
      <c r="A8" s="1652" t="s">
        <v>562</v>
      </c>
      <c r="B8" s="1761" t="n">
        <f aca="true">OFFSET('☆掛負収入'!$N$65,$G$24*$G29,0,1,1)-D8</f>
        <v>7887382</v>
      </c>
      <c r="C8" s="1756" t="n">
        <f aca="true">OFFSET('☆掛負収入'!$O$65,$G$24*$G29,0,1,1)</f>
        <v>7884536</v>
      </c>
      <c r="D8" s="1762" t="n">
        <f aca="true">OFFSET('☆掛負収入'!$N$64,$G$24*$G29,0,1,1)</f>
        <v>50945</v>
      </c>
      <c r="E8" s="1758" t="n">
        <f aca="false">SUM(B8:D8)</f>
        <v>15822863</v>
      </c>
      <c r="F8" s="1721"/>
      <c r="G8" s="1693" t="s">
        <v>563</v>
      </c>
      <c r="H8" s="1763" t="n">
        <f aca="false">還付!J41</f>
        <v>34161</v>
      </c>
      <c r="I8" s="950"/>
      <c r="J8" s="1764" t="s">
        <v>563</v>
      </c>
      <c r="K8" s="1759" t="n">
        <f aca="false">還付!F9+還付!F25</f>
        <v>4621</v>
      </c>
      <c r="L8" s="950"/>
      <c r="M8" s="950"/>
    </row>
    <row r="9" customFormat="false" ht="24" hidden="false" customHeight="true" outlineLevel="0" collapsed="false">
      <c r="A9" s="1652" t="s">
        <v>563</v>
      </c>
      <c r="B9" s="1761" t="n">
        <f aca="true">OFFSET('☆掛負収入'!$N$65,$G$24*$G30,0,1,1)-D9</f>
        <v>7810506</v>
      </c>
      <c r="C9" s="1756" t="n">
        <f aca="true">OFFSET('☆掛負収入'!$O$65,$G$24*$G30,0,1,1)</f>
        <v>7809762</v>
      </c>
      <c r="D9" s="1762" t="n">
        <f aca="true">OFFSET('☆掛負収入'!$N$64,$G$24*$G30,0,1,1)</f>
        <v>77141</v>
      </c>
      <c r="E9" s="1758" t="n">
        <f aca="false">SUM(B9:D9)</f>
        <v>15697409</v>
      </c>
      <c r="F9" s="1721"/>
      <c r="G9" s="1693" t="s">
        <v>564</v>
      </c>
      <c r="H9" s="1763" t="n">
        <f aca="false">還付!J42</f>
        <v>43075</v>
      </c>
      <c r="I9" s="950"/>
      <c r="J9" s="1764" t="s">
        <v>564</v>
      </c>
      <c r="K9" s="1759" t="n">
        <f aca="false">還付!F10+還付!F26</f>
        <v>4530</v>
      </c>
      <c r="L9" s="950"/>
      <c r="M9" s="950"/>
    </row>
    <row r="10" customFormat="false" ht="24" hidden="false" customHeight="true" outlineLevel="0" collapsed="false">
      <c r="A10" s="1652" t="s">
        <v>564</v>
      </c>
      <c r="B10" s="1761" t="n">
        <f aca="true">OFFSET('☆掛負収入'!$N$65,$G$24*$G31,0,1,1)-D10</f>
        <v>7883093</v>
      </c>
      <c r="C10" s="1756" t="n">
        <f aca="true">OFFSET('☆掛負収入'!$O$65,$G$24*$G31,0,1,1)</f>
        <v>7882454</v>
      </c>
      <c r="D10" s="1762" t="n">
        <f aca="true">OFFSET('☆掛負収入'!$N$64,$G$24*$G31,0,1,1)</f>
        <v>152502</v>
      </c>
      <c r="E10" s="1758" t="n">
        <f aca="false">SUM(B10:D10)</f>
        <v>15918049</v>
      </c>
      <c r="F10" s="1721"/>
      <c r="G10" s="1693" t="s">
        <v>565</v>
      </c>
      <c r="H10" s="1763" t="n">
        <f aca="false">還付!J43</f>
        <v>7514</v>
      </c>
      <c r="I10" s="950"/>
      <c r="J10" s="1764" t="s">
        <v>565</v>
      </c>
      <c r="K10" s="1759" t="n">
        <f aca="false">還付!F11+還付!F27</f>
        <v>0</v>
      </c>
      <c r="L10" s="950"/>
      <c r="M10" s="950"/>
    </row>
    <row r="11" customFormat="false" ht="24" hidden="false" customHeight="true" outlineLevel="0" collapsed="false">
      <c r="A11" s="1652" t="s">
        <v>565</v>
      </c>
      <c r="B11" s="1761" t="n">
        <f aca="true">OFFSET('☆掛負収入'!$N$65,$G$24*$G32,0,1,1)-D11</f>
        <v>8365</v>
      </c>
      <c r="C11" s="1756" t="n">
        <f aca="true">OFFSET('☆掛負収入'!$O$65,$G$24*$G32,0,1,1)</f>
        <v>8378</v>
      </c>
      <c r="D11" s="1762" t="n">
        <f aca="true">OFFSET('☆掛負収入'!$N$64,$G$24*$G32,0,1,1)</f>
        <v>1</v>
      </c>
      <c r="E11" s="1758" t="n">
        <f aca="false">SUM(B11:D11)</f>
        <v>16744</v>
      </c>
      <c r="F11" s="1721"/>
      <c r="G11" s="1693" t="s">
        <v>566</v>
      </c>
      <c r="H11" s="1763" t="n">
        <f aca="false">還付!J44</f>
        <v>7820</v>
      </c>
      <c r="I11" s="950"/>
      <c r="J11" s="1764" t="s">
        <v>566</v>
      </c>
      <c r="K11" s="1759" t="n">
        <f aca="false">還付!F12+還付!F28</f>
        <v>0</v>
      </c>
      <c r="L11" s="950"/>
      <c r="M11" s="950"/>
    </row>
    <row r="12" customFormat="false" ht="24" hidden="false" customHeight="true" outlineLevel="0" collapsed="false">
      <c r="A12" s="1652" t="s">
        <v>566</v>
      </c>
      <c r="B12" s="1761" t="n">
        <f aca="true">OFFSET('☆掛負収入'!$N$65,$G$24*$G33,0,1,1)-D12</f>
        <v>26</v>
      </c>
      <c r="C12" s="1756" t="n">
        <f aca="true">OFFSET('☆掛負収入'!$O$65,$G$24*$G33,0,1,1)</f>
        <v>38</v>
      </c>
      <c r="D12" s="1762" t="n">
        <f aca="true">OFFSET('☆掛負収入'!$N$64,$G$24*$G33,0,1,1)</f>
        <v>1</v>
      </c>
      <c r="E12" s="1758" t="n">
        <f aca="false">SUM(B12:D12)</f>
        <v>65</v>
      </c>
      <c r="F12" s="1721"/>
      <c r="G12" s="1693" t="s">
        <v>567</v>
      </c>
      <c r="H12" s="1763" t="n">
        <f aca="false">還付!J45</f>
        <v>0</v>
      </c>
      <c r="I12" s="950"/>
      <c r="J12" s="1764" t="s">
        <v>567</v>
      </c>
      <c r="K12" s="1759" t="n">
        <f aca="false">還付!F13+還付!F29</f>
        <v>0</v>
      </c>
      <c r="L12" s="950"/>
      <c r="M12" s="950"/>
    </row>
    <row r="13" customFormat="false" ht="24" hidden="false" customHeight="true" outlineLevel="0" collapsed="false">
      <c r="A13" s="1652" t="s">
        <v>887</v>
      </c>
      <c r="B13" s="1761" t="n">
        <f aca="true">OFFSET('☆掛負収入'!$N$65,$G$24*$G34,0,1,1)-D13</f>
        <v>26</v>
      </c>
      <c r="C13" s="1756" t="n">
        <f aca="true">OFFSET('☆掛負収入'!$O$65,$G$24*$G34,0,1,1)</f>
        <v>38</v>
      </c>
      <c r="D13" s="1765" t="n">
        <f aca="true">OFFSET('☆掛負収入'!$N$64,$G$24*$G34,0,1,1)</f>
        <v>0</v>
      </c>
      <c r="E13" s="1758" t="n">
        <f aca="false">SUM(B13:D13)</f>
        <v>64</v>
      </c>
      <c r="F13" s="1721"/>
      <c r="G13" s="1693" t="s">
        <v>568</v>
      </c>
      <c r="H13" s="1763" t="n">
        <f aca="false">還付!J46</f>
        <v>0</v>
      </c>
      <c r="I13" s="950"/>
      <c r="J13" s="1764" t="s">
        <v>568</v>
      </c>
      <c r="K13" s="1759" t="n">
        <f aca="false">還付!F14+還付!F30</f>
        <v>0</v>
      </c>
      <c r="L13" s="950"/>
      <c r="M13" s="950"/>
    </row>
    <row r="14" customFormat="false" ht="24" hidden="false" customHeight="true" outlineLevel="0" collapsed="false">
      <c r="A14" s="1652" t="s">
        <v>567</v>
      </c>
      <c r="B14" s="1761" t="n">
        <f aca="true">OFFSET('☆掛負収入'!$N$65,$G$24*$G35,0,1,1)-D14</f>
        <v>26</v>
      </c>
      <c r="C14" s="1756" t="n">
        <f aca="true">OFFSET('☆掛負収入'!$O$65,$G$24*$G35,0,1,1)</f>
        <v>38</v>
      </c>
      <c r="D14" s="1766" t="n">
        <f aca="true">OFFSET('☆掛負収入'!$N$64,$G$24*$G35,0,1,1)</f>
        <v>1</v>
      </c>
      <c r="E14" s="1758" t="n">
        <f aca="false">SUM(B14:D14)</f>
        <v>65</v>
      </c>
      <c r="F14" s="1721"/>
      <c r="G14" s="1693" t="s">
        <v>569</v>
      </c>
      <c r="H14" s="1763" t="n">
        <f aca="false">還付!J47</f>
        <v>0</v>
      </c>
      <c r="I14" s="950"/>
      <c r="J14" s="1764" t="s">
        <v>569</v>
      </c>
      <c r="K14" s="1759" t="n">
        <f aca="false">還付!F15+還付!F31</f>
        <v>0</v>
      </c>
      <c r="L14" s="950"/>
      <c r="M14" s="950"/>
    </row>
    <row r="15" customFormat="false" ht="24" hidden="false" customHeight="true" outlineLevel="0" collapsed="false">
      <c r="A15" s="1652" t="s">
        <v>568</v>
      </c>
      <c r="B15" s="1761" t="n">
        <f aca="true">OFFSET('☆掛負収入'!$N$65,$G$24*$G36,0,1,1)-D15</f>
        <v>26</v>
      </c>
      <c r="C15" s="1756" t="n">
        <f aca="true">OFFSET('☆掛負収入'!$O$65,$G$24*$G36,0,1,1)</f>
        <v>38</v>
      </c>
      <c r="D15" s="1762" t="n">
        <f aca="true">OFFSET('☆掛負収入'!$N$64,$G$24*$G36,0,1,1)</f>
        <v>1</v>
      </c>
      <c r="E15" s="1758" t="n">
        <f aca="false">SUM(B15:D15)</f>
        <v>65</v>
      </c>
      <c r="F15" s="1721"/>
      <c r="G15" s="1696" t="s">
        <v>570</v>
      </c>
      <c r="H15" s="1767" t="n">
        <f aca="false">還付!J48</f>
        <v>0</v>
      </c>
      <c r="I15" s="950"/>
      <c r="J15" s="1768" t="s">
        <v>570</v>
      </c>
      <c r="K15" s="1759" t="n">
        <f aca="false">還付!F16+還付!F32</f>
        <v>0</v>
      </c>
      <c r="L15" s="950"/>
      <c r="M15" s="950"/>
    </row>
    <row r="16" customFormat="false" ht="24" hidden="false" customHeight="true" outlineLevel="0" collapsed="false">
      <c r="A16" s="1652" t="s">
        <v>569</v>
      </c>
      <c r="B16" s="1761" t="n">
        <f aca="true">OFFSET('☆掛負収入'!$N$65,$G$24*$G37,0,1,1)-D16</f>
        <v>26</v>
      </c>
      <c r="C16" s="1756" t="n">
        <f aca="true">OFFSET('☆掛負収入'!$O$65,$G$24*$G37,0,1,1)</f>
        <v>38</v>
      </c>
      <c r="D16" s="1762" t="n">
        <f aca="true">OFFSET('☆掛負収入'!$N$64,$G$24*$G37,0,1,1)</f>
        <v>1</v>
      </c>
      <c r="E16" s="1758" t="n">
        <f aca="false">SUM(B16:D16)</f>
        <v>65</v>
      </c>
      <c r="F16" s="1721"/>
      <c r="G16" s="1769" t="s">
        <v>571</v>
      </c>
      <c r="H16" s="1770" t="n">
        <f aca="false">SUM(H4:H15)</f>
        <v>134521</v>
      </c>
      <c r="I16" s="950"/>
      <c r="J16" s="1771" t="s">
        <v>571</v>
      </c>
      <c r="K16" s="1770" t="n">
        <f aca="false">SUM(K4:K15)</f>
        <v>19147</v>
      </c>
      <c r="L16" s="950"/>
      <c r="M16" s="950"/>
    </row>
    <row r="17" customFormat="false" ht="24" hidden="false" customHeight="true" outlineLevel="0" collapsed="false">
      <c r="A17" s="1652" t="s">
        <v>888</v>
      </c>
      <c r="B17" s="1772" t="n">
        <f aca="true">OFFSET('☆掛負収入'!$N$65,$G$24*$G38,0,1,1)-D17</f>
        <v>21</v>
      </c>
      <c r="C17" s="1756" t="n">
        <f aca="true">OFFSET('☆掛負収入'!$O$65,$G$24*$G38,0,1,1)</f>
        <v>32</v>
      </c>
      <c r="D17" s="1773" t="n">
        <f aca="true">OFFSET('☆掛負収入'!$N$64,$G$24*$G38,0,1,1)</f>
        <v>0</v>
      </c>
      <c r="E17" s="1758" t="n">
        <f aca="false">SUM(B17:D17)</f>
        <v>53</v>
      </c>
      <c r="F17" s="1721"/>
      <c r="G17" s="1774"/>
      <c r="H17" s="1713"/>
      <c r="I17" s="950"/>
      <c r="J17" s="798"/>
      <c r="K17" s="798"/>
      <c r="L17" s="950"/>
      <c r="M17" s="950"/>
    </row>
    <row r="18" customFormat="false" ht="24" hidden="false" customHeight="true" outlineLevel="0" collapsed="false">
      <c r="A18" s="1652" t="s">
        <v>570</v>
      </c>
      <c r="B18" s="1761" t="n">
        <f aca="true">OFFSET('☆掛負収入'!$N$65,$G$24*$G39,0,1,1)-D18</f>
        <v>26</v>
      </c>
      <c r="C18" s="1756" t="n">
        <f aca="true">OFFSET('☆掛負収入'!$O$65,$G$24*$G39,0,1,1)</f>
        <v>38</v>
      </c>
      <c r="D18" s="1766" t="n">
        <f aca="true">OFFSET('☆掛負収入'!$N$64,$G$24*$G39,0,1,1)</f>
        <v>1</v>
      </c>
      <c r="E18" s="1775" t="n">
        <f aca="false">SUM(B18:D18)</f>
        <v>65</v>
      </c>
      <c r="F18" s="1721"/>
      <c r="G18" s="1774"/>
      <c r="H18" s="1713"/>
      <c r="I18" s="950"/>
      <c r="J18" s="1721"/>
      <c r="K18" s="798"/>
      <c r="L18" s="950"/>
      <c r="M18" s="950"/>
    </row>
    <row r="19" customFormat="false" ht="24" hidden="false" customHeight="true" outlineLevel="0" collapsed="false">
      <c r="A19" s="1659" t="s">
        <v>920</v>
      </c>
      <c r="B19" s="1761" t="n">
        <f aca="true">OFFSET('☆掛負収入'!$N$65,$G$24*$G40,0,1,1)-D19</f>
        <v>25</v>
      </c>
      <c r="C19" s="1761" t="n">
        <f aca="true">OFFSET('☆掛負収入'!$O$65,$G$24*$G40,0,1,1)</f>
        <v>37</v>
      </c>
      <c r="D19" s="1765" t="n">
        <f aca="true">OFFSET('☆掛負収入'!$N$64,$G$24*$G40,0,1,1)</f>
        <v>0</v>
      </c>
      <c r="E19" s="1776" t="n">
        <f aca="false">SUM(B19:D19)</f>
        <v>62</v>
      </c>
      <c r="F19" s="1721"/>
      <c r="G19" s="1774"/>
      <c r="H19" s="1713"/>
      <c r="I19" s="950"/>
      <c r="L19" s="950"/>
      <c r="M19" s="950"/>
    </row>
    <row r="20" customFormat="false" ht="24" hidden="false" customHeight="true" outlineLevel="0" collapsed="false">
      <c r="A20" s="1660" t="s">
        <v>921</v>
      </c>
      <c r="B20" s="1777" t="n">
        <f aca="true">OFFSET('☆掛負収入'!$N$65,$G$24*$G41,0,1,1)-D20</f>
        <v>25</v>
      </c>
      <c r="C20" s="1777" t="n">
        <f aca="true">OFFSET('☆掛負収入'!$O$65,$G$24*$G41,0,1,1)</f>
        <v>37</v>
      </c>
      <c r="D20" s="1778" t="n">
        <f aca="true">OFFSET('☆掛負収入'!$N$64,$G$24*$G41,0,1,1)</f>
        <v>0</v>
      </c>
      <c r="E20" s="1779" t="n">
        <f aca="false">SUM(B20:D20)</f>
        <v>62</v>
      </c>
      <c r="F20" s="1721"/>
      <c r="G20" s="1774"/>
      <c r="H20" s="1713"/>
      <c r="I20" s="950"/>
      <c r="L20" s="950"/>
      <c r="M20" s="950"/>
    </row>
    <row r="21" customFormat="false" ht="24" hidden="false" customHeight="true" outlineLevel="0" collapsed="false">
      <c r="A21" s="1811" t="s">
        <v>571</v>
      </c>
      <c r="B21" s="1780" t="n">
        <f aca="false">SUM(B4:B20)</f>
        <v>60425510</v>
      </c>
      <c r="C21" s="1780" t="n">
        <f aca="false">SUM(C4:C20)</f>
        <v>60440008</v>
      </c>
      <c r="D21" s="1781" t="n">
        <f aca="false">SUM(D4:D20)</f>
        <v>2583354</v>
      </c>
      <c r="E21" s="1782" t="n">
        <f aca="false">SUM(E4:E20)</f>
        <v>123448872</v>
      </c>
      <c r="F21" s="1721"/>
      <c r="G21" s="1774"/>
      <c r="H21" s="1713"/>
      <c r="I21" s="950"/>
      <c r="L21" s="950"/>
      <c r="M21" s="950"/>
    </row>
    <row r="22" customFormat="false" ht="22.5" hidden="false" customHeight="true" outlineLevel="0" collapsed="false">
      <c r="B22" s="1721"/>
      <c r="C22" s="1721"/>
      <c r="D22" s="1721"/>
      <c r="J22" s="793"/>
      <c r="K22" s="798"/>
      <c r="L22" s="798"/>
      <c r="M22" s="798"/>
      <c r="N22" s="798"/>
      <c r="O22" s="798"/>
      <c r="P22" s="798"/>
      <c r="Q22" s="798"/>
    </row>
    <row r="23" customFormat="false" ht="30" hidden="false" customHeight="true" outlineLevel="0" collapsed="false">
      <c r="A23" s="1818" t="s">
        <v>976</v>
      </c>
      <c r="B23" s="1818"/>
      <c r="C23" s="1818"/>
      <c r="D23" s="1818"/>
      <c r="E23" s="799" t="s">
        <v>535</v>
      </c>
      <c r="F23" s="950"/>
      <c r="G23" s="1812" t="s">
        <v>956</v>
      </c>
      <c r="H23" s="1812"/>
      <c r="I23" s="950"/>
      <c r="J23" s="1748" t="s">
        <v>977</v>
      </c>
      <c r="K23" s="1748"/>
      <c r="L23" s="950"/>
      <c r="M23" s="950"/>
      <c r="R23" s="798"/>
    </row>
    <row r="24" customFormat="false" ht="33.75" hidden="false" customHeight="true" outlineLevel="0" collapsed="false">
      <c r="A24" s="1323" t="s">
        <v>394</v>
      </c>
      <c r="B24" s="1749" t="s">
        <v>958</v>
      </c>
      <c r="C24" s="1750" t="s">
        <v>491</v>
      </c>
      <c r="D24" s="1751" t="s">
        <v>959</v>
      </c>
      <c r="E24" s="1752" t="s">
        <v>541</v>
      </c>
      <c r="F24" s="1813"/>
      <c r="G24" s="1786" t="n">
        <v>65</v>
      </c>
      <c r="H24" s="1787"/>
      <c r="I24" s="1715"/>
      <c r="J24" s="1753" t="s">
        <v>587</v>
      </c>
      <c r="K24" s="1755" t="s">
        <v>960</v>
      </c>
      <c r="L24" s="1797"/>
      <c r="M24" s="1715"/>
      <c r="N24" s="798"/>
      <c r="O24" s="798"/>
      <c r="P24" s="798"/>
      <c r="Q24" s="798"/>
    </row>
    <row r="25" customFormat="false" ht="24" hidden="false" customHeight="true" outlineLevel="0" collapsed="false">
      <c r="A25" s="1642" t="s">
        <v>559</v>
      </c>
      <c r="B25" s="1756" t="n">
        <f aca="false">B4-K4+K25</f>
        <v>9898417</v>
      </c>
      <c r="C25" s="1756" t="n">
        <f aca="false">C4</f>
        <v>7708470</v>
      </c>
      <c r="D25" s="1757" t="n">
        <f aca="false">D4-H4</f>
        <v>2169481</v>
      </c>
      <c r="E25" s="1758" t="n">
        <f aca="false">SUM(B25:D25)</f>
        <v>19776368</v>
      </c>
      <c r="F25" s="1813"/>
      <c r="G25" s="1788" t="n">
        <v>0</v>
      </c>
      <c r="H25" s="1787"/>
      <c r="I25" s="1709"/>
      <c r="J25" s="1691" t="s">
        <v>559</v>
      </c>
      <c r="K25" s="1759" t="n">
        <f aca="false">未納者等入金!H5</f>
        <v>2200000</v>
      </c>
      <c r="L25" s="1814"/>
      <c r="M25" s="1709"/>
      <c r="N25" s="798"/>
      <c r="O25" s="798"/>
      <c r="P25" s="798"/>
      <c r="Q25" s="798"/>
    </row>
    <row r="26" customFormat="false" ht="24" hidden="false" customHeight="true" outlineLevel="0" collapsed="false">
      <c r="A26" s="1652" t="s">
        <v>560</v>
      </c>
      <c r="B26" s="1756" t="n">
        <f aca="false">B5-K5+K26</f>
        <v>9962345</v>
      </c>
      <c r="C26" s="1761" t="n">
        <f aca="false">C5</f>
        <v>7767967</v>
      </c>
      <c r="D26" s="1757" t="n">
        <f aca="false">D5-H5</f>
        <v>49609</v>
      </c>
      <c r="E26" s="1758" t="n">
        <f aca="false">SUM(B26:D26)</f>
        <v>17779921</v>
      </c>
      <c r="F26" s="1813"/>
      <c r="G26" s="1788" t="n">
        <v>1</v>
      </c>
      <c r="H26" s="1787"/>
      <c r="I26" s="1709"/>
      <c r="J26" s="1693" t="s">
        <v>560</v>
      </c>
      <c r="K26" s="1759" t="n">
        <f aca="false">未納者等入金!H6</f>
        <v>2200000</v>
      </c>
      <c r="L26" s="1814"/>
      <c r="M26" s="1709"/>
      <c r="N26" s="798"/>
      <c r="O26" s="798"/>
      <c r="P26" s="798"/>
      <c r="Q26" s="798"/>
    </row>
    <row r="27" customFormat="false" ht="24" hidden="false" customHeight="true" outlineLevel="0" collapsed="false">
      <c r="A27" s="1652" t="s">
        <v>561</v>
      </c>
      <c r="B27" s="1756" t="n">
        <f aca="false">B6-K6+K27</f>
        <v>9952799</v>
      </c>
      <c r="C27" s="1761" t="n">
        <f aca="false">C6</f>
        <v>7752816</v>
      </c>
      <c r="D27" s="1757" t="n">
        <f aca="false">D6-H6</f>
        <v>63859</v>
      </c>
      <c r="E27" s="1758" t="n">
        <f aca="false">SUM(B27:D27)</f>
        <v>17769474</v>
      </c>
      <c r="F27" s="1813"/>
      <c r="G27" s="1788" t="n">
        <v>2</v>
      </c>
      <c r="H27" s="1787"/>
      <c r="I27" s="1709"/>
      <c r="J27" s="1693" t="s">
        <v>561</v>
      </c>
      <c r="K27" s="1759" t="n">
        <f aca="false">未納者等入金!H7</f>
        <v>2200000</v>
      </c>
      <c r="L27" s="1814"/>
      <c r="M27" s="1709"/>
      <c r="N27" s="798"/>
      <c r="O27" s="798"/>
      <c r="P27" s="798"/>
      <c r="Q27" s="798"/>
    </row>
    <row r="28" customFormat="false" ht="24" hidden="false" customHeight="true" outlineLevel="0" collapsed="false">
      <c r="A28" s="1652" t="s">
        <v>886</v>
      </c>
      <c r="B28" s="1761" t="n">
        <f aca="false">B7+K28</f>
        <v>15818708</v>
      </c>
      <c r="C28" s="1761" t="n">
        <f aca="false">C7</f>
        <v>13625291</v>
      </c>
      <c r="D28" s="1765" t="n">
        <f aca="false">D7</f>
        <v>0</v>
      </c>
      <c r="E28" s="1758" t="n">
        <f aca="false">SUM(B28:D28)</f>
        <v>29443999</v>
      </c>
      <c r="F28" s="1813"/>
      <c r="G28" s="1788" t="n">
        <v>3</v>
      </c>
      <c r="H28" s="1787"/>
      <c r="I28" s="1709"/>
      <c r="J28" s="1693" t="s">
        <v>886</v>
      </c>
      <c r="K28" s="1759" t="n">
        <f aca="false">未納者等入金!H8</f>
        <v>2200000</v>
      </c>
      <c r="L28" s="1689"/>
      <c r="M28" s="1709"/>
      <c r="N28" s="798"/>
      <c r="O28" s="798"/>
      <c r="P28" s="798"/>
      <c r="Q28" s="798"/>
    </row>
    <row r="29" customFormat="false" ht="24" hidden="false" customHeight="true" outlineLevel="0" collapsed="false">
      <c r="A29" s="1652" t="s">
        <v>562</v>
      </c>
      <c r="B29" s="1761" t="n">
        <f aca="false">B8-K7+K29</f>
        <v>10081054</v>
      </c>
      <c r="C29" s="1761" t="n">
        <f aca="false">C8</f>
        <v>7884536</v>
      </c>
      <c r="D29" s="1762" t="n">
        <f aca="false">D8-H7</f>
        <v>28805</v>
      </c>
      <c r="E29" s="1758" t="n">
        <f aca="false">SUM(B29:D29)</f>
        <v>17994395</v>
      </c>
      <c r="F29" s="1813"/>
      <c r="G29" s="1788" t="n">
        <v>4</v>
      </c>
      <c r="H29" s="1787"/>
      <c r="I29" s="1709"/>
      <c r="J29" s="1693" t="s">
        <v>562</v>
      </c>
      <c r="K29" s="1759" t="n">
        <f aca="false">未納者等入金!H9</f>
        <v>2200000</v>
      </c>
      <c r="L29" s="1814"/>
      <c r="M29" s="1709"/>
      <c r="N29" s="798"/>
      <c r="O29" s="798"/>
      <c r="P29" s="798"/>
      <c r="Q29" s="798"/>
    </row>
    <row r="30" customFormat="false" ht="24" hidden="false" customHeight="true" outlineLevel="0" collapsed="false">
      <c r="A30" s="1652" t="s">
        <v>563</v>
      </c>
      <c r="B30" s="1761" t="n">
        <f aca="false">B9-K8+K30</f>
        <v>10005885</v>
      </c>
      <c r="C30" s="1761" t="n">
        <f aca="false">C9</f>
        <v>7809762</v>
      </c>
      <c r="D30" s="1762" t="n">
        <f aca="false">D9-H8</f>
        <v>42980</v>
      </c>
      <c r="E30" s="1758" t="n">
        <f aca="false">SUM(B30:D30)</f>
        <v>17858627</v>
      </c>
      <c r="F30" s="1813"/>
      <c r="G30" s="1788" t="n">
        <v>5</v>
      </c>
      <c r="H30" s="1787"/>
      <c r="I30" s="1709"/>
      <c r="J30" s="1693" t="s">
        <v>563</v>
      </c>
      <c r="K30" s="1759" t="n">
        <f aca="false">未納者等入金!H10</f>
        <v>2200000</v>
      </c>
      <c r="L30" s="1814"/>
      <c r="M30" s="1709"/>
      <c r="N30" s="798"/>
      <c r="O30" s="798"/>
      <c r="P30" s="798"/>
      <c r="Q30" s="798"/>
    </row>
    <row r="31" customFormat="false" ht="24" hidden="false" customHeight="true" outlineLevel="0" collapsed="false">
      <c r="A31" s="1652" t="s">
        <v>564</v>
      </c>
      <c r="B31" s="1761" t="n">
        <f aca="false">B10-K9+K31</f>
        <v>10078563</v>
      </c>
      <c r="C31" s="1761" t="n">
        <f aca="false">C10</f>
        <v>7882454</v>
      </c>
      <c r="D31" s="1762" t="n">
        <f aca="false">D10-H9</f>
        <v>109427</v>
      </c>
      <c r="E31" s="1758" t="n">
        <f aca="false">SUM(B31:D31)</f>
        <v>18070444</v>
      </c>
      <c r="F31" s="1813"/>
      <c r="G31" s="1788" t="n">
        <v>6</v>
      </c>
      <c r="H31" s="1787"/>
      <c r="I31" s="1709"/>
      <c r="J31" s="1693" t="s">
        <v>564</v>
      </c>
      <c r="K31" s="1759" t="n">
        <f aca="false">未納者等入金!H11</f>
        <v>2200000</v>
      </c>
      <c r="L31" s="1814"/>
      <c r="M31" s="1709"/>
      <c r="N31" s="798"/>
      <c r="O31" s="798"/>
      <c r="P31" s="798"/>
      <c r="Q31" s="798"/>
    </row>
    <row r="32" customFormat="false" ht="24" hidden="false" customHeight="true" outlineLevel="0" collapsed="false">
      <c r="A32" s="1652" t="s">
        <v>565</v>
      </c>
      <c r="B32" s="1761" t="n">
        <f aca="false">B11-K10+K32</f>
        <v>2208365</v>
      </c>
      <c r="C32" s="1761" t="n">
        <f aca="false">C11</f>
        <v>8378</v>
      </c>
      <c r="D32" s="1762" t="n">
        <f aca="false">D11-H10</f>
        <v>-7513</v>
      </c>
      <c r="E32" s="1758" t="n">
        <f aca="false">SUM(B32:D32)</f>
        <v>2209230</v>
      </c>
      <c r="F32" s="1813"/>
      <c r="G32" s="1788" t="n">
        <v>7</v>
      </c>
      <c r="H32" s="1787"/>
      <c r="I32" s="1709"/>
      <c r="J32" s="1693" t="s">
        <v>565</v>
      </c>
      <c r="K32" s="1759" t="n">
        <f aca="false">未納者等入金!H12</f>
        <v>2200000</v>
      </c>
      <c r="L32" s="1814"/>
      <c r="M32" s="1709"/>
      <c r="N32" s="798"/>
      <c r="O32" s="798"/>
      <c r="P32" s="798"/>
      <c r="Q32" s="798"/>
    </row>
    <row r="33" customFormat="false" ht="24" hidden="false" customHeight="true" outlineLevel="0" collapsed="false">
      <c r="A33" s="1652" t="s">
        <v>566</v>
      </c>
      <c r="B33" s="1761" t="n">
        <f aca="false">B12-K11+K33</f>
        <v>2200026</v>
      </c>
      <c r="C33" s="1761" t="n">
        <f aca="false">C12</f>
        <v>38</v>
      </c>
      <c r="D33" s="1762" t="n">
        <f aca="false">D12-H11</f>
        <v>-7819</v>
      </c>
      <c r="E33" s="1758" t="n">
        <f aca="false">SUM(B33:D33)</f>
        <v>2192245</v>
      </c>
      <c r="F33" s="1813"/>
      <c r="G33" s="1788" t="n">
        <v>8</v>
      </c>
      <c r="H33" s="1787"/>
      <c r="I33" s="1709"/>
      <c r="J33" s="1693" t="s">
        <v>566</v>
      </c>
      <c r="K33" s="1759" t="n">
        <f aca="false">未納者等入金!H13</f>
        <v>2200000</v>
      </c>
      <c r="L33" s="1814"/>
      <c r="M33" s="1709"/>
      <c r="N33" s="798"/>
      <c r="O33" s="798"/>
      <c r="P33" s="798"/>
      <c r="Q33" s="798"/>
    </row>
    <row r="34" customFormat="false" ht="24" hidden="false" customHeight="true" outlineLevel="0" collapsed="false">
      <c r="A34" s="1652" t="s">
        <v>887</v>
      </c>
      <c r="B34" s="1761" t="n">
        <f aca="false">B13+K34</f>
        <v>2200026</v>
      </c>
      <c r="C34" s="1761" t="n">
        <f aca="false">C13</f>
        <v>38</v>
      </c>
      <c r="D34" s="1765" t="n">
        <f aca="false">D13</f>
        <v>0</v>
      </c>
      <c r="E34" s="1758" t="n">
        <f aca="false">SUM(B34:D34)</f>
        <v>2200064</v>
      </c>
      <c r="F34" s="1813"/>
      <c r="G34" s="1788" t="n">
        <v>9</v>
      </c>
      <c r="H34" s="1787"/>
      <c r="I34" s="1709"/>
      <c r="J34" s="1693" t="s">
        <v>887</v>
      </c>
      <c r="K34" s="1759" t="n">
        <f aca="false">未納者等入金!H14</f>
        <v>2200000</v>
      </c>
      <c r="L34" s="1814"/>
      <c r="M34" s="1709"/>
      <c r="N34" s="798"/>
      <c r="O34" s="798"/>
      <c r="P34" s="798"/>
      <c r="Q34" s="798"/>
    </row>
    <row r="35" customFormat="false" ht="24" hidden="false" customHeight="true" outlineLevel="0" collapsed="false">
      <c r="A35" s="1652" t="s">
        <v>567</v>
      </c>
      <c r="B35" s="1761" t="n">
        <f aca="false">B14-K12+K35</f>
        <v>2200026</v>
      </c>
      <c r="C35" s="1761" t="n">
        <f aca="false">C14</f>
        <v>38</v>
      </c>
      <c r="D35" s="1766" t="n">
        <f aca="false">D14-H12</f>
        <v>1</v>
      </c>
      <c r="E35" s="1758" t="n">
        <f aca="false">SUM(B35:D35)</f>
        <v>2200065</v>
      </c>
      <c r="F35" s="1813"/>
      <c r="G35" s="1788" t="n">
        <v>10</v>
      </c>
      <c r="H35" s="1787"/>
      <c r="I35" s="1709"/>
      <c r="J35" s="1693" t="s">
        <v>567</v>
      </c>
      <c r="K35" s="1759" t="n">
        <f aca="false">未納者等入金!H15</f>
        <v>2200000</v>
      </c>
      <c r="L35" s="1689"/>
      <c r="M35" s="1709"/>
      <c r="N35" s="798"/>
      <c r="O35" s="798"/>
      <c r="P35" s="798"/>
      <c r="Q35" s="798"/>
    </row>
    <row r="36" customFormat="false" ht="24" hidden="false" customHeight="true" outlineLevel="0" collapsed="false">
      <c r="A36" s="1652" t="s">
        <v>568</v>
      </c>
      <c r="B36" s="1761" t="n">
        <f aca="false">B15-K13+K36</f>
        <v>2200026</v>
      </c>
      <c r="C36" s="1761" t="n">
        <f aca="false">C15</f>
        <v>38</v>
      </c>
      <c r="D36" s="1766" t="n">
        <f aca="false">D15-H13</f>
        <v>1</v>
      </c>
      <c r="E36" s="1758" t="n">
        <f aca="false">SUM(B36:D36)</f>
        <v>2200065</v>
      </c>
      <c r="F36" s="1813"/>
      <c r="G36" s="1788" t="n">
        <v>11</v>
      </c>
      <c r="H36" s="1787"/>
      <c r="I36" s="1709"/>
      <c r="J36" s="1693" t="s">
        <v>568</v>
      </c>
      <c r="K36" s="1759" t="n">
        <f aca="false">未納者等入金!H16</f>
        <v>2200000</v>
      </c>
      <c r="L36" s="1814"/>
      <c r="M36" s="1709"/>
      <c r="N36" s="798"/>
      <c r="O36" s="798"/>
      <c r="P36" s="798"/>
      <c r="Q36" s="798"/>
    </row>
    <row r="37" customFormat="false" ht="24" hidden="false" customHeight="true" outlineLevel="0" collapsed="false">
      <c r="A37" s="1652" t="s">
        <v>569</v>
      </c>
      <c r="B37" s="1761" t="n">
        <f aca="false">B16-K14+K37</f>
        <v>2200026</v>
      </c>
      <c r="C37" s="1761" t="n">
        <f aca="false">C16</f>
        <v>38</v>
      </c>
      <c r="D37" s="1766" t="n">
        <f aca="false">D16-H14</f>
        <v>1</v>
      </c>
      <c r="E37" s="1758" t="n">
        <f aca="false">SUM(B37:D37)</f>
        <v>2200065</v>
      </c>
      <c r="F37" s="1813"/>
      <c r="G37" s="1788" t="n">
        <v>12</v>
      </c>
      <c r="H37" s="1787"/>
      <c r="I37" s="1709"/>
      <c r="J37" s="1693" t="s">
        <v>569</v>
      </c>
      <c r="K37" s="1759" t="n">
        <f aca="false">未納者等入金!H17</f>
        <v>2200000</v>
      </c>
      <c r="L37" s="1814"/>
      <c r="M37" s="1709"/>
      <c r="N37" s="798"/>
      <c r="O37" s="798"/>
      <c r="P37" s="798"/>
      <c r="Q37" s="798"/>
    </row>
    <row r="38" customFormat="false" ht="24" hidden="false" customHeight="true" outlineLevel="0" collapsed="false">
      <c r="A38" s="1652" t="s">
        <v>888</v>
      </c>
      <c r="B38" s="1772" t="n">
        <f aca="false">B17+K38</f>
        <v>2200021</v>
      </c>
      <c r="C38" s="1761" t="n">
        <f aca="false">C17</f>
        <v>32</v>
      </c>
      <c r="D38" s="1773" t="n">
        <f aca="false">D17</f>
        <v>0</v>
      </c>
      <c r="E38" s="1758" t="n">
        <f aca="false">SUM(B38:D38)</f>
        <v>2200053</v>
      </c>
      <c r="F38" s="1813"/>
      <c r="G38" s="1788" t="n">
        <v>13</v>
      </c>
      <c r="H38" s="1787"/>
      <c r="I38" s="1709"/>
      <c r="J38" s="1696" t="s">
        <v>888</v>
      </c>
      <c r="K38" s="1759" t="n">
        <f aca="false">未納者等入金!H18</f>
        <v>2200000</v>
      </c>
      <c r="L38" s="1814"/>
      <c r="M38" s="1709"/>
      <c r="N38" s="798"/>
      <c r="O38" s="798"/>
      <c r="P38" s="798"/>
      <c r="Q38" s="798"/>
    </row>
    <row r="39" customFormat="false" ht="24" hidden="false" customHeight="true" outlineLevel="0" collapsed="false">
      <c r="A39" s="1652" t="s">
        <v>570</v>
      </c>
      <c r="B39" s="1761" t="n">
        <f aca="false">B18-K15+K39</f>
        <v>2200026</v>
      </c>
      <c r="C39" s="1761" t="n">
        <f aca="false">C18</f>
        <v>38</v>
      </c>
      <c r="D39" s="1766" t="n">
        <f aca="false">D18-H15</f>
        <v>1</v>
      </c>
      <c r="E39" s="1775" t="n">
        <f aca="false">SUM(B39:D39)</f>
        <v>2200065</v>
      </c>
      <c r="F39" s="1813"/>
      <c r="G39" s="1788" t="n">
        <v>14</v>
      </c>
      <c r="H39" s="1787"/>
      <c r="I39" s="1709"/>
      <c r="J39" s="1696" t="s">
        <v>570</v>
      </c>
      <c r="K39" s="1759" t="n">
        <f aca="false">未納者等入金!H19</f>
        <v>2200000</v>
      </c>
      <c r="L39" s="1815"/>
      <c r="M39" s="1709"/>
      <c r="N39" s="798"/>
      <c r="O39" s="798"/>
      <c r="P39" s="798"/>
      <c r="Q39" s="798"/>
    </row>
    <row r="40" customFormat="false" ht="24" hidden="false" customHeight="true" outlineLevel="0" collapsed="false">
      <c r="A40" s="1659" t="s">
        <v>920</v>
      </c>
      <c r="B40" s="1761" t="n">
        <f aca="false">B19+K40</f>
        <v>2200025</v>
      </c>
      <c r="C40" s="1761" t="n">
        <f aca="false">C19</f>
        <v>37</v>
      </c>
      <c r="D40" s="1765" t="n">
        <f aca="false">D19</f>
        <v>0</v>
      </c>
      <c r="E40" s="1776" t="n">
        <f aca="false">SUM(B40:D40)</f>
        <v>2200062</v>
      </c>
      <c r="F40" s="1813"/>
      <c r="G40" s="1788" t="n">
        <v>15</v>
      </c>
      <c r="H40" s="950"/>
      <c r="I40" s="1709"/>
      <c r="J40" s="1696" t="s">
        <v>920</v>
      </c>
      <c r="K40" s="1789" t="n">
        <f aca="false">未納者等入金!H20</f>
        <v>2200000</v>
      </c>
      <c r="L40" s="1689"/>
      <c r="M40" s="1709"/>
      <c r="N40" s="798"/>
      <c r="O40" s="798"/>
      <c r="P40" s="798"/>
      <c r="Q40" s="798"/>
    </row>
    <row r="41" customFormat="false" ht="24" hidden="false" customHeight="true" outlineLevel="0" collapsed="false">
      <c r="A41" s="1660" t="s">
        <v>921</v>
      </c>
      <c r="B41" s="1777" t="n">
        <f aca="false">B20+K41</f>
        <v>2200025</v>
      </c>
      <c r="C41" s="1777" t="n">
        <f aca="false">C20</f>
        <v>37</v>
      </c>
      <c r="D41" s="1778" t="n">
        <f aca="false">D20</f>
        <v>0</v>
      </c>
      <c r="E41" s="1779" t="n">
        <f aca="false">SUM(B41:D41)</f>
        <v>2200062</v>
      </c>
      <c r="F41" s="1813"/>
      <c r="G41" s="1790" t="n">
        <v>16</v>
      </c>
      <c r="H41" s="950"/>
      <c r="I41" s="1709"/>
      <c r="J41" s="1791" t="s">
        <v>921</v>
      </c>
      <c r="K41" s="1792" t="n">
        <f aca="false">未納者等入金!H21</f>
        <v>2200000</v>
      </c>
      <c r="L41" s="1689"/>
      <c r="M41" s="1709"/>
      <c r="N41" s="798"/>
      <c r="O41" s="798"/>
      <c r="P41" s="798"/>
      <c r="Q41" s="798"/>
    </row>
    <row r="42" customFormat="false" ht="24" hidden="false" customHeight="true" outlineLevel="0" collapsed="false">
      <c r="A42" s="1811" t="s">
        <v>571</v>
      </c>
      <c r="B42" s="1780" t="n">
        <f aca="false">SUM(B25:B41)</f>
        <v>97806363</v>
      </c>
      <c r="C42" s="1780" t="n">
        <f aca="false">SUM(C25:C41)</f>
        <v>60440008</v>
      </c>
      <c r="D42" s="1781" t="n">
        <f aca="false">SUM(D25:D41)</f>
        <v>2448833</v>
      </c>
      <c r="E42" s="1782" t="n">
        <f aca="false">SUM(E25:E41)</f>
        <v>160695204</v>
      </c>
      <c r="F42" s="1721"/>
      <c r="G42" s="1816"/>
      <c r="I42" s="1709"/>
      <c r="J42" s="1769" t="s">
        <v>571</v>
      </c>
      <c r="K42" s="1770" t="n">
        <f aca="false">SUM(K25:K41)</f>
        <v>37400000</v>
      </c>
      <c r="L42" s="1709"/>
      <c r="M42" s="1709"/>
      <c r="N42" s="798"/>
      <c r="O42" s="798"/>
      <c r="P42" s="798"/>
      <c r="Q42" s="798"/>
    </row>
    <row r="43" customFormat="false" ht="30" hidden="false" customHeight="true" outlineLevel="0" collapsed="false">
      <c r="G43" s="1787"/>
      <c r="H43" s="1787"/>
      <c r="J43" s="798"/>
      <c r="K43" s="1709"/>
      <c r="L43" s="798"/>
      <c r="M43" s="798"/>
      <c r="N43" s="798"/>
      <c r="O43" s="798"/>
      <c r="P43" s="798"/>
      <c r="Q43" s="798"/>
    </row>
    <row r="44" s="798" customFormat="true" ht="27" hidden="false" customHeight="true" outlineLevel="0" collapsed="false">
      <c r="B44" s="1817"/>
      <c r="C44" s="1721"/>
      <c r="D44" s="1721"/>
      <c r="E44" s="1721"/>
      <c r="F44" s="1721"/>
      <c r="H44" s="1817"/>
      <c r="I44" s="1721"/>
      <c r="K44" s="1709"/>
      <c r="L44" s="1721"/>
      <c r="M44" s="1721"/>
    </row>
    <row r="45" s="798" customFormat="true" ht="17.25" hidden="false" customHeight="false" outlineLevel="0" collapsed="false">
      <c r="A45" s="1741"/>
      <c r="B45" s="1715"/>
      <c r="C45" s="1715"/>
      <c r="D45" s="1797"/>
      <c r="E45" s="1715"/>
      <c r="F45" s="1721"/>
      <c r="G45" s="1741"/>
      <c r="H45" s="1715"/>
      <c r="I45" s="1715"/>
      <c r="J45" s="1799"/>
      <c r="K45" s="1709"/>
      <c r="L45" s="1741"/>
      <c r="M45" s="1741"/>
      <c r="N45" s="1709"/>
      <c r="O45" s="1797"/>
      <c r="P45" s="1715"/>
    </row>
    <row r="46" s="798" customFormat="true" ht="23.1" hidden="false" customHeight="true" outlineLevel="0" collapsed="false">
      <c r="B46" s="1709"/>
      <c r="C46" s="1709"/>
      <c r="D46" s="1709"/>
      <c r="E46" s="1709"/>
      <c r="F46" s="1721"/>
      <c r="H46" s="1709"/>
      <c r="I46" s="1709"/>
      <c r="J46" s="1799"/>
      <c r="K46" s="1709"/>
      <c r="M46" s="793"/>
      <c r="O46" s="1709"/>
      <c r="P46" s="1709"/>
      <c r="Q46" s="1738"/>
    </row>
    <row r="47" s="798" customFormat="true" ht="23.1" hidden="false" customHeight="true" outlineLevel="0" collapsed="false">
      <c r="B47" s="1709"/>
      <c r="C47" s="1709"/>
      <c r="D47" s="1709"/>
      <c r="E47" s="1709"/>
      <c r="F47" s="1721"/>
      <c r="H47" s="1709"/>
      <c r="I47" s="1709"/>
      <c r="M47" s="1817"/>
      <c r="N47" s="1721"/>
      <c r="O47" s="1709"/>
      <c r="P47" s="1709"/>
      <c r="Q47" s="1738"/>
    </row>
    <row r="48" s="798" customFormat="true" ht="23.1" hidden="false" customHeight="true" outlineLevel="0" collapsed="false">
      <c r="B48" s="1709"/>
      <c r="C48" s="1709"/>
      <c r="D48" s="1709"/>
      <c r="E48" s="1709"/>
      <c r="F48" s="1721"/>
      <c r="H48" s="1709"/>
      <c r="I48" s="1709"/>
      <c r="M48" s="1715"/>
      <c r="N48" s="1715"/>
      <c r="O48" s="1709"/>
      <c r="P48" s="1709"/>
      <c r="Q48" s="1738"/>
    </row>
    <row r="49" s="798" customFormat="true" ht="23.1" hidden="false" customHeight="true" outlineLevel="0" collapsed="false">
      <c r="B49" s="1709"/>
      <c r="C49" s="1709"/>
      <c r="D49" s="1709"/>
      <c r="E49" s="1709"/>
      <c r="F49" s="1721"/>
      <c r="H49" s="1709"/>
      <c r="I49" s="1709"/>
      <c r="M49" s="1709"/>
      <c r="N49" s="1709"/>
      <c r="O49" s="1709"/>
      <c r="P49" s="1709"/>
      <c r="Q49" s="1738"/>
    </row>
    <row r="50" s="798" customFormat="true" ht="23.1" hidden="false" customHeight="true" outlineLevel="0" collapsed="false">
      <c r="B50" s="1709"/>
      <c r="C50" s="1709"/>
      <c r="D50" s="1709"/>
      <c r="E50" s="1709"/>
      <c r="F50" s="1721"/>
      <c r="H50" s="1709"/>
      <c r="I50" s="1709"/>
      <c r="M50" s="1709"/>
      <c r="N50" s="1709"/>
      <c r="O50" s="1709"/>
      <c r="P50" s="1709"/>
      <c r="Q50" s="1738"/>
    </row>
    <row r="51" s="798" customFormat="true" ht="23.1" hidden="false" customHeight="true" outlineLevel="0" collapsed="false">
      <c r="B51" s="1709"/>
      <c r="C51" s="1709"/>
      <c r="D51" s="1709"/>
      <c r="E51" s="1709"/>
      <c r="F51" s="1721"/>
      <c r="H51" s="1709"/>
      <c r="I51" s="1709"/>
      <c r="M51" s="1709"/>
      <c r="N51" s="1709"/>
      <c r="O51" s="1709"/>
      <c r="P51" s="1709"/>
      <c r="Q51" s="1738"/>
    </row>
    <row r="52" s="798" customFormat="true" ht="23.1" hidden="false" customHeight="true" outlineLevel="0" collapsed="false">
      <c r="B52" s="1709"/>
      <c r="C52" s="1709"/>
      <c r="D52" s="1709"/>
      <c r="E52" s="1709"/>
      <c r="F52" s="1721"/>
      <c r="H52" s="1709"/>
      <c r="I52" s="1709"/>
      <c r="M52" s="1709"/>
      <c r="N52" s="1709"/>
      <c r="O52" s="1709"/>
      <c r="P52" s="1709"/>
      <c r="Q52" s="1738"/>
    </row>
    <row r="53" s="798" customFormat="true" ht="23.1" hidden="false" customHeight="true" outlineLevel="0" collapsed="false">
      <c r="B53" s="1709"/>
      <c r="C53" s="1709"/>
      <c r="D53" s="1709"/>
      <c r="E53" s="1709"/>
      <c r="F53" s="1721"/>
      <c r="H53" s="1709"/>
      <c r="I53" s="1709"/>
      <c r="M53" s="1709"/>
      <c r="N53" s="1709"/>
      <c r="O53" s="1709"/>
      <c r="P53" s="1709"/>
      <c r="Q53" s="1738"/>
    </row>
    <row r="54" s="798" customFormat="true" ht="23.1" hidden="false" customHeight="true" outlineLevel="0" collapsed="false">
      <c r="B54" s="1709"/>
      <c r="C54" s="1709"/>
      <c r="D54" s="1709"/>
      <c r="E54" s="1709"/>
      <c r="F54" s="1721"/>
      <c r="H54" s="1709"/>
      <c r="I54" s="1709"/>
      <c r="M54" s="1709"/>
      <c r="N54" s="1709"/>
      <c r="O54" s="1709"/>
      <c r="P54" s="1709"/>
      <c r="Q54" s="1738"/>
    </row>
    <row r="55" s="798" customFormat="true" ht="23.1" hidden="false" customHeight="true" outlineLevel="0" collapsed="false">
      <c r="B55" s="1709"/>
      <c r="C55" s="1709"/>
      <c r="D55" s="1709"/>
      <c r="E55" s="1709"/>
      <c r="F55" s="1721"/>
      <c r="H55" s="1709"/>
      <c r="I55" s="1709"/>
      <c r="M55" s="1709"/>
      <c r="N55" s="1709"/>
      <c r="O55" s="1709"/>
      <c r="P55" s="1709"/>
      <c r="Q55" s="1738"/>
    </row>
    <row r="56" s="798" customFormat="true" ht="23.1" hidden="false" customHeight="true" outlineLevel="0" collapsed="false">
      <c r="B56" s="1709"/>
      <c r="C56" s="1709"/>
      <c r="D56" s="1709"/>
      <c r="E56" s="1709"/>
      <c r="F56" s="1721"/>
      <c r="H56" s="1709"/>
      <c r="I56" s="1709"/>
      <c r="M56" s="1709"/>
      <c r="N56" s="1709"/>
      <c r="O56" s="1709"/>
      <c r="P56" s="1709"/>
      <c r="Q56" s="1738"/>
    </row>
    <row r="57" s="798" customFormat="true" ht="23.1" hidden="false" customHeight="true" outlineLevel="0" collapsed="false">
      <c r="B57" s="1709"/>
      <c r="C57" s="1709"/>
      <c r="D57" s="1709"/>
      <c r="E57" s="1709"/>
      <c r="F57" s="1721"/>
      <c r="H57" s="1709"/>
      <c r="I57" s="1709"/>
      <c r="M57" s="1709"/>
      <c r="N57" s="1709"/>
      <c r="O57" s="1709"/>
      <c r="P57" s="1709"/>
      <c r="Q57" s="1738"/>
    </row>
    <row r="58" s="798" customFormat="true" ht="23.1" hidden="false" customHeight="true" outlineLevel="0" collapsed="false">
      <c r="B58" s="1709"/>
      <c r="C58" s="1709"/>
      <c r="D58" s="1709"/>
      <c r="E58" s="1709"/>
      <c r="F58" s="1721"/>
      <c r="H58" s="1709"/>
      <c r="I58" s="1709"/>
      <c r="M58" s="1709"/>
      <c r="N58" s="1709"/>
      <c r="O58" s="1709"/>
      <c r="P58" s="1709"/>
      <c r="Q58" s="1738"/>
    </row>
    <row r="59" s="798" customFormat="true" ht="23.1" hidden="false" customHeight="true" outlineLevel="0" collapsed="false">
      <c r="B59" s="1709"/>
      <c r="C59" s="1709"/>
      <c r="D59" s="1709"/>
      <c r="E59" s="1709"/>
      <c r="F59" s="1721"/>
      <c r="H59" s="1709"/>
      <c r="I59" s="1709"/>
      <c r="M59" s="1709"/>
      <c r="N59" s="1709"/>
      <c r="O59" s="1709"/>
      <c r="P59" s="1709"/>
      <c r="Q59" s="1738"/>
    </row>
    <row r="60" s="798" customFormat="true" ht="23.1" hidden="false" customHeight="true" outlineLevel="0" collapsed="false">
      <c r="B60" s="1709"/>
      <c r="C60" s="1709"/>
      <c r="D60" s="1709"/>
      <c r="E60" s="1709"/>
      <c r="F60" s="1721"/>
      <c r="H60" s="1709"/>
      <c r="I60" s="1709"/>
      <c r="M60" s="1709"/>
      <c r="N60" s="1709"/>
      <c r="O60" s="1709"/>
      <c r="P60" s="1709"/>
      <c r="Q60" s="1738"/>
    </row>
    <row r="61" s="798" customFormat="true" ht="23.1" hidden="false" customHeight="true" outlineLevel="0" collapsed="false">
      <c r="A61" s="1799"/>
      <c r="B61" s="1709"/>
      <c r="C61" s="1709"/>
      <c r="D61" s="1709"/>
      <c r="E61" s="1709"/>
      <c r="F61" s="1721"/>
      <c r="G61" s="1799"/>
      <c r="H61" s="1709"/>
      <c r="I61" s="1709"/>
      <c r="L61" s="1799"/>
      <c r="M61" s="1709"/>
      <c r="N61" s="1709"/>
      <c r="O61" s="1709"/>
      <c r="P61" s="1709"/>
      <c r="Q61" s="1738"/>
    </row>
    <row r="62" s="798" customFormat="true" ht="23.1" hidden="false" customHeight="true" outlineLevel="0" collapsed="false">
      <c r="A62" s="1799"/>
      <c r="B62" s="1709"/>
      <c r="C62" s="1709"/>
      <c r="D62" s="1709"/>
      <c r="E62" s="1709"/>
      <c r="F62" s="1721"/>
      <c r="G62" s="1799"/>
      <c r="H62" s="1709"/>
      <c r="I62" s="1709"/>
      <c r="L62" s="1799"/>
      <c r="M62" s="1709"/>
      <c r="N62" s="1709"/>
      <c r="O62" s="1709"/>
      <c r="P62" s="1709"/>
      <c r="Q62" s="1738"/>
    </row>
    <row r="63" s="798" customFormat="true" ht="23.1" hidden="false" customHeight="true" outlineLevel="0" collapsed="false">
      <c r="A63" s="1741"/>
      <c r="B63" s="1709"/>
      <c r="C63" s="1709"/>
      <c r="D63" s="1709"/>
      <c r="E63" s="1709"/>
      <c r="F63" s="1721"/>
      <c r="G63" s="1741"/>
      <c r="H63" s="1709"/>
      <c r="I63" s="1709"/>
      <c r="L63" s="1741"/>
      <c r="M63" s="1709"/>
      <c r="N63" s="1709"/>
      <c r="O63" s="1709"/>
      <c r="P63" s="1709"/>
      <c r="Q63" s="1738"/>
    </row>
    <row r="64" s="798" customFormat="true" ht="30" hidden="false" customHeight="true" outlineLevel="0" collapsed="false">
      <c r="B64" s="793"/>
      <c r="C64" s="793"/>
      <c r="D64" s="793"/>
      <c r="E64" s="793"/>
      <c r="F64" s="793"/>
      <c r="G64" s="793"/>
      <c r="H64" s="793"/>
      <c r="I64" s="793"/>
      <c r="L64" s="793"/>
      <c r="M64" s="1709"/>
      <c r="N64" s="1709"/>
    </row>
    <row r="65" s="798" customFormat="true" ht="27" hidden="false" customHeight="true" outlineLevel="0" collapsed="false">
      <c r="B65" s="1817"/>
      <c r="C65" s="1721"/>
      <c r="D65" s="1721"/>
      <c r="E65" s="1721"/>
      <c r="F65" s="1721"/>
      <c r="J65" s="950"/>
      <c r="K65" s="950"/>
      <c r="M65" s="1709"/>
      <c r="N65" s="1709"/>
    </row>
    <row r="66" s="798" customFormat="true" ht="17.25" hidden="false" customHeight="false" outlineLevel="0" collapsed="false">
      <c r="A66" s="1741"/>
      <c r="B66" s="1715"/>
      <c r="C66" s="1715"/>
      <c r="D66" s="1797"/>
      <c r="E66" s="1715"/>
      <c r="F66" s="1721"/>
      <c r="J66" s="950"/>
      <c r="K66" s="950"/>
      <c r="M66" s="1709"/>
      <c r="N66" s="1709"/>
    </row>
    <row r="67" s="798" customFormat="true" ht="23.1" hidden="false" customHeight="true" outlineLevel="0" collapsed="false">
      <c r="B67" s="1709"/>
      <c r="C67" s="1709"/>
      <c r="D67" s="1709"/>
      <c r="E67" s="1709"/>
      <c r="F67" s="1721"/>
      <c r="J67" s="950"/>
      <c r="K67" s="950"/>
      <c r="M67" s="793"/>
    </row>
    <row r="68" s="798" customFormat="true" ht="23.1" hidden="false" customHeight="true" outlineLevel="0" collapsed="false">
      <c r="B68" s="1709"/>
      <c r="C68" s="1709"/>
      <c r="D68" s="1709"/>
      <c r="E68" s="1709"/>
      <c r="F68" s="1721"/>
      <c r="J68" s="950"/>
      <c r="K68" s="950"/>
    </row>
    <row r="69" s="798" customFormat="true" ht="23.1" hidden="false" customHeight="true" outlineLevel="0" collapsed="false">
      <c r="B69" s="1709"/>
      <c r="C69" s="1709"/>
      <c r="D69" s="1709"/>
      <c r="E69" s="1709"/>
      <c r="F69" s="1721"/>
      <c r="J69" s="950"/>
      <c r="K69" s="950"/>
    </row>
    <row r="70" s="798" customFormat="true" ht="23.1" hidden="false" customHeight="true" outlineLevel="0" collapsed="false">
      <c r="B70" s="1709"/>
      <c r="C70" s="1709"/>
      <c r="D70" s="1709"/>
      <c r="E70" s="1709"/>
      <c r="F70" s="1721"/>
      <c r="J70" s="950"/>
      <c r="K70" s="950"/>
    </row>
    <row r="71" s="798" customFormat="true" ht="23.1" hidden="false" customHeight="true" outlineLevel="0" collapsed="false">
      <c r="B71" s="1709"/>
      <c r="C71" s="1709"/>
      <c r="D71" s="1709"/>
      <c r="E71" s="1709"/>
      <c r="F71" s="1721"/>
      <c r="J71" s="950"/>
      <c r="K71" s="950"/>
    </row>
    <row r="72" s="798" customFormat="true" ht="23.1" hidden="false" customHeight="true" outlineLevel="0" collapsed="false">
      <c r="B72" s="1709"/>
      <c r="C72" s="1709"/>
      <c r="D72" s="1709"/>
      <c r="E72" s="1709"/>
      <c r="F72" s="1721"/>
      <c r="J72" s="950"/>
      <c r="K72" s="950"/>
    </row>
    <row r="73" s="798" customFormat="true" ht="23.1" hidden="false" customHeight="true" outlineLevel="0" collapsed="false">
      <c r="B73" s="1709"/>
      <c r="C73" s="1709"/>
      <c r="D73" s="1709"/>
      <c r="E73" s="1709"/>
      <c r="F73" s="1721"/>
      <c r="J73" s="950"/>
      <c r="K73" s="950"/>
    </row>
    <row r="74" s="798" customFormat="true" ht="23.1" hidden="false" customHeight="true" outlineLevel="0" collapsed="false">
      <c r="B74" s="1709"/>
      <c r="C74" s="1709"/>
      <c r="D74" s="1709"/>
      <c r="E74" s="1709"/>
      <c r="F74" s="1721"/>
      <c r="J74" s="950"/>
      <c r="K74" s="950"/>
    </row>
    <row r="75" s="798" customFormat="true" ht="23.1" hidden="false" customHeight="true" outlineLevel="0" collapsed="false">
      <c r="B75" s="1709"/>
      <c r="C75" s="1709"/>
      <c r="D75" s="1709"/>
      <c r="E75" s="1709"/>
      <c r="F75" s="1721"/>
      <c r="J75" s="950"/>
      <c r="K75" s="950"/>
    </row>
    <row r="76" s="798" customFormat="true" ht="23.1" hidden="false" customHeight="true" outlineLevel="0" collapsed="false">
      <c r="B76" s="1709"/>
      <c r="C76" s="1709"/>
      <c r="D76" s="1709"/>
      <c r="E76" s="1709"/>
      <c r="F76" s="1721"/>
      <c r="J76" s="950"/>
      <c r="K76" s="950"/>
    </row>
    <row r="77" s="798" customFormat="true" ht="23.1" hidden="false" customHeight="true" outlineLevel="0" collapsed="false">
      <c r="B77" s="1709"/>
      <c r="C77" s="1709"/>
      <c r="D77" s="1709"/>
      <c r="E77" s="1709"/>
      <c r="F77" s="1721"/>
      <c r="J77" s="950"/>
      <c r="K77" s="950"/>
    </row>
    <row r="78" s="798" customFormat="true" ht="23.1" hidden="false" customHeight="true" outlineLevel="0" collapsed="false">
      <c r="B78" s="1709"/>
      <c r="C78" s="1709"/>
      <c r="D78" s="1709"/>
      <c r="E78" s="1709"/>
      <c r="F78" s="1721"/>
      <c r="J78" s="950"/>
      <c r="K78" s="950"/>
    </row>
    <row r="79" s="798" customFormat="true" ht="23.1" hidden="false" customHeight="true" outlineLevel="0" collapsed="false">
      <c r="B79" s="1709"/>
      <c r="C79" s="1709"/>
      <c r="D79" s="1709"/>
      <c r="E79" s="1709"/>
      <c r="F79" s="1721"/>
      <c r="J79" s="950"/>
      <c r="K79" s="950"/>
    </row>
    <row r="80" s="798" customFormat="true" ht="23.1" hidden="false" customHeight="true" outlineLevel="0" collapsed="false">
      <c r="B80" s="1709"/>
      <c r="C80" s="1709"/>
      <c r="D80" s="1709"/>
      <c r="E80" s="1709"/>
      <c r="F80" s="1721"/>
      <c r="J80" s="950"/>
      <c r="K80" s="950"/>
    </row>
    <row r="81" s="798" customFormat="true" ht="23.1" hidden="false" customHeight="true" outlineLevel="0" collapsed="false">
      <c r="B81" s="1709"/>
      <c r="C81" s="1709"/>
      <c r="D81" s="1709"/>
      <c r="E81" s="1709"/>
      <c r="F81" s="1721"/>
      <c r="J81" s="950"/>
      <c r="K81" s="950"/>
    </row>
    <row r="82" s="798" customFormat="true" ht="23.1" hidden="false" customHeight="true" outlineLevel="0" collapsed="false">
      <c r="A82" s="1799"/>
      <c r="B82" s="1709"/>
      <c r="C82" s="1709"/>
      <c r="D82" s="1709"/>
      <c r="E82" s="1709"/>
      <c r="F82" s="1721"/>
      <c r="J82" s="950"/>
      <c r="K82" s="950"/>
    </row>
    <row r="83" s="798" customFormat="true" ht="23.1" hidden="false" customHeight="true" outlineLevel="0" collapsed="false">
      <c r="A83" s="1799"/>
      <c r="B83" s="1709"/>
      <c r="C83" s="1709"/>
      <c r="D83" s="1709"/>
      <c r="E83" s="1709"/>
      <c r="F83" s="1721"/>
      <c r="J83" s="950"/>
      <c r="K83" s="950"/>
    </row>
    <row r="84" s="798" customFormat="true" ht="23.1" hidden="false" customHeight="true" outlineLevel="0" collapsed="false">
      <c r="A84" s="1741"/>
      <c r="B84" s="1709"/>
      <c r="C84" s="1709"/>
      <c r="D84" s="1709"/>
      <c r="E84" s="1709"/>
      <c r="F84" s="1721"/>
      <c r="J84" s="950"/>
      <c r="K84" s="950"/>
    </row>
    <row r="85" s="798" customFormat="true" ht="17.25" hidden="false" customHeight="false" outlineLevel="0" collapsed="false">
      <c r="B85" s="793"/>
      <c r="C85" s="793"/>
      <c r="D85" s="793"/>
      <c r="E85" s="793"/>
      <c r="F85" s="793"/>
      <c r="J85" s="950"/>
      <c r="K85" s="950"/>
    </row>
    <row r="86" s="798" customFormat="true" ht="17.25" hidden="false" customHeight="false" outlineLevel="0" collapsed="false">
      <c r="B86" s="793"/>
      <c r="C86" s="793"/>
      <c r="D86" s="793"/>
      <c r="E86" s="793"/>
      <c r="F86" s="793"/>
      <c r="J86" s="950"/>
      <c r="K86" s="950"/>
    </row>
    <row r="87" s="798" customFormat="true" ht="17.25" hidden="false" customHeight="false" outlineLevel="0" collapsed="false">
      <c r="B87" s="793"/>
      <c r="C87" s="793"/>
      <c r="D87" s="793"/>
      <c r="E87" s="793"/>
      <c r="F87" s="793"/>
      <c r="J87" s="950"/>
      <c r="K87" s="950"/>
    </row>
    <row r="88" s="798" customFormat="true" ht="17.25" hidden="false" customHeight="false" outlineLevel="0" collapsed="false">
      <c r="B88" s="793"/>
      <c r="C88" s="793"/>
      <c r="D88" s="793"/>
      <c r="E88" s="793"/>
      <c r="F88" s="793"/>
      <c r="J88" s="950"/>
      <c r="K88" s="950"/>
    </row>
    <row r="89" customFormat="false" ht="17.25" hidden="false" customHeight="false" outlineLevel="0" collapsed="false">
      <c r="M89" s="798"/>
      <c r="N89" s="798"/>
    </row>
    <row r="90" customFormat="false" ht="17.25" hidden="false" customHeight="false" outlineLevel="0" collapsed="false">
      <c r="M90" s="798"/>
      <c r="N90" s="798"/>
    </row>
    <row r="91" customFormat="false" ht="17.25" hidden="false" customHeight="false" outlineLevel="0" collapsed="false">
      <c r="M91" s="798"/>
      <c r="N91" s="798"/>
    </row>
  </sheetData>
  <mergeCells count="4">
    <mergeCell ref="J2:K2"/>
    <mergeCell ref="A23:D23"/>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C00"/>
    <pageSetUpPr fitToPage="false"/>
  </sheetPr>
  <dimension ref="A1:R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D87" activeCellId="0" sqref="D87"/>
    </sheetView>
  </sheetViews>
  <sheetFormatPr defaultColWidth="8.79296875" defaultRowHeight="17.25" zeroHeight="false" outlineLevelRow="0" outlineLevelCol="0"/>
  <cols>
    <col collapsed="false" customWidth="true" hidden="false" outlineLevel="0" max="14" min="1" style="607" width="13.09"/>
    <col collapsed="false" customWidth="true" hidden="false" outlineLevel="0" max="15" min="15" style="607" width="7.39"/>
    <col collapsed="false" customWidth="false" hidden="false" outlineLevel="0" max="16" min="16" style="1819" width="8.79"/>
  </cols>
  <sheetData>
    <row r="1" customFormat="false" ht="21.75" hidden="false" customHeight="true" outlineLevel="0" collapsed="false">
      <c r="A1" s="1820" t="str">
        <f aca="false">'☆介護集計R7'!A1</f>
        <v>令和8年度</v>
      </c>
      <c r="B1" s="1588" t="s">
        <v>873</v>
      </c>
      <c r="O1" s="1821"/>
      <c r="P1" s="1822" t="s">
        <v>978</v>
      </c>
      <c r="Q1" s="1822"/>
    </row>
    <row r="2" customFormat="false" ht="12.75" hidden="false" customHeight="true" outlineLevel="0" collapsed="false">
      <c r="G2" s="1589"/>
      <c r="O2" s="1821"/>
      <c r="P2" s="1822"/>
      <c r="Q2" s="1822"/>
    </row>
    <row r="3" customFormat="false" ht="21.75" hidden="false" customHeight="true" outlineLevel="0" collapsed="false">
      <c r="A3" s="1589" t="s">
        <v>874</v>
      </c>
      <c r="B3" s="1589"/>
      <c r="C3" s="1589"/>
      <c r="D3" s="1589" t="s">
        <v>979</v>
      </c>
      <c r="E3" s="1591"/>
      <c r="F3" s="1591"/>
      <c r="G3" s="1591" t="s">
        <v>535</v>
      </c>
      <c r="H3" s="1591"/>
      <c r="I3" s="1589" t="s">
        <v>876</v>
      </c>
      <c r="J3" s="1589"/>
      <c r="K3" s="1589"/>
      <c r="L3" s="1589"/>
      <c r="M3" s="1591"/>
      <c r="N3" s="1591" t="s">
        <v>535</v>
      </c>
      <c r="O3" s="1823"/>
      <c r="P3" s="1822"/>
      <c r="Q3" s="1822"/>
    </row>
    <row r="4" customFormat="false" ht="30" hidden="false" customHeight="true" outlineLevel="0" collapsed="false">
      <c r="A4" s="1592" t="s">
        <v>394</v>
      </c>
      <c r="B4" s="1592" t="s">
        <v>964</v>
      </c>
      <c r="C4" s="1592" t="s">
        <v>491</v>
      </c>
      <c r="D4" s="1593" t="s">
        <v>878</v>
      </c>
      <c r="E4" s="1593" t="s">
        <v>879</v>
      </c>
      <c r="F4" s="1593" t="s">
        <v>880</v>
      </c>
      <c r="G4" s="1593" t="s">
        <v>881</v>
      </c>
      <c r="H4" s="1594" t="s">
        <v>882</v>
      </c>
      <c r="I4" s="1592" t="s">
        <v>394</v>
      </c>
      <c r="J4" s="1592" t="s">
        <v>964</v>
      </c>
      <c r="K4" s="1592" t="s">
        <v>491</v>
      </c>
      <c r="L4" s="1593" t="s">
        <v>878</v>
      </c>
      <c r="M4" s="1592" t="s">
        <v>883</v>
      </c>
      <c r="N4" s="1593" t="s">
        <v>884</v>
      </c>
      <c r="O4" s="1824" t="s">
        <v>885</v>
      </c>
      <c r="P4" s="1825" t="n">
        <v>31</v>
      </c>
      <c r="Q4" s="1823"/>
      <c r="R4" s="609"/>
    </row>
    <row r="5" customFormat="false" ht="21.75" hidden="false" customHeight="true" outlineLevel="0" collapsed="false">
      <c r="A5" s="1595" t="s">
        <v>559</v>
      </c>
      <c r="B5" s="1596" t="n">
        <f aca="false">J5+B26+B47+I47+B68+I68</f>
        <v>347616215</v>
      </c>
      <c r="C5" s="1596" t="n">
        <f aca="false">K5+C26+D26+J26+C47+J47+C68+J68</f>
        <v>351591834</v>
      </c>
      <c r="D5" s="1596" t="n">
        <f aca="false">L5+E26+D47+K47+D68+K68</f>
        <v>97893428</v>
      </c>
      <c r="E5" s="1596" t="n">
        <f aca="false">SUM(B5:D5)</f>
        <v>797101477</v>
      </c>
      <c r="F5" s="1596" t="n">
        <f aca="true">OFFSET('☆振替R7'!$B$10,$P$4*$P5,0,1,1)+OFFSET('☆振替R7'!$B$21,$P$4*$P5,0,1,1)</f>
        <v>797101477</v>
      </c>
      <c r="G5" s="1596" t="n">
        <f aca="false">'☆短期集計R7'!E25</f>
        <v>797101477</v>
      </c>
      <c r="H5" s="1597" t="str">
        <f aca="false">IF(AND(E5=F5,E5=G5),"○","×")</f>
        <v>○</v>
      </c>
      <c r="I5" s="1595" t="s">
        <v>559</v>
      </c>
      <c r="J5" s="1596" t="n">
        <f aca="true">OFFSET('☆振替R7'!$C$6,$P$4*$P5,0,1,1)</f>
        <v>311621246</v>
      </c>
      <c r="K5" s="1596" t="n">
        <f aca="true">OFFSET('☆振替R7'!$C$21,$P$4*$P5,0,1,1)</f>
        <v>311276420</v>
      </c>
      <c r="L5" s="1596" t="n">
        <f aca="true">OFFSET('☆振替R7'!$C$8,$P$4*$P5,0,1,1)</f>
        <v>87756757</v>
      </c>
      <c r="M5" s="1596" t="n">
        <f aca="false">SUM(J5:L5)</f>
        <v>710654423</v>
      </c>
      <c r="N5" s="1596" t="n">
        <f aca="true">OFFSET('☆振替R7'!$E$25,$P$4*$P5,0,1,1)</f>
        <v>710654423</v>
      </c>
      <c r="O5" s="1826" t="str">
        <f aca="false">IF(M5=N5,"○","×")</f>
        <v>○</v>
      </c>
      <c r="P5" s="1825" t="n">
        <v>0</v>
      </c>
      <c r="Q5" s="1823"/>
    </row>
    <row r="6" customFormat="false" ht="21.75" hidden="false" customHeight="true" outlineLevel="0" collapsed="false">
      <c r="A6" s="1595" t="s">
        <v>560</v>
      </c>
      <c r="B6" s="1596" t="n">
        <f aca="false">J6+B27+B48+I48+B69+I69</f>
        <v>350207199</v>
      </c>
      <c r="C6" s="1596" t="n">
        <f aca="false">K6+C27+D27+J27+C48+J48+C69+J69</f>
        <v>354839877</v>
      </c>
      <c r="D6" s="1596" t="n">
        <f aca="false">L6+E27+D48+K48+D69+K69</f>
        <v>2192748</v>
      </c>
      <c r="E6" s="1596" t="n">
        <f aca="false">SUM(B6:D6)</f>
        <v>707239824</v>
      </c>
      <c r="F6" s="1596" t="n">
        <f aca="true">OFFSET('☆振替R7'!$B$10,$P$4*$P6,0,1,1)+OFFSET('☆振替R7'!$B$21,$P$4*$P6,0,1,1)</f>
        <v>707239824</v>
      </c>
      <c r="G6" s="1596" t="n">
        <f aca="false">'☆短期集計R7'!E26</f>
        <v>707239824</v>
      </c>
      <c r="H6" s="1597" t="str">
        <f aca="false">IF(AND(E6=F6,E6=G6),"○","×")</f>
        <v>○</v>
      </c>
      <c r="I6" s="1595" t="s">
        <v>560</v>
      </c>
      <c r="J6" s="1596" t="n">
        <f aca="true">OFFSET('☆振替R7'!$C$6,$P$4*$P6,0,1,1)</f>
        <v>313943939</v>
      </c>
      <c r="K6" s="1596" t="n">
        <f aca="true">OFFSET('☆振替R7'!$C$21,$P$4*$P6,0,1,1)</f>
        <v>314156315</v>
      </c>
      <c r="L6" s="1596" t="n">
        <f aca="true">OFFSET('☆振替R7'!$C$8,$P$4*$P6,0,1,1)</f>
        <v>1965693</v>
      </c>
      <c r="M6" s="1596" t="n">
        <f aca="false">SUM(J6:L6)</f>
        <v>630065947</v>
      </c>
      <c r="N6" s="1596" t="n">
        <f aca="true">OFFSET('☆振替R7'!$E$25,$P$4*$P6,0,1,1)</f>
        <v>630065947</v>
      </c>
      <c r="O6" s="1826" t="str">
        <f aca="false">IF(M6=N6,"○","×")</f>
        <v>○</v>
      </c>
      <c r="P6" s="1825" t="n">
        <v>1</v>
      </c>
      <c r="Q6" s="1823"/>
    </row>
    <row r="7" customFormat="false" ht="21.75" hidden="false" customHeight="true" outlineLevel="0" collapsed="false">
      <c r="A7" s="1595" t="s">
        <v>561</v>
      </c>
      <c r="B7" s="1596" t="n">
        <f aca="false">J7+B28+B49+I49+B70+I70</f>
        <v>349686293</v>
      </c>
      <c r="C7" s="1596" t="n">
        <f aca="false">K7+C28+D28+J28+C49+J49+C70+J70</f>
        <v>354141739</v>
      </c>
      <c r="D7" s="1596" t="n">
        <f aca="false">L7+E28+D49+K49+D70+K70</f>
        <v>2880046</v>
      </c>
      <c r="E7" s="1596" t="n">
        <f aca="false">SUM(B7:D7)</f>
        <v>706708078</v>
      </c>
      <c r="F7" s="1596" t="n">
        <f aca="true">OFFSET('☆振替R7'!$B$10,$P$4*$P7,0,1,1)+OFFSET('☆振替R7'!$B$21,$P$4*$P7,0,1,1)</f>
        <v>706708078</v>
      </c>
      <c r="G7" s="1596" t="n">
        <f aca="false">'☆短期集計R7'!E27</f>
        <v>706708078</v>
      </c>
      <c r="H7" s="1597" t="str">
        <f aca="false">IF(AND(E7=F7,E7=G7),"○","×")</f>
        <v>○</v>
      </c>
      <c r="I7" s="1595" t="s">
        <v>561</v>
      </c>
      <c r="J7" s="1596" t="n">
        <f aca="true">OFFSET('☆振替R7'!$C$6,$P$4*$P7,0,1,1)</f>
        <v>313476971</v>
      </c>
      <c r="K7" s="1596" t="n">
        <f aca="true">OFFSET('☆振替R7'!$C$21,$P$4*$P7,0,1,1)</f>
        <v>313538725</v>
      </c>
      <c r="L7" s="1596" t="n">
        <f aca="true">OFFSET('☆振替R7'!$C$8,$P$4*$P7,0,1,1)</f>
        <v>2581822</v>
      </c>
      <c r="M7" s="1596" t="n">
        <f aca="false">SUM(J7:L7)</f>
        <v>629597518</v>
      </c>
      <c r="N7" s="1596" t="n">
        <f aca="true">OFFSET('☆振替R7'!$E$25,$P$4*$P7,0,1,1)</f>
        <v>629597518</v>
      </c>
      <c r="O7" s="1826" t="str">
        <f aca="false">IF(M7=N7,"○","×")</f>
        <v>○</v>
      </c>
      <c r="P7" s="1825" t="n">
        <v>2</v>
      </c>
      <c r="Q7" s="1823"/>
    </row>
    <row r="8" customFormat="false" ht="21.75" hidden="false" customHeight="true" outlineLevel="0" collapsed="false">
      <c r="A8" s="1595" t="s">
        <v>886</v>
      </c>
      <c r="B8" s="1596" t="n">
        <f aca="false">J8+B29+B50+I50+B71+I71</f>
        <v>614527425</v>
      </c>
      <c r="C8" s="1596" t="n">
        <f aca="false">K8+C29+D29+J29+C50+J50+C71+J71</f>
        <v>622929746</v>
      </c>
      <c r="D8" s="1599" t="n">
        <f aca="false">L8+E29+D50+K50+D71+K71</f>
        <v>0</v>
      </c>
      <c r="E8" s="1596" t="n">
        <f aca="false">SUM(B8:D8)</f>
        <v>1237457171</v>
      </c>
      <c r="F8" s="1596" t="n">
        <f aca="true">OFFSET('☆振替R7'!$B$10,$P$4*$P8,0,1,1)+OFFSET('☆振替R7'!$B$21,$P$4*$P8,0,1,1)</f>
        <v>1237457171</v>
      </c>
      <c r="G8" s="1596" t="n">
        <f aca="false">'☆短期集計R7'!E28</f>
        <v>1237457171</v>
      </c>
      <c r="H8" s="1597" t="str">
        <f aca="false">IF(AND(E8=F8,E8=G8),"○","×")</f>
        <v>○</v>
      </c>
      <c r="I8" s="1595" t="s">
        <v>886</v>
      </c>
      <c r="J8" s="1596" t="n">
        <f aca="true">OFFSET('☆振替R7'!$C$6,$P$4*$P8,0,1,1)</f>
        <v>550894330</v>
      </c>
      <c r="K8" s="1596" t="n">
        <f aca="true">OFFSET('☆振替R7'!$C$21,$P$4*$P8,0,1,1)</f>
        <v>550983780</v>
      </c>
      <c r="L8" s="1599" t="n">
        <f aca="true">OFFSET('☆振替R7'!$C$8,$P$4*$P8,0,1,1)</f>
        <v>0</v>
      </c>
      <c r="M8" s="1596" t="n">
        <f aca="false">SUM(J8:L8)</f>
        <v>1101878110</v>
      </c>
      <c r="N8" s="1596" t="n">
        <f aca="true">OFFSET('☆振替R7'!$E$25,$P$4*$P8,0,1,1)</f>
        <v>1101878110</v>
      </c>
      <c r="O8" s="1826" t="str">
        <f aca="false">IF(M8=N8,"○","×")</f>
        <v>○</v>
      </c>
      <c r="P8" s="1825" t="n">
        <v>3</v>
      </c>
      <c r="Q8" s="1823"/>
    </row>
    <row r="9" customFormat="false" ht="21.75" hidden="false" customHeight="true" outlineLevel="0" collapsed="false">
      <c r="A9" s="1595" t="s">
        <v>562</v>
      </c>
      <c r="B9" s="1596" t="n">
        <f aca="false">J9+B30+B51+I51+B72+I72</f>
        <v>355477296</v>
      </c>
      <c r="C9" s="1596" t="n">
        <f aca="false">K9+C30+D30+J30+C51+J51+C72+J72</f>
        <v>360215631</v>
      </c>
      <c r="D9" s="1596" t="n">
        <f aca="false">L9+E30+D51+K51+D72+K72</f>
        <v>1298881</v>
      </c>
      <c r="E9" s="1596" t="n">
        <f aca="false">SUM(B9:D9)</f>
        <v>716991808</v>
      </c>
      <c r="F9" s="1596" t="n">
        <f aca="true">OFFSET('☆振替R7'!$B$10,$P$4*$P9,0,1,1)+OFFSET('☆振替R7'!$B$21,$P$4*$P9,0,1,1)</f>
        <v>716991808</v>
      </c>
      <c r="G9" s="1596" t="n">
        <f aca="false">'☆短期集計R7'!E29</f>
        <v>716991808</v>
      </c>
      <c r="H9" s="1597" t="str">
        <f aca="false">IF(AND(E9=F9,E9=G9),"○","×")</f>
        <v>○</v>
      </c>
      <c r="I9" s="1595" t="s">
        <v>562</v>
      </c>
      <c r="J9" s="1596" t="n">
        <f aca="true">OFFSET('☆振替R7'!$C$6,$P$4*$P9,0,1,1)</f>
        <v>318668328</v>
      </c>
      <c r="K9" s="1596" t="n">
        <f aca="true">OFFSET('☆振替R7'!$C$21,$P$4*$P9,0,1,1)</f>
        <v>318900406</v>
      </c>
      <c r="L9" s="1596" t="n">
        <f aca="true">OFFSET('☆振替R7'!$C$8,$P$4*$P9,0,1,1)</f>
        <v>1164384</v>
      </c>
      <c r="M9" s="1596" t="n">
        <f aca="false">SUM(J9:L9)</f>
        <v>638733118</v>
      </c>
      <c r="N9" s="1596" t="n">
        <f aca="true">OFFSET('☆振替R7'!$E$25,$P$4*$P9,0,1,1)</f>
        <v>638733118</v>
      </c>
      <c r="O9" s="1826" t="str">
        <f aca="false">IF(M9=N9,"○","×")</f>
        <v>○</v>
      </c>
      <c r="P9" s="1825" t="n">
        <v>4</v>
      </c>
      <c r="Q9" s="1823"/>
    </row>
    <row r="10" customFormat="false" ht="21.75" hidden="false" customHeight="true" outlineLevel="0" collapsed="false">
      <c r="A10" s="1595" t="s">
        <v>563</v>
      </c>
      <c r="B10" s="1596" t="n">
        <f aca="false">J10+B31+B52+I52+B73+I73</f>
        <v>352107037</v>
      </c>
      <c r="C10" s="1596" t="n">
        <f aca="false">K10+C31+D31+J31+C52+J52+C73+J73</f>
        <v>356751068</v>
      </c>
      <c r="D10" s="1596" t="n">
        <f aca="false">L10+E31+D52+K52+D73+K73</f>
        <v>1918883</v>
      </c>
      <c r="E10" s="1596" t="n">
        <f aca="false">SUM(B10:D10)</f>
        <v>710776988</v>
      </c>
      <c r="F10" s="1596" t="n">
        <f aca="true">OFFSET('☆振替R7'!$B$10,$P$4*$P10,0,1,1)+OFFSET('☆振替R7'!$B$21,$P$4*$P10,0,1,1)</f>
        <v>710776988</v>
      </c>
      <c r="G10" s="1596" t="n">
        <f aca="false">'☆短期集計R7'!E30</f>
        <v>710776988</v>
      </c>
      <c r="H10" s="1597" t="str">
        <f aca="false">IF(AND(E10=F10,E10=G10),"○","×")</f>
        <v>○</v>
      </c>
      <c r="I10" s="1595" t="s">
        <v>563</v>
      </c>
      <c r="J10" s="1596" t="n">
        <f aca="true">OFFSET('☆振替R7'!$C$6,$P$4*$P10,0,1,1)</f>
        <v>315647052</v>
      </c>
      <c r="K10" s="1596" t="n">
        <f aca="true">OFFSET('☆振替R7'!$C$21,$P$4*$P10,0,1,1)</f>
        <v>315839465</v>
      </c>
      <c r="L10" s="1596" t="n">
        <f aca="true">OFFSET('☆振替R7'!$C$8,$P$4*$P10,0,1,1)</f>
        <v>1720186</v>
      </c>
      <c r="M10" s="1596" t="n">
        <f aca="false">SUM(J10:L10)</f>
        <v>633206703</v>
      </c>
      <c r="N10" s="1596" t="n">
        <f aca="true">OFFSET('☆振替R7'!$E$25,$P$4*$P10,0,1,1)</f>
        <v>633206703</v>
      </c>
      <c r="O10" s="1826" t="str">
        <f aca="false">IF(M10=N10,"○","×")</f>
        <v>○</v>
      </c>
      <c r="P10" s="1825" t="n">
        <v>5</v>
      </c>
      <c r="Q10" s="1823"/>
    </row>
    <row r="11" customFormat="false" ht="21.75" hidden="false" customHeight="true" outlineLevel="0" collapsed="false">
      <c r="A11" s="1595" t="s">
        <v>564</v>
      </c>
      <c r="B11" s="1596" t="n">
        <f aca="false">J11+B32+B53+I53+B74+I74</f>
        <v>355514939</v>
      </c>
      <c r="C11" s="1596" t="n">
        <f aca="false">K11+C32+D32+J32+C53+J53+C74+J74</f>
        <v>360138827</v>
      </c>
      <c r="D11" s="1596" t="n">
        <f aca="false">L11+E32+D53+K53+D74+K74</f>
        <v>4935296</v>
      </c>
      <c r="E11" s="1596" t="n">
        <f aca="false">SUM(B11:D11)</f>
        <v>720589062</v>
      </c>
      <c r="F11" s="1596" t="n">
        <f aca="true">OFFSET('☆振替R7'!$B$10,$P$4*$P11,0,1,1)+OFFSET('☆振替R7'!$B$21,$P$4*$P11,0,1,1)</f>
        <v>720589062</v>
      </c>
      <c r="G11" s="1596" t="n">
        <f aca="false">'☆短期集計R7'!E31</f>
        <v>720589062</v>
      </c>
      <c r="H11" s="1597" t="str">
        <f aca="false">IF(AND(E11=F11,E11=G11),"○","×")</f>
        <v>○</v>
      </c>
      <c r="I11" s="1595" t="s">
        <v>564</v>
      </c>
      <c r="J11" s="1596" t="n">
        <f aca="true">OFFSET('☆振替R7'!$C$6,$P$4*$P11,0,1,1)</f>
        <v>318702073</v>
      </c>
      <c r="K11" s="1596" t="n">
        <f aca="true">OFFSET('☆振替R7'!$C$21,$P$4*$P11,0,1,1)</f>
        <v>318823182</v>
      </c>
      <c r="L11" s="1596" t="n">
        <f aca="true">OFFSET('☆振替R7'!$C$8,$P$4*$P11,0,1,1)</f>
        <v>4424255</v>
      </c>
      <c r="M11" s="1596" t="n">
        <f aca="false">SUM(J11:L11)</f>
        <v>641949510</v>
      </c>
      <c r="N11" s="1596" t="n">
        <f aca="true">OFFSET('☆振替R7'!$E$25,$P$4*$P11,0,1,1)</f>
        <v>641949510</v>
      </c>
      <c r="O11" s="1826" t="str">
        <f aca="false">IF(M11=N11,"○","×")</f>
        <v>○</v>
      </c>
      <c r="P11" s="1825" t="n">
        <v>6</v>
      </c>
      <c r="Q11" s="1827"/>
    </row>
    <row r="12" customFormat="false" ht="21.75" hidden="false" customHeight="true" outlineLevel="0" collapsed="false">
      <c r="A12" s="1595" t="s">
        <v>565</v>
      </c>
      <c r="B12" s="1596" t="n">
        <f aca="false">J12+B33+B54+I54+B75+I75</f>
        <v>365227784</v>
      </c>
      <c r="C12" s="1596" t="n">
        <f aca="false">K12+C33+D33+J33+C54+J54+C75+J75</f>
        <v>370249515</v>
      </c>
      <c r="D12" s="1596" t="n">
        <f aca="false">L12+E33+D54+K54+D75+K75</f>
        <v>2298242</v>
      </c>
      <c r="E12" s="1596" t="n">
        <f aca="false">SUM(B12:D12)</f>
        <v>737775541</v>
      </c>
      <c r="F12" s="1596" t="n">
        <f aca="true">OFFSET('☆振替R7'!$B$10,$P$4*$P12,0,1,1)+OFFSET('☆振替R7'!$B$21,$P$4*$P12,0,1,1)</f>
        <v>737775541</v>
      </c>
      <c r="G12" s="1596" t="n">
        <f aca="false">'☆短期集計R7'!E32</f>
        <v>737775541</v>
      </c>
      <c r="H12" s="1597" t="str">
        <f aca="false">IF(AND(E12=F12,E12=G12),"○","×")</f>
        <v>○</v>
      </c>
      <c r="I12" s="1595" t="s">
        <v>565</v>
      </c>
      <c r="J12" s="1596" t="n">
        <f aca="true">OFFSET('☆振替R7'!$C$6,$P$4*$P12,0,1,1)</f>
        <v>327409172</v>
      </c>
      <c r="K12" s="1596" t="n">
        <f aca="true">OFFSET('☆振替R7'!$C$21,$P$4*$P12,0,1,1)</f>
        <v>327771551</v>
      </c>
      <c r="L12" s="1596" t="n">
        <f aca="true">OFFSET('☆振替R7'!$C$8,$P$4*$P12,0,1,1)</f>
        <v>2060263</v>
      </c>
      <c r="M12" s="1596" t="n">
        <f aca="false">SUM(J12:L12)</f>
        <v>657240986</v>
      </c>
      <c r="N12" s="1596" t="n">
        <f aca="true">OFFSET('☆振替R7'!$E$25,$P$4*$P12,0,1,1)</f>
        <v>657240986</v>
      </c>
      <c r="O12" s="1826" t="str">
        <f aca="false">IF(M12=N12,"○","×")</f>
        <v>○</v>
      </c>
      <c r="P12" s="1825" t="n">
        <v>7</v>
      </c>
      <c r="Q12" s="1827"/>
    </row>
    <row r="13" customFormat="false" ht="21.75" hidden="false" customHeight="true" outlineLevel="0" collapsed="false">
      <c r="A13" s="1595" t="s">
        <v>566</v>
      </c>
      <c r="B13" s="1596" t="n">
        <f aca="false">J13+B34+B55+I55+B76+I76</f>
        <v>364811284</v>
      </c>
      <c r="C13" s="1596" t="n">
        <f aca="false">K13+C34+D34+J34+C55+J55+C76+J76</f>
        <v>369564417</v>
      </c>
      <c r="D13" s="1596" t="n">
        <f aca="false">L13+E34+D55+K55+D76+K76</f>
        <v>1013274</v>
      </c>
      <c r="E13" s="1596" t="n">
        <f aca="false">SUM(B13:D13)</f>
        <v>735388975</v>
      </c>
      <c r="F13" s="1596" t="n">
        <f aca="true">OFFSET('☆振替R7'!$B$10,$P$4*$P13,0,1,1)+OFFSET('☆振替R7'!$B$21,$P$4*$P13,0,1,1)</f>
        <v>735388975</v>
      </c>
      <c r="G13" s="1596" t="n">
        <f aca="false">'☆短期集計R7'!E33</f>
        <v>735388975</v>
      </c>
      <c r="H13" s="1597" t="str">
        <f aca="false">IF(AND(E13=F13,E13=G13),"○","×")</f>
        <v>○</v>
      </c>
      <c r="I13" s="1595" t="s">
        <v>566</v>
      </c>
      <c r="J13" s="1596" t="n">
        <f aca="true">OFFSET('☆振替R7'!$C$6,$P$4*$P13,0,1,1)</f>
        <v>327035800</v>
      </c>
      <c r="K13" s="1596" t="n">
        <f aca="true">OFFSET('☆振替R7'!$C$21,$P$4*$P13,0,1,1)</f>
        <v>327165828</v>
      </c>
      <c r="L13" s="1596" t="n">
        <f aca="true">OFFSET('☆振替R7'!$C$8,$P$4*$P13,0,1,1)</f>
        <v>908351</v>
      </c>
      <c r="M13" s="1596" t="n">
        <f aca="false">SUM(J13:L13)</f>
        <v>655109979</v>
      </c>
      <c r="N13" s="1596" t="n">
        <f aca="true">OFFSET('☆振替R7'!$E$25,$P$4*$P13,0,1,1)</f>
        <v>655109979</v>
      </c>
      <c r="O13" s="1826" t="str">
        <f aca="false">IF(M13=N13,"○","×")</f>
        <v>○</v>
      </c>
      <c r="P13" s="1825" t="n">
        <v>8</v>
      </c>
      <c r="Q13" s="1827"/>
    </row>
    <row r="14" customFormat="false" ht="21.75" hidden="false" customHeight="true" outlineLevel="0" collapsed="false">
      <c r="A14" s="1828" t="s">
        <v>887</v>
      </c>
      <c r="B14" s="1829" t="n">
        <f aca="false">J14+B35+B56+I56+B77+I77</f>
        <v>614527425</v>
      </c>
      <c r="C14" s="1829" t="n">
        <f aca="false">K14+C35+D35+J35+C56+J56+C77+J77</f>
        <v>622929746</v>
      </c>
      <c r="D14" s="1829" t="n">
        <f aca="false">L14+E35+D56+K56+D77+K77</f>
        <v>0</v>
      </c>
      <c r="E14" s="1829" t="n">
        <f aca="false">SUM(B14:D14)</f>
        <v>1237457171</v>
      </c>
      <c r="F14" s="1829" t="n">
        <f aca="false">E14</f>
        <v>1237457171</v>
      </c>
      <c r="G14" s="1829" t="n">
        <f aca="false">F14</f>
        <v>1237457171</v>
      </c>
      <c r="H14" s="1597" t="str">
        <f aca="false">IF(AND(E14=F14,E14=G14),"○","×")</f>
        <v>○</v>
      </c>
      <c r="I14" s="1828" t="s">
        <v>887</v>
      </c>
      <c r="J14" s="1829" t="n">
        <f aca="false">ROUND(J8/$N$32*$N$33,0)</f>
        <v>550894330</v>
      </c>
      <c r="K14" s="1829" t="n">
        <f aca="false">ROUND(K8/$N$32*$N$33,0)</f>
        <v>550983780</v>
      </c>
      <c r="L14" s="1829" t="n">
        <v>0</v>
      </c>
      <c r="M14" s="1829" t="n">
        <f aca="false">SUM(J14:L14)</f>
        <v>1101878110</v>
      </c>
      <c r="N14" s="1829" t="n">
        <f aca="false">M14</f>
        <v>1101878110</v>
      </c>
      <c r="O14" s="1826" t="str">
        <f aca="false">IF(M14=N14,"○","×")</f>
        <v>○</v>
      </c>
      <c r="P14" s="1825" t="n">
        <v>9</v>
      </c>
      <c r="Q14" s="1827"/>
    </row>
    <row r="15" customFormat="false" ht="21.75" hidden="false" customHeight="true" outlineLevel="0" collapsed="false">
      <c r="A15" s="1828" t="s">
        <v>567</v>
      </c>
      <c r="B15" s="1829" t="n">
        <f aca="false">J15+B36+B57+I57+B78+I78</f>
        <v>364811284</v>
      </c>
      <c r="C15" s="1829" t="n">
        <f aca="false">K15+C36+D36+J36+C57+J57+C78+J78</f>
        <v>369564417</v>
      </c>
      <c r="D15" s="1829" t="n">
        <f aca="false">L15+E36+D57+K57+D78+K78</f>
        <v>1013274</v>
      </c>
      <c r="E15" s="1829" t="n">
        <f aca="false">SUM(B15:D15)</f>
        <v>735388975</v>
      </c>
      <c r="F15" s="1829" t="n">
        <f aca="false">E15</f>
        <v>735388975</v>
      </c>
      <c r="G15" s="1829" t="n">
        <f aca="false">F15</f>
        <v>735388975</v>
      </c>
      <c r="H15" s="1597" t="str">
        <f aca="false">IF(AND(E15=F15,E15=G15),"○","×")</f>
        <v>○</v>
      </c>
      <c r="I15" s="1828" t="s">
        <v>567</v>
      </c>
      <c r="J15" s="1829" t="n">
        <f aca="false">J13</f>
        <v>327035800</v>
      </c>
      <c r="K15" s="1829" t="n">
        <f aca="false">K13</f>
        <v>327165828</v>
      </c>
      <c r="L15" s="1829" t="n">
        <f aca="false">L13</f>
        <v>908351</v>
      </c>
      <c r="M15" s="1829" t="n">
        <f aca="false">SUM(J15:L15)</f>
        <v>655109979</v>
      </c>
      <c r="N15" s="1829" t="n">
        <f aca="false">M15</f>
        <v>655109979</v>
      </c>
      <c r="O15" s="1826" t="str">
        <f aca="false">IF(M15=N15,"○","×")</f>
        <v>○</v>
      </c>
      <c r="P15" s="1825" t="n">
        <v>10</v>
      </c>
      <c r="Q15" s="1827"/>
    </row>
    <row r="16" customFormat="false" ht="21.75" hidden="false" customHeight="true" outlineLevel="0" collapsed="false">
      <c r="A16" s="1828" t="s">
        <v>568</v>
      </c>
      <c r="B16" s="1829" t="n">
        <f aca="false">J16+B37+B58+I58+B79+I79</f>
        <v>364811284</v>
      </c>
      <c r="C16" s="1829" t="n">
        <f aca="false">K16+C37+D37+J37+C58+J58+C79+J79</f>
        <v>369564417</v>
      </c>
      <c r="D16" s="1829" t="n">
        <f aca="false">L16+E37+D58+K58+D79+K79</f>
        <v>1013274</v>
      </c>
      <c r="E16" s="1829" t="n">
        <f aca="false">SUM(B16:D16)</f>
        <v>735388975</v>
      </c>
      <c r="F16" s="1829" t="n">
        <f aca="false">E16</f>
        <v>735388975</v>
      </c>
      <c r="G16" s="1829" t="n">
        <f aca="false">F16</f>
        <v>735388975</v>
      </c>
      <c r="H16" s="1597" t="str">
        <f aca="false">IF(AND(E16=F16,E16=G16),"○","×")</f>
        <v>○</v>
      </c>
      <c r="I16" s="1828" t="s">
        <v>568</v>
      </c>
      <c r="J16" s="1829" t="n">
        <f aca="false">J15</f>
        <v>327035800</v>
      </c>
      <c r="K16" s="1829" t="n">
        <f aca="false">K15</f>
        <v>327165828</v>
      </c>
      <c r="L16" s="1829" t="n">
        <f aca="false">L15</f>
        <v>908351</v>
      </c>
      <c r="M16" s="1829" t="n">
        <f aca="false">SUM(J16:L16)</f>
        <v>655109979</v>
      </c>
      <c r="N16" s="1829" t="n">
        <f aca="false">M16</f>
        <v>655109979</v>
      </c>
      <c r="O16" s="1826" t="str">
        <f aca="false">IF(M16=N16,"○","×")</f>
        <v>○</v>
      </c>
      <c r="P16" s="1825" t="n">
        <v>11</v>
      </c>
      <c r="Q16" s="1827"/>
    </row>
    <row r="17" customFormat="false" ht="21.75" hidden="false" customHeight="true" outlineLevel="0" collapsed="false">
      <c r="A17" s="1828" t="s">
        <v>569</v>
      </c>
      <c r="B17" s="1829" t="n">
        <f aca="false">J17+B38+B59+I59+B80+I80</f>
        <v>364811284</v>
      </c>
      <c r="C17" s="1829" t="n">
        <f aca="false">K17+C38+D38+J38+C59+J59+C80+J80</f>
        <v>369564417</v>
      </c>
      <c r="D17" s="1829" t="n">
        <f aca="false">L17+E38+D59+K59+D80+K80</f>
        <v>1013274</v>
      </c>
      <c r="E17" s="1829" t="n">
        <f aca="false">SUM(B17:D17)</f>
        <v>735388975</v>
      </c>
      <c r="F17" s="1829" t="n">
        <f aca="false">E17</f>
        <v>735388975</v>
      </c>
      <c r="G17" s="1829" t="n">
        <f aca="false">F17</f>
        <v>735388975</v>
      </c>
      <c r="H17" s="1597" t="str">
        <f aca="false">IF(AND(E17=F17,E17=G17),"○","×")</f>
        <v>○</v>
      </c>
      <c r="I17" s="1828" t="s">
        <v>569</v>
      </c>
      <c r="J17" s="1829" t="n">
        <f aca="false">J16</f>
        <v>327035800</v>
      </c>
      <c r="K17" s="1829" t="n">
        <f aca="false">K16</f>
        <v>327165828</v>
      </c>
      <c r="L17" s="1829" t="n">
        <f aca="false">L16</f>
        <v>908351</v>
      </c>
      <c r="M17" s="1829" t="n">
        <f aca="false">SUM(J17:L17)</f>
        <v>655109979</v>
      </c>
      <c r="N17" s="1829" t="n">
        <f aca="false">M17</f>
        <v>655109979</v>
      </c>
      <c r="O17" s="1826" t="str">
        <f aca="false">IF(M17=N17,"○","×")</f>
        <v>○</v>
      </c>
      <c r="P17" s="1825" t="n">
        <v>12</v>
      </c>
      <c r="Q17" s="1827"/>
    </row>
    <row r="18" customFormat="false" ht="21.75" hidden="false" customHeight="true" outlineLevel="0" collapsed="false">
      <c r="A18" s="1828" t="s">
        <v>888</v>
      </c>
      <c r="B18" s="1829" t="n">
        <f aca="false">J18+B39+B60+I60+B81+I81</f>
        <v>131684449</v>
      </c>
      <c r="C18" s="1829" t="n">
        <f aca="false">K18+C39+D39+J39+C60+J60+C81+J81</f>
        <v>133484946</v>
      </c>
      <c r="D18" s="1829" t="n">
        <f aca="false">L18+E39+D60+K60+D81+K81</f>
        <v>0</v>
      </c>
      <c r="E18" s="1829" t="n">
        <f aca="false">SUM(B18:D18)</f>
        <v>265169395</v>
      </c>
      <c r="F18" s="1829" t="n">
        <f aca="false">E18</f>
        <v>265169395</v>
      </c>
      <c r="G18" s="1829" t="n">
        <f aca="false">F18</f>
        <v>265169395</v>
      </c>
      <c r="H18" s="1597" t="str">
        <f aca="false">IF(AND(E18=F18,E18=G18),"○","×")</f>
        <v>○</v>
      </c>
      <c r="I18" s="1828" t="s">
        <v>888</v>
      </c>
      <c r="J18" s="1829" t="n">
        <f aca="false">ROUND(J8/$N$32*$N$34,0)</f>
        <v>118048785</v>
      </c>
      <c r="K18" s="1829" t="n">
        <f aca="false">ROUND(K8/$N$32*$N$34,0)</f>
        <v>118067953</v>
      </c>
      <c r="L18" s="1829" t="n">
        <v>0</v>
      </c>
      <c r="M18" s="1829" t="n">
        <f aca="false">SUM(J18:L18)</f>
        <v>236116738</v>
      </c>
      <c r="N18" s="1829" t="n">
        <f aca="false">M18</f>
        <v>236116738</v>
      </c>
      <c r="O18" s="1826" t="str">
        <f aca="false">IF(M18=N18,"○","×")</f>
        <v>○</v>
      </c>
      <c r="P18" s="1825" t="n">
        <v>13</v>
      </c>
      <c r="Q18" s="1827"/>
    </row>
    <row r="19" customFormat="false" ht="21.75" hidden="false" customHeight="true" outlineLevel="0" collapsed="false">
      <c r="A19" s="1828" t="s">
        <v>570</v>
      </c>
      <c r="B19" s="1829" t="n">
        <f aca="false">J19+B40+B61+I61+B82+I82</f>
        <v>364811284</v>
      </c>
      <c r="C19" s="1829" t="n">
        <f aca="false">K19+C40+D40+J40+C61+J61+C82+J82</f>
        <v>369564417</v>
      </c>
      <c r="D19" s="1829" t="n">
        <f aca="false">L19+E40+D61+K61+D82+K82</f>
        <v>1013274</v>
      </c>
      <c r="E19" s="1829" t="n">
        <f aca="false">SUM(B19:D19)</f>
        <v>735388975</v>
      </c>
      <c r="F19" s="1829" t="n">
        <f aca="false">E19</f>
        <v>735388975</v>
      </c>
      <c r="G19" s="1829" t="n">
        <f aca="false">F19</f>
        <v>735388975</v>
      </c>
      <c r="H19" s="1597" t="str">
        <f aca="false">IF(AND(E19=F19,E19=G19),"○","×")</f>
        <v>○</v>
      </c>
      <c r="I19" s="1828" t="s">
        <v>570</v>
      </c>
      <c r="J19" s="1829" t="n">
        <f aca="false">J17</f>
        <v>327035800</v>
      </c>
      <c r="K19" s="1829" t="n">
        <f aca="false">K17</f>
        <v>327165828</v>
      </c>
      <c r="L19" s="1829" t="n">
        <f aca="false">L17</f>
        <v>908351</v>
      </c>
      <c r="M19" s="1829" t="n">
        <f aca="false">SUM(J19:L19)</f>
        <v>655109979</v>
      </c>
      <c r="N19" s="1829" t="n">
        <f aca="false">M19</f>
        <v>655109979</v>
      </c>
      <c r="O19" s="1826" t="str">
        <f aca="false">IF(M19=N19,"○","×")</f>
        <v>○</v>
      </c>
      <c r="P19" s="1825" t="n">
        <v>14</v>
      </c>
      <c r="Q19" s="1827"/>
    </row>
    <row r="20" customFormat="false" ht="21.75" hidden="false" customHeight="true" outlineLevel="0" collapsed="false">
      <c r="A20" s="1830" t="s">
        <v>639</v>
      </c>
      <c r="B20" s="1829" t="n">
        <f aca="false">J20+B41+B62+I62+B83+I83</f>
        <v>0</v>
      </c>
      <c r="C20" s="1829" t="n">
        <f aca="false">K20+C41+D41+J41+C62+J62+C83+J83</f>
        <v>0</v>
      </c>
      <c r="D20" s="1829" t="n">
        <f aca="false">L20+E41+D62+K62+D83+K83</f>
        <v>0</v>
      </c>
      <c r="E20" s="1829" t="n">
        <f aca="false">SUM(B20:D20)</f>
        <v>0</v>
      </c>
      <c r="F20" s="1829" t="n">
        <f aca="false">E20</f>
        <v>0</v>
      </c>
      <c r="G20" s="1829" t="n">
        <f aca="false">F20</f>
        <v>0</v>
      </c>
      <c r="H20" s="1597" t="str">
        <f aca="false">IF(AND(E20=F20,E20=G20),"○","×")</f>
        <v>○</v>
      </c>
      <c r="I20" s="1830" t="s">
        <v>639</v>
      </c>
      <c r="J20" s="1829" t="n">
        <f aca="false">ROUND(J8*$N$35%,0)</f>
        <v>0</v>
      </c>
      <c r="K20" s="1829" t="n">
        <f aca="false">ROUND(K8*$N$35%,0)</f>
        <v>0</v>
      </c>
      <c r="L20" s="1829" t="n">
        <v>0</v>
      </c>
      <c r="M20" s="1829" t="n">
        <f aca="false">SUM(J20:L20)</f>
        <v>0</v>
      </c>
      <c r="N20" s="1829" t="n">
        <f aca="false">M20</f>
        <v>0</v>
      </c>
      <c r="O20" s="1826" t="str">
        <f aca="false">IF(M20=N20,"○","×")</f>
        <v>○</v>
      </c>
      <c r="P20" s="1825" t="n">
        <v>15</v>
      </c>
      <c r="Q20" s="1831"/>
    </row>
    <row r="21" customFormat="false" ht="21.75" hidden="false" customHeight="true" outlineLevel="0" collapsed="false">
      <c r="A21" s="1830" t="s">
        <v>640</v>
      </c>
      <c r="B21" s="1829" t="n">
        <f aca="false">J21+B42+B63+I63+B84+I84</f>
        <v>0</v>
      </c>
      <c r="C21" s="1829" t="n">
        <f aca="false">K21+C42+D42+J42+C63+J63+C84+J84</f>
        <v>0</v>
      </c>
      <c r="D21" s="1829" t="n">
        <f aca="false">L21+E42+D63+K63+D84+K84</f>
        <v>0</v>
      </c>
      <c r="E21" s="1829" t="n">
        <f aca="false">SUM(B21:D21)</f>
        <v>0</v>
      </c>
      <c r="F21" s="1829" t="n">
        <f aca="false">E21</f>
        <v>0</v>
      </c>
      <c r="G21" s="1829" t="n">
        <f aca="false">F21</f>
        <v>0</v>
      </c>
      <c r="H21" s="1597" t="str">
        <f aca="false">IF(AND(E21=F21,E21=G21),"○","×")</f>
        <v>○</v>
      </c>
      <c r="I21" s="1830" t="s">
        <v>640</v>
      </c>
      <c r="J21" s="1829" t="n">
        <f aca="false">ROUND(J14*$N$35%,0)</f>
        <v>0</v>
      </c>
      <c r="K21" s="1829" t="n">
        <f aca="false">ROUND(K14*$N$35%,0)</f>
        <v>0</v>
      </c>
      <c r="L21" s="1829" t="n">
        <v>0</v>
      </c>
      <c r="M21" s="1829" t="n">
        <f aca="false">SUM(J21:L21)</f>
        <v>0</v>
      </c>
      <c r="N21" s="1829" t="n">
        <f aca="false">M21</f>
        <v>0</v>
      </c>
      <c r="O21" s="1826" t="str">
        <f aca="false">IF(M21=N21,"○","×")</f>
        <v>○</v>
      </c>
      <c r="P21" s="1832" t="n">
        <v>16</v>
      </c>
      <c r="Q21" s="1831"/>
    </row>
    <row r="22" customFormat="false" ht="21.75" hidden="false" customHeight="true" outlineLevel="0" collapsed="false">
      <c r="A22" s="1592" t="s">
        <v>571</v>
      </c>
      <c r="B22" s="1596" t="n">
        <f aca="false">SUM(B5:B21)</f>
        <v>5660632482</v>
      </c>
      <c r="C22" s="1596" t="n">
        <f aca="false">SUM(C5:C21)</f>
        <v>5735095014</v>
      </c>
      <c r="D22" s="1596" t="n">
        <f aca="false">SUM(D5:D21)</f>
        <v>118483894</v>
      </c>
      <c r="E22" s="1596" t="n">
        <f aca="false">SUM(E5:E21)</f>
        <v>11514211390</v>
      </c>
      <c r="F22" s="1596" t="n">
        <f aca="false">SUM(F5:F21)</f>
        <v>11514211390</v>
      </c>
      <c r="G22" s="1596" t="n">
        <f aca="false">SUM(G5:G21)</f>
        <v>11514211390</v>
      </c>
      <c r="H22" s="1597" t="str">
        <f aca="false">IF(AND(E22=F22,E22=G22),"○","×")</f>
        <v>○</v>
      </c>
      <c r="I22" s="1592" t="s">
        <v>571</v>
      </c>
      <c r="J22" s="1596" t="n">
        <f aca="false">SUM(J5:J21)</f>
        <v>5074485226</v>
      </c>
      <c r="K22" s="1596" t="n">
        <f aca="false">SUM(K5:K21)</f>
        <v>5076170717</v>
      </c>
      <c r="L22" s="1596" t="n">
        <f aca="false">SUM(L5:L21)</f>
        <v>106215115</v>
      </c>
      <c r="M22" s="1596" t="n">
        <f aca="false">SUM(M5:M21)</f>
        <v>10256871058</v>
      </c>
      <c r="N22" s="1596" t="n">
        <f aca="false">SUM(N5:N21)</f>
        <v>10256871058</v>
      </c>
      <c r="O22" s="1598" t="str">
        <f aca="false">IF(M22=N22,"○","×")</f>
        <v>○</v>
      </c>
      <c r="P22" s="1833"/>
      <c r="Q22" s="1834"/>
    </row>
    <row r="23" customFormat="false" ht="21.75" hidden="false" customHeight="true" outlineLevel="0" collapsed="false">
      <c r="A23" s="1602"/>
      <c r="B23" s="1603"/>
      <c r="C23" s="1603"/>
      <c r="D23" s="1603"/>
      <c r="E23" s="1603"/>
      <c r="F23" s="1603"/>
      <c r="G23" s="1603"/>
      <c r="H23" s="1604"/>
      <c r="I23" s="1602"/>
      <c r="J23" s="1603"/>
      <c r="K23" s="1603"/>
      <c r="L23" s="1603"/>
      <c r="M23" s="1603"/>
      <c r="N23" s="1603"/>
      <c r="O23" s="1605"/>
      <c r="P23" s="1835"/>
      <c r="Q23" s="1149"/>
    </row>
    <row r="24" customFormat="false" ht="21.75" hidden="false" customHeight="true" outlineLevel="0" collapsed="false">
      <c r="A24" s="1589" t="s">
        <v>980</v>
      </c>
      <c r="B24" s="1606"/>
      <c r="C24" s="1607"/>
      <c r="D24" s="1607"/>
      <c r="E24" s="1607"/>
      <c r="F24" s="1589"/>
      <c r="G24" s="1591" t="s">
        <v>535</v>
      </c>
      <c r="H24" s="1589"/>
      <c r="I24" s="1589" t="s">
        <v>981</v>
      </c>
      <c r="J24" s="1606"/>
      <c r="K24" s="1607"/>
      <c r="L24" s="1607"/>
      <c r="M24" s="1589"/>
      <c r="N24" s="1589"/>
      <c r="O24" s="1589"/>
      <c r="P24" s="1833"/>
      <c r="Q24" s="1589"/>
    </row>
    <row r="25" customFormat="false" ht="30" hidden="false" customHeight="true" outlineLevel="0" collapsed="false">
      <c r="A25" s="1592" t="s">
        <v>394</v>
      </c>
      <c r="B25" s="1592" t="s">
        <v>964</v>
      </c>
      <c r="C25" s="1592" t="s">
        <v>491</v>
      </c>
      <c r="D25" s="1592" t="s">
        <v>891</v>
      </c>
      <c r="E25" s="1593" t="s">
        <v>878</v>
      </c>
      <c r="F25" s="1592" t="s">
        <v>892</v>
      </c>
      <c r="G25" s="1593" t="s">
        <v>893</v>
      </c>
      <c r="H25" s="1594" t="s">
        <v>894</v>
      </c>
      <c r="I25" s="1592" t="s">
        <v>394</v>
      </c>
      <c r="J25" s="1592" t="s">
        <v>895</v>
      </c>
      <c r="K25" s="1593" t="s">
        <v>896</v>
      </c>
      <c r="L25" s="1594"/>
      <c r="M25" s="1608"/>
      <c r="N25" s="1609"/>
      <c r="O25" s="1609"/>
      <c r="P25" s="1836"/>
      <c r="Q25" s="1609"/>
    </row>
    <row r="26" customFormat="false" ht="21.75" hidden="false" customHeight="true" outlineLevel="0" collapsed="false">
      <c r="A26" s="1595" t="s">
        <v>559</v>
      </c>
      <c r="B26" s="1596" t="n">
        <f aca="true">OFFSET('☆振替R7'!$D$6,$P$4*$P5,0,1,1)</f>
        <v>15550898</v>
      </c>
      <c r="C26" s="1596" t="n">
        <f aca="true">OFFSET('☆振替R7'!$D$21,$P$4*$P5,0,1,1)</f>
        <v>15533689</v>
      </c>
      <c r="D26" s="1596" t="n">
        <f aca="true">OFFSET('☆振替R7'!$E$21,$P$4*$P5,0,1,1)</f>
        <v>4025496</v>
      </c>
      <c r="E26" s="1596" t="n">
        <f aca="true">OFFSET('☆振替R7'!$D$8,$P$4*$P5,0,1,1)</f>
        <v>4379343</v>
      </c>
      <c r="F26" s="1596" t="n">
        <f aca="false">SUM(B26:E26)</f>
        <v>39489426</v>
      </c>
      <c r="G26" s="1596" t="n">
        <f aca="true">OFFSET('☆振替R7'!$E$27,$P$4*$P5,0,1,1)</f>
        <v>39489426</v>
      </c>
      <c r="H26" s="1598" t="str">
        <f aca="false">IF(F26=G26,"○","×")</f>
        <v>○</v>
      </c>
      <c r="I26" s="1595" t="s">
        <v>559</v>
      </c>
      <c r="J26" s="1596" t="n">
        <f aca="true">OFFSET('☆振替R7'!$F$21,$P$4*$P5,0,1,1)</f>
        <v>334776</v>
      </c>
      <c r="K26" s="1596" t="n">
        <f aca="true">OFFSET('☆振替R7'!$E$29,$P$4*$P5,0,1,1)</f>
        <v>334776</v>
      </c>
      <c r="L26" s="1589" t="s">
        <v>982</v>
      </c>
      <c r="M26" s="1609"/>
      <c r="N26" s="1609"/>
      <c r="O26" s="1609"/>
      <c r="P26" s="1837"/>
      <c r="Q26" s="1610"/>
    </row>
    <row r="27" customFormat="false" ht="21.75" hidden="false" customHeight="true" outlineLevel="0" collapsed="false">
      <c r="A27" s="1595" t="s">
        <v>560</v>
      </c>
      <c r="B27" s="1596" t="n">
        <f aca="true">OFFSET('☆振替R7'!$D$6,$P$4*$P6,0,1,1)</f>
        <v>15666808</v>
      </c>
      <c r="C27" s="1596" t="n">
        <f aca="true">OFFSET('☆振替R7'!$D$21,$P$4*$P6,0,1,1)</f>
        <v>15677406</v>
      </c>
      <c r="D27" s="1596" t="n">
        <f aca="true">OFFSET('☆振替R7'!$E$21,$P$4*$P6,0,1,1)</f>
        <v>4057893</v>
      </c>
      <c r="E27" s="1596" t="n">
        <f aca="true">OFFSET('☆振替R7'!$D$8,$P$4*$P6,0,1,1)</f>
        <v>98094</v>
      </c>
      <c r="F27" s="1596" t="n">
        <f aca="false">SUM(B27:E27)</f>
        <v>35500201</v>
      </c>
      <c r="G27" s="1596" t="n">
        <f aca="true">OFFSET('☆振替R7'!$E$27,$P$4*$P6,0,1,1)</f>
        <v>35500201</v>
      </c>
      <c r="H27" s="1598" t="str">
        <f aca="false">IF(F27=G27,"○","×")</f>
        <v>○</v>
      </c>
      <c r="I27" s="1595" t="s">
        <v>560</v>
      </c>
      <c r="J27" s="1596" t="n">
        <f aca="true">OFFSET('☆振替R7'!$F$21,$P$4*$P6,0,1,1)</f>
        <v>337874</v>
      </c>
      <c r="K27" s="1596" t="n">
        <f aca="true">OFFSET('☆振替R7'!$E$29,$P$4*$P6,0,1,1)</f>
        <v>337874</v>
      </c>
      <c r="L27" s="1838" t="s">
        <v>983</v>
      </c>
      <c r="M27" s="1609"/>
      <c r="N27" s="1609"/>
      <c r="O27" s="1609"/>
      <c r="P27" s="1839"/>
      <c r="Q27" s="1610"/>
    </row>
    <row r="28" customFormat="false" ht="21.75" hidden="false" customHeight="true" outlineLevel="0" collapsed="false">
      <c r="A28" s="1595" t="s">
        <v>561</v>
      </c>
      <c r="B28" s="1596" t="n">
        <f aca="true">OFFSET('☆振替R7'!$D$6,$P$4*$P7,0,1,1)</f>
        <v>15643505</v>
      </c>
      <c r="C28" s="1596" t="n">
        <f aca="true">OFFSET('☆振替R7'!$D$21,$P$4*$P7,0,1,1)</f>
        <v>15646586</v>
      </c>
      <c r="D28" s="1596" t="n">
        <f aca="true">OFFSET('☆振替R7'!$E$21,$P$4*$P7,0,1,1)</f>
        <v>4049348</v>
      </c>
      <c r="E28" s="1596" t="n">
        <f aca="true">OFFSET('☆振替R7'!$D$8,$P$4*$P7,0,1,1)</f>
        <v>128841</v>
      </c>
      <c r="F28" s="1596" t="n">
        <f aca="false">SUM(B28:E28)</f>
        <v>35468280</v>
      </c>
      <c r="G28" s="1596" t="n">
        <f aca="true">OFFSET('☆振替R7'!$E$27,$P$4*$P7,0,1,1)</f>
        <v>35468280</v>
      </c>
      <c r="H28" s="1598" t="str">
        <f aca="false">IF(F28=G28,"○","×")</f>
        <v>○</v>
      </c>
      <c r="I28" s="1595" t="s">
        <v>561</v>
      </c>
      <c r="J28" s="1596" t="n">
        <f aca="true">OFFSET('☆振替R7'!$F$21,$P$4*$P7,0,1,1)</f>
        <v>337210</v>
      </c>
      <c r="K28" s="1596" t="n">
        <f aca="true">OFFSET('☆振替R7'!$E$29,$P$4*$P7,0,1,1)</f>
        <v>337210</v>
      </c>
      <c r="L28" s="1589" t="s">
        <v>984</v>
      </c>
      <c r="M28" s="1609"/>
      <c r="N28" s="1609"/>
      <c r="O28" s="1609"/>
      <c r="P28" s="1839"/>
      <c r="Q28" s="1610"/>
    </row>
    <row r="29" customFormat="false" ht="21.75" hidden="false" customHeight="true" outlineLevel="0" collapsed="false">
      <c r="A29" s="1595" t="s">
        <v>886</v>
      </c>
      <c r="B29" s="1596" t="n">
        <f aca="true">OFFSET('☆振替R7'!$D$6,$P$4*$P8,0,1,1)</f>
        <v>27491392</v>
      </c>
      <c r="C29" s="1596" t="n">
        <f aca="true">OFFSET('☆振替R7'!$D$21,$P$4*$P8,0,1,1)</f>
        <v>27495855</v>
      </c>
      <c r="D29" s="1596" t="n">
        <f aca="true">OFFSET('☆振替R7'!$E$21,$P$4*$P8,0,1,1)</f>
        <v>7709955</v>
      </c>
      <c r="E29" s="1599" t="n">
        <f aca="true">OFFSET('☆振替R7'!$D$8,$P$4*$P8,0,1,1)</f>
        <v>0</v>
      </c>
      <c r="F29" s="1596" t="n">
        <f aca="false">SUM(B29:E29)</f>
        <v>62697202</v>
      </c>
      <c r="G29" s="1596" t="n">
        <f aca="true">OFFSET('☆振替R7'!$E$27,$P$4*$P8,0,1,1)</f>
        <v>62697202</v>
      </c>
      <c r="H29" s="1598" t="str">
        <f aca="false">IF(F29=G29,"○","×")</f>
        <v>○</v>
      </c>
      <c r="I29" s="1595" t="s">
        <v>886</v>
      </c>
      <c r="J29" s="1596" t="n">
        <f aca="true">OFFSET('☆振替R7'!$F$21,$P$4*$P8,0,1,1)</f>
        <v>592581</v>
      </c>
      <c r="K29" s="1596" t="n">
        <f aca="true">OFFSET('☆振替R7'!$E$29,$P$4*$P8,0,1,1)</f>
        <v>592581</v>
      </c>
      <c r="L29" s="1589" t="s">
        <v>985</v>
      </c>
      <c r="M29" s="1609"/>
      <c r="N29" s="1609"/>
      <c r="O29" s="1609"/>
      <c r="P29" s="1839"/>
      <c r="Q29" s="1609"/>
    </row>
    <row r="30" customFormat="false" ht="21.75" hidden="false" customHeight="true" outlineLevel="0" collapsed="false">
      <c r="A30" s="1595" t="s">
        <v>562</v>
      </c>
      <c r="B30" s="1596" t="n">
        <f aca="true">OFFSET('☆振替R7'!$D$6,$P$4*$P9,0,1,1)</f>
        <v>15902570</v>
      </c>
      <c r="C30" s="1596" t="n">
        <f aca="true">OFFSET('☆振替R7'!$D$21,$P$4*$P9,0,1,1)</f>
        <v>15914151</v>
      </c>
      <c r="D30" s="1596" t="n">
        <f aca="true">OFFSET('☆振替R7'!$E$21,$P$4*$P9,0,1,1)</f>
        <v>4136470</v>
      </c>
      <c r="E30" s="1596" t="n">
        <f aca="true">OFFSET('☆振替R7'!$D$8,$P$4*$P9,0,1,1)</f>
        <v>58106</v>
      </c>
      <c r="F30" s="1596" t="n">
        <f aca="false">SUM(B30:E30)</f>
        <v>36011297</v>
      </c>
      <c r="G30" s="1596" t="n">
        <f aca="true">OFFSET('☆振替R7'!$E$27,$P$4*$P9,0,1,1)</f>
        <v>36011297</v>
      </c>
      <c r="H30" s="1598" t="str">
        <f aca="false">IF(F30=G30,"○","×")</f>
        <v>○</v>
      </c>
      <c r="I30" s="1595" t="s">
        <v>562</v>
      </c>
      <c r="J30" s="1596" t="n">
        <f aca="true">OFFSET('☆振替R7'!$F$21,$P$4*$P9,0,1,1)</f>
        <v>342976</v>
      </c>
      <c r="K30" s="1596" t="n">
        <f aca="true">OFFSET('☆振替R7'!$E$29,$P$4*$P9,0,1,1)</f>
        <v>342976</v>
      </c>
      <c r="L30" s="1840" t="s">
        <v>986</v>
      </c>
      <c r="M30" s="1840"/>
      <c r="N30" s="1840"/>
      <c r="O30" s="1840"/>
      <c r="P30" s="1837"/>
      <c r="Q30" s="1611"/>
    </row>
    <row r="31" customFormat="false" ht="21.75" hidden="false" customHeight="true" outlineLevel="0" collapsed="false">
      <c r="A31" s="1595" t="s">
        <v>563</v>
      </c>
      <c r="B31" s="1596" t="n">
        <f aca="true">OFFSET('☆振替R7'!$D$6,$P$4*$P10,0,1,1)</f>
        <v>15751799</v>
      </c>
      <c r="C31" s="1596" t="n">
        <f aca="true">OFFSET('☆振替R7'!$D$21,$P$4*$P10,0,1,1)</f>
        <v>15761400</v>
      </c>
      <c r="D31" s="1596" t="n">
        <f aca="true">OFFSET('☆振替R7'!$E$21,$P$4*$P10,0,1,1)</f>
        <v>4089706</v>
      </c>
      <c r="E31" s="1596" t="n">
        <f aca="true">OFFSET('☆振替R7'!$D$8,$P$4*$P10,0,1,1)</f>
        <v>85842</v>
      </c>
      <c r="F31" s="1596" t="n">
        <f aca="false">SUM(B31:E31)</f>
        <v>35688747</v>
      </c>
      <c r="G31" s="1596" t="n">
        <f aca="true">OFFSET('☆振替R7'!$E$27,$P$4*$P10,0,1,1)</f>
        <v>35688747</v>
      </c>
      <c r="H31" s="1598" t="str">
        <f aca="false">IF(F31=G31,"○","×")</f>
        <v>○</v>
      </c>
      <c r="I31" s="1595" t="s">
        <v>563</v>
      </c>
      <c r="J31" s="1596" t="n">
        <f aca="true">OFFSET('☆振替R7'!$F$21,$P$4*$P10,0,1,1)</f>
        <v>339683</v>
      </c>
      <c r="K31" s="1596" t="n">
        <f aca="true">OFFSET('☆振替R7'!$E$29,$P$4*$P10,0,1,1)</f>
        <v>339683</v>
      </c>
      <c r="L31" s="1840"/>
      <c r="M31" s="1840"/>
      <c r="N31" s="1840"/>
      <c r="O31" s="1840"/>
      <c r="P31" s="1841"/>
      <c r="Q31" s="1609"/>
    </row>
    <row r="32" customFormat="false" ht="21.75" hidden="false" customHeight="true" outlineLevel="0" collapsed="false">
      <c r="A32" s="1595" t="s">
        <v>564</v>
      </c>
      <c r="B32" s="1596" t="n">
        <f aca="true">OFFSET('☆振替R7'!$D$6,$P$4*$P11,0,1,1)</f>
        <v>15904254</v>
      </c>
      <c r="C32" s="1596" t="n">
        <f aca="true">OFFSET('☆振替R7'!$D$21,$P$4*$P11,0,1,1)</f>
        <v>15910297</v>
      </c>
      <c r="D32" s="1596" t="n">
        <f aca="true">OFFSET('☆振替R7'!$E$21,$P$4*$P11,0,1,1)</f>
        <v>4145893</v>
      </c>
      <c r="E32" s="1596" t="n">
        <f aca="true">OFFSET('☆振替R7'!$D$8,$P$4*$P11,0,1,1)</f>
        <v>220784</v>
      </c>
      <c r="F32" s="1596" t="n">
        <f aca="false">SUM(B32:E32)</f>
        <v>36181228</v>
      </c>
      <c r="G32" s="1596" t="n">
        <f aca="true">OFFSET('☆振替R7'!$E$27,$P$4*$P11,0,1,1)</f>
        <v>36181228</v>
      </c>
      <c r="H32" s="1598" t="str">
        <f aca="false">IF(F32=G32,"○","×")</f>
        <v>○</v>
      </c>
      <c r="I32" s="1595" t="s">
        <v>564</v>
      </c>
      <c r="J32" s="1596" t="n">
        <f aca="true">OFFSET('☆振替R7'!$F$21,$P$4*$P11,0,1,1)</f>
        <v>342892</v>
      </c>
      <c r="K32" s="1596" t="n">
        <f aca="true">OFFSET('☆振替R7'!$E$29,$P$4*$P11,0,1,1)</f>
        <v>342892</v>
      </c>
      <c r="L32" s="1842" t="s">
        <v>987</v>
      </c>
      <c r="M32" s="1843"/>
      <c r="N32" s="1844" t="n">
        <v>2.1</v>
      </c>
      <c r="O32" s="1609"/>
      <c r="P32" s="1837"/>
      <c r="Q32" s="1609"/>
    </row>
    <row r="33" customFormat="false" ht="21.75" hidden="false" customHeight="true" outlineLevel="0" collapsed="false">
      <c r="A33" s="1595" t="s">
        <v>565</v>
      </c>
      <c r="B33" s="1596" t="n">
        <f aca="true">OFFSET('☆振替R7'!$D$6,$P$4*$P12,0,1,1)</f>
        <v>16338767</v>
      </c>
      <c r="C33" s="1596" t="n">
        <f aca="true">OFFSET('☆振替R7'!$D$21,$P$4*$P12,0,1,1)</f>
        <v>16356850</v>
      </c>
      <c r="D33" s="1596" t="n">
        <f aca="true">OFFSET('☆振替R7'!$E$21,$P$4*$P12,0,1,1)</f>
        <v>4264974</v>
      </c>
      <c r="E33" s="1596" t="n">
        <f aca="true">OFFSET('☆振替R7'!$D$8,$P$4*$P12,0,1,1)</f>
        <v>102813</v>
      </c>
      <c r="F33" s="1596" t="n">
        <f aca="false">SUM(B33:E33)</f>
        <v>37063404</v>
      </c>
      <c r="G33" s="1596" t="n">
        <f aca="true">OFFSET('☆振替R7'!$E$27,$P$4*$P12,0,1,1)</f>
        <v>37063404</v>
      </c>
      <c r="H33" s="1598" t="str">
        <f aca="false">IF(F33=G33,"○","×")</f>
        <v>○</v>
      </c>
      <c r="I33" s="1595" t="s">
        <v>565</v>
      </c>
      <c r="J33" s="1596" t="n">
        <f aca="true">OFFSET('☆振替R7'!$F$21,$P$4*$P12,0,1,1)</f>
        <v>352516</v>
      </c>
      <c r="K33" s="1596" t="n">
        <f aca="true">OFFSET('☆振替R7'!$E$29,$P$4*$P12,0,1,1)</f>
        <v>352516</v>
      </c>
      <c r="L33" s="1842" t="s">
        <v>988</v>
      </c>
      <c r="M33" s="1843"/>
      <c r="N33" s="1844" t="n">
        <v>2.1</v>
      </c>
      <c r="O33" s="1609"/>
      <c r="P33" s="1837"/>
      <c r="Q33" s="1609"/>
    </row>
    <row r="34" customFormat="false" ht="21.75" hidden="false" customHeight="true" outlineLevel="0" collapsed="false">
      <c r="A34" s="1595" t="s">
        <v>566</v>
      </c>
      <c r="B34" s="1596" t="n">
        <f aca="true">OFFSET('☆振替R7'!$D$6,$P$4*$P13,0,1,1)</f>
        <v>16320134</v>
      </c>
      <c r="C34" s="1596" t="n">
        <f aca="true">OFFSET('☆振替R7'!$D$21,$P$4*$P13,0,1,1)</f>
        <v>16326622</v>
      </c>
      <c r="D34" s="1596" t="n">
        <f aca="true">OFFSET('☆振替R7'!$E$21,$P$4*$P13,0,1,1)</f>
        <v>4256216</v>
      </c>
      <c r="E34" s="1596" t="n">
        <f aca="true">OFFSET('☆振替R7'!$D$8,$P$4*$P13,0,1,1)</f>
        <v>45329</v>
      </c>
      <c r="F34" s="1596" t="n">
        <f aca="false">SUM(B34:E34)</f>
        <v>36948301</v>
      </c>
      <c r="G34" s="1596" t="n">
        <f aca="true">OFFSET('☆振替R7'!$E$27,$P$4*$P13,0,1,1)</f>
        <v>36948301</v>
      </c>
      <c r="H34" s="1598" t="str">
        <f aca="false">IF(F34=G34,"○","×")</f>
        <v>○</v>
      </c>
      <c r="I34" s="1595" t="s">
        <v>566</v>
      </c>
      <c r="J34" s="1596" t="n">
        <f aca="true">OFFSET('☆振替R7'!$F$21,$P$4*$P13,0,1,1)</f>
        <v>351865</v>
      </c>
      <c r="K34" s="1596" t="n">
        <f aca="true">OFFSET('☆振替R7'!$E$29,$P$4*$P13,0,1,1)</f>
        <v>351865</v>
      </c>
      <c r="L34" s="1842" t="s">
        <v>989</v>
      </c>
      <c r="M34" s="1843"/>
      <c r="N34" s="1844" t="n">
        <v>0.45</v>
      </c>
      <c r="O34" s="1609"/>
      <c r="P34" s="1837"/>
      <c r="Q34" s="1609"/>
    </row>
    <row r="35" customFormat="false" ht="21.75" hidden="false" customHeight="true" outlineLevel="0" collapsed="false">
      <c r="A35" s="1828" t="s">
        <v>887</v>
      </c>
      <c r="B35" s="1829" t="n">
        <f aca="false">ROUND(B29/$N$32*$N$33,0)</f>
        <v>27491392</v>
      </c>
      <c r="C35" s="1829" t="n">
        <f aca="false">ROUND(C29/$N$32*$N$33,0)</f>
        <v>27495855</v>
      </c>
      <c r="D35" s="1829" t="n">
        <f aca="false">ROUND(D29/$N$32*$N$33,0)</f>
        <v>7709955</v>
      </c>
      <c r="E35" s="1829" t="n">
        <v>0</v>
      </c>
      <c r="F35" s="1829" t="n">
        <f aca="false">SUM(B35:E35)</f>
        <v>62697202</v>
      </c>
      <c r="G35" s="1829" t="n">
        <f aca="false">F35</f>
        <v>62697202</v>
      </c>
      <c r="H35" s="1598" t="str">
        <f aca="false">IF(F35=G35,"○","×")</f>
        <v>○</v>
      </c>
      <c r="I35" s="1828" t="s">
        <v>887</v>
      </c>
      <c r="J35" s="1829" t="n">
        <f aca="false">ROUND(J29/$N$32*$N$33,0)</f>
        <v>592581</v>
      </c>
      <c r="K35" s="1829" t="n">
        <f aca="false">J35</f>
        <v>592581</v>
      </c>
      <c r="L35" s="1845" t="s">
        <v>990</v>
      </c>
      <c r="M35" s="1843"/>
      <c r="N35" s="1846" t="n">
        <v>0</v>
      </c>
      <c r="O35" s="1609"/>
      <c r="P35" s="1837"/>
      <c r="Q35" s="1609"/>
    </row>
    <row r="36" customFormat="false" ht="21.75" hidden="false" customHeight="true" outlineLevel="0" collapsed="false">
      <c r="A36" s="1828" t="s">
        <v>567</v>
      </c>
      <c r="B36" s="1829" t="n">
        <f aca="false">B34</f>
        <v>16320134</v>
      </c>
      <c r="C36" s="1829" t="n">
        <f aca="false">C34</f>
        <v>16326622</v>
      </c>
      <c r="D36" s="1829" t="n">
        <f aca="false">D34</f>
        <v>4256216</v>
      </c>
      <c r="E36" s="1829" t="n">
        <f aca="false">E34</f>
        <v>45329</v>
      </c>
      <c r="F36" s="1829" t="n">
        <f aca="false">SUM(B36:E36)</f>
        <v>36948301</v>
      </c>
      <c r="G36" s="1829" t="n">
        <f aca="false">F36</f>
        <v>36948301</v>
      </c>
      <c r="H36" s="1598" t="str">
        <f aca="false">IF(F36=G36,"○","×")</f>
        <v>○</v>
      </c>
      <c r="I36" s="1828" t="s">
        <v>567</v>
      </c>
      <c r="J36" s="1829" t="n">
        <f aca="false">J34</f>
        <v>351865</v>
      </c>
      <c r="K36" s="1829" t="n">
        <f aca="false">J36</f>
        <v>351865</v>
      </c>
      <c r="L36" s="1598"/>
      <c r="M36" s="1612"/>
      <c r="N36" s="1847" t="s">
        <v>535</v>
      </c>
      <c r="O36" s="1612"/>
      <c r="P36" s="1848"/>
      <c r="Q36" s="1612"/>
    </row>
    <row r="37" customFormat="false" ht="21.75" hidden="false" customHeight="true" outlineLevel="0" collapsed="false">
      <c r="A37" s="1828" t="s">
        <v>568</v>
      </c>
      <c r="B37" s="1829" t="n">
        <f aca="false">B36</f>
        <v>16320134</v>
      </c>
      <c r="C37" s="1829" t="n">
        <f aca="false">C36</f>
        <v>16326622</v>
      </c>
      <c r="D37" s="1829" t="n">
        <f aca="false">D36</f>
        <v>4256216</v>
      </c>
      <c r="E37" s="1829" t="n">
        <f aca="false">E36</f>
        <v>45329</v>
      </c>
      <c r="F37" s="1829" t="n">
        <f aca="false">SUM(B37:E37)</f>
        <v>36948301</v>
      </c>
      <c r="G37" s="1829" t="n">
        <f aca="false">F37</f>
        <v>36948301</v>
      </c>
      <c r="H37" s="1598" t="str">
        <f aca="false">IF(F37=G37,"○","×")</f>
        <v>○</v>
      </c>
      <c r="I37" s="1828" t="s">
        <v>568</v>
      </c>
      <c r="J37" s="1829" t="n">
        <f aca="false">J36</f>
        <v>351865</v>
      </c>
      <c r="K37" s="1829" t="n">
        <f aca="false">J37</f>
        <v>351865</v>
      </c>
      <c r="L37" s="1849" t="s">
        <v>991</v>
      </c>
      <c r="M37" s="1850"/>
      <c r="N37" s="1851" t="n">
        <f aca="false">F22-D43-J43-E85-L85</f>
        <v>10912128179</v>
      </c>
      <c r="O37" s="1612"/>
      <c r="P37" s="1833"/>
      <c r="Q37" s="1612"/>
    </row>
    <row r="38" customFormat="false" ht="21.75" hidden="false" customHeight="true" outlineLevel="0" collapsed="false">
      <c r="A38" s="1828" t="s">
        <v>569</v>
      </c>
      <c r="B38" s="1829" t="n">
        <f aca="false">B37</f>
        <v>16320134</v>
      </c>
      <c r="C38" s="1829" t="n">
        <f aca="false">C37</f>
        <v>16326622</v>
      </c>
      <c r="D38" s="1829" t="n">
        <f aca="false">D37</f>
        <v>4256216</v>
      </c>
      <c r="E38" s="1829" t="n">
        <f aca="false">E37</f>
        <v>45329</v>
      </c>
      <c r="F38" s="1829" t="n">
        <f aca="false">SUM(B38:E38)</f>
        <v>36948301</v>
      </c>
      <c r="G38" s="1829" t="n">
        <f aca="false">F38</f>
        <v>36948301</v>
      </c>
      <c r="H38" s="1598" t="str">
        <f aca="false">IF(F38=G38,"○","×")</f>
        <v>○</v>
      </c>
      <c r="I38" s="1828" t="s">
        <v>569</v>
      </c>
      <c r="J38" s="1829" t="n">
        <f aca="false">J37</f>
        <v>351865</v>
      </c>
      <c r="K38" s="1829" t="n">
        <f aca="false">J38</f>
        <v>351865</v>
      </c>
      <c r="L38" s="1852" t="s">
        <v>992</v>
      </c>
      <c r="M38" s="1850"/>
      <c r="N38" s="1851"/>
      <c r="O38" s="1612"/>
      <c r="P38" s="1833"/>
      <c r="Q38" s="1612"/>
    </row>
    <row r="39" customFormat="false" ht="21.75" hidden="false" customHeight="true" outlineLevel="0" collapsed="false">
      <c r="A39" s="1828" t="s">
        <v>888</v>
      </c>
      <c r="B39" s="1829" t="n">
        <f aca="false">ROUND(B29/$N$32*$N$34,0)</f>
        <v>5891013</v>
      </c>
      <c r="C39" s="1829" t="n">
        <f aca="false">ROUND(C29/$N$32*$N$34,0)</f>
        <v>5891969</v>
      </c>
      <c r="D39" s="1829" t="n">
        <f aca="false">ROUND(D29/$N$32*$N$34,0)</f>
        <v>1652133</v>
      </c>
      <c r="E39" s="1829" t="n">
        <v>0</v>
      </c>
      <c r="F39" s="1829" t="n">
        <f aca="false">SUM(B39:E39)</f>
        <v>13435115</v>
      </c>
      <c r="G39" s="1829" t="n">
        <f aca="false">F39</f>
        <v>13435115</v>
      </c>
      <c r="H39" s="1598" t="str">
        <f aca="false">IF(F39=G39,"○","×")</f>
        <v>○</v>
      </c>
      <c r="I39" s="1828" t="s">
        <v>888</v>
      </c>
      <c r="J39" s="1829" t="n">
        <f aca="false">ROUND(J29/$N$32*$N$34,0)</f>
        <v>126982</v>
      </c>
      <c r="K39" s="1829" t="n">
        <f aca="false">J39</f>
        <v>126982</v>
      </c>
      <c r="L39" s="1849" t="s">
        <v>993</v>
      </c>
      <c r="M39" s="1850"/>
      <c r="N39" s="1851" t="n">
        <f aca="false">E64+L64</f>
        <v>143406417</v>
      </c>
      <c r="O39" s="1612"/>
      <c r="P39" s="1833"/>
      <c r="Q39" s="1149"/>
    </row>
    <row r="40" customFormat="false" ht="21.75" hidden="false" customHeight="true" outlineLevel="0" collapsed="false">
      <c r="A40" s="1828" t="s">
        <v>570</v>
      </c>
      <c r="B40" s="1829" t="n">
        <f aca="false">B38</f>
        <v>16320134</v>
      </c>
      <c r="C40" s="1829" t="n">
        <f aca="false">C38</f>
        <v>16326622</v>
      </c>
      <c r="D40" s="1829" t="n">
        <f aca="false">D38</f>
        <v>4256216</v>
      </c>
      <c r="E40" s="1829" t="n">
        <f aca="false">E38</f>
        <v>45329</v>
      </c>
      <c r="F40" s="1829" t="n">
        <f aca="false">SUM(B40:E40)</f>
        <v>36948301</v>
      </c>
      <c r="G40" s="1829" t="n">
        <f aca="false">F40</f>
        <v>36948301</v>
      </c>
      <c r="H40" s="1598" t="str">
        <f aca="false">IF(F40=G40,"○","×")</f>
        <v>○</v>
      </c>
      <c r="I40" s="1828" t="s">
        <v>570</v>
      </c>
      <c r="J40" s="1829" t="n">
        <f aca="false">J38</f>
        <v>351865</v>
      </c>
      <c r="K40" s="1829" t="n">
        <f aca="false">J40</f>
        <v>351865</v>
      </c>
      <c r="L40" s="1852" t="s">
        <v>994</v>
      </c>
      <c r="M40" s="1850"/>
      <c r="N40" s="1851"/>
      <c r="O40" s="1612"/>
      <c r="P40" s="1833"/>
      <c r="Q40" s="1149"/>
    </row>
    <row r="41" customFormat="false" ht="21.75" hidden="false" customHeight="true" outlineLevel="0" collapsed="false">
      <c r="A41" s="1830" t="s">
        <v>639</v>
      </c>
      <c r="B41" s="1829" t="n">
        <f aca="false">ROUND(B29*$N$35%,0)</f>
        <v>0</v>
      </c>
      <c r="C41" s="1829" t="n">
        <f aca="false">ROUND(C29*$N$35%,0)</f>
        <v>0</v>
      </c>
      <c r="D41" s="1829" t="n">
        <f aca="false">ROUND(D29*$N$35%,0)</f>
        <v>0</v>
      </c>
      <c r="E41" s="1829" t="n">
        <v>0</v>
      </c>
      <c r="F41" s="1829" t="n">
        <f aca="false">SUM(B41:E41)</f>
        <v>0</v>
      </c>
      <c r="G41" s="1829" t="n">
        <f aca="false">F41</f>
        <v>0</v>
      </c>
      <c r="H41" s="1598" t="str">
        <f aca="false">IF(F41=G41,"○","×")</f>
        <v>○</v>
      </c>
      <c r="I41" s="1830" t="s">
        <v>639</v>
      </c>
      <c r="J41" s="1829" t="n">
        <f aca="false">ROUND(J29*$N$35%,0)</f>
        <v>0</v>
      </c>
      <c r="K41" s="1829" t="n">
        <f aca="false">J41</f>
        <v>0</v>
      </c>
      <c r="L41" s="1849" t="s">
        <v>995</v>
      </c>
      <c r="M41" s="1850"/>
      <c r="N41" s="1853" t="n">
        <f aca="false">F43-D43</f>
        <v>511850704</v>
      </c>
      <c r="O41" s="1149"/>
      <c r="P41" s="1854"/>
      <c r="Q41" s="1149"/>
    </row>
    <row r="42" customFormat="false" ht="21.75" hidden="false" customHeight="true" outlineLevel="0" collapsed="false">
      <c r="A42" s="1830" t="s">
        <v>640</v>
      </c>
      <c r="B42" s="1829" t="n">
        <f aca="false">ROUND(B35*$N$35%,0)</f>
        <v>0</v>
      </c>
      <c r="C42" s="1829" t="n">
        <f aca="false">ROUND(C35*$N$35%,0)</f>
        <v>0</v>
      </c>
      <c r="D42" s="1829" t="n">
        <f aca="false">ROUND(D35*$N$35%,0)</f>
        <v>0</v>
      </c>
      <c r="E42" s="1829" t="n">
        <v>0</v>
      </c>
      <c r="F42" s="1829" t="n">
        <f aca="false">SUM(B42:E42)</f>
        <v>0</v>
      </c>
      <c r="G42" s="1829" t="n">
        <f aca="false">F42</f>
        <v>0</v>
      </c>
      <c r="H42" s="1598" t="str">
        <f aca="false">IF(F42=G42,"○","×")</f>
        <v>○</v>
      </c>
      <c r="I42" s="1830" t="s">
        <v>640</v>
      </c>
      <c r="J42" s="1829" t="n">
        <f aca="false">ROUND(J35*$N$35%,0)</f>
        <v>0</v>
      </c>
      <c r="K42" s="1829" t="n">
        <f aca="false">J42</f>
        <v>0</v>
      </c>
      <c r="L42" s="1849" t="s">
        <v>996</v>
      </c>
      <c r="M42" s="1850"/>
      <c r="N42" s="1853" t="n">
        <f aca="false">J43</f>
        <v>5459396</v>
      </c>
      <c r="O42" s="1149"/>
      <c r="P42" s="1855"/>
      <c r="Q42" s="1615"/>
    </row>
    <row r="43" customFormat="false" ht="21.75" hidden="false" customHeight="true" outlineLevel="0" collapsed="false">
      <c r="A43" s="1592" t="s">
        <v>571</v>
      </c>
      <c r="B43" s="1596" t="n">
        <f aca="false">SUM(B26:B42)</f>
        <v>253233068</v>
      </c>
      <c r="C43" s="1596" t="n">
        <f aca="false">SUM(C26:C42)</f>
        <v>253317168</v>
      </c>
      <c r="D43" s="1596" t="n">
        <f aca="false">SUM(D26:D42)</f>
        <v>67122903</v>
      </c>
      <c r="E43" s="1596" t="n">
        <f aca="false">SUM(E26:E42)</f>
        <v>5300468</v>
      </c>
      <c r="F43" s="1596" t="n">
        <f aca="false">SUM(F26:F42)</f>
        <v>578973607</v>
      </c>
      <c r="G43" s="1596" t="n">
        <f aca="false">SUM(G26:G42)</f>
        <v>578973607</v>
      </c>
      <c r="H43" s="1598" t="str">
        <f aca="false">IF(F43=G43,"○","×")</f>
        <v>○</v>
      </c>
      <c r="I43" s="1592" t="s">
        <v>571</v>
      </c>
      <c r="J43" s="1596" t="n">
        <f aca="false">SUM(J26:J42)</f>
        <v>5459396</v>
      </c>
      <c r="K43" s="1596" t="n">
        <f aca="false">SUM(K26:K42)</f>
        <v>5459396</v>
      </c>
      <c r="L43" s="1849" t="s">
        <v>997</v>
      </c>
      <c r="M43" s="1856"/>
      <c r="N43" s="1853" t="n">
        <f aca="false">D43</f>
        <v>67122903</v>
      </c>
      <c r="O43" s="1149"/>
      <c r="P43" s="1855"/>
      <c r="Q43" s="1615"/>
    </row>
    <row r="44" customFormat="false" ht="21.75" hidden="false" customHeight="true" outlineLevel="0" collapsed="false">
      <c r="A44" s="1612"/>
      <c r="B44" s="1149"/>
      <c r="C44" s="1149"/>
      <c r="D44" s="1149"/>
      <c r="E44" s="1616"/>
      <c r="F44" s="1617"/>
      <c r="G44" s="1602"/>
      <c r="H44" s="1603"/>
      <c r="I44" s="1603"/>
      <c r="J44" s="1603"/>
      <c r="K44" s="1603"/>
      <c r="L44" s="1857"/>
      <c r="M44" s="1858"/>
      <c r="N44" s="1153"/>
      <c r="O44" s="1149"/>
      <c r="P44" s="1859"/>
      <c r="Q44" s="1619"/>
    </row>
    <row r="45" customFormat="false" ht="21.75" hidden="false" customHeight="true" outlineLevel="0" collapsed="false">
      <c r="A45" s="1589" t="s">
        <v>898</v>
      </c>
      <c r="B45" s="1606"/>
      <c r="C45" s="1607"/>
      <c r="D45" s="1607"/>
      <c r="E45" s="1607"/>
      <c r="F45" s="1591" t="s">
        <v>535</v>
      </c>
      <c r="G45" s="1589"/>
      <c r="H45" s="1589" t="s">
        <v>899</v>
      </c>
      <c r="I45" s="1606"/>
      <c r="J45" s="1607"/>
      <c r="K45" s="1607"/>
      <c r="L45" s="1607"/>
      <c r="M45" s="1591" t="s">
        <v>535</v>
      </c>
      <c r="N45" s="1589"/>
      <c r="O45" s="1589"/>
      <c r="P45" s="1833"/>
      <c r="Q45" s="1589"/>
    </row>
    <row r="46" customFormat="false" ht="30" hidden="false" customHeight="true" outlineLevel="0" collapsed="false">
      <c r="A46" s="1592" t="s">
        <v>394</v>
      </c>
      <c r="B46" s="1592" t="s">
        <v>964</v>
      </c>
      <c r="C46" s="1592" t="s">
        <v>491</v>
      </c>
      <c r="D46" s="1593" t="s">
        <v>878</v>
      </c>
      <c r="E46" s="1592" t="s">
        <v>900</v>
      </c>
      <c r="F46" s="1593" t="s">
        <v>901</v>
      </c>
      <c r="G46" s="1594" t="s">
        <v>902</v>
      </c>
      <c r="H46" s="1592" t="s">
        <v>394</v>
      </c>
      <c r="I46" s="1592" t="s">
        <v>964</v>
      </c>
      <c r="J46" s="1592" t="s">
        <v>491</v>
      </c>
      <c r="K46" s="1593" t="s">
        <v>878</v>
      </c>
      <c r="L46" s="1592" t="s">
        <v>903</v>
      </c>
      <c r="M46" s="1593" t="s">
        <v>904</v>
      </c>
      <c r="N46" s="1594" t="s">
        <v>905</v>
      </c>
      <c r="O46" s="1609"/>
      <c r="P46" s="1836"/>
      <c r="Q46" s="1609"/>
    </row>
    <row r="47" customFormat="false" ht="21.75" hidden="false" customHeight="true" outlineLevel="0" collapsed="false">
      <c r="A47" s="1595" t="s">
        <v>559</v>
      </c>
      <c r="B47" s="1596" t="n">
        <f aca="true">OFFSET('☆振替R7'!$G$6,$P$4*$P5,0,1,1)</f>
        <v>3686635</v>
      </c>
      <c r="C47" s="1596" t="n">
        <f aca="true">OFFSET('☆振替R7'!$G$21,$P$4*$P5,0,1,1)</f>
        <v>3682554</v>
      </c>
      <c r="D47" s="1596" t="n">
        <f aca="true">OFFSET('☆振替R7'!$G$8,$P$4*$P5,0,1,1)</f>
        <v>1038206</v>
      </c>
      <c r="E47" s="1596" t="n">
        <f aca="false">SUM(B47:D47)</f>
        <v>8407395</v>
      </c>
      <c r="F47" s="1596" t="n">
        <f aca="true">OFFSET('☆振替R7'!$H$24,$P$4*$P5,0,1,1)</f>
        <v>8407395</v>
      </c>
      <c r="G47" s="1598" t="str">
        <f aca="false">IF(E47=F47,"○","×")</f>
        <v>○</v>
      </c>
      <c r="H47" s="1595" t="s">
        <v>559</v>
      </c>
      <c r="I47" s="1596" t="n">
        <f aca="true">OFFSET('☆振替R7'!$H$6,$P$4*$P5,0,1,1)</f>
        <v>670297</v>
      </c>
      <c r="J47" s="1596" t="n">
        <f aca="true">OFFSET('☆振替R7'!$H$21,$P$4*$P5,0,1,1)</f>
        <v>669556</v>
      </c>
      <c r="K47" s="1596" t="n">
        <f aca="true">OFFSET('☆振替R7'!$H$8,$P$4*$P5,0,1,1)</f>
        <v>188764</v>
      </c>
      <c r="L47" s="1596" t="n">
        <f aca="false">SUM(I47:K47)</f>
        <v>1528617</v>
      </c>
      <c r="M47" s="1596" t="n">
        <f aca="true">OFFSET('☆振替R7'!$H$26,$P$4*$P5,0,1,1)</f>
        <v>1528617</v>
      </c>
      <c r="N47" s="1598" t="str">
        <f aca="false">IF(L47=M47,"○","×")</f>
        <v>○</v>
      </c>
      <c r="O47" s="1609"/>
      <c r="P47" s="1837"/>
      <c r="Q47" s="1609"/>
    </row>
    <row r="48" customFormat="false" ht="21.75" hidden="false" customHeight="true" outlineLevel="0" collapsed="false">
      <c r="A48" s="1595" t="s">
        <v>560</v>
      </c>
      <c r="B48" s="1596" t="n">
        <f aca="true">OFFSET('☆振替R7'!$G$6,$P$4*$P6,0,1,1)</f>
        <v>3714114</v>
      </c>
      <c r="C48" s="1596" t="n">
        <f aca="true">OFFSET('☆振替R7'!$G$21,$P$4*$P6,0,1,1)</f>
        <v>3716625</v>
      </c>
      <c r="D48" s="1596" t="n">
        <f aca="true">OFFSET('☆振替R7'!$G$8,$P$4*$P6,0,1,1)</f>
        <v>23255</v>
      </c>
      <c r="E48" s="1596" t="n">
        <f aca="false">SUM(B48:D48)</f>
        <v>7453994</v>
      </c>
      <c r="F48" s="1596" t="n">
        <f aca="true">OFFSET('☆振替R7'!$H$24,$P$4*$P6,0,1,1)</f>
        <v>7453994</v>
      </c>
      <c r="G48" s="1598" t="str">
        <f aca="false">IF(E48=F48,"○","×")</f>
        <v>○</v>
      </c>
      <c r="H48" s="1595" t="s">
        <v>560</v>
      </c>
      <c r="I48" s="1596" t="n">
        <f aca="true">OFFSET('☆振替R7'!$H$6,$P$4*$P6,0,1,1)</f>
        <v>675293</v>
      </c>
      <c r="J48" s="1596" t="n">
        <f aca="true">OFFSET('☆振替R7'!$H$21,$P$4*$P6,0,1,1)</f>
        <v>675750</v>
      </c>
      <c r="K48" s="1596" t="n">
        <f aca="true">OFFSET('☆振替R7'!$H$8,$P$4*$P6,0,1,1)</f>
        <v>4228</v>
      </c>
      <c r="L48" s="1596" t="n">
        <f aca="false">SUM(I48:K48)</f>
        <v>1355271</v>
      </c>
      <c r="M48" s="1596" t="n">
        <f aca="true">OFFSET('☆振替R7'!$H$26,$P$4*$P6,0,1,1)</f>
        <v>1355271</v>
      </c>
      <c r="N48" s="1598" t="str">
        <f aca="false">IF(L48=M48,"○","×")</f>
        <v>○</v>
      </c>
      <c r="O48" s="1609"/>
      <c r="P48" s="1837"/>
      <c r="Q48" s="1609"/>
    </row>
    <row r="49" customFormat="false" ht="21.75" hidden="false" customHeight="true" outlineLevel="0" collapsed="false">
      <c r="A49" s="1595" t="s">
        <v>561</v>
      </c>
      <c r="B49" s="1596" t="n">
        <f aca="true">OFFSET('☆振替R7'!$G$6,$P$4*$P7,0,1,1)</f>
        <v>3708589</v>
      </c>
      <c r="C49" s="1596" t="n">
        <f aca="true">OFFSET('☆振替R7'!$G$21,$P$4*$P7,0,1,1)</f>
        <v>3709320</v>
      </c>
      <c r="D49" s="1596" t="n">
        <f aca="true">OFFSET('☆振替R7'!$G$8,$P$4*$P7,0,1,1)</f>
        <v>30544</v>
      </c>
      <c r="E49" s="1596" t="n">
        <f aca="false">SUM(B49:D49)</f>
        <v>7448453</v>
      </c>
      <c r="F49" s="1596" t="n">
        <f aca="true">OFFSET('☆振替R7'!$H$24,$P$4*$P7,0,1,1)</f>
        <v>7448453</v>
      </c>
      <c r="G49" s="1598" t="str">
        <f aca="false">IF(E49=F49,"○","×")</f>
        <v>○</v>
      </c>
      <c r="H49" s="1595" t="s">
        <v>561</v>
      </c>
      <c r="I49" s="1596" t="n">
        <f aca="true">OFFSET('☆振替R7'!$H$6,$P$4*$P7,0,1,1)</f>
        <v>674289</v>
      </c>
      <c r="J49" s="1596" t="n">
        <f aca="true">OFFSET('☆振替R7'!$H$21,$P$4*$P7,0,1,1)</f>
        <v>674422</v>
      </c>
      <c r="K49" s="1596" t="n">
        <f aca="true">OFFSET('☆振替R7'!$H$8,$P$4*$P7,0,1,1)</f>
        <v>5553</v>
      </c>
      <c r="L49" s="1596" t="n">
        <f aca="false">SUM(I49:K49)</f>
        <v>1354264</v>
      </c>
      <c r="M49" s="1596" t="n">
        <f aca="true">OFFSET('☆振替R7'!$H$26,$P$4*$P7,0,1,1)</f>
        <v>1354264</v>
      </c>
      <c r="N49" s="1598" t="str">
        <f aca="false">IF(L49=M49,"○","×")</f>
        <v>○</v>
      </c>
      <c r="O49" s="1609"/>
      <c r="P49" s="1837"/>
      <c r="Q49" s="1609"/>
    </row>
    <row r="50" customFormat="false" ht="21.75" hidden="false" customHeight="true" outlineLevel="0" collapsed="false">
      <c r="A50" s="1595" t="s">
        <v>886</v>
      </c>
      <c r="B50" s="1596" t="n">
        <f aca="true">OFFSET('☆振替R7'!$G$6,$P$4*$P8,0,1,1)</f>
        <v>6517356</v>
      </c>
      <c r="C50" s="1596" t="n">
        <f aca="true">OFFSET('☆振替R7'!$G$21,$P$4*$P8,0,1,1)</f>
        <v>6518413</v>
      </c>
      <c r="D50" s="1599" t="n">
        <f aca="true">OFFSET('☆振替R7'!$G$8,$P$4*$P8,0,1,1)</f>
        <v>0</v>
      </c>
      <c r="E50" s="1596" t="n">
        <f aca="false">SUM(B50:D50)</f>
        <v>13035769</v>
      </c>
      <c r="F50" s="1596" t="n">
        <f aca="true">OFFSET('☆振替R7'!$H$24,$P$4*$P8,0,1,1)</f>
        <v>13035769</v>
      </c>
      <c r="G50" s="1598" t="str">
        <f aca="false">IF(E50=F50,"○","×")</f>
        <v>○</v>
      </c>
      <c r="H50" s="1595" t="s">
        <v>886</v>
      </c>
      <c r="I50" s="1596" t="n">
        <f aca="true">OFFSET('☆振替R7'!$H$6,$P$4*$P8,0,1,1)</f>
        <v>1184973</v>
      </c>
      <c r="J50" s="1596" t="n">
        <f aca="true">OFFSET('☆振替R7'!$H$21,$P$4*$P8,0,1,1)</f>
        <v>1185167</v>
      </c>
      <c r="K50" s="1599" t="n">
        <f aca="true">OFFSET('☆振替R7'!$H$8,$P$4*$P8,0,1,1)</f>
        <v>0</v>
      </c>
      <c r="L50" s="1596" t="n">
        <f aca="false">SUM(I50:K50)</f>
        <v>2370140</v>
      </c>
      <c r="M50" s="1596" t="n">
        <f aca="true">OFFSET('☆振替R7'!$H$26,$P$4*$P8,0,1,1)</f>
        <v>2370140</v>
      </c>
      <c r="N50" s="1598" t="str">
        <f aca="false">IF(L50=M50,"○","×")</f>
        <v>○</v>
      </c>
      <c r="O50" s="1609"/>
      <c r="P50" s="1836"/>
      <c r="Q50" s="1609"/>
    </row>
    <row r="51" customFormat="false" ht="21.75" hidden="false" customHeight="true" outlineLevel="0" collapsed="false">
      <c r="A51" s="1595" t="s">
        <v>562</v>
      </c>
      <c r="B51" s="1596" t="n">
        <f aca="true">OFFSET('☆振替R7'!$G$6,$P$4*$P9,0,1,1)</f>
        <v>3770006</v>
      </c>
      <c r="C51" s="1596" t="n">
        <f aca="true">OFFSET('☆振替R7'!$G$21,$P$4*$P9,0,1,1)</f>
        <v>3772750</v>
      </c>
      <c r="D51" s="1596" t="n">
        <f aca="true">OFFSET('☆振替R7'!$G$8,$P$4*$P9,0,1,1)</f>
        <v>13775</v>
      </c>
      <c r="E51" s="1596" t="n">
        <f aca="false">SUM(B51:D51)</f>
        <v>7556531</v>
      </c>
      <c r="F51" s="1596" t="n">
        <f aca="true">OFFSET('☆振替R7'!$H$24,$P$4*$P9,0,1,1)</f>
        <v>7556531</v>
      </c>
      <c r="G51" s="1598" t="str">
        <f aca="false">IF(E51=F51,"○","×")</f>
        <v>○</v>
      </c>
      <c r="H51" s="1595" t="s">
        <v>562</v>
      </c>
      <c r="I51" s="1596" t="n">
        <f aca="true">OFFSET('☆振替R7'!$H$6,$P$4*$P9,0,1,1)</f>
        <v>685455</v>
      </c>
      <c r="J51" s="1596" t="n">
        <f aca="true">OFFSET('☆振替R7'!$H$21,$P$4*$P9,0,1,1)</f>
        <v>685955</v>
      </c>
      <c r="K51" s="1596" t="n">
        <f aca="true">OFFSET('☆振替R7'!$H$8,$P$4*$P9,0,1,1)</f>
        <v>2504</v>
      </c>
      <c r="L51" s="1596" t="n">
        <f aca="false">SUM(I51:K51)</f>
        <v>1373914</v>
      </c>
      <c r="M51" s="1596" t="n">
        <f aca="true">OFFSET('☆振替R7'!$H$26,$P$4*$P9,0,1,1)</f>
        <v>1373914</v>
      </c>
      <c r="N51" s="1598" t="str">
        <f aca="false">IF(L51=M51,"○","×")</f>
        <v>○</v>
      </c>
      <c r="O51" s="1620"/>
      <c r="P51" s="1611"/>
      <c r="Q51" s="1611"/>
    </row>
    <row r="52" customFormat="false" ht="21.75" hidden="false" customHeight="true" outlineLevel="0" collapsed="false">
      <c r="A52" s="1595" t="s">
        <v>563</v>
      </c>
      <c r="B52" s="1596" t="n">
        <f aca="true">OFFSET('☆振替R7'!$G$6,$P$4*$P10,0,1,1)</f>
        <v>3734262</v>
      </c>
      <c r="C52" s="1596" t="n">
        <f aca="true">OFFSET('☆振替R7'!$G$21,$P$4*$P10,0,1,1)</f>
        <v>3736538</v>
      </c>
      <c r="D52" s="1596" t="n">
        <f aca="true">OFFSET('☆振替R7'!$G$8,$P$4*$P10,0,1,1)</f>
        <v>20350</v>
      </c>
      <c r="E52" s="1596" t="n">
        <f aca="false">SUM(B52:D52)</f>
        <v>7491150</v>
      </c>
      <c r="F52" s="1596" t="n">
        <f aca="true">OFFSET('☆振替R7'!$H$24,$P$4*$P10,0,1,1)</f>
        <v>7491150</v>
      </c>
      <c r="G52" s="1598" t="str">
        <f aca="false">IF(E52=F52,"○","×")</f>
        <v>○</v>
      </c>
      <c r="H52" s="1595" t="s">
        <v>563</v>
      </c>
      <c r="I52" s="1596" t="n">
        <f aca="true">OFFSET('☆振替R7'!$H$6,$P$4*$P10,0,1,1)</f>
        <v>678956</v>
      </c>
      <c r="J52" s="1596" t="n">
        <f aca="true">OFFSET('☆振替R7'!$H$21,$P$4*$P10,0,1,1)</f>
        <v>679371</v>
      </c>
      <c r="K52" s="1596" t="n">
        <f aca="true">OFFSET('☆振替R7'!$H$8,$P$4*$P10,0,1,1)</f>
        <v>3700</v>
      </c>
      <c r="L52" s="1596" t="n">
        <f aca="false">SUM(I52:K52)</f>
        <v>1362027</v>
      </c>
      <c r="M52" s="1596" t="n">
        <f aca="true">OFFSET('☆振替R7'!$H$26,$P$4*$P10,0,1,1)</f>
        <v>1362027</v>
      </c>
      <c r="N52" s="1598" t="str">
        <f aca="false">IF(L52=M52,"○","×")</f>
        <v>○</v>
      </c>
      <c r="O52" s="1609"/>
      <c r="P52" s="1836"/>
      <c r="Q52" s="1609"/>
    </row>
    <row r="53" customFormat="false" ht="21.75" hidden="false" customHeight="true" outlineLevel="0" collapsed="false">
      <c r="A53" s="1595" t="s">
        <v>564</v>
      </c>
      <c r="B53" s="1596" t="n">
        <f aca="true">OFFSET('☆振替R7'!$G$6,$P$4*$P11,0,1,1)</f>
        <v>3770405</v>
      </c>
      <c r="C53" s="1596" t="n">
        <f aca="true">OFFSET('☆振替R7'!$G$21,$P$4*$P11,0,1,1)</f>
        <v>3771836</v>
      </c>
      <c r="D53" s="1596" t="n">
        <f aca="true">OFFSET('☆振替R7'!$G$8,$P$4*$P11,0,1,1)</f>
        <v>52341</v>
      </c>
      <c r="E53" s="1596" t="n">
        <f aca="false">SUM(B53:D53)</f>
        <v>7594582</v>
      </c>
      <c r="F53" s="1596" t="n">
        <f aca="true">OFFSET('☆振替R7'!$H$24,$P$4*$P11,0,1,1)</f>
        <v>7594582</v>
      </c>
      <c r="G53" s="1598" t="str">
        <f aca="false">IF(E53=F53,"○","×")</f>
        <v>○</v>
      </c>
      <c r="H53" s="1595" t="s">
        <v>564</v>
      </c>
      <c r="I53" s="1596" t="n">
        <f aca="true">OFFSET('☆振替R7'!$H$6,$P$4*$P11,0,1,1)</f>
        <v>685528</v>
      </c>
      <c r="J53" s="1596" t="n">
        <f aca="true">OFFSET('☆振替R7'!$H$21,$P$4*$P11,0,1,1)</f>
        <v>685789</v>
      </c>
      <c r="K53" s="1596" t="n">
        <f aca="true">OFFSET('☆振替R7'!$H$8,$P$4*$P11,0,1,1)</f>
        <v>9516</v>
      </c>
      <c r="L53" s="1596" t="n">
        <f aca="false">SUM(I53:K53)</f>
        <v>1380833</v>
      </c>
      <c r="M53" s="1596" t="n">
        <f aca="true">OFFSET('☆振替R7'!$H$26,$P$4*$P11,0,1,1)</f>
        <v>1380833</v>
      </c>
      <c r="N53" s="1598" t="str">
        <f aca="false">IF(L53=M53,"○","×")</f>
        <v>○</v>
      </c>
      <c r="O53" s="1609"/>
      <c r="P53" s="1836"/>
      <c r="Q53" s="1609"/>
    </row>
    <row r="54" customFormat="false" ht="21.75" hidden="false" customHeight="true" outlineLevel="0" collapsed="false">
      <c r="A54" s="1595" t="s">
        <v>565</v>
      </c>
      <c r="B54" s="1596" t="n">
        <f aca="true">OFFSET('☆振替R7'!$G$6,$P$4*$P12,0,1,1)</f>
        <v>3873414</v>
      </c>
      <c r="C54" s="1596" t="n">
        <f aca="true">OFFSET('☆振替R7'!$G$21,$P$4*$P12,0,1,1)</f>
        <v>3877700</v>
      </c>
      <c r="D54" s="1596" t="n">
        <f aca="true">OFFSET('☆振替R7'!$G$8,$P$4*$P12,0,1,1)</f>
        <v>24373</v>
      </c>
      <c r="E54" s="1596" t="n">
        <f aca="false">SUM(B54:D54)</f>
        <v>7775487</v>
      </c>
      <c r="F54" s="1596" t="n">
        <f aca="true">OFFSET('☆振替R7'!$H$24,$P$4*$P12,0,1,1)</f>
        <v>7775487</v>
      </c>
      <c r="G54" s="1598" t="str">
        <f aca="false">IF(E54=F54,"○","×")</f>
        <v>○</v>
      </c>
      <c r="H54" s="1595" t="s">
        <v>565</v>
      </c>
      <c r="I54" s="1596" t="n">
        <f aca="true">OFFSET('☆振替R7'!$H$6,$P$4*$P12,0,1,1)</f>
        <v>704257</v>
      </c>
      <c r="J54" s="1596" t="n">
        <f aca="true">OFFSET('☆振替R7'!$H$21,$P$4*$P12,0,1,1)</f>
        <v>705037</v>
      </c>
      <c r="K54" s="1596" t="n">
        <f aca="true">OFFSET('☆振替R7'!$H$8,$P$4*$P12,0,1,1)</f>
        <v>4431</v>
      </c>
      <c r="L54" s="1596" t="n">
        <f aca="false">SUM(I54:K54)</f>
        <v>1413725</v>
      </c>
      <c r="M54" s="1596" t="n">
        <f aca="true">OFFSET('☆振替R7'!$H$26,$P$4*$P12,0,1,1)</f>
        <v>1413725</v>
      </c>
      <c r="N54" s="1598" t="str">
        <f aca="false">IF(L54=M54,"○","×")</f>
        <v>○</v>
      </c>
      <c r="O54" s="1609"/>
      <c r="P54" s="1836"/>
      <c r="Q54" s="1609"/>
    </row>
    <row r="55" customFormat="false" ht="21.75" hidden="false" customHeight="true" outlineLevel="0" collapsed="false">
      <c r="A55" s="1595" t="s">
        <v>566</v>
      </c>
      <c r="B55" s="1596" t="n">
        <f aca="true">OFFSET('☆振替R7'!$G$6,$P$4*$P13,0,1,1)</f>
        <v>3868997</v>
      </c>
      <c r="C55" s="1596" t="n">
        <f aca="true">OFFSET('☆振替R7'!$G$21,$P$4*$P13,0,1,1)</f>
        <v>3870534</v>
      </c>
      <c r="D55" s="1596" t="n">
        <f aca="true">OFFSET('☆振替R7'!$G$8,$P$4*$P13,0,1,1)</f>
        <v>10746</v>
      </c>
      <c r="E55" s="1596" t="n">
        <f aca="false">SUM(B55:D55)</f>
        <v>7750277</v>
      </c>
      <c r="F55" s="1596" t="n">
        <f aca="true">OFFSET('☆振替R7'!$H$24,$P$4*$P13,0,1,1)</f>
        <v>7750277</v>
      </c>
      <c r="G55" s="1598" t="str">
        <f aca="false">IF(E55=F55,"○","×")</f>
        <v>○</v>
      </c>
      <c r="H55" s="1595" t="s">
        <v>566</v>
      </c>
      <c r="I55" s="1596" t="n">
        <f aca="true">OFFSET('☆振替R7'!$H$6,$P$4*$P13,0,1,1)</f>
        <v>703454</v>
      </c>
      <c r="J55" s="1596" t="n">
        <f aca="true">OFFSET('☆振替R7'!$H$21,$P$4*$P13,0,1,1)</f>
        <v>703734</v>
      </c>
      <c r="K55" s="1596" t="n">
        <f aca="true">OFFSET('☆振替R7'!$H$8,$P$4*$P13,0,1,1)</f>
        <v>1953</v>
      </c>
      <c r="L55" s="1596" t="n">
        <f aca="false">SUM(I55:K55)</f>
        <v>1409141</v>
      </c>
      <c r="M55" s="1596" t="n">
        <f aca="true">OFFSET('☆振替R7'!$H$26,$P$4*$P13,0,1,1)</f>
        <v>1409141</v>
      </c>
      <c r="N55" s="1598" t="str">
        <f aca="false">IF(L55=M55,"○","×")</f>
        <v>○</v>
      </c>
      <c r="O55" s="1609"/>
      <c r="P55" s="1836"/>
      <c r="Q55" s="1609"/>
    </row>
    <row r="56" customFormat="false" ht="21.75" hidden="false" customHeight="true" outlineLevel="0" collapsed="false">
      <c r="A56" s="1828" t="s">
        <v>887</v>
      </c>
      <c r="B56" s="1829" t="n">
        <f aca="false">ROUND(B50/$N$32*$N$33,0)</f>
        <v>6517356</v>
      </c>
      <c r="C56" s="1829" t="n">
        <f aca="false">ROUND(C50/$N$32*$N$33,0)</f>
        <v>6518413</v>
      </c>
      <c r="D56" s="1829" t="n">
        <v>0</v>
      </c>
      <c r="E56" s="1829" t="n">
        <f aca="false">SUM(B56:D56)</f>
        <v>13035769</v>
      </c>
      <c r="F56" s="1829" t="n">
        <f aca="false">E56</f>
        <v>13035769</v>
      </c>
      <c r="G56" s="1598" t="str">
        <f aca="false">IF(E56=F56,"○","×")</f>
        <v>○</v>
      </c>
      <c r="H56" s="1828" t="s">
        <v>887</v>
      </c>
      <c r="I56" s="1829" t="n">
        <f aca="false">ROUND(I50/$N$32*$N$33,0)</f>
        <v>1184973</v>
      </c>
      <c r="J56" s="1829" t="n">
        <f aca="false">ROUND(J50/$N$32*$N$33,0)</f>
        <v>1185167</v>
      </c>
      <c r="K56" s="1829" t="n">
        <v>0</v>
      </c>
      <c r="L56" s="1829" t="n">
        <f aca="false">SUM(I56:K56)</f>
        <v>2370140</v>
      </c>
      <c r="M56" s="1829" t="n">
        <f aca="false">L56</f>
        <v>2370140</v>
      </c>
      <c r="N56" s="1598" t="str">
        <f aca="false">IF(L56=M56,"○","×")</f>
        <v>○</v>
      </c>
      <c r="O56" s="1609"/>
      <c r="P56" s="1836"/>
      <c r="Q56" s="1609"/>
    </row>
    <row r="57" customFormat="false" ht="21.75" hidden="false" customHeight="true" outlineLevel="0" collapsed="false">
      <c r="A57" s="1828" t="s">
        <v>567</v>
      </c>
      <c r="B57" s="1829" t="n">
        <f aca="false">B55</f>
        <v>3868997</v>
      </c>
      <c r="C57" s="1829" t="n">
        <f aca="false">C55</f>
        <v>3870534</v>
      </c>
      <c r="D57" s="1829" t="n">
        <f aca="false">D55</f>
        <v>10746</v>
      </c>
      <c r="E57" s="1829" t="n">
        <f aca="false">SUM(B57:D57)</f>
        <v>7750277</v>
      </c>
      <c r="F57" s="1829" t="n">
        <f aca="false">E57</f>
        <v>7750277</v>
      </c>
      <c r="G57" s="1598" t="str">
        <f aca="false">IF(E57=F57,"○","×")</f>
        <v>○</v>
      </c>
      <c r="H57" s="1828" t="s">
        <v>567</v>
      </c>
      <c r="I57" s="1829" t="n">
        <f aca="false">I55</f>
        <v>703454</v>
      </c>
      <c r="J57" s="1829" t="n">
        <f aca="false">J55</f>
        <v>703734</v>
      </c>
      <c r="K57" s="1829" t="n">
        <f aca="false">K55</f>
        <v>1953</v>
      </c>
      <c r="L57" s="1829" t="n">
        <f aca="false">SUM(I57:K57)</f>
        <v>1409141</v>
      </c>
      <c r="M57" s="1829" t="n">
        <f aca="false">L57</f>
        <v>1409141</v>
      </c>
      <c r="N57" s="1598" t="str">
        <f aca="false">IF(L57=M57,"○","×")</f>
        <v>○</v>
      </c>
      <c r="O57" s="1612"/>
      <c r="P57" s="1848"/>
      <c r="Q57" s="1612"/>
    </row>
    <row r="58" customFormat="false" ht="21.75" hidden="false" customHeight="true" outlineLevel="0" collapsed="false">
      <c r="A58" s="1828" t="s">
        <v>568</v>
      </c>
      <c r="B58" s="1829" t="n">
        <f aca="false">B57</f>
        <v>3868997</v>
      </c>
      <c r="C58" s="1829" t="n">
        <f aca="false">C57</f>
        <v>3870534</v>
      </c>
      <c r="D58" s="1829" t="n">
        <f aca="false">D57</f>
        <v>10746</v>
      </c>
      <c r="E58" s="1829" t="n">
        <f aca="false">SUM(B58:D58)</f>
        <v>7750277</v>
      </c>
      <c r="F58" s="1829" t="n">
        <f aca="false">E58</f>
        <v>7750277</v>
      </c>
      <c r="G58" s="1598" t="str">
        <f aca="false">IF(E58=F58,"○","×")</f>
        <v>○</v>
      </c>
      <c r="H58" s="1828" t="s">
        <v>568</v>
      </c>
      <c r="I58" s="1829" t="n">
        <f aca="false">I57</f>
        <v>703454</v>
      </c>
      <c r="J58" s="1829" t="n">
        <f aca="false">J57</f>
        <v>703734</v>
      </c>
      <c r="K58" s="1829" t="n">
        <f aca="false">K57</f>
        <v>1953</v>
      </c>
      <c r="L58" s="1829" t="n">
        <f aca="false">SUM(I58:K58)</f>
        <v>1409141</v>
      </c>
      <c r="M58" s="1829" t="n">
        <f aca="false">L58</f>
        <v>1409141</v>
      </c>
      <c r="N58" s="1598" t="str">
        <f aca="false">IF(L58=M58,"○","×")</f>
        <v>○</v>
      </c>
      <c r="O58" s="1612"/>
      <c r="P58" s="1833"/>
      <c r="Q58" s="1612"/>
    </row>
    <row r="59" customFormat="false" ht="21.75" hidden="false" customHeight="true" outlineLevel="0" collapsed="false">
      <c r="A59" s="1828" t="s">
        <v>569</v>
      </c>
      <c r="B59" s="1829" t="n">
        <f aca="false">B58</f>
        <v>3868997</v>
      </c>
      <c r="C59" s="1829" t="n">
        <f aca="false">C58</f>
        <v>3870534</v>
      </c>
      <c r="D59" s="1829" t="n">
        <f aca="false">D58</f>
        <v>10746</v>
      </c>
      <c r="E59" s="1829" t="n">
        <f aca="false">SUM(B59:D59)</f>
        <v>7750277</v>
      </c>
      <c r="F59" s="1829" t="n">
        <f aca="false">E59</f>
        <v>7750277</v>
      </c>
      <c r="G59" s="1598" t="str">
        <f aca="false">IF(E59=F59,"○","×")</f>
        <v>○</v>
      </c>
      <c r="H59" s="1828" t="s">
        <v>569</v>
      </c>
      <c r="I59" s="1829" t="n">
        <f aca="false">I58</f>
        <v>703454</v>
      </c>
      <c r="J59" s="1829" t="n">
        <f aca="false">J58</f>
        <v>703734</v>
      </c>
      <c r="K59" s="1829" t="n">
        <f aca="false">K58</f>
        <v>1953</v>
      </c>
      <c r="L59" s="1829" t="n">
        <f aca="false">SUM(I59:K59)</f>
        <v>1409141</v>
      </c>
      <c r="M59" s="1829" t="n">
        <f aca="false">L59</f>
        <v>1409141</v>
      </c>
      <c r="N59" s="1598" t="str">
        <f aca="false">IF(L59=M59,"○","×")</f>
        <v>○</v>
      </c>
      <c r="O59" s="1612"/>
      <c r="P59" s="1833"/>
      <c r="Q59" s="1612"/>
    </row>
    <row r="60" customFormat="false" ht="21.75" hidden="false" customHeight="true" outlineLevel="0" collapsed="false">
      <c r="A60" s="1828" t="s">
        <v>888</v>
      </c>
      <c r="B60" s="1829" t="n">
        <f aca="false">ROUND(B50/$N$32*$N$34,0)</f>
        <v>1396576</v>
      </c>
      <c r="C60" s="1829" t="n">
        <f aca="false">ROUND(C50/$N$32*$N$34,0)</f>
        <v>1396803</v>
      </c>
      <c r="D60" s="1829" t="n">
        <v>0</v>
      </c>
      <c r="E60" s="1829" t="n">
        <f aca="false">SUM(B60:D60)</f>
        <v>2793379</v>
      </c>
      <c r="F60" s="1829" t="n">
        <f aca="false">E60</f>
        <v>2793379</v>
      </c>
      <c r="G60" s="1598" t="str">
        <f aca="false">IF(E60=F60,"○","×")</f>
        <v>○</v>
      </c>
      <c r="H60" s="1828" t="s">
        <v>888</v>
      </c>
      <c r="I60" s="1829" t="n">
        <f aca="false">ROUND(I50/$N$32*$N$34,0)</f>
        <v>253923</v>
      </c>
      <c r="J60" s="1829" t="n">
        <f aca="false">ROUND(J50/$N$32*$N$34,0)</f>
        <v>253964</v>
      </c>
      <c r="K60" s="1829" t="n">
        <v>0</v>
      </c>
      <c r="L60" s="1829" t="n">
        <f aca="false">SUM(I60:K60)</f>
        <v>507887</v>
      </c>
      <c r="M60" s="1829" t="n">
        <f aca="false">L60</f>
        <v>507887</v>
      </c>
      <c r="N60" s="1598" t="str">
        <f aca="false">IF(L60=M60,"○","×")</f>
        <v>○</v>
      </c>
      <c r="O60" s="1149"/>
      <c r="P60" s="1833"/>
      <c r="Q60" s="1149"/>
    </row>
    <row r="61" customFormat="false" ht="21.75" hidden="false" customHeight="true" outlineLevel="0" collapsed="false">
      <c r="A61" s="1828" t="s">
        <v>570</v>
      </c>
      <c r="B61" s="1829" t="n">
        <f aca="false">B59</f>
        <v>3868997</v>
      </c>
      <c r="C61" s="1829" t="n">
        <f aca="false">C59</f>
        <v>3870534</v>
      </c>
      <c r="D61" s="1829" t="n">
        <f aca="false">D59</f>
        <v>10746</v>
      </c>
      <c r="E61" s="1829" t="n">
        <f aca="false">SUM(B61:D61)</f>
        <v>7750277</v>
      </c>
      <c r="F61" s="1829" t="n">
        <f aca="false">E61</f>
        <v>7750277</v>
      </c>
      <c r="G61" s="1598" t="str">
        <f aca="false">IF(E61=F61,"○","×")</f>
        <v>○</v>
      </c>
      <c r="H61" s="1828" t="s">
        <v>570</v>
      </c>
      <c r="I61" s="1829" t="n">
        <f aca="false">I59</f>
        <v>703454</v>
      </c>
      <c r="J61" s="1829" t="n">
        <f aca="false">J59</f>
        <v>703734</v>
      </c>
      <c r="K61" s="1829" t="n">
        <f aca="false">K59</f>
        <v>1953</v>
      </c>
      <c r="L61" s="1829" t="n">
        <f aca="false">SUM(I61:K61)</f>
        <v>1409141</v>
      </c>
      <c r="M61" s="1829" t="n">
        <f aca="false">L61</f>
        <v>1409141</v>
      </c>
      <c r="N61" s="1598" t="str">
        <f aca="false">IF(L61=M61,"○","×")</f>
        <v>○</v>
      </c>
      <c r="O61" s="1149"/>
      <c r="P61" s="1833"/>
      <c r="Q61" s="1149"/>
    </row>
    <row r="62" customFormat="false" ht="21.75" hidden="false" customHeight="true" outlineLevel="0" collapsed="false">
      <c r="A62" s="1830" t="s">
        <v>639</v>
      </c>
      <c r="B62" s="1829" t="n">
        <f aca="false">ROUND(B50*$N$35%,0)</f>
        <v>0</v>
      </c>
      <c r="C62" s="1829" t="n">
        <f aca="false">ROUND(C50*$N$35%,0)</f>
        <v>0</v>
      </c>
      <c r="D62" s="1829" t="n">
        <v>0</v>
      </c>
      <c r="E62" s="1829" t="n">
        <f aca="false">SUM(B62:D62)</f>
        <v>0</v>
      </c>
      <c r="F62" s="1829" t="n">
        <f aca="false">E62</f>
        <v>0</v>
      </c>
      <c r="G62" s="1598" t="str">
        <f aca="false">IF(E62=F62,"○","×")</f>
        <v>○</v>
      </c>
      <c r="H62" s="1830" t="s">
        <v>639</v>
      </c>
      <c r="I62" s="1829" t="n">
        <f aca="false">ROUND(I50*$N$35%,0)</f>
        <v>0</v>
      </c>
      <c r="J62" s="1829" t="n">
        <f aca="false">ROUND(J50*$N$35%,0)</f>
        <v>0</v>
      </c>
      <c r="K62" s="1829" t="n">
        <v>0</v>
      </c>
      <c r="L62" s="1829" t="n">
        <f aca="false">SUM(I62:K62)</f>
        <v>0</v>
      </c>
      <c r="M62" s="1829" t="n">
        <f aca="false">L62</f>
        <v>0</v>
      </c>
      <c r="N62" s="1598" t="str">
        <f aca="false">IF(L62=M62,"○","×")</f>
        <v>○</v>
      </c>
      <c r="O62" s="1149"/>
      <c r="P62" s="1854"/>
      <c r="Q62" s="1149"/>
    </row>
    <row r="63" customFormat="false" ht="21.75" hidden="false" customHeight="true" outlineLevel="0" collapsed="false">
      <c r="A63" s="1830" t="s">
        <v>640</v>
      </c>
      <c r="B63" s="1829" t="n">
        <f aca="false">ROUND(B56*$N$35%,0)</f>
        <v>0</v>
      </c>
      <c r="C63" s="1829" t="n">
        <f aca="false">ROUND(C56*$N$35%,0)</f>
        <v>0</v>
      </c>
      <c r="D63" s="1829" t="n">
        <v>0</v>
      </c>
      <c r="E63" s="1829" t="n">
        <f aca="false">SUM(B63:D63)</f>
        <v>0</v>
      </c>
      <c r="F63" s="1829" t="n">
        <f aca="false">E63</f>
        <v>0</v>
      </c>
      <c r="G63" s="1598" t="str">
        <f aca="false">IF(E63=F63,"○","×")</f>
        <v>○</v>
      </c>
      <c r="H63" s="1830" t="s">
        <v>640</v>
      </c>
      <c r="I63" s="1829" t="n">
        <f aca="false">ROUND(I56*$N$35%,0)</f>
        <v>0</v>
      </c>
      <c r="J63" s="1829" t="n">
        <f aca="false">ROUND(J56*$N$35%,0)</f>
        <v>0</v>
      </c>
      <c r="K63" s="1829" t="n">
        <v>0</v>
      </c>
      <c r="L63" s="1829" t="n">
        <f aca="false">SUM(I63:K63)</f>
        <v>0</v>
      </c>
      <c r="M63" s="1829" t="n">
        <f aca="false">L63</f>
        <v>0</v>
      </c>
      <c r="N63" s="1598" t="str">
        <f aca="false">IF(L63=M63,"○","×")</f>
        <v>○</v>
      </c>
      <c r="O63" s="1149"/>
      <c r="P63" s="1855"/>
      <c r="Q63" s="1615"/>
    </row>
    <row r="64" customFormat="false" ht="21.75" hidden="false" customHeight="true" outlineLevel="0" collapsed="false">
      <c r="A64" s="1592" t="s">
        <v>571</v>
      </c>
      <c r="B64" s="1596" t="n">
        <f aca="false">SUM(B47:B63)</f>
        <v>60033698</v>
      </c>
      <c r="C64" s="1596" t="n">
        <f aca="false">SUM(C47:C63)</f>
        <v>60053622</v>
      </c>
      <c r="D64" s="1596" t="n">
        <f aca="false">SUM(D47:D63)</f>
        <v>1256574</v>
      </c>
      <c r="E64" s="1596" t="n">
        <f aca="false">SUM(E47:E63)</f>
        <v>121343894</v>
      </c>
      <c r="F64" s="1596" t="n">
        <f aca="false">SUM(F47:F63)</f>
        <v>121343894</v>
      </c>
      <c r="G64" s="1598" t="str">
        <f aca="false">IF(E64=F64,"○","×")</f>
        <v>○</v>
      </c>
      <c r="H64" s="1592" t="s">
        <v>571</v>
      </c>
      <c r="I64" s="1596" t="n">
        <f aca="false">SUM(I47:I63)</f>
        <v>10915214</v>
      </c>
      <c r="J64" s="1596" t="n">
        <f aca="false">SUM(J47:J63)</f>
        <v>10918848</v>
      </c>
      <c r="K64" s="1596" t="n">
        <f aca="false">SUM(K47:K63)</f>
        <v>228461</v>
      </c>
      <c r="L64" s="1596" t="n">
        <f aca="false">SUM(L47:L63)</f>
        <v>22062523</v>
      </c>
      <c r="M64" s="1596" t="n">
        <f aca="false">SUM(M47:M63)</f>
        <v>22062523</v>
      </c>
      <c r="N64" s="1598" t="str">
        <f aca="false">IF(L64=M64,"○","×")</f>
        <v>○</v>
      </c>
      <c r="O64" s="1149"/>
      <c r="P64" s="1855"/>
      <c r="Q64" s="1615"/>
    </row>
    <row r="65" customFormat="false" ht="21.75" hidden="false" customHeight="true" outlineLevel="0" collapsed="false">
      <c r="A65" s="1602"/>
      <c r="B65" s="1603"/>
      <c r="C65" s="1603"/>
      <c r="D65" s="1603"/>
      <c r="E65" s="1603"/>
      <c r="F65" s="1621"/>
      <c r="G65" s="1621"/>
      <c r="H65" s="1602"/>
      <c r="I65" s="1603"/>
      <c r="J65" s="1603"/>
      <c r="K65" s="1603"/>
      <c r="L65" s="1603"/>
      <c r="M65" s="1621"/>
      <c r="N65" s="1621"/>
      <c r="O65" s="1149"/>
      <c r="P65" s="1859"/>
      <c r="Q65" s="1619"/>
    </row>
    <row r="66" customFormat="false" ht="21.75" hidden="false" customHeight="true" outlineLevel="0" collapsed="false">
      <c r="A66" s="1589" t="s">
        <v>906</v>
      </c>
      <c r="B66" s="1606"/>
      <c r="C66" s="1607"/>
      <c r="D66" s="1607"/>
      <c r="E66" s="1607"/>
      <c r="F66" s="1591" t="s">
        <v>535</v>
      </c>
      <c r="G66" s="1589"/>
      <c r="H66" s="1589" t="s">
        <v>907</v>
      </c>
      <c r="I66" s="1606"/>
      <c r="J66" s="1607"/>
      <c r="K66" s="1607"/>
      <c r="L66" s="1607"/>
      <c r="M66" s="1591" t="s">
        <v>535</v>
      </c>
      <c r="N66" s="1589"/>
      <c r="O66" s="1589"/>
      <c r="P66" s="1833"/>
      <c r="Q66" s="1589"/>
    </row>
    <row r="67" customFormat="false" ht="30" hidden="false" customHeight="true" outlineLevel="0" collapsed="false">
      <c r="A67" s="1592" t="s">
        <v>394</v>
      </c>
      <c r="B67" s="1592" t="s">
        <v>964</v>
      </c>
      <c r="C67" s="1592" t="s">
        <v>491</v>
      </c>
      <c r="D67" s="1593" t="s">
        <v>878</v>
      </c>
      <c r="E67" s="1592" t="s">
        <v>908</v>
      </c>
      <c r="F67" s="1593" t="s">
        <v>909</v>
      </c>
      <c r="G67" s="1594" t="s">
        <v>910</v>
      </c>
      <c r="H67" s="1592" t="s">
        <v>394</v>
      </c>
      <c r="I67" s="1592" t="s">
        <v>964</v>
      </c>
      <c r="J67" s="1592" t="s">
        <v>491</v>
      </c>
      <c r="K67" s="1593" t="s">
        <v>878</v>
      </c>
      <c r="L67" s="1592" t="s">
        <v>911</v>
      </c>
      <c r="M67" s="1593" t="s">
        <v>912</v>
      </c>
      <c r="N67" s="1594" t="s">
        <v>913</v>
      </c>
      <c r="O67" s="1589"/>
      <c r="P67" s="1833"/>
      <c r="Q67" s="1149"/>
    </row>
    <row r="68" customFormat="false" ht="21.75" hidden="false" customHeight="true" outlineLevel="0" collapsed="false">
      <c r="A68" s="1595" t="s">
        <v>559</v>
      </c>
      <c r="B68" s="1596" t="n">
        <f aca="true">OFFSET('☆振替R7'!$I$6,$P$4*$P5,0,1,1)</f>
        <v>80435</v>
      </c>
      <c r="C68" s="1596" t="n">
        <f aca="true">OFFSET('☆振替R7'!$I$21,$P$4*$P5,0,1,1)</f>
        <v>80348</v>
      </c>
      <c r="D68" s="1596" t="n">
        <f aca="true">OFFSET('☆振替R7'!$I$8,$P$4*$P5,0,1,1)</f>
        <v>22651</v>
      </c>
      <c r="E68" s="1596" t="n">
        <f aca="false">SUM(B68:D68)</f>
        <v>183434</v>
      </c>
      <c r="F68" s="1596" t="n">
        <f aca="true">OFFSET('☆振替R7'!$H$28,$P$4*$P5,0,1,1)</f>
        <v>183434</v>
      </c>
      <c r="G68" s="1598" t="str">
        <f aca="false">IF(E68=F68,"○","×")</f>
        <v>○</v>
      </c>
      <c r="H68" s="1595" t="s">
        <v>559</v>
      </c>
      <c r="I68" s="1596" t="n">
        <f aca="true">OFFSET('☆振替R7'!$J$6,$P$4*$P5,0,1,1)</f>
        <v>16006704</v>
      </c>
      <c r="J68" s="1596" t="n">
        <f aca="true">OFFSET('☆振替R7'!$J$21,$P$4*$P5,0,1,1)</f>
        <v>15988995</v>
      </c>
      <c r="K68" s="1596" t="n">
        <f aca="true">OFFSET('☆振替R7'!$J$8,$P$4*$P5,0,1,1)</f>
        <v>4507707</v>
      </c>
      <c r="L68" s="1596" t="n">
        <f aca="false">SUM(I68:K68)</f>
        <v>36503406</v>
      </c>
      <c r="M68" s="1596" t="n">
        <f aca="true">OFFSET('☆振替R7'!$E$31,$P$4*$P5,0,1,1)</f>
        <v>36503406</v>
      </c>
      <c r="N68" s="1598" t="str">
        <f aca="false">IF(L68=M68,"○","×")</f>
        <v>○</v>
      </c>
      <c r="O68" s="1589"/>
      <c r="P68" s="1833"/>
      <c r="Q68" s="1149"/>
    </row>
    <row r="69" customFormat="false" ht="21.75" hidden="false" customHeight="true" outlineLevel="0" collapsed="false">
      <c r="A69" s="1595" t="s">
        <v>560</v>
      </c>
      <c r="B69" s="1596" t="n">
        <f aca="true">OFFSET('☆振替R7'!$I$6,$P$4*$P6,0,1,1)</f>
        <v>81035</v>
      </c>
      <c r="C69" s="1596" t="n">
        <f aca="true">OFFSET('☆振替R7'!$I$21,$P$4*$P6,0,1,1)</f>
        <v>81090</v>
      </c>
      <c r="D69" s="1596" t="n">
        <f aca="true">OFFSET('☆振替R7'!$I$8,$P$4*$P6,0,1,1)</f>
        <v>507</v>
      </c>
      <c r="E69" s="1596" t="n">
        <f aca="false">SUM(B69:D69)</f>
        <v>162632</v>
      </c>
      <c r="F69" s="1596" t="n">
        <f aca="true">OFFSET('☆振替R7'!$H$28,$P$4*$P6,0,1,1)</f>
        <v>162632</v>
      </c>
      <c r="G69" s="1598" t="str">
        <f aca="false">IF(E69=F69,"○","×")</f>
        <v>○</v>
      </c>
      <c r="H69" s="1595" t="s">
        <v>560</v>
      </c>
      <c r="I69" s="1596" t="n">
        <f aca="true">OFFSET('☆振替R7'!$J$6,$P$4*$P6,0,1,1)</f>
        <v>16126010</v>
      </c>
      <c r="J69" s="1596" t="n">
        <f aca="true">OFFSET('☆振替R7'!$J$21,$P$4*$P6,0,1,1)</f>
        <v>16136924</v>
      </c>
      <c r="K69" s="1596" t="n">
        <f aca="true">OFFSET('☆振替R7'!$J$8,$P$4*$P6,0,1,1)</f>
        <v>100971</v>
      </c>
      <c r="L69" s="1596" t="n">
        <f aca="false">SUM(I69:K69)</f>
        <v>32363905</v>
      </c>
      <c r="M69" s="1596" t="n">
        <f aca="true">OFFSET('☆振替R7'!$E$31,$P$4*$P6,0,1,1)</f>
        <v>32363905</v>
      </c>
      <c r="N69" s="1598" t="str">
        <f aca="false">IF(L69=M69,"○","×")</f>
        <v>○</v>
      </c>
      <c r="O69" s="1589"/>
      <c r="P69" s="1833"/>
      <c r="Q69" s="1149"/>
    </row>
    <row r="70" customFormat="false" ht="21.75" hidden="false" customHeight="true" outlineLevel="0" collapsed="false">
      <c r="A70" s="1595" t="s">
        <v>561</v>
      </c>
      <c r="B70" s="1596" t="n">
        <f aca="true">OFFSET('☆振替R7'!$I$6,$P$4*$P7,0,1,1)</f>
        <v>80914</v>
      </c>
      <c r="C70" s="1596" t="n">
        <f aca="true">OFFSET('☆振替R7'!$I$21,$P$4*$P7,0,1,1)</f>
        <v>80931</v>
      </c>
      <c r="D70" s="1596" t="n">
        <f aca="true">OFFSET('☆振替R7'!$I$8,$P$4*$P7,0,1,1)</f>
        <v>666</v>
      </c>
      <c r="E70" s="1596" t="n">
        <f aca="false">SUM(B70:D70)</f>
        <v>162511</v>
      </c>
      <c r="F70" s="1596" t="n">
        <f aca="true">OFFSET('☆振替R7'!$H$28,$P$4*$P7,0,1,1)</f>
        <v>162511</v>
      </c>
      <c r="G70" s="1598" t="str">
        <f aca="false">IF(E70=F70,"○","×")</f>
        <v>○</v>
      </c>
      <c r="H70" s="1595" t="s">
        <v>561</v>
      </c>
      <c r="I70" s="1596" t="n">
        <f aca="true">OFFSET('☆振替R7'!$J$6,$P$4*$P7,0,1,1)</f>
        <v>16102025</v>
      </c>
      <c r="J70" s="1596" t="n">
        <f aca="true">OFFSET('☆振替R7'!$J$21,$P$4*$P7,0,1,1)</f>
        <v>16105197</v>
      </c>
      <c r="K70" s="1596" t="n">
        <f aca="true">OFFSET('☆振替R7'!$J$8,$P$4*$P7,0,1,1)</f>
        <v>132620</v>
      </c>
      <c r="L70" s="1596" t="n">
        <f aca="false">SUM(I70:K70)</f>
        <v>32339842</v>
      </c>
      <c r="M70" s="1596" t="n">
        <f aca="true">OFFSET('☆振替R7'!$E$31,$P$4*$P7,0,1,1)</f>
        <v>32339842</v>
      </c>
      <c r="N70" s="1598" t="str">
        <f aca="false">IF(L70=M70,"○","×")</f>
        <v>○</v>
      </c>
      <c r="O70" s="1589"/>
      <c r="P70" s="1833"/>
      <c r="Q70" s="1149"/>
    </row>
    <row r="71" customFormat="false" ht="21.75" hidden="false" customHeight="true" outlineLevel="0" collapsed="false">
      <c r="A71" s="1595" t="s">
        <v>886</v>
      </c>
      <c r="B71" s="1596" t="n">
        <f aca="true">OFFSET('☆振替R7'!$I$6,$P$4*$P8,0,1,1)</f>
        <v>142196</v>
      </c>
      <c r="C71" s="1596" t="n">
        <f aca="true">OFFSET('☆振替R7'!$I$21,$P$4*$P8,0,1,1)</f>
        <v>142221</v>
      </c>
      <c r="D71" s="1599" t="n">
        <f aca="true">OFFSET('☆振替R7'!$I$8,$P$4*$P8,0,1,1)</f>
        <v>0</v>
      </c>
      <c r="E71" s="1596" t="n">
        <f aca="false">SUM(B71:D71)</f>
        <v>284417</v>
      </c>
      <c r="F71" s="1596" t="n">
        <f aca="true">OFFSET('☆振替R7'!$H$28,$P$4*$P8,0,1,1)</f>
        <v>284417</v>
      </c>
      <c r="G71" s="1598" t="str">
        <f aca="false">IF(E71=F71,"○","×")</f>
        <v>○</v>
      </c>
      <c r="H71" s="1595" t="s">
        <v>886</v>
      </c>
      <c r="I71" s="1596" t="n">
        <f aca="true">OFFSET('☆振替R7'!$J$6,$P$4*$P8,0,1,1)</f>
        <v>28297178</v>
      </c>
      <c r="J71" s="1596" t="n">
        <f aca="true">OFFSET('☆振替R7'!$J$21,$P$4*$P8,0,1,1)</f>
        <v>28301774</v>
      </c>
      <c r="K71" s="1599" t="n">
        <f aca="true">OFFSET('☆振替R7'!$J$8,$P$4*$P8,0,1,1)</f>
        <v>0</v>
      </c>
      <c r="L71" s="1596" t="n">
        <f aca="false">SUM(I71:K71)</f>
        <v>56598952</v>
      </c>
      <c r="M71" s="1596" t="n">
        <f aca="true">OFFSET('☆振替R7'!$E$31,$P$4*$P8,0,1,1)</f>
        <v>56598952</v>
      </c>
      <c r="N71" s="1598" t="str">
        <f aca="false">IF(L71=M71,"○","×")</f>
        <v>○</v>
      </c>
      <c r="O71" s="1589"/>
      <c r="P71" s="1833"/>
      <c r="Q71" s="1149"/>
    </row>
    <row r="72" customFormat="false" ht="21.75" hidden="false" customHeight="true" outlineLevel="0" collapsed="false">
      <c r="A72" s="1595" t="s">
        <v>562</v>
      </c>
      <c r="B72" s="1596" t="n">
        <f aca="true">OFFSET('☆振替R7'!$I$6,$P$4*$P9,0,1,1)</f>
        <v>82254</v>
      </c>
      <c r="C72" s="1596" t="n">
        <f aca="true">OFFSET('☆振替R7'!$I$21,$P$4*$P9,0,1,1)</f>
        <v>82315</v>
      </c>
      <c r="D72" s="1596" t="n">
        <f aca="true">OFFSET('☆振替R7'!$I$8,$P$4*$P9,0,1,1)</f>
        <v>300</v>
      </c>
      <c r="E72" s="1596" t="n">
        <f aca="false">SUM(B72:D72)</f>
        <v>164869</v>
      </c>
      <c r="F72" s="1596" t="n">
        <f aca="true">OFFSET('☆振替R7'!$H$28,$P$4*$P9,0,1,1)</f>
        <v>164869</v>
      </c>
      <c r="G72" s="1598" t="str">
        <f aca="false">IF(E72=F72,"○","×")</f>
        <v>○</v>
      </c>
      <c r="H72" s="1595" t="s">
        <v>562</v>
      </c>
      <c r="I72" s="1596" t="n">
        <f aca="true">OFFSET('☆振替R7'!$J$6,$P$4*$P9,0,1,1)</f>
        <v>16368683</v>
      </c>
      <c r="J72" s="1596" t="n">
        <f aca="true">OFFSET('☆振替R7'!$J$21,$P$4*$P9,0,1,1)</f>
        <v>16380608</v>
      </c>
      <c r="K72" s="1596" t="n">
        <f aca="true">OFFSET('☆振替R7'!$J$8,$P$4*$P9,0,1,1)</f>
        <v>59812</v>
      </c>
      <c r="L72" s="1596" t="n">
        <f aca="false">SUM(I72:K72)</f>
        <v>32809103</v>
      </c>
      <c r="M72" s="1596" t="n">
        <f aca="true">OFFSET('☆振替R7'!$E$31,$P$4*$P9,0,1,1)</f>
        <v>32809103</v>
      </c>
      <c r="N72" s="1598" t="str">
        <f aca="false">IF(L72=M72,"○","×")</f>
        <v>○</v>
      </c>
      <c r="O72" s="1589"/>
      <c r="P72" s="1833"/>
      <c r="Q72" s="1149"/>
    </row>
    <row r="73" customFormat="false" ht="21.75" hidden="false" customHeight="true" outlineLevel="0" collapsed="false">
      <c r="A73" s="1595" t="s">
        <v>563</v>
      </c>
      <c r="B73" s="1596" t="n">
        <f aca="true">OFFSET('☆振替R7'!$I$6,$P$4*$P10,0,1,1)</f>
        <v>81474</v>
      </c>
      <c r="C73" s="1596" t="n">
        <f aca="true">OFFSET('☆振替R7'!$I$21,$P$4*$P10,0,1,1)</f>
        <v>81525</v>
      </c>
      <c r="D73" s="1596" t="n">
        <f aca="true">OFFSET('☆振替R7'!$I$8,$P$4*$P10,0,1,1)</f>
        <v>444</v>
      </c>
      <c r="E73" s="1596" t="n">
        <f aca="false">SUM(B73:D73)</f>
        <v>163443</v>
      </c>
      <c r="F73" s="1596" t="n">
        <f aca="true">OFFSET('☆振替R7'!$H$28,$P$4*$P10,0,1,1)</f>
        <v>163443</v>
      </c>
      <c r="G73" s="1598" t="str">
        <f aca="false">IF(E73=F73,"○","×")</f>
        <v>○</v>
      </c>
      <c r="H73" s="1595" t="s">
        <v>563</v>
      </c>
      <c r="I73" s="1596" t="n">
        <f aca="true">OFFSET('☆振替R7'!$J$6,$P$4*$P10,0,1,1)</f>
        <v>16213494</v>
      </c>
      <c r="J73" s="1596" t="n">
        <f aca="true">OFFSET('☆振替R7'!$J$21,$P$4*$P10,0,1,1)</f>
        <v>16223380</v>
      </c>
      <c r="K73" s="1596" t="n">
        <f aca="true">OFFSET('☆振替R7'!$J$8,$P$4*$P10,0,1,1)</f>
        <v>88361</v>
      </c>
      <c r="L73" s="1596" t="n">
        <f aca="false">SUM(I73:K73)</f>
        <v>32525235</v>
      </c>
      <c r="M73" s="1596" t="n">
        <f aca="true">OFFSET('☆振替R7'!$E$31,$P$4*$P10,0,1,1)</f>
        <v>32525235</v>
      </c>
      <c r="N73" s="1598" t="str">
        <f aca="false">IF(L73=M73,"○","×")</f>
        <v>○</v>
      </c>
      <c r="O73" s="1149"/>
      <c r="P73" s="1835"/>
      <c r="Q73" s="1149"/>
    </row>
    <row r="74" customFormat="false" ht="21.75" hidden="false" customHeight="true" outlineLevel="0" collapsed="false">
      <c r="A74" s="1595" t="s">
        <v>564</v>
      </c>
      <c r="B74" s="1596" t="n">
        <f aca="true">OFFSET('☆振替R7'!$I$6,$P$4*$P11,0,1,1)</f>
        <v>82263</v>
      </c>
      <c r="C74" s="1596" t="n">
        <f aca="true">OFFSET('☆振替R7'!$I$21,$P$4*$P11,0,1,1)</f>
        <v>82295</v>
      </c>
      <c r="D74" s="1596" t="n">
        <f aca="true">OFFSET('☆振替R7'!$I$8,$P$4*$P11,0,1,1)</f>
        <v>1141</v>
      </c>
      <c r="E74" s="1596" t="n">
        <f aca="false">SUM(B74:D74)</f>
        <v>165699</v>
      </c>
      <c r="F74" s="1596" t="n">
        <f aca="true">OFFSET('☆振替R7'!$H$28,$P$4*$P11,0,1,1)</f>
        <v>165699</v>
      </c>
      <c r="G74" s="1598" t="str">
        <f aca="false">IF(E74=F74,"○","×")</f>
        <v>○</v>
      </c>
      <c r="H74" s="1595" t="s">
        <v>564</v>
      </c>
      <c r="I74" s="1596" t="n">
        <f aca="true">OFFSET('☆振替R7'!$J$6,$P$4*$P11,0,1,1)</f>
        <v>16370416</v>
      </c>
      <c r="J74" s="1596" t="n">
        <f aca="true">OFFSET('☆振替R7'!$J$21,$P$4*$P11,0,1,1)</f>
        <v>16376643</v>
      </c>
      <c r="K74" s="1596" t="n">
        <f aca="true">OFFSET('☆振替R7'!$J$8,$P$4*$P11,0,1,1)</f>
        <v>227259</v>
      </c>
      <c r="L74" s="1596" t="n">
        <f aca="false">SUM(I74:K74)</f>
        <v>32974318</v>
      </c>
      <c r="M74" s="1596" t="n">
        <f aca="true">OFFSET('☆振替R7'!$E$31,$P$4*$P11,0,1,1)</f>
        <v>32974318</v>
      </c>
      <c r="N74" s="1598" t="str">
        <f aca="false">IF(L74=M74,"○","×")</f>
        <v>○</v>
      </c>
      <c r="O74" s="1149"/>
      <c r="P74" s="1835"/>
      <c r="Q74" s="1149"/>
    </row>
    <row r="75" customFormat="false" ht="21.75" hidden="false" customHeight="true" outlineLevel="0" collapsed="false">
      <c r="A75" s="1595" t="s">
        <v>565</v>
      </c>
      <c r="B75" s="1596" t="n">
        <f aca="true">OFFSET('☆振替R7'!$I$6,$P$4*$P12,0,1,1)</f>
        <v>84510</v>
      </c>
      <c r="C75" s="1596" t="n">
        <f aca="true">OFFSET('☆振替R7'!$I$21,$P$4*$P12,0,1,1)</f>
        <v>84606</v>
      </c>
      <c r="D75" s="1596" t="n">
        <f aca="true">OFFSET('☆振替R7'!$I$8,$P$4*$P12,0,1,1)</f>
        <v>531</v>
      </c>
      <c r="E75" s="1596" t="n">
        <f aca="false">SUM(B75:D75)</f>
        <v>169647</v>
      </c>
      <c r="F75" s="1596" t="n">
        <f aca="true">OFFSET('☆振替R7'!$H$28,$P$4*$P12,0,1,1)</f>
        <v>169647</v>
      </c>
      <c r="G75" s="1598" t="str">
        <f aca="false">IF(E75=F75,"○","×")</f>
        <v>○</v>
      </c>
      <c r="H75" s="1595" t="s">
        <v>565</v>
      </c>
      <c r="I75" s="1596" t="n">
        <f aca="true">OFFSET('☆振替R7'!$J$6,$P$4*$P12,0,1,1)</f>
        <v>16817664</v>
      </c>
      <c r="J75" s="1596" t="n">
        <f aca="true">OFFSET('☆振替R7'!$J$21,$P$4*$P12,0,1,1)</f>
        <v>16836281</v>
      </c>
      <c r="K75" s="1596" t="n">
        <f aca="true">OFFSET('☆振替R7'!$J$8,$P$4*$P12,0,1,1)</f>
        <v>105831</v>
      </c>
      <c r="L75" s="1596" t="n">
        <f aca="false">SUM(I75:K75)</f>
        <v>33759776</v>
      </c>
      <c r="M75" s="1596" t="n">
        <f aca="true">OFFSET('☆振替R7'!$E$31,$P$4*$P12,0,1,1)</f>
        <v>33759776</v>
      </c>
      <c r="N75" s="1598" t="str">
        <f aca="false">IF(L75=M75,"○","×")</f>
        <v>○</v>
      </c>
      <c r="O75" s="1149"/>
      <c r="P75" s="1835"/>
      <c r="Q75" s="1149"/>
    </row>
    <row r="76" customFormat="false" ht="21.75" hidden="false" customHeight="true" outlineLevel="0" collapsed="false">
      <c r="A76" s="1595" t="s">
        <v>566</v>
      </c>
      <c r="B76" s="1596" t="n">
        <f aca="true">OFFSET('☆振替R7'!$I$6,$P$4*$P13,0,1,1)</f>
        <v>84414</v>
      </c>
      <c r="C76" s="1596" t="n">
        <f aca="true">OFFSET('☆振替R7'!$I$21,$P$4*$P13,0,1,1)</f>
        <v>84448</v>
      </c>
      <c r="D76" s="1596" t="n">
        <f aca="true">OFFSET('☆振替R7'!$I$8,$P$4*$P13,0,1,1)</f>
        <v>234</v>
      </c>
      <c r="E76" s="1596" t="n">
        <f aca="false">SUM(B76:D76)</f>
        <v>169096</v>
      </c>
      <c r="F76" s="1596" t="n">
        <f aca="true">OFFSET('☆振替R7'!$H$28,$P$4*$P13,0,1,1)</f>
        <v>169096</v>
      </c>
      <c r="G76" s="1598" t="str">
        <f aca="false">IF(E76=F76,"○","×")</f>
        <v>○</v>
      </c>
      <c r="H76" s="1595" t="s">
        <v>566</v>
      </c>
      <c r="I76" s="1596" t="n">
        <f aca="true">OFFSET('☆振替R7'!$J$6,$P$4*$P13,0,1,1)</f>
        <v>16798485</v>
      </c>
      <c r="J76" s="1596" t="n">
        <f aca="true">OFFSET('☆振替R7'!$J$21,$P$4*$P13,0,1,1)</f>
        <v>16805170</v>
      </c>
      <c r="K76" s="1596" t="n">
        <f aca="true">OFFSET('☆振替R7'!$J$8,$P$4*$P13,0,1,1)</f>
        <v>46661</v>
      </c>
      <c r="L76" s="1596" t="n">
        <f aca="false">SUM(I76:K76)</f>
        <v>33650316</v>
      </c>
      <c r="M76" s="1596" t="n">
        <f aca="true">OFFSET('☆振替R7'!$E$31,$P$4*$P13,0,1,1)</f>
        <v>33650316</v>
      </c>
      <c r="N76" s="1598" t="str">
        <f aca="false">IF(L76=M76,"○","×")</f>
        <v>○</v>
      </c>
      <c r="O76" s="1149"/>
      <c r="P76" s="1835"/>
      <c r="Q76" s="1149"/>
    </row>
    <row r="77" customFormat="false" ht="21.75" hidden="false" customHeight="true" outlineLevel="0" collapsed="false">
      <c r="A77" s="1828" t="s">
        <v>887</v>
      </c>
      <c r="B77" s="1829" t="n">
        <f aca="false">ROUND(B71/$N$32*$N$33,0)</f>
        <v>142196</v>
      </c>
      <c r="C77" s="1829" t="n">
        <f aca="false">ROUND(C71/$N$32*$N$33,0)</f>
        <v>142221</v>
      </c>
      <c r="D77" s="1829" t="n">
        <v>0</v>
      </c>
      <c r="E77" s="1829" t="n">
        <f aca="false">SUM(B77:D77)</f>
        <v>284417</v>
      </c>
      <c r="F77" s="1829" t="n">
        <f aca="false">E77</f>
        <v>284417</v>
      </c>
      <c r="G77" s="1598" t="str">
        <f aca="false">IF(E77=F77,"○","×")</f>
        <v>○</v>
      </c>
      <c r="H77" s="1828" t="s">
        <v>887</v>
      </c>
      <c r="I77" s="1829" t="n">
        <f aca="false">ROUND(I71/$N$32*$N$33,0)</f>
        <v>28297178</v>
      </c>
      <c r="J77" s="1829" t="n">
        <f aca="false">ROUND(J71/$N$32*$N$33,0)</f>
        <v>28301774</v>
      </c>
      <c r="K77" s="1829" t="n">
        <v>0</v>
      </c>
      <c r="L77" s="1829" t="n">
        <f aca="false">SUM(I77:K77)</f>
        <v>56598952</v>
      </c>
      <c r="M77" s="1829" t="n">
        <f aca="false">L77</f>
        <v>56598952</v>
      </c>
      <c r="N77" s="1598" t="str">
        <f aca="false">IF(L77=M77,"○","×")</f>
        <v>○</v>
      </c>
      <c r="O77" s="1149"/>
      <c r="P77" s="1835"/>
      <c r="Q77" s="1149"/>
    </row>
    <row r="78" customFormat="false" ht="21.75" hidden="false" customHeight="true" outlineLevel="0" collapsed="false">
      <c r="A78" s="1828" t="s">
        <v>567</v>
      </c>
      <c r="B78" s="1829" t="n">
        <f aca="false">B76</f>
        <v>84414</v>
      </c>
      <c r="C78" s="1829" t="n">
        <f aca="false">C76</f>
        <v>84448</v>
      </c>
      <c r="D78" s="1829" t="n">
        <f aca="false">D76</f>
        <v>234</v>
      </c>
      <c r="E78" s="1829" t="n">
        <f aca="false">SUM(B78:D78)</f>
        <v>169096</v>
      </c>
      <c r="F78" s="1829" t="n">
        <f aca="false">E78</f>
        <v>169096</v>
      </c>
      <c r="G78" s="1598" t="str">
        <f aca="false">IF(E78=F78,"○","×")</f>
        <v>○</v>
      </c>
      <c r="H78" s="1828" t="s">
        <v>567</v>
      </c>
      <c r="I78" s="1829" t="n">
        <f aca="false">I76</f>
        <v>16798485</v>
      </c>
      <c r="J78" s="1829" t="n">
        <f aca="false">J76</f>
        <v>16805170</v>
      </c>
      <c r="K78" s="1829" t="n">
        <f aca="false">K76</f>
        <v>46661</v>
      </c>
      <c r="L78" s="1829" t="n">
        <f aca="false">SUM(I78:K78)</f>
        <v>33650316</v>
      </c>
      <c r="M78" s="1829" t="n">
        <f aca="false">L78</f>
        <v>33650316</v>
      </c>
      <c r="N78" s="1598" t="str">
        <f aca="false">IF(L78=M78,"○","×")</f>
        <v>○</v>
      </c>
      <c r="O78" s="1149"/>
      <c r="P78" s="1835"/>
      <c r="Q78" s="1149"/>
    </row>
    <row r="79" customFormat="false" ht="21.75" hidden="false" customHeight="true" outlineLevel="0" collapsed="false">
      <c r="A79" s="1828" t="s">
        <v>568</v>
      </c>
      <c r="B79" s="1829" t="n">
        <f aca="false">B78</f>
        <v>84414</v>
      </c>
      <c r="C79" s="1829" t="n">
        <f aca="false">C78</f>
        <v>84448</v>
      </c>
      <c r="D79" s="1829" t="n">
        <f aca="false">D78</f>
        <v>234</v>
      </c>
      <c r="E79" s="1829" t="n">
        <f aca="false">SUM(B79:D79)</f>
        <v>169096</v>
      </c>
      <c r="F79" s="1829" t="n">
        <f aca="false">E79</f>
        <v>169096</v>
      </c>
      <c r="G79" s="1598" t="str">
        <f aca="false">IF(E79=F79,"○","×")</f>
        <v>○</v>
      </c>
      <c r="H79" s="1828" t="s">
        <v>568</v>
      </c>
      <c r="I79" s="1829" t="n">
        <f aca="false">I78</f>
        <v>16798485</v>
      </c>
      <c r="J79" s="1829" t="n">
        <f aca="false">J78</f>
        <v>16805170</v>
      </c>
      <c r="K79" s="1829" t="n">
        <f aca="false">K78</f>
        <v>46661</v>
      </c>
      <c r="L79" s="1829" t="n">
        <f aca="false">SUM(I79:K79)</f>
        <v>33650316</v>
      </c>
      <c r="M79" s="1829" t="n">
        <f aca="false">L79</f>
        <v>33650316</v>
      </c>
      <c r="N79" s="1598" t="str">
        <f aca="false">IF(L79=M79,"○","×")</f>
        <v>○</v>
      </c>
      <c r="O79" s="1149"/>
      <c r="P79" s="1835"/>
      <c r="Q79" s="1149"/>
    </row>
    <row r="80" customFormat="false" ht="21.75" hidden="false" customHeight="true" outlineLevel="0" collapsed="false">
      <c r="A80" s="1828" t="s">
        <v>569</v>
      </c>
      <c r="B80" s="1829" t="n">
        <f aca="false">B79</f>
        <v>84414</v>
      </c>
      <c r="C80" s="1829" t="n">
        <f aca="false">C79</f>
        <v>84448</v>
      </c>
      <c r="D80" s="1829" t="n">
        <f aca="false">D79</f>
        <v>234</v>
      </c>
      <c r="E80" s="1829" t="n">
        <f aca="false">SUM(B80:D80)</f>
        <v>169096</v>
      </c>
      <c r="F80" s="1829" t="n">
        <f aca="false">E80</f>
        <v>169096</v>
      </c>
      <c r="G80" s="1598" t="str">
        <f aca="false">IF(E80=F80,"○","×")</f>
        <v>○</v>
      </c>
      <c r="H80" s="1828" t="s">
        <v>569</v>
      </c>
      <c r="I80" s="1829" t="n">
        <f aca="false">I79</f>
        <v>16798485</v>
      </c>
      <c r="J80" s="1829" t="n">
        <f aca="false">J79</f>
        <v>16805170</v>
      </c>
      <c r="K80" s="1829" t="n">
        <f aca="false">K79</f>
        <v>46661</v>
      </c>
      <c r="L80" s="1829" t="n">
        <f aca="false">SUM(I80:K80)</f>
        <v>33650316</v>
      </c>
      <c r="M80" s="1829" t="n">
        <f aca="false">L80</f>
        <v>33650316</v>
      </c>
      <c r="N80" s="1598" t="str">
        <f aca="false">IF(L80=M80,"○","×")</f>
        <v>○</v>
      </c>
      <c r="O80" s="1149"/>
      <c r="P80" s="1835"/>
      <c r="Q80" s="1149"/>
    </row>
    <row r="81" customFormat="false" ht="21.75" hidden="false" customHeight="true" outlineLevel="0" collapsed="false">
      <c r="A81" s="1828" t="s">
        <v>888</v>
      </c>
      <c r="B81" s="1829" t="n">
        <f aca="false">ROUND(B71/$N$32*$N$34,0)</f>
        <v>30471</v>
      </c>
      <c r="C81" s="1829" t="n">
        <f aca="false">ROUND(C71/$N$32*$N$34,0)</f>
        <v>30476</v>
      </c>
      <c r="D81" s="1829" t="n">
        <v>0</v>
      </c>
      <c r="E81" s="1829" t="n">
        <f aca="false">SUM(B81:D81)</f>
        <v>60947</v>
      </c>
      <c r="F81" s="1829" t="n">
        <f aca="false">E81</f>
        <v>60947</v>
      </c>
      <c r="G81" s="1598" t="str">
        <f aca="false">IF(E81=F81,"○","×")</f>
        <v>○</v>
      </c>
      <c r="H81" s="1828" t="s">
        <v>888</v>
      </c>
      <c r="I81" s="1829" t="n">
        <f aca="false">ROUND(I71/$N$32*$N$34,0)</f>
        <v>6063681</v>
      </c>
      <c r="J81" s="1829" t="n">
        <f aca="false">ROUND(J71/$N$32*$N$34,0)</f>
        <v>6064666</v>
      </c>
      <c r="K81" s="1829" t="n">
        <v>0</v>
      </c>
      <c r="L81" s="1829" t="n">
        <f aca="false">SUM(I81:K81)</f>
        <v>12128347</v>
      </c>
      <c r="M81" s="1829" t="n">
        <f aca="false">L81</f>
        <v>12128347</v>
      </c>
      <c r="N81" s="1598" t="str">
        <f aca="false">IF(L81=M81,"○","×")</f>
        <v>○</v>
      </c>
      <c r="O81" s="1149"/>
      <c r="P81" s="1835"/>
      <c r="Q81" s="1149"/>
    </row>
    <row r="82" customFormat="false" ht="21.75" hidden="false" customHeight="true" outlineLevel="0" collapsed="false">
      <c r="A82" s="1828" t="s">
        <v>570</v>
      </c>
      <c r="B82" s="1829" t="n">
        <f aca="false">B80</f>
        <v>84414</v>
      </c>
      <c r="C82" s="1829" t="n">
        <f aca="false">C80</f>
        <v>84448</v>
      </c>
      <c r="D82" s="1829" t="n">
        <f aca="false">D80</f>
        <v>234</v>
      </c>
      <c r="E82" s="1829" t="n">
        <f aca="false">SUM(B82:D82)</f>
        <v>169096</v>
      </c>
      <c r="F82" s="1829" t="n">
        <f aca="false">E82</f>
        <v>169096</v>
      </c>
      <c r="G82" s="1598" t="str">
        <f aca="false">IF(E82=F82,"○","×")</f>
        <v>○</v>
      </c>
      <c r="H82" s="1828" t="s">
        <v>570</v>
      </c>
      <c r="I82" s="1829" t="n">
        <f aca="false">I80</f>
        <v>16798485</v>
      </c>
      <c r="J82" s="1829" t="n">
        <f aca="false">J80</f>
        <v>16805170</v>
      </c>
      <c r="K82" s="1829" t="n">
        <f aca="false">K80</f>
        <v>46661</v>
      </c>
      <c r="L82" s="1829" t="n">
        <f aca="false">SUM(I82:K82)</f>
        <v>33650316</v>
      </c>
      <c r="M82" s="1829" t="n">
        <f aca="false">L82</f>
        <v>33650316</v>
      </c>
      <c r="N82" s="1598" t="str">
        <f aca="false">IF(L82=M82,"○","×")</f>
        <v>○</v>
      </c>
      <c r="O82" s="1149"/>
      <c r="P82" s="1835"/>
      <c r="Q82" s="1149"/>
    </row>
    <row r="83" customFormat="false" ht="21.75" hidden="false" customHeight="true" outlineLevel="0" collapsed="false">
      <c r="A83" s="1830" t="s">
        <v>639</v>
      </c>
      <c r="B83" s="1829" t="n">
        <f aca="false">ROUND(B71*$N$35%,0)</f>
        <v>0</v>
      </c>
      <c r="C83" s="1829" t="n">
        <f aca="false">ROUND(C71*$N$35%,0)</f>
        <v>0</v>
      </c>
      <c r="D83" s="1829" t="n">
        <v>0</v>
      </c>
      <c r="E83" s="1829" t="n">
        <f aca="false">SUM(B83:D83)</f>
        <v>0</v>
      </c>
      <c r="F83" s="1829" t="n">
        <f aca="false">E83</f>
        <v>0</v>
      </c>
      <c r="G83" s="1598" t="str">
        <f aca="false">IF(E83=F83,"○","×")</f>
        <v>○</v>
      </c>
      <c r="H83" s="1830" t="s">
        <v>639</v>
      </c>
      <c r="I83" s="1829" t="n">
        <f aca="false">ROUND(I71*$N$35%,0)</f>
        <v>0</v>
      </c>
      <c r="J83" s="1829" t="n">
        <f aca="false">ROUND(J71*$N$35%,0)</f>
        <v>0</v>
      </c>
      <c r="K83" s="1829" t="n">
        <v>0</v>
      </c>
      <c r="L83" s="1829" t="n">
        <f aca="false">SUM(I83:K83)</f>
        <v>0</v>
      </c>
      <c r="M83" s="1829" t="n">
        <f aca="false">L83</f>
        <v>0</v>
      </c>
      <c r="N83" s="1598" t="str">
        <f aca="false">IF(L83=M83,"○","×")</f>
        <v>○</v>
      </c>
      <c r="O83" s="1149"/>
      <c r="P83" s="1835"/>
      <c r="Q83" s="1149"/>
    </row>
    <row r="84" customFormat="false" ht="21.75" hidden="false" customHeight="true" outlineLevel="0" collapsed="false">
      <c r="A84" s="1830" t="s">
        <v>640</v>
      </c>
      <c r="B84" s="1829" t="n">
        <f aca="false">ROUND(B77*$N$35%,0)</f>
        <v>0</v>
      </c>
      <c r="C84" s="1829" t="n">
        <f aca="false">ROUND(C77*$N$35%,0)</f>
        <v>0</v>
      </c>
      <c r="D84" s="1829" t="n">
        <v>0</v>
      </c>
      <c r="E84" s="1829" t="n">
        <f aca="false">SUM(B84:D84)</f>
        <v>0</v>
      </c>
      <c r="F84" s="1829" t="n">
        <f aca="false">E84</f>
        <v>0</v>
      </c>
      <c r="G84" s="1598" t="str">
        <f aca="false">IF(E84=F84,"○","×")</f>
        <v>○</v>
      </c>
      <c r="H84" s="1830" t="s">
        <v>640</v>
      </c>
      <c r="I84" s="1829" t="n">
        <f aca="false">ROUND(I77*$N$35%,0)</f>
        <v>0</v>
      </c>
      <c r="J84" s="1829" t="n">
        <f aca="false">ROUND(J77*$N$35%,0)</f>
        <v>0</v>
      </c>
      <c r="K84" s="1829" t="n">
        <v>0</v>
      </c>
      <c r="L84" s="1829" t="n">
        <f aca="false">SUM(I84:K84)</f>
        <v>0</v>
      </c>
      <c r="M84" s="1829" t="n">
        <f aca="false">L84</f>
        <v>0</v>
      </c>
      <c r="N84" s="1598" t="str">
        <f aca="false">IF(L84=M84,"○","×")</f>
        <v>○</v>
      </c>
      <c r="O84" s="1149"/>
      <c r="P84" s="1835"/>
      <c r="Q84" s="1149"/>
    </row>
    <row r="85" customFormat="false" ht="21.75" hidden="false" customHeight="true" outlineLevel="0" collapsed="false">
      <c r="A85" s="1592" t="s">
        <v>571</v>
      </c>
      <c r="B85" s="1596" t="n">
        <f aca="false">SUM(B68:B84)</f>
        <v>1309818</v>
      </c>
      <c r="C85" s="1596" t="n">
        <f aca="false">SUM(C68:C84)</f>
        <v>1310268</v>
      </c>
      <c r="D85" s="1596" t="n">
        <f aca="false">SUM(D68:D84)</f>
        <v>27410</v>
      </c>
      <c r="E85" s="1596" t="n">
        <f aca="false">SUM(E68:E84)</f>
        <v>2647496</v>
      </c>
      <c r="F85" s="1596" t="n">
        <f aca="false">SUM(F68:F84)</f>
        <v>2647496</v>
      </c>
      <c r="G85" s="1598" t="str">
        <f aca="false">IF(E85=F85,"○","×")</f>
        <v>○</v>
      </c>
      <c r="H85" s="1592" t="s">
        <v>571</v>
      </c>
      <c r="I85" s="1596" t="n">
        <f aca="false">SUM(I68:I84)</f>
        <v>260655458</v>
      </c>
      <c r="J85" s="1596" t="n">
        <f aca="false">SUM(J68:J84)</f>
        <v>260742092</v>
      </c>
      <c r="K85" s="1596" t="n">
        <f aca="false">SUM(K68:K84)</f>
        <v>5455866</v>
      </c>
      <c r="L85" s="1596" t="n">
        <f aca="false">SUM(L68:L84)</f>
        <v>526853416</v>
      </c>
      <c r="M85" s="1596" t="n">
        <f aca="false">SUM(M68:M84)</f>
        <v>526853416</v>
      </c>
      <c r="N85" s="1598" t="str">
        <f aca="false">IF(L85=M85,"○","×")</f>
        <v>○</v>
      </c>
      <c r="O85" s="1149"/>
      <c r="P85" s="1835"/>
      <c r="Q85" s="1149"/>
    </row>
    <row r="86" customFormat="false" ht="21.75" hidden="false" customHeight="true" outlineLevel="0" collapsed="false"/>
  </sheetData>
  <mergeCells count="3">
    <mergeCell ref="P1:Q3"/>
    <mergeCell ref="L30:O31"/>
    <mergeCell ref="P51:Q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&amp;C&amp;9&amp;Z&amp;F&amp;A</oddFooter>
  </headerFooter>
  <rowBreaks count="1" manualBreakCount="1">
    <brk id="44"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2001-12-26T01:17:47Z</dcterms:created>
  <dc:creator>広島市職員共済組合</dc:creator>
  <dc:description/>
  <dc:language>en-US</dc:language>
  <cp:lastModifiedBy>村井 慶子</cp:lastModifiedBy>
  <cp:lastPrinted>2026-10-02T04:05:43Z</cp:lastPrinted>
  <dcterms:modified xsi:type="dcterms:W3CDTF">2026-10-13T03:27:04Z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